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7.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1.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2.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4.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5.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6.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8.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9.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0.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bookViews>
    <workbookView xWindow="1185" yWindow="1635" windowWidth="14220" windowHeight="5445" tabRatio="593" activeTab="9"/>
  </bookViews>
  <sheets>
    <sheet name="Présentation" sheetId="6" r:id="rId1"/>
    <sheet name="TRAD-Présentation" sheetId="77" state="hidden" r:id="rId2"/>
    <sheet name="Paramétrage" sheetId="64" r:id="rId3"/>
    <sheet name="Paramétres" sheetId="100" state="hidden" r:id="rId4"/>
    <sheet name="TRAD-Paramétrage" sheetId="78" state="hidden" r:id="rId5"/>
    <sheet name="Saisie données stocks" sheetId="65" r:id="rId6"/>
    <sheet name="TRAD-Saisie données stocks" sheetId="79" state="hidden" r:id="rId7"/>
    <sheet name="Saisie données file act." sheetId="7" r:id="rId8"/>
    <sheet name="TRAD-Saisie données file act." sheetId="80" state="hidden" r:id="rId9"/>
    <sheet name="Saisie données conso" sheetId="66" r:id="rId10"/>
    <sheet name="TRAD-Saisie données conso" sheetId="81" state="hidden" r:id="rId11"/>
    <sheet name="Calculs" sheetId="8" state="hidden" r:id="rId12"/>
    <sheet name="TRAD-Calculs" sheetId="84" state="hidden" r:id="rId13"/>
    <sheet name="Calculs pédiatriques" sheetId="10" state="hidden" r:id="rId14"/>
    <sheet name="TRAD-Calculs pédiatriques" sheetId="85" state="hidden" r:id="rId15"/>
    <sheet name="Calculs Péremption FA" sheetId="45" state="hidden" r:id="rId16"/>
    <sheet name="TRAD-Calculs Péremption FA" sheetId="86" state="hidden" r:id="rId17"/>
    <sheet name="Calculs Péremption conso" sheetId="74" state="hidden" r:id="rId18"/>
    <sheet name="Calculs dispo Données FA" sheetId="11" state="hidden" r:id="rId19"/>
    <sheet name="TRAD-Calculs dispo Données FA" sheetId="87" state="hidden" r:id="rId20"/>
    <sheet name="Calculs dispo Données conso" sheetId="73" state="hidden" r:id="rId21"/>
    <sheet name="Calculs dispo Confrontation" sheetId="31" state="hidden" r:id="rId22"/>
    <sheet name="TRAD-Calculs dispo confrontatio" sheetId="88" state="hidden" r:id="rId23"/>
    <sheet name="Menu Résultats" sheetId="41" r:id="rId24"/>
    <sheet name="TRAD-Menu Résultats" sheetId="82" state="hidden" r:id="rId25"/>
    <sheet name="Synthèse résultats dispo" sheetId="68" r:id="rId26"/>
    <sheet name="TRAD-Synthèse résultats dispo" sheetId="83" state="hidden" r:id="rId27"/>
    <sheet name="CDF A.1 " sheetId="34" r:id="rId28"/>
    <sheet name="CDF A.1.2" sheetId="38" state="hidden" r:id="rId29"/>
    <sheet name="CDF A.2.1" sheetId="35" state="hidden" r:id="rId30"/>
    <sheet name="Cp A.2.2" sheetId="40" state="hidden" r:id="rId31"/>
    <sheet name="CDF A.2" sheetId="61" r:id="rId32"/>
    <sheet name="CDF B.1" sheetId="49" r:id="rId33"/>
    <sheet name="Cp B.1.2" sheetId="54" state="hidden" r:id="rId34"/>
    <sheet name="CDF B.2" sheetId="63" r:id="rId35"/>
    <sheet name="FS A.1" sheetId="69" r:id="rId36"/>
    <sheet name="FS A.2" sheetId="70" r:id="rId37"/>
    <sheet name="FS B.1" sheetId="71" r:id="rId38"/>
    <sheet name="FS B.2" sheetId="72" r:id="rId39"/>
    <sheet name="SB A.1" sheetId="39" r:id="rId40"/>
    <sheet name="SB A.1.2" sheetId="51" state="hidden" r:id="rId41"/>
    <sheet name="SB A.2.1" sheetId="52" state="hidden" r:id="rId42"/>
    <sheet name="SB A.2" sheetId="62" r:id="rId43"/>
    <sheet name="SB B.1" sheetId="56" r:id="rId44"/>
    <sheet name="SB B.1.2" sheetId="57" state="hidden" r:id="rId45"/>
    <sheet name="SB B.2" sheetId="59" r:id="rId46"/>
    <sheet name="Cp C.1" sheetId="44" state="hidden" r:id="rId47"/>
    <sheet name="Cp C.3" sheetId="50" state="hidden" r:id="rId48"/>
    <sheet name="TRAD-visualiz" sheetId="92" state="hidden" r:id="rId49"/>
    <sheet name="TdB Péremptions" sheetId="48" r:id="rId50"/>
    <sheet name="Quanti" sheetId="60" r:id="rId51"/>
    <sheet name="TRAD-Quanti et TdB Péremptions" sheetId="89" state="hidden" r:id="rId52"/>
    <sheet name="Quanti - trimestre" sheetId="96" r:id="rId53"/>
    <sheet name="TRAD-quanti trimestre" sheetId="97" state="hidden" r:id="rId54"/>
    <sheet name="impr données adultes" sheetId="23" r:id="rId55"/>
    <sheet name="impr sélection adultes" sheetId="58" r:id="rId56"/>
    <sheet name="impr données enfants" sheetId="26" r:id="rId57"/>
    <sheet name="impr sélection enfants" sheetId="76" r:id="rId58"/>
    <sheet name="TRAD-impressions" sheetId="90" state="hidden" r:id="rId59"/>
    <sheet name="Prix 10-2011 GPRM $" sheetId="46" r:id="rId60"/>
    <sheet name="Prix VPP 102012 convert" sheetId="93" r:id="rId61"/>
    <sheet name="TRAD-Prix 10-2011 GPRM $" sheetId="91" state="hidden" r:id="rId62"/>
    <sheet name="Prix spécifiques" sheetId="98" r:id="rId63"/>
    <sheet name="TRAD-Prix" sheetId="99" state="hidden" r:id="rId64"/>
  </sheets>
  <definedNames>
    <definedName name="_Hlk214027546" localSheetId="0">Présentation!#REF!</definedName>
    <definedName name="_xlnm.Print_Area" localSheetId="13">'Calculs pédiatriques'!$L$435:$V$502</definedName>
    <definedName name="_xlnm.Print_Area" localSheetId="54">'impr données adultes'!$A$1:$K$94</definedName>
    <definedName name="_xlnm.Print_Area" localSheetId="56">'impr données enfants'!$A$1:$N$50</definedName>
    <definedName name="_xlnm.Print_Area" localSheetId="55">'impr sélection adultes'!$A$1:$AT$94</definedName>
    <definedName name="_xlnm.Print_Area" localSheetId="57">'impr sélection enfants'!$A$1:$AH$123</definedName>
    <definedName name="_xlnm.Print_Area" localSheetId="50">Quanti!$A$1:$O$113</definedName>
    <definedName name="_xlnm.Print_Area" localSheetId="49">'TdB Péremptions'!$A:$P</definedName>
    <definedName name="_xlnm.Print_Titles" localSheetId="55">'impr sélection adultes'!$B:$C,'impr sélection adultes'!$5:$9</definedName>
    <definedName name="_xlnm.Print_Titles" localSheetId="57">'impr sélection enfants'!$A:$D,'impr sélection enfants'!$1:$4</definedName>
    <definedName name="_xlnm.Print_Titles" localSheetId="50">Quanti!$57:$57</definedName>
    <definedName name="_xlnm.Print_Titles" localSheetId="25">'Synthèse résultats dispo'!$1:$12</definedName>
    <definedName name="_xlnm.Print_Titles" localSheetId="49">'TdB Péremptions'!$23:$23</definedName>
  </definedNames>
  <calcPr calcId="145621"/>
</workbook>
</file>

<file path=xl/calcChain.xml><?xml version="1.0" encoding="utf-8"?>
<calcChain xmlns="http://schemas.openxmlformats.org/spreadsheetml/2006/main">
  <c r="E4" i="73" l="1"/>
  <c r="E6" i="64"/>
  <c r="E4" i="65"/>
  <c r="B2" i="79"/>
  <c r="B4" i="65" s="1"/>
  <c r="H19" i="64"/>
  <c r="B17" i="78"/>
  <c r="B18" i="78"/>
  <c r="B19" i="78"/>
  <c r="B20" i="78"/>
  <c r="B21" i="78"/>
  <c r="B22" i="78"/>
  <c r="B23" i="78"/>
  <c r="B24" i="78"/>
  <c r="B25" i="78"/>
  <c r="B26" i="78"/>
  <c r="E20" i="64" s="1"/>
  <c r="B27" i="78"/>
  <c r="B28" i="78"/>
  <c r="B4" i="73" l="1"/>
  <c r="B6" i="64"/>
  <c r="B14" i="78" l="1"/>
  <c r="D18" i="64" s="1"/>
  <c r="B15" i="78"/>
  <c r="E18" i="64" s="1"/>
  <c r="B16" i="78"/>
  <c r="F18" i="64" s="1"/>
  <c r="N66" i="65" l="1"/>
  <c r="T66" i="65"/>
  <c r="N189" i="65" l="1"/>
  <c r="N23" i="65"/>
  <c r="N35" i="65" l="1"/>
  <c r="N19" i="65"/>
  <c r="N22" i="65"/>
  <c r="T22" i="65" s="1"/>
  <c r="N36" i="65"/>
  <c r="T36" i="65" s="1"/>
  <c r="N24" i="65"/>
  <c r="N20" i="65"/>
  <c r="N31" i="65"/>
  <c r="N51" i="65"/>
  <c r="N49" i="65"/>
  <c r="N21" i="65"/>
  <c r="N52" i="65"/>
  <c r="T49" i="65"/>
  <c r="N53" i="65"/>
  <c r="N32" i="65"/>
  <c r="N25" i="65"/>
  <c r="N40" i="65"/>
  <c r="N28" i="65"/>
  <c r="V36" i="65" l="1"/>
  <c r="V49" i="65"/>
  <c r="N116" i="65"/>
  <c r="N100" i="65"/>
  <c r="N95" i="65"/>
  <c r="N92" i="65"/>
  <c r="N91" i="65"/>
  <c r="N88" i="65"/>
  <c r="N87" i="65"/>
  <c r="N86" i="65"/>
  <c r="N84" i="65"/>
  <c r="N83" i="65"/>
  <c r="B19" i="77" l="1"/>
  <c r="D36" i="6" s="1"/>
  <c r="B20" i="77"/>
  <c r="C38" i="6" s="1"/>
  <c r="B18" i="77"/>
  <c r="D35" i="6" s="1"/>
  <c r="O54" i="60"/>
  <c r="B100" i="89"/>
  <c r="B52" i="60" s="1"/>
  <c r="B101" i="89"/>
  <c r="C54" i="60" s="1"/>
  <c r="O98" i="60"/>
  <c r="O97" i="60"/>
  <c r="O96" i="60"/>
  <c r="O95" i="60"/>
  <c r="O94" i="60"/>
  <c r="O93" i="60"/>
  <c r="O92" i="60"/>
  <c r="O91" i="60"/>
  <c r="O90" i="60"/>
  <c r="O89" i="60"/>
  <c r="O88" i="60"/>
  <c r="O87" i="60"/>
  <c r="O86" i="60"/>
  <c r="O85" i="60"/>
  <c r="O84" i="60"/>
  <c r="O83" i="60"/>
  <c r="O82" i="60"/>
  <c r="O81" i="60"/>
  <c r="O80" i="60"/>
  <c r="O79" i="60"/>
  <c r="O78" i="60"/>
  <c r="O77" i="60"/>
  <c r="O76" i="60"/>
  <c r="O75" i="60"/>
  <c r="O74" i="60"/>
  <c r="O73" i="60"/>
  <c r="O72" i="60"/>
  <c r="O71" i="60"/>
  <c r="O70" i="60"/>
  <c r="O69" i="60"/>
  <c r="O68" i="60"/>
  <c r="O67" i="60"/>
  <c r="O66" i="60"/>
  <c r="O65" i="60"/>
  <c r="O64" i="60"/>
  <c r="O63" i="60"/>
  <c r="O62" i="60"/>
  <c r="O61" i="60"/>
  <c r="O60" i="60"/>
  <c r="O59" i="60"/>
  <c r="M48" i="60"/>
  <c r="B14" i="97"/>
  <c r="K57" i="60" s="1"/>
  <c r="K8" i="96" l="1"/>
  <c r="K50" i="96"/>
  <c r="K99" i="60"/>
  <c r="B77" i="99"/>
  <c r="B76" i="99"/>
  <c r="B75" i="99"/>
  <c r="B74" i="99"/>
  <c r="B73" i="99"/>
  <c r="B72" i="99"/>
  <c r="B71" i="99"/>
  <c r="B70" i="99"/>
  <c r="B69" i="99"/>
  <c r="B68" i="99"/>
  <c r="B67" i="99"/>
  <c r="B66" i="99"/>
  <c r="B65" i="99"/>
  <c r="B64" i="99"/>
  <c r="B63" i="99"/>
  <c r="B62" i="99"/>
  <c r="B61" i="99"/>
  <c r="B60" i="99"/>
  <c r="B59" i="99"/>
  <c r="B58" i="99"/>
  <c r="B57" i="99"/>
  <c r="B56" i="99"/>
  <c r="B55" i="99"/>
  <c r="B54" i="99"/>
  <c r="B53" i="99"/>
  <c r="B52" i="99"/>
  <c r="B51" i="99"/>
  <c r="B50" i="99"/>
  <c r="B49" i="99"/>
  <c r="B48" i="99"/>
  <c r="B47" i="99"/>
  <c r="B46" i="99"/>
  <c r="B45" i="99"/>
  <c r="B44" i="99"/>
  <c r="B43" i="99"/>
  <c r="B42" i="99"/>
  <c r="B41" i="99"/>
  <c r="B40" i="99"/>
  <c r="B39" i="99"/>
  <c r="B38" i="99"/>
  <c r="B37" i="99"/>
  <c r="B36" i="99"/>
  <c r="B35" i="99"/>
  <c r="B34" i="99"/>
  <c r="B33" i="99"/>
  <c r="B32" i="99"/>
  <c r="B31" i="99"/>
  <c r="B30" i="99"/>
  <c r="B29" i="99"/>
  <c r="B28" i="99"/>
  <c r="B27" i="99"/>
  <c r="B26" i="99"/>
  <c r="B25" i="99"/>
  <c r="B24" i="99"/>
  <c r="B23" i="99"/>
  <c r="B22" i="99"/>
  <c r="B21" i="99"/>
  <c r="B20" i="99"/>
  <c r="B19" i="99"/>
  <c r="B18" i="99"/>
  <c r="B17" i="99"/>
  <c r="B16" i="99"/>
  <c r="B15" i="99"/>
  <c r="B14" i="99"/>
  <c r="B13" i="99"/>
  <c r="B12" i="99"/>
  <c r="B11" i="99"/>
  <c r="B10" i="99"/>
  <c r="B9" i="99"/>
  <c r="B8" i="99"/>
  <c r="B7" i="99"/>
  <c r="B6" i="99"/>
  <c r="B5" i="99"/>
  <c r="J6" i="98" s="1"/>
  <c r="B4" i="99"/>
  <c r="I6" i="98" s="1"/>
  <c r="B3" i="99"/>
  <c r="B4" i="98" s="1"/>
  <c r="B2" i="99"/>
  <c r="A2" i="98" s="1"/>
  <c r="G13" i="48"/>
  <c r="I51" i="96"/>
  <c r="I52" i="96"/>
  <c r="I53" i="96"/>
  <c r="I54" i="96"/>
  <c r="I55" i="96"/>
  <c r="I56" i="96"/>
  <c r="I57" i="96"/>
  <c r="I58" i="96"/>
  <c r="D52" i="96"/>
  <c r="F52" i="96"/>
  <c r="G52" i="96"/>
  <c r="H52" i="96"/>
  <c r="D53" i="96"/>
  <c r="F53" i="96"/>
  <c r="G53" i="96"/>
  <c r="H53" i="96"/>
  <c r="D54" i="96"/>
  <c r="F54" i="96"/>
  <c r="G54" i="96"/>
  <c r="H54" i="96"/>
  <c r="D55" i="96"/>
  <c r="F55" i="96"/>
  <c r="G55" i="96"/>
  <c r="H55" i="96"/>
  <c r="D56" i="96"/>
  <c r="F56" i="96"/>
  <c r="G56" i="96"/>
  <c r="H56" i="96"/>
  <c r="D57" i="96"/>
  <c r="F57" i="96"/>
  <c r="G57" i="96"/>
  <c r="H57" i="96"/>
  <c r="D58" i="96"/>
  <c r="F58" i="96"/>
  <c r="G58" i="96"/>
  <c r="H58" i="96"/>
  <c r="H51" i="96"/>
  <c r="G51" i="96"/>
  <c r="F51" i="96"/>
  <c r="D51" i="96"/>
  <c r="B2" i="97"/>
  <c r="A2" i="96" s="1"/>
  <c r="B3" i="97"/>
  <c r="B4" i="96" s="1"/>
  <c r="B4" i="97"/>
  <c r="O7" i="96"/>
  <c r="B6" i="97"/>
  <c r="B7" i="97"/>
  <c r="M6" i="96" s="1"/>
  <c r="B8" i="97"/>
  <c r="B9" i="97"/>
  <c r="B10" i="97"/>
  <c r="B11" i="97"/>
  <c r="M5" i="96" s="1"/>
  <c r="B12" i="97"/>
  <c r="BS7" i="96" s="1"/>
  <c r="B13" i="97"/>
  <c r="B15" i="97"/>
  <c r="B16" i="97"/>
  <c r="B17" i="97"/>
  <c r="B18" i="97"/>
  <c r="B19" i="97"/>
  <c r="B20" i="97"/>
  <c r="S8" i="96" s="1"/>
  <c r="B21" i="97"/>
  <c r="B22" i="97"/>
  <c r="B23" i="97"/>
  <c r="B24" i="97"/>
  <c r="B25" i="97"/>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5" i="97"/>
  <c r="BM5" i="96" s="1"/>
  <c r="H50" i="98"/>
  <c r="J50" i="98" s="1"/>
  <c r="H51" i="98"/>
  <c r="J51" i="98" s="1"/>
  <c r="H52" i="98"/>
  <c r="J52" i="98" s="1"/>
  <c r="H53" i="98"/>
  <c r="J53" i="98" s="1"/>
  <c r="H54" i="98"/>
  <c r="J54" i="98" s="1"/>
  <c r="H55" i="98"/>
  <c r="J55" i="98" s="1"/>
  <c r="H56" i="98"/>
  <c r="J56" i="98" s="1"/>
  <c r="H49" i="98"/>
  <c r="J49" i="98" s="1"/>
  <c r="H47" i="98"/>
  <c r="J47" i="98" s="1"/>
  <c r="H8" i="98"/>
  <c r="J8" i="98" s="1"/>
  <c r="H9" i="98"/>
  <c r="J9" i="98" s="1"/>
  <c r="H10" i="98"/>
  <c r="J10" i="98" s="1"/>
  <c r="H11" i="98"/>
  <c r="J11" i="98" s="1"/>
  <c r="H12" i="98"/>
  <c r="J12" i="98" s="1"/>
  <c r="H13" i="98"/>
  <c r="J13" i="98" s="1"/>
  <c r="H14" i="98"/>
  <c r="J14" i="98" s="1"/>
  <c r="H15" i="98"/>
  <c r="J15" i="98" s="1"/>
  <c r="H16" i="98"/>
  <c r="J16" i="98" s="1"/>
  <c r="H17" i="98"/>
  <c r="J17" i="98" s="1"/>
  <c r="H18" i="98"/>
  <c r="J18" i="98" s="1"/>
  <c r="H19" i="98"/>
  <c r="J19" i="98" s="1"/>
  <c r="H20" i="98"/>
  <c r="J20" i="98" s="1"/>
  <c r="H21" i="98"/>
  <c r="J21" i="98" s="1"/>
  <c r="H22" i="98"/>
  <c r="J22" i="98" s="1"/>
  <c r="H23" i="98"/>
  <c r="J23" i="98" s="1"/>
  <c r="H24" i="98"/>
  <c r="J24" i="98" s="1"/>
  <c r="H25" i="98"/>
  <c r="J25" i="98" s="1"/>
  <c r="H26" i="98"/>
  <c r="J26" i="98" s="1"/>
  <c r="H27" i="98"/>
  <c r="J27" i="98" s="1"/>
  <c r="H28" i="98"/>
  <c r="J28" i="98" s="1"/>
  <c r="H29" i="98"/>
  <c r="J29" i="98" s="1"/>
  <c r="H30" i="98"/>
  <c r="J30" i="98" s="1"/>
  <c r="H31" i="98"/>
  <c r="J31" i="98" s="1"/>
  <c r="H32" i="98"/>
  <c r="J32" i="98" s="1"/>
  <c r="H33" i="98"/>
  <c r="J33" i="98" s="1"/>
  <c r="H34" i="98"/>
  <c r="J34" i="98" s="1"/>
  <c r="H35" i="98"/>
  <c r="J35" i="98" s="1"/>
  <c r="H36" i="98"/>
  <c r="J36" i="98" s="1"/>
  <c r="H37" i="98"/>
  <c r="J37" i="98" s="1"/>
  <c r="H38" i="98"/>
  <c r="J38" i="98" s="1"/>
  <c r="H39" i="98"/>
  <c r="J39" i="98" s="1"/>
  <c r="H40" i="98"/>
  <c r="J40" i="98" s="1"/>
  <c r="H41" i="98"/>
  <c r="J41" i="98" s="1"/>
  <c r="H42" i="98"/>
  <c r="J42" i="98" s="1"/>
  <c r="H43" i="98"/>
  <c r="J43" i="98" s="1"/>
  <c r="H44" i="98"/>
  <c r="J44" i="98" s="1"/>
  <c r="H45" i="98"/>
  <c r="J45" i="98" s="1"/>
  <c r="H46" i="98"/>
  <c r="J46" i="98" s="1"/>
  <c r="H7" i="98"/>
  <c r="J7" i="98" s="1"/>
  <c r="G56" i="98"/>
  <c r="F56" i="98"/>
  <c r="D56" i="98"/>
  <c r="G55" i="98"/>
  <c r="F55" i="98"/>
  <c r="D55" i="98"/>
  <c r="G54" i="98"/>
  <c r="F54" i="98"/>
  <c r="D54" i="98"/>
  <c r="G53" i="98"/>
  <c r="F53" i="98"/>
  <c r="D53" i="98"/>
  <c r="G52" i="98"/>
  <c r="F52" i="98"/>
  <c r="D52" i="98"/>
  <c r="G51" i="98"/>
  <c r="F51" i="98"/>
  <c r="D51" i="98"/>
  <c r="G50" i="98"/>
  <c r="F50" i="98"/>
  <c r="D50" i="98"/>
  <c r="G49" i="98"/>
  <c r="F49" i="98"/>
  <c r="D49" i="98"/>
  <c r="D8" i="98"/>
  <c r="F8" i="98"/>
  <c r="G8" i="98"/>
  <c r="D9" i="98"/>
  <c r="F9" i="98"/>
  <c r="G9" i="98"/>
  <c r="D10" i="98"/>
  <c r="F10" i="98"/>
  <c r="G10" i="98"/>
  <c r="D11" i="98"/>
  <c r="F11" i="98"/>
  <c r="G11" i="98"/>
  <c r="D12" i="98"/>
  <c r="F12" i="98"/>
  <c r="G12" i="98"/>
  <c r="D13" i="98"/>
  <c r="F13" i="98"/>
  <c r="G13" i="98"/>
  <c r="D14" i="98"/>
  <c r="F14" i="98"/>
  <c r="G14" i="98"/>
  <c r="D15" i="98"/>
  <c r="F15" i="98"/>
  <c r="G15" i="98"/>
  <c r="D16" i="98"/>
  <c r="F16" i="98"/>
  <c r="G16" i="98"/>
  <c r="D17" i="98"/>
  <c r="F17" i="98"/>
  <c r="G17" i="98"/>
  <c r="D18" i="98"/>
  <c r="F18" i="98"/>
  <c r="G18" i="98"/>
  <c r="D19" i="98"/>
  <c r="F19" i="98"/>
  <c r="G19" i="98"/>
  <c r="D20" i="98"/>
  <c r="F20" i="98"/>
  <c r="G20" i="98"/>
  <c r="D21" i="98"/>
  <c r="F21" i="98"/>
  <c r="G21" i="98"/>
  <c r="D22" i="98"/>
  <c r="E22" i="98"/>
  <c r="F22" i="98"/>
  <c r="G22" i="98"/>
  <c r="D23" i="98"/>
  <c r="E23" i="98"/>
  <c r="F23" i="98"/>
  <c r="G23" i="98"/>
  <c r="D24" i="98"/>
  <c r="F24" i="98"/>
  <c r="G24" i="98"/>
  <c r="D25" i="98"/>
  <c r="F25" i="98"/>
  <c r="G25" i="98"/>
  <c r="D26" i="98"/>
  <c r="F26" i="98"/>
  <c r="G26" i="98"/>
  <c r="D27" i="98"/>
  <c r="F27" i="98"/>
  <c r="G27" i="98"/>
  <c r="D28" i="98"/>
  <c r="F28" i="98"/>
  <c r="G28" i="98"/>
  <c r="D29" i="98"/>
  <c r="F29" i="98"/>
  <c r="G29" i="98"/>
  <c r="D30" i="98"/>
  <c r="F30" i="98"/>
  <c r="G30" i="98"/>
  <c r="D31" i="98"/>
  <c r="F31" i="98"/>
  <c r="G31" i="98"/>
  <c r="D32" i="98"/>
  <c r="F32" i="98"/>
  <c r="G32" i="98"/>
  <c r="D33" i="98"/>
  <c r="F33" i="98"/>
  <c r="G33" i="98"/>
  <c r="D34" i="98"/>
  <c r="F34" i="98"/>
  <c r="G34" i="98"/>
  <c r="D35" i="98"/>
  <c r="F35" i="98"/>
  <c r="G35" i="98"/>
  <c r="D36" i="98"/>
  <c r="F36" i="98"/>
  <c r="G36" i="98"/>
  <c r="D37" i="98"/>
  <c r="F37" i="98"/>
  <c r="G37" i="98"/>
  <c r="D38" i="98"/>
  <c r="F38" i="98"/>
  <c r="G38" i="98"/>
  <c r="D39" i="98"/>
  <c r="F39" i="98"/>
  <c r="G39" i="98"/>
  <c r="D40" i="98"/>
  <c r="F40" i="98"/>
  <c r="G40" i="98"/>
  <c r="D41" i="98"/>
  <c r="F41" i="98"/>
  <c r="G41" i="98"/>
  <c r="D42" i="98"/>
  <c r="F42" i="98"/>
  <c r="G42" i="98"/>
  <c r="D43" i="98"/>
  <c r="F43" i="98"/>
  <c r="G43" i="98"/>
  <c r="D44" i="98"/>
  <c r="F44" i="98"/>
  <c r="G44" i="98"/>
  <c r="D45" i="98"/>
  <c r="F45" i="98"/>
  <c r="G45" i="98"/>
  <c r="D46" i="98"/>
  <c r="E46" i="98"/>
  <c r="F46" i="98"/>
  <c r="G46" i="98"/>
  <c r="D47" i="98"/>
  <c r="F47" i="98"/>
  <c r="G47" i="98"/>
  <c r="F7" i="98"/>
  <c r="G7" i="98"/>
  <c r="D7" i="98"/>
  <c r="B39" i="79"/>
  <c r="E61" i="65" s="1"/>
  <c r="B40" i="79"/>
  <c r="E66" i="65" s="1"/>
  <c r="B41" i="79"/>
  <c r="E68" i="65" s="1"/>
  <c r="B42" i="79"/>
  <c r="E59" i="65" s="1"/>
  <c r="B38" i="79"/>
  <c r="E19" i="65" s="1"/>
  <c r="B37" i="79"/>
  <c r="D10" i="96"/>
  <c r="F10" i="96"/>
  <c r="G10" i="96"/>
  <c r="H10" i="96"/>
  <c r="D11" i="96"/>
  <c r="F11" i="96"/>
  <c r="G11" i="96"/>
  <c r="H11" i="96"/>
  <c r="D12" i="96"/>
  <c r="F12" i="96"/>
  <c r="G12" i="96"/>
  <c r="H12" i="96"/>
  <c r="D13" i="96"/>
  <c r="F13" i="96"/>
  <c r="G13" i="96"/>
  <c r="H13" i="96"/>
  <c r="D14" i="96"/>
  <c r="F14" i="96"/>
  <c r="G14" i="96"/>
  <c r="H14" i="96"/>
  <c r="D15" i="96"/>
  <c r="F15" i="96"/>
  <c r="G15" i="96"/>
  <c r="H15" i="96"/>
  <c r="D16" i="96"/>
  <c r="F16" i="96"/>
  <c r="G16" i="96"/>
  <c r="H16" i="96"/>
  <c r="D17" i="96"/>
  <c r="F17" i="96"/>
  <c r="G17" i="96"/>
  <c r="H17" i="96"/>
  <c r="D18" i="96"/>
  <c r="F18" i="96"/>
  <c r="G18" i="96"/>
  <c r="H18" i="96"/>
  <c r="D19" i="96"/>
  <c r="F19" i="96"/>
  <c r="G19" i="96"/>
  <c r="H19" i="96"/>
  <c r="D20" i="96"/>
  <c r="F20" i="96"/>
  <c r="G20" i="96"/>
  <c r="H20" i="96"/>
  <c r="D21" i="96"/>
  <c r="F21" i="96"/>
  <c r="G21" i="96"/>
  <c r="H21" i="96"/>
  <c r="D22" i="96"/>
  <c r="F22" i="96"/>
  <c r="G22" i="96"/>
  <c r="H22" i="96"/>
  <c r="D23" i="96"/>
  <c r="F23" i="96"/>
  <c r="G23" i="96"/>
  <c r="H23" i="96"/>
  <c r="D24" i="96"/>
  <c r="E24" i="96"/>
  <c r="F24" i="96"/>
  <c r="G24" i="96"/>
  <c r="H24" i="96"/>
  <c r="D25" i="96"/>
  <c r="E25" i="96"/>
  <c r="F25" i="96"/>
  <c r="G25" i="96"/>
  <c r="H25" i="96"/>
  <c r="D26" i="96"/>
  <c r="F26" i="96"/>
  <c r="G26" i="96"/>
  <c r="H26" i="96"/>
  <c r="D27" i="96"/>
  <c r="F27" i="96"/>
  <c r="G27" i="96"/>
  <c r="H27" i="96"/>
  <c r="D28" i="96"/>
  <c r="F28" i="96"/>
  <c r="G28" i="96"/>
  <c r="H28" i="96"/>
  <c r="D29" i="96"/>
  <c r="F29" i="96"/>
  <c r="G29" i="96"/>
  <c r="H29" i="96"/>
  <c r="D30" i="96"/>
  <c r="F30" i="96"/>
  <c r="G30" i="96"/>
  <c r="H30" i="96"/>
  <c r="D31" i="96"/>
  <c r="F31" i="96"/>
  <c r="G31" i="96"/>
  <c r="H31" i="96"/>
  <c r="D32" i="96"/>
  <c r="F32" i="96"/>
  <c r="G32" i="96"/>
  <c r="H32" i="96"/>
  <c r="D33" i="96"/>
  <c r="F33" i="96"/>
  <c r="G33" i="96"/>
  <c r="H33" i="96"/>
  <c r="D34" i="96"/>
  <c r="F34" i="96"/>
  <c r="G34" i="96"/>
  <c r="H34" i="96"/>
  <c r="D35" i="96"/>
  <c r="F35" i="96"/>
  <c r="G35" i="96"/>
  <c r="H35" i="96"/>
  <c r="D36" i="96"/>
  <c r="F36" i="96"/>
  <c r="G36" i="96"/>
  <c r="H36" i="96"/>
  <c r="D37" i="96"/>
  <c r="F37" i="96"/>
  <c r="G37" i="96"/>
  <c r="H37" i="96"/>
  <c r="D38" i="96"/>
  <c r="F38" i="96"/>
  <c r="G38" i="96"/>
  <c r="H38" i="96"/>
  <c r="D39" i="96"/>
  <c r="F39" i="96"/>
  <c r="G39" i="96"/>
  <c r="H39" i="96"/>
  <c r="D40" i="96"/>
  <c r="F40" i="96"/>
  <c r="G40" i="96"/>
  <c r="H40" i="96"/>
  <c r="D41" i="96"/>
  <c r="F41" i="96"/>
  <c r="G41" i="96"/>
  <c r="H41" i="96"/>
  <c r="D42" i="96"/>
  <c r="F42" i="96"/>
  <c r="G42" i="96"/>
  <c r="H42" i="96"/>
  <c r="D43" i="96"/>
  <c r="F43" i="96"/>
  <c r="G43" i="96"/>
  <c r="H43" i="96"/>
  <c r="D44" i="96"/>
  <c r="F44" i="96"/>
  <c r="G44" i="96"/>
  <c r="H44" i="96"/>
  <c r="D45" i="96"/>
  <c r="F45" i="96"/>
  <c r="G45" i="96"/>
  <c r="H45" i="96"/>
  <c r="D46" i="96"/>
  <c r="F46" i="96"/>
  <c r="G46" i="96"/>
  <c r="H46" i="96"/>
  <c r="D47" i="96"/>
  <c r="F47" i="96"/>
  <c r="G47" i="96"/>
  <c r="H47" i="96"/>
  <c r="D48" i="96"/>
  <c r="E48" i="96"/>
  <c r="F48" i="96"/>
  <c r="G48" i="96"/>
  <c r="H48" i="96"/>
  <c r="D49" i="96"/>
  <c r="F49" i="96"/>
  <c r="G49" i="96"/>
  <c r="H49" i="96"/>
  <c r="H9" i="96"/>
  <c r="F9" i="96"/>
  <c r="G9" i="96"/>
  <c r="D9" i="96"/>
  <c r="D58" i="60"/>
  <c r="K46" i="45" l="1"/>
  <c r="K46" i="74"/>
  <c r="K42" i="45"/>
  <c r="K42" i="74"/>
  <c r="K38" i="45"/>
  <c r="K38" i="74"/>
  <c r="K34" i="45"/>
  <c r="K34" i="74"/>
  <c r="K30" i="45"/>
  <c r="K30" i="74"/>
  <c r="K26" i="45"/>
  <c r="K26" i="74"/>
  <c r="K22" i="45"/>
  <c r="K22" i="74"/>
  <c r="K18" i="45"/>
  <c r="K18" i="74"/>
  <c r="K14" i="45"/>
  <c r="K14" i="74"/>
  <c r="K10" i="45"/>
  <c r="K10" i="74"/>
  <c r="O58" i="60"/>
  <c r="K7" i="74"/>
  <c r="K7" i="45"/>
  <c r="K43" i="74"/>
  <c r="K43" i="45"/>
  <c r="K39" i="74"/>
  <c r="K39" i="45"/>
  <c r="K35" i="74"/>
  <c r="K35" i="45"/>
  <c r="K31" i="74"/>
  <c r="K31" i="45"/>
  <c r="K27" i="74"/>
  <c r="K27" i="45"/>
  <c r="K23" i="74"/>
  <c r="K23" i="45"/>
  <c r="K19" i="74"/>
  <c r="K19" i="45"/>
  <c r="K15" i="74"/>
  <c r="K15" i="45"/>
  <c r="K11" i="74"/>
  <c r="K11" i="45"/>
  <c r="K47" i="74"/>
  <c r="K47" i="45"/>
  <c r="K44" i="45"/>
  <c r="K44" i="74"/>
  <c r="K40" i="45"/>
  <c r="K40" i="74"/>
  <c r="K36" i="45"/>
  <c r="K36" i="74"/>
  <c r="K32" i="45"/>
  <c r="K32" i="74"/>
  <c r="K28" i="45"/>
  <c r="K28" i="74"/>
  <c r="K24" i="45"/>
  <c r="K24" i="74"/>
  <c r="K20" i="45"/>
  <c r="K20" i="74"/>
  <c r="K16" i="45"/>
  <c r="K16" i="74"/>
  <c r="K12" i="45"/>
  <c r="K12" i="74"/>
  <c r="K8" i="45"/>
  <c r="K8" i="74"/>
  <c r="K45" i="45"/>
  <c r="K45" i="74"/>
  <c r="K41" i="45"/>
  <c r="K41" i="74"/>
  <c r="K37" i="45"/>
  <c r="K37" i="74"/>
  <c r="K33" i="45"/>
  <c r="K33" i="74"/>
  <c r="K29" i="45"/>
  <c r="K29" i="74"/>
  <c r="K25" i="45"/>
  <c r="K25" i="74"/>
  <c r="K21" i="45"/>
  <c r="K21" i="74"/>
  <c r="K17" i="45"/>
  <c r="K17" i="74"/>
  <c r="K13" i="45"/>
  <c r="K13" i="74"/>
  <c r="K9" i="45"/>
  <c r="K9" i="74"/>
  <c r="M8" i="96"/>
  <c r="M50" i="96"/>
  <c r="N50" i="96"/>
  <c r="N8" i="96"/>
  <c r="J99" i="60"/>
  <c r="J8" i="96"/>
  <c r="J57" i="60"/>
  <c r="J50" i="96"/>
  <c r="BS50" i="96"/>
  <c r="BM50" i="96"/>
  <c r="BG50" i="96"/>
  <c r="BA50" i="96"/>
  <c r="AU50" i="96"/>
  <c r="AO50" i="96"/>
  <c r="AI50" i="96"/>
  <c r="AC50" i="96"/>
  <c r="W50" i="96"/>
  <c r="BV50" i="96"/>
  <c r="BP50" i="96"/>
  <c r="BJ50" i="96"/>
  <c r="BD50" i="96"/>
  <c r="AX50" i="96"/>
  <c r="AR50" i="96"/>
  <c r="AL50" i="96"/>
  <c r="AF50" i="96"/>
  <c r="Z50" i="96"/>
  <c r="T50" i="96"/>
  <c r="BP8" i="96"/>
  <c r="BG8" i="96"/>
  <c r="Q50" i="96"/>
  <c r="BV8" i="96"/>
  <c r="AX8" i="96"/>
  <c r="AL8" i="96"/>
  <c r="Z8" i="96"/>
  <c r="BM8" i="96"/>
  <c r="BA8" i="96"/>
  <c r="AO8" i="96"/>
  <c r="AC8" i="96"/>
  <c r="BD8" i="96"/>
  <c r="AR8" i="96"/>
  <c r="AF8" i="96"/>
  <c r="T8" i="96"/>
  <c r="BS8" i="96"/>
  <c r="AU8" i="96"/>
  <c r="AI8" i="96"/>
  <c r="W8" i="96"/>
  <c r="BJ8" i="96"/>
  <c r="R8" i="96"/>
  <c r="BQ50" i="96"/>
  <c r="AY50" i="96"/>
  <c r="AG50" i="96"/>
  <c r="BT8" i="96"/>
  <c r="AJ8" i="96"/>
  <c r="R50" i="96"/>
  <c r="BT50" i="96"/>
  <c r="BN50" i="96"/>
  <c r="BH50" i="96"/>
  <c r="BB50" i="96"/>
  <c r="AV50" i="96"/>
  <c r="AP50" i="96"/>
  <c r="AJ50" i="96"/>
  <c r="AD50" i="96"/>
  <c r="X50" i="96"/>
  <c r="BW8" i="96"/>
  <c r="BQ8" i="96"/>
  <c r="BK8" i="96"/>
  <c r="BE8" i="96"/>
  <c r="AY8" i="96"/>
  <c r="AS8" i="96"/>
  <c r="AM8" i="96"/>
  <c r="AG8" i="96"/>
  <c r="AA8" i="96"/>
  <c r="U8" i="96"/>
  <c r="BW50" i="96"/>
  <c r="BK50" i="96"/>
  <c r="BE50" i="96"/>
  <c r="AS50" i="96"/>
  <c r="AM50" i="96"/>
  <c r="AA50" i="96"/>
  <c r="U50" i="96"/>
  <c r="BN8" i="96"/>
  <c r="BH8" i="96"/>
  <c r="BB8" i="96"/>
  <c r="AV8" i="96"/>
  <c r="AP8" i="96"/>
  <c r="AD8" i="96"/>
  <c r="X8" i="96"/>
  <c r="D474" i="8"/>
  <c r="D249" i="8"/>
  <c r="E132" i="66"/>
  <c r="E58" i="66"/>
  <c r="E182" i="65"/>
  <c r="E125" i="65"/>
  <c r="C100" i="60"/>
  <c r="D414" i="8"/>
  <c r="D195" i="8"/>
  <c r="D359" i="8"/>
  <c r="C49" i="98"/>
  <c r="C51" i="96"/>
  <c r="D304" i="8"/>
  <c r="C54" i="98"/>
  <c r="C56" i="96"/>
  <c r="D309" i="8"/>
  <c r="D479" i="8"/>
  <c r="D254" i="8"/>
  <c r="E137" i="66"/>
  <c r="E63" i="66"/>
  <c r="E187" i="65"/>
  <c r="E130" i="65"/>
  <c r="C105" i="60"/>
  <c r="D419" i="8"/>
  <c r="D200" i="8"/>
  <c r="D364" i="8"/>
  <c r="D366" i="8"/>
  <c r="C56" i="98"/>
  <c r="C58" i="96"/>
  <c r="D311" i="8"/>
  <c r="D481" i="8"/>
  <c r="D256" i="8"/>
  <c r="E139" i="66"/>
  <c r="E65" i="66"/>
  <c r="E189" i="65"/>
  <c r="E132" i="65"/>
  <c r="C107" i="60"/>
  <c r="D421" i="8"/>
  <c r="D202" i="8"/>
  <c r="C98" i="60"/>
  <c r="D472" i="8"/>
  <c r="D247" i="8"/>
  <c r="D302" i="8"/>
  <c r="C47" i="98"/>
  <c r="C49" i="96"/>
  <c r="D357" i="8"/>
  <c r="D412" i="8"/>
  <c r="D193" i="8"/>
  <c r="E130" i="66"/>
  <c r="E56" i="66"/>
  <c r="E180" i="65"/>
  <c r="E123" i="65"/>
  <c r="C58" i="60"/>
  <c r="D432" i="8"/>
  <c r="D207" i="8"/>
  <c r="D262" i="8"/>
  <c r="C7" i="98"/>
  <c r="C9" i="96"/>
  <c r="D317" i="8"/>
  <c r="D372" i="8"/>
  <c r="D153" i="8"/>
  <c r="E90" i="66"/>
  <c r="E16" i="66"/>
  <c r="E140" i="65"/>
  <c r="E83" i="65"/>
  <c r="Q5" i="96"/>
  <c r="T5" i="96"/>
  <c r="W6" i="96"/>
  <c r="Z7" i="96"/>
  <c r="AF5" i="96"/>
  <c r="AI6" i="96"/>
  <c r="AL7" i="96"/>
  <c r="AR5" i="96"/>
  <c r="AU6" i="96"/>
  <c r="AX7" i="96"/>
  <c r="BD5" i="96"/>
  <c r="BG6" i="96"/>
  <c r="BJ7" i="96"/>
  <c r="BP5" i="96"/>
  <c r="BS6" i="96"/>
  <c r="BV7" i="96"/>
  <c r="E51" i="65"/>
  <c r="Q7" i="96"/>
  <c r="W5" i="96"/>
  <c r="Z6" i="96"/>
  <c r="AC7" i="96"/>
  <c r="AI5" i="96"/>
  <c r="AL6" i="96"/>
  <c r="AO7" i="96"/>
  <c r="AU5" i="96"/>
  <c r="AX6" i="96"/>
  <c r="BA7" i="96"/>
  <c r="BG5" i="96"/>
  <c r="BJ6" i="96"/>
  <c r="BM7" i="96"/>
  <c r="BS5" i="96"/>
  <c r="BV6" i="96"/>
  <c r="E34" i="65"/>
  <c r="Q6" i="96"/>
  <c r="T7" i="96"/>
  <c r="Z5" i="96"/>
  <c r="AC6" i="96"/>
  <c r="AF7" i="96"/>
  <c r="AL5" i="96"/>
  <c r="AO6" i="96"/>
  <c r="AR7" i="96"/>
  <c r="AX5" i="96"/>
  <c r="BA6" i="96"/>
  <c r="BD7" i="96"/>
  <c r="BJ5" i="96"/>
  <c r="BM6" i="96"/>
  <c r="BP7" i="96"/>
  <c r="BV5" i="96"/>
  <c r="E40" i="65"/>
  <c r="T6" i="96"/>
  <c r="W7" i="96"/>
  <c r="AC5" i="96"/>
  <c r="AF6" i="96"/>
  <c r="AI7" i="96"/>
  <c r="AO5" i="96"/>
  <c r="AR6" i="96"/>
  <c r="AU7" i="96"/>
  <c r="BA5" i="96"/>
  <c r="BD6" i="96"/>
  <c r="BG7" i="96"/>
  <c r="BP6" i="96"/>
  <c r="Q8" i="96"/>
  <c r="B5" i="77"/>
  <c r="B7" i="6" s="1"/>
  <c r="B64" i="10"/>
  <c r="B65" i="10"/>
  <c r="B66" i="10"/>
  <c r="B63" i="10"/>
  <c r="B137" i="10"/>
  <c r="B138" i="10"/>
  <c r="B139" i="10"/>
  <c r="B140" i="10"/>
  <c r="B141" i="10"/>
  <c r="B143" i="10"/>
  <c r="B144" i="10"/>
  <c r="B145" i="10"/>
  <c r="B146" i="10"/>
  <c r="B147" i="10"/>
  <c r="B149" i="10"/>
  <c r="B150" i="10"/>
  <c r="B151" i="10"/>
  <c r="B152" i="10"/>
  <c r="B153" i="10"/>
  <c r="B154" i="10"/>
  <c r="B155" i="10"/>
  <c r="B156" i="10"/>
  <c r="B157" i="10"/>
  <c r="B136" i="10"/>
  <c r="B107" i="10"/>
  <c r="B128" i="10"/>
  <c r="B127" i="10"/>
  <c r="B126" i="10"/>
  <c r="B125" i="10"/>
  <c r="B124" i="10"/>
  <c r="B123" i="10"/>
  <c r="B122" i="10"/>
  <c r="B121" i="10"/>
  <c r="B120" i="10"/>
  <c r="B118" i="10"/>
  <c r="B117" i="10"/>
  <c r="B116" i="10"/>
  <c r="B115" i="10"/>
  <c r="B114" i="10"/>
  <c r="B108" i="10"/>
  <c r="B109" i="10"/>
  <c r="B110" i="10"/>
  <c r="B111" i="10"/>
  <c r="B112" i="10"/>
  <c r="B8" i="10"/>
  <c r="C28" i="98" l="1"/>
  <c r="C30" i="96"/>
  <c r="D338" i="8"/>
  <c r="D393" i="8"/>
  <c r="D174" i="8"/>
  <c r="E111" i="66"/>
  <c r="E37" i="66"/>
  <c r="E161" i="65"/>
  <c r="E104" i="65"/>
  <c r="C79" i="60"/>
  <c r="D453" i="8"/>
  <c r="D228" i="8"/>
  <c r="D283" i="8"/>
  <c r="D387" i="8"/>
  <c r="D168" i="8"/>
  <c r="E105" i="66"/>
  <c r="E31" i="66"/>
  <c r="E155" i="65"/>
  <c r="E98" i="65"/>
  <c r="C73" i="60"/>
  <c r="D447" i="8"/>
  <c r="D222" i="8"/>
  <c r="D277" i="8"/>
  <c r="C22" i="98"/>
  <c r="C24" i="96"/>
  <c r="D332" i="8"/>
  <c r="D294" i="8"/>
  <c r="C39" i="98"/>
  <c r="C41" i="96"/>
  <c r="D349" i="8"/>
  <c r="D404" i="8"/>
  <c r="D185" i="8"/>
  <c r="E122" i="66"/>
  <c r="E48" i="66"/>
  <c r="E172" i="65"/>
  <c r="E115" i="65"/>
  <c r="C90" i="60"/>
  <c r="D464" i="8"/>
  <c r="D239" i="8"/>
  <c r="B37" i="77"/>
  <c r="C60" i="6" s="1"/>
  <c r="B69" i="80"/>
  <c r="D247" i="7" s="1"/>
  <c r="B70" i="80"/>
  <c r="E248" i="7" s="1"/>
  <c r="B71" i="80"/>
  <c r="E439" i="7" s="1"/>
  <c r="B72" i="80"/>
  <c r="E251" i="7" s="1"/>
  <c r="B73" i="80"/>
  <c r="E252" i="7" s="1"/>
  <c r="B51" i="80"/>
  <c r="F255" i="7" s="1"/>
  <c r="B53" i="80"/>
  <c r="H254" i="7" s="1"/>
  <c r="B54" i="80"/>
  <c r="K443" i="7" s="1"/>
  <c r="B55" i="80"/>
  <c r="N254" i="7" s="1"/>
  <c r="B50" i="80"/>
  <c r="E255" i="7" s="1"/>
  <c r="C41" i="10" l="1"/>
  <c r="E250" i="7"/>
  <c r="E440" i="7"/>
  <c r="E441" i="7"/>
  <c r="H443" i="7"/>
  <c r="N443" i="7"/>
  <c r="K254" i="7"/>
  <c r="F443" i="7"/>
  <c r="E443" i="7"/>
  <c r="G177" i="10"/>
  <c r="G176" i="10"/>
  <c r="C47" i="10"/>
  <c r="C48" i="10"/>
  <c r="C49" i="10"/>
  <c r="C50" i="10"/>
  <c r="C46" i="10"/>
  <c r="C40" i="10"/>
  <c r="C42" i="10"/>
  <c r="C43" i="10"/>
  <c r="C44" i="10"/>
  <c r="F422" i="7"/>
  <c r="D47" i="10" s="1"/>
  <c r="F423" i="7"/>
  <c r="D48" i="10" s="1"/>
  <c r="E48" i="10" s="1"/>
  <c r="F424" i="7"/>
  <c r="D49" i="10" s="1"/>
  <c r="E49" i="10" s="1"/>
  <c r="D446" i="7"/>
  <c r="D447" i="7"/>
  <c r="D448" i="7"/>
  <c r="D449" i="7"/>
  <c r="D450" i="7"/>
  <c r="B67" i="10"/>
  <c r="B57" i="10"/>
  <c r="B58" i="10"/>
  <c r="B59" i="10"/>
  <c r="B60" i="10"/>
  <c r="B61" i="10"/>
  <c r="B56" i="10"/>
  <c r="B39" i="10"/>
  <c r="B47" i="10"/>
  <c r="B48" i="10"/>
  <c r="B49" i="10"/>
  <c r="B50" i="10"/>
  <c r="B46" i="10"/>
  <c r="B40" i="10"/>
  <c r="B41" i="10"/>
  <c r="B42" i="10"/>
  <c r="B43" i="10"/>
  <c r="B44" i="10"/>
  <c r="B29" i="10"/>
  <c r="B93" i="10" s="1"/>
  <c r="B28" i="10"/>
  <c r="B92" i="10" s="1"/>
  <c r="B27" i="10"/>
  <c r="B91" i="10" s="1"/>
  <c r="B26" i="10"/>
  <c r="B90" i="10" s="1"/>
  <c r="B25" i="10"/>
  <c r="B89" i="10" s="1"/>
  <c r="B24" i="10"/>
  <c r="B88" i="10" s="1"/>
  <c r="B23" i="10"/>
  <c r="B87" i="10" s="1"/>
  <c r="B22" i="10"/>
  <c r="B86" i="10" s="1"/>
  <c r="B21" i="10"/>
  <c r="B85" i="10" s="1"/>
  <c r="B19" i="10"/>
  <c r="B83" i="10" s="1"/>
  <c r="B18" i="10"/>
  <c r="B82" i="10" s="1"/>
  <c r="B17" i="10"/>
  <c r="B81" i="10" s="1"/>
  <c r="B16" i="10"/>
  <c r="B80" i="10" s="1"/>
  <c r="B15" i="10"/>
  <c r="B79" i="10" s="1"/>
  <c r="B13" i="10"/>
  <c r="B9" i="10"/>
  <c r="B10" i="10"/>
  <c r="B11" i="10"/>
  <c r="B12" i="10"/>
  <c r="B58" i="80"/>
  <c r="B49" i="80"/>
  <c r="D445" i="7"/>
  <c r="D414" i="7"/>
  <c r="D457" i="7"/>
  <c r="D619" i="7"/>
  <c r="C427" i="10" s="1"/>
  <c r="D618" i="7"/>
  <c r="C426" i="10" s="1"/>
  <c r="D617" i="7"/>
  <c r="C425" i="10" s="1"/>
  <c r="D616" i="7"/>
  <c r="C424" i="10" s="1"/>
  <c r="D615" i="7"/>
  <c r="C423" i="10" s="1"/>
  <c r="D614" i="7"/>
  <c r="C422" i="10" s="1"/>
  <c r="D613" i="7"/>
  <c r="C421" i="10" s="1"/>
  <c r="D612" i="7"/>
  <c r="C420" i="10" s="1"/>
  <c r="D611" i="7"/>
  <c r="C419" i="10" s="1"/>
  <c r="D609" i="7"/>
  <c r="C417" i="10" s="1"/>
  <c r="D608" i="7"/>
  <c r="C416" i="10" s="1"/>
  <c r="D607" i="7"/>
  <c r="C415" i="10" s="1"/>
  <c r="D606" i="7"/>
  <c r="C414" i="10" s="1"/>
  <c r="D605" i="7"/>
  <c r="C413" i="10" s="1"/>
  <c r="D603" i="7"/>
  <c r="C411" i="10" s="1"/>
  <c r="D602" i="7"/>
  <c r="C410" i="10" s="1"/>
  <c r="D601" i="7"/>
  <c r="C409" i="10" s="1"/>
  <c r="D600" i="7"/>
  <c r="C408" i="10" s="1"/>
  <c r="D599" i="7"/>
  <c r="C407" i="10" s="1"/>
  <c r="D598" i="7"/>
  <c r="C406" i="10" s="1"/>
  <c r="D589" i="7"/>
  <c r="C392" i="10" s="1"/>
  <c r="D588" i="7"/>
  <c r="C391" i="10" s="1"/>
  <c r="D587" i="7"/>
  <c r="C390" i="10" s="1"/>
  <c r="D586" i="7"/>
  <c r="C389" i="10" s="1"/>
  <c r="D585" i="7"/>
  <c r="C388" i="10" s="1"/>
  <c r="D584" i="7"/>
  <c r="C387" i="10" s="1"/>
  <c r="D583" i="7"/>
  <c r="C386" i="10" s="1"/>
  <c r="D582" i="7"/>
  <c r="C385" i="10" s="1"/>
  <c r="D581" i="7"/>
  <c r="C384" i="10" s="1"/>
  <c r="D579" i="7"/>
  <c r="C382" i="10" s="1"/>
  <c r="D578" i="7"/>
  <c r="C381" i="10" s="1"/>
  <c r="D577" i="7"/>
  <c r="C380" i="10" s="1"/>
  <c r="D576" i="7"/>
  <c r="C379" i="10" s="1"/>
  <c r="D575" i="7"/>
  <c r="C378" i="10" s="1"/>
  <c r="D573" i="7"/>
  <c r="C376" i="10" s="1"/>
  <c r="D572" i="7"/>
  <c r="C375" i="10" s="1"/>
  <c r="D571" i="7"/>
  <c r="C374" i="10" s="1"/>
  <c r="D570" i="7"/>
  <c r="C373" i="10" s="1"/>
  <c r="D569" i="7"/>
  <c r="C372" i="10" s="1"/>
  <c r="D568" i="7"/>
  <c r="C371" i="10" s="1"/>
  <c r="D559" i="7"/>
  <c r="C357" i="10" s="1"/>
  <c r="D558" i="7"/>
  <c r="C356" i="10" s="1"/>
  <c r="D557" i="7"/>
  <c r="C355" i="10" s="1"/>
  <c r="D556" i="7"/>
  <c r="C354" i="10" s="1"/>
  <c r="D555" i="7"/>
  <c r="C353" i="10" s="1"/>
  <c r="D554" i="7"/>
  <c r="C352" i="10" s="1"/>
  <c r="D553" i="7"/>
  <c r="C351" i="10" s="1"/>
  <c r="D552" i="7"/>
  <c r="C350" i="10" s="1"/>
  <c r="D551" i="7"/>
  <c r="C349" i="10" s="1"/>
  <c r="D549" i="7"/>
  <c r="C347" i="10" s="1"/>
  <c r="D548" i="7"/>
  <c r="C346" i="10" s="1"/>
  <c r="D547" i="7"/>
  <c r="C345" i="10" s="1"/>
  <c r="D546" i="7"/>
  <c r="C344" i="10" s="1"/>
  <c r="D545" i="7"/>
  <c r="C343" i="10" s="1"/>
  <c r="D543" i="7"/>
  <c r="C341" i="10" s="1"/>
  <c r="D542" i="7"/>
  <c r="C340" i="10" s="1"/>
  <c r="D541" i="7"/>
  <c r="C339" i="10" s="1"/>
  <c r="D540" i="7"/>
  <c r="C338" i="10" s="1"/>
  <c r="D539" i="7"/>
  <c r="C337" i="10" s="1"/>
  <c r="D538" i="7"/>
  <c r="C336" i="10" s="1"/>
  <c r="D529" i="7"/>
  <c r="D528" i="7"/>
  <c r="C321" i="10" s="1"/>
  <c r="D527" i="7"/>
  <c r="C320" i="10" s="1"/>
  <c r="D526" i="7"/>
  <c r="C319" i="10" s="1"/>
  <c r="D525" i="7"/>
  <c r="C318" i="10" s="1"/>
  <c r="D524" i="7"/>
  <c r="C317" i="10" s="1"/>
  <c r="D523" i="7"/>
  <c r="C316" i="10" s="1"/>
  <c r="D522" i="7"/>
  <c r="C315" i="10" s="1"/>
  <c r="D521" i="7"/>
  <c r="C314" i="10" s="1"/>
  <c r="D519" i="7"/>
  <c r="C312" i="10" s="1"/>
  <c r="D518" i="7"/>
  <c r="C311" i="10" s="1"/>
  <c r="D517" i="7"/>
  <c r="C310" i="10" s="1"/>
  <c r="D516" i="7"/>
  <c r="C309" i="10" s="1"/>
  <c r="D515" i="7"/>
  <c r="C308" i="10" s="1"/>
  <c r="D513" i="7"/>
  <c r="C306" i="10" s="1"/>
  <c r="D512" i="7"/>
  <c r="C305" i="10" s="1"/>
  <c r="D511" i="7"/>
  <c r="C304" i="10" s="1"/>
  <c r="D510" i="7"/>
  <c r="C303" i="10" s="1"/>
  <c r="D509" i="7"/>
  <c r="C302" i="10" s="1"/>
  <c r="D508" i="7"/>
  <c r="C301" i="10" s="1"/>
  <c r="D464" i="7"/>
  <c r="E464" i="7" s="1"/>
  <c r="D465" i="7"/>
  <c r="E465" i="7" s="1"/>
  <c r="D466" i="7"/>
  <c r="E466" i="7" s="1"/>
  <c r="D467" i="7"/>
  <c r="D468" i="7"/>
  <c r="E468" i="7" s="1"/>
  <c r="D469" i="7"/>
  <c r="E469" i="7" s="1"/>
  <c r="D470" i="7"/>
  <c r="E470" i="7" s="1"/>
  <c r="D471" i="7"/>
  <c r="E471" i="7" s="1"/>
  <c r="D463" i="7"/>
  <c r="E463" i="7" s="1"/>
  <c r="D458" i="7"/>
  <c r="D459" i="7"/>
  <c r="D460" i="7"/>
  <c r="D461" i="7"/>
  <c r="D422" i="7"/>
  <c r="D423" i="7"/>
  <c r="D424" i="7"/>
  <c r="D425" i="7"/>
  <c r="D421" i="7"/>
  <c r="M139" i="66"/>
  <c r="L139" i="66"/>
  <c r="K139" i="66"/>
  <c r="J139" i="66"/>
  <c r="I139" i="66"/>
  <c r="H139" i="66"/>
  <c r="F139" i="66"/>
  <c r="M138" i="66"/>
  <c r="L138" i="66"/>
  <c r="K138" i="66"/>
  <c r="J138" i="66"/>
  <c r="I138" i="66"/>
  <c r="H138" i="66"/>
  <c r="F138" i="66"/>
  <c r="M137" i="66"/>
  <c r="L137" i="66"/>
  <c r="K137" i="66"/>
  <c r="J137" i="66"/>
  <c r="I137" i="66"/>
  <c r="H137" i="66"/>
  <c r="F137" i="66"/>
  <c r="M136" i="66"/>
  <c r="L136" i="66"/>
  <c r="K136" i="66"/>
  <c r="J136" i="66"/>
  <c r="I136" i="66"/>
  <c r="H136" i="66"/>
  <c r="F136" i="66"/>
  <c r="M135" i="66"/>
  <c r="L135" i="66"/>
  <c r="K135" i="66"/>
  <c r="J135" i="66"/>
  <c r="I135" i="66"/>
  <c r="H135" i="66"/>
  <c r="F135" i="66"/>
  <c r="M134" i="66"/>
  <c r="L134" i="66"/>
  <c r="K134" i="66"/>
  <c r="J134" i="66"/>
  <c r="I134" i="66"/>
  <c r="H134" i="66"/>
  <c r="F134" i="66"/>
  <c r="M133" i="66"/>
  <c r="L133" i="66"/>
  <c r="K133" i="66"/>
  <c r="J133" i="66"/>
  <c r="I133" i="66"/>
  <c r="H133" i="66"/>
  <c r="F133" i="66"/>
  <c r="M132" i="66"/>
  <c r="L132" i="66"/>
  <c r="K132" i="66"/>
  <c r="J132" i="66"/>
  <c r="I132" i="66"/>
  <c r="H132" i="66"/>
  <c r="F132" i="66"/>
  <c r="L130" i="66"/>
  <c r="K130" i="66"/>
  <c r="J130" i="66"/>
  <c r="I130" i="66"/>
  <c r="H130" i="66"/>
  <c r="F130" i="66"/>
  <c r="L129" i="66"/>
  <c r="K129" i="66"/>
  <c r="J129" i="66"/>
  <c r="I129" i="66"/>
  <c r="H129" i="66"/>
  <c r="G129" i="66"/>
  <c r="F129" i="66"/>
  <c r="L128" i="66"/>
  <c r="K128" i="66"/>
  <c r="J128" i="66"/>
  <c r="I128" i="66"/>
  <c r="H128" i="66"/>
  <c r="F128" i="66"/>
  <c r="L127" i="66"/>
  <c r="K127" i="66"/>
  <c r="J127" i="66"/>
  <c r="I127" i="66"/>
  <c r="H127" i="66"/>
  <c r="F127" i="66"/>
  <c r="L126" i="66"/>
  <c r="K126" i="66"/>
  <c r="J126" i="66"/>
  <c r="I126" i="66"/>
  <c r="H126" i="66"/>
  <c r="F126" i="66"/>
  <c r="L125" i="66"/>
  <c r="K125" i="66"/>
  <c r="J125" i="66"/>
  <c r="I125" i="66"/>
  <c r="H125" i="66"/>
  <c r="F125" i="66"/>
  <c r="L124" i="66"/>
  <c r="K124" i="66"/>
  <c r="J124" i="66"/>
  <c r="I124" i="66"/>
  <c r="H124" i="66"/>
  <c r="F124" i="66"/>
  <c r="L123" i="66"/>
  <c r="K123" i="66"/>
  <c r="J123" i="66"/>
  <c r="I123" i="66"/>
  <c r="H123" i="66"/>
  <c r="F123" i="66"/>
  <c r="L122" i="66"/>
  <c r="K122" i="66"/>
  <c r="J122" i="66"/>
  <c r="I122" i="66"/>
  <c r="H122" i="66"/>
  <c r="F122" i="66"/>
  <c r="L121" i="66"/>
  <c r="K121" i="66"/>
  <c r="J121" i="66"/>
  <c r="I121" i="66"/>
  <c r="H121" i="66"/>
  <c r="F121" i="66"/>
  <c r="L120" i="66"/>
  <c r="K120" i="66"/>
  <c r="J120" i="66"/>
  <c r="I120" i="66"/>
  <c r="H120" i="66"/>
  <c r="F120" i="66"/>
  <c r="L119" i="66"/>
  <c r="K119" i="66"/>
  <c r="J119" i="66"/>
  <c r="I119" i="66"/>
  <c r="H119" i="66"/>
  <c r="F119" i="66"/>
  <c r="L118" i="66"/>
  <c r="K118" i="66"/>
  <c r="J118" i="66"/>
  <c r="I118" i="66"/>
  <c r="H118" i="66"/>
  <c r="F118" i="66"/>
  <c r="L117" i="66"/>
  <c r="K117" i="66"/>
  <c r="J117" i="66"/>
  <c r="I117" i="66"/>
  <c r="H117" i="66"/>
  <c r="F117" i="66"/>
  <c r="L116" i="66"/>
  <c r="K116" i="66"/>
  <c r="J116" i="66"/>
  <c r="I116" i="66"/>
  <c r="H116" i="66"/>
  <c r="F116" i="66"/>
  <c r="L115" i="66"/>
  <c r="K115" i="66"/>
  <c r="J115" i="66"/>
  <c r="I115" i="66"/>
  <c r="H115" i="66"/>
  <c r="F115" i="66"/>
  <c r="L114" i="66"/>
  <c r="K114" i="66"/>
  <c r="J114" i="66"/>
  <c r="I114" i="66"/>
  <c r="H114" i="66"/>
  <c r="F114" i="66"/>
  <c r="L113" i="66"/>
  <c r="K113" i="66"/>
  <c r="J113" i="66"/>
  <c r="I113" i="66"/>
  <c r="H113" i="66"/>
  <c r="F113" i="66"/>
  <c r="L112" i="66"/>
  <c r="K112" i="66"/>
  <c r="J112" i="66"/>
  <c r="I112" i="66"/>
  <c r="H112" i="66"/>
  <c r="F112" i="66"/>
  <c r="L111" i="66"/>
  <c r="K111" i="66"/>
  <c r="J111" i="66"/>
  <c r="I111" i="66"/>
  <c r="H111" i="66"/>
  <c r="F111" i="66"/>
  <c r="L110" i="66"/>
  <c r="K110" i="66"/>
  <c r="J110" i="66"/>
  <c r="I110" i="66"/>
  <c r="H110" i="66"/>
  <c r="F110" i="66"/>
  <c r="L109" i="66"/>
  <c r="K109" i="66"/>
  <c r="J109" i="66"/>
  <c r="I109" i="66"/>
  <c r="H109" i="66"/>
  <c r="F109" i="66"/>
  <c r="L108" i="66"/>
  <c r="K108" i="66"/>
  <c r="J108" i="66"/>
  <c r="I108" i="66"/>
  <c r="H108" i="66"/>
  <c r="F108" i="66"/>
  <c r="L107" i="66"/>
  <c r="K107" i="66"/>
  <c r="J107" i="66"/>
  <c r="I107" i="66"/>
  <c r="H107" i="66"/>
  <c r="F107" i="66"/>
  <c r="L106" i="66"/>
  <c r="K106" i="66"/>
  <c r="J106" i="66"/>
  <c r="I106" i="66"/>
  <c r="H106" i="66"/>
  <c r="G106" i="66"/>
  <c r="F106" i="66"/>
  <c r="L105" i="66"/>
  <c r="K105" i="66"/>
  <c r="J105" i="66"/>
  <c r="I105" i="66"/>
  <c r="H105" i="66"/>
  <c r="G105" i="66"/>
  <c r="F105" i="66"/>
  <c r="L104" i="66"/>
  <c r="K104" i="66"/>
  <c r="J104" i="66"/>
  <c r="I104" i="66"/>
  <c r="H104" i="66"/>
  <c r="F104" i="66"/>
  <c r="L103" i="66"/>
  <c r="K103" i="66"/>
  <c r="J103" i="66"/>
  <c r="I103" i="66"/>
  <c r="H103" i="66"/>
  <c r="F103" i="66"/>
  <c r="L102" i="66"/>
  <c r="K102" i="66"/>
  <c r="J102" i="66"/>
  <c r="I102" i="66"/>
  <c r="H102" i="66"/>
  <c r="F102" i="66"/>
  <c r="L101" i="66"/>
  <c r="K101" i="66"/>
  <c r="J101" i="66"/>
  <c r="I101" i="66"/>
  <c r="H101" i="66"/>
  <c r="F101" i="66"/>
  <c r="L100" i="66"/>
  <c r="K100" i="66"/>
  <c r="J100" i="66"/>
  <c r="I100" i="66"/>
  <c r="H100" i="66"/>
  <c r="F100" i="66"/>
  <c r="L99" i="66"/>
  <c r="K99" i="66"/>
  <c r="J99" i="66"/>
  <c r="I99" i="66"/>
  <c r="H99" i="66"/>
  <c r="F99" i="66"/>
  <c r="L98" i="66"/>
  <c r="K98" i="66"/>
  <c r="J98" i="66"/>
  <c r="I98" i="66"/>
  <c r="H98" i="66"/>
  <c r="F98" i="66"/>
  <c r="L97" i="66"/>
  <c r="K97" i="66"/>
  <c r="J97" i="66"/>
  <c r="I97" i="66"/>
  <c r="H97" i="66"/>
  <c r="F97" i="66"/>
  <c r="L96" i="66"/>
  <c r="K96" i="66"/>
  <c r="J96" i="66"/>
  <c r="I96" i="66"/>
  <c r="H96" i="66"/>
  <c r="F96" i="66"/>
  <c r="L95" i="66"/>
  <c r="K95" i="66"/>
  <c r="J95" i="66"/>
  <c r="I95" i="66"/>
  <c r="H95" i="66"/>
  <c r="F95" i="66"/>
  <c r="L94" i="66"/>
  <c r="K94" i="66"/>
  <c r="J94" i="66"/>
  <c r="I94" i="66"/>
  <c r="H94" i="66"/>
  <c r="F94" i="66"/>
  <c r="L93" i="66"/>
  <c r="K93" i="66"/>
  <c r="J93" i="66"/>
  <c r="I93" i="66"/>
  <c r="H93" i="66"/>
  <c r="F93" i="66"/>
  <c r="L92" i="66"/>
  <c r="K92" i="66"/>
  <c r="J92" i="66"/>
  <c r="I92" i="66"/>
  <c r="H92" i="66"/>
  <c r="F92" i="66"/>
  <c r="L91" i="66"/>
  <c r="K91" i="66"/>
  <c r="J91" i="66"/>
  <c r="I91" i="66"/>
  <c r="H91" i="66"/>
  <c r="F91" i="66"/>
  <c r="L90" i="66"/>
  <c r="K90" i="66"/>
  <c r="J90" i="66"/>
  <c r="I90" i="66"/>
  <c r="H90" i="66"/>
  <c r="F90" i="66"/>
  <c r="D419" i="7"/>
  <c r="D415" i="7"/>
  <c r="D416" i="7"/>
  <c r="D417" i="7"/>
  <c r="D418" i="7"/>
  <c r="AV41" i="7"/>
  <c r="E213" i="7" l="1"/>
  <c r="O255" i="7"/>
  <c r="I255" i="7"/>
  <c r="L444" i="7"/>
  <c r="L255" i="7"/>
  <c r="O444" i="7"/>
  <c r="F412" i="7"/>
  <c r="E344" i="7"/>
  <c r="I444" i="7"/>
  <c r="E412" i="7"/>
  <c r="F455" i="7"/>
  <c r="F270" i="7"/>
  <c r="F369" i="7"/>
  <c r="C65" i="10"/>
  <c r="D65" i="10" s="1"/>
  <c r="C66" i="10"/>
  <c r="D66" i="10" s="1"/>
  <c r="D257" i="7" l="1"/>
  <c r="D258" i="7"/>
  <c r="D259" i="7"/>
  <c r="D260" i="7"/>
  <c r="D261" i="7"/>
  <c r="D262" i="7"/>
  <c r="D263" i="7"/>
  <c r="D264" i="7"/>
  <c r="D265" i="7"/>
  <c r="D266" i="7"/>
  <c r="D256" i="7"/>
  <c r="D228" i="7"/>
  <c r="D229" i="7"/>
  <c r="D230" i="7"/>
  <c r="D231" i="7"/>
  <c r="D232" i="7"/>
  <c r="D233" i="7"/>
  <c r="D234" i="7"/>
  <c r="D227"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283" i="7"/>
  <c r="D273" i="7"/>
  <c r="D274" i="7"/>
  <c r="D275" i="7"/>
  <c r="D276" i="7"/>
  <c r="E276" i="7" s="1"/>
  <c r="D277" i="7"/>
  <c r="E277" i="7" s="1"/>
  <c r="D278" i="7"/>
  <c r="E278" i="7" s="1"/>
  <c r="D279" i="7"/>
  <c r="D280" i="7"/>
  <c r="E280" i="7" s="1"/>
  <c r="D281" i="7"/>
  <c r="E281" i="7" s="1"/>
  <c r="D272" i="7"/>
  <c r="D216" i="7"/>
  <c r="D217" i="7"/>
  <c r="D218" i="7"/>
  <c r="D219" i="7"/>
  <c r="D220" i="7"/>
  <c r="D221" i="7"/>
  <c r="D222" i="7"/>
  <c r="D223" i="7"/>
  <c r="D224" i="7"/>
  <c r="D225" i="7"/>
  <c r="D215"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41" i="7"/>
  <c r="D131" i="7"/>
  <c r="D132" i="7"/>
  <c r="D133" i="7"/>
  <c r="D134" i="7"/>
  <c r="D135" i="7"/>
  <c r="D136" i="7"/>
  <c r="D137" i="7"/>
  <c r="D138" i="7"/>
  <c r="D139" i="7"/>
  <c r="D130" i="7"/>
  <c r="D119" i="7"/>
  <c r="D120" i="7"/>
  <c r="D121" i="7"/>
  <c r="D122" i="7"/>
  <c r="D123" i="7"/>
  <c r="D124" i="7"/>
  <c r="D125" i="7"/>
  <c r="D126" i="7"/>
  <c r="D127" i="7"/>
  <c r="D128" i="7"/>
  <c r="D118" i="7"/>
  <c r="AV102" i="7"/>
  <c r="M76" i="65"/>
  <c r="O10" i="65"/>
  <c r="B98" i="84"/>
  <c r="B99" i="84"/>
  <c r="N421" i="8"/>
  <c r="M61" i="68" s="1"/>
  <c r="L421" i="8"/>
  <c r="N420" i="8"/>
  <c r="M60" i="68" s="1"/>
  <c r="L420" i="8"/>
  <c r="N419" i="8"/>
  <c r="M59" i="68" s="1"/>
  <c r="L419" i="8"/>
  <c r="N418" i="8"/>
  <c r="M58" i="68" s="1"/>
  <c r="L418" i="8"/>
  <c r="N417" i="8"/>
  <c r="M57" i="68" s="1"/>
  <c r="L417" i="8"/>
  <c r="N416" i="8"/>
  <c r="M56" i="68" s="1"/>
  <c r="L416" i="8"/>
  <c r="N415" i="8"/>
  <c r="M55" i="68" s="1"/>
  <c r="L415" i="8"/>
  <c r="N414" i="8"/>
  <c r="M54" i="68" s="1"/>
  <c r="L414" i="8"/>
  <c r="L373" i="8"/>
  <c r="N373" i="8"/>
  <c r="M14" i="68" s="1"/>
  <c r="L374" i="8"/>
  <c r="N374" i="8"/>
  <c r="M15" i="68" s="1"/>
  <c r="L375" i="8"/>
  <c r="N375" i="8"/>
  <c r="M16" i="68" s="1"/>
  <c r="L376" i="8"/>
  <c r="N376" i="8"/>
  <c r="M17" i="68" s="1"/>
  <c r="L377" i="8"/>
  <c r="N377" i="8"/>
  <c r="M18" i="68" s="1"/>
  <c r="L378" i="8"/>
  <c r="N378" i="8"/>
  <c r="M19" i="68" s="1"/>
  <c r="L379" i="8"/>
  <c r="N379" i="8"/>
  <c r="M20" i="68" s="1"/>
  <c r="L380" i="8"/>
  <c r="N380" i="8"/>
  <c r="M21" i="68" s="1"/>
  <c r="L381" i="8"/>
  <c r="N381" i="8"/>
  <c r="M22" i="68" s="1"/>
  <c r="L382" i="8"/>
  <c r="N382" i="8"/>
  <c r="M23" i="68" s="1"/>
  <c r="L383" i="8"/>
  <c r="N383" i="8"/>
  <c r="M24" i="68" s="1"/>
  <c r="L384" i="8"/>
  <c r="N384" i="8"/>
  <c r="M25" i="68" s="1"/>
  <c r="L385" i="8"/>
  <c r="N385" i="8"/>
  <c r="M26" i="68" s="1"/>
  <c r="L386" i="8"/>
  <c r="N386" i="8"/>
  <c r="M27" i="68" s="1"/>
  <c r="L387" i="8"/>
  <c r="N387" i="8"/>
  <c r="M28" i="68" s="1"/>
  <c r="L388" i="8"/>
  <c r="N388" i="8"/>
  <c r="M29" i="68" s="1"/>
  <c r="L389" i="8"/>
  <c r="N389" i="8"/>
  <c r="M30" i="68" s="1"/>
  <c r="L390" i="8"/>
  <c r="N390" i="8"/>
  <c r="M31" i="68" s="1"/>
  <c r="L391" i="8"/>
  <c r="N391" i="8"/>
  <c r="M32" i="68" s="1"/>
  <c r="L392" i="8"/>
  <c r="N392" i="8"/>
  <c r="M33" i="68" s="1"/>
  <c r="L393" i="8"/>
  <c r="N393" i="8"/>
  <c r="M34" i="68" s="1"/>
  <c r="L394" i="8"/>
  <c r="N394" i="8"/>
  <c r="M35" i="68" s="1"/>
  <c r="L395" i="8"/>
  <c r="N395" i="8"/>
  <c r="M36" i="68" s="1"/>
  <c r="L396" i="8"/>
  <c r="N396" i="8"/>
  <c r="M37" i="68" s="1"/>
  <c r="L397" i="8"/>
  <c r="N397" i="8"/>
  <c r="M38" i="68" s="1"/>
  <c r="L398" i="8"/>
  <c r="N398" i="8"/>
  <c r="M39" i="68" s="1"/>
  <c r="L399" i="8"/>
  <c r="N399" i="8"/>
  <c r="M40" i="68" s="1"/>
  <c r="L400" i="8"/>
  <c r="N400" i="8"/>
  <c r="M41" i="68" s="1"/>
  <c r="L401" i="8"/>
  <c r="N401" i="8"/>
  <c r="M42" i="68" s="1"/>
  <c r="L402" i="8"/>
  <c r="N402" i="8"/>
  <c r="M43" i="68" s="1"/>
  <c r="L403" i="8"/>
  <c r="N403" i="8"/>
  <c r="M44" i="68" s="1"/>
  <c r="L404" i="8"/>
  <c r="N404" i="8"/>
  <c r="M45" i="68" s="1"/>
  <c r="L405" i="8"/>
  <c r="N405" i="8"/>
  <c r="M46" i="68" s="1"/>
  <c r="L406" i="8"/>
  <c r="N406" i="8"/>
  <c r="M47" i="68" s="1"/>
  <c r="L407" i="8"/>
  <c r="N407" i="8"/>
  <c r="M48" i="68" s="1"/>
  <c r="L408" i="8"/>
  <c r="N408" i="8"/>
  <c r="M49" i="68" s="1"/>
  <c r="L409" i="8"/>
  <c r="N409" i="8"/>
  <c r="M50" i="68" s="1"/>
  <c r="L410" i="8"/>
  <c r="N410" i="8"/>
  <c r="M51" i="68" s="1"/>
  <c r="L411" i="8"/>
  <c r="N411" i="8"/>
  <c r="M52" i="68" s="1"/>
  <c r="L412" i="8"/>
  <c r="N412" i="8"/>
  <c r="M53" i="68" s="1"/>
  <c r="N372" i="8"/>
  <c r="M13" i="68" s="1"/>
  <c r="L372" i="8"/>
  <c r="K421" i="8"/>
  <c r="J421" i="8"/>
  <c r="I421" i="8"/>
  <c r="H421" i="8"/>
  <c r="G421" i="8"/>
  <c r="E421" i="8"/>
  <c r="K420" i="8"/>
  <c r="J420" i="8"/>
  <c r="I420" i="8"/>
  <c r="H420" i="8"/>
  <c r="G420" i="8"/>
  <c r="E420" i="8"/>
  <c r="K419" i="8"/>
  <c r="J419" i="8"/>
  <c r="I419" i="8"/>
  <c r="H419" i="8"/>
  <c r="G419" i="8"/>
  <c r="E419" i="8"/>
  <c r="K418" i="8"/>
  <c r="J418" i="8"/>
  <c r="I418" i="8"/>
  <c r="H418" i="8"/>
  <c r="G418" i="8"/>
  <c r="E418" i="8"/>
  <c r="K417" i="8"/>
  <c r="J417" i="8"/>
  <c r="I417" i="8"/>
  <c r="H417" i="8"/>
  <c r="G417" i="8"/>
  <c r="E417" i="8"/>
  <c r="K416" i="8"/>
  <c r="J416" i="8"/>
  <c r="I416" i="8"/>
  <c r="H416" i="8"/>
  <c r="G416" i="8"/>
  <c r="E416" i="8"/>
  <c r="K415" i="8"/>
  <c r="J415" i="8"/>
  <c r="I415" i="8"/>
  <c r="H415" i="8"/>
  <c r="G415" i="8"/>
  <c r="E415" i="8"/>
  <c r="K414" i="8"/>
  <c r="J414" i="8"/>
  <c r="I414" i="8"/>
  <c r="H414" i="8"/>
  <c r="G414" i="8"/>
  <c r="E414" i="8"/>
  <c r="E373" i="8"/>
  <c r="G373" i="8"/>
  <c r="H373" i="8"/>
  <c r="I373" i="8"/>
  <c r="J373" i="8"/>
  <c r="K373" i="8"/>
  <c r="E374" i="8"/>
  <c r="G374" i="8"/>
  <c r="H374" i="8"/>
  <c r="I374" i="8"/>
  <c r="J374" i="8"/>
  <c r="K374" i="8"/>
  <c r="E375" i="8"/>
  <c r="G375" i="8"/>
  <c r="H375" i="8"/>
  <c r="I375" i="8"/>
  <c r="J375" i="8"/>
  <c r="K375" i="8"/>
  <c r="E376" i="8"/>
  <c r="G376" i="8"/>
  <c r="H376" i="8"/>
  <c r="I376" i="8"/>
  <c r="J376" i="8"/>
  <c r="K376" i="8"/>
  <c r="E377" i="8"/>
  <c r="G377" i="8"/>
  <c r="H377" i="8"/>
  <c r="I377" i="8"/>
  <c r="J377" i="8"/>
  <c r="K377" i="8"/>
  <c r="E378" i="8"/>
  <c r="G378" i="8"/>
  <c r="H378" i="8"/>
  <c r="I378" i="8"/>
  <c r="J378" i="8"/>
  <c r="K378" i="8"/>
  <c r="E379" i="8"/>
  <c r="G379" i="8"/>
  <c r="H379" i="8"/>
  <c r="I379" i="8"/>
  <c r="J379" i="8"/>
  <c r="K379" i="8"/>
  <c r="E380" i="8"/>
  <c r="G380" i="8"/>
  <c r="H380" i="8"/>
  <c r="I380" i="8"/>
  <c r="J380" i="8"/>
  <c r="K380" i="8"/>
  <c r="E381" i="8"/>
  <c r="G381" i="8"/>
  <c r="H381" i="8"/>
  <c r="I381" i="8"/>
  <c r="J381" i="8"/>
  <c r="K381" i="8"/>
  <c r="E382" i="8"/>
  <c r="G382" i="8"/>
  <c r="H382" i="8"/>
  <c r="I382" i="8"/>
  <c r="J382" i="8"/>
  <c r="K382" i="8"/>
  <c r="E383" i="8"/>
  <c r="G383" i="8"/>
  <c r="H383" i="8"/>
  <c r="I383" i="8"/>
  <c r="J383" i="8"/>
  <c r="K383" i="8"/>
  <c r="E384" i="8"/>
  <c r="G384" i="8"/>
  <c r="H384" i="8"/>
  <c r="I384" i="8"/>
  <c r="J384" i="8"/>
  <c r="K384" i="8"/>
  <c r="E385" i="8"/>
  <c r="G385" i="8"/>
  <c r="H385" i="8"/>
  <c r="I385" i="8"/>
  <c r="J385" i="8"/>
  <c r="K385" i="8"/>
  <c r="E386" i="8"/>
  <c r="G386" i="8"/>
  <c r="H386" i="8"/>
  <c r="I386" i="8"/>
  <c r="J386" i="8"/>
  <c r="K386" i="8"/>
  <c r="E387" i="8"/>
  <c r="F387" i="8"/>
  <c r="G387" i="8"/>
  <c r="H387" i="8"/>
  <c r="I387" i="8"/>
  <c r="J387" i="8"/>
  <c r="K387" i="8"/>
  <c r="E388" i="8"/>
  <c r="F388" i="8"/>
  <c r="G388" i="8"/>
  <c r="H388" i="8"/>
  <c r="I388" i="8"/>
  <c r="J388" i="8"/>
  <c r="K388" i="8"/>
  <c r="E389" i="8"/>
  <c r="G389" i="8"/>
  <c r="H389" i="8"/>
  <c r="I389" i="8"/>
  <c r="J389" i="8"/>
  <c r="K389" i="8"/>
  <c r="E390" i="8"/>
  <c r="G390" i="8"/>
  <c r="H390" i="8"/>
  <c r="I390" i="8"/>
  <c r="J390" i="8"/>
  <c r="K390" i="8"/>
  <c r="E391" i="8"/>
  <c r="G391" i="8"/>
  <c r="H391" i="8"/>
  <c r="I391" i="8"/>
  <c r="J391" i="8"/>
  <c r="K391" i="8"/>
  <c r="E392" i="8"/>
  <c r="G392" i="8"/>
  <c r="H392" i="8"/>
  <c r="I392" i="8"/>
  <c r="J392" i="8"/>
  <c r="K392" i="8"/>
  <c r="E393" i="8"/>
  <c r="G393" i="8"/>
  <c r="H393" i="8"/>
  <c r="I393" i="8"/>
  <c r="J393" i="8"/>
  <c r="K393" i="8"/>
  <c r="E394" i="8"/>
  <c r="G394" i="8"/>
  <c r="H394" i="8"/>
  <c r="I394" i="8"/>
  <c r="J394" i="8"/>
  <c r="K394" i="8"/>
  <c r="E395" i="8"/>
  <c r="G395" i="8"/>
  <c r="H395" i="8"/>
  <c r="I395" i="8"/>
  <c r="J395" i="8"/>
  <c r="K395" i="8"/>
  <c r="E396" i="8"/>
  <c r="G396" i="8"/>
  <c r="H396" i="8"/>
  <c r="I396" i="8"/>
  <c r="J396" i="8"/>
  <c r="K396" i="8"/>
  <c r="E397" i="8"/>
  <c r="G397" i="8"/>
  <c r="H397" i="8"/>
  <c r="I397" i="8"/>
  <c r="J397" i="8"/>
  <c r="K397" i="8"/>
  <c r="E398" i="8"/>
  <c r="G398" i="8"/>
  <c r="H398" i="8"/>
  <c r="I398" i="8"/>
  <c r="J398" i="8"/>
  <c r="K398" i="8"/>
  <c r="E399" i="8"/>
  <c r="G399" i="8"/>
  <c r="H399" i="8"/>
  <c r="I399" i="8"/>
  <c r="J399" i="8"/>
  <c r="K399" i="8"/>
  <c r="E400" i="8"/>
  <c r="G400" i="8"/>
  <c r="H400" i="8"/>
  <c r="I400" i="8"/>
  <c r="J400" i="8"/>
  <c r="K400" i="8"/>
  <c r="E401" i="8"/>
  <c r="G401" i="8"/>
  <c r="H401" i="8"/>
  <c r="I401" i="8"/>
  <c r="J401" i="8"/>
  <c r="K401" i="8"/>
  <c r="E402" i="8"/>
  <c r="G402" i="8"/>
  <c r="H402" i="8"/>
  <c r="I402" i="8"/>
  <c r="J402" i="8"/>
  <c r="K402" i="8"/>
  <c r="E403" i="8"/>
  <c r="G403" i="8"/>
  <c r="H403" i="8"/>
  <c r="I403" i="8"/>
  <c r="J403" i="8"/>
  <c r="K403" i="8"/>
  <c r="E404" i="8"/>
  <c r="G404" i="8"/>
  <c r="H404" i="8"/>
  <c r="I404" i="8"/>
  <c r="J404" i="8"/>
  <c r="K404" i="8"/>
  <c r="E405" i="8"/>
  <c r="G405" i="8"/>
  <c r="H405" i="8"/>
  <c r="I405" i="8"/>
  <c r="J405" i="8"/>
  <c r="K405" i="8"/>
  <c r="E406" i="8"/>
  <c r="G406" i="8"/>
  <c r="H406" i="8"/>
  <c r="I406" i="8"/>
  <c r="J406" i="8"/>
  <c r="K406" i="8"/>
  <c r="E407" i="8"/>
  <c r="G407" i="8"/>
  <c r="H407" i="8"/>
  <c r="I407" i="8"/>
  <c r="J407" i="8"/>
  <c r="K407" i="8"/>
  <c r="E408" i="8"/>
  <c r="G408" i="8"/>
  <c r="H408" i="8"/>
  <c r="I408" i="8"/>
  <c r="J408" i="8"/>
  <c r="K408" i="8"/>
  <c r="E409" i="8"/>
  <c r="G409" i="8"/>
  <c r="H409" i="8"/>
  <c r="I409" i="8"/>
  <c r="J409" i="8"/>
  <c r="K409" i="8"/>
  <c r="E410" i="8"/>
  <c r="G410" i="8"/>
  <c r="H410" i="8"/>
  <c r="I410" i="8"/>
  <c r="J410" i="8"/>
  <c r="K410" i="8"/>
  <c r="E411" i="8"/>
  <c r="F411" i="8"/>
  <c r="G411" i="8"/>
  <c r="H411" i="8"/>
  <c r="I411" i="8"/>
  <c r="J411" i="8"/>
  <c r="K411" i="8"/>
  <c r="E412" i="8"/>
  <c r="G412" i="8"/>
  <c r="H412" i="8"/>
  <c r="I412" i="8"/>
  <c r="J412" i="8"/>
  <c r="K412" i="8"/>
  <c r="K372" i="8"/>
  <c r="J372" i="8"/>
  <c r="I372" i="8"/>
  <c r="H372" i="8"/>
  <c r="G372" i="8"/>
  <c r="E372" i="8"/>
  <c r="K432" i="8"/>
  <c r="J432" i="8"/>
  <c r="I432" i="8"/>
  <c r="H432" i="8"/>
  <c r="G432" i="8"/>
  <c r="E432" i="8"/>
  <c r="B92" i="84"/>
  <c r="B60" i="80"/>
  <c r="E211" i="7" s="1"/>
  <c r="L41" i="74"/>
  <c r="L27" i="74"/>
  <c r="L21" i="74"/>
  <c r="L41" i="45"/>
  <c r="L27" i="45"/>
  <c r="L21" i="45"/>
  <c r="B16" i="86"/>
  <c r="L6" i="45" s="1"/>
  <c r="B99" i="89"/>
  <c r="D46" i="60" s="1"/>
  <c r="B69" i="89"/>
  <c r="I11" i="48" s="1"/>
  <c r="B70" i="89"/>
  <c r="I12" i="48" s="1"/>
  <c r="B65" i="89"/>
  <c r="G11" i="48" s="1"/>
  <c r="B64" i="89"/>
  <c r="M44" i="60" s="1"/>
  <c r="B68" i="89"/>
  <c r="B86" i="89"/>
  <c r="O23" i="48" s="1"/>
  <c r="B85" i="89"/>
  <c r="M23" i="48" s="1"/>
  <c r="B84" i="89"/>
  <c r="K23" i="48" s="1"/>
  <c r="B83" i="89"/>
  <c r="I23" i="48" s="1"/>
  <c r="B82" i="89"/>
  <c r="G23" i="48" s="1"/>
  <c r="B81" i="89"/>
  <c r="E23" i="48" s="1"/>
  <c r="B80" i="89"/>
  <c r="C23" i="48" s="1"/>
  <c r="B67" i="89"/>
  <c r="O45" i="60" s="1"/>
  <c r="O38" i="60"/>
  <c r="O37" i="60"/>
  <c r="O33" i="60"/>
  <c r="O32" i="60"/>
  <c r="O26" i="60"/>
  <c r="O21" i="60"/>
  <c r="O17" i="60"/>
  <c r="B88" i="87"/>
  <c r="M6" i="11" s="1"/>
  <c r="B22" i="83"/>
  <c r="G8" i="68" s="1"/>
  <c r="H262" i="8"/>
  <c r="B3" i="83"/>
  <c r="G5" i="68" s="1"/>
  <c r="B2" i="83"/>
  <c r="G4" i="68" s="1"/>
  <c r="L50" i="96" l="1"/>
  <c r="L8" i="96"/>
  <c r="M420" i="8"/>
  <c r="J60" i="68" s="1"/>
  <c r="E279" i="7"/>
  <c r="M411" i="8"/>
  <c r="M409" i="8"/>
  <c r="M407" i="8"/>
  <c r="M405" i="8"/>
  <c r="M403" i="8"/>
  <c r="M401" i="8"/>
  <c r="M399" i="8"/>
  <c r="M397" i="8"/>
  <c r="M395" i="8"/>
  <c r="M393" i="8"/>
  <c r="M391" i="8"/>
  <c r="M389" i="8"/>
  <c r="M387" i="8"/>
  <c r="M385" i="8"/>
  <c r="J26" i="68" s="1"/>
  <c r="M383" i="8"/>
  <c r="J24" i="68" s="1"/>
  <c r="M381" i="8"/>
  <c r="J22" i="68" s="1"/>
  <c r="M379" i="8"/>
  <c r="J20" i="68" s="1"/>
  <c r="M377" i="8"/>
  <c r="J18" i="68" s="1"/>
  <c r="M375" i="8"/>
  <c r="J16" i="68" s="1"/>
  <c r="M373" i="8"/>
  <c r="J14" i="68" s="1"/>
  <c r="M415" i="8"/>
  <c r="J55" i="68" s="1"/>
  <c r="M417" i="8"/>
  <c r="J57" i="68" s="1"/>
  <c r="M419" i="8"/>
  <c r="J59" i="68" s="1"/>
  <c r="M421" i="8"/>
  <c r="J61" i="68" s="1"/>
  <c r="M372" i="8"/>
  <c r="J13" i="68" s="1"/>
  <c r="M412" i="8"/>
  <c r="M410" i="8"/>
  <c r="M408" i="8"/>
  <c r="M406" i="8"/>
  <c r="M404" i="8"/>
  <c r="M402" i="8"/>
  <c r="M400" i="8"/>
  <c r="M398" i="8"/>
  <c r="M396" i="8"/>
  <c r="M394" i="8"/>
  <c r="M392" i="8"/>
  <c r="M390" i="8"/>
  <c r="M388" i="8"/>
  <c r="M386" i="8"/>
  <c r="J27" i="68" s="1"/>
  <c r="M384" i="8"/>
  <c r="J25" i="68" s="1"/>
  <c r="M382" i="8"/>
  <c r="J23" i="68" s="1"/>
  <c r="M380" i="8"/>
  <c r="J21" i="68" s="1"/>
  <c r="M378" i="8"/>
  <c r="J19" i="68" s="1"/>
  <c r="M376" i="8"/>
  <c r="J17" i="68" s="1"/>
  <c r="M374" i="8"/>
  <c r="J15" i="68" s="1"/>
  <c r="M414" i="8"/>
  <c r="J54" i="68" s="1"/>
  <c r="M416" i="8"/>
  <c r="J56" i="68" s="1"/>
  <c r="M418" i="8"/>
  <c r="J58" i="68" s="1"/>
  <c r="G9" i="48"/>
  <c r="L48" i="45"/>
  <c r="L6" i="74"/>
  <c r="L48" i="74" s="1"/>
  <c r="L35" i="74"/>
  <c r="L35" i="45"/>
  <c r="O47" i="60"/>
  <c r="O46" i="60"/>
  <c r="M46" i="60"/>
  <c r="I10" i="48"/>
  <c r="F9" i="11"/>
  <c r="G31" i="66"/>
  <c r="G32" i="66"/>
  <c r="G55" i="66"/>
  <c r="O382" i="8" l="1"/>
  <c r="O374" i="8"/>
  <c r="O379" i="8"/>
  <c r="O415" i="8"/>
  <c r="O420" i="8"/>
  <c r="O378" i="8"/>
  <c r="O375" i="8"/>
  <c r="O418" i="8"/>
  <c r="O383" i="8"/>
  <c r="O385" i="8"/>
  <c r="O417" i="8"/>
  <c r="O419" i="8"/>
  <c r="O377" i="8"/>
  <c r="O386" i="8"/>
  <c r="O380" i="8"/>
  <c r="O373" i="8"/>
  <c r="O376" i="8"/>
  <c r="O414" i="8"/>
  <c r="O421" i="8"/>
  <c r="O381" i="8"/>
  <c r="O384" i="8"/>
  <c r="O416" i="8"/>
  <c r="O372" i="8"/>
  <c r="O390" i="8"/>
  <c r="J31" i="68"/>
  <c r="O394" i="8"/>
  <c r="J35" i="68"/>
  <c r="O398" i="8"/>
  <c r="J39" i="68"/>
  <c r="O402" i="8"/>
  <c r="J43" i="68"/>
  <c r="O406" i="8"/>
  <c r="J47" i="68"/>
  <c r="O410" i="8"/>
  <c r="J51" i="68"/>
  <c r="O387" i="8"/>
  <c r="J28" i="68"/>
  <c r="O391" i="8"/>
  <c r="J32" i="68"/>
  <c r="O395" i="8"/>
  <c r="J36" i="68"/>
  <c r="O399" i="8"/>
  <c r="J40" i="68"/>
  <c r="O403" i="8"/>
  <c r="J44" i="68"/>
  <c r="O407" i="8"/>
  <c r="J48" i="68"/>
  <c r="O411" i="8"/>
  <c r="J52" i="68"/>
  <c r="O388" i="8"/>
  <c r="J29" i="68"/>
  <c r="O392" i="8"/>
  <c r="J33" i="68"/>
  <c r="O396" i="8"/>
  <c r="J37" i="68"/>
  <c r="O400" i="8"/>
  <c r="J41" i="68"/>
  <c r="O404" i="8"/>
  <c r="J45" i="68"/>
  <c r="O408" i="8"/>
  <c r="J49" i="68"/>
  <c r="O412" i="8"/>
  <c r="J53" i="68"/>
  <c r="O389" i="8"/>
  <c r="J30" i="68"/>
  <c r="O393" i="8"/>
  <c r="J34" i="68"/>
  <c r="O397" i="8"/>
  <c r="J38" i="68"/>
  <c r="O401" i="8"/>
  <c r="J42" i="68"/>
  <c r="O405" i="8"/>
  <c r="J46" i="68"/>
  <c r="O409" i="8"/>
  <c r="J50" i="68"/>
  <c r="B35" i="87"/>
  <c r="AJ168" i="73" s="1"/>
  <c r="B85" i="87"/>
  <c r="B87" i="87"/>
  <c r="D486" i="8" s="1"/>
  <c r="B86" i="87"/>
  <c r="B98" i="89"/>
  <c r="B107" i="48" s="1"/>
  <c r="B97" i="89"/>
  <c r="B96" i="89"/>
  <c r="B95" i="89"/>
  <c r="B14" i="92"/>
  <c r="B70" i="79"/>
  <c r="B69" i="79"/>
  <c r="B96" i="84"/>
  <c r="B97" i="84"/>
  <c r="B95" i="84"/>
  <c r="D496" i="8" s="1"/>
  <c r="B81" i="87"/>
  <c r="B84" i="87"/>
  <c r="B94" i="84"/>
  <c r="B83" i="87"/>
  <c r="B80" i="87"/>
  <c r="B82" i="87"/>
  <c r="B79" i="87"/>
  <c r="B75" i="86"/>
  <c r="B76" i="86"/>
  <c r="B74" i="86"/>
  <c r="B73" i="86"/>
  <c r="B50" i="79"/>
  <c r="B13" i="92"/>
  <c r="B11" i="92"/>
  <c r="B12" i="92"/>
  <c r="B3" i="92"/>
  <c r="B4" i="92"/>
  <c r="B5" i="92"/>
  <c r="B6" i="92"/>
  <c r="B7" i="92"/>
  <c r="B8" i="92"/>
  <c r="B9" i="92"/>
  <c r="B10" i="92"/>
  <c r="B2" i="92"/>
  <c r="B68" i="79"/>
  <c r="G65" i="65" s="1"/>
  <c r="B66" i="79"/>
  <c r="G55" i="65" s="1"/>
  <c r="E43" i="98" s="1"/>
  <c r="B67" i="79"/>
  <c r="G67" i="65" s="1"/>
  <c r="B65" i="79"/>
  <c r="G33" i="65" s="1"/>
  <c r="E21" i="98" s="1"/>
  <c r="B64" i="79"/>
  <c r="G57" i="65" s="1"/>
  <c r="E45" i="98" s="1"/>
  <c r="B45" i="91"/>
  <c r="B25" i="91"/>
  <c r="O88" i="46" s="1"/>
  <c r="B44" i="91"/>
  <c r="F67" i="46" s="1"/>
  <c r="B43" i="91"/>
  <c r="F42" i="46" s="1"/>
  <c r="B3" i="91"/>
  <c r="A5" i="46" s="1"/>
  <c r="B4" i="91"/>
  <c r="B7" i="46" s="1"/>
  <c r="B5" i="91"/>
  <c r="B8" i="46" s="1"/>
  <c r="B6" i="91"/>
  <c r="B9" i="46" s="1"/>
  <c r="B7" i="91"/>
  <c r="B10" i="46" s="1"/>
  <c r="B8" i="91"/>
  <c r="B11" i="46" s="1"/>
  <c r="B9" i="91"/>
  <c r="B12" i="46" s="1"/>
  <c r="B10" i="91"/>
  <c r="B14" i="46" s="1"/>
  <c r="B11" i="91"/>
  <c r="B16" i="46" s="1"/>
  <c r="B12" i="91"/>
  <c r="B18" i="46" s="1"/>
  <c r="B13" i="91"/>
  <c r="B20" i="46" s="1"/>
  <c r="B14" i="91"/>
  <c r="B21" i="46" s="1"/>
  <c r="B15" i="91"/>
  <c r="A23" i="46" s="1"/>
  <c r="B16" i="91"/>
  <c r="C66" i="46" s="1"/>
  <c r="B17" i="91"/>
  <c r="D89" i="46" s="1"/>
  <c r="B18" i="91"/>
  <c r="E66" i="46" s="1"/>
  <c r="B19" i="91"/>
  <c r="F89" i="46" s="1"/>
  <c r="B20" i="91"/>
  <c r="I66" i="46" s="1"/>
  <c r="B21" i="91"/>
  <c r="H88" i="46" s="1"/>
  <c r="B22" i="91"/>
  <c r="I88" i="46" s="1"/>
  <c r="B23" i="91"/>
  <c r="L89" i="46" s="1"/>
  <c r="B24" i="91"/>
  <c r="K66" i="46" s="1"/>
  <c r="B26" i="91"/>
  <c r="O25" i="46" s="1"/>
  <c r="B27" i="91"/>
  <c r="G66" i="46" s="1"/>
  <c r="B28" i="91"/>
  <c r="H66" i="46" s="1"/>
  <c r="B29" i="91"/>
  <c r="J66" i="46" s="1"/>
  <c r="B30" i="91"/>
  <c r="M66" i="46" s="1"/>
  <c r="B31" i="91"/>
  <c r="N66" i="46" s="1"/>
  <c r="B32" i="91"/>
  <c r="C77" i="46" s="1"/>
  <c r="B33" i="91"/>
  <c r="C78" i="46" s="1"/>
  <c r="B34" i="91"/>
  <c r="C79" i="46" s="1"/>
  <c r="B35" i="91"/>
  <c r="C80" i="46" s="1"/>
  <c r="B36" i="91"/>
  <c r="C81" i="46" s="1"/>
  <c r="B37" i="91"/>
  <c r="C82" i="46" s="1"/>
  <c r="B38" i="91"/>
  <c r="C83" i="46" s="1"/>
  <c r="B39" i="91"/>
  <c r="C84" i="46" s="1"/>
  <c r="B40" i="91"/>
  <c r="A86" i="46" s="1"/>
  <c r="B41" i="91"/>
  <c r="A27" i="46" s="1"/>
  <c r="B42" i="91"/>
  <c r="A46" i="46" s="1"/>
  <c r="B2" i="91"/>
  <c r="A2" i="46" s="1"/>
  <c r="B3" i="90"/>
  <c r="A2" i="76" s="1"/>
  <c r="B4" i="90"/>
  <c r="E1" i="26" s="1"/>
  <c r="B5" i="90"/>
  <c r="G2" i="76" s="1"/>
  <c r="B6" i="90"/>
  <c r="A4" i="23" s="1"/>
  <c r="B7" i="90"/>
  <c r="B8" i="90"/>
  <c r="B9" i="90"/>
  <c r="A4" i="26" s="1"/>
  <c r="B10" i="90"/>
  <c r="A4" i="76" s="1"/>
  <c r="B2" i="90"/>
  <c r="A1" i="26" s="1"/>
  <c r="B3" i="89"/>
  <c r="B4" i="60" s="1"/>
  <c r="B4" i="89"/>
  <c r="E7" i="48" s="1"/>
  <c r="B5" i="89"/>
  <c r="B6" i="60" s="1"/>
  <c r="B6" i="89"/>
  <c r="E6" i="48" s="1"/>
  <c r="B7" i="89"/>
  <c r="C8" i="60" s="1"/>
  <c r="B8" i="89"/>
  <c r="D18" i="60" s="1"/>
  <c r="B9" i="89"/>
  <c r="D19" i="60" s="1"/>
  <c r="B10" i="89"/>
  <c r="C12" i="60" s="1"/>
  <c r="B11" i="89"/>
  <c r="B14" i="60" s="1"/>
  <c r="B12" i="89"/>
  <c r="C16" i="60" s="1"/>
  <c r="B13" i="89"/>
  <c r="C17" i="60" s="1"/>
  <c r="B14" i="89"/>
  <c r="C21" i="60" s="1"/>
  <c r="B15" i="89"/>
  <c r="D22" i="60" s="1"/>
  <c r="B16" i="89"/>
  <c r="D23" i="60" s="1"/>
  <c r="B17" i="89"/>
  <c r="O25" i="60" s="1"/>
  <c r="B18" i="89"/>
  <c r="B19" i="89"/>
  <c r="B20" i="89"/>
  <c r="C24" i="60" s="1"/>
  <c r="B21" i="89"/>
  <c r="D25" i="60" s="1"/>
  <c r="B22" i="89"/>
  <c r="C26" i="60" s="1"/>
  <c r="B23" i="89"/>
  <c r="B28" i="60" s="1"/>
  <c r="B24" i="89"/>
  <c r="C30" i="60" s="1"/>
  <c r="B25" i="89"/>
  <c r="C32" i="60" s="1"/>
  <c r="B26" i="89"/>
  <c r="C33" i="60" s="1"/>
  <c r="B27" i="89"/>
  <c r="C34" i="60" s="1"/>
  <c r="B28" i="89"/>
  <c r="I23" i="60" s="1"/>
  <c r="B29" i="89"/>
  <c r="C36" i="60" s="1"/>
  <c r="B30" i="89"/>
  <c r="C37" i="60" s="1"/>
  <c r="B31" i="89"/>
  <c r="C38" i="60" s="1"/>
  <c r="B32" i="89"/>
  <c r="C39" i="60" s="1"/>
  <c r="B33" i="89"/>
  <c r="B41" i="60" s="1"/>
  <c r="B34" i="89"/>
  <c r="C43" i="60" s="1"/>
  <c r="B35" i="89"/>
  <c r="C49" i="60" s="1"/>
  <c r="B36" i="89"/>
  <c r="C50" i="60" s="1"/>
  <c r="B37" i="89"/>
  <c r="B38" i="89"/>
  <c r="B39" i="89"/>
  <c r="B40" i="89"/>
  <c r="B41" i="89"/>
  <c r="B42" i="89"/>
  <c r="B43" i="89"/>
  <c r="B44" i="89"/>
  <c r="B45" i="89"/>
  <c r="B46" i="89"/>
  <c r="P50" i="96" s="1"/>
  <c r="B47" i="89"/>
  <c r="O57" i="60" s="1"/>
  <c r="B48" i="89"/>
  <c r="B49" i="89"/>
  <c r="B50" i="89"/>
  <c r="H99" i="60" s="1"/>
  <c r="B51" i="89"/>
  <c r="I99" i="60" s="1"/>
  <c r="B52" i="89"/>
  <c r="B53" i="89"/>
  <c r="O109" i="60" s="1"/>
  <c r="B54" i="89"/>
  <c r="O110" i="60" s="1"/>
  <c r="B55" i="89"/>
  <c r="B56" i="89"/>
  <c r="B57" i="89"/>
  <c r="B112" i="60" s="1"/>
  <c r="B58" i="89"/>
  <c r="C113" i="60" s="1"/>
  <c r="B59" i="89"/>
  <c r="B60" i="89"/>
  <c r="A2" i="48" s="1"/>
  <c r="B61" i="89"/>
  <c r="B4" i="48" s="1"/>
  <c r="B62" i="89"/>
  <c r="C5" i="48" s="1"/>
  <c r="B63" i="89"/>
  <c r="B66" i="89"/>
  <c r="B71" i="89"/>
  <c r="B72" i="89"/>
  <c r="C14" i="48" s="1"/>
  <c r="B73" i="89"/>
  <c r="B16" i="48" s="1"/>
  <c r="B74" i="89"/>
  <c r="C17" i="48" s="1"/>
  <c r="B75" i="89"/>
  <c r="C18" i="48" s="1"/>
  <c r="B76" i="89"/>
  <c r="C19" i="48" s="1"/>
  <c r="B77" i="89"/>
  <c r="C20" i="48" s="1"/>
  <c r="B78" i="89"/>
  <c r="C21" i="48" s="1"/>
  <c r="B79" i="89"/>
  <c r="B23" i="48" s="1"/>
  <c r="B87" i="89"/>
  <c r="D23" i="48" s="1"/>
  <c r="B88" i="89"/>
  <c r="F23" i="48" s="1"/>
  <c r="B89" i="89"/>
  <c r="H23" i="48" s="1"/>
  <c r="B90" i="89"/>
  <c r="J23" i="48" s="1"/>
  <c r="B91" i="89"/>
  <c r="L23" i="48" s="1"/>
  <c r="B92" i="89"/>
  <c r="N23" i="48" s="1"/>
  <c r="B93" i="89"/>
  <c r="P23" i="48" s="1"/>
  <c r="B94" i="89"/>
  <c r="B2" i="89"/>
  <c r="A2" i="60" s="1"/>
  <c r="B44" i="88"/>
  <c r="AO186" i="31" s="1"/>
  <c r="B45" i="88"/>
  <c r="AA186" i="31" s="1"/>
  <c r="B46" i="88"/>
  <c r="T187" i="31" s="1"/>
  <c r="B47" i="88"/>
  <c r="BH187" i="31" s="1"/>
  <c r="B43" i="88"/>
  <c r="F174" i="31" s="1"/>
  <c r="B39" i="88"/>
  <c r="C256" i="31" s="1"/>
  <c r="B40" i="88"/>
  <c r="C9" i="31" s="1"/>
  <c r="B41" i="88"/>
  <c r="F178" i="31" s="1"/>
  <c r="B42" i="88"/>
  <c r="F159" i="31" s="1"/>
  <c r="B4" i="88"/>
  <c r="B4" i="31" s="1"/>
  <c r="B5" i="88"/>
  <c r="E255" i="31" s="1"/>
  <c r="B6" i="88"/>
  <c r="F188" i="31" s="1"/>
  <c r="B7" i="88"/>
  <c r="G255" i="31" s="1"/>
  <c r="B8" i="88"/>
  <c r="H165" i="31" s="1"/>
  <c r="B9" i="88"/>
  <c r="I255" i="31" s="1"/>
  <c r="B10" i="88"/>
  <c r="J188" i="31" s="1"/>
  <c r="B11" i="88"/>
  <c r="K8" i="31" s="1"/>
  <c r="B12" i="88"/>
  <c r="L188" i="31" s="1"/>
  <c r="B13" i="88"/>
  <c r="M8" i="31" s="1"/>
  <c r="B14" i="88"/>
  <c r="N188" i="31" s="1"/>
  <c r="B15" i="88"/>
  <c r="U8" i="31" s="1"/>
  <c r="B16" i="88"/>
  <c r="V8" i="31" s="1"/>
  <c r="B17" i="88"/>
  <c r="W8" i="31" s="1"/>
  <c r="B18" i="88"/>
  <c r="X8" i="31" s="1"/>
  <c r="B19" i="88"/>
  <c r="Y8" i="31" s="1"/>
  <c r="B20" i="88"/>
  <c r="O96" i="31" s="1"/>
  <c r="B21" i="88"/>
  <c r="U7" i="31" s="1"/>
  <c r="B22" i="88"/>
  <c r="M165" i="31" s="1"/>
  <c r="B23" i="88"/>
  <c r="N165" i="31" s="1"/>
  <c r="B24" i="88"/>
  <c r="AA8" i="31" s="1"/>
  <c r="B25" i="88"/>
  <c r="AB8" i="31" s="1"/>
  <c r="B26" i="88"/>
  <c r="AC8" i="31" s="1"/>
  <c r="B27" i="88"/>
  <c r="B94" i="31" s="1"/>
  <c r="B28" i="88"/>
  <c r="AA96" i="31" s="1"/>
  <c r="B29" i="88"/>
  <c r="AG97" i="31" s="1"/>
  <c r="B30" i="88"/>
  <c r="C255" i="31" s="1"/>
  <c r="B31" i="88"/>
  <c r="D255" i="31" s="1"/>
  <c r="B32" i="88"/>
  <c r="AH188" i="31" s="1"/>
  <c r="B33" i="88"/>
  <c r="AI255" i="31" s="1"/>
  <c r="B34" i="88"/>
  <c r="AJ188" i="31" s="1"/>
  <c r="B35" i="88"/>
  <c r="BD188" i="31" s="1"/>
  <c r="B36" i="88"/>
  <c r="BA255" i="31" s="1"/>
  <c r="B37" i="88"/>
  <c r="BI188" i="31" s="1"/>
  <c r="B38" i="88"/>
  <c r="BC188" i="31" s="1"/>
  <c r="B3" i="88"/>
  <c r="A2" i="31" s="1"/>
  <c r="B76" i="87"/>
  <c r="B65" i="73" s="1"/>
  <c r="B77" i="87"/>
  <c r="B122" i="73" s="1"/>
  <c r="B78" i="87"/>
  <c r="B179" i="73" s="1"/>
  <c r="B52" i="87"/>
  <c r="BV183" i="73" s="1"/>
  <c r="B53" i="87"/>
  <c r="AS126" i="73" s="1"/>
  <c r="B63" i="87"/>
  <c r="AX126" i="73" s="1"/>
  <c r="B54" i="87"/>
  <c r="AS69" i="73" s="1"/>
  <c r="B56" i="87"/>
  <c r="AT12" i="73" s="1"/>
  <c r="B57" i="87"/>
  <c r="AU12" i="73" s="1"/>
  <c r="B6" i="87"/>
  <c r="B8" i="73" s="1"/>
  <c r="B4" i="87"/>
  <c r="B6" i="73" s="1"/>
  <c r="B32" i="87"/>
  <c r="AV179" i="11" s="1"/>
  <c r="B75" i="87"/>
  <c r="AY180" i="11" s="1"/>
  <c r="B31" i="87"/>
  <c r="Q179" i="11" s="1"/>
  <c r="B24" i="87"/>
  <c r="Q178" i="11" s="1"/>
  <c r="B74" i="87"/>
  <c r="B177" i="11" s="1"/>
  <c r="B73" i="87"/>
  <c r="B120" i="11" s="1"/>
  <c r="B23" i="87"/>
  <c r="Q122" i="11" s="1"/>
  <c r="B26" i="87"/>
  <c r="Q67" i="73" s="1"/>
  <c r="B72" i="87"/>
  <c r="B63" i="11" s="1"/>
  <c r="B71" i="87"/>
  <c r="AO223" i="11" s="1"/>
  <c r="B47" i="87"/>
  <c r="AF181" i="11" s="1"/>
  <c r="B41" i="87"/>
  <c r="AI223" i="11" s="1"/>
  <c r="B42" i="87"/>
  <c r="AJ223" i="11" s="1"/>
  <c r="B43" i="87"/>
  <c r="AK181" i="11" s="1"/>
  <c r="B44" i="87"/>
  <c r="AL181" i="11" s="1"/>
  <c r="B45" i="87"/>
  <c r="AM223" i="11" s="1"/>
  <c r="B70" i="87"/>
  <c r="AC181" i="11" s="1"/>
  <c r="B18" i="87"/>
  <c r="K223" i="11" s="1"/>
  <c r="B19" i="87"/>
  <c r="L109" i="11" s="1"/>
  <c r="B3" i="87"/>
  <c r="B4" i="11" s="1"/>
  <c r="B5" i="87"/>
  <c r="B6" i="11" s="1"/>
  <c r="B7" i="87"/>
  <c r="C8" i="11" s="1"/>
  <c r="B8" i="87"/>
  <c r="F8" i="11" s="1"/>
  <c r="B9" i="87"/>
  <c r="C52" i="11" s="1"/>
  <c r="B10" i="87"/>
  <c r="D52" i="11" s="1"/>
  <c r="B11" i="87"/>
  <c r="E52" i="11" s="1"/>
  <c r="B12" i="87"/>
  <c r="F52" i="11" s="1"/>
  <c r="B13" i="87"/>
  <c r="G52" i="11" s="1"/>
  <c r="B14" i="87"/>
  <c r="H52" i="11" s="1"/>
  <c r="B15" i="87"/>
  <c r="I10" i="11" s="1"/>
  <c r="B16" i="87"/>
  <c r="J10" i="11" s="1"/>
  <c r="B17" i="87"/>
  <c r="K10" i="11" s="1"/>
  <c r="B20" i="87"/>
  <c r="L10" i="11" s="1"/>
  <c r="B21" i="87"/>
  <c r="M52" i="11" s="1"/>
  <c r="B22" i="87"/>
  <c r="Q8" i="11" s="1"/>
  <c r="B25" i="87"/>
  <c r="AE8" i="11" s="1"/>
  <c r="B27" i="87"/>
  <c r="AL9" i="11" s="1"/>
  <c r="B28" i="87"/>
  <c r="AE65" i="11" s="1"/>
  <c r="B29" i="87"/>
  <c r="AC122" i="11" s="1"/>
  <c r="B30" i="87"/>
  <c r="AC179" i="11" s="1"/>
  <c r="B33" i="87"/>
  <c r="N52" i="11" s="1"/>
  <c r="B34" i="87"/>
  <c r="O52" i="11" s="1"/>
  <c r="B36" i="87"/>
  <c r="Y10" i="11" s="1"/>
  <c r="B37" i="87"/>
  <c r="AD181" i="11" s="1"/>
  <c r="B38" i="87"/>
  <c r="Y223" i="11" s="1"/>
  <c r="B39" i="87"/>
  <c r="AG166" i="11" s="1"/>
  <c r="B40" i="87"/>
  <c r="AN166" i="11" s="1"/>
  <c r="B46" i="87"/>
  <c r="AK166" i="11" s="1"/>
  <c r="B48" i="87"/>
  <c r="AS166" i="11" s="1"/>
  <c r="B49" i="87"/>
  <c r="AT166" i="11" s="1"/>
  <c r="B50" i="87"/>
  <c r="AU166" i="11" s="1"/>
  <c r="B51" i="87"/>
  <c r="AX166" i="11" s="1"/>
  <c r="B55" i="87"/>
  <c r="AS10" i="11" s="1"/>
  <c r="B58" i="87"/>
  <c r="AT10" i="11" s="1"/>
  <c r="B59" i="87"/>
  <c r="AU10" i="11" s="1"/>
  <c r="B60" i="87"/>
  <c r="AV10" i="11" s="1"/>
  <c r="B61" i="87"/>
  <c r="AW12" i="73" s="1"/>
  <c r="B62" i="87"/>
  <c r="AX10" i="11" s="1"/>
  <c r="B64" i="87"/>
  <c r="V125" i="73" s="1"/>
  <c r="B65" i="87"/>
  <c r="W66" i="11" s="1"/>
  <c r="B66" i="87"/>
  <c r="C11" i="11" s="1"/>
  <c r="B67" i="87"/>
  <c r="C110" i="11" s="1"/>
  <c r="B68" i="87"/>
  <c r="B69" i="87"/>
  <c r="B2" i="87"/>
  <c r="A2" i="11" s="1"/>
  <c r="AJ166" i="11" l="1"/>
  <c r="M57" i="60"/>
  <c r="O50" i="96"/>
  <c r="BL50" i="96"/>
  <c r="BU50" i="96"/>
  <c r="BI50" i="96"/>
  <c r="AW50" i="96"/>
  <c r="AK50" i="96"/>
  <c r="AT8" i="96"/>
  <c r="S50" i="96"/>
  <c r="BO50" i="96"/>
  <c r="BC50" i="96"/>
  <c r="AQ50" i="96"/>
  <c r="AE50" i="96"/>
  <c r="BX8" i="96"/>
  <c r="BL8" i="96"/>
  <c r="AZ8" i="96"/>
  <c r="AN8" i="96"/>
  <c r="AB8" i="96"/>
  <c r="BX50" i="96"/>
  <c r="AZ50" i="96"/>
  <c r="AN50" i="96"/>
  <c r="AB50" i="96"/>
  <c r="BU8" i="96"/>
  <c r="BI8" i="96"/>
  <c r="AW8" i="96"/>
  <c r="AK8" i="96"/>
  <c r="Y8" i="96"/>
  <c r="Y50" i="96"/>
  <c r="BR8" i="96"/>
  <c r="BF8" i="96"/>
  <c r="AH8" i="96"/>
  <c r="V8" i="96"/>
  <c r="BR50" i="96"/>
  <c r="BF50" i="96"/>
  <c r="AT50" i="96"/>
  <c r="AH50" i="96"/>
  <c r="V50" i="96"/>
  <c r="BO8" i="96"/>
  <c r="BC8" i="96"/>
  <c r="AQ8" i="96"/>
  <c r="AE8" i="96"/>
  <c r="H6" i="98"/>
  <c r="H50" i="96"/>
  <c r="H48" i="98"/>
  <c r="H8" i="96"/>
  <c r="H57" i="60"/>
  <c r="D48" i="98"/>
  <c r="D50" i="96"/>
  <c r="D8" i="96"/>
  <c r="D57" i="60"/>
  <c r="D6" i="98"/>
  <c r="G138" i="66"/>
  <c r="E57" i="96"/>
  <c r="E55" i="98"/>
  <c r="B100" i="60"/>
  <c r="B49" i="98"/>
  <c r="B51" i="96"/>
  <c r="P99" i="60"/>
  <c r="P57" i="60"/>
  <c r="L57" i="60"/>
  <c r="E99" i="60"/>
  <c r="E48" i="98"/>
  <c r="E50" i="96"/>
  <c r="E8" i="96"/>
  <c r="E57" i="60"/>
  <c r="E6" i="98"/>
  <c r="B24" i="48"/>
  <c r="B7" i="98"/>
  <c r="B9" i="96"/>
  <c r="B58" i="60"/>
  <c r="O8" i="96"/>
  <c r="F6" i="98"/>
  <c r="F48" i="98"/>
  <c r="F50" i="96"/>
  <c r="F8" i="96"/>
  <c r="F57" i="60"/>
  <c r="B6" i="98"/>
  <c r="B57" i="60"/>
  <c r="B48" i="98"/>
  <c r="B50" i="96"/>
  <c r="B8" i="96"/>
  <c r="G136" i="66"/>
  <c r="E55" i="96"/>
  <c r="E53" i="98"/>
  <c r="N99" i="60"/>
  <c r="P8" i="96"/>
  <c r="N57" i="60"/>
  <c r="G99" i="60"/>
  <c r="G8" i="96"/>
  <c r="G57" i="60"/>
  <c r="G6" i="98"/>
  <c r="G48" i="98"/>
  <c r="G50" i="96"/>
  <c r="C57" i="60"/>
  <c r="C8" i="96"/>
  <c r="C6" i="98"/>
  <c r="C99" i="60"/>
  <c r="C48" i="98"/>
  <c r="C50" i="96"/>
  <c r="G128" i="66"/>
  <c r="E47" i="96"/>
  <c r="G104" i="66"/>
  <c r="E23" i="96"/>
  <c r="G126" i="66"/>
  <c r="E45" i="96"/>
  <c r="G54" i="66"/>
  <c r="F410" i="8"/>
  <c r="G64" i="66"/>
  <c r="F420" i="8"/>
  <c r="G62" i="66"/>
  <c r="F418" i="8"/>
  <c r="G30" i="66"/>
  <c r="F386" i="8"/>
  <c r="G52" i="66"/>
  <c r="F408" i="8"/>
  <c r="O99" i="60"/>
  <c r="L99" i="60"/>
  <c r="C9" i="48"/>
  <c r="C44" i="60"/>
  <c r="O44" i="60"/>
  <c r="I9" i="48"/>
  <c r="E10" i="60"/>
  <c r="Q5" i="45"/>
  <c r="E9" i="60"/>
  <c r="Y124" i="11"/>
  <c r="Y166" i="11"/>
  <c r="AK168" i="73"/>
  <c r="AL168" i="73"/>
  <c r="AM168" i="73"/>
  <c r="Y168" i="73"/>
  <c r="Y126" i="73"/>
  <c r="Y225" i="73"/>
  <c r="AC168" i="73"/>
  <c r="S183" i="73"/>
  <c r="Y183" i="73"/>
  <c r="S225" i="73"/>
  <c r="C76" i="31"/>
  <c r="AS67" i="11"/>
  <c r="AW124" i="11"/>
  <c r="AX67" i="11"/>
  <c r="AV67" i="11"/>
  <c r="AT67" i="11"/>
  <c r="AV124" i="11"/>
  <c r="AX124" i="11"/>
  <c r="AW67" i="11"/>
  <c r="AU67" i="11"/>
  <c r="G19" i="65"/>
  <c r="E7" i="98" s="1"/>
  <c r="G21" i="65"/>
  <c r="E9" i="98" s="1"/>
  <c r="G23" i="65"/>
  <c r="E11" i="98" s="1"/>
  <c r="G25" i="65"/>
  <c r="E13" i="98" s="1"/>
  <c r="G27" i="65"/>
  <c r="E15" i="98" s="1"/>
  <c r="G29" i="65"/>
  <c r="E17" i="98" s="1"/>
  <c r="G31" i="65"/>
  <c r="E19" i="98" s="1"/>
  <c r="G36" i="65"/>
  <c r="E24" i="98" s="1"/>
  <c r="G38" i="65"/>
  <c r="E26" i="98" s="1"/>
  <c r="G40" i="65"/>
  <c r="E28" i="98" s="1"/>
  <c r="G42" i="65"/>
  <c r="E30" i="98" s="1"/>
  <c r="G44" i="65"/>
  <c r="E32" i="98" s="1"/>
  <c r="G46" i="65"/>
  <c r="E34" i="98" s="1"/>
  <c r="G48" i="65"/>
  <c r="E36" i="98" s="1"/>
  <c r="G50" i="65"/>
  <c r="E38" i="98" s="1"/>
  <c r="G52" i="65"/>
  <c r="E40" i="98" s="1"/>
  <c r="G54" i="65"/>
  <c r="E42" i="98" s="1"/>
  <c r="G56" i="65"/>
  <c r="E44" i="98" s="1"/>
  <c r="G59" i="65"/>
  <c r="E47" i="98" s="1"/>
  <c r="G62" i="65"/>
  <c r="G64" i="65"/>
  <c r="G66" i="65"/>
  <c r="G68" i="65"/>
  <c r="G20" i="65"/>
  <c r="E8" i="98" s="1"/>
  <c r="G22" i="65"/>
  <c r="E10" i="98" s="1"/>
  <c r="G24" i="65"/>
  <c r="E12" i="98" s="1"/>
  <c r="G26" i="65"/>
  <c r="E14" i="98" s="1"/>
  <c r="G28" i="65"/>
  <c r="E16" i="98" s="1"/>
  <c r="G30" i="65"/>
  <c r="E18" i="98" s="1"/>
  <c r="G32" i="65"/>
  <c r="E20" i="98" s="1"/>
  <c r="G37" i="65"/>
  <c r="E25" i="98" s="1"/>
  <c r="G39" i="65"/>
  <c r="E27" i="98" s="1"/>
  <c r="G41" i="65"/>
  <c r="E29" i="98" s="1"/>
  <c r="G43" i="65"/>
  <c r="E31" i="98" s="1"/>
  <c r="G45" i="65"/>
  <c r="E33" i="98" s="1"/>
  <c r="G47" i="65"/>
  <c r="E35" i="98" s="1"/>
  <c r="G49" i="65"/>
  <c r="E37" i="98" s="1"/>
  <c r="G51" i="65"/>
  <c r="E39" i="98" s="1"/>
  <c r="G53" i="65"/>
  <c r="E41" i="98" s="1"/>
  <c r="G61" i="65"/>
  <c r="G63" i="65"/>
  <c r="O89" i="46"/>
  <c r="A98" i="46"/>
  <c r="A139" i="46"/>
  <c r="A90" i="46"/>
  <c r="A106" i="46"/>
  <c r="C26" i="46"/>
  <c r="E26" i="46"/>
  <c r="G26" i="46"/>
  <c r="I25" i="46"/>
  <c r="L26" i="46"/>
  <c r="O26" i="46"/>
  <c r="F45" i="46"/>
  <c r="F48" i="46"/>
  <c r="F50" i="46"/>
  <c r="F52" i="46"/>
  <c r="F54" i="46"/>
  <c r="F58" i="46"/>
  <c r="F60" i="46"/>
  <c r="F62" i="46"/>
  <c r="F64" i="46"/>
  <c r="D66" i="46"/>
  <c r="F66" i="46"/>
  <c r="L66" i="46"/>
  <c r="F68" i="46"/>
  <c r="F70" i="46"/>
  <c r="F72" i="46"/>
  <c r="F74" i="46"/>
  <c r="C89" i="46"/>
  <c r="E89" i="46"/>
  <c r="G89" i="46"/>
  <c r="L88" i="46"/>
  <c r="H25" i="46"/>
  <c r="D26" i="46"/>
  <c r="F26" i="46"/>
  <c r="I26" i="46"/>
  <c r="L25" i="46"/>
  <c r="F44" i="46"/>
  <c r="F46" i="46"/>
  <c r="F49" i="46"/>
  <c r="F51" i="46"/>
  <c r="F53" i="46"/>
  <c r="F56" i="46"/>
  <c r="F59" i="46"/>
  <c r="F61" i="46"/>
  <c r="F63" i="46"/>
  <c r="F69" i="46"/>
  <c r="F71" i="46"/>
  <c r="F73" i="46"/>
  <c r="I89" i="46"/>
  <c r="F27" i="46"/>
  <c r="F29" i="46"/>
  <c r="F31" i="46"/>
  <c r="F34" i="46"/>
  <c r="F36" i="46"/>
  <c r="F38" i="46"/>
  <c r="F40" i="46"/>
  <c r="F43" i="46"/>
  <c r="F28" i="46"/>
  <c r="F30" i="46"/>
  <c r="F33" i="46"/>
  <c r="F35" i="46"/>
  <c r="F37" i="46"/>
  <c r="F39" i="46"/>
  <c r="BX183" i="73"/>
  <c r="BZ183" i="73"/>
  <c r="BO225" i="73"/>
  <c r="BQ225" i="73"/>
  <c r="BS225" i="73"/>
  <c r="BV225" i="73"/>
  <c r="BX225" i="73"/>
  <c r="BZ225" i="73"/>
  <c r="AC126" i="73"/>
  <c r="AK126" i="73"/>
  <c r="AM126" i="73"/>
  <c r="C55" i="73"/>
  <c r="C112" i="73"/>
  <c r="C169" i="73"/>
  <c r="C226" i="73"/>
  <c r="W11" i="73"/>
  <c r="AE10" i="73"/>
  <c r="AL11" i="73"/>
  <c r="W68" i="73"/>
  <c r="AE67" i="73"/>
  <c r="AL68" i="73"/>
  <c r="W125" i="73"/>
  <c r="AI125" i="73"/>
  <c r="AC181" i="73"/>
  <c r="AO182" i="73"/>
  <c r="BA182" i="73"/>
  <c r="BH181" i="73"/>
  <c r="BO182" i="73"/>
  <c r="W182" i="73"/>
  <c r="AG8" i="31"/>
  <c r="AI8" i="31"/>
  <c r="U75" i="31"/>
  <c r="W75" i="31"/>
  <c r="AA75" i="31"/>
  <c r="AC75" i="31"/>
  <c r="AG75" i="31"/>
  <c r="AI75" i="31"/>
  <c r="AK98" i="31"/>
  <c r="AI98" i="31"/>
  <c r="AH98" i="31"/>
  <c r="AG165" i="31"/>
  <c r="AE98" i="31"/>
  <c r="AB98" i="31"/>
  <c r="Y98" i="31"/>
  <c r="V98" i="31"/>
  <c r="AE165" i="31"/>
  <c r="AB165" i="31"/>
  <c r="Y165" i="31"/>
  <c r="V165" i="31"/>
  <c r="S165" i="31"/>
  <c r="P165" i="31"/>
  <c r="C188" i="31"/>
  <c r="E188" i="31"/>
  <c r="C189" i="31"/>
  <c r="F191" i="31"/>
  <c r="F195" i="31"/>
  <c r="F199" i="31"/>
  <c r="F203" i="31"/>
  <c r="F207" i="31"/>
  <c r="F211" i="31"/>
  <c r="F219" i="31"/>
  <c r="F223" i="31"/>
  <c r="F227" i="31"/>
  <c r="F231" i="31"/>
  <c r="F235" i="31"/>
  <c r="F239" i="31"/>
  <c r="F245" i="31"/>
  <c r="F253" i="31"/>
  <c r="F258" i="31"/>
  <c r="F262" i="31"/>
  <c r="F268" i="31"/>
  <c r="P255" i="31"/>
  <c r="S255" i="31"/>
  <c r="V255" i="31"/>
  <c r="Y255" i="31"/>
  <c r="P188" i="31"/>
  <c r="S188" i="31"/>
  <c r="V188" i="31"/>
  <c r="Y188" i="31"/>
  <c r="AB255" i="31"/>
  <c r="AD255" i="31"/>
  <c r="AA188" i="31"/>
  <c r="AC188" i="31"/>
  <c r="AF188" i="31"/>
  <c r="AI188" i="31"/>
  <c r="AK188" i="31"/>
  <c r="AH255" i="31"/>
  <c r="AJ255" i="31"/>
  <c r="AM255" i="31"/>
  <c r="AP255" i="31"/>
  <c r="AU255" i="31"/>
  <c r="AW255" i="31"/>
  <c r="AP188" i="31"/>
  <c r="AS188" i="31"/>
  <c r="AV188" i="31"/>
  <c r="AY188" i="31"/>
  <c r="BB188" i="31"/>
  <c r="BH255" i="31"/>
  <c r="BK188" i="31"/>
  <c r="BM188" i="31"/>
  <c r="AA6" i="31"/>
  <c r="AG7" i="31"/>
  <c r="U97" i="31"/>
  <c r="BG187" i="31"/>
  <c r="AU187" i="31"/>
  <c r="AT187" i="31"/>
  <c r="AH187" i="31"/>
  <c r="U187" i="31"/>
  <c r="O186" i="31"/>
  <c r="F11" i="31"/>
  <c r="F15" i="31"/>
  <c r="F19" i="31"/>
  <c r="F23" i="31"/>
  <c r="F27" i="31"/>
  <c r="F31" i="31"/>
  <c r="F39" i="31"/>
  <c r="F43" i="31"/>
  <c r="F47" i="31"/>
  <c r="F51" i="31"/>
  <c r="F55" i="31"/>
  <c r="F59" i="31"/>
  <c r="F65" i="31"/>
  <c r="F73" i="31"/>
  <c r="F78" i="31"/>
  <c r="F82" i="31"/>
  <c r="F86" i="31"/>
  <c r="F90" i="31"/>
  <c r="F101" i="31"/>
  <c r="F105" i="31"/>
  <c r="F109" i="31"/>
  <c r="F113" i="31"/>
  <c r="F117" i="31"/>
  <c r="F121" i="31"/>
  <c r="F129" i="31"/>
  <c r="F133" i="31"/>
  <c r="F137" i="31"/>
  <c r="F141" i="31"/>
  <c r="F145" i="31"/>
  <c r="F149" i="31"/>
  <c r="F155" i="31"/>
  <c r="F163" i="31"/>
  <c r="F168" i="31"/>
  <c r="F172" i="31"/>
  <c r="F176" i="31"/>
  <c r="F180" i="31"/>
  <c r="D35" i="60"/>
  <c r="B99" i="60"/>
  <c r="D99" i="60"/>
  <c r="M99" i="60"/>
  <c r="O16" i="60"/>
  <c r="O19" i="60"/>
  <c r="A1" i="58"/>
  <c r="F1" i="58"/>
  <c r="A1" i="23"/>
  <c r="F1" i="23"/>
  <c r="A2" i="26"/>
  <c r="E2" i="26"/>
  <c r="A1" i="76"/>
  <c r="G1" i="76"/>
  <c r="BW183" i="73"/>
  <c r="BY183" i="73"/>
  <c r="CA183" i="73"/>
  <c r="BP225" i="73"/>
  <c r="BR225" i="73"/>
  <c r="BT225" i="73"/>
  <c r="BW225" i="73"/>
  <c r="BY225" i="73"/>
  <c r="CA225" i="73"/>
  <c r="AJ126" i="73"/>
  <c r="AL126" i="73"/>
  <c r="Q10" i="73"/>
  <c r="X11" i="73"/>
  <c r="AK11" i="73"/>
  <c r="X68" i="73"/>
  <c r="AK68" i="73"/>
  <c r="Q124" i="73"/>
  <c r="AC124" i="73"/>
  <c r="AJ125" i="73"/>
  <c r="AN182" i="73"/>
  <c r="AV181" i="73"/>
  <c r="BB182" i="73"/>
  <c r="BN182" i="73"/>
  <c r="Q181" i="73"/>
  <c r="V182" i="73"/>
  <c r="AE8" i="31"/>
  <c r="AH8" i="31"/>
  <c r="AK8" i="31"/>
  <c r="V75" i="31"/>
  <c r="Y75" i="31"/>
  <c r="AB75" i="31"/>
  <c r="AE75" i="31"/>
  <c r="AH75" i="31"/>
  <c r="AK75" i="31"/>
  <c r="AK165" i="31"/>
  <c r="AI165" i="31"/>
  <c r="AH165" i="31"/>
  <c r="AG98" i="31"/>
  <c r="AC98" i="31"/>
  <c r="AA98" i="31"/>
  <c r="W98" i="31"/>
  <c r="U98" i="31"/>
  <c r="AC165" i="31"/>
  <c r="AA165" i="31"/>
  <c r="W165" i="31"/>
  <c r="U165" i="31"/>
  <c r="Q165" i="31"/>
  <c r="O165" i="31"/>
  <c r="D188" i="31"/>
  <c r="F189" i="31"/>
  <c r="F193" i="31"/>
  <c r="F197" i="31"/>
  <c r="F201" i="31"/>
  <c r="F205" i="31"/>
  <c r="F209" i="31"/>
  <c r="F213" i="31"/>
  <c r="F221" i="31"/>
  <c r="F225" i="31"/>
  <c r="F229" i="31"/>
  <c r="F233" i="31"/>
  <c r="F237" i="31"/>
  <c r="F241" i="31"/>
  <c r="F249" i="31"/>
  <c r="F256" i="31"/>
  <c r="F260" i="31"/>
  <c r="F266" i="31"/>
  <c r="F270" i="31"/>
  <c r="F264" i="31"/>
  <c r="O255" i="31"/>
  <c r="Q255" i="31"/>
  <c r="U255" i="31"/>
  <c r="W255" i="31"/>
  <c r="O188" i="31"/>
  <c r="Q188" i="31"/>
  <c r="U188" i="31"/>
  <c r="W188" i="31"/>
  <c r="AA255" i="31"/>
  <c r="AC255" i="31"/>
  <c r="AF255" i="31"/>
  <c r="AB188" i="31"/>
  <c r="AD188" i="31"/>
  <c r="AM188" i="31"/>
  <c r="AK255" i="31"/>
  <c r="AO255" i="31"/>
  <c r="AQ255" i="31"/>
  <c r="AV255" i="31"/>
  <c r="AO188" i="31"/>
  <c r="AQ188" i="31"/>
  <c r="AU188" i="31"/>
  <c r="AW188" i="31"/>
  <c r="BA188" i="31"/>
  <c r="BH188" i="31"/>
  <c r="BF188" i="31"/>
  <c r="O6" i="31"/>
  <c r="BA186" i="31"/>
  <c r="AG187" i="31"/>
  <c r="F9" i="31"/>
  <c r="F13" i="31"/>
  <c r="F17" i="31"/>
  <c r="F21" i="31"/>
  <c r="F25" i="31"/>
  <c r="F29" i="31"/>
  <c r="F33" i="31"/>
  <c r="F41" i="31"/>
  <c r="F45" i="31"/>
  <c r="F49" i="31"/>
  <c r="F53" i="31"/>
  <c r="F57" i="31"/>
  <c r="F61" i="31"/>
  <c r="F69" i="31"/>
  <c r="F76" i="31"/>
  <c r="F80" i="31"/>
  <c r="F84" i="31"/>
  <c r="F88" i="31"/>
  <c r="F99" i="31"/>
  <c r="F103" i="31"/>
  <c r="F107" i="31"/>
  <c r="F111" i="31"/>
  <c r="F115" i="31"/>
  <c r="F119" i="31"/>
  <c r="F123" i="31"/>
  <c r="F131" i="31"/>
  <c r="F135" i="31"/>
  <c r="F139" i="31"/>
  <c r="F143" i="31"/>
  <c r="F147" i="31"/>
  <c r="F151" i="31"/>
  <c r="F166" i="31"/>
  <c r="F170" i="31"/>
  <c r="O18" i="60"/>
  <c r="A2" i="58"/>
  <c r="F2" i="58"/>
  <c r="A2" i="23"/>
  <c r="F2" i="23"/>
  <c r="AJ8" i="31"/>
  <c r="AD75" i="31"/>
  <c r="AJ98" i="31"/>
  <c r="AJ165" i="31"/>
  <c r="AD98" i="31"/>
  <c r="AD165" i="31"/>
  <c r="R165" i="31"/>
  <c r="R255" i="31"/>
  <c r="R188" i="31"/>
  <c r="AR188" i="31"/>
  <c r="BJ188" i="31"/>
  <c r="X75" i="31"/>
  <c r="AJ75" i="31"/>
  <c r="X98" i="31"/>
  <c r="X165" i="31"/>
  <c r="X255" i="31"/>
  <c r="X188" i="31"/>
  <c r="AE255" i="31"/>
  <c r="AE188" i="31"/>
  <c r="AL188" i="31"/>
  <c r="AL255" i="31"/>
  <c r="AX188" i="31"/>
  <c r="BE188" i="31"/>
  <c r="BL188" i="31"/>
  <c r="F8" i="31"/>
  <c r="H8" i="31"/>
  <c r="J8" i="31"/>
  <c r="L8" i="31"/>
  <c r="N8" i="31"/>
  <c r="Q8" i="31"/>
  <c r="S8" i="31"/>
  <c r="F75" i="31"/>
  <c r="H75" i="31"/>
  <c r="M75" i="31"/>
  <c r="O75" i="31"/>
  <c r="Q75" i="31"/>
  <c r="S75" i="31"/>
  <c r="E98" i="31"/>
  <c r="G98" i="31"/>
  <c r="I98" i="31"/>
  <c r="K98" i="31"/>
  <c r="M98" i="31"/>
  <c r="O98" i="31"/>
  <c r="Q98" i="31"/>
  <c r="S98" i="31"/>
  <c r="F165" i="31"/>
  <c r="G188" i="31"/>
  <c r="H188" i="31"/>
  <c r="I188" i="31"/>
  <c r="K188" i="31"/>
  <c r="M188" i="31"/>
  <c r="B184" i="31"/>
  <c r="F255" i="31"/>
  <c r="H255" i="31"/>
  <c r="M255" i="31"/>
  <c r="AD8" i="31"/>
  <c r="E8" i="31"/>
  <c r="G8" i="31"/>
  <c r="I8" i="31"/>
  <c r="P8" i="31"/>
  <c r="R8" i="31"/>
  <c r="E75" i="31"/>
  <c r="G75" i="31"/>
  <c r="I75" i="31"/>
  <c r="N75" i="31"/>
  <c r="P75" i="31"/>
  <c r="R75" i="31"/>
  <c r="F98" i="31"/>
  <c r="H98" i="31"/>
  <c r="J98" i="31"/>
  <c r="L98" i="31"/>
  <c r="N98" i="31"/>
  <c r="P98" i="31"/>
  <c r="R98" i="31"/>
  <c r="E165" i="31"/>
  <c r="G165" i="31"/>
  <c r="I165" i="31"/>
  <c r="N255" i="31"/>
  <c r="AU126" i="73"/>
  <c r="AT111" i="73"/>
  <c r="AV111" i="73"/>
  <c r="AX111" i="73"/>
  <c r="AT125" i="73"/>
  <c r="AV125" i="73"/>
  <c r="AX125" i="73"/>
  <c r="AT168" i="73"/>
  <c r="AV168" i="73"/>
  <c r="AX168" i="73"/>
  <c r="AW183" i="73"/>
  <c r="AY183" i="73"/>
  <c r="AV225" i="73"/>
  <c r="BC183" i="73"/>
  <c r="BE183" i="73"/>
  <c r="BB225" i="73"/>
  <c r="BD225" i="73"/>
  <c r="BF225" i="73"/>
  <c r="BI225" i="73"/>
  <c r="BK225" i="73"/>
  <c r="BM225" i="73"/>
  <c r="BI183" i="73"/>
  <c r="BK183" i="73"/>
  <c r="BM183" i="73"/>
  <c r="BP183" i="73"/>
  <c r="BR183" i="73"/>
  <c r="BT183" i="73"/>
  <c r="BW182" i="73"/>
  <c r="BY182" i="73"/>
  <c r="CA182" i="73"/>
  <c r="AS111" i="73"/>
  <c r="AU111" i="73"/>
  <c r="AW111" i="73"/>
  <c r="AS125" i="73"/>
  <c r="AU125" i="73"/>
  <c r="AW125" i="73"/>
  <c r="AS168" i="73"/>
  <c r="AU168" i="73"/>
  <c r="AW168" i="73"/>
  <c r="AV183" i="73"/>
  <c r="AX183" i="73"/>
  <c r="AZ183" i="73"/>
  <c r="BB183" i="73"/>
  <c r="BD183" i="73"/>
  <c r="BF183" i="73"/>
  <c r="BC225" i="73"/>
  <c r="BE225" i="73"/>
  <c r="BH225" i="73"/>
  <c r="BJ225" i="73"/>
  <c r="BL225" i="73"/>
  <c r="BH183" i="73"/>
  <c r="BJ183" i="73"/>
  <c r="BL183" i="73"/>
  <c r="BO183" i="73"/>
  <c r="BQ183" i="73"/>
  <c r="BS183" i="73"/>
  <c r="BV182" i="73"/>
  <c r="BX182" i="73"/>
  <c r="BZ182" i="73"/>
  <c r="AX12" i="73"/>
  <c r="AW126" i="73"/>
  <c r="AX69" i="73"/>
  <c r="AV126" i="73"/>
  <c r="AT126" i="73"/>
  <c r="AT69" i="73"/>
  <c r="AV69" i="73"/>
  <c r="AU69" i="73"/>
  <c r="AW69" i="73"/>
  <c r="AV12" i="73"/>
  <c r="AT68" i="73"/>
  <c r="AV68" i="73"/>
  <c r="AX68" i="73"/>
  <c r="AS68" i="73"/>
  <c r="AU68" i="73"/>
  <c r="AW68" i="73"/>
  <c r="C12" i="73"/>
  <c r="E12" i="73"/>
  <c r="G12" i="73"/>
  <c r="I12" i="73"/>
  <c r="K12" i="73"/>
  <c r="M12" i="73"/>
  <c r="O12" i="73"/>
  <c r="E54" i="73"/>
  <c r="G54" i="73"/>
  <c r="K54" i="73"/>
  <c r="M54" i="73"/>
  <c r="O54" i="73"/>
  <c r="C70" i="73"/>
  <c r="C184" i="73"/>
  <c r="C69" i="73"/>
  <c r="E69" i="73"/>
  <c r="G69" i="73"/>
  <c r="I69" i="73"/>
  <c r="K69" i="73"/>
  <c r="M69" i="73"/>
  <c r="O69" i="73"/>
  <c r="D111" i="73"/>
  <c r="F111" i="73"/>
  <c r="H111" i="73"/>
  <c r="L111" i="73"/>
  <c r="N111" i="73"/>
  <c r="C126" i="73"/>
  <c r="E126" i="73"/>
  <c r="G126" i="73"/>
  <c r="I126" i="73"/>
  <c r="K126" i="73"/>
  <c r="M126" i="73"/>
  <c r="O126" i="73"/>
  <c r="D168" i="73"/>
  <c r="F168" i="73"/>
  <c r="H168" i="73"/>
  <c r="L168" i="73"/>
  <c r="N168" i="73"/>
  <c r="C183" i="73"/>
  <c r="E183" i="73"/>
  <c r="G183" i="73"/>
  <c r="I183" i="73"/>
  <c r="K183" i="73"/>
  <c r="M183" i="73"/>
  <c r="O183" i="73"/>
  <c r="N225" i="73"/>
  <c r="L225" i="73"/>
  <c r="H225" i="73"/>
  <c r="F225" i="73"/>
  <c r="D225" i="73"/>
  <c r="Q225" i="73"/>
  <c r="T225" i="73"/>
  <c r="W225" i="73"/>
  <c r="Z225" i="73"/>
  <c r="Q183" i="73"/>
  <c r="U183" i="73"/>
  <c r="X183" i="73"/>
  <c r="AA183" i="73"/>
  <c r="R168" i="73"/>
  <c r="T168" i="73"/>
  <c r="W168" i="73"/>
  <c r="Z168" i="73"/>
  <c r="Q126" i="73"/>
  <c r="S126" i="73"/>
  <c r="U126" i="73"/>
  <c r="X126" i="73"/>
  <c r="AA126" i="73"/>
  <c r="R111" i="73"/>
  <c r="T111" i="73"/>
  <c r="V111" i="73"/>
  <c r="Y111" i="73"/>
  <c r="AA111" i="73"/>
  <c r="AC111" i="73"/>
  <c r="X69" i="73"/>
  <c r="Y69" i="73"/>
  <c r="Z69" i="73"/>
  <c r="AA69" i="73"/>
  <c r="AB69" i="73"/>
  <c r="AC69" i="73"/>
  <c r="X54" i="73"/>
  <c r="Y54" i="73"/>
  <c r="Z54" i="73"/>
  <c r="AA54" i="73"/>
  <c r="AB54" i="73"/>
  <c r="AC54" i="73"/>
  <c r="X12" i="73"/>
  <c r="Y12" i="73"/>
  <c r="Z12" i="73"/>
  <c r="AA12" i="73"/>
  <c r="AB12" i="73"/>
  <c r="AC12" i="73"/>
  <c r="AG12" i="73"/>
  <c r="AH12" i="73"/>
  <c r="AJ12" i="73"/>
  <c r="AM12" i="73"/>
  <c r="AO12" i="73"/>
  <c r="AQ12" i="73"/>
  <c r="AE69" i="73"/>
  <c r="AF54" i="73"/>
  <c r="AF111" i="73"/>
  <c r="AD168" i="73"/>
  <c r="AG69" i="73"/>
  <c r="AE126" i="73"/>
  <c r="AD183" i="73"/>
  <c r="AH54" i="73"/>
  <c r="AH111" i="73"/>
  <c r="AF168" i="73"/>
  <c r="AE225" i="73"/>
  <c r="AJ54" i="73"/>
  <c r="AJ69" i="73"/>
  <c r="AJ111" i="73"/>
  <c r="AH126" i="73"/>
  <c r="AO126" i="73"/>
  <c r="AH168" i="73"/>
  <c r="AO168" i="73"/>
  <c r="AH183" i="73"/>
  <c r="AH225" i="73"/>
  <c r="AM54" i="73"/>
  <c r="AO54" i="73"/>
  <c r="AP54" i="73"/>
  <c r="AM69" i="73"/>
  <c r="AO69" i="73"/>
  <c r="AQ69" i="73"/>
  <c r="AM111" i="73"/>
  <c r="AO111" i="73"/>
  <c r="AQ111" i="73"/>
  <c r="AF183" i="73"/>
  <c r="AJ183" i="73"/>
  <c r="AL183" i="73"/>
  <c r="AO183" i="73"/>
  <c r="AQ183" i="73"/>
  <c r="AS183" i="73"/>
  <c r="AT225" i="73"/>
  <c r="AR225" i="73"/>
  <c r="AP225" i="73"/>
  <c r="AM225" i="73"/>
  <c r="AI225" i="73"/>
  <c r="AC225" i="73"/>
  <c r="AW225" i="73"/>
  <c r="AY225" i="73"/>
  <c r="AS11" i="73"/>
  <c r="AU11" i="73"/>
  <c r="AW11" i="73"/>
  <c r="AS12" i="73"/>
  <c r="C9" i="73"/>
  <c r="D12" i="73"/>
  <c r="F12" i="73"/>
  <c r="H12" i="73"/>
  <c r="J12" i="73"/>
  <c r="L12" i="73"/>
  <c r="N12" i="73"/>
  <c r="D54" i="73"/>
  <c r="F54" i="73"/>
  <c r="H54" i="73"/>
  <c r="L54" i="73"/>
  <c r="N54" i="73"/>
  <c r="C13" i="73"/>
  <c r="C127" i="73"/>
  <c r="C54" i="73"/>
  <c r="D69" i="73"/>
  <c r="F69" i="73"/>
  <c r="H69" i="73"/>
  <c r="J69" i="73"/>
  <c r="L69" i="73"/>
  <c r="N69" i="73"/>
  <c r="C111" i="73"/>
  <c r="E111" i="73"/>
  <c r="G111" i="73"/>
  <c r="K111" i="73"/>
  <c r="M111" i="73"/>
  <c r="O111" i="73"/>
  <c r="D126" i="73"/>
  <c r="F126" i="73"/>
  <c r="H126" i="73"/>
  <c r="J126" i="73"/>
  <c r="L126" i="73"/>
  <c r="N126" i="73"/>
  <c r="C168" i="73"/>
  <c r="E168" i="73"/>
  <c r="G168" i="73"/>
  <c r="K168" i="73"/>
  <c r="M168" i="73"/>
  <c r="O168" i="73"/>
  <c r="D183" i="73"/>
  <c r="F183" i="73"/>
  <c r="H183" i="73"/>
  <c r="J183" i="73"/>
  <c r="L183" i="73"/>
  <c r="N183" i="73"/>
  <c r="O225" i="73"/>
  <c r="M225" i="73"/>
  <c r="K225" i="73"/>
  <c r="G225" i="73"/>
  <c r="E225" i="73"/>
  <c r="C225" i="73"/>
  <c r="R225" i="73"/>
  <c r="U225" i="73"/>
  <c r="X225" i="73"/>
  <c r="AA225" i="73"/>
  <c r="R183" i="73"/>
  <c r="T183" i="73"/>
  <c r="W183" i="73"/>
  <c r="Z183" i="73"/>
  <c r="Q168" i="73"/>
  <c r="S168" i="73"/>
  <c r="U168" i="73"/>
  <c r="X168" i="73"/>
  <c r="AA168" i="73"/>
  <c r="R126" i="73"/>
  <c r="T126" i="73"/>
  <c r="W126" i="73"/>
  <c r="Z126" i="73"/>
  <c r="Q111" i="73"/>
  <c r="S111" i="73"/>
  <c r="U111" i="73"/>
  <c r="X111" i="73"/>
  <c r="Z111" i="73"/>
  <c r="AB111" i="73"/>
  <c r="Q69" i="73"/>
  <c r="R69" i="73"/>
  <c r="S69" i="73"/>
  <c r="T69" i="73"/>
  <c r="U69" i="73"/>
  <c r="V69" i="73"/>
  <c r="Q54" i="73"/>
  <c r="R54" i="73"/>
  <c r="S54" i="73"/>
  <c r="T54" i="73"/>
  <c r="U54" i="73"/>
  <c r="V54" i="73"/>
  <c r="Q12" i="73"/>
  <c r="R12" i="73"/>
  <c r="S12" i="73"/>
  <c r="T12" i="73"/>
  <c r="U12" i="73"/>
  <c r="V12" i="73"/>
  <c r="AE12" i="73"/>
  <c r="AF12" i="73"/>
  <c r="AI12" i="73"/>
  <c r="AL12" i="73"/>
  <c r="AN12" i="73"/>
  <c r="AP12" i="73"/>
  <c r="AE54" i="73"/>
  <c r="AE111" i="73"/>
  <c r="AF69" i="73"/>
  <c r="AD126" i="73"/>
  <c r="AG54" i="73"/>
  <c r="AG111" i="73"/>
  <c r="AE168" i="73"/>
  <c r="AD225" i="73"/>
  <c r="AH69" i="73"/>
  <c r="AF126" i="73"/>
  <c r="AE183" i="73"/>
  <c r="AI54" i="73"/>
  <c r="AI69" i="73"/>
  <c r="AI111" i="73"/>
  <c r="AG126" i="73"/>
  <c r="AN126" i="73"/>
  <c r="AG168" i="73"/>
  <c r="AN168" i="73"/>
  <c r="AG183" i="73"/>
  <c r="AG225" i="73"/>
  <c r="AL54" i="73"/>
  <c r="AN54" i="73"/>
  <c r="AQ54" i="73"/>
  <c r="AL69" i="73"/>
  <c r="AN69" i="73"/>
  <c r="AP69" i="73"/>
  <c r="AL111" i="73"/>
  <c r="AN111" i="73"/>
  <c r="AP111" i="73"/>
  <c r="AC183" i="73"/>
  <c r="AI183" i="73"/>
  <c r="AK183" i="73"/>
  <c r="AM183" i="73"/>
  <c r="AP183" i="73"/>
  <c r="AR183" i="73"/>
  <c r="AT183" i="73"/>
  <c r="AS225" i="73"/>
  <c r="AQ225" i="73"/>
  <c r="AO225" i="73"/>
  <c r="AJ225" i="73"/>
  <c r="AF225" i="73"/>
  <c r="AX225" i="73"/>
  <c r="AZ225" i="73"/>
  <c r="AT11" i="73"/>
  <c r="AV11" i="73"/>
  <c r="AX11" i="73"/>
  <c r="BM180" i="11"/>
  <c r="BU180" i="11"/>
  <c r="AW10" i="11"/>
  <c r="A2" i="73"/>
  <c r="BL180" i="11"/>
  <c r="BO180" i="11"/>
  <c r="C68" i="11"/>
  <c r="U180" i="11"/>
  <c r="AM180" i="11"/>
  <c r="AZ180" i="11"/>
  <c r="AJ180" i="11"/>
  <c r="C179" i="11"/>
  <c r="C122" i="11"/>
  <c r="Q65" i="11"/>
  <c r="AK66" i="11"/>
  <c r="W123" i="11"/>
  <c r="AL66" i="11"/>
  <c r="AJ123" i="11"/>
  <c r="BH223" i="11"/>
  <c r="BW180" i="11"/>
  <c r="BY180" i="11"/>
  <c r="CA180" i="11"/>
  <c r="BW223" i="11"/>
  <c r="BY223" i="11"/>
  <c r="CA223" i="11"/>
  <c r="X9" i="11"/>
  <c r="AK9" i="11"/>
  <c r="C53" i="11"/>
  <c r="F65" i="11"/>
  <c r="X66" i="11"/>
  <c r="BO223" i="11"/>
  <c r="BV180" i="11"/>
  <c r="BX180" i="11"/>
  <c r="BZ180" i="11"/>
  <c r="BV223" i="11"/>
  <c r="BX223" i="11"/>
  <c r="BZ223" i="11"/>
  <c r="W9" i="11"/>
  <c r="C65" i="11"/>
  <c r="AI181" i="11"/>
  <c r="AT181" i="11"/>
  <c r="AO181" i="11"/>
  <c r="AS9" i="11"/>
  <c r="AU9" i="11"/>
  <c r="AW9" i="11"/>
  <c r="AS52" i="11"/>
  <c r="AU52" i="11"/>
  <c r="AW52" i="11"/>
  <c r="AS66" i="11"/>
  <c r="AU66" i="11"/>
  <c r="AW66" i="11"/>
  <c r="AS109" i="11"/>
  <c r="AU109" i="11"/>
  <c r="AW109" i="11"/>
  <c r="AS123" i="11"/>
  <c r="AU123" i="11"/>
  <c r="AW123" i="11"/>
  <c r="AW166" i="11"/>
  <c r="AV181" i="11"/>
  <c r="AX181" i="11"/>
  <c r="AZ181" i="11"/>
  <c r="BC181" i="11"/>
  <c r="BE181" i="11"/>
  <c r="AV223" i="11"/>
  <c r="AX223" i="11"/>
  <c r="AZ223" i="11"/>
  <c r="BC223" i="11"/>
  <c r="BE223" i="11"/>
  <c r="BH181" i="11"/>
  <c r="BJ181" i="11"/>
  <c r="BL181" i="11"/>
  <c r="BO181" i="11"/>
  <c r="BQ181" i="11"/>
  <c r="BS181" i="11"/>
  <c r="BJ223" i="11"/>
  <c r="BL223" i="11"/>
  <c r="BQ223" i="11"/>
  <c r="BT223" i="11"/>
  <c r="AJ181" i="11"/>
  <c r="AT9" i="11"/>
  <c r="AV9" i="11"/>
  <c r="AX9" i="11"/>
  <c r="AT52" i="11"/>
  <c r="AV52" i="11"/>
  <c r="AX52" i="11"/>
  <c r="AT66" i="11"/>
  <c r="AV66" i="11"/>
  <c r="AX66" i="11"/>
  <c r="AT109" i="11"/>
  <c r="AV109" i="11"/>
  <c r="AX109" i="11"/>
  <c r="AT123" i="11"/>
  <c r="AV123" i="11"/>
  <c r="AX123" i="11"/>
  <c r="AV166" i="11"/>
  <c r="AW181" i="11"/>
  <c r="AY181" i="11"/>
  <c r="BB181" i="11"/>
  <c r="BD181" i="11"/>
  <c r="BF181" i="11"/>
  <c r="AW223" i="11"/>
  <c r="AY223" i="11"/>
  <c r="BB223" i="11"/>
  <c r="BD223" i="11"/>
  <c r="BF223" i="11"/>
  <c r="BI181" i="11"/>
  <c r="BK181" i="11"/>
  <c r="BM181" i="11"/>
  <c r="BP181" i="11"/>
  <c r="BR181" i="11"/>
  <c r="BT181" i="11"/>
  <c r="BI223" i="11"/>
  <c r="BK223" i="11"/>
  <c r="BM223" i="11"/>
  <c r="BP223" i="11"/>
  <c r="BS223" i="11"/>
  <c r="AL10" i="11"/>
  <c r="AL67" i="11"/>
  <c r="AC223" i="11"/>
  <c r="AL52" i="11"/>
  <c r="AL109" i="11"/>
  <c r="AH181" i="11"/>
  <c r="AH223" i="11"/>
  <c r="AQ10" i="11"/>
  <c r="AQ52" i="11"/>
  <c r="AQ67" i="11"/>
  <c r="AQ109" i="11"/>
  <c r="AS181" i="11"/>
  <c r="AG181" i="11"/>
  <c r="AM181" i="11"/>
  <c r="AD223" i="11"/>
  <c r="AF223" i="11"/>
  <c r="AN10" i="11"/>
  <c r="AP10" i="11"/>
  <c r="AN52" i="11"/>
  <c r="AP52" i="11"/>
  <c r="AN67" i="11"/>
  <c r="AP67" i="11"/>
  <c r="AN109" i="11"/>
  <c r="AP109" i="11"/>
  <c r="AP181" i="11"/>
  <c r="AR181" i="11"/>
  <c r="AE223" i="11"/>
  <c r="AG223" i="11"/>
  <c r="AM10" i="11"/>
  <c r="AO10" i="11"/>
  <c r="AM52" i="11"/>
  <c r="AO52" i="11"/>
  <c r="AM67" i="11"/>
  <c r="AO67" i="11"/>
  <c r="AM109" i="11"/>
  <c r="AO109" i="11"/>
  <c r="AQ181" i="11"/>
  <c r="K52" i="11"/>
  <c r="L52" i="11"/>
  <c r="D67" i="11"/>
  <c r="F67" i="11"/>
  <c r="H67" i="11"/>
  <c r="L67" i="11"/>
  <c r="N67" i="11"/>
  <c r="C109" i="11"/>
  <c r="E109" i="11"/>
  <c r="G109" i="11"/>
  <c r="K109" i="11"/>
  <c r="M109" i="11"/>
  <c r="O109" i="11"/>
  <c r="C124" i="11"/>
  <c r="E124" i="11"/>
  <c r="G124" i="11"/>
  <c r="K124" i="11"/>
  <c r="M124" i="11"/>
  <c r="O124" i="11"/>
  <c r="C167" i="11"/>
  <c r="D166" i="11"/>
  <c r="F166" i="11"/>
  <c r="H166" i="11"/>
  <c r="L166" i="11"/>
  <c r="N166" i="11"/>
  <c r="C181" i="11"/>
  <c r="E181" i="11"/>
  <c r="G181" i="11"/>
  <c r="I181" i="11"/>
  <c r="K181" i="11"/>
  <c r="M181" i="11"/>
  <c r="O181" i="11"/>
  <c r="C224" i="11"/>
  <c r="D223" i="11"/>
  <c r="F223" i="11"/>
  <c r="H223" i="11"/>
  <c r="L223" i="11"/>
  <c r="N223" i="11"/>
  <c r="Q10" i="11"/>
  <c r="S10" i="11"/>
  <c r="U10" i="11"/>
  <c r="Q52" i="11"/>
  <c r="S52" i="11"/>
  <c r="U52" i="11"/>
  <c r="Q67" i="11"/>
  <c r="S67" i="11"/>
  <c r="U67" i="11"/>
  <c r="Q109" i="11"/>
  <c r="S109" i="11"/>
  <c r="U109" i="11"/>
  <c r="Q124" i="11"/>
  <c r="S124" i="11"/>
  <c r="U124" i="11"/>
  <c r="R166" i="11"/>
  <c r="T166" i="11"/>
  <c r="Q181" i="11"/>
  <c r="S181" i="11"/>
  <c r="U181" i="11"/>
  <c r="R223" i="11"/>
  <c r="T223" i="11"/>
  <c r="X10" i="11"/>
  <c r="Z10" i="11"/>
  <c r="AB10" i="11"/>
  <c r="AE10" i="11"/>
  <c r="Y52" i="11"/>
  <c r="AA52" i="11"/>
  <c r="AC52" i="11"/>
  <c r="Y67" i="11"/>
  <c r="AA67" i="11"/>
  <c r="AC67" i="11"/>
  <c r="Y109" i="11"/>
  <c r="AA109" i="11"/>
  <c r="W124" i="11"/>
  <c r="Z124" i="11"/>
  <c r="W166" i="11"/>
  <c r="Z166" i="11"/>
  <c r="W181" i="11"/>
  <c r="Y181" i="11"/>
  <c r="AA181" i="11"/>
  <c r="X223" i="11"/>
  <c r="Z223" i="11"/>
  <c r="AF10" i="11"/>
  <c r="AH10" i="11"/>
  <c r="AJ10" i="11"/>
  <c r="AF52" i="11"/>
  <c r="AH52" i="11"/>
  <c r="AJ52" i="11"/>
  <c r="AF67" i="11"/>
  <c r="AH67" i="11"/>
  <c r="AJ67" i="11"/>
  <c r="AF109" i="11"/>
  <c r="AH109" i="11"/>
  <c r="AJ109" i="11"/>
  <c r="AD124" i="11"/>
  <c r="AF124" i="11"/>
  <c r="AH124" i="11"/>
  <c r="AK124" i="11"/>
  <c r="AM124" i="11"/>
  <c r="AO124" i="11"/>
  <c r="AD166" i="11"/>
  <c r="AF166" i="11"/>
  <c r="AH166" i="11"/>
  <c r="AM166" i="11"/>
  <c r="AO166" i="11"/>
  <c r="AE181" i="11"/>
  <c r="C67" i="11"/>
  <c r="E67" i="11"/>
  <c r="G67" i="11"/>
  <c r="K67" i="11"/>
  <c r="M67" i="11"/>
  <c r="O67" i="11"/>
  <c r="D109" i="11"/>
  <c r="F109" i="11"/>
  <c r="H109" i="11"/>
  <c r="N109" i="11"/>
  <c r="D124" i="11"/>
  <c r="F124" i="11"/>
  <c r="H124" i="11"/>
  <c r="L124" i="11"/>
  <c r="N124" i="11"/>
  <c r="C125" i="11"/>
  <c r="C166" i="11"/>
  <c r="E166" i="11"/>
  <c r="G166" i="11"/>
  <c r="K166" i="11"/>
  <c r="M166" i="11"/>
  <c r="O166" i="11"/>
  <c r="D181" i="11"/>
  <c r="F181" i="11"/>
  <c r="H181" i="11"/>
  <c r="J181" i="11"/>
  <c r="L181" i="11"/>
  <c r="N181" i="11"/>
  <c r="C182" i="11"/>
  <c r="C223" i="11"/>
  <c r="E223" i="11"/>
  <c r="G223" i="11"/>
  <c r="M223" i="11"/>
  <c r="O223" i="11"/>
  <c r="R10" i="11"/>
  <c r="T10" i="11"/>
  <c r="V10" i="11"/>
  <c r="R52" i="11"/>
  <c r="T52" i="11"/>
  <c r="V52" i="11"/>
  <c r="R67" i="11"/>
  <c r="T67" i="11"/>
  <c r="V67" i="11"/>
  <c r="R109" i="11"/>
  <c r="T109" i="11"/>
  <c r="V109" i="11"/>
  <c r="R124" i="11"/>
  <c r="T124" i="11"/>
  <c r="Q166" i="11"/>
  <c r="S166" i="11"/>
  <c r="U166" i="11"/>
  <c r="R181" i="11"/>
  <c r="T181" i="11"/>
  <c r="Q223" i="11"/>
  <c r="S223" i="11"/>
  <c r="U223" i="11"/>
  <c r="AA10" i="11"/>
  <c r="AC10" i="11"/>
  <c r="X52" i="11"/>
  <c r="Z52" i="11"/>
  <c r="AB52" i="11"/>
  <c r="X67" i="11"/>
  <c r="Z67" i="11"/>
  <c r="AB67" i="11"/>
  <c r="X109" i="11"/>
  <c r="Z109" i="11"/>
  <c r="AB109" i="11"/>
  <c r="AC109" i="11"/>
  <c r="X124" i="11"/>
  <c r="AA124" i="11"/>
  <c r="X166" i="11"/>
  <c r="AA166" i="11"/>
  <c r="X181" i="11"/>
  <c r="Z181" i="11"/>
  <c r="W223" i="11"/>
  <c r="AA223" i="11"/>
  <c r="AG10" i="11"/>
  <c r="AI10" i="11"/>
  <c r="AE52" i="11"/>
  <c r="AG52" i="11"/>
  <c r="AI52" i="11"/>
  <c r="AE67" i="11"/>
  <c r="AG67" i="11"/>
  <c r="AI67" i="11"/>
  <c r="AE109" i="11"/>
  <c r="AG109" i="11"/>
  <c r="AI109" i="11"/>
  <c r="AC124" i="11"/>
  <c r="AE124" i="11"/>
  <c r="AG124" i="11"/>
  <c r="AJ124" i="11"/>
  <c r="AL124" i="11"/>
  <c r="AN124" i="11"/>
  <c r="AC166" i="11"/>
  <c r="AE166" i="11"/>
  <c r="AL166" i="11"/>
  <c r="J67" i="11"/>
  <c r="I124" i="11"/>
  <c r="I67" i="11"/>
  <c r="J124" i="11"/>
  <c r="C10" i="11"/>
  <c r="E10" i="11"/>
  <c r="G10" i="11"/>
  <c r="M10" i="11"/>
  <c r="O10" i="11"/>
  <c r="D10" i="11"/>
  <c r="F10" i="11"/>
  <c r="H10" i="11"/>
  <c r="N10" i="11"/>
  <c r="B173" i="80"/>
  <c r="F342" i="7" s="1"/>
  <c r="B72" i="86"/>
  <c r="E53" i="74" s="1"/>
  <c r="B71" i="86"/>
  <c r="E56" i="45" s="1"/>
  <c r="B70" i="86"/>
  <c r="B10" i="86"/>
  <c r="E21" i="74" s="1"/>
  <c r="B49" i="86"/>
  <c r="B27" i="86"/>
  <c r="B13" i="86"/>
  <c r="I6" i="45" s="1"/>
  <c r="B3" i="86"/>
  <c r="R4" i="74" s="1"/>
  <c r="B4" i="86"/>
  <c r="B5" i="86"/>
  <c r="B6" i="86"/>
  <c r="B7" i="86"/>
  <c r="G6" i="45" s="1"/>
  <c r="B8" i="86"/>
  <c r="B9" i="86"/>
  <c r="E46" i="45" s="1"/>
  <c r="B11" i="86"/>
  <c r="B12" i="86"/>
  <c r="B14" i="86"/>
  <c r="B15" i="86"/>
  <c r="B17" i="86"/>
  <c r="B18" i="86"/>
  <c r="N6" i="74" s="1"/>
  <c r="B19" i="86"/>
  <c r="B20" i="86"/>
  <c r="P6" i="74" s="1"/>
  <c r="B21" i="86"/>
  <c r="Q6" i="45" s="1"/>
  <c r="B22" i="86"/>
  <c r="R6" i="74" s="1"/>
  <c r="B23" i="86"/>
  <c r="B24" i="86"/>
  <c r="AB6" i="74" s="1"/>
  <c r="B25" i="86"/>
  <c r="B26" i="86"/>
  <c r="AD6" i="74" s="1"/>
  <c r="B28" i="86"/>
  <c r="B29" i="86"/>
  <c r="B30" i="86"/>
  <c r="B31" i="86"/>
  <c r="AA6" i="45" s="1"/>
  <c r="B32" i="86"/>
  <c r="R5" i="74" s="1"/>
  <c r="B33" i="86"/>
  <c r="Y5" i="74" s="1"/>
  <c r="B34" i="86"/>
  <c r="AG5" i="74" s="1"/>
  <c r="B35" i="86"/>
  <c r="AO5" i="74" s="1"/>
  <c r="B36" i="86"/>
  <c r="AW5" i="74" s="1"/>
  <c r="B37" i="86"/>
  <c r="BE5" i="74" s="1"/>
  <c r="B38" i="86"/>
  <c r="BM5" i="74" s="1"/>
  <c r="B39" i="86"/>
  <c r="B40" i="86"/>
  <c r="B41" i="86"/>
  <c r="B42" i="86"/>
  <c r="B43" i="86"/>
  <c r="B44" i="86"/>
  <c r="B45" i="86"/>
  <c r="B46" i="86"/>
  <c r="B47" i="86"/>
  <c r="B48" i="86"/>
  <c r="B50" i="86"/>
  <c r="B51" i="86"/>
  <c r="AR48" i="74" s="1"/>
  <c r="B52" i="86"/>
  <c r="B53" i="86"/>
  <c r="B54" i="86"/>
  <c r="B55" i="86"/>
  <c r="B56" i="86"/>
  <c r="B57" i="86"/>
  <c r="B58" i="86"/>
  <c r="B59" i="86"/>
  <c r="B60" i="86"/>
  <c r="B61" i="86"/>
  <c r="B62" i="86"/>
  <c r="B63" i="86"/>
  <c r="B64" i="86"/>
  <c r="B65" i="86"/>
  <c r="B66" i="86"/>
  <c r="B67" i="86"/>
  <c r="B68" i="86"/>
  <c r="B69" i="86"/>
  <c r="B2" i="86"/>
  <c r="A2" i="45" s="1"/>
  <c r="B73" i="85"/>
  <c r="C240" i="10" s="1"/>
  <c r="B112" i="85"/>
  <c r="J222" i="10" s="1"/>
  <c r="B113" i="85"/>
  <c r="J220" i="10" s="1"/>
  <c r="B114" i="85"/>
  <c r="B115" i="85"/>
  <c r="J224" i="10" s="1"/>
  <c r="B3" i="85"/>
  <c r="B2" i="10" s="1"/>
  <c r="B4" i="85"/>
  <c r="A4" i="10" s="1"/>
  <c r="B5" i="85"/>
  <c r="B6" i="10" s="1"/>
  <c r="B6" i="85"/>
  <c r="C6" i="10" s="1"/>
  <c r="B7" i="85"/>
  <c r="B55" i="10" s="1"/>
  <c r="B8" i="85"/>
  <c r="B9" i="85"/>
  <c r="B20" i="10" s="1"/>
  <c r="B10" i="85"/>
  <c r="A33" i="10" s="1"/>
  <c r="B11" i="85"/>
  <c r="B35" i="10" s="1"/>
  <c r="B12" i="85"/>
  <c r="B37" i="10" s="1"/>
  <c r="B13" i="85"/>
  <c r="D37" i="10" s="1"/>
  <c r="B14" i="85"/>
  <c r="E37" i="10" s="1"/>
  <c r="B15" i="85"/>
  <c r="C54" i="10" s="1"/>
  <c r="B16" i="85"/>
  <c r="D54" i="10" s="1"/>
  <c r="B17" i="85"/>
  <c r="B18" i="85"/>
  <c r="B19" i="85"/>
  <c r="B69" i="10" s="1"/>
  <c r="B20" i="85"/>
  <c r="B72" i="10" s="1"/>
  <c r="B21" i="85"/>
  <c r="B74" i="10" s="1"/>
  <c r="B22" i="85"/>
  <c r="F74" i="10" s="1"/>
  <c r="B23" i="85"/>
  <c r="B77" i="10" s="1"/>
  <c r="B24" i="85"/>
  <c r="D77" i="10" s="1"/>
  <c r="B25" i="85"/>
  <c r="E77" i="10" s="1"/>
  <c r="B26" i="85"/>
  <c r="F77" i="10" s="1"/>
  <c r="B27" i="85"/>
  <c r="A97" i="10" s="1"/>
  <c r="B28" i="85"/>
  <c r="B99" i="10" s="1"/>
  <c r="B29" i="85"/>
  <c r="B100" i="10" s="1"/>
  <c r="B30" i="85"/>
  <c r="B102" i="10" s="1"/>
  <c r="B31" i="85"/>
  <c r="C104" i="10" s="1"/>
  <c r="B32" i="85"/>
  <c r="F104" i="10" s="1"/>
  <c r="B33" i="85"/>
  <c r="C134" i="10" s="1"/>
  <c r="B34" i="85"/>
  <c r="D134" i="10" s="1"/>
  <c r="B35" i="85"/>
  <c r="E134" i="10" s="1"/>
  <c r="B36" i="85"/>
  <c r="B131" i="10" s="1"/>
  <c r="B37" i="85"/>
  <c r="C133" i="10" s="1"/>
  <c r="B38" i="85"/>
  <c r="F133" i="10" s="1"/>
  <c r="B39" i="85"/>
  <c r="A160" i="10" s="1"/>
  <c r="B40" i="85"/>
  <c r="B163" i="10" s="1"/>
  <c r="B41" i="85"/>
  <c r="F170" i="10" s="1"/>
  <c r="B42" i="85"/>
  <c r="G170" i="10" s="1"/>
  <c r="B43" i="85"/>
  <c r="C171" i="10" s="1"/>
  <c r="B44" i="85"/>
  <c r="C179" i="10" s="1"/>
  <c r="B45" i="85"/>
  <c r="D179" i="10" s="1"/>
  <c r="B46" i="85"/>
  <c r="E179" i="10" s="1"/>
  <c r="B47" i="85"/>
  <c r="F179" i="10" s="1"/>
  <c r="B48" i="85"/>
  <c r="G179" i="10" s="1"/>
  <c r="B49" i="85"/>
  <c r="H179" i="10" s="1"/>
  <c r="B50" i="85"/>
  <c r="I179" i="10" s="1"/>
  <c r="B51" i="85"/>
  <c r="B189" i="10" s="1"/>
  <c r="B52" i="85"/>
  <c r="B202" i="10" s="1"/>
  <c r="B53" i="85"/>
  <c r="D184" i="10" s="1"/>
  <c r="B54" i="85"/>
  <c r="D186" i="10" s="1"/>
  <c r="B55" i="85"/>
  <c r="D204" i="10" s="1"/>
  <c r="B56" i="85"/>
  <c r="E191" i="10" s="1"/>
  <c r="B57" i="85"/>
  <c r="F204" i="10" s="1"/>
  <c r="B58" i="85"/>
  <c r="G191" i="10" s="1"/>
  <c r="B59" i="85"/>
  <c r="H204" i="10" s="1"/>
  <c r="B60" i="85"/>
  <c r="I204" i="10" s="1"/>
  <c r="B61" i="85"/>
  <c r="B215" i="10" s="1"/>
  <c r="B62" i="85"/>
  <c r="B228" i="10" s="1"/>
  <c r="B63" i="85"/>
  <c r="C231" i="10" s="1"/>
  <c r="B64" i="85"/>
  <c r="F258" i="10" s="1"/>
  <c r="B65" i="85"/>
  <c r="D260" i="10" s="1"/>
  <c r="B66" i="85"/>
  <c r="D269" i="10" s="1"/>
  <c r="B67" i="85"/>
  <c r="D270" i="10" s="1"/>
  <c r="B68" i="85"/>
  <c r="D271" i="10" s="1"/>
  <c r="B69" i="85"/>
  <c r="D272" i="10" s="1"/>
  <c r="B70" i="85"/>
  <c r="D273" i="10" s="1"/>
  <c r="B71" i="85"/>
  <c r="D274" i="10" s="1"/>
  <c r="B72" i="85"/>
  <c r="D275" i="10" s="1"/>
  <c r="B74" i="85"/>
  <c r="D278" i="10" s="1"/>
  <c r="B75" i="85"/>
  <c r="D280" i="10" s="1"/>
  <c r="B76" i="85"/>
  <c r="C529" i="10" s="1"/>
  <c r="B77" i="85"/>
  <c r="C460" i="10" s="1"/>
  <c r="B78" i="85"/>
  <c r="C249" i="10" s="1"/>
  <c r="B79" i="85"/>
  <c r="D288" i="10" s="1"/>
  <c r="B80" i="85"/>
  <c r="C537" i="10" s="1"/>
  <c r="B81" i="85"/>
  <c r="B256" i="10" s="1"/>
  <c r="B82" i="85"/>
  <c r="C269" i="10" s="1"/>
  <c r="B83" i="85"/>
  <c r="A292" i="10" s="1"/>
  <c r="B84" i="85"/>
  <c r="B294" i="10" s="1"/>
  <c r="B85" i="85"/>
  <c r="C367" i="10" s="1"/>
  <c r="B86" i="85"/>
  <c r="C404" i="10" s="1"/>
  <c r="B87" i="85"/>
  <c r="AG298" i="10" s="1"/>
  <c r="B88" i="85"/>
  <c r="AH298" i="10" s="1"/>
  <c r="B89" i="85"/>
  <c r="C393" i="10" s="1"/>
  <c r="B90" i="85"/>
  <c r="C359" i="10" s="1"/>
  <c r="B91" i="85"/>
  <c r="C360" i="10" s="1"/>
  <c r="B92" i="85"/>
  <c r="C361" i="10" s="1"/>
  <c r="B93" i="85"/>
  <c r="B329" i="10" s="1"/>
  <c r="B94" i="85"/>
  <c r="C428" i="10" s="1"/>
  <c r="B95" i="85"/>
  <c r="C429" i="10" s="1"/>
  <c r="B96" i="85"/>
  <c r="C430" i="10" s="1"/>
  <c r="B97" i="85"/>
  <c r="C431" i="10" s="1"/>
  <c r="B98" i="85"/>
  <c r="B364" i="10" s="1"/>
  <c r="B99" i="85"/>
  <c r="B399" i="10" s="1"/>
  <c r="B100" i="85"/>
  <c r="A434" i="10" s="1"/>
  <c r="B101" i="85"/>
  <c r="B102" i="85"/>
  <c r="B517" i="10" s="1"/>
  <c r="B103" i="85"/>
  <c r="A469" i="10" s="1"/>
  <c r="B104" i="85"/>
  <c r="I472" i="10" s="1"/>
  <c r="B105" i="85"/>
  <c r="J472" i="10" s="1"/>
  <c r="B106" i="85"/>
  <c r="K472" i="10" s="1"/>
  <c r="B107" i="85"/>
  <c r="A504" i="10" s="1"/>
  <c r="B108" i="85"/>
  <c r="B506" i="10" s="1"/>
  <c r="B109" i="85"/>
  <c r="G508" i="10" s="1"/>
  <c r="B110" i="85"/>
  <c r="H508" i="10" s="1"/>
  <c r="B111" i="85"/>
  <c r="I508" i="10" s="1"/>
  <c r="J7" i="96" l="1"/>
  <c r="J56" i="60"/>
  <c r="G139" i="66"/>
  <c r="E58" i="96"/>
  <c r="E56" i="98"/>
  <c r="G132" i="66"/>
  <c r="E51" i="96"/>
  <c r="E49" i="98"/>
  <c r="G133" i="66"/>
  <c r="E52" i="96"/>
  <c r="E50" i="98"/>
  <c r="G134" i="66"/>
  <c r="E53" i="96"/>
  <c r="E51" i="98"/>
  <c r="G135" i="66"/>
  <c r="E54" i="96"/>
  <c r="E52" i="98"/>
  <c r="G137" i="66"/>
  <c r="E56" i="96"/>
  <c r="E54" i="98"/>
  <c r="G122" i="66"/>
  <c r="E41" i="96"/>
  <c r="G118" i="66"/>
  <c r="E37" i="96"/>
  <c r="G114" i="66"/>
  <c r="E33" i="96"/>
  <c r="G110" i="66"/>
  <c r="E29" i="96"/>
  <c r="G103" i="66"/>
  <c r="E22" i="96"/>
  <c r="G99" i="66"/>
  <c r="E18" i="96"/>
  <c r="G95" i="66"/>
  <c r="E14" i="96"/>
  <c r="G91" i="66"/>
  <c r="E10" i="96"/>
  <c r="G127" i="66"/>
  <c r="E46" i="96"/>
  <c r="G123" i="66"/>
  <c r="E42" i="96"/>
  <c r="G119" i="66"/>
  <c r="E38" i="96"/>
  <c r="G115" i="66"/>
  <c r="E34" i="96"/>
  <c r="G111" i="66"/>
  <c r="E30" i="96"/>
  <c r="G107" i="66"/>
  <c r="E26" i="96"/>
  <c r="G100" i="66"/>
  <c r="E19" i="96"/>
  <c r="G96" i="66"/>
  <c r="E15" i="96"/>
  <c r="G92" i="66"/>
  <c r="E11" i="96"/>
  <c r="G124" i="66"/>
  <c r="E43" i="96"/>
  <c r="G120" i="66"/>
  <c r="E39" i="96"/>
  <c r="G116" i="66"/>
  <c r="E35" i="96"/>
  <c r="G112" i="66"/>
  <c r="E31" i="96"/>
  <c r="G108" i="66"/>
  <c r="E27" i="96"/>
  <c r="G101" i="66"/>
  <c r="E20" i="96"/>
  <c r="G97" i="66"/>
  <c r="E16" i="96"/>
  <c r="G93" i="66"/>
  <c r="E12" i="96"/>
  <c r="G130" i="66"/>
  <c r="E49" i="96"/>
  <c r="G125" i="66"/>
  <c r="E44" i="96"/>
  <c r="G121" i="66"/>
  <c r="E40" i="96"/>
  <c r="G117" i="66"/>
  <c r="E36" i="96"/>
  <c r="G113" i="66"/>
  <c r="E32" i="96"/>
  <c r="G109" i="66"/>
  <c r="E28" i="96"/>
  <c r="G102" i="66"/>
  <c r="E21" i="96"/>
  <c r="G98" i="66"/>
  <c r="E17" i="96"/>
  <c r="G94" i="66"/>
  <c r="E13" i="96"/>
  <c r="G90" i="66"/>
  <c r="E9" i="96"/>
  <c r="G58" i="66"/>
  <c r="F414" i="8"/>
  <c r="G48" i="66"/>
  <c r="F404" i="8"/>
  <c r="G44" i="66"/>
  <c r="F400" i="8"/>
  <c r="G40" i="66"/>
  <c r="F396" i="8"/>
  <c r="G36" i="66"/>
  <c r="F392" i="8"/>
  <c r="G29" i="66"/>
  <c r="F385" i="8"/>
  <c r="G25" i="66"/>
  <c r="F381" i="8"/>
  <c r="G21" i="66"/>
  <c r="F377" i="8"/>
  <c r="G17" i="66"/>
  <c r="F373" i="8"/>
  <c r="G63" i="66"/>
  <c r="F419" i="8"/>
  <c r="G59" i="66"/>
  <c r="F415" i="8"/>
  <c r="G53" i="66"/>
  <c r="F409" i="8"/>
  <c r="G49" i="66"/>
  <c r="F405" i="8"/>
  <c r="G45" i="66"/>
  <c r="F401" i="8"/>
  <c r="G41" i="66"/>
  <c r="F397" i="8"/>
  <c r="G37" i="66"/>
  <c r="F393" i="8"/>
  <c r="G33" i="66"/>
  <c r="F389" i="8"/>
  <c r="G26" i="66"/>
  <c r="F382" i="8"/>
  <c r="G22" i="66"/>
  <c r="F378" i="8"/>
  <c r="G18" i="66"/>
  <c r="F374" i="8"/>
  <c r="G60" i="66"/>
  <c r="F416" i="8"/>
  <c r="G50" i="66"/>
  <c r="F406" i="8"/>
  <c r="G46" i="66"/>
  <c r="F402" i="8"/>
  <c r="G42" i="66"/>
  <c r="F398" i="8"/>
  <c r="G38" i="66"/>
  <c r="F394" i="8"/>
  <c r="G34" i="66"/>
  <c r="F390" i="8"/>
  <c r="G27" i="66"/>
  <c r="F383" i="8"/>
  <c r="G23" i="66"/>
  <c r="F379" i="8"/>
  <c r="G19" i="66"/>
  <c r="F375" i="8"/>
  <c r="G65" i="66"/>
  <c r="F421" i="8"/>
  <c r="G61" i="66"/>
  <c r="F417" i="8"/>
  <c r="G56" i="66"/>
  <c r="F412" i="8"/>
  <c r="G51" i="66"/>
  <c r="F407" i="8"/>
  <c r="G47" i="66"/>
  <c r="F403" i="8"/>
  <c r="G43" i="66"/>
  <c r="F399" i="8"/>
  <c r="G39" i="66"/>
  <c r="F395" i="8"/>
  <c r="G35" i="66"/>
  <c r="F391" i="8"/>
  <c r="G28" i="66"/>
  <c r="F384" i="8"/>
  <c r="G24" i="66"/>
  <c r="F380" i="8"/>
  <c r="G20" i="66"/>
  <c r="F376" i="8"/>
  <c r="G16" i="66"/>
  <c r="F432" i="8"/>
  <c r="F372" i="8"/>
  <c r="K6" i="74"/>
  <c r="K48" i="74" s="1"/>
  <c r="K48" i="45"/>
  <c r="K6" i="45"/>
  <c r="CC48" i="45"/>
  <c r="CC6" i="74"/>
  <c r="CA48" i="45"/>
  <c r="CA48" i="74"/>
  <c r="CA6" i="74"/>
  <c r="BY48" i="45"/>
  <c r="BY48" i="74"/>
  <c r="BY6" i="74"/>
  <c r="BW48" i="45"/>
  <c r="BW48" i="74"/>
  <c r="BW6" i="74"/>
  <c r="BU48" i="45"/>
  <c r="BU48" i="74"/>
  <c r="BU6" i="74"/>
  <c r="BM48" i="45"/>
  <c r="BM6" i="74"/>
  <c r="BM48" i="74"/>
  <c r="BN48" i="45"/>
  <c r="BN48" i="74"/>
  <c r="BN6" i="74"/>
  <c r="BG6" i="45"/>
  <c r="BG6" i="74"/>
  <c r="BF6" i="45"/>
  <c r="BF48" i="74"/>
  <c r="BF6" i="74"/>
  <c r="AX6" i="45"/>
  <c r="AX48" i="74"/>
  <c r="AX6" i="74"/>
  <c r="AQ6" i="45"/>
  <c r="AQ6" i="74"/>
  <c r="AO6" i="45"/>
  <c r="AO48" i="74"/>
  <c r="AO6" i="74"/>
  <c r="AI6" i="45"/>
  <c r="AI6" i="74"/>
  <c r="AG6" i="45"/>
  <c r="AG48" i="74"/>
  <c r="Z6" i="45"/>
  <c r="Z48" i="74"/>
  <c r="AV6" i="45"/>
  <c r="AF48" i="74"/>
  <c r="AV48" i="74"/>
  <c r="BL48" i="74"/>
  <c r="X48" i="74"/>
  <c r="AN48" i="74"/>
  <c r="BD48" i="74"/>
  <c r="BT48" i="74"/>
  <c r="BT6" i="74"/>
  <c r="BL6" i="74"/>
  <c r="BD6" i="74"/>
  <c r="AV6" i="74"/>
  <c r="AN6" i="74"/>
  <c r="U6" i="45"/>
  <c r="U48" i="74"/>
  <c r="S6" i="45"/>
  <c r="S48" i="74"/>
  <c r="O6" i="45"/>
  <c r="O48" i="74"/>
  <c r="M6" i="45"/>
  <c r="M48" i="74"/>
  <c r="J6" i="45"/>
  <c r="J48" i="74"/>
  <c r="H6" i="45"/>
  <c r="H48" i="74"/>
  <c r="B7" i="45"/>
  <c r="B7" i="74"/>
  <c r="F6" i="45"/>
  <c r="F48" i="74"/>
  <c r="D6" i="45"/>
  <c r="D48" i="74"/>
  <c r="AY6" i="45"/>
  <c r="AY6" i="74"/>
  <c r="E21" i="45"/>
  <c r="E25" i="45"/>
  <c r="E27" i="45"/>
  <c r="E29" i="45"/>
  <c r="E31" i="45"/>
  <c r="E33" i="45"/>
  <c r="E35" i="45"/>
  <c r="E37" i="45"/>
  <c r="E39" i="45"/>
  <c r="E41" i="45"/>
  <c r="E44" i="45"/>
  <c r="B49" i="45"/>
  <c r="B49" i="74"/>
  <c r="E50" i="45"/>
  <c r="E52" i="45"/>
  <c r="E54" i="45"/>
  <c r="BE5" i="45"/>
  <c r="AO5" i="45"/>
  <c r="Y5" i="45"/>
  <c r="R4" i="45"/>
  <c r="D6" i="74"/>
  <c r="F6" i="74"/>
  <c r="H6" i="74"/>
  <c r="J6" i="74"/>
  <c r="T6" i="74"/>
  <c r="V6" i="74"/>
  <c r="X6" i="74"/>
  <c r="Z6" i="74"/>
  <c r="AF6" i="74"/>
  <c r="CB6" i="45"/>
  <c r="CB6" i="74"/>
  <c r="CB48" i="74"/>
  <c r="BZ6" i="45"/>
  <c r="BZ6" i="74"/>
  <c r="BZ48" i="74"/>
  <c r="BX6" i="45"/>
  <c r="BX6" i="74"/>
  <c r="BX48" i="74"/>
  <c r="BV6" i="45"/>
  <c r="BV48" i="74"/>
  <c r="BQ48" i="45"/>
  <c r="BQ48" i="74"/>
  <c r="BQ6" i="74"/>
  <c r="BO6" i="45"/>
  <c r="BO6" i="74"/>
  <c r="BI48" i="45"/>
  <c r="BI6" i="74"/>
  <c r="BI48" i="74"/>
  <c r="BE48" i="45"/>
  <c r="BE48" i="74"/>
  <c r="BE6" i="74"/>
  <c r="BA48" i="45"/>
  <c r="BA48" i="74"/>
  <c r="BA6" i="74"/>
  <c r="AW6" i="45"/>
  <c r="AW6" i="74"/>
  <c r="AW48" i="74"/>
  <c r="AS6" i="45"/>
  <c r="AS6" i="74"/>
  <c r="AS48" i="74"/>
  <c r="AP6" i="45"/>
  <c r="AP48" i="74"/>
  <c r="AP6" i="74"/>
  <c r="AK6" i="45"/>
  <c r="AK48" i="74"/>
  <c r="AK6" i="74"/>
  <c r="AH6" i="45"/>
  <c r="AH48" i="74"/>
  <c r="AH6" i="74"/>
  <c r="AC6" i="45"/>
  <c r="AC48" i="74"/>
  <c r="Y6" i="45"/>
  <c r="Y48" i="74"/>
  <c r="AT6" i="45"/>
  <c r="AD48" i="74"/>
  <c r="AT48" i="74"/>
  <c r="BJ48" i="74"/>
  <c r="V48" i="74"/>
  <c r="AL48" i="74"/>
  <c r="BB48" i="74"/>
  <c r="BR48" i="74"/>
  <c r="BR6" i="74"/>
  <c r="BJ6" i="74"/>
  <c r="BB6" i="74"/>
  <c r="AT6" i="74"/>
  <c r="AL6" i="74"/>
  <c r="AR6" i="45"/>
  <c r="AB48" i="74"/>
  <c r="BH48" i="74"/>
  <c r="T48" i="74"/>
  <c r="AJ48" i="74"/>
  <c r="AZ48" i="74"/>
  <c r="BP48" i="74"/>
  <c r="BP6" i="74"/>
  <c r="BH6" i="74"/>
  <c r="AZ6" i="74"/>
  <c r="AR6" i="74"/>
  <c r="AJ6" i="74"/>
  <c r="R6" i="45"/>
  <c r="R48" i="74"/>
  <c r="P6" i="45"/>
  <c r="P48" i="74"/>
  <c r="N6" i="45"/>
  <c r="N48" i="74"/>
  <c r="I48" i="45"/>
  <c r="I48" i="74"/>
  <c r="E20" i="45"/>
  <c r="E20" i="74"/>
  <c r="E18" i="74"/>
  <c r="E16" i="74"/>
  <c r="E14" i="74"/>
  <c r="E12" i="74"/>
  <c r="E10" i="74"/>
  <c r="E8" i="74"/>
  <c r="E26" i="74"/>
  <c r="E24" i="74"/>
  <c r="E37" i="74"/>
  <c r="E35" i="74"/>
  <c r="E33" i="74"/>
  <c r="E31" i="74"/>
  <c r="E29" i="74"/>
  <c r="E44" i="74"/>
  <c r="E41" i="74"/>
  <c r="E39" i="74"/>
  <c r="E47" i="74"/>
  <c r="E19" i="74"/>
  <c r="E17" i="74"/>
  <c r="E15" i="74"/>
  <c r="E13" i="74"/>
  <c r="E11" i="74"/>
  <c r="E9" i="74"/>
  <c r="E7" i="74"/>
  <c r="E27" i="74"/>
  <c r="E25" i="74"/>
  <c r="E38" i="74"/>
  <c r="E36" i="74"/>
  <c r="E34" i="74"/>
  <c r="E32" i="74"/>
  <c r="E30" i="74"/>
  <c r="E28" i="74"/>
  <c r="E42" i="74"/>
  <c r="E40" i="74"/>
  <c r="E45" i="74"/>
  <c r="E6" i="45"/>
  <c r="E48" i="74"/>
  <c r="W6" i="45"/>
  <c r="W48" i="74"/>
  <c r="AM48" i="74"/>
  <c r="BC48" i="74"/>
  <c r="BS48" i="74"/>
  <c r="BS6" i="74"/>
  <c r="BK6" i="74"/>
  <c r="BC6" i="74"/>
  <c r="AU6" i="74"/>
  <c r="AM6" i="74"/>
  <c r="AE48" i="74"/>
  <c r="AU48" i="74"/>
  <c r="BK48" i="74"/>
  <c r="E24" i="45"/>
  <c r="E26" i="45"/>
  <c r="E28" i="45"/>
  <c r="E30" i="45"/>
  <c r="E32" i="45"/>
  <c r="E34" i="45"/>
  <c r="E36" i="45"/>
  <c r="E38" i="45"/>
  <c r="E40" i="45"/>
  <c r="E42" i="45"/>
  <c r="E45" i="45"/>
  <c r="E47" i="45"/>
  <c r="E55" i="74"/>
  <c r="E51" i="74"/>
  <c r="E49" i="74"/>
  <c r="E56" i="74"/>
  <c r="E54" i="74"/>
  <c r="E52" i="74"/>
  <c r="E50" i="74"/>
  <c r="E49" i="45"/>
  <c r="E51" i="45"/>
  <c r="E53" i="45"/>
  <c r="E55" i="45"/>
  <c r="BM5" i="45"/>
  <c r="AW5" i="45"/>
  <c r="AG5" i="45"/>
  <c r="R5" i="45"/>
  <c r="A2" i="74"/>
  <c r="E6" i="74"/>
  <c r="G6" i="74"/>
  <c r="I6" i="74"/>
  <c r="O6" i="74"/>
  <c r="Q6" i="74"/>
  <c r="S6" i="74"/>
  <c r="U6" i="74"/>
  <c r="W6" i="74"/>
  <c r="Y6" i="74"/>
  <c r="AA6" i="74"/>
  <c r="AC6" i="74"/>
  <c r="AE6" i="74"/>
  <c r="AG6" i="74"/>
  <c r="BV6" i="74"/>
  <c r="AE6" i="45"/>
  <c r="AU6" i="45"/>
  <c r="BA6" i="45"/>
  <c r="BC6" i="45"/>
  <c r="BE6" i="45"/>
  <c r="BI6" i="45"/>
  <c r="BK6" i="45"/>
  <c r="BM6" i="45"/>
  <c r="BQ6" i="45"/>
  <c r="BS6" i="45"/>
  <c r="BU6" i="45"/>
  <c r="BW6" i="45"/>
  <c r="BY6" i="45"/>
  <c r="CA6" i="45"/>
  <c r="CC6" i="45"/>
  <c r="CB48" i="45"/>
  <c r="BZ48" i="45"/>
  <c r="BX48" i="45"/>
  <c r="BV48" i="45"/>
  <c r="BT48" i="45"/>
  <c r="BR48" i="45"/>
  <c r="BP48" i="45"/>
  <c r="BK48" i="45"/>
  <c r="BF48" i="45"/>
  <c r="BD48" i="45"/>
  <c r="BB48" i="45"/>
  <c r="AZ48" i="45"/>
  <c r="AW48" i="45"/>
  <c r="AU48" i="45"/>
  <c r="AS48" i="45"/>
  <c r="AP48" i="45"/>
  <c r="AN48" i="45"/>
  <c r="AL48" i="45"/>
  <c r="AJ48" i="45"/>
  <c r="AG48" i="45"/>
  <c r="AE48" i="45"/>
  <c r="AC48" i="45"/>
  <c r="Z48" i="45"/>
  <c r="X48" i="45"/>
  <c r="V48" i="45"/>
  <c r="T48" i="45"/>
  <c r="R48" i="45"/>
  <c r="O48" i="45"/>
  <c r="M48" i="45"/>
  <c r="J48" i="45"/>
  <c r="H48" i="45"/>
  <c r="E48" i="45"/>
  <c r="E7" i="45"/>
  <c r="E9" i="45"/>
  <c r="E11" i="45"/>
  <c r="E13" i="45"/>
  <c r="E15" i="45"/>
  <c r="E17" i="45"/>
  <c r="E19" i="45"/>
  <c r="AM6" i="45"/>
  <c r="AZ6" i="45"/>
  <c r="BB6" i="45"/>
  <c r="BD6" i="45"/>
  <c r="BH6" i="45"/>
  <c r="BJ6" i="45"/>
  <c r="BL6" i="45"/>
  <c r="BN6" i="45"/>
  <c r="BP6" i="45"/>
  <c r="BR6" i="45"/>
  <c r="BT6" i="45"/>
  <c r="BS48" i="45"/>
  <c r="BL48" i="45"/>
  <c r="BJ48" i="45"/>
  <c r="BH48" i="45"/>
  <c r="BC48" i="45"/>
  <c r="AX48" i="45"/>
  <c r="AV48" i="45"/>
  <c r="AT48" i="45"/>
  <c r="AR48" i="45"/>
  <c r="AO48" i="45"/>
  <c r="AM48" i="45"/>
  <c r="AK48" i="45"/>
  <c r="AH48" i="45"/>
  <c r="AF48" i="45"/>
  <c r="AD48" i="45"/>
  <c r="AB48" i="45"/>
  <c r="Y48" i="45"/>
  <c r="W48" i="45"/>
  <c r="U48" i="45"/>
  <c r="S48" i="45"/>
  <c r="P48" i="45"/>
  <c r="N48" i="45"/>
  <c r="F48" i="45"/>
  <c r="D48" i="45"/>
  <c r="E8" i="45"/>
  <c r="E10" i="45"/>
  <c r="E12" i="45"/>
  <c r="E14" i="45"/>
  <c r="E16" i="45"/>
  <c r="E18" i="45"/>
  <c r="V6" i="45"/>
  <c r="X6" i="45"/>
  <c r="AB6" i="45"/>
  <c r="AD6" i="45"/>
  <c r="T6" i="45"/>
  <c r="AF6" i="45"/>
  <c r="AJ6" i="45"/>
  <c r="AL6" i="45"/>
  <c r="AN6" i="45"/>
  <c r="D276" i="10"/>
  <c r="D281" i="10"/>
  <c r="D285" i="10"/>
  <c r="D289" i="10"/>
  <c r="C238" i="10"/>
  <c r="C236" i="10"/>
  <c r="C234" i="10"/>
  <c r="C244" i="10"/>
  <c r="C247" i="10"/>
  <c r="C252" i="10"/>
  <c r="L296" i="10"/>
  <c r="C298" i="10"/>
  <c r="C300" i="10"/>
  <c r="D296" i="10"/>
  <c r="O297" i="10"/>
  <c r="U297" i="10"/>
  <c r="Z297" i="10"/>
  <c r="C307" i="10"/>
  <c r="C323" i="10"/>
  <c r="C325" i="10"/>
  <c r="Q331" i="10"/>
  <c r="C333" i="10"/>
  <c r="C335" i="10"/>
  <c r="M332" i="10"/>
  <c r="Q332" i="10"/>
  <c r="X332" i="10"/>
  <c r="AF332" i="10"/>
  <c r="C358" i="10"/>
  <c r="Q366" i="10"/>
  <c r="C402" i="10"/>
  <c r="Q401" i="10"/>
  <c r="AG368" i="10"/>
  <c r="C403" i="10"/>
  <c r="C369" i="10"/>
  <c r="C405" i="10"/>
  <c r="B370" i="10"/>
  <c r="C394" i="10"/>
  <c r="C396" i="10"/>
  <c r="M402" i="10"/>
  <c r="O402" i="10"/>
  <c r="Q402" i="10"/>
  <c r="U402" i="10"/>
  <c r="X402" i="10"/>
  <c r="Z402" i="10"/>
  <c r="AF402" i="10"/>
  <c r="D437" i="10"/>
  <c r="B446" i="10"/>
  <c r="E471" i="10"/>
  <c r="B481" i="10"/>
  <c r="C449" i="10"/>
  <c r="C482" i="10"/>
  <c r="C486" i="10"/>
  <c r="C490" i="10"/>
  <c r="C493" i="10"/>
  <c r="C495" i="10"/>
  <c r="C501" i="10"/>
  <c r="E508" i="10"/>
  <c r="C520" i="10"/>
  <c r="C526" i="10"/>
  <c r="C531" i="10"/>
  <c r="D509" i="10"/>
  <c r="D511" i="10"/>
  <c r="D513" i="10"/>
  <c r="D515" i="10"/>
  <c r="D517" i="10"/>
  <c r="D519" i="10"/>
  <c r="D521" i="10"/>
  <c r="D523" i="10"/>
  <c r="D525" i="10"/>
  <c r="D527" i="10"/>
  <c r="D529" i="10"/>
  <c r="D531" i="10"/>
  <c r="D533" i="10"/>
  <c r="D537" i="10"/>
  <c r="D283" i="10"/>
  <c r="C233" i="10"/>
  <c r="C239" i="10"/>
  <c r="C237" i="10"/>
  <c r="C235" i="10"/>
  <c r="C242" i="10"/>
  <c r="C245" i="10"/>
  <c r="C253" i="10"/>
  <c r="D230" i="10"/>
  <c r="C297" i="10"/>
  <c r="C299" i="10"/>
  <c r="B300" i="10"/>
  <c r="M297" i="10"/>
  <c r="Q297" i="10"/>
  <c r="X297" i="10"/>
  <c r="AF297" i="10"/>
  <c r="C313" i="10"/>
  <c r="C324" i="10"/>
  <c r="C326" i="10"/>
  <c r="D331" i="10"/>
  <c r="C332" i="10"/>
  <c r="C334" i="10"/>
  <c r="B335" i="10"/>
  <c r="O332" i="10"/>
  <c r="U332" i="10"/>
  <c r="Z332" i="10"/>
  <c r="AG333" i="10"/>
  <c r="D366" i="10"/>
  <c r="D401" i="10"/>
  <c r="AG403" i="10"/>
  <c r="C368" i="10"/>
  <c r="C370" i="10"/>
  <c r="B405" i="10"/>
  <c r="C395" i="10"/>
  <c r="M367" i="10"/>
  <c r="O367" i="10"/>
  <c r="Q367" i="10"/>
  <c r="U367" i="10"/>
  <c r="X367" i="10"/>
  <c r="Z367" i="10"/>
  <c r="AF367" i="10"/>
  <c r="E436" i="10"/>
  <c r="B438" i="10"/>
  <c r="D472" i="10"/>
  <c r="B473" i="10"/>
  <c r="C447" i="10"/>
  <c r="C484" i="10"/>
  <c r="C451" i="10"/>
  <c r="C455" i="10"/>
  <c r="C458" i="10"/>
  <c r="C466" i="10"/>
  <c r="D508" i="10"/>
  <c r="F508" i="10"/>
  <c r="B509" i="10"/>
  <c r="C518" i="10"/>
  <c r="C522" i="10"/>
  <c r="D510" i="10"/>
  <c r="D512" i="10"/>
  <c r="D514" i="10"/>
  <c r="D516" i="10"/>
  <c r="D518" i="10"/>
  <c r="D520" i="10"/>
  <c r="D522" i="10"/>
  <c r="D524" i="10"/>
  <c r="D526" i="10"/>
  <c r="D528" i="10"/>
  <c r="D530" i="10"/>
  <c r="D532" i="10"/>
  <c r="D536" i="10"/>
  <c r="J205" i="10"/>
  <c r="J207" i="10"/>
  <c r="J209" i="10"/>
  <c r="J211" i="10"/>
  <c r="J219" i="10"/>
  <c r="J221" i="10"/>
  <c r="J223" i="10"/>
  <c r="D217" i="10"/>
  <c r="F217" i="10"/>
  <c r="H217" i="10"/>
  <c r="J206" i="10"/>
  <c r="J208" i="10"/>
  <c r="J210" i="10"/>
  <c r="J218" i="10"/>
  <c r="E217" i="10"/>
  <c r="G217" i="10"/>
  <c r="I217" i="10"/>
  <c r="C261" i="10"/>
  <c r="B14" i="10"/>
  <c r="B38" i="10"/>
  <c r="B62" i="10"/>
  <c r="B84" i="10"/>
  <c r="B105" i="10"/>
  <c r="D105" i="10"/>
  <c r="B106" i="10"/>
  <c r="B119" i="10"/>
  <c r="B134" i="10"/>
  <c r="B135" i="10"/>
  <c r="D191" i="10"/>
  <c r="F191" i="10"/>
  <c r="I191" i="10"/>
  <c r="E204" i="10"/>
  <c r="G204" i="10"/>
  <c r="D181" i="10"/>
  <c r="D183" i="10"/>
  <c r="D185" i="10"/>
  <c r="D187" i="10"/>
  <c r="B7" i="10"/>
  <c r="C105" i="10"/>
  <c r="E105" i="10"/>
  <c r="B113" i="10"/>
  <c r="H191" i="10"/>
  <c r="D180" i="10"/>
  <c r="D182" i="10"/>
  <c r="B45" i="10"/>
  <c r="B93" i="84"/>
  <c r="D426" i="8" s="1"/>
  <c r="B91" i="84"/>
  <c r="B90" i="84"/>
  <c r="A259" i="8" s="1"/>
  <c r="B89" i="84"/>
  <c r="Z248" i="8" s="1"/>
  <c r="B17" i="84"/>
  <c r="Y248" i="8" s="1"/>
  <c r="B88" i="84"/>
  <c r="Z194" i="8" s="1"/>
  <c r="B84" i="84"/>
  <c r="R150" i="8" s="1"/>
  <c r="B85" i="84"/>
  <c r="R151" i="8" s="1"/>
  <c r="B86" i="84"/>
  <c r="V151" i="8" s="1"/>
  <c r="B87" i="84"/>
  <c r="Y151" i="8" s="1"/>
  <c r="B3" i="84"/>
  <c r="E413" i="8" s="1"/>
  <c r="B4" i="84"/>
  <c r="G413" i="8" s="1"/>
  <c r="B5" i="84"/>
  <c r="D6" i="8" s="1"/>
  <c r="B6" i="84"/>
  <c r="D7" i="8" s="1"/>
  <c r="B7" i="84"/>
  <c r="D8" i="8" s="1"/>
  <c r="B8" i="84"/>
  <c r="AV7" i="8" s="1"/>
  <c r="B9" i="84"/>
  <c r="AW7" i="8" s="1"/>
  <c r="B10" i="84"/>
  <c r="AX7" i="8" s="1"/>
  <c r="B11" i="84"/>
  <c r="C7" i="8" s="1"/>
  <c r="B12" i="84"/>
  <c r="D20" i="8" s="1"/>
  <c r="B13" i="84"/>
  <c r="D31" i="8" s="1"/>
  <c r="B14" i="84"/>
  <c r="D80" i="8" s="1"/>
  <c r="B15" i="84"/>
  <c r="V194" i="8" s="1"/>
  <c r="B16" i="84"/>
  <c r="D94" i="8" s="1"/>
  <c r="B18" i="84"/>
  <c r="R101" i="8" s="1"/>
  <c r="B19" i="84"/>
  <c r="D96" i="8" s="1"/>
  <c r="B20" i="84"/>
  <c r="M101" i="8" s="1"/>
  <c r="B21" i="84"/>
  <c r="D98" i="8" s="1"/>
  <c r="B22" i="84"/>
  <c r="F413" i="8" s="1"/>
  <c r="B23" i="84"/>
  <c r="H413" i="8" s="1"/>
  <c r="B24" i="84"/>
  <c r="I413" i="8" s="1"/>
  <c r="B25" i="84"/>
  <c r="J413" i="8" s="1"/>
  <c r="B26" i="84"/>
  <c r="K413" i="8" s="1"/>
  <c r="B27" i="84"/>
  <c r="K101" i="8" s="1"/>
  <c r="B28" i="84"/>
  <c r="C153" i="8" s="1"/>
  <c r="B29" i="84"/>
  <c r="B144" i="8" s="1"/>
  <c r="B30" i="84"/>
  <c r="C145" i="8" s="1"/>
  <c r="B31" i="84"/>
  <c r="A148" i="8" s="1"/>
  <c r="B32" i="84"/>
  <c r="B150" i="8" s="1"/>
  <c r="B33" i="84"/>
  <c r="L206" i="8" s="1"/>
  <c r="B34" i="84"/>
  <c r="B35" i="84"/>
  <c r="N194" i="8" s="1"/>
  <c r="B36" i="84"/>
  <c r="O194" i="8" s="1"/>
  <c r="B37" i="84"/>
  <c r="K194" i="8" s="1"/>
  <c r="B38" i="84"/>
  <c r="B39" i="84"/>
  <c r="B204" i="8" s="1"/>
  <c r="B40" i="84"/>
  <c r="B41" i="84"/>
  <c r="L261" i="8" s="1"/>
  <c r="B42" i="84"/>
  <c r="M261" i="8" s="1"/>
  <c r="B43" i="84"/>
  <c r="N261" i="8" s="1"/>
  <c r="B44" i="84"/>
  <c r="Q303" i="8" s="1"/>
  <c r="B45" i="84"/>
  <c r="P261" i="8" s="1"/>
  <c r="B46" i="84"/>
  <c r="Q261" i="8" s="1"/>
  <c r="B47" i="84"/>
  <c r="A314" i="8" s="1"/>
  <c r="B48" i="84"/>
  <c r="L316" i="8" s="1"/>
  <c r="B49" i="84"/>
  <c r="M358" i="8" s="1"/>
  <c r="B50" i="84"/>
  <c r="N358" i="8" s="1"/>
  <c r="B51" i="84"/>
  <c r="B52" i="84"/>
  <c r="B53" i="84"/>
  <c r="B54" i="84"/>
  <c r="N413" i="8" s="1"/>
  <c r="B55" i="84"/>
  <c r="B56" i="84"/>
  <c r="H426" i="8" s="1"/>
  <c r="B57" i="84"/>
  <c r="H427" i="8" s="1"/>
  <c r="B58" i="84"/>
  <c r="H428" i="8" s="1"/>
  <c r="B59" i="84"/>
  <c r="H429" i="8" s="1"/>
  <c r="B60" i="84"/>
  <c r="L413" i="8" s="1"/>
  <c r="B61" i="84"/>
  <c r="M413" i="8" s="1"/>
  <c r="B62" i="84"/>
  <c r="N316" i="8" s="1"/>
  <c r="B63" i="84"/>
  <c r="A484" i="8" s="1"/>
  <c r="B64" i="84"/>
  <c r="F488" i="8" s="1"/>
  <c r="B65" i="84"/>
  <c r="C486" i="8" s="1"/>
  <c r="B66" i="84"/>
  <c r="C487" i="8" s="1"/>
  <c r="B67" i="84"/>
  <c r="C488" i="8" s="1"/>
  <c r="B68" i="84"/>
  <c r="C489" i="8" s="1"/>
  <c r="B69" i="84"/>
  <c r="C490" i="8" s="1"/>
  <c r="B70" i="84"/>
  <c r="C492" i="8" s="1"/>
  <c r="B71" i="84"/>
  <c r="D493" i="8" s="1"/>
  <c r="B72" i="84"/>
  <c r="C498" i="8" s="1"/>
  <c r="B73" i="84"/>
  <c r="D513" i="8" s="1"/>
  <c r="B74" i="84"/>
  <c r="D515" i="8" s="1"/>
  <c r="B75" i="84"/>
  <c r="E501" i="8" s="1"/>
  <c r="B76" i="84"/>
  <c r="D519" i="8" s="1"/>
  <c r="B78" i="84"/>
  <c r="D504" i="8" s="1"/>
  <c r="B79" i="84"/>
  <c r="D505" i="8" s="1"/>
  <c r="B80" i="84"/>
  <c r="D509" i="8" s="1"/>
  <c r="B81" i="84"/>
  <c r="F517" i="8" s="1"/>
  <c r="B82" i="84"/>
  <c r="F518" i="8" s="1"/>
  <c r="B83" i="84"/>
  <c r="B2" i="84"/>
  <c r="C195" i="8" l="1"/>
  <c r="C414" i="8"/>
  <c r="L473" i="8"/>
  <c r="L431" i="8"/>
  <c r="L371" i="8"/>
  <c r="N473" i="8"/>
  <c r="N431" i="8"/>
  <c r="N371" i="8"/>
  <c r="P473" i="8"/>
  <c r="P431" i="8"/>
  <c r="M206" i="8"/>
  <c r="K206" i="8"/>
  <c r="K371" i="8"/>
  <c r="K431" i="8"/>
  <c r="I206" i="8"/>
  <c r="I371" i="8"/>
  <c r="I431" i="8"/>
  <c r="E101" i="8"/>
  <c r="F431" i="8"/>
  <c r="F371" i="8"/>
  <c r="E206" i="8"/>
  <c r="E371" i="8"/>
  <c r="E431" i="8"/>
  <c r="E2" i="8"/>
  <c r="M473" i="8"/>
  <c r="M371" i="8"/>
  <c r="M431" i="8"/>
  <c r="Q431" i="8"/>
  <c r="O371" i="8"/>
  <c r="O431" i="8"/>
  <c r="I101" i="8"/>
  <c r="J431" i="8"/>
  <c r="J371" i="8"/>
  <c r="G101" i="8"/>
  <c r="H431" i="8"/>
  <c r="H371" i="8"/>
  <c r="G206" i="8"/>
  <c r="G371" i="8"/>
  <c r="G431" i="8"/>
  <c r="A369" i="8"/>
  <c r="A424" i="8"/>
  <c r="CC48" i="74"/>
  <c r="R206" i="8"/>
  <c r="Y206" i="8"/>
  <c r="V248" i="8"/>
  <c r="S248" i="8"/>
  <c r="W248" i="8"/>
  <c r="F248" i="8"/>
  <c r="I248" i="8"/>
  <c r="M248" i="8"/>
  <c r="C249" i="8"/>
  <c r="E261" i="8"/>
  <c r="G261" i="8"/>
  <c r="I261" i="8"/>
  <c r="K261" i="8"/>
  <c r="O261" i="8"/>
  <c r="E303" i="8"/>
  <c r="G303" i="8"/>
  <c r="I303" i="8"/>
  <c r="L303" i="8"/>
  <c r="O303" i="8"/>
  <c r="C304" i="8"/>
  <c r="E316" i="8"/>
  <c r="G316" i="8"/>
  <c r="I316" i="8"/>
  <c r="K316" i="8"/>
  <c r="M316" i="8"/>
  <c r="C317" i="8"/>
  <c r="F358" i="8"/>
  <c r="I358" i="8"/>
  <c r="L358" i="8"/>
  <c r="Q473" i="8"/>
  <c r="I473" i="8"/>
  <c r="F473" i="8"/>
  <c r="C474" i="8"/>
  <c r="E499" i="8"/>
  <c r="E500" i="8"/>
  <c r="E508" i="8"/>
  <c r="E506" i="8"/>
  <c r="D517" i="8"/>
  <c r="F513" i="8"/>
  <c r="F515" i="8"/>
  <c r="V206" i="8"/>
  <c r="R248" i="8"/>
  <c r="E248" i="8"/>
  <c r="G248" i="8"/>
  <c r="K248" i="8"/>
  <c r="N248" i="8"/>
  <c r="F261" i="8"/>
  <c r="H261" i="8"/>
  <c r="J261" i="8"/>
  <c r="C262" i="8"/>
  <c r="F303" i="8"/>
  <c r="H303" i="8"/>
  <c r="K303" i="8"/>
  <c r="F316" i="8"/>
  <c r="H316" i="8"/>
  <c r="J316" i="8"/>
  <c r="E358" i="8"/>
  <c r="G358" i="8"/>
  <c r="K358" i="8"/>
  <c r="C359" i="8"/>
  <c r="K473" i="8"/>
  <c r="G473" i="8"/>
  <c r="E473" i="8"/>
  <c r="E502" i="8"/>
  <c r="E507" i="8"/>
  <c r="F514" i="8"/>
  <c r="F516" i="8"/>
  <c r="L248" i="8"/>
  <c r="D5" i="8"/>
  <c r="D97" i="8"/>
  <c r="D95" i="8"/>
  <c r="D101" i="8"/>
  <c r="F101" i="8"/>
  <c r="H101" i="8"/>
  <c r="J101" i="8"/>
  <c r="L101" i="8"/>
  <c r="N101" i="8"/>
  <c r="Q101" i="8"/>
  <c r="B102" i="8"/>
  <c r="F152" i="8"/>
  <c r="H152" i="8"/>
  <c r="J152" i="8"/>
  <c r="L152" i="8"/>
  <c r="N152" i="8"/>
  <c r="F194" i="8"/>
  <c r="I194" i="8"/>
  <c r="L194" i="8"/>
  <c r="F206" i="8"/>
  <c r="H206" i="8"/>
  <c r="J206" i="8"/>
  <c r="N206" i="8"/>
  <c r="V152" i="8"/>
  <c r="R194" i="8"/>
  <c r="Y194" i="8"/>
  <c r="S194" i="8"/>
  <c r="R204" i="8"/>
  <c r="V205" i="8"/>
  <c r="D4" i="8"/>
  <c r="D93" i="8"/>
  <c r="P101" i="8"/>
  <c r="E152" i="8"/>
  <c r="G152" i="8"/>
  <c r="I152" i="8"/>
  <c r="K152" i="8"/>
  <c r="M152" i="8"/>
  <c r="O152" i="8"/>
  <c r="E194" i="8"/>
  <c r="G194" i="8"/>
  <c r="M194" i="8"/>
  <c r="R152" i="8"/>
  <c r="Y152" i="8"/>
  <c r="R205" i="8"/>
  <c r="Y205" i="8"/>
  <c r="D77" i="84"/>
  <c r="B77" i="84" s="1"/>
  <c r="M12" i="68"/>
  <c r="B5" i="83"/>
  <c r="B2" i="68" s="1"/>
  <c r="B6" i="83"/>
  <c r="G1" i="68" s="1"/>
  <c r="B7" i="83"/>
  <c r="G2" i="68" s="1"/>
  <c r="B8" i="83"/>
  <c r="B4" i="68" s="1"/>
  <c r="B9" i="83"/>
  <c r="B7" i="68" s="1"/>
  <c r="B10" i="83"/>
  <c r="B8" i="68" s="1"/>
  <c r="B11" i="83"/>
  <c r="B12" i="83"/>
  <c r="A10" i="68" s="1"/>
  <c r="B13" i="83"/>
  <c r="I12" i="68" s="1"/>
  <c r="B14" i="83"/>
  <c r="J12" i="68" s="1"/>
  <c r="B15" i="83"/>
  <c r="K12" i="68" s="1"/>
  <c r="B16" i="83"/>
  <c r="L12" i="68" s="1"/>
  <c r="B17" i="83"/>
  <c r="N12" i="68" s="1"/>
  <c r="B18" i="83"/>
  <c r="B20" i="83"/>
  <c r="D65" i="68" s="1"/>
  <c r="B21" i="83"/>
  <c r="D66" i="68" s="1"/>
  <c r="B4" i="83"/>
  <c r="B1" i="68" s="1"/>
  <c r="B4" i="82" l="1"/>
  <c r="B4" i="41" s="1"/>
  <c r="B5" i="82"/>
  <c r="A6" i="41" s="1"/>
  <c r="B6" i="82"/>
  <c r="B8" i="41" s="1"/>
  <c r="B7" i="82"/>
  <c r="A10" i="41" s="1"/>
  <c r="B8" i="82"/>
  <c r="D12" i="41" s="1"/>
  <c r="B9" i="82"/>
  <c r="F12" i="41" s="1"/>
  <c r="B10" i="82"/>
  <c r="H12" i="41" s="1"/>
  <c r="B11" i="82"/>
  <c r="B13" i="41" s="1"/>
  <c r="B12" i="82"/>
  <c r="B14" i="41" s="1"/>
  <c r="B13" i="82"/>
  <c r="B15" i="41" s="1"/>
  <c r="B14" i="82"/>
  <c r="B18" i="41" s="1"/>
  <c r="B15" i="82"/>
  <c r="B19" i="41" s="1"/>
  <c r="B16" i="82"/>
  <c r="B17" i="82"/>
  <c r="B18" i="82"/>
  <c r="B28" i="41" s="1"/>
  <c r="B19" i="82"/>
  <c r="A30" i="41" s="1"/>
  <c r="B20" i="82"/>
  <c r="B32" i="41" s="1"/>
  <c r="B21" i="82"/>
  <c r="B33" i="41" s="1"/>
  <c r="B22" i="82"/>
  <c r="B34" i="41" s="1"/>
  <c r="B23" i="82"/>
  <c r="B35" i="41" s="1"/>
  <c r="B3" i="82"/>
  <c r="A2" i="41" s="1"/>
  <c r="B4" i="81"/>
  <c r="B4" i="66" s="1"/>
  <c r="B5" i="81"/>
  <c r="C6" i="66" s="1"/>
  <c r="B6" i="81"/>
  <c r="D8" i="66" s="1"/>
  <c r="B7" i="81"/>
  <c r="E8" i="66" s="1"/>
  <c r="B8" i="81"/>
  <c r="E9" i="66" s="1"/>
  <c r="B9" i="81"/>
  <c r="E10" i="66" s="1"/>
  <c r="B10" i="81"/>
  <c r="F11" i="66" s="1"/>
  <c r="B11" i="81"/>
  <c r="E13" i="66" s="1"/>
  <c r="B12" i="81"/>
  <c r="M11" i="66" s="1"/>
  <c r="B13" i="81"/>
  <c r="M12" i="66" s="1"/>
  <c r="B14" i="81"/>
  <c r="F15" i="66" s="1"/>
  <c r="B15" i="81"/>
  <c r="B16" i="81"/>
  <c r="B17" i="81"/>
  <c r="I15" i="66" s="1"/>
  <c r="B18" i="81"/>
  <c r="J15" i="66" s="1"/>
  <c r="B19" i="81"/>
  <c r="L15" i="66" s="1"/>
  <c r="B20" i="81"/>
  <c r="M15" i="66" s="1"/>
  <c r="B21" i="81"/>
  <c r="D16" i="66" s="1"/>
  <c r="B22" i="81"/>
  <c r="D58" i="66" s="1"/>
  <c r="B23" i="81"/>
  <c r="J57" i="66" s="1"/>
  <c r="B24" i="81"/>
  <c r="K57" i="66" s="1"/>
  <c r="B25" i="81"/>
  <c r="L57" i="66" s="1"/>
  <c r="B26" i="81"/>
  <c r="F67" i="66" s="1"/>
  <c r="B27" i="81"/>
  <c r="M57" i="66" s="1"/>
  <c r="B28" i="81"/>
  <c r="B70" i="66" s="1"/>
  <c r="B29" i="81"/>
  <c r="C72" i="66" s="1"/>
  <c r="B30" i="81"/>
  <c r="D74" i="66" s="1"/>
  <c r="B31" i="81"/>
  <c r="E76" i="66" s="1"/>
  <c r="B32" i="81"/>
  <c r="E77" i="66" s="1"/>
  <c r="B3" i="81"/>
  <c r="A2" i="66" s="1"/>
  <c r="B170" i="80"/>
  <c r="L131" i="66" s="1"/>
  <c r="B171" i="80"/>
  <c r="M131" i="66" s="1"/>
  <c r="B172" i="80"/>
  <c r="N131" i="66" s="1"/>
  <c r="B169" i="80"/>
  <c r="D643" i="7" s="1"/>
  <c r="B168" i="80"/>
  <c r="E641" i="7" s="1"/>
  <c r="B14" i="80"/>
  <c r="D455" i="7" s="1"/>
  <c r="B4" i="80"/>
  <c r="B4" i="7" s="1"/>
  <c r="B5" i="80"/>
  <c r="C6" i="7" s="1"/>
  <c r="B6" i="80"/>
  <c r="B7" i="80"/>
  <c r="B8" i="80"/>
  <c r="E8" i="7" s="1"/>
  <c r="B9" i="80"/>
  <c r="E9" i="7" s="1"/>
  <c r="B10" i="80"/>
  <c r="E10" i="7" s="1"/>
  <c r="B11" i="80"/>
  <c r="E11" i="7" s="1"/>
  <c r="B12" i="80"/>
  <c r="E12" i="7" s="1"/>
  <c r="B13" i="80"/>
  <c r="E13" i="7" s="1"/>
  <c r="B15" i="80"/>
  <c r="B16" i="80"/>
  <c r="E15" i="7" s="1"/>
  <c r="B17" i="80"/>
  <c r="F15" i="7" s="1"/>
  <c r="B18" i="80"/>
  <c r="G15" i="7" s="1"/>
  <c r="B19" i="80"/>
  <c r="H15" i="7" s="1"/>
  <c r="B20" i="80"/>
  <c r="I15" i="7" s="1"/>
  <c r="B21" i="80"/>
  <c r="I16" i="7" s="1"/>
  <c r="B22" i="80"/>
  <c r="I17" i="7" s="1"/>
  <c r="B23" i="80"/>
  <c r="I18" i="7" s="1"/>
  <c r="B24" i="80"/>
  <c r="I19" i="7" s="1"/>
  <c r="B25" i="80"/>
  <c r="E21" i="7" s="1"/>
  <c r="B26" i="80"/>
  <c r="D23" i="7" s="1"/>
  <c r="B27" i="80"/>
  <c r="D24" i="7" s="1"/>
  <c r="B28" i="80"/>
  <c r="D25" i="7" s="1"/>
  <c r="B29" i="80"/>
  <c r="D26" i="7" s="1"/>
  <c r="B30" i="80"/>
  <c r="B31" i="80"/>
  <c r="B32" i="80"/>
  <c r="B33" i="80"/>
  <c r="AV26" i="7" s="1"/>
  <c r="B34" i="80"/>
  <c r="D99" i="7" s="1"/>
  <c r="B35" i="80"/>
  <c r="B36" i="80"/>
  <c r="B37" i="80"/>
  <c r="B38" i="80"/>
  <c r="B39" i="80"/>
  <c r="B40" i="80"/>
  <c r="B41" i="80"/>
  <c r="B42" i="80"/>
  <c r="B43" i="80"/>
  <c r="B44" i="80"/>
  <c r="B45" i="80"/>
  <c r="B46" i="80"/>
  <c r="B47" i="80"/>
  <c r="C114" i="7" s="1"/>
  <c r="B48" i="80"/>
  <c r="B52" i="80"/>
  <c r="D345" i="7" s="1"/>
  <c r="B56" i="80"/>
  <c r="C205" i="7" s="1"/>
  <c r="B57" i="80"/>
  <c r="D207" i="7" s="1"/>
  <c r="B59" i="80"/>
  <c r="D209" i="7" s="1"/>
  <c r="B61" i="80"/>
  <c r="F344" i="7" s="1"/>
  <c r="B62" i="80"/>
  <c r="D86" i="66" s="1"/>
  <c r="B63" i="80"/>
  <c r="E237" i="7" s="1"/>
  <c r="B64" i="80"/>
  <c r="B65" i="80"/>
  <c r="D433" i="7" s="1"/>
  <c r="B66" i="80"/>
  <c r="B67" i="80"/>
  <c r="D342" i="7" s="1"/>
  <c r="B68" i="80"/>
  <c r="F245" i="7" s="1"/>
  <c r="B74" i="80"/>
  <c r="D334" i="7" s="1"/>
  <c r="B75" i="80"/>
  <c r="D241" i="7" s="1"/>
  <c r="B76" i="80"/>
  <c r="E338" i="7" s="1"/>
  <c r="B77" i="80"/>
  <c r="E339" i="7" s="1"/>
  <c r="B78" i="80"/>
  <c r="E340" i="7" s="1"/>
  <c r="B79" i="80"/>
  <c r="B360" i="7" s="1"/>
  <c r="B80" i="80"/>
  <c r="C362" i="7" s="1"/>
  <c r="B81" i="80"/>
  <c r="C365" i="7" s="1"/>
  <c r="B82" i="80"/>
  <c r="D367" i="7" s="1"/>
  <c r="B83" i="80"/>
  <c r="E369" i="7" s="1"/>
  <c r="B84" i="80"/>
  <c r="D396" i="7" s="1"/>
  <c r="B85" i="80"/>
  <c r="D398" i="7" s="1"/>
  <c r="B86" i="80"/>
  <c r="D399" i="7" s="1"/>
  <c r="B87" i="80"/>
  <c r="B88" i="80"/>
  <c r="E402" i="7" s="1"/>
  <c r="B89" i="80"/>
  <c r="C404" i="7" s="1"/>
  <c r="B90" i="80"/>
  <c r="D406" i="7" s="1"/>
  <c r="B91" i="80"/>
  <c r="D410" i="7" s="1"/>
  <c r="B92" i="80"/>
  <c r="B93" i="80"/>
  <c r="B94" i="80"/>
  <c r="D431" i="7" s="1"/>
  <c r="B95" i="80"/>
  <c r="B96" i="80"/>
  <c r="E455" i="7" s="1"/>
  <c r="B97" i="80"/>
  <c r="B477" i="7" s="1"/>
  <c r="B98" i="80"/>
  <c r="B99" i="80"/>
  <c r="B100" i="80"/>
  <c r="E479" i="7" s="1"/>
  <c r="B101" i="80"/>
  <c r="E480" i="7" s="1"/>
  <c r="B102" i="80"/>
  <c r="E481" i="7" s="1"/>
  <c r="B103" i="80"/>
  <c r="E482" i="7" s="1"/>
  <c r="B104" i="80"/>
  <c r="E483" i="7" s="1"/>
  <c r="B105" i="80"/>
  <c r="E486" i="7" s="1"/>
  <c r="B106" i="80"/>
  <c r="E487" i="7" s="1"/>
  <c r="B107" i="80"/>
  <c r="D84" i="66" s="1"/>
  <c r="B108" i="80"/>
  <c r="E488" i="7" s="1"/>
  <c r="B109" i="80"/>
  <c r="B491" i="7" s="1"/>
  <c r="B110" i="80"/>
  <c r="E493" i="7" s="1"/>
  <c r="B111" i="80"/>
  <c r="E495" i="7" s="1"/>
  <c r="B112" i="80"/>
  <c r="E496" i="7" s="1"/>
  <c r="B113" i="80"/>
  <c r="E497" i="7" s="1"/>
  <c r="B114" i="80"/>
  <c r="E498" i="7" s="1"/>
  <c r="B115" i="80"/>
  <c r="E499" i="7" s="1"/>
  <c r="B116" i="80"/>
  <c r="B502" i="7" s="1"/>
  <c r="B117" i="80"/>
  <c r="B118" i="80"/>
  <c r="D535" i="7" s="1"/>
  <c r="B119" i="80"/>
  <c r="D90" i="66" s="1"/>
  <c r="B120" i="80"/>
  <c r="AH597" i="7" s="1"/>
  <c r="B121" i="80"/>
  <c r="B532" i="7" s="1"/>
  <c r="B122" i="80"/>
  <c r="B562" i="7" s="1"/>
  <c r="B123" i="80"/>
  <c r="B592" i="7" s="1"/>
  <c r="B124" i="80"/>
  <c r="B622" i="7" s="1"/>
  <c r="B125" i="80"/>
  <c r="B624" i="7" s="1"/>
  <c r="B126" i="80"/>
  <c r="C626" i="7" s="1"/>
  <c r="B127" i="80"/>
  <c r="D628" i="7" s="1"/>
  <c r="B128" i="80"/>
  <c r="D656" i="7" s="1"/>
  <c r="B129" i="80"/>
  <c r="E658" i="7" s="1"/>
  <c r="B130" i="80"/>
  <c r="F658" i="7" s="1"/>
  <c r="B131" i="80"/>
  <c r="G658" i="7" s="1"/>
  <c r="B132" i="80"/>
  <c r="H658" i="7" s="1"/>
  <c r="B133" i="80"/>
  <c r="I658" i="7" s="1"/>
  <c r="B134" i="80"/>
  <c r="C669" i="7" s="1"/>
  <c r="B135" i="80"/>
  <c r="D672" i="7" s="1"/>
  <c r="B136" i="80"/>
  <c r="D673" i="7" s="1"/>
  <c r="B137" i="80"/>
  <c r="D674" i="7" s="1"/>
  <c r="B138" i="80"/>
  <c r="B139" i="80"/>
  <c r="D676" i="7" s="1"/>
  <c r="B140" i="80"/>
  <c r="B141" i="80"/>
  <c r="D678" i="7" s="1"/>
  <c r="B142" i="80"/>
  <c r="B143" i="80"/>
  <c r="D680" i="7" s="1"/>
  <c r="B144" i="80"/>
  <c r="D681" i="7" s="1"/>
  <c r="B145" i="80"/>
  <c r="D682" i="7" s="1"/>
  <c r="B146" i="80"/>
  <c r="B147" i="80"/>
  <c r="B148" i="80"/>
  <c r="B149" i="80"/>
  <c r="B150" i="80"/>
  <c r="B151" i="80"/>
  <c r="D694" i="7" s="1"/>
  <c r="B152" i="80"/>
  <c r="B153" i="80"/>
  <c r="B80" i="66" s="1"/>
  <c r="B154" i="80"/>
  <c r="C82" i="66" s="1"/>
  <c r="B155" i="80"/>
  <c r="E84" i="66" s="1"/>
  <c r="B156" i="80"/>
  <c r="E86" i="66" s="1"/>
  <c r="B157" i="80"/>
  <c r="E87" i="66" s="1"/>
  <c r="B158" i="80"/>
  <c r="B159" i="80"/>
  <c r="B160" i="80"/>
  <c r="B161" i="80"/>
  <c r="I89" i="66" s="1"/>
  <c r="B162" i="80"/>
  <c r="B163" i="80"/>
  <c r="K89" i="66" s="1"/>
  <c r="B164" i="80"/>
  <c r="L89" i="66" s="1"/>
  <c r="B165" i="80"/>
  <c r="N89" i="66" s="1"/>
  <c r="B166" i="80"/>
  <c r="M564" i="7" s="1"/>
  <c r="B167" i="80"/>
  <c r="B3" i="80"/>
  <c r="A2" i="7" s="1"/>
  <c r="B4" i="79"/>
  <c r="B6" i="65" s="1"/>
  <c r="B51" i="79"/>
  <c r="B63" i="79"/>
  <c r="C74" i="65" s="1"/>
  <c r="B52" i="79"/>
  <c r="D191" i="65" s="1"/>
  <c r="B3" i="79"/>
  <c r="A2" i="65" s="1"/>
  <c r="B5" i="79"/>
  <c r="C8" i="65" s="1"/>
  <c r="B6" i="79"/>
  <c r="D10" i="65" s="1"/>
  <c r="B7" i="79"/>
  <c r="E11" i="65" s="1"/>
  <c r="B8" i="79"/>
  <c r="E12" i="65" s="1"/>
  <c r="B9" i="79"/>
  <c r="D14" i="65" s="1"/>
  <c r="B10" i="79"/>
  <c r="D16" i="65" s="1"/>
  <c r="B11" i="79"/>
  <c r="E16" i="65" s="1"/>
  <c r="B12" i="79"/>
  <c r="O14" i="65" s="1"/>
  <c r="B13" i="79"/>
  <c r="B14" i="79"/>
  <c r="G18" i="65" s="1"/>
  <c r="B15" i="79"/>
  <c r="H60" i="65" s="1"/>
  <c r="B16" i="79"/>
  <c r="B17" i="79"/>
  <c r="J60" i="65" s="1"/>
  <c r="B18" i="79"/>
  <c r="K18" i="65" s="1"/>
  <c r="B19" i="79"/>
  <c r="L18" i="65" s="1"/>
  <c r="B20" i="79"/>
  <c r="B21" i="79"/>
  <c r="P17" i="65" s="1"/>
  <c r="B22" i="79"/>
  <c r="P18" i="65" s="1"/>
  <c r="B23" i="79"/>
  <c r="B24" i="79"/>
  <c r="B25" i="79"/>
  <c r="B26" i="79"/>
  <c r="B27" i="79"/>
  <c r="B28" i="79"/>
  <c r="B29" i="79"/>
  <c r="B30" i="79"/>
  <c r="B31" i="79"/>
  <c r="B32" i="79"/>
  <c r="B33" i="79"/>
  <c r="B34" i="79"/>
  <c r="B35" i="79"/>
  <c r="B36" i="79"/>
  <c r="D19" i="65"/>
  <c r="B43" i="79"/>
  <c r="L60" i="65" s="1"/>
  <c r="B44" i="79"/>
  <c r="M60" i="65" s="1"/>
  <c r="B45" i="79"/>
  <c r="B46" i="79"/>
  <c r="E70" i="65" s="1"/>
  <c r="B47" i="79"/>
  <c r="E71" i="65" s="1"/>
  <c r="B48" i="79"/>
  <c r="E72" i="65" s="1"/>
  <c r="B49" i="79"/>
  <c r="D76" i="65" s="1"/>
  <c r="B53" i="79"/>
  <c r="E79" i="65" s="1"/>
  <c r="B54" i="79"/>
  <c r="E80" i="65" s="1"/>
  <c r="B55" i="79"/>
  <c r="B135" i="65" s="1"/>
  <c r="B56" i="79"/>
  <c r="C137" i="65" s="1"/>
  <c r="B57" i="79"/>
  <c r="N139" i="65" s="1"/>
  <c r="B58" i="79"/>
  <c r="O181" i="65" s="1"/>
  <c r="B59" i="79"/>
  <c r="N181" i="65" s="1"/>
  <c r="B60" i="79"/>
  <c r="D61" i="65" s="1"/>
  <c r="B61" i="79"/>
  <c r="D70" i="65" s="1"/>
  <c r="B62" i="79"/>
  <c r="E191" i="65" s="1"/>
  <c r="B3" i="77"/>
  <c r="A4" i="6" s="1"/>
  <c r="B4" i="78"/>
  <c r="C4" i="64" s="1"/>
  <c r="B5" i="78"/>
  <c r="B9" i="64" s="1"/>
  <c r="B6" i="78"/>
  <c r="B14" i="64" s="1"/>
  <c r="B7" i="78"/>
  <c r="C16" i="64" s="1"/>
  <c r="B8" i="78"/>
  <c r="B22" i="64" s="1"/>
  <c r="B9" i="78"/>
  <c r="C24" i="64" s="1"/>
  <c r="B10" i="78"/>
  <c r="D26" i="64" s="1"/>
  <c r="B11" i="78"/>
  <c r="E27" i="64" s="1"/>
  <c r="B12" i="78"/>
  <c r="E29" i="64" s="1"/>
  <c r="B13" i="78"/>
  <c r="B32" i="64" s="1"/>
  <c r="B3" i="78"/>
  <c r="A2" i="64" s="1"/>
  <c r="B90" i="77"/>
  <c r="D23" i="6" s="1"/>
  <c r="B91" i="77"/>
  <c r="D24" i="6" s="1"/>
  <c r="B92" i="77"/>
  <c r="D25" i="6" s="1"/>
  <c r="B93" i="77"/>
  <c r="D26" i="6" s="1"/>
  <c r="B94" i="77"/>
  <c r="D27" i="6" s="1"/>
  <c r="B95" i="77"/>
  <c r="D28" i="6" s="1"/>
  <c r="B96" i="77"/>
  <c r="D29" i="6" s="1"/>
  <c r="B97" i="77"/>
  <c r="D30" i="6" s="1"/>
  <c r="B98" i="77"/>
  <c r="D31" i="6" s="1"/>
  <c r="B99" i="77"/>
  <c r="D32" i="6" s="1"/>
  <c r="B100" i="77"/>
  <c r="D33" i="6" s="1"/>
  <c r="B101" i="77"/>
  <c r="D34" i="6" s="1"/>
  <c r="B102" i="77"/>
  <c r="D37" i="6" s="1"/>
  <c r="B17" i="77"/>
  <c r="C35" i="6" s="1"/>
  <c r="B4" i="77"/>
  <c r="B6" i="6" s="1"/>
  <c r="B6" i="77"/>
  <c r="A10" i="6" s="1"/>
  <c r="B7" i="77"/>
  <c r="B12" i="6" s="1"/>
  <c r="B8" i="77"/>
  <c r="B14" i="6" s="1"/>
  <c r="B9" i="77"/>
  <c r="C15" i="6" s="1"/>
  <c r="B10" i="77"/>
  <c r="C16" i="6" s="1"/>
  <c r="B11" i="77"/>
  <c r="B18" i="6" s="1"/>
  <c r="B12" i="77"/>
  <c r="B20" i="6" s="1"/>
  <c r="B13" i="77"/>
  <c r="C22" i="6" s="1"/>
  <c r="B14" i="77"/>
  <c r="C23" i="6" s="1"/>
  <c r="B15" i="77"/>
  <c r="C27" i="6" s="1"/>
  <c r="B16" i="77"/>
  <c r="C31" i="6" s="1"/>
  <c r="B21" i="77"/>
  <c r="C37" i="6" s="1"/>
  <c r="B22" i="77"/>
  <c r="B41" i="6" s="1"/>
  <c r="B23" i="77"/>
  <c r="B43" i="6" s="1"/>
  <c r="B24" i="77"/>
  <c r="C44" i="6" s="1"/>
  <c r="B25" i="77"/>
  <c r="D45" i="6" s="1"/>
  <c r="B26" i="77"/>
  <c r="D46" i="6" s="1"/>
  <c r="B27" i="77"/>
  <c r="C47" i="6" s="1"/>
  <c r="B28" i="77"/>
  <c r="B49" i="6" s="1"/>
  <c r="B29" i="77"/>
  <c r="C50" i="6" s="1"/>
  <c r="B30" i="77"/>
  <c r="C52" i="6" s="1"/>
  <c r="B31" i="77"/>
  <c r="D53" i="6" s="1"/>
  <c r="B32" i="77"/>
  <c r="D54" i="6" s="1"/>
  <c r="B33" i="77"/>
  <c r="D55" i="6" s="1"/>
  <c r="B34" i="77"/>
  <c r="D58" i="6" s="1"/>
  <c r="B35" i="77"/>
  <c r="C57" i="6" s="1"/>
  <c r="B36" i="77"/>
  <c r="D59" i="6" s="1"/>
  <c r="B38" i="77"/>
  <c r="B63" i="6" s="1"/>
  <c r="B39" i="77"/>
  <c r="B65" i="6" s="1"/>
  <c r="B40" i="77"/>
  <c r="B67" i="6" s="1"/>
  <c r="B41" i="77"/>
  <c r="C69" i="6" s="1"/>
  <c r="B42" i="77"/>
  <c r="C70" i="6" s="1"/>
  <c r="B43" i="77"/>
  <c r="C72" i="6" s="1"/>
  <c r="B44" i="77"/>
  <c r="C74" i="6" s="1"/>
  <c r="B45" i="77"/>
  <c r="D75" i="6" s="1"/>
  <c r="B46" i="77"/>
  <c r="D76" i="6" s="1"/>
  <c r="B47" i="77"/>
  <c r="D77" i="6" s="1"/>
  <c r="B48" i="77"/>
  <c r="D78" i="6" s="1"/>
  <c r="B49" i="77"/>
  <c r="D80" i="6" s="1"/>
  <c r="B50" i="77"/>
  <c r="E80" i="6" s="1"/>
  <c r="B51" i="77"/>
  <c r="D86" i="6" s="1"/>
  <c r="B52" i="77"/>
  <c r="B88" i="6" s="1"/>
  <c r="B53" i="77"/>
  <c r="B89" i="6" s="1"/>
  <c r="B54" i="77"/>
  <c r="C90" i="6" s="1"/>
  <c r="B55" i="77"/>
  <c r="C91" i="6" s="1"/>
  <c r="B56" i="77"/>
  <c r="D92" i="6" s="1"/>
  <c r="B57" i="77"/>
  <c r="D93" i="6" s="1"/>
  <c r="B58" i="77"/>
  <c r="D94" i="6" s="1"/>
  <c r="B59" i="77"/>
  <c r="D95" i="6" s="1"/>
  <c r="B60" i="77"/>
  <c r="D96" i="6" s="1"/>
  <c r="B61" i="77"/>
  <c r="D97" i="6" s="1"/>
  <c r="B62" i="77"/>
  <c r="C98" i="6" s="1"/>
  <c r="B63" i="77"/>
  <c r="D99" i="6" s="1"/>
  <c r="B64" i="77"/>
  <c r="C100" i="6" s="1"/>
  <c r="B65" i="77"/>
  <c r="D101" i="6" s="1"/>
  <c r="B66" i="77"/>
  <c r="C102" i="6" s="1"/>
  <c r="B67" i="77"/>
  <c r="C104" i="6" s="1"/>
  <c r="B68" i="77"/>
  <c r="D105" i="6" s="1"/>
  <c r="B69" i="77"/>
  <c r="C106" i="6" s="1"/>
  <c r="B70" i="77"/>
  <c r="C108" i="6" s="1"/>
  <c r="B71" i="77"/>
  <c r="C109" i="6" s="1"/>
  <c r="B72" i="77"/>
  <c r="B111" i="6" s="1"/>
  <c r="B73" i="77"/>
  <c r="B113" i="6" s="1"/>
  <c r="B74" i="77"/>
  <c r="B114" i="6" s="1"/>
  <c r="B75" i="77"/>
  <c r="B115" i="6" s="1"/>
  <c r="B76" i="77"/>
  <c r="B118" i="6" s="1"/>
  <c r="B77" i="77"/>
  <c r="C120" i="6" s="1"/>
  <c r="B78" i="77"/>
  <c r="C121" i="6" s="1"/>
  <c r="B79" i="77"/>
  <c r="C122" i="6" s="1"/>
  <c r="B80" i="77"/>
  <c r="C123" i="6" s="1"/>
  <c r="B81" i="77"/>
  <c r="C125" i="6" s="1"/>
  <c r="B82" i="77"/>
  <c r="C129" i="6" s="1"/>
  <c r="B83" i="77"/>
  <c r="D131" i="6" s="1"/>
  <c r="B84" i="77"/>
  <c r="D132" i="6" s="1"/>
  <c r="B85" i="77"/>
  <c r="D133" i="6" s="1"/>
  <c r="B86" i="77"/>
  <c r="D134" i="6" s="1"/>
  <c r="B87" i="77"/>
  <c r="D135" i="6" s="1"/>
  <c r="B88" i="77"/>
  <c r="D136" i="6" s="1"/>
  <c r="B89" i="77"/>
  <c r="D140" i="6" s="1"/>
  <c r="W60" i="65" l="1"/>
  <c r="W18" i="65"/>
  <c r="AD18" i="65"/>
  <c r="AD60" i="65"/>
  <c r="Z18" i="65"/>
  <c r="Z60" i="65"/>
  <c r="V18" i="65"/>
  <c r="V60" i="65"/>
  <c r="R18" i="65"/>
  <c r="R60" i="65"/>
  <c r="S60" i="65"/>
  <c r="S18" i="65"/>
  <c r="AB60" i="65"/>
  <c r="AB18" i="65"/>
  <c r="X60" i="65"/>
  <c r="X18" i="65"/>
  <c r="T60" i="65"/>
  <c r="T18" i="65"/>
  <c r="AA60" i="65"/>
  <c r="AA18" i="65"/>
  <c r="AC18" i="65"/>
  <c r="AC60" i="65"/>
  <c r="Y18" i="65"/>
  <c r="Y60" i="65"/>
  <c r="U18" i="65"/>
  <c r="U60" i="65"/>
  <c r="Q18" i="65"/>
  <c r="Q60" i="65"/>
  <c r="M303" i="8"/>
  <c r="N18" i="65"/>
  <c r="N82" i="65"/>
  <c r="D250" i="7"/>
  <c r="D439" i="7"/>
  <c r="D441" i="7"/>
  <c r="D252" i="7"/>
  <c r="D479" i="7"/>
  <c r="D8" i="7"/>
  <c r="E116" i="7"/>
  <c r="M255" i="7"/>
  <c r="P444" i="7"/>
  <c r="J444" i="7"/>
  <c r="P255" i="7"/>
  <c r="J255" i="7"/>
  <c r="M444" i="7"/>
  <c r="D11" i="7"/>
  <c r="K255" i="7"/>
  <c r="N444" i="7"/>
  <c r="N255" i="7"/>
  <c r="H255" i="7"/>
  <c r="K444" i="7"/>
  <c r="H444" i="7"/>
  <c r="D370" i="7"/>
  <c r="D444" i="7"/>
  <c r="D412" i="7"/>
  <c r="D443" i="7"/>
  <c r="G131" i="66"/>
  <c r="G89" i="66"/>
  <c r="E594" i="7"/>
  <c r="D132" i="66"/>
  <c r="E401" i="7"/>
  <c r="D239" i="7"/>
  <c r="D520" i="7"/>
  <c r="D610" i="7"/>
  <c r="C418" i="10" s="1"/>
  <c r="D580" i="7"/>
  <c r="C383" i="10" s="1"/>
  <c r="D550" i="7"/>
  <c r="C348" i="10" s="1"/>
  <c r="D255" i="7"/>
  <c r="J131" i="66"/>
  <c r="J89" i="66"/>
  <c r="H131" i="66"/>
  <c r="H89" i="66"/>
  <c r="F131" i="66"/>
  <c r="F89" i="66"/>
  <c r="D271" i="7"/>
  <c r="D604" i="7"/>
  <c r="C412" i="10" s="1"/>
  <c r="D574" i="7"/>
  <c r="C377" i="10" s="1"/>
  <c r="D544" i="7"/>
  <c r="C342" i="10" s="1"/>
  <c r="D514" i="7"/>
  <c r="D369" i="7"/>
  <c r="D254" i="7"/>
  <c r="C372" i="8"/>
  <c r="C432" i="8"/>
  <c r="D494" i="8"/>
  <c r="D19" i="83"/>
  <c r="B19" i="83" s="1"/>
  <c r="D64" i="68" s="1"/>
  <c r="H9" i="11"/>
  <c r="I18" i="65"/>
  <c r="I181" i="65"/>
  <c r="I82" i="65"/>
  <c r="I124" i="65"/>
  <c r="G15" i="66"/>
  <c r="G57" i="66"/>
  <c r="H15" i="66"/>
  <c r="H57" i="66"/>
  <c r="F60" i="65"/>
  <c r="F82" i="65"/>
  <c r="AA505" i="7"/>
  <c r="D689" i="7"/>
  <c r="AA535" i="7"/>
  <c r="AG535" i="7"/>
  <c r="AG505" i="7"/>
  <c r="D687" i="7"/>
  <c r="Y505" i="7"/>
  <c r="Y535" i="7"/>
  <c r="V505" i="7"/>
  <c r="V535" i="7"/>
  <c r="R535" i="7"/>
  <c r="R505" i="7"/>
  <c r="P505" i="7"/>
  <c r="P535" i="7"/>
  <c r="N535" i="7"/>
  <c r="N505" i="7"/>
  <c r="AA565" i="7"/>
  <c r="AA595" i="7"/>
  <c r="D695" i="7"/>
  <c r="AG595" i="7"/>
  <c r="AG565" i="7"/>
  <c r="Y595" i="7"/>
  <c r="Y565" i="7"/>
  <c r="D684" i="7"/>
  <c r="V565" i="7"/>
  <c r="V595" i="7"/>
  <c r="D679" i="7"/>
  <c r="R595" i="7"/>
  <c r="R565" i="7"/>
  <c r="D677" i="7"/>
  <c r="P565" i="7"/>
  <c r="P595" i="7"/>
  <c r="D675" i="7"/>
  <c r="N595" i="7"/>
  <c r="N565" i="7"/>
  <c r="D401" i="7"/>
  <c r="D484" i="7"/>
  <c r="D200" i="7"/>
  <c r="D198" i="7"/>
  <c r="D196" i="7"/>
  <c r="D194" i="7"/>
  <c r="D192" i="7"/>
  <c r="D190" i="7"/>
  <c r="D201" i="7"/>
  <c r="D199" i="7"/>
  <c r="D197" i="7"/>
  <c r="D195" i="7"/>
  <c r="D193" i="7"/>
  <c r="D191" i="7"/>
  <c r="D383" i="7"/>
  <c r="B148" i="10" s="1"/>
  <c r="D462" i="7"/>
  <c r="B20" i="41"/>
  <c r="D456" i="7"/>
  <c r="D474" i="7"/>
  <c r="E484" i="7"/>
  <c r="AH507" i="7"/>
  <c r="D507" i="7"/>
  <c r="C507" i="7"/>
  <c r="E534" i="7"/>
  <c r="M504" i="7"/>
  <c r="AH537" i="7"/>
  <c r="D537" i="7"/>
  <c r="D565" i="7"/>
  <c r="D567" i="7"/>
  <c r="D595" i="7"/>
  <c r="D597" i="7"/>
  <c r="M594" i="7"/>
  <c r="AH567" i="7"/>
  <c r="F630" i="7"/>
  <c r="H630" i="7"/>
  <c r="F645" i="7"/>
  <c r="H645" i="7"/>
  <c r="D686" i="7"/>
  <c r="E474" i="7"/>
  <c r="E485" i="7"/>
  <c r="D493" i="7"/>
  <c r="E504" i="7"/>
  <c r="D505" i="7"/>
  <c r="D506" i="7"/>
  <c r="M534" i="7"/>
  <c r="D536" i="7"/>
  <c r="C537" i="7"/>
  <c r="E564" i="7"/>
  <c r="D566" i="7"/>
  <c r="C567" i="7"/>
  <c r="D596" i="7"/>
  <c r="C597" i="7"/>
  <c r="E630" i="7"/>
  <c r="G630" i="7"/>
  <c r="I630" i="7"/>
  <c r="E645" i="7"/>
  <c r="G645" i="7"/>
  <c r="I645" i="7"/>
  <c r="F671" i="7"/>
  <c r="D420" i="7"/>
  <c r="E428" i="7"/>
  <c r="D437" i="7"/>
  <c r="D413" i="7"/>
  <c r="D428" i="7"/>
  <c r="E435" i="7"/>
  <c r="F437" i="7"/>
  <c r="D27" i="7"/>
  <c r="C26" i="7"/>
  <c r="D50" i="7"/>
  <c r="D111" i="7"/>
  <c r="D357" i="7" s="1"/>
  <c r="D109" i="7"/>
  <c r="D355" i="7" s="1"/>
  <c r="D107" i="7"/>
  <c r="D353" i="7" s="1"/>
  <c r="D105" i="7"/>
  <c r="D351" i="7" s="1"/>
  <c r="D103" i="7"/>
  <c r="D349" i="7" s="1"/>
  <c r="D101" i="7"/>
  <c r="D347" i="7" s="1"/>
  <c r="D129" i="7"/>
  <c r="D189" i="7"/>
  <c r="D213" i="7"/>
  <c r="D214" i="7"/>
  <c r="D237" i="7"/>
  <c r="E243" i="7"/>
  <c r="E270" i="7"/>
  <c r="D282" i="7"/>
  <c r="D336" i="7"/>
  <c r="D344" i="7"/>
  <c r="D377" i="7"/>
  <c r="B142" i="10" s="1"/>
  <c r="D408" i="7"/>
  <c r="D15" i="7"/>
  <c r="D39" i="7"/>
  <c r="D110" i="7"/>
  <c r="D356" i="7" s="1"/>
  <c r="D108" i="7"/>
  <c r="D354" i="7" s="1"/>
  <c r="D106" i="7"/>
  <c r="D352" i="7" s="1"/>
  <c r="D104" i="7"/>
  <c r="D350" i="7" s="1"/>
  <c r="D102" i="7"/>
  <c r="D348" i="7" s="1"/>
  <c r="D100" i="7"/>
  <c r="D346" i="7" s="1"/>
  <c r="D116" i="7"/>
  <c r="D117" i="7"/>
  <c r="D140" i="7"/>
  <c r="F213" i="7"/>
  <c r="D226" i="7"/>
  <c r="D245" i="7"/>
  <c r="D270" i="7"/>
  <c r="D338" i="7"/>
  <c r="D78" i="65"/>
  <c r="G82" i="65"/>
  <c r="K82" i="65"/>
  <c r="F124" i="65"/>
  <c r="H124" i="65"/>
  <c r="L124" i="65"/>
  <c r="N124" i="65"/>
  <c r="F139" i="65"/>
  <c r="H139" i="65"/>
  <c r="J139" i="65"/>
  <c r="L139" i="65"/>
  <c r="O139" i="65"/>
  <c r="F181" i="65"/>
  <c r="H181" i="65"/>
  <c r="L181" i="65"/>
  <c r="D182" i="65"/>
  <c r="H82" i="65"/>
  <c r="J82" i="65"/>
  <c r="L82" i="65"/>
  <c r="D83" i="65"/>
  <c r="G124" i="65"/>
  <c r="J124" i="65"/>
  <c r="M124" i="65"/>
  <c r="D125" i="65"/>
  <c r="G139" i="65"/>
  <c r="I139" i="65"/>
  <c r="K139" i="65"/>
  <c r="D140" i="65"/>
  <c r="G181" i="65"/>
  <c r="J181" i="65"/>
  <c r="M181" i="65"/>
  <c r="F18" i="65"/>
  <c r="H18" i="65"/>
  <c r="J18" i="65"/>
  <c r="G60" i="65"/>
  <c r="F122" i="11" l="1"/>
  <c r="F179" i="11"/>
  <c r="F9" i="8"/>
  <c r="G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F11" i="8"/>
  <c r="G11" i="8"/>
  <c r="H11" i="8"/>
  <c r="I11" i="8"/>
  <c r="J11" i="8"/>
  <c r="K11" i="8"/>
  <c r="L11" i="8"/>
  <c r="M11" i="8"/>
  <c r="N11" i="8"/>
  <c r="O11" i="8"/>
  <c r="P11" i="8"/>
  <c r="Q11" i="8"/>
  <c r="R11" i="8"/>
  <c r="S11" i="8"/>
  <c r="T11" i="8"/>
  <c r="U11" i="8"/>
  <c r="V11" i="8"/>
  <c r="W11" i="8"/>
  <c r="X11" i="8"/>
  <c r="Y11" i="8"/>
  <c r="Z11" i="8"/>
  <c r="AA11" i="8"/>
  <c r="AB11" i="8"/>
  <c r="AC11" i="8"/>
  <c r="AD11" i="8"/>
  <c r="AE11" i="8"/>
  <c r="AF11" i="8"/>
  <c r="AG11" i="8"/>
  <c r="AH11" i="8"/>
  <c r="AI11" i="8"/>
  <c r="AJ11" i="8"/>
  <c r="AK11" i="8"/>
  <c r="AL11" i="8"/>
  <c r="AM11" i="8"/>
  <c r="AN11" i="8"/>
  <c r="AO11" i="8"/>
  <c r="AP11" i="8"/>
  <c r="AQ11" i="8"/>
  <c r="AR11" i="8"/>
  <c r="AS11" i="8"/>
  <c r="AT11" i="8"/>
  <c r="AU11" i="8"/>
  <c r="F12" i="8"/>
  <c r="G12" i="8"/>
  <c r="H12" i="8"/>
  <c r="I12" i="8"/>
  <c r="J12" i="8"/>
  <c r="K12" i="8"/>
  <c r="L12" i="8"/>
  <c r="M12" i="8"/>
  <c r="N12" i="8"/>
  <c r="O12" i="8"/>
  <c r="P12" i="8"/>
  <c r="Q12" i="8"/>
  <c r="R12" i="8"/>
  <c r="S12" i="8"/>
  <c r="T12" i="8"/>
  <c r="U12" i="8"/>
  <c r="V12" i="8"/>
  <c r="W12" i="8"/>
  <c r="X12" i="8"/>
  <c r="Y12" i="8"/>
  <c r="Z12" i="8"/>
  <c r="AA12" i="8"/>
  <c r="AB12" i="8"/>
  <c r="AC12" i="8"/>
  <c r="AD12" i="8"/>
  <c r="AE12" i="8"/>
  <c r="AF12" i="8"/>
  <c r="AG12" i="8"/>
  <c r="AH12" i="8"/>
  <c r="AI12" i="8"/>
  <c r="AJ12" i="8"/>
  <c r="AK12" i="8"/>
  <c r="AL12" i="8"/>
  <c r="AM12" i="8"/>
  <c r="AN12" i="8"/>
  <c r="AO12" i="8"/>
  <c r="AP12" i="8"/>
  <c r="AQ12" i="8"/>
  <c r="AR12" i="8"/>
  <c r="AS12" i="8"/>
  <c r="AT12" i="8"/>
  <c r="AU12" i="8"/>
  <c r="F13" i="8"/>
  <c r="G13" i="8"/>
  <c r="H13" i="8"/>
  <c r="I13" i="8"/>
  <c r="J13" i="8"/>
  <c r="K13" i="8"/>
  <c r="L13" i="8"/>
  <c r="M13" i="8"/>
  <c r="N13" i="8"/>
  <c r="O13" i="8"/>
  <c r="P13" i="8"/>
  <c r="Q13" i="8"/>
  <c r="R13" i="8"/>
  <c r="S13" i="8"/>
  <c r="T13" i="8"/>
  <c r="U13" i="8"/>
  <c r="V13" i="8"/>
  <c r="W13" i="8"/>
  <c r="X13" i="8"/>
  <c r="Y13" i="8"/>
  <c r="Z13" i="8"/>
  <c r="AA13" i="8"/>
  <c r="AB13" i="8"/>
  <c r="AC13" i="8"/>
  <c r="AD13" i="8"/>
  <c r="AE13" i="8"/>
  <c r="AF13" i="8"/>
  <c r="AG13" i="8"/>
  <c r="AH13" i="8"/>
  <c r="AI13" i="8"/>
  <c r="AJ13" i="8"/>
  <c r="AK13" i="8"/>
  <c r="AL13" i="8"/>
  <c r="AM13" i="8"/>
  <c r="AN13" i="8"/>
  <c r="AO13" i="8"/>
  <c r="AP13" i="8"/>
  <c r="AQ13" i="8"/>
  <c r="AR13" i="8"/>
  <c r="AS13" i="8"/>
  <c r="AT13" i="8"/>
  <c r="AU13" i="8"/>
  <c r="F14" i="8"/>
  <c r="G14" i="8"/>
  <c r="H14" i="8"/>
  <c r="I14" i="8"/>
  <c r="J14" i="8"/>
  <c r="K14" i="8"/>
  <c r="L14" i="8"/>
  <c r="M14" i="8"/>
  <c r="N14" i="8"/>
  <c r="O14" i="8"/>
  <c r="P14" i="8"/>
  <c r="Q14" i="8"/>
  <c r="R14" i="8"/>
  <c r="S14" i="8"/>
  <c r="T14" i="8"/>
  <c r="U14" i="8"/>
  <c r="V14" i="8"/>
  <c r="W14" i="8"/>
  <c r="X14" i="8"/>
  <c r="Y14" i="8"/>
  <c r="Z14" i="8"/>
  <c r="AA14" i="8"/>
  <c r="AB14" i="8"/>
  <c r="AC14" i="8"/>
  <c r="AD14" i="8"/>
  <c r="AE14" i="8"/>
  <c r="AF14" i="8"/>
  <c r="AG14" i="8"/>
  <c r="AH14" i="8"/>
  <c r="AI14" i="8"/>
  <c r="AJ14" i="8"/>
  <c r="AK14" i="8"/>
  <c r="AL14" i="8"/>
  <c r="AM14" i="8"/>
  <c r="AN14" i="8"/>
  <c r="AO14" i="8"/>
  <c r="AP14" i="8"/>
  <c r="AQ14" i="8"/>
  <c r="AR14" i="8"/>
  <c r="AS14" i="8"/>
  <c r="AT14" i="8"/>
  <c r="AU14" i="8"/>
  <c r="F15" i="8"/>
  <c r="G15" i="8"/>
  <c r="H15" i="8"/>
  <c r="I15" i="8"/>
  <c r="J15" i="8"/>
  <c r="K15" i="8"/>
  <c r="L15" i="8"/>
  <c r="M15" i="8"/>
  <c r="N15" i="8"/>
  <c r="O15" i="8"/>
  <c r="P15" i="8"/>
  <c r="Q15" i="8"/>
  <c r="R15" i="8"/>
  <c r="S15" i="8"/>
  <c r="T15" i="8"/>
  <c r="U15" i="8"/>
  <c r="V15" i="8"/>
  <c r="W15" i="8"/>
  <c r="X15" i="8"/>
  <c r="Y15" i="8"/>
  <c r="Z15" i="8"/>
  <c r="AA15" i="8"/>
  <c r="AB15" i="8"/>
  <c r="AC15" i="8"/>
  <c r="AD15" i="8"/>
  <c r="AE15" i="8"/>
  <c r="AF15" i="8"/>
  <c r="AG15" i="8"/>
  <c r="AH15" i="8"/>
  <c r="AI15" i="8"/>
  <c r="AJ15" i="8"/>
  <c r="AK15" i="8"/>
  <c r="AL15" i="8"/>
  <c r="AM15" i="8"/>
  <c r="AN15" i="8"/>
  <c r="AO15" i="8"/>
  <c r="AP15" i="8"/>
  <c r="AQ15" i="8"/>
  <c r="AR15" i="8"/>
  <c r="AS15" i="8"/>
  <c r="AT15" i="8"/>
  <c r="AU15" i="8"/>
  <c r="F16" i="8"/>
  <c r="G16" i="8"/>
  <c r="H16" i="8"/>
  <c r="I16" i="8"/>
  <c r="J16" i="8"/>
  <c r="K16" i="8"/>
  <c r="L16" i="8"/>
  <c r="M16" i="8"/>
  <c r="N16" i="8"/>
  <c r="O16" i="8"/>
  <c r="P16" i="8"/>
  <c r="Q16" i="8"/>
  <c r="R16" i="8"/>
  <c r="S16" i="8"/>
  <c r="T16" i="8"/>
  <c r="U16" i="8"/>
  <c r="V16" i="8"/>
  <c r="W16" i="8"/>
  <c r="X16" i="8"/>
  <c r="Y16" i="8"/>
  <c r="Z16" i="8"/>
  <c r="AA16" i="8"/>
  <c r="AB16" i="8"/>
  <c r="AC16" i="8"/>
  <c r="AD16" i="8"/>
  <c r="AE16" i="8"/>
  <c r="AF16" i="8"/>
  <c r="AG16" i="8"/>
  <c r="AH16" i="8"/>
  <c r="AI16" i="8"/>
  <c r="AJ16" i="8"/>
  <c r="AK16" i="8"/>
  <c r="AL16" i="8"/>
  <c r="AM16" i="8"/>
  <c r="AN16" i="8"/>
  <c r="AO16" i="8"/>
  <c r="AP16" i="8"/>
  <c r="AQ16" i="8"/>
  <c r="AR16" i="8"/>
  <c r="AS16" i="8"/>
  <c r="AT16" i="8"/>
  <c r="AU16" i="8"/>
  <c r="F17" i="8"/>
  <c r="G17" i="8"/>
  <c r="H17" i="8"/>
  <c r="I17" i="8"/>
  <c r="J17" i="8"/>
  <c r="K17" i="8"/>
  <c r="L17" i="8"/>
  <c r="M17" i="8"/>
  <c r="N17" i="8"/>
  <c r="O17" i="8"/>
  <c r="P17" i="8"/>
  <c r="Q17" i="8"/>
  <c r="R17" i="8"/>
  <c r="S17" i="8"/>
  <c r="T17" i="8"/>
  <c r="U17" i="8"/>
  <c r="V17" i="8"/>
  <c r="W17" i="8"/>
  <c r="X17" i="8"/>
  <c r="Y17" i="8"/>
  <c r="Z17" i="8"/>
  <c r="AA17" i="8"/>
  <c r="AB17" i="8"/>
  <c r="AC17" i="8"/>
  <c r="AD17" i="8"/>
  <c r="AE17" i="8"/>
  <c r="AF17" i="8"/>
  <c r="AG17" i="8"/>
  <c r="AH17" i="8"/>
  <c r="AI17" i="8"/>
  <c r="AJ17" i="8"/>
  <c r="AK17" i="8"/>
  <c r="AL17" i="8"/>
  <c r="AM17" i="8"/>
  <c r="AN17" i="8"/>
  <c r="AO17" i="8"/>
  <c r="AP17" i="8"/>
  <c r="AQ17" i="8"/>
  <c r="AR17" i="8"/>
  <c r="AS17" i="8"/>
  <c r="AT17" i="8"/>
  <c r="AU17" i="8"/>
  <c r="F18" i="8"/>
  <c r="G18" i="8"/>
  <c r="H18" i="8"/>
  <c r="I18" i="8"/>
  <c r="J18" i="8"/>
  <c r="K18" i="8"/>
  <c r="L18" i="8"/>
  <c r="M18" i="8"/>
  <c r="N18" i="8"/>
  <c r="O18" i="8"/>
  <c r="P18" i="8"/>
  <c r="Q18" i="8"/>
  <c r="R18" i="8"/>
  <c r="S18" i="8"/>
  <c r="T18" i="8"/>
  <c r="U18" i="8"/>
  <c r="V18" i="8"/>
  <c r="W18" i="8"/>
  <c r="X18" i="8"/>
  <c r="Y18" i="8"/>
  <c r="Z18" i="8"/>
  <c r="AA18" i="8"/>
  <c r="AB18" i="8"/>
  <c r="AC18" i="8"/>
  <c r="AD18" i="8"/>
  <c r="AE18" i="8"/>
  <c r="AF18" i="8"/>
  <c r="AG18" i="8"/>
  <c r="AH18" i="8"/>
  <c r="AI18" i="8"/>
  <c r="AJ18" i="8"/>
  <c r="AK18" i="8"/>
  <c r="AL18" i="8"/>
  <c r="AM18" i="8"/>
  <c r="AN18" i="8"/>
  <c r="AO18" i="8"/>
  <c r="AP18" i="8"/>
  <c r="AQ18" i="8"/>
  <c r="AR18" i="8"/>
  <c r="AS18" i="8"/>
  <c r="AT18" i="8"/>
  <c r="AU18" i="8"/>
  <c r="F19" i="8"/>
  <c r="G19" i="8"/>
  <c r="H19" i="8"/>
  <c r="I19" i="8"/>
  <c r="J19" i="8"/>
  <c r="K19" i="8"/>
  <c r="L19" i="8"/>
  <c r="M19" i="8"/>
  <c r="N19" i="8"/>
  <c r="O19" i="8"/>
  <c r="P19" i="8"/>
  <c r="Q19" i="8"/>
  <c r="R19" i="8"/>
  <c r="S19" i="8"/>
  <c r="T19" i="8"/>
  <c r="U19" i="8"/>
  <c r="V19" i="8"/>
  <c r="W19" i="8"/>
  <c r="X19" i="8"/>
  <c r="Y19" i="8"/>
  <c r="Z19" i="8"/>
  <c r="AA19" i="8"/>
  <c r="AB19" i="8"/>
  <c r="AC19" i="8"/>
  <c r="AD19" i="8"/>
  <c r="AE19" i="8"/>
  <c r="AF19" i="8"/>
  <c r="AG19" i="8"/>
  <c r="AH19" i="8"/>
  <c r="AI19" i="8"/>
  <c r="AJ19" i="8"/>
  <c r="AK19" i="8"/>
  <c r="AL19" i="8"/>
  <c r="AM19" i="8"/>
  <c r="AN19" i="8"/>
  <c r="AO19" i="8"/>
  <c r="AP19" i="8"/>
  <c r="AQ19" i="8"/>
  <c r="AR19" i="8"/>
  <c r="AS19" i="8"/>
  <c r="AT19" i="8"/>
  <c r="AU19"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U21"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AI22" i="8"/>
  <c r="AJ22" i="8"/>
  <c r="AK22" i="8"/>
  <c r="AL22" i="8"/>
  <c r="AM22" i="8"/>
  <c r="AN22" i="8"/>
  <c r="AO22" i="8"/>
  <c r="AP22" i="8"/>
  <c r="AQ22" i="8"/>
  <c r="AR22" i="8"/>
  <c r="AS22" i="8"/>
  <c r="AT22" i="8"/>
  <c r="AU22" i="8"/>
  <c r="F23" i="8"/>
  <c r="G23" i="8"/>
  <c r="H23" i="8"/>
  <c r="I23" i="8"/>
  <c r="J23"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P23" i="8"/>
  <c r="AQ23" i="8"/>
  <c r="AR23" i="8"/>
  <c r="AS23" i="8"/>
  <c r="AT23" i="8"/>
  <c r="AU23"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F25" i="8"/>
  <c r="G25" i="8"/>
  <c r="H25" i="8"/>
  <c r="I25" i="8"/>
  <c r="J25" i="8"/>
  <c r="K25" i="8"/>
  <c r="L25" i="8"/>
  <c r="M25" i="8"/>
  <c r="N25" i="8"/>
  <c r="O25" i="8"/>
  <c r="P25" i="8"/>
  <c r="Q25" i="8"/>
  <c r="R25" i="8"/>
  <c r="S25" i="8"/>
  <c r="T25" i="8"/>
  <c r="U25" i="8"/>
  <c r="V25" i="8"/>
  <c r="W25" i="8"/>
  <c r="X25" i="8"/>
  <c r="Y25" i="8"/>
  <c r="Z25" i="8"/>
  <c r="AA25" i="8"/>
  <c r="AB25" i="8"/>
  <c r="AC25" i="8"/>
  <c r="AD25" i="8"/>
  <c r="AE25" i="8"/>
  <c r="AF25" i="8"/>
  <c r="AG25" i="8"/>
  <c r="AH25" i="8"/>
  <c r="AI25" i="8"/>
  <c r="AJ25" i="8"/>
  <c r="AK25" i="8"/>
  <c r="AL25" i="8"/>
  <c r="AM25" i="8"/>
  <c r="AN25" i="8"/>
  <c r="AO25" i="8"/>
  <c r="AP25" i="8"/>
  <c r="AQ25" i="8"/>
  <c r="AR25" i="8"/>
  <c r="AS25" i="8"/>
  <c r="AT25" i="8"/>
  <c r="AU25" i="8"/>
  <c r="F26" i="8"/>
  <c r="G26" i="8"/>
  <c r="H26" i="8"/>
  <c r="I26" i="8"/>
  <c r="J26" i="8"/>
  <c r="K26" i="8"/>
  <c r="L26" i="8"/>
  <c r="M26" i="8"/>
  <c r="N26" i="8"/>
  <c r="O26" i="8"/>
  <c r="P26" i="8"/>
  <c r="Q26" i="8"/>
  <c r="R26" i="8"/>
  <c r="S26" i="8"/>
  <c r="T26" i="8"/>
  <c r="U26" i="8"/>
  <c r="V26" i="8"/>
  <c r="W26" i="8"/>
  <c r="X26" i="8"/>
  <c r="Y26" i="8"/>
  <c r="Z26" i="8"/>
  <c r="AA26" i="8"/>
  <c r="AB26" i="8"/>
  <c r="AC26" i="8"/>
  <c r="AD26" i="8"/>
  <c r="AE26" i="8"/>
  <c r="AF26" i="8"/>
  <c r="AG26" i="8"/>
  <c r="AH26" i="8"/>
  <c r="AI26" i="8"/>
  <c r="AJ26" i="8"/>
  <c r="AK26" i="8"/>
  <c r="AL26" i="8"/>
  <c r="AM26" i="8"/>
  <c r="AN26" i="8"/>
  <c r="AO26" i="8"/>
  <c r="AP26" i="8"/>
  <c r="AQ26" i="8"/>
  <c r="AR26" i="8"/>
  <c r="AS26" i="8"/>
  <c r="AT26" i="8"/>
  <c r="AU26" i="8"/>
  <c r="F27" i="8"/>
  <c r="G27"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AU28"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U29" i="8"/>
  <c r="F30" i="8"/>
  <c r="G30" i="8"/>
  <c r="H30" i="8"/>
  <c r="I30" i="8"/>
  <c r="J30"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P30" i="8"/>
  <c r="AQ30" i="8"/>
  <c r="AR30" i="8"/>
  <c r="AS30" i="8"/>
  <c r="AT30" i="8"/>
  <c r="AU30"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F33" i="8"/>
  <c r="G33" i="8"/>
  <c r="H33" i="8"/>
  <c r="I33" i="8"/>
  <c r="J33" i="8"/>
  <c r="K33" i="8"/>
  <c r="L33" i="8"/>
  <c r="M33" i="8"/>
  <c r="N33" i="8"/>
  <c r="O33" i="8"/>
  <c r="P33" i="8"/>
  <c r="Q33" i="8"/>
  <c r="R33" i="8"/>
  <c r="S33" i="8"/>
  <c r="T33" i="8"/>
  <c r="U33" i="8"/>
  <c r="V33" i="8"/>
  <c r="W33" i="8"/>
  <c r="X33" i="8"/>
  <c r="Y33" i="8"/>
  <c r="Z33" i="8"/>
  <c r="AA33" i="8"/>
  <c r="AB33" i="8"/>
  <c r="AC33" i="8"/>
  <c r="AD33" i="8"/>
  <c r="AE33" i="8"/>
  <c r="AF33" i="8"/>
  <c r="AG33" i="8"/>
  <c r="AH33" i="8"/>
  <c r="AI33" i="8"/>
  <c r="AJ33" i="8"/>
  <c r="AK33" i="8"/>
  <c r="AL33" i="8"/>
  <c r="AM33" i="8"/>
  <c r="AN33" i="8"/>
  <c r="AO33" i="8"/>
  <c r="AP33" i="8"/>
  <c r="AQ33" i="8"/>
  <c r="AR33" i="8"/>
  <c r="AS33" i="8"/>
  <c r="AT33" i="8"/>
  <c r="AU33" i="8"/>
  <c r="F34" i="8"/>
  <c r="G34" i="8"/>
  <c r="H34" i="8"/>
  <c r="I34" i="8"/>
  <c r="J34" i="8"/>
  <c r="K34" i="8"/>
  <c r="L34" i="8"/>
  <c r="M34" i="8"/>
  <c r="N34" i="8"/>
  <c r="O34" i="8"/>
  <c r="P34" i="8"/>
  <c r="Q34" i="8"/>
  <c r="R34" i="8"/>
  <c r="S34" i="8"/>
  <c r="T34" i="8"/>
  <c r="U34" i="8"/>
  <c r="V34" i="8"/>
  <c r="W34" i="8"/>
  <c r="X34" i="8"/>
  <c r="Y34" i="8"/>
  <c r="Z34" i="8"/>
  <c r="AA34" i="8"/>
  <c r="AB34" i="8"/>
  <c r="AC34" i="8"/>
  <c r="AD34" i="8"/>
  <c r="AE34" i="8"/>
  <c r="AF34" i="8"/>
  <c r="AG34" i="8"/>
  <c r="AH34" i="8"/>
  <c r="AI34" i="8"/>
  <c r="AJ34" i="8"/>
  <c r="AK34" i="8"/>
  <c r="AL34" i="8"/>
  <c r="AM34" i="8"/>
  <c r="AN34" i="8"/>
  <c r="AO34" i="8"/>
  <c r="AP34" i="8"/>
  <c r="AQ34" i="8"/>
  <c r="AR34" i="8"/>
  <c r="AS34" i="8"/>
  <c r="AT34" i="8"/>
  <c r="AU34" i="8"/>
  <c r="F35" i="8"/>
  <c r="G35" i="8"/>
  <c r="H35" i="8"/>
  <c r="I35" i="8"/>
  <c r="J35"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AU39"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F43" i="8"/>
  <c r="G43" i="8"/>
  <c r="H43" i="8"/>
  <c r="I43" i="8"/>
  <c r="J43" i="8"/>
  <c r="K43" i="8"/>
  <c r="L43" i="8"/>
  <c r="M43" i="8"/>
  <c r="N43" i="8"/>
  <c r="O43" i="8"/>
  <c r="P43" i="8"/>
  <c r="Q43" i="8"/>
  <c r="R43" i="8"/>
  <c r="S43" i="8"/>
  <c r="T43" i="8"/>
  <c r="U43" i="8"/>
  <c r="V43" i="8"/>
  <c r="W43" i="8"/>
  <c r="X43" i="8"/>
  <c r="Y43" i="8"/>
  <c r="Z43" i="8"/>
  <c r="AA43" i="8"/>
  <c r="AB43" i="8"/>
  <c r="AC43" i="8"/>
  <c r="AD43" i="8"/>
  <c r="AE43" i="8"/>
  <c r="AF43" i="8"/>
  <c r="AG43" i="8"/>
  <c r="AH43" i="8"/>
  <c r="AI43" i="8"/>
  <c r="AJ43" i="8"/>
  <c r="AK43" i="8"/>
  <c r="AL43" i="8"/>
  <c r="AM43" i="8"/>
  <c r="AN43" i="8"/>
  <c r="AO43" i="8"/>
  <c r="AP43" i="8"/>
  <c r="AQ43" i="8"/>
  <c r="AR43" i="8"/>
  <c r="AS43" i="8"/>
  <c r="AT43" i="8"/>
  <c r="AU43" i="8"/>
  <c r="F44" i="8"/>
  <c r="G44" i="8"/>
  <c r="H44" i="8"/>
  <c r="I44" i="8"/>
  <c r="J44" i="8"/>
  <c r="K44" i="8"/>
  <c r="L44" i="8"/>
  <c r="M44" i="8"/>
  <c r="N44" i="8"/>
  <c r="O44" i="8"/>
  <c r="P44" i="8"/>
  <c r="Q44" i="8"/>
  <c r="R44" i="8"/>
  <c r="S44" i="8"/>
  <c r="T44" i="8"/>
  <c r="U44" i="8"/>
  <c r="V44" i="8"/>
  <c r="W44" i="8"/>
  <c r="X44" i="8"/>
  <c r="Y44" i="8"/>
  <c r="Z44" i="8"/>
  <c r="AA44" i="8"/>
  <c r="AB44" i="8"/>
  <c r="AC44" i="8"/>
  <c r="AD44" i="8"/>
  <c r="AE44" i="8"/>
  <c r="AF44" i="8"/>
  <c r="AG44" i="8"/>
  <c r="AH44" i="8"/>
  <c r="AI44" i="8"/>
  <c r="AJ44" i="8"/>
  <c r="AK44" i="8"/>
  <c r="AL44" i="8"/>
  <c r="AM44" i="8"/>
  <c r="AN44" i="8"/>
  <c r="AO44" i="8"/>
  <c r="AP44" i="8"/>
  <c r="AQ44" i="8"/>
  <c r="AR44" i="8"/>
  <c r="AS44" i="8"/>
  <c r="AT44" i="8"/>
  <c r="AU44"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F49" i="8"/>
  <c r="G49" i="8"/>
  <c r="H49" i="8"/>
  <c r="I49" i="8"/>
  <c r="J49" i="8"/>
  <c r="K49" i="8"/>
  <c r="L49" i="8"/>
  <c r="M49" i="8"/>
  <c r="N49" i="8"/>
  <c r="O49" i="8"/>
  <c r="P49" i="8"/>
  <c r="Q49" i="8"/>
  <c r="R49" i="8"/>
  <c r="S49" i="8"/>
  <c r="T49" i="8"/>
  <c r="U49" i="8"/>
  <c r="V49" i="8"/>
  <c r="W49" i="8"/>
  <c r="X49" i="8"/>
  <c r="Y49" i="8"/>
  <c r="Z49" i="8"/>
  <c r="AA49" i="8"/>
  <c r="AB49" i="8"/>
  <c r="AC49" i="8"/>
  <c r="AD49" i="8"/>
  <c r="AE49" i="8"/>
  <c r="AF49" i="8"/>
  <c r="AG49" i="8"/>
  <c r="AH49" i="8"/>
  <c r="AI49" i="8"/>
  <c r="AJ49" i="8"/>
  <c r="AK49" i="8"/>
  <c r="AL49" i="8"/>
  <c r="AM49" i="8"/>
  <c r="AN49" i="8"/>
  <c r="AO49" i="8"/>
  <c r="AP49" i="8"/>
  <c r="AQ49" i="8"/>
  <c r="AR49" i="8"/>
  <c r="AS49" i="8"/>
  <c r="AT49" i="8"/>
  <c r="AU49" i="8"/>
  <c r="F50" i="8"/>
  <c r="G50" i="8"/>
  <c r="H50" i="8"/>
  <c r="I50" i="8"/>
  <c r="J50" i="8"/>
  <c r="K50" i="8"/>
  <c r="L50" i="8"/>
  <c r="M50" i="8"/>
  <c r="N50" i="8"/>
  <c r="O50" i="8"/>
  <c r="P50" i="8"/>
  <c r="Q50" i="8"/>
  <c r="R50" i="8"/>
  <c r="S50" i="8"/>
  <c r="T50" i="8"/>
  <c r="U50" i="8"/>
  <c r="V50" i="8"/>
  <c r="W50" i="8"/>
  <c r="X50" i="8"/>
  <c r="Y50" i="8"/>
  <c r="Z50" i="8"/>
  <c r="AA50" i="8"/>
  <c r="AB50" i="8"/>
  <c r="AC50" i="8"/>
  <c r="AD50" i="8"/>
  <c r="AE50" i="8"/>
  <c r="AF50" i="8"/>
  <c r="AG50" i="8"/>
  <c r="AH50" i="8"/>
  <c r="AI50" i="8"/>
  <c r="AJ50" i="8"/>
  <c r="AK50" i="8"/>
  <c r="AL50" i="8"/>
  <c r="AM50" i="8"/>
  <c r="AN50" i="8"/>
  <c r="AO50" i="8"/>
  <c r="AP50" i="8"/>
  <c r="AQ50" i="8"/>
  <c r="AR50" i="8"/>
  <c r="AS50" i="8"/>
  <c r="AT50" i="8"/>
  <c r="AU50" i="8"/>
  <c r="F51" i="8"/>
  <c r="G51" i="8"/>
  <c r="H51" i="8"/>
  <c r="I51" i="8"/>
  <c r="J51" i="8"/>
  <c r="K51" i="8"/>
  <c r="L51" i="8"/>
  <c r="M51" i="8"/>
  <c r="N51" i="8"/>
  <c r="O51" i="8"/>
  <c r="P51" i="8"/>
  <c r="Q51" i="8"/>
  <c r="R51" i="8"/>
  <c r="S51" i="8"/>
  <c r="T51" i="8"/>
  <c r="U51" i="8"/>
  <c r="V51" i="8"/>
  <c r="W51" i="8"/>
  <c r="X51" i="8"/>
  <c r="Y51" i="8"/>
  <c r="Z51" i="8"/>
  <c r="AA51" i="8"/>
  <c r="AB51" i="8"/>
  <c r="AC51" i="8"/>
  <c r="AD51" i="8"/>
  <c r="AE51" i="8"/>
  <c r="AF51" i="8"/>
  <c r="AG51" i="8"/>
  <c r="AH51" i="8"/>
  <c r="AI51" i="8"/>
  <c r="AJ51" i="8"/>
  <c r="AK51" i="8"/>
  <c r="AL51" i="8"/>
  <c r="AM51" i="8"/>
  <c r="AN51" i="8"/>
  <c r="AO51" i="8"/>
  <c r="AP51" i="8"/>
  <c r="AQ51" i="8"/>
  <c r="AR51" i="8"/>
  <c r="AS51" i="8"/>
  <c r="AT51" i="8"/>
  <c r="AU51" i="8"/>
  <c r="F52"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F56" i="8"/>
  <c r="G56" i="8"/>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F57" i="8"/>
  <c r="G57" i="8"/>
  <c r="H57" i="8"/>
  <c r="I57" i="8"/>
  <c r="J57" i="8"/>
  <c r="K57" i="8"/>
  <c r="L57" i="8"/>
  <c r="M57" i="8"/>
  <c r="N57" i="8"/>
  <c r="O57" i="8"/>
  <c r="P57" i="8"/>
  <c r="Q57" i="8"/>
  <c r="R57" i="8"/>
  <c r="S57" i="8"/>
  <c r="T57" i="8"/>
  <c r="U57" i="8"/>
  <c r="V57" i="8"/>
  <c r="W57" i="8"/>
  <c r="X57" i="8"/>
  <c r="Y57" i="8"/>
  <c r="Z57" i="8"/>
  <c r="AA57" i="8"/>
  <c r="AB57" i="8"/>
  <c r="AC57" i="8"/>
  <c r="AD57" i="8"/>
  <c r="AE57" i="8"/>
  <c r="AF57" i="8"/>
  <c r="AG57" i="8"/>
  <c r="AH57" i="8"/>
  <c r="AI57" i="8"/>
  <c r="AJ57" i="8"/>
  <c r="AK57" i="8"/>
  <c r="AL57" i="8"/>
  <c r="AM57" i="8"/>
  <c r="AN57" i="8"/>
  <c r="AO57" i="8"/>
  <c r="AP57" i="8"/>
  <c r="AQ57" i="8"/>
  <c r="AR57" i="8"/>
  <c r="AS57" i="8"/>
  <c r="AT57" i="8"/>
  <c r="AU57" i="8"/>
  <c r="F58" i="8"/>
  <c r="G58" i="8"/>
  <c r="H58" i="8"/>
  <c r="I58" i="8"/>
  <c r="J58" i="8"/>
  <c r="K58" i="8"/>
  <c r="L58" i="8"/>
  <c r="M58" i="8"/>
  <c r="N58" i="8"/>
  <c r="O58" i="8"/>
  <c r="P58" i="8"/>
  <c r="Q58" i="8"/>
  <c r="R58" i="8"/>
  <c r="S58" i="8"/>
  <c r="T58" i="8"/>
  <c r="U58" i="8"/>
  <c r="V58" i="8"/>
  <c r="W58" i="8"/>
  <c r="X58" i="8"/>
  <c r="Y58" i="8"/>
  <c r="Z58" i="8"/>
  <c r="AA58" i="8"/>
  <c r="AB58" i="8"/>
  <c r="AC58" i="8"/>
  <c r="AD58" i="8"/>
  <c r="AE58" i="8"/>
  <c r="AF58" i="8"/>
  <c r="AG58" i="8"/>
  <c r="AH58" i="8"/>
  <c r="AI58" i="8"/>
  <c r="AJ58" i="8"/>
  <c r="AK58" i="8"/>
  <c r="AL58" i="8"/>
  <c r="AM58" i="8"/>
  <c r="AN58" i="8"/>
  <c r="AO58" i="8"/>
  <c r="AP58" i="8"/>
  <c r="AQ58" i="8"/>
  <c r="AR58" i="8"/>
  <c r="AS58" i="8"/>
  <c r="AT58" i="8"/>
  <c r="AU58" i="8"/>
  <c r="F59" i="8"/>
  <c r="G59" i="8"/>
  <c r="H59" i="8"/>
  <c r="I59" i="8"/>
  <c r="J59" i="8"/>
  <c r="K59" i="8"/>
  <c r="L59" i="8"/>
  <c r="M59" i="8"/>
  <c r="N59" i="8"/>
  <c r="O59" i="8"/>
  <c r="P59" i="8"/>
  <c r="Q59" i="8"/>
  <c r="R59" i="8"/>
  <c r="S59" i="8"/>
  <c r="T59" i="8"/>
  <c r="U59" i="8"/>
  <c r="V59" i="8"/>
  <c r="W59" i="8"/>
  <c r="X59" i="8"/>
  <c r="Y59" i="8"/>
  <c r="Z59" i="8"/>
  <c r="AA59" i="8"/>
  <c r="AB59" i="8"/>
  <c r="AC59" i="8"/>
  <c r="AD59" i="8"/>
  <c r="AE59" i="8"/>
  <c r="AF59" i="8"/>
  <c r="AG59" i="8"/>
  <c r="AH59" i="8"/>
  <c r="AI59" i="8"/>
  <c r="AJ59" i="8"/>
  <c r="AK59" i="8"/>
  <c r="AL59" i="8"/>
  <c r="AM59" i="8"/>
  <c r="AN59" i="8"/>
  <c r="AO59" i="8"/>
  <c r="AP59" i="8"/>
  <c r="AQ59" i="8"/>
  <c r="AR59" i="8"/>
  <c r="AS59" i="8"/>
  <c r="AT59" i="8"/>
  <c r="AU59"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P62" i="8"/>
  <c r="AQ62" i="8"/>
  <c r="AR62" i="8"/>
  <c r="AS62" i="8"/>
  <c r="AT62" i="8"/>
  <c r="AU62" i="8"/>
  <c r="F63" i="8"/>
  <c r="G63" i="8"/>
  <c r="H63" i="8"/>
  <c r="I63" i="8"/>
  <c r="J63" i="8"/>
  <c r="K63" i="8"/>
  <c r="L63" i="8"/>
  <c r="M63" i="8"/>
  <c r="N63" i="8"/>
  <c r="O63" i="8"/>
  <c r="P63" i="8"/>
  <c r="Q63" i="8"/>
  <c r="R63" i="8"/>
  <c r="S63" i="8"/>
  <c r="T63" i="8"/>
  <c r="U63" i="8"/>
  <c r="V63" i="8"/>
  <c r="W63" i="8"/>
  <c r="X63" i="8"/>
  <c r="Y63" i="8"/>
  <c r="Z63" i="8"/>
  <c r="AA63" i="8"/>
  <c r="AB63" i="8"/>
  <c r="AC63" i="8"/>
  <c r="AD63" i="8"/>
  <c r="AE63" i="8"/>
  <c r="AF63" i="8"/>
  <c r="AG63" i="8"/>
  <c r="AH63" i="8"/>
  <c r="AI63" i="8"/>
  <c r="AJ63" i="8"/>
  <c r="AK63" i="8"/>
  <c r="AL63" i="8"/>
  <c r="AM63" i="8"/>
  <c r="AN63" i="8"/>
  <c r="AO63" i="8"/>
  <c r="AP63" i="8"/>
  <c r="AQ63" i="8"/>
  <c r="AR63" i="8"/>
  <c r="AS63" i="8"/>
  <c r="AT63" i="8"/>
  <c r="AU63"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F65" i="8"/>
  <c r="G65" i="8"/>
  <c r="H65" i="8"/>
  <c r="I65" i="8"/>
  <c r="J65" i="8"/>
  <c r="K65" i="8"/>
  <c r="L65" i="8"/>
  <c r="M65" i="8"/>
  <c r="N65" i="8"/>
  <c r="O65" i="8"/>
  <c r="P65" i="8"/>
  <c r="Q65" i="8"/>
  <c r="R65" i="8"/>
  <c r="S65" i="8"/>
  <c r="T65" i="8"/>
  <c r="U65" i="8"/>
  <c r="V65" i="8"/>
  <c r="W65" i="8"/>
  <c r="X65" i="8"/>
  <c r="Y65" i="8"/>
  <c r="Z65" i="8"/>
  <c r="AA65" i="8"/>
  <c r="AB65" i="8"/>
  <c r="AC65" i="8"/>
  <c r="AD65" i="8"/>
  <c r="AE65" i="8"/>
  <c r="AF65" i="8"/>
  <c r="AG65" i="8"/>
  <c r="AH65" i="8"/>
  <c r="AI65" i="8"/>
  <c r="AJ65" i="8"/>
  <c r="AK65" i="8"/>
  <c r="AL65" i="8"/>
  <c r="AM65" i="8"/>
  <c r="AN65" i="8"/>
  <c r="AO65" i="8"/>
  <c r="AP65" i="8"/>
  <c r="AQ65" i="8"/>
  <c r="AR65" i="8"/>
  <c r="AS65" i="8"/>
  <c r="AT65" i="8"/>
  <c r="AU65"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P66" i="8"/>
  <c r="AQ66" i="8"/>
  <c r="AR66" i="8"/>
  <c r="AS66" i="8"/>
  <c r="AT66" i="8"/>
  <c r="AU66"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AK67" i="8"/>
  <c r="AL67" i="8"/>
  <c r="AM67" i="8"/>
  <c r="AN67" i="8"/>
  <c r="AO67" i="8"/>
  <c r="AP67" i="8"/>
  <c r="AQ67" i="8"/>
  <c r="AR67" i="8"/>
  <c r="AS67" i="8"/>
  <c r="AT67" i="8"/>
  <c r="AU67" i="8"/>
  <c r="F68" i="8"/>
  <c r="G68" i="8"/>
  <c r="H68" i="8"/>
  <c r="I68" i="8"/>
  <c r="J68" i="8"/>
  <c r="K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AI69" i="8"/>
  <c r="AJ69" i="8"/>
  <c r="AK69" i="8"/>
  <c r="AL69" i="8"/>
  <c r="AM69" i="8"/>
  <c r="AN69" i="8"/>
  <c r="AO69" i="8"/>
  <c r="AP69" i="8"/>
  <c r="AQ69" i="8"/>
  <c r="AR69" i="8"/>
  <c r="AS69" i="8"/>
  <c r="AT69" i="8"/>
  <c r="AU69"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P74" i="8"/>
  <c r="AQ74" i="8"/>
  <c r="AR74" i="8"/>
  <c r="AS74" i="8"/>
  <c r="AT74" i="8"/>
  <c r="AU74" i="8"/>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AI76" i="8"/>
  <c r="AJ76" i="8"/>
  <c r="AK76" i="8"/>
  <c r="AL76" i="8"/>
  <c r="AM76" i="8"/>
  <c r="AN76" i="8"/>
  <c r="AO76" i="8"/>
  <c r="AP76" i="8"/>
  <c r="AQ76" i="8"/>
  <c r="AR76" i="8"/>
  <c r="AS76" i="8"/>
  <c r="AT76" i="8"/>
  <c r="AU76"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F81" i="8"/>
  <c r="G81" i="8"/>
  <c r="H81" i="8"/>
  <c r="I81" i="8"/>
  <c r="J81" i="8"/>
  <c r="K81" i="8"/>
  <c r="L81" i="8"/>
  <c r="M81" i="8"/>
  <c r="N81" i="8"/>
  <c r="O81" i="8"/>
  <c r="P81" i="8"/>
  <c r="Q81" i="8"/>
  <c r="R81" i="8"/>
  <c r="S81" i="8"/>
  <c r="T81" i="8"/>
  <c r="U81" i="8"/>
  <c r="V81" i="8"/>
  <c r="W81" i="8"/>
  <c r="X81" i="8"/>
  <c r="Y81" i="8"/>
  <c r="Z81" i="8"/>
  <c r="AA81" i="8"/>
  <c r="AB81" i="8"/>
  <c r="AC81" i="8"/>
  <c r="AD81" i="8"/>
  <c r="AE81" i="8"/>
  <c r="AF81" i="8"/>
  <c r="AG81" i="8"/>
  <c r="AH81" i="8"/>
  <c r="AI81" i="8"/>
  <c r="AJ81" i="8"/>
  <c r="AK81" i="8"/>
  <c r="AL81" i="8"/>
  <c r="AM81" i="8"/>
  <c r="AN81" i="8"/>
  <c r="AO81" i="8"/>
  <c r="AP81" i="8"/>
  <c r="AQ81" i="8"/>
  <c r="AR81" i="8"/>
  <c r="AS81" i="8"/>
  <c r="AT81" i="8"/>
  <c r="AU81"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AI82" i="8"/>
  <c r="AJ82" i="8"/>
  <c r="AK82" i="8"/>
  <c r="AL82" i="8"/>
  <c r="AM82" i="8"/>
  <c r="AN82" i="8"/>
  <c r="AO82" i="8"/>
  <c r="AP82" i="8"/>
  <c r="AQ82" i="8"/>
  <c r="AR82" i="8"/>
  <c r="AS82" i="8"/>
  <c r="AT82" i="8"/>
  <c r="AU82"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AO83" i="8"/>
  <c r="AP83" i="8"/>
  <c r="AQ83" i="8"/>
  <c r="AR83" i="8"/>
  <c r="AS83" i="8"/>
  <c r="AT83" i="8"/>
  <c r="AU83"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AI84" i="8"/>
  <c r="AJ84" i="8"/>
  <c r="AK84" i="8"/>
  <c r="AL84" i="8"/>
  <c r="AM84" i="8"/>
  <c r="AN84" i="8"/>
  <c r="AO84" i="8"/>
  <c r="AP84" i="8"/>
  <c r="AQ84" i="8"/>
  <c r="AR84" i="8"/>
  <c r="AS84" i="8"/>
  <c r="AT84" i="8"/>
  <c r="AU84"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P85" i="8"/>
  <c r="AQ85" i="8"/>
  <c r="AR85" i="8"/>
  <c r="AS85" i="8"/>
  <c r="AT85" i="8"/>
  <c r="AU85"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AO86" i="8"/>
  <c r="AP86" i="8"/>
  <c r="AQ86" i="8"/>
  <c r="AR86" i="8"/>
  <c r="AS86" i="8"/>
  <c r="AT86" i="8"/>
  <c r="AU86"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P87" i="8"/>
  <c r="AQ87" i="8"/>
  <c r="AR87" i="8"/>
  <c r="AS87" i="8"/>
  <c r="AT87" i="8"/>
  <c r="AU87"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AO88" i="8"/>
  <c r="AP88" i="8"/>
  <c r="AQ88" i="8"/>
  <c r="AR88" i="8"/>
  <c r="AS88" i="8"/>
  <c r="AT88" i="8"/>
  <c r="AU88" i="8"/>
  <c r="F89" i="8"/>
  <c r="G89"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AN89" i="8"/>
  <c r="AO89" i="8"/>
  <c r="AP89" i="8"/>
  <c r="AQ89" i="8"/>
  <c r="AR89" i="8"/>
  <c r="AS89" i="8"/>
  <c r="AT89" i="8"/>
  <c r="AU89"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AO90" i="8"/>
  <c r="AP90" i="8"/>
  <c r="AQ90" i="8"/>
  <c r="AR90" i="8"/>
  <c r="AS90" i="8"/>
  <c r="AT90" i="8"/>
  <c r="AU90"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AP91" i="8"/>
  <c r="AQ91" i="8"/>
  <c r="AR91" i="8"/>
  <c r="AS91" i="8"/>
  <c r="AT91" i="8"/>
  <c r="AU91" i="8"/>
  <c r="F92" i="8"/>
  <c r="G92"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AQ92" i="8"/>
  <c r="AR92" i="8"/>
  <c r="AS92" i="8"/>
  <c r="AT92" i="8"/>
  <c r="AU92" i="8"/>
  <c r="H320" i="8"/>
  <c r="P14" i="65"/>
  <c r="E202" i="7" l="1"/>
  <c r="G320" i="8"/>
  <c r="M4" i="74"/>
  <c r="D103" i="8"/>
  <c r="E103" i="8"/>
  <c r="F103" i="8"/>
  <c r="G103" i="8"/>
  <c r="H103" i="8"/>
  <c r="I103" i="8"/>
  <c r="D104" i="8"/>
  <c r="E104" i="8"/>
  <c r="F104" i="8"/>
  <c r="G104" i="8"/>
  <c r="H104" i="8"/>
  <c r="I104" i="8"/>
  <c r="D105" i="8"/>
  <c r="E105" i="8"/>
  <c r="F105" i="8"/>
  <c r="G105" i="8"/>
  <c r="H105" i="8"/>
  <c r="I105" i="8"/>
  <c r="D106" i="8"/>
  <c r="E106" i="8"/>
  <c r="F106" i="8"/>
  <c r="G106" i="8"/>
  <c r="H106" i="8"/>
  <c r="I106" i="8"/>
  <c r="D107" i="8"/>
  <c r="E107" i="8"/>
  <c r="F107" i="8"/>
  <c r="G107" i="8"/>
  <c r="H107" i="8"/>
  <c r="I107" i="8"/>
  <c r="D108" i="8"/>
  <c r="E108" i="8"/>
  <c r="F108" i="8"/>
  <c r="G108" i="8"/>
  <c r="H108" i="8"/>
  <c r="I108" i="8"/>
  <c r="D109" i="8"/>
  <c r="E109" i="8"/>
  <c r="F109" i="8"/>
  <c r="G109" i="8"/>
  <c r="H109" i="8"/>
  <c r="I109" i="8"/>
  <c r="D110" i="8"/>
  <c r="E110" i="8"/>
  <c r="F110" i="8"/>
  <c r="G110" i="8"/>
  <c r="H110" i="8"/>
  <c r="I110" i="8"/>
  <c r="D111" i="8"/>
  <c r="E111" i="8"/>
  <c r="F111" i="8"/>
  <c r="G111" i="8"/>
  <c r="H111" i="8"/>
  <c r="I111" i="8"/>
  <c r="D112" i="8"/>
  <c r="E112" i="8"/>
  <c r="F112" i="8"/>
  <c r="G112" i="8"/>
  <c r="H112" i="8"/>
  <c r="I112" i="8"/>
  <c r="D113" i="8"/>
  <c r="E113" i="8"/>
  <c r="F113" i="8"/>
  <c r="G113" i="8"/>
  <c r="H113" i="8"/>
  <c r="I113" i="8"/>
  <c r="D114" i="8"/>
  <c r="E114" i="8"/>
  <c r="F114" i="8"/>
  <c r="G114" i="8"/>
  <c r="H114" i="8"/>
  <c r="I114" i="8"/>
  <c r="D115" i="8"/>
  <c r="E115" i="8"/>
  <c r="F115" i="8"/>
  <c r="G115" i="8"/>
  <c r="H115" i="8"/>
  <c r="I115" i="8"/>
  <c r="D116" i="8"/>
  <c r="E116" i="8"/>
  <c r="F116" i="8"/>
  <c r="G116" i="8"/>
  <c r="H116" i="8"/>
  <c r="I116" i="8"/>
  <c r="D117" i="8"/>
  <c r="E117" i="8"/>
  <c r="F117" i="8"/>
  <c r="G117" i="8"/>
  <c r="H117" i="8"/>
  <c r="I117" i="8"/>
  <c r="D118" i="8"/>
  <c r="E118" i="8"/>
  <c r="F118" i="8"/>
  <c r="G118" i="8"/>
  <c r="H118" i="8"/>
  <c r="I118" i="8"/>
  <c r="D119" i="8"/>
  <c r="E119" i="8"/>
  <c r="F119" i="8"/>
  <c r="G119" i="8"/>
  <c r="H119" i="8"/>
  <c r="I119" i="8"/>
  <c r="D120" i="8"/>
  <c r="E120" i="8"/>
  <c r="F120" i="8"/>
  <c r="G120" i="8"/>
  <c r="H120" i="8"/>
  <c r="I120" i="8"/>
  <c r="D121" i="8"/>
  <c r="E121" i="8"/>
  <c r="F121" i="8"/>
  <c r="G121" i="8"/>
  <c r="H121" i="8"/>
  <c r="I121" i="8"/>
  <c r="D122" i="8"/>
  <c r="E122" i="8"/>
  <c r="F122" i="8"/>
  <c r="G122" i="8"/>
  <c r="H122" i="8"/>
  <c r="I122" i="8"/>
  <c r="D123" i="8"/>
  <c r="E123" i="8"/>
  <c r="F123" i="8"/>
  <c r="G123" i="8"/>
  <c r="H123" i="8"/>
  <c r="I123" i="8"/>
  <c r="D124" i="8"/>
  <c r="E124" i="8"/>
  <c r="F124" i="8"/>
  <c r="G124" i="8"/>
  <c r="H124" i="8"/>
  <c r="I124" i="8"/>
  <c r="D125" i="8"/>
  <c r="E125" i="8"/>
  <c r="F125" i="8"/>
  <c r="G125" i="8"/>
  <c r="H125" i="8"/>
  <c r="I125" i="8"/>
  <c r="D126" i="8"/>
  <c r="E126" i="8"/>
  <c r="F126" i="8"/>
  <c r="G126" i="8"/>
  <c r="H126" i="8"/>
  <c r="I126" i="8"/>
  <c r="D127" i="8"/>
  <c r="E127" i="8"/>
  <c r="F127" i="8"/>
  <c r="G127" i="8"/>
  <c r="H127" i="8"/>
  <c r="I127" i="8"/>
  <c r="D128" i="8"/>
  <c r="E128" i="8"/>
  <c r="F128" i="8"/>
  <c r="G128" i="8"/>
  <c r="H128" i="8"/>
  <c r="I128" i="8"/>
  <c r="D129" i="8"/>
  <c r="E129" i="8"/>
  <c r="F129" i="8"/>
  <c r="G129" i="8"/>
  <c r="H129" i="8"/>
  <c r="I129" i="8"/>
  <c r="D130" i="8"/>
  <c r="E130" i="8"/>
  <c r="F130" i="8"/>
  <c r="G130" i="8"/>
  <c r="H130" i="8"/>
  <c r="I130" i="8"/>
  <c r="D131" i="8"/>
  <c r="E131" i="8"/>
  <c r="F131" i="8"/>
  <c r="G131" i="8"/>
  <c r="H131" i="8"/>
  <c r="I131" i="8"/>
  <c r="D132" i="8"/>
  <c r="E132" i="8"/>
  <c r="F132" i="8"/>
  <c r="G132" i="8"/>
  <c r="H132" i="8"/>
  <c r="I132" i="8"/>
  <c r="D133" i="8"/>
  <c r="E133" i="8"/>
  <c r="F133" i="8"/>
  <c r="G133" i="8"/>
  <c r="H133" i="8"/>
  <c r="I133" i="8"/>
  <c r="D134" i="8"/>
  <c r="E134" i="8"/>
  <c r="F134" i="8"/>
  <c r="G134" i="8"/>
  <c r="H134" i="8"/>
  <c r="I134" i="8"/>
  <c r="D135" i="8"/>
  <c r="E135" i="8"/>
  <c r="F135" i="8"/>
  <c r="G135" i="8"/>
  <c r="H135" i="8"/>
  <c r="I135" i="8"/>
  <c r="D136" i="8"/>
  <c r="E136" i="8"/>
  <c r="F136" i="8"/>
  <c r="G136" i="8"/>
  <c r="H136" i="8"/>
  <c r="I136" i="8"/>
  <c r="D137" i="8"/>
  <c r="E137" i="8"/>
  <c r="F137" i="8"/>
  <c r="G137" i="8"/>
  <c r="H137" i="8"/>
  <c r="I137" i="8"/>
  <c r="D138" i="8"/>
  <c r="E138" i="8"/>
  <c r="F138" i="8"/>
  <c r="G138" i="8"/>
  <c r="H138" i="8"/>
  <c r="I138" i="8"/>
  <c r="D139" i="8"/>
  <c r="E139" i="8"/>
  <c r="F139" i="8"/>
  <c r="G139" i="8"/>
  <c r="H139" i="8"/>
  <c r="I139" i="8"/>
  <c r="D140" i="8"/>
  <c r="E140" i="8"/>
  <c r="F140" i="8"/>
  <c r="G140" i="8"/>
  <c r="H140" i="8"/>
  <c r="I140" i="8"/>
  <c r="D141" i="8"/>
  <c r="E141" i="8"/>
  <c r="F141" i="8"/>
  <c r="G141" i="8"/>
  <c r="H141" i="8"/>
  <c r="I141" i="8"/>
  <c r="D142" i="8"/>
  <c r="E142" i="8"/>
  <c r="F142" i="8"/>
  <c r="G142" i="8"/>
  <c r="H142" i="8"/>
  <c r="I142" i="8"/>
  <c r="E102" i="8"/>
  <c r="F102" i="8"/>
  <c r="G102" i="8"/>
  <c r="H102" i="8"/>
  <c r="I102" i="8"/>
  <c r="D102" i="8"/>
  <c r="E153" i="8"/>
  <c r="M182" i="65"/>
  <c r="M183" i="65"/>
  <c r="M184" i="65"/>
  <c r="M185" i="65"/>
  <c r="M186" i="65"/>
  <c r="M187" i="65"/>
  <c r="M188" i="65"/>
  <c r="M189" i="65"/>
  <c r="L189" i="65"/>
  <c r="K189" i="65"/>
  <c r="J189" i="65"/>
  <c r="I189" i="65"/>
  <c r="H189" i="65"/>
  <c r="G189" i="65"/>
  <c r="F189" i="65"/>
  <c r="L188" i="65"/>
  <c r="K188" i="65"/>
  <c r="J188" i="65"/>
  <c r="I188" i="65"/>
  <c r="H188" i="65"/>
  <c r="G188" i="65"/>
  <c r="F188" i="65"/>
  <c r="L187" i="65"/>
  <c r="K187" i="65"/>
  <c r="J187" i="65"/>
  <c r="I187" i="65"/>
  <c r="H187" i="65"/>
  <c r="G187" i="65"/>
  <c r="F187" i="65"/>
  <c r="L186" i="65"/>
  <c r="K186" i="65"/>
  <c r="J186" i="65"/>
  <c r="I186" i="65"/>
  <c r="H186" i="65"/>
  <c r="G186" i="65"/>
  <c r="F186" i="65"/>
  <c r="L185" i="65"/>
  <c r="K185" i="65"/>
  <c r="J185" i="65"/>
  <c r="I185" i="65"/>
  <c r="H185" i="65"/>
  <c r="G185" i="65"/>
  <c r="F185" i="65"/>
  <c r="L184" i="65"/>
  <c r="K184" i="65"/>
  <c r="J184" i="65"/>
  <c r="I184" i="65"/>
  <c r="H184" i="65"/>
  <c r="G184" i="65"/>
  <c r="F184" i="65"/>
  <c r="L183" i="65"/>
  <c r="K183" i="65"/>
  <c r="J183" i="65"/>
  <c r="I183" i="65"/>
  <c r="H183" i="65"/>
  <c r="G183" i="65"/>
  <c r="F183" i="65"/>
  <c r="L182" i="65"/>
  <c r="K182" i="65"/>
  <c r="J182" i="65"/>
  <c r="I182" i="65"/>
  <c r="H182" i="65"/>
  <c r="G182" i="65"/>
  <c r="F182" i="65"/>
  <c r="F141" i="65"/>
  <c r="G141" i="65"/>
  <c r="H141" i="65"/>
  <c r="I141" i="65"/>
  <c r="J141" i="65"/>
  <c r="K141" i="65"/>
  <c r="L141" i="65"/>
  <c r="F142" i="65"/>
  <c r="G142" i="65"/>
  <c r="H142" i="65"/>
  <c r="I142" i="65"/>
  <c r="J142" i="65"/>
  <c r="K142" i="65"/>
  <c r="L142" i="65"/>
  <c r="F143" i="65"/>
  <c r="G143" i="65"/>
  <c r="H143" i="65"/>
  <c r="I143" i="65"/>
  <c r="J143" i="65"/>
  <c r="K143" i="65"/>
  <c r="L143" i="65"/>
  <c r="F144" i="65"/>
  <c r="G144" i="65"/>
  <c r="H144" i="65"/>
  <c r="I144" i="65"/>
  <c r="J144" i="65"/>
  <c r="K144" i="65"/>
  <c r="L144" i="65"/>
  <c r="F145" i="65"/>
  <c r="G145" i="65"/>
  <c r="H145" i="65"/>
  <c r="I145" i="65"/>
  <c r="J145" i="65"/>
  <c r="K145" i="65"/>
  <c r="L145" i="65"/>
  <c r="F146" i="65"/>
  <c r="G146" i="65"/>
  <c r="H146" i="65"/>
  <c r="I146" i="65"/>
  <c r="J146" i="65"/>
  <c r="K146" i="65"/>
  <c r="L146" i="65"/>
  <c r="F147" i="65"/>
  <c r="G147" i="65"/>
  <c r="H147" i="65"/>
  <c r="I147" i="65"/>
  <c r="J147" i="65"/>
  <c r="K147" i="65"/>
  <c r="L147" i="65"/>
  <c r="F148" i="65"/>
  <c r="G148" i="65"/>
  <c r="H148" i="65"/>
  <c r="I148" i="65"/>
  <c r="J148" i="65"/>
  <c r="K148" i="65"/>
  <c r="L148" i="65"/>
  <c r="F149" i="65"/>
  <c r="G149" i="65"/>
  <c r="H149" i="65"/>
  <c r="I149" i="65"/>
  <c r="J149" i="65"/>
  <c r="K149" i="65"/>
  <c r="L149" i="65"/>
  <c r="F150" i="65"/>
  <c r="G150" i="65"/>
  <c r="H150" i="65"/>
  <c r="I150" i="65"/>
  <c r="J150" i="65"/>
  <c r="K150" i="65"/>
  <c r="L150" i="65"/>
  <c r="F151" i="65"/>
  <c r="G151" i="65"/>
  <c r="H151" i="65"/>
  <c r="I151" i="65"/>
  <c r="J151" i="65"/>
  <c r="K151" i="65"/>
  <c r="L151" i="65"/>
  <c r="F152" i="65"/>
  <c r="G152" i="65"/>
  <c r="H152" i="65"/>
  <c r="I152" i="65"/>
  <c r="J152" i="65"/>
  <c r="K152" i="65"/>
  <c r="L152" i="65"/>
  <c r="F153" i="65"/>
  <c r="G153" i="65"/>
  <c r="H153" i="65"/>
  <c r="I153" i="65"/>
  <c r="J153" i="65"/>
  <c r="K153" i="65"/>
  <c r="L153" i="65"/>
  <c r="F154" i="65"/>
  <c r="G154" i="65"/>
  <c r="H154" i="65"/>
  <c r="I154" i="65"/>
  <c r="J154" i="65"/>
  <c r="K154" i="65"/>
  <c r="L154" i="65"/>
  <c r="F155" i="65"/>
  <c r="G155" i="65"/>
  <c r="H155" i="65"/>
  <c r="I155" i="65"/>
  <c r="J155" i="65"/>
  <c r="K155" i="65"/>
  <c r="L155" i="65"/>
  <c r="F156" i="65"/>
  <c r="G156" i="65"/>
  <c r="H156" i="65"/>
  <c r="I156" i="65"/>
  <c r="J156" i="65"/>
  <c r="K156" i="65"/>
  <c r="L156" i="65"/>
  <c r="F157" i="65"/>
  <c r="G157" i="65"/>
  <c r="H157" i="65"/>
  <c r="I157" i="65"/>
  <c r="J157" i="65"/>
  <c r="K157" i="65"/>
  <c r="L157" i="65"/>
  <c r="F158" i="65"/>
  <c r="G158" i="65"/>
  <c r="H158" i="65"/>
  <c r="I158" i="65"/>
  <c r="J158" i="65"/>
  <c r="K158" i="65"/>
  <c r="L158" i="65"/>
  <c r="F159" i="65"/>
  <c r="G159" i="65"/>
  <c r="H159" i="65"/>
  <c r="I159" i="65"/>
  <c r="J159" i="65"/>
  <c r="K159" i="65"/>
  <c r="L159" i="65"/>
  <c r="F160" i="65"/>
  <c r="G160" i="65"/>
  <c r="H160" i="65"/>
  <c r="I160" i="65"/>
  <c r="J160" i="65"/>
  <c r="K160" i="65"/>
  <c r="L160" i="65"/>
  <c r="F161" i="65"/>
  <c r="G161" i="65"/>
  <c r="H161" i="65"/>
  <c r="I161" i="65"/>
  <c r="J161" i="65"/>
  <c r="K161" i="65"/>
  <c r="L161" i="65"/>
  <c r="F162" i="65"/>
  <c r="G162" i="65"/>
  <c r="H162" i="65"/>
  <c r="I162" i="65"/>
  <c r="J162" i="65"/>
  <c r="K162" i="65"/>
  <c r="L162" i="65"/>
  <c r="F163" i="65"/>
  <c r="G163" i="65"/>
  <c r="H163" i="65"/>
  <c r="I163" i="65"/>
  <c r="J163" i="65"/>
  <c r="K163" i="65"/>
  <c r="L163" i="65"/>
  <c r="F164" i="65"/>
  <c r="G164" i="65"/>
  <c r="H164" i="65"/>
  <c r="I164" i="65"/>
  <c r="J164" i="65"/>
  <c r="K164" i="65"/>
  <c r="L164" i="65"/>
  <c r="F165" i="65"/>
  <c r="G165" i="65"/>
  <c r="H165" i="65"/>
  <c r="I165" i="65"/>
  <c r="J165" i="65"/>
  <c r="K165" i="65"/>
  <c r="L165" i="65"/>
  <c r="F166" i="65"/>
  <c r="G166" i="65"/>
  <c r="H166" i="65"/>
  <c r="I166" i="65"/>
  <c r="J166" i="65"/>
  <c r="K166" i="65"/>
  <c r="L166" i="65"/>
  <c r="F167" i="65"/>
  <c r="G167" i="65"/>
  <c r="H167" i="65"/>
  <c r="I167" i="65"/>
  <c r="J167" i="65"/>
  <c r="K167" i="65"/>
  <c r="L167" i="65"/>
  <c r="F168" i="65"/>
  <c r="G168" i="65"/>
  <c r="H168" i="65"/>
  <c r="I168" i="65"/>
  <c r="J168" i="65"/>
  <c r="K168" i="65"/>
  <c r="L168" i="65"/>
  <c r="F169" i="65"/>
  <c r="G169" i="65"/>
  <c r="H169" i="65"/>
  <c r="I169" i="65"/>
  <c r="J169" i="65"/>
  <c r="K169" i="65"/>
  <c r="L169" i="65"/>
  <c r="F170" i="65"/>
  <c r="G170" i="65"/>
  <c r="H170" i="65"/>
  <c r="I170" i="65"/>
  <c r="J170" i="65"/>
  <c r="K170" i="65"/>
  <c r="L170" i="65"/>
  <c r="F171" i="65"/>
  <c r="G171" i="65"/>
  <c r="H171" i="65"/>
  <c r="I171" i="65"/>
  <c r="J171" i="65"/>
  <c r="K171" i="65"/>
  <c r="L171" i="65"/>
  <c r="F172" i="65"/>
  <c r="G172" i="65"/>
  <c r="H172" i="65"/>
  <c r="I172" i="65"/>
  <c r="J172" i="65"/>
  <c r="K172" i="65"/>
  <c r="L172" i="65"/>
  <c r="F173" i="65"/>
  <c r="G173" i="65"/>
  <c r="H173" i="65"/>
  <c r="I173" i="65"/>
  <c r="J173" i="65"/>
  <c r="K173" i="65"/>
  <c r="L173" i="65"/>
  <c r="F174" i="65"/>
  <c r="G174" i="65"/>
  <c r="H174" i="65"/>
  <c r="I174" i="65"/>
  <c r="J174" i="65"/>
  <c r="K174" i="65"/>
  <c r="L174" i="65"/>
  <c r="F175" i="65"/>
  <c r="G175" i="65"/>
  <c r="H175" i="65"/>
  <c r="I175" i="65"/>
  <c r="J175" i="65"/>
  <c r="K175" i="65"/>
  <c r="L175" i="65"/>
  <c r="F176" i="65"/>
  <c r="G176" i="65"/>
  <c r="H176" i="65"/>
  <c r="I176" i="65"/>
  <c r="J176" i="65"/>
  <c r="K176" i="65"/>
  <c r="L176" i="65"/>
  <c r="F177" i="65"/>
  <c r="G177" i="65"/>
  <c r="H177" i="65"/>
  <c r="I177" i="65"/>
  <c r="J177" i="65"/>
  <c r="K177" i="65"/>
  <c r="L177" i="65"/>
  <c r="F178" i="65"/>
  <c r="G178" i="65"/>
  <c r="H178" i="65"/>
  <c r="I178" i="65"/>
  <c r="J178" i="65"/>
  <c r="K178" i="65"/>
  <c r="L178" i="65"/>
  <c r="F179" i="65"/>
  <c r="G179" i="65"/>
  <c r="H179" i="65"/>
  <c r="I179" i="65"/>
  <c r="J179" i="65"/>
  <c r="K179" i="65"/>
  <c r="L179" i="65"/>
  <c r="F180" i="65"/>
  <c r="G180" i="65"/>
  <c r="H180" i="65"/>
  <c r="I180" i="65"/>
  <c r="J180" i="65"/>
  <c r="K180" i="65"/>
  <c r="L180" i="65"/>
  <c r="G140" i="65"/>
  <c r="H140" i="65"/>
  <c r="I140" i="65"/>
  <c r="J140" i="65"/>
  <c r="K140" i="65"/>
  <c r="L140" i="65"/>
  <c r="F140" i="65"/>
  <c r="F83" i="65"/>
  <c r="M125" i="65"/>
  <c r="M126" i="65"/>
  <c r="M127" i="65"/>
  <c r="M128" i="65"/>
  <c r="M129" i="65"/>
  <c r="M130" i="65"/>
  <c r="M131" i="65"/>
  <c r="M132" i="65"/>
  <c r="L132" i="65"/>
  <c r="K132" i="65"/>
  <c r="J132" i="65"/>
  <c r="I132" i="65"/>
  <c r="H132" i="65"/>
  <c r="G132" i="65"/>
  <c r="F132" i="65"/>
  <c r="L131" i="65"/>
  <c r="K131" i="65"/>
  <c r="J131" i="65"/>
  <c r="I131" i="65"/>
  <c r="H131" i="65"/>
  <c r="G131" i="65"/>
  <c r="F131" i="65"/>
  <c r="L130" i="65"/>
  <c r="K130" i="65"/>
  <c r="J130" i="65"/>
  <c r="I130" i="65"/>
  <c r="H130" i="65"/>
  <c r="G130" i="65"/>
  <c r="F130" i="65"/>
  <c r="L129" i="65"/>
  <c r="K129" i="65"/>
  <c r="J129" i="65"/>
  <c r="I129" i="65"/>
  <c r="H129" i="65"/>
  <c r="G129" i="65"/>
  <c r="F129" i="65"/>
  <c r="L128" i="65"/>
  <c r="K128" i="65"/>
  <c r="J128" i="65"/>
  <c r="I128" i="65"/>
  <c r="H128" i="65"/>
  <c r="G128" i="65"/>
  <c r="F128" i="65"/>
  <c r="L127" i="65"/>
  <c r="K127" i="65"/>
  <c r="J127" i="65"/>
  <c r="I127" i="65"/>
  <c r="H127" i="65"/>
  <c r="G127" i="65"/>
  <c r="F127" i="65"/>
  <c r="L126" i="65"/>
  <c r="K126" i="65"/>
  <c r="J126" i="65"/>
  <c r="I126" i="65"/>
  <c r="H126" i="65"/>
  <c r="G126" i="65"/>
  <c r="F126" i="65"/>
  <c r="L125" i="65"/>
  <c r="K125" i="65"/>
  <c r="J125" i="65"/>
  <c r="I125" i="65"/>
  <c r="H125" i="65"/>
  <c r="G125" i="65"/>
  <c r="F125" i="65"/>
  <c r="F84" i="65"/>
  <c r="G84" i="65"/>
  <c r="H84" i="65"/>
  <c r="I84" i="65"/>
  <c r="J84" i="65"/>
  <c r="K84" i="65"/>
  <c r="L84" i="65"/>
  <c r="F85" i="65"/>
  <c r="G85" i="65"/>
  <c r="H85" i="65"/>
  <c r="I85" i="65"/>
  <c r="J85" i="65"/>
  <c r="K85" i="65"/>
  <c r="L85" i="65"/>
  <c r="F86" i="65"/>
  <c r="G86" i="65"/>
  <c r="H86" i="65"/>
  <c r="I86" i="65"/>
  <c r="J86" i="65"/>
  <c r="K86" i="65"/>
  <c r="L86" i="65"/>
  <c r="F87" i="65"/>
  <c r="G87" i="65"/>
  <c r="H87" i="65"/>
  <c r="I87" i="65"/>
  <c r="J87" i="65"/>
  <c r="K87" i="65"/>
  <c r="L87" i="65"/>
  <c r="F88" i="65"/>
  <c r="G88" i="65"/>
  <c r="H88" i="65"/>
  <c r="I88" i="65"/>
  <c r="J88" i="65"/>
  <c r="K88" i="65"/>
  <c r="L88" i="65"/>
  <c r="F89" i="65"/>
  <c r="G89" i="65"/>
  <c r="H89" i="65"/>
  <c r="I89" i="65"/>
  <c r="J89" i="65"/>
  <c r="K89" i="65"/>
  <c r="L89" i="65"/>
  <c r="F90" i="65"/>
  <c r="G90" i="65"/>
  <c r="H90" i="65"/>
  <c r="I90" i="65"/>
  <c r="J90" i="65"/>
  <c r="K90" i="65"/>
  <c r="L90" i="65"/>
  <c r="F91" i="65"/>
  <c r="G91" i="65"/>
  <c r="H91" i="65"/>
  <c r="I91" i="65"/>
  <c r="J91" i="65"/>
  <c r="K91" i="65"/>
  <c r="L91" i="65"/>
  <c r="F92" i="65"/>
  <c r="G92" i="65"/>
  <c r="H92" i="65"/>
  <c r="I92" i="65"/>
  <c r="J92" i="65"/>
  <c r="K92" i="65"/>
  <c r="L92" i="65"/>
  <c r="F93" i="65"/>
  <c r="G93" i="65"/>
  <c r="H93" i="65"/>
  <c r="I93" i="65"/>
  <c r="J93" i="65"/>
  <c r="K93" i="65"/>
  <c r="L93" i="65"/>
  <c r="F94" i="65"/>
  <c r="G94" i="65"/>
  <c r="H94" i="65"/>
  <c r="I94" i="65"/>
  <c r="J94" i="65"/>
  <c r="K94" i="65"/>
  <c r="L94" i="65"/>
  <c r="F95" i="65"/>
  <c r="G95" i="65"/>
  <c r="H95" i="65"/>
  <c r="I95" i="65"/>
  <c r="J95" i="65"/>
  <c r="K95" i="65"/>
  <c r="L95" i="65"/>
  <c r="F96" i="65"/>
  <c r="G96" i="65"/>
  <c r="H96" i="65"/>
  <c r="I96" i="65"/>
  <c r="J96" i="65"/>
  <c r="K96" i="65"/>
  <c r="L96" i="65"/>
  <c r="F97" i="65"/>
  <c r="G97" i="65"/>
  <c r="H97" i="65"/>
  <c r="I97" i="65"/>
  <c r="J97" i="65"/>
  <c r="K97" i="65"/>
  <c r="L97" i="65"/>
  <c r="F98" i="65"/>
  <c r="G98" i="65"/>
  <c r="H98" i="65"/>
  <c r="I98" i="65"/>
  <c r="J98" i="65"/>
  <c r="K98" i="65"/>
  <c r="L98" i="65"/>
  <c r="F99" i="65"/>
  <c r="G99" i="65"/>
  <c r="H99" i="65"/>
  <c r="I99" i="65"/>
  <c r="J99" i="65"/>
  <c r="K99" i="65"/>
  <c r="L99" i="65"/>
  <c r="F100" i="65"/>
  <c r="G100" i="65"/>
  <c r="H100" i="65"/>
  <c r="I100" i="65"/>
  <c r="J100" i="65"/>
  <c r="K100" i="65"/>
  <c r="L100" i="65"/>
  <c r="F101" i="65"/>
  <c r="G101" i="65"/>
  <c r="H101" i="65"/>
  <c r="I101" i="65"/>
  <c r="J101" i="65"/>
  <c r="K101" i="65"/>
  <c r="L101" i="65"/>
  <c r="F102" i="65"/>
  <c r="G102" i="65"/>
  <c r="H102" i="65"/>
  <c r="I102" i="65"/>
  <c r="J102" i="65"/>
  <c r="K102" i="65"/>
  <c r="L102" i="65"/>
  <c r="F103" i="65"/>
  <c r="G103" i="65"/>
  <c r="H103" i="65"/>
  <c r="I103" i="65"/>
  <c r="J103" i="65"/>
  <c r="K103" i="65"/>
  <c r="L103" i="65"/>
  <c r="F104" i="65"/>
  <c r="G104" i="65"/>
  <c r="H104" i="65"/>
  <c r="I104" i="65"/>
  <c r="J104" i="65"/>
  <c r="K104" i="65"/>
  <c r="L104" i="65"/>
  <c r="F105" i="65"/>
  <c r="G105" i="65"/>
  <c r="H105" i="65"/>
  <c r="I105" i="65"/>
  <c r="J105" i="65"/>
  <c r="K105" i="65"/>
  <c r="L105" i="65"/>
  <c r="F106" i="65"/>
  <c r="G106" i="65"/>
  <c r="H106" i="65"/>
  <c r="I106" i="65"/>
  <c r="J106" i="65"/>
  <c r="K106" i="65"/>
  <c r="L106" i="65"/>
  <c r="F107" i="65"/>
  <c r="G107" i="65"/>
  <c r="H107" i="65"/>
  <c r="I107" i="65"/>
  <c r="J107" i="65"/>
  <c r="K107" i="65"/>
  <c r="L107" i="65"/>
  <c r="F108" i="65"/>
  <c r="G108" i="65"/>
  <c r="H108" i="65"/>
  <c r="I108" i="65"/>
  <c r="J108" i="65"/>
  <c r="K108" i="65"/>
  <c r="L108" i="65"/>
  <c r="F109" i="65"/>
  <c r="G109" i="65"/>
  <c r="H109" i="65"/>
  <c r="I109" i="65"/>
  <c r="J109" i="65"/>
  <c r="K109" i="65"/>
  <c r="L109" i="65"/>
  <c r="F110" i="65"/>
  <c r="G110" i="65"/>
  <c r="H110" i="65"/>
  <c r="I110" i="65"/>
  <c r="J110" i="65"/>
  <c r="K110" i="65"/>
  <c r="L110" i="65"/>
  <c r="F111" i="65"/>
  <c r="G111" i="65"/>
  <c r="H111" i="65"/>
  <c r="I111" i="65"/>
  <c r="J111" i="65"/>
  <c r="K111" i="65"/>
  <c r="L111" i="65"/>
  <c r="F112" i="65"/>
  <c r="G112" i="65"/>
  <c r="H112" i="65"/>
  <c r="I112" i="65"/>
  <c r="J112" i="65"/>
  <c r="K112" i="65"/>
  <c r="L112" i="65"/>
  <c r="F113" i="65"/>
  <c r="G113" i="65"/>
  <c r="H113" i="65"/>
  <c r="I113" i="65"/>
  <c r="J113" i="65"/>
  <c r="K113" i="65"/>
  <c r="L113" i="65"/>
  <c r="F114" i="65"/>
  <c r="G114" i="65"/>
  <c r="H114" i="65"/>
  <c r="I114" i="65"/>
  <c r="J114" i="65"/>
  <c r="K114" i="65"/>
  <c r="L114" i="65"/>
  <c r="F115" i="65"/>
  <c r="G115" i="65"/>
  <c r="H115" i="65"/>
  <c r="I115" i="65"/>
  <c r="J115" i="65"/>
  <c r="K115" i="65"/>
  <c r="L115" i="65"/>
  <c r="F116" i="65"/>
  <c r="G116" i="65"/>
  <c r="H116" i="65"/>
  <c r="I116" i="65"/>
  <c r="J116" i="65"/>
  <c r="K116" i="65"/>
  <c r="L116" i="65"/>
  <c r="F117" i="65"/>
  <c r="G117" i="65"/>
  <c r="H117" i="65"/>
  <c r="I117" i="65"/>
  <c r="J117" i="65"/>
  <c r="K117" i="65"/>
  <c r="L117" i="65"/>
  <c r="F118" i="65"/>
  <c r="G118" i="65"/>
  <c r="H118" i="65"/>
  <c r="I118" i="65"/>
  <c r="J118" i="65"/>
  <c r="K118" i="65"/>
  <c r="L118" i="65"/>
  <c r="F119" i="65"/>
  <c r="G119" i="65"/>
  <c r="H119" i="65"/>
  <c r="I119" i="65"/>
  <c r="J119" i="65"/>
  <c r="K119" i="65"/>
  <c r="L119" i="65"/>
  <c r="F120" i="65"/>
  <c r="G120" i="65"/>
  <c r="H120" i="65"/>
  <c r="I120" i="65"/>
  <c r="J120" i="65"/>
  <c r="K120" i="65"/>
  <c r="L120" i="65"/>
  <c r="F121" i="65"/>
  <c r="G121" i="65"/>
  <c r="H121" i="65"/>
  <c r="I121" i="65"/>
  <c r="J121" i="65"/>
  <c r="K121" i="65"/>
  <c r="L121" i="65"/>
  <c r="F122" i="65"/>
  <c r="G122" i="65"/>
  <c r="H122" i="65"/>
  <c r="I122" i="65"/>
  <c r="J122" i="65"/>
  <c r="K122" i="65"/>
  <c r="L122" i="65"/>
  <c r="F123" i="65"/>
  <c r="G123" i="65"/>
  <c r="H123" i="65"/>
  <c r="I123" i="65"/>
  <c r="J123" i="65"/>
  <c r="K123" i="65"/>
  <c r="L123" i="65"/>
  <c r="G83" i="65"/>
  <c r="H83" i="65"/>
  <c r="I83" i="65"/>
  <c r="J83" i="65"/>
  <c r="K83" i="65"/>
  <c r="L83" i="65"/>
  <c r="K58" i="66"/>
  <c r="K59" i="66"/>
  <c r="K60" i="66"/>
  <c r="K61" i="66"/>
  <c r="K62" i="66"/>
  <c r="K63" i="66"/>
  <c r="K64" i="66"/>
  <c r="K65" i="66"/>
  <c r="K74" i="46"/>
  <c r="M74" i="46" s="1"/>
  <c r="H107" i="60"/>
  <c r="O107" i="60" s="1"/>
  <c r="G107" i="60"/>
  <c r="F107" i="60"/>
  <c r="E107" i="60"/>
  <c r="D107" i="60"/>
  <c r="H106" i="60"/>
  <c r="O106" i="60" s="1"/>
  <c r="G106" i="60"/>
  <c r="F106" i="60"/>
  <c r="E106" i="60"/>
  <c r="D106" i="60"/>
  <c r="H105" i="60"/>
  <c r="O105" i="60" s="1"/>
  <c r="G105" i="60"/>
  <c r="F105" i="60"/>
  <c r="E105" i="60"/>
  <c r="D105" i="60"/>
  <c r="H104" i="60"/>
  <c r="O104" i="60" s="1"/>
  <c r="G104" i="60"/>
  <c r="F104" i="60"/>
  <c r="E104" i="60"/>
  <c r="D104" i="60"/>
  <c r="H103" i="60"/>
  <c r="O103" i="60" s="1"/>
  <c r="G103" i="60"/>
  <c r="F103" i="60"/>
  <c r="E103" i="60"/>
  <c r="D103" i="60"/>
  <c r="H102" i="60"/>
  <c r="O102" i="60" s="1"/>
  <c r="G102" i="60"/>
  <c r="F102" i="60"/>
  <c r="E102" i="60"/>
  <c r="D102" i="60"/>
  <c r="H101" i="60"/>
  <c r="O101" i="60" s="1"/>
  <c r="G101" i="60"/>
  <c r="F101" i="60"/>
  <c r="E101" i="60"/>
  <c r="D101" i="60"/>
  <c r="H100" i="60"/>
  <c r="O100" i="60" s="1"/>
  <c r="G100" i="60"/>
  <c r="F100" i="60"/>
  <c r="E100" i="60"/>
  <c r="D100" i="60"/>
  <c r="D59" i="60"/>
  <c r="E59" i="60"/>
  <c r="F59" i="60"/>
  <c r="G59" i="60"/>
  <c r="H59" i="60"/>
  <c r="D60" i="60"/>
  <c r="E60" i="60"/>
  <c r="F60" i="60"/>
  <c r="G60" i="60"/>
  <c r="H60" i="60"/>
  <c r="D61" i="60"/>
  <c r="E61" i="60"/>
  <c r="F61" i="60"/>
  <c r="G61" i="60"/>
  <c r="H61" i="60"/>
  <c r="D62" i="60"/>
  <c r="E62" i="60"/>
  <c r="F62" i="60"/>
  <c r="G62" i="60"/>
  <c r="H62" i="60"/>
  <c r="D63" i="60"/>
  <c r="E63" i="60"/>
  <c r="F63" i="60"/>
  <c r="G63" i="60"/>
  <c r="H63" i="60"/>
  <c r="D64" i="60"/>
  <c r="E64" i="60"/>
  <c r="F64" i="60"/>
  <c r="G64" i="60"/>
  <c r="H64" i="60"/>
  <c r="D65" i="60"/>
  <c r="E65" i="60"/>
  <c r="F65" i="60"/>
  <c r="G65" i="60"/>
  <c r="H65" i="60"/>
  <c r="D66" i="60"/>
  <c r="E66" i="60"/>
  <c r="F66" i="60"/>
  <c r="G66" i="60"/>
  <c r="H66" i="60"/>
  <c r="D67" i="60"/>
  <c r="E67" i="60"/>
  <c r="F67" i="60"/>
  <c r="G67" i="60"/>
  <c r="H67" i="60"/>
  <c r="D68" i="60"/>
  <c r="E68" i="60"/>
  <c r="F68" i="60"/>
  <c r="G68" i="60"/>
  <c r="H68" i="60"/>
  <c r="D69" i="60"/>
  <c r="E69" i="60"/>
  <c r="F69" i="60"/>
  <c r="G69" i="60"/>
  <c r="H69" i="60"/>
  <c r="D70" i="60"/>
  <c r="E70" i="60"/>
  <c r="F70" i="60"/>
  <c r="G70" i="60"/>
  <c r="H70" i="60"/>
  <c r="D71" i="60"/>
  <c r="E71" i="60"/>
  <c r="F71" i="60"/>
  <c r="G71" i="60"/>
  <c r="H71" i="60"/>
  <c r="D72" i="60"/>
  <c r="E72" i="60"/>
  <c r="F72" i="60"/>
  <c r="G72" i="60"/>
  <c r="H72" i="60"/>
  <c r="D73" i="60"/>
  <c r="E73" i="60"/>
  <c r="F73" i="60"/>
  <c r="G73" i="60"/>
  <c r="H73" i="60"/>
  <c r="D74" i="60"/>
  <c r="E74" i="60"/>
  <c r="F74" i="60"/>
  <c r="G74" i="60"/>
  <c r="H74" i="60"/>
  <c r="D75" i="60"/>
  <c r="E75" i="60"/>
  <c r="F75" i="60"/>
  <c r="G75" i="60"/>
  <c r="H75" i="60"/>
  <c r="D76" i="60"/>
  <c r="E76" i="60"/>
  <c r="F76" i="60"/>
  <c r="G76" i="60"/>
  <c r="H76" i="60"/>
  <c r="D77" i="60"/>
  <c r="E77" i="60"/>
  <c r="F77" i="60"/>
  <c r="G77" i="60"/>
  <c r="H77" i="60"/>
  <c r="D78" i="60"/>
  <c r="E78" i="60"/>
  <c r="F78" i="60"/>
  <c r="G78" i="60"/>
  <c r="H78" i="60"/>
  <c r="D79" i="60"/>
  <c r="E79" i="60"/>
  <c r="F79" i="60"/>
  <c r="G79" i="60"/>
  <c r="H79" i="60"/>
  <c r="D80" i="60"/>
  <c r="E80" i="60"/>
  <c r="F80" i="60"/>
  <c r="G80" i="60"/>
  <c r="H80" i="60"/>
  <c r="D81" i="60"/>
  <c r="E81" i="60"/>
  <c r="F81" i="60"/>
  <c r="G81" i="60"/>
  <c r="H81" i="60"/>
  <c r="D82" i="60"/>
  <c r="E82" i="60"/>
  <c r="F82" i="60"/>
  <c r="G82" i="60"/>
  <c r="H82" i="60"/>
  <c r="D83" i="60"/>
  <c r="E83" i="60"/>
  <c r="F83" i="60"/>
  <c r="G83" i="60"/>
  <c r="H83" i="60"/>
  <c r="D84" i="60"/>
  <c r="E84" i="60"/>
  <c r="F84" i="60"/>
  <c r="G84" i="60"/>
  <c r="H84" i="60"/>
  <c r="D85" i="60"/>
  <c r="E85" i="60"/>
  <c r="F85" i="60"/>
  <c r="G85" i="60"/>
  <c r="H85" i="60"/>
  <c r="D86" i="60"/>
  <c r="E86" i="60"/>
  <c r="F86" i="60"/>
  <c r="G86" i="60"/>
  <c r="H86" i="60"/>
  <c r="D87" i="60"/>
  <c r="E87" i="60"/>
  <c r="F87" i="60"/>
  <c r="G87" i="60"/>
  <c r="H87" i="60"/>
  <c r="D88" i="60"/>
  <c r="E88" i="60"/>
  <c r="F88" i="60"/>
  <c r="G88" i="60"/>
  <c r="H88" i="60"/>
  <c r="D89" i="60"/>
  <c r="E89" i="60"/>
  <c r="F89" i="60"/>
  <c r="G89" i="60"/>
  <c r="H89" i="60"/>
  <c r="D90" i="60"/>
  <c r="E90" i="60"/>
  <c r="F90" i="60"/>
  <c r="G90" i="60"/>
  <c r="H90" i="60"/>
  <c r="D91" i="60"/>
  <c r="E91" i="60"/>
  <c r="F91" i="60"/>
  <c r="G91" i="60"/>
  <c r="H91" i="60"/>
  <c r="D92" i="60"/>
  <c r="E92" i="60"/>
  <c r="F92" i="60"/>
  <c r="G92" i="60"/>
  <c r="H92" i="60"/>
  <c r="D93" i="60"/>
  <c r="E93" i="60"/>
  <c r="F93" i="60"/>
  <c r="G93" i="60"/>
  <c r="H93" i="60"/>
  <c r="D94" i="60"/>
  <c r="E94" i="60"/>
  <c r="F94" i="60"/>
  <c r="G94" i="60"/>
  <c r="H94" i="60"/>
  <c r="D95" i="60"/>
  <c r="E95" i="60"/>
  <c r="F95" i="60"/>
  <c r="G95" i="60"/>
  <c r="H95" i="60"/>
  <c r="D96" i="60"/>
  <c r="E96" i="60"/>
  <c r="F96" i="60"/>
  <c r="G96" i="60"/>
  <c r="H96" i="60"/>
  <c r="D97" i="60"/>
  <c r="E97" i="60"/>
  <c r="F97" i="60"/>
  <c r="G97" i="60"/>
  <c r="H97" i="60"/>
  <c r="D98" i="60"/>
  <c r="E98" i="60"/>
  <c r="F98" i="60"/>
  <c r="G98" i="60"/>
  <c r="H98" i="60"/>
  <c r="H58" i="60"/>
  <c r="E58" i="60"/>
  <c r="F58" i="60"/>
  <c r="G58" i="60"/>
  <c r="F16" i="66"/>
  <c r="J65" i="66"/>
  <c r="I65" i="66"/>
  <c r="H65" i="66"/>
  <c r="F65" i="66"/>
  <c r="J64" i="66"/>
  <c r="I64" i="66"/>
  <c r="H64" i="66"/>
  <c r="F64" i="66"/>
  <c r="J63" i="66"/>
  <c r="I63" i="66"/>
  <c r="H63" i="66"/>
  <c r="F63" i="66"/>
  <c r="J62" i="66"/>
  <c r="I62" i="66"/>
  <c r="H62" i="66"/>
  <c r="F62" i="66"/>
  <c r="J61" i="66"/>
  <c r="I61" i="66"/>
  <c r="H61" i="66"/>
  <c r="F61" i="66"/>
  <c r="J60" i="66"/>
  <c r="I60" i="66"/>
  <c r="H60" i="66"/>
  <c r="F60" i="66"/>
  <c r="J59" i="66"/>
  <c r="I59" i="66"/>
  <c r="H59" i="66"/>
  <c r="F59" i="66"/>
  <c r="J58" i="66"/>
  <c r="I58" i="66"/>
  <c r="H58" i="66"/>
  <c r="F58" i="66"/>
  <c r="F17" i="66"/>
  <c r="H17" i="66"/>
  <c r="I17" i="66"/>
  <c r="J17" i="66"/>
  <c r="F18" i="66"/>
  <c r="H18" i="66"/>
  <c r="I18" i="66"/>
  <c r="J18" i="66"/>
  <c r="F19" i="66"/>
  <c r="H19" i="66"/>
  <c r="I19" i="66"/>
  <c r="J19" i="66"/>
  <c r="F20" i="66"/>
  <c r="H20" i="66"/>
  <c r="I20" i="66"/>
  <c r="J20" i="66"/>
  <c r="F21" i="66"/>
  <c r="H21" i="66"/>
  <c r="I21" i="66"/>
  <c r="J21" i="66"/>
  <c r="F22" i="66"/>
  <c r="H22" i="66"/>
  <c r="I22" i="66"/>
  <c r="J22" i="66"/>
  <c r="F23" i="66"/>
  <c r="H23" i="66"/>
  <c r="I23" i="66"/>
  <c r="J23" i="66"/>
  <c r="F24" i="66"/>
  <c r="H24" i="66"/>
  <c r="I24" i="66"/>
  <c r="J24" i="66"/>
  <c r="F25" i="66"/>
  <c r="H25" i="66"/>
  <c r="I25" i="66"/>
  <c r="J25" i="66"/>
  <c r="F26" i="66"/>
  <c r="H26" i="66"/>
  <c r="I26" i="66"/>
  <c r="J26" i="66"/>
  <c r="F27" i="66"/>
  <c r="H27" i="66"/>
  <c r="I27" i="66"/>
  <c r="J27" i="66"/>
  <c r="F28" i="66"/>
  <c r="H28" i="66"/>
  <c r="I28" i="66"/>
  <c r="J28" i="66"/>
  <c r="F29" i="66"/>
  <c r="H29" i="66"/>
  <c r="I29" i="66"/>
  <c r="J29" i="66"/>
  <c r="F30" i="66"/>
  <c r="H30" i="66"/>
  <c r="I30" i="66"/>
  <c r="J30" i="66"/>
  <c r="F31" i="66"/>
  <c r="H31" i="66"/>
  <c r="I31" i="66"/>
  <c r="J31" i="66"/>
  <c r="F32" i="66"/>
  <c r="H32" i="66"/>
  <c r="I32" i="66"/>
  <c r="J32" i="66"/>
  <c r="F33" i="66"/>
  <c r="H33" i="66"/>
  <c r="I33" i="66"/>
  <c r="J33" i="66"/>
  <c r="F34" i="66"/>
  <c r="H34" i="66"/>
  <c r="I34" i="66"/>
  <c r="J34" i="66"/>
  <c r="F35" i="66"/>
  <c r="H35" i="66"/>
  <c r="I35" i="66"/>
  <c r="J35" i="66"/>
  <c r="F36" i="66"/>
  <c r="H36" i="66"/>
  <c r="I36" i="66"/>
  <c r="J36" i="66"/>
  <c r="F37" i="66"/>
  <c r="H37" i="66"/>
  <c r="I37" i="66"/>
  <c r="J37" i="66"/>
  <c r="F38" i="66"/>
  <c r="H38" i="66"/>
  <c r="I38" i="66"/>
  <c r="J38" i="66"/>
  <c r="F39" i="66"/>
  <c r="H39" i="66"/>
  <c r="I39" i="66"/>
  <c r="J39" i="66"/>
  <c r="F40" i="66"/>
  <c r="H40" i="66"/>
  <c r="I40" i="66"/>
  <c r="J40" i="66"/>
  <c r="F41" i="66"/>
  <c r="H41" i="66"/>
  <c r="I41" i="66"/>
  <c r="J41" i="66"/>
  <c r="F42" i="66"/>
  <c r="H42" i="66"/>
  <c r="I42" i="66"/>
  <c r="J42" i="66"/>
  <c r="F43" i="66"/>
  <c r="H43" i="66"/>
  <c r="I43" i="66"/>
  <c r="J43" i="66"/>
  <c r="F44" i="66"/>
  <c r="H44" i="66"/>
  <c r="I44" i="66"/>
  <c r="J44" i="66"/>
  <c r="F45" i="66"/>
  <c r="H45" i="66"/>
  <c r="I45" i="66"/>
  <c r="J45" i="66"/>
  <c r="F46" i="66"/>
  <c r="H46" i="66"/>
  <c r="I46" i="66"/>
  <c r="J46" i="66"/>
  <c r="F47" i="66"/>
  <c r="H47" i="66"/>
  <c r="I47" i="66"/>
  <c r="J47" i="66"/>
  <c r="F48" i="66"/>
  <c r="H48" i="66"/>
  <c r="I48" i="66"/>
  <c r="J48" i="66"/>
  <c r="F49" i="66"/>
  <c r="H49" i="66"/>
  <c r="I49" i="66"/>
  <c r="J49" i="66"/>
  <c r="F50" i="66"/>
  <c r="H50" i="66"/>
  <c r="I50" i="66"/>
  <c r="J50" i="66"/>
  <c r="F51" i="66"/>
  <c r="H51" i="66"/>
  <c r="I51" i="66"/>
  <c r="J51" i="66"/>
  <c r="F52" i="66"/>
  <c r="H52" i="66"/>
  <c r="I52" i="66"/>
  <c r="J52" i="66"/>
  <c r="F53" i="66"/>
  <c r="H53" i="66"/>
  <c r="I53" i="66"/>
  <c r="J53" i="66"/>
  <c r="F54" i="66"/>
  <c r="H54" i="66"/>
  <c r="I54" i="66"/>
  <c r="J54" i="66"/>
  <c r="F55" i="66"/>
  <c r="H55" i="66"/>
  <c r="I55" i="66"/>
  <c r="J55" i="66"/>
  <c r="F56" i="66"/>
  <c r="H56" i="66"/>
  <c r="I56" i="66"/>
  <c r="J56" i="66"/>
  <c r="H16" i="66"/>
  <c r="I16" i="66"/>
  <c r="J16" i="66"/>
  <c r="K481" i="8"/>
  <c r="J481" i="8"/>
  <c r="I481" i="8"/>
  <c r="H481" i="8"/>
  <c r="G481" i="8"/>
  <c r="F481" i="8"/>
  <c r="E481" i="8"/>
  <c r="K480" i="8"/>
  <c r="J480" i="8"/>
  <c r="I480" i="8"/>
  <c r="H480" i="8"/>
  <c r="G480" i="8"/>
  <c r="F480" i="8"/>
  <c r="E480" i="8"/>
  <c r="K479" i="8"/>
  <c r="J479" i="8"/>
  <c r="I479" i="8"/>
  <c r="H479" i="8"/>
  <c r="G479" i="8"/>
  <c r="F479" i="8"/>
  <c r="E479" i="8"/>
  <c r="K478" i="8"/>
  <c r="J478" i="8"/>
  <c r="I478" i="8"/>
  <c r="H478" i="8"/>
  <c r="G478" i="8"/>
  <c r="F478" i="8"/>
  <c r="E478" i="8"/>
  <c r="K477" i="8"/>
  <c r="J477" i="8"/>
  <c r="I477" i="8"/>
  <c r="H477" i="8"/>
  <c r="G477" i="8"/>
  <c r="F477" i="8"/>
  <c r="E477" i="8"/>
  <c r="K476" i="8"/>
  <c r="J476" i="8"/>
  <c r="I476" i="8"/>
  <c r="H476" i="8"/>
  <c r="G476" i="8"/>
  <c r="F476" i="8"/>
  <c r="E476" i="8"/>
  <c r="K475" i="8"/>
  <c r="J475" i="8"/>
  <c r="I475" i="8"/>
  <c r="H475" i="8"/>
  <c r="G475" i="8"/>
  <c r="F475" i="8"/>
  <c r="E475" i="8"/>
  <c r="K474" i="8"/>
  <c r="J474" i="8"/>
  <c r="I474" i="8"/>
  <c r="H474" i="8"/>
  <c r="G474" i="8"/>
  <c r="F474" i="8"/>
  <c r="E474" i="8"/>
  <c r="E433" i="8"/>
  <c r="F433" i="8"/>
  <c r="G433" i="8"/>
  <c r="H433" i="8"/>
  <c r="I433" i="8"/>
  <c r="J433" i="8"/>
  <c r="K433" i="8"/>
  <c r="E434" i="8"/>
  <c r="F434" i="8"/>
  <c r="G434" i="8"/>
  <c r="H434" i="8"/>
  <c r="I434" i="8"/>
  <c r="J434" i="8"/>
  <c r="K434" i="8"/>
  <c r="E435" i="8"/>
  <c r="F435" i="8"/>
  <c r="G435" i="8"/>
  <c r="H435" i="8"/>
  <c r="I435" i="8"/>
  <c r="J435" i="8"/>
  <c r="K435" i="8"/>
  <c r="E436" i="8"/>
  <c r="F436" i="8"/>
  <c r="G436" i="8"/>
  <c r="H436" i="8"/>
  <c r="I436" i="8"/>
  <c r="J436" i="8"/>
  <c r="K436" i="8"/>
  <c r="E437" i="8"/>
  <c r="F437" i="8"/>
  <c r="G437" i="8"/>
  <c r="H437" i="8"/>
  <c r="I437" i="8"/>
  <c r="J437" i="8"/>
  <c r="K437" i="8"/>
  <c r="E438" i="8"/>
  <c r="F438" i="8"/>
  <c r="G438" i="8"/>
  <c r="H438" i="8"/>
  <c r="I438" i="8"/>
  <c r="J438" i="8"/>
  <c r="K438" i="8"/>
  <c r="E439" i="8"/>
  <c r="F439" i="8"/>
  <c r="G439" i="8"/>
  <c r="H439" i="8"/>
  <c r="I439" i="8"/>
  <c r="J439" i="8"/>
  <c r="K439" i="8"/>
  <c r="E440" i="8"/>
  <c r="F440" i="8"/>
  <c r="G440" i="8"/>
  <c r="H440" i="8"/>
  <c r="I440" i="8"/>
  <c r="J440" i="8"/>
  <c r="K440" i="8"/>
  <c r="E441" i="8"/>
  <c r="F441" i="8"/>
  <c r="G441" i="8"/>
  <c r="H441" i="8"/>
  <c r="I441" i="8"/>
  <c r="J441" i="8"/>
  <c r="K441" i="8"/>
  <c r="E442" i="8"/>
  <c r="F442" i="8"/>
  <c r="G442" i="8"/>
  <c r="H442" i="8"/>
  <c r="I442" i="8"/>
  <c r="J442" i="8"/>
  <c r="K442" i="8"/>
  <c r="E443" i="8"/>
  <c r="F443" i="8"/>
  <c r="G443" i="8"/>
  <c r="H443" i="8"/>
  <c r="I443" i="8"/>
  <c r="J443" i="8"/>
  <c r="K443" i="8"/>
  <c r="E444" i="8"/>
  <c r="F444" i="8"/>
  <c r="G444" i="8"/>
  <c r="H444" i="8"/>
  <c r="I444" i="8"/>
  <c r="J444" i="8"/>
  <c r="K444" i="8"/>
  <c r="E445" i="8"/>
  <c r="F445" i="8"/>
  <c r="G445" i="8"/>
  <c r="H445" i="8"/>
  <c r="I445" i="8"/>
  <c r="J445" i="8"/>
  <c r="K445" i="8"/>
  <c r="E446" i="8"/>
  <c r="F446" i="8"/>
  <c r="G446" i="8"/>
  <c r="H446" i="8"/>
  <c r="I446" i="8"/>
  <c r="J446" i="8"/>
  <c r="K446" i="8"/>
  <c r="E447" i="8"/>
  <c r="F447" i="8"/>
  <c r="G447" i="8"/>
  <c r="H447" i="8"/>
  <c r="I447" i="8"/>
  <c r="J447" i="8"/>
  <c r="K447" i="8"/>
  <c r="E448" i="8"/>
  <c r="F448" i="8"/>
  <c r="G448" i="8"/>
  <c r="H448" i="8"/>
  <c r="I448" i="8"/>
  <c r="J448" i="8"/>
  <c r="K448" i="8"/>
  <c r="E449" i="8"/>
  <c r="F449" i="8"/>
  <c r="G449" i="8"/>
  <c r="H449" i="8"/>
  <c r="I449" i="8"/>
  <c r="J449" i="8"/>
  <c r="K449" i="8"/>
  <c r="E450" i="8"/>
  <c r="F450" i="8"/>
  <c r="G450" i="8"/>
  <c r="H450" i="8"/>
  <c r="I450" i="8"/>
  <c r="J450" i="8"/>
  <c r="K450" i="8"/>
  <c r="E451" i="8"/>
  <c r="F451" i="8"/>
  <c r="G451" i="8"/>
  <c r="H451" i="8"/>
  <c r="I451" i="8"/>
  <c r="J451" i="8"/>
  <c r="K451" i="8"/>
  <c r="E452" i="8"/>
  <c r="F452" i="8"/>
  <c r="G452" i="8"/>
  <c r="H452" i="8"/>
  <c r="I452" i="8"/>
  <c r="J452" i="8"/>
  <c r="K452" i="8"/>
  <c r="E453" i="8"/>
  <c r="F453" i="8"/>
  <c r="G453" i="8"/>
  <c r="H453" i="8"/>
  <c r="I453" i="8"/>
  <c r="J453" i="8"/>
  <c r="K453" i="8"/>
  <c r="E454" i="8"/>
  <c r="F454" i="8"/>
  <c r="G454" i="8"/>
  <c r="H454" i="8"/>
  <c r="I454" i="8"/>
  <c r="J454" i="8"/>
  <c r="K454" i="8"/>
  <c r="E455" i="8"/>
  <c r="F455" i="8"/>
  <c r="G455" i="8"/>
  <c r="H455" i="8"/>
  <c r="I455" i="8"/>
  <c r="J455" i="8"/>
  <c r="K455" i="8"/>
  <c r="E456" i="8"/>
  <c r="F456" i="8"/>
  <c r="G456" i="8"/>
  <c r="H456" i="8"/>
  <c r="I456" i="8"/>
  <c r="J456" i="8"/>
  <c r="K456" i="8"/>
  <c r="E457" i="8"/>
  <c r="F457" i="8"/>
  <c r="G457" i="8"/>
  <c r="H457" i="8"/>
  <c r="I457" i="8"/>
  <c r="J457" i="8"/>
  <c r="K457" i="8"/>
  <c r="E458" i="8"/>
  <c r="F458" i="8"/>
  <c r="G458" i="8"/>
  <c r="H458" i="8"/>
  <c r="I458" i="8"/>
  <c r="J458" i="8"/>
  <c r="K458" i="8"/>
  <c r="E459" i="8"/>
  <c r="F459" i="8"/>
  <c r="G459" i="8"/>
  <c r="H459" i="8"/>
  <c r="I459" i="8"/>
  <c r="J459" i="8"/>
  <c r="K459" i="8"/>
  <c r="E460" i="8"/>
  <c r="F460" i="8"/>
  <c r="G460" i="8"/>
  <c r="H460" i="8"/>
  <c r="I460" i="8"/>
  <c r="J460" i="8"/>
  <c r="K460" i="8"/>
  <c r="E461" i="8"/>
  <c r="F461" i="8"/>
  <c r="G461" i="8"/>
  <c r="H461" i="8"/>
  <c r="I461" i="8"/>
  <c r="J461" i="8"/>
  <c r="K461" i="8"/>
  <c r="E462" i="8"/>
  <c r="F462" i="8"/>
  <c r="G462" i="8"/>
  <c r="H462" i="8"/>
  <c r="I462" i="8"/>
  <c r="J462" i="8"/>
  <c r="K462" i="8"/>
  <c r="E463" i="8"/>
  <c r="F463" i="8"/>
  <c r="G463" i="8"/>
  <c r="H463" i="8"/>
  <c r="I463" i="8"/>
  <c r="J463" i="8"/>
  <c r="K463" i="8"/>
  <c r="E464" i="8"/>
  <c r="F464" i="8"/>
  <c r="G464" i="8"/>
  <c r="H464" i="8"/>
  <c r="I464" i="8"/>
  <c r="J464" i="8"/>
  <c r="K464" i="8"/>
  <c r="E465" i="8"/>
  <c r="F465" i="8"/>
  <c r="G465" i="8"/>
  <c r="H465" i="8"/>
  <c r="I465" i="8"/>
  <c r="J465" i="8"/>
  <c r="K465" i="8"/>
  <c r="E466" i="8"/>
  <c r="F466" i="8"/>
  <c r="G466" i="8"/>
  <c r="H466" i="8"/>
  <c r="I466" i="8"/>
  <c r="J466" i="8"/>
  <c r="K466" i="8"/>
  <c r="E467" i="8"/>
  <c r="F467" i="8"/>
  <c r="G467" i="8"/>
  <c r="H467" i="8"/>
  <c r="I467" i="8"/>
  <c r="J467" i="8"/>
  <c r="K467" i="8"/>
  <c r="E468" i="8"/>
  <c r="F468" i="8"/>
  <c r="G468" i="8"/>
  <c r="H468" i="8"/>
  <c r="I468" i="8"/>
  <c r="J468" i="8"/>
  <c r="K468" i="8"/>
  <c r="E469" i="8"/>
  <c r="F469" i="8"/>
  <c r="G469" i="8"/>
  <c r="H469" i="8"/>
  <c r="I469" i="8"/>
  <c r="J469" i="8"/>
  <c r="K469" i="8"/>
  <c r="E470" i="8"/>
  <c r="F470" i="8"/>
  <c r="G470" i="8"/>
  <c r="H470" i="8"/>
  <c r="I470" i="8"/>
  <c r="J470" i="8"/>
  <c r="K470" i="8"/>
  <c r="E471" i="8"/>
  <c r="F471" i="8"/>
  <c r="G471" i="8"/>
  <c r="H471" i="8"/>
  <c r="I471" i="8"/>
  <c r="J471" i="8"/>
  <c r="K471" i="8"/>
  <c r="E472" i="8"/>
  <c r="F472" i="8"/>
  <c r="G472" i="8"/>
  <c r="H472" i="8"/>
  <c r="I472" i="8"/>
  <c r="J472" i="8"/>
  <c r="K472" i="8"/>
  <c r="E317" i="8"/>
  <c r="K366" i="8"/>
  <c r="J366" i="8"/>
  <c r="I366" i="8"/>
  <c r="H366" i="8"/>
  <c r="G366" i="8"/>
  <c r="F366" i="8"/>
  <c r="E366" i="8"/>
  <c r="K365" i="8"/>
  <c r="J365" i="8"/>
  <c r="I365" i="8"/>
  <c r="H365" i="8"/>
  <c r="G365" i="8"/>
  <c r="F365" i="8"/>
  <c r="E365" i="8"/>
  <c r="K364" i="8"/>
  <c r="J364" i="8"/>
  <c r="I364" i="8"/>
  <c r="H364" i="8"/>
  <c r="G364" i="8"/>
  <c r="F364" i="8"/>
  <c r="E364" i="8"/>
  <c r="K363" i="8"/>
  <c r="J363" i="8"/>
  <c r="I363" i="8"/>
  <c r="H363" i="8"/>
  <c r="G363" i="8"/>
  <c r="F363" i="8"/>
  <c r="E363" i="8"/>
  <c r="K362" i="8"/>
  <c r="J362" i="8"/>
  <c r="I362" i="8"/>
  <c r="H362" i="8"/>
  <c r="G362" i="8"/>
  <c r="F362" i="8"/>
  <c r="E362" i="8"/>
  <c r="K361" i="8"/>
  <c r="J361" i="8"/>
  <c r="I361" i="8"/>
  <c r="H361" i="8"/>
  <c r="G361" i="8"/>
  <c r="F361" i="8"/>
  <c r="E361" i="8"/>
  <c r="K360" i="8"/>
  <c r="J360" i="8"/>
  <c r="I360" i="8"/>
  <c r="H360" i="8"/>
  <c r="G360" i="8"/>
  <c r="F360" i="8"/>
  <c r="E360" i="8"/>
  <c r="K359" i="8"/>
  <c r="J359" i="8"/>
  <c r="I359" i="8"/>
  <c r="H359" i="8"/>
  <c r="G359" i="8"/>
  <c r="F359" i="8"/>
  <c r="E359" i="8"/>
  <c r="E318" i="8"/>
  <c r="F318" i="8"/>
  <c r="G318" i="8"/>
  <c r="H318" i="8"/>
  <c r="I318" i="8"/>
  <c r="J318" i="8"/>
  <c r="K318" i="8"/>
  <c r="E319" i="8"/>
  <c r="F319" i="8"/>
  <c r="G319" i="8"/>
  <c r="H319" i="8"/>
  <c r="I319" i="8"/>
  <c r="J319" i="8"/>
  <c r="K319" i="8"/>
  <c r="E320" i="8"/>
  <c r="F320" i="8"/>
  <c r="I320" i="8"/>
  <c r="J320" i="8"/>
  <c r="K320" i="8"/>
  <c r="E321" i="8"/>
  <c r="F321" i="8"/>
  <c r="G321" i="8"/>
  <c r="H321" i="8"/>
  <c r="I321" i="8"/>
  <c r="J321" i="8"/>
  <c r="K321" i="8"/>
  <c r="E322" i="8"/>
  <c r="F322" i="8"/>
  <c r="G322" i="8"/>
  <c r="H322" i="8"/>
  <c r="I322" i="8"/>
  <c r="J322" i="8"/>
  <c r="K322" i="8"/>
  <c r="E323" i="8"/>
  <c r="F323" i="8"/>
  <c r="G323" i="8"/>
  <c r="H323" i="8"/>
  <c r="I323" i="8"/>
  <c r="J323" i="8"/>
  <c r="K323" i="8"/>
  <c r="E324" i="8"/>
  <c r="F324" i="8"/>
  <c r="G324" i="8"/>
  <c r="H324" i="8"/>
  <c r="I324" i="8"/>
  <c r="J324" i="8"/>
  <c r="K324" i="8"/>
  <c r="E325" i="8"/>
  <c r="F325" i="8"/>
  <c r="G325" i="8"/>
  <c r="H325" i="8"/>
  <c r="I325" i="8"/>
  <c r="J325" i="8"/>
  <c r="K325" i="8"/>
  <c r="E326" i="8"/>
  <c r="F326" i="8"/>
  <c r="G326" i="8"/>
  <c r="H326" i="8"/>
  <c r="I326" i="8"/>
  <c r="J326" i="8"/>
  <c r="K326" i="8"/>
  <c r="E327" i="8"/>
  <c r="F327" i="8"/>
  <c r="G327" i="8"/>
  <c r="H327" i="8"/>
  <c r="I327" i="8"/>
  <c r="J327" i="8"/>
  <c r="K327" i="8"/>
  <c r="E328" i="8"/>
  <c r="F328" i="8"/>
  <c r="G328" i="8"/>
  <c r="H328" i="8"/>
  <c r="I328" i="8"/>
  <c r="J328" i="8"/>
  <c r="K328" i="8"/>
  <c r="E329" i="8"/>
  <c r="F329" i="8"/>
  <c r="G329" i="8"/>
  <c r="H329" i="8"/>
  <c r="I329" i="8"/>
  <c r="J329" i="8"/>
  <c r="K329" i="8"/>
  <c r="E330" i="8"/>
  <c r="F330" i="8"/>
  <c r="G330" i="8"/>
  <c r="H330" i="8"/>
  <c r="I330" i="8"/>
  <c r="J330" i="8"/>
  <c r="K330" i="8"/>
  <c r="E331" i="8"/>
  <c r="F331" i="8"/>
  <c r="G331" i="8"/>
  <c r="H331" i="8"/>
  <c r="I331" i="8"/>
  <c r="J331" i="8"/>
  <c r="K331" i="8"/>
  <c r="E332" i="8"/>
  <c r="F332" i="8"/>
  <c r="G332" i="8"/>
  <c r="H332" i="8"/>
  <c r="I332" i="8"/>
  <c r="J332" i="8"/>
  <c r="K332" i="8"/>
  <c r="E333" i="8"/>
  <c r="F333" i="8"/>
  <c r="G333" i="8"/>
  <c r="H333" i="8"/>
  <c r="I333" i="8"/>
  <c r="J333" i="8"/>
  <c r="K333" i="8"/>
  <c r="E334" i="8"/>
  <c r="F334" i="8"/>
  <c r="G334" i="8"/>
  <c r="H334" i="8"/>
  <c r="I334" i="8"/>
  <c r="J334" i="8"/>
  <c r="K334" i="8"/>
  <c r="E335" i="8"/>
  <c r="F335" i="8"/>
  <c r="G335" i="8"/>
  <c r="H335" i="8"/>
  <c r="I335" i="8"/>
  <c r="J335" i="8"/>
  <c r="K335" i="8"/>
  <c r="E336" i="8"/>
  <c r="F336" i="8"/>
  <c r="G336" i="8"/>
  <c r="H336" i="8"/>
  <c r="I336" i="8"/>
  <c r="J336" i="8"/>
  <c r="K336" i="8"/>
  <c r="E337" i="8"/>
  <c r="F337" i="8"/>
  <c r="G337" i="8"/>
  <c r="H337" i="8"/>
  <c r="I337" i="8"/>
  <c r="J337" i="8"/>
  <c r="K337" i="8"/>
  <c r="E338" i="8"/>
  <c r="F338" i="8"/>
  <c r="G338" i="8"/>
  <c r="H338" i="8"/>
  <c r="I338" i="8"/>
  <c r="J338" i="8"/>
  <c r="K338" i="8"/>
  <c r="E339" i="8"/>
  <c r="F339" i="8"/>
  <c r="G339" i="8"/>
  <c r="H339" i="8"/>
  <c r="I339" i="8"/>
  <c r="J339" i="8"/>
  <c r="K339" i="8"/>
  <c r="E340" i="8"/>
  <c r="F340" i="8"/>
  <c r="G340" i="8"/>
  <c r="H340" i="8"/>
  <c r="I340" i="8"/>
  <c r="J340" i="8"/>
  <c r="K340" i="8"/>
  <c r="E341" i="8"/>
  <c r="F341" i="8"/>
  <c r="G341" i="8"/>
  <c r="H341" i="8"/>
  <c r="I341" i="8"/>
  <c r="J341" i="8"/>
  <c r="K341" i="8"/>
  <c r="E342" i="8"/>
  <c r="F342" i="8"/>
  <c r="G342" i="8"/>
  <c r="H342" i="8"/>
  <c r="I342" i="8"/>
  <c r="J342" i="8"/>
  <c r="K342" i="8"/>
  <c r="E343" i="8"/>
  <c r="F343" i="8"/>
  <c r="G343" i="8"/>
  <c r="H343" i="8"/>
  <c r="I343" i="8"/>
  <c r="J343" i="8"/>
  <c r="K343" i="8"/>
  <c r="E344" i="8"/>
  <c r="F344" i="8"/>
  <c r="G344" i="8"/>
  <c r="H344" i="8"/>
  <c r="I344" i="8"/>
  <c r="J344" i="8"/>
  <c r="K344" i="8"/>
  <c r="E345" i="8"/>
  <c r="F345" i="8"/>
  <c r="G345" i="8"/>
  <c r="H345" i="8"/>
  <c r="I345" i="8"/>
  <c r="J345" i="8"/>
  <c r="K345" i="8"/>
  <c r="E346" i="8"/>
  <c r="F346" i="8"/>
  <c r="G346" i="8"/>
  <c r="H346" i="8"/>
  <c r="I346" i="8"/>
  <c r="J346" i="8"/>
  <c r="K346" i="8"/>
  <c r="E347" i="8"/>
  <c r="F347" i="8"/>
  <c r="G347" i="8"/>
  <c r="H347" i="8"/>
  <c r="I347" i="8"/>
  <c r="J347" i="8"/>
  <c r="K347" i="8"/>
  <c r="E348" i="8"/>
  <c r="F348" i="8"/>
  <c r="G348" i="8"/>
  <c r="H348" i="8"/>
  <c r="I348" i="8"/>
  <c r="J348" i="8"/>
  <c r="K348" i="8"/>
  <c r="E349" i="8"/>
  <c r="F349" i="8"/>
  <c r="G349" i="8"/>
  <c r="H349" i="8"/>
  <c r="I349" i="8"/>
  <c r="J349" i="8"/>
  <c r="K349" i="8"/>
  <c r="E350" i="8"/>
  <c r="F350" i="8"/>
  <c r="G350" i="8"/>
  <c r="H350" i="8"/>
  <c r="I350" i="8"/>
  <c r="J350" i="8"/>
  <c r="K350" i="8"/>
  <c r="E351" i="8"/>
  <c r="F351" i="8"/>
  <c r="G351" i="8"/>
  <c r="H351" i="8"/>
  <c r="I351" i="8"/>
  <c r="J351" i="8"/>
  <c r="K351" i="8"/>
  <c r="E352" i="8"/>
  <c r="F352" i="8"/>
  <c r="G352" i="8"/>
  <c r="H352" i="8"/>
  <c r="I352" i="8"/>
  <c r="J352" i="8"/>
  <c r="K352" i="8"/>
  <c r="E353" i="8"/>
  <c r="F353" i="8"/>
  <c r="G353" i="8"/>
  <c r="H353" i="8"/>
  <c r="I353" i="8"/>
  <c r="J353" i="8"/>
  <c r="K353" i="8"/>
  <c r="E354" i="8"/>
  <c r="F354" i="8"/>
  <c r="G354" i="8"/>
  <c r="H354" i="8"/>
  <c r="I354" i="8"/>
  <c r="J354" i="8"/>
  <c r="K354" i="8"/>
  <c r="E355" i="8"/>
  <c r="F355" i="8"/>
  <c r="G355" i="8"/>
  <c r="H355" i="8"/>
  <c r="I355" i="8"/>
  <c r="J355" i="8"/>
  <c r="K355" i="8"/>
  <c r="E356" i="8"/>
  <c r="F356" i="8"/>
  <c r="G356" i="8"/>
  <c r="H356" i="8"/>
  <c r="I356" i="8"/>
  <c r="J356" i="8"/>
  <c r="K356" i="8"/>
  <c r="E357" i="8"/>
  <c r="F357" i="8"/>
  <c r="G357" i="8"/>
  <c r="H357" i="8"/>
  <c r="I357" i="8"/>
  <c r="J357" i="8"/>
  <c r="K357" i="8"/>
  <c r="F317" i="8"/>
  <c r="G317" i="8"/>
  <c r="H317" i="8"/>
  <c r="I317" i="8"/>
  <c r="J317" i="8"/>
  <c r="K317" i="8"/>
  <c r="E262" i="8"/>
  <c r="K311" i="8"/>
  <c r="J311" i="8"/>
  <c r="I311" i="8"/>
  <c r="H311" i="8"/>
  <c r="G311" i="8"/>
  <c r="F311" i="8"/>
  <c r="E311" i="8"/>
  <c r="K310" i="8"/>
  <c r="J310" i="8"/>
  <c r="I310" i="8"/>
  <c r="H310" i="8"/>
  <c r="G310" i="8"/>
  <c r="F310" i="8"/>
  <c r="E310" i="8"/>
  <c r="K309" i="8"/>
  <c r="J309" i="8"/>
  <c r="I309" i="8"/>
  <c r="H309" i="8"/>
  <c r="G309" i="8"/>
  <c r="F309" i="8"/>
  <c r="E309" i="8"/>
  <c r="K308" i="8"/>
  <c r="J308" i="8"/>
  <c r="I308" i="8"/>
  <c r="H308" i="8"/>
  <c r="G308" i="8"/>
  <c r="F308" i="8"/>
  <c r="E308" i="8"/>
  <c r="K307" i="8"/>
  <c r="J307" i="8"/>
  <c r="I307" i="8"/>
  <c r="H307" i="8"/>
  <c r="G307" i="8"/>
  <c r="F307" i="8"/>
  <c r="E307" i="8"/>
  <c r="K306" i="8"/>
  <c r="J306" i="8"/>
  <c r="I306" i="8"/>
  <c r="H306" i="8"/>
  <c r="G306" i="8"/>
  <c r="F306" i="8"/>
  <c r="E306" i="8"/>
  <c r="K305" i="8"/>
  <c r="J305" i="8"/>
  <c r="I305" i="8"/>
  <c r="H305" i="8"/>
  <c r="G305" i="8"/>
  <c r="F305" i="8"/>
  <c r="E305" i="8"/>
  <c r="K304" i="8"/>
  <c r="J304" i="8"/>
  <c r="I304" i="8"/>
  <c r="H304" i="8"/>
  <c r="G304" i="8"/>
  <c r="F304" i="8"/>
  <c r="E304" i="8"/>
  <c r="E263" i="8"/>
  <c r="F263" i="8"/>
  <c r="G263" i="8"/>
  <c r="H263" i="8"/>
  <c r="I263" i="8"/>
  <c r="J263" i="8"/>
  <c r="K263" i="8"/>
  <c r="E264" i="8"/>
  <c r="F264" i="8"/>
  <c r="G264" i="8"/>
  <c r="H264" i="8"/>
  <c r="I264" i="8"/>
  <c r="J264" i="8"/>
  <c r="K264" i="8"/>
  <c r="E265" i="8"/>
  <c r="F265" i="8"/>
  <c r="G265" i="8"/>
  <c r="H265" i="8"/>
  <c r="I265" i="8"/>
  <c r="J265" i="8"/>
  <c r="K265" i="8"/>
  <c r="E266" i="8"/>
  <c r="F266" i="8"/>
  <c r="G266" i="8"/>
  <c r="H266" i="8"/>
  <c r="I266" i="8"/>
  <c r="J266" i="8"/>
  <c r="K266" i="8"/>
  <c r="E267" i="8"/>
  <c r="F267" i="8"/>
  <c r="G267" i="8"/>
  <c r="H267" i="8"/>
  <c r="I267" i="8"/>
  <c r="J267" i="8"/>
  <c r="K267" i="8"/>
  <c r="E268" i="8"/>
  <c r="F268" i="8"/>
  <c r="G268" i="8"/>
  <c r="H268" i="8"/>
  <c r="I268" i="8"/>
  <c r="J268" i="8"/>
  <c r="K268" i="8"/>
  <c r="E269" i="8"/>
  <c r="F269" i="8"/>
  <c r="G269" i="8"/>
  <c r="H269" i="8"/>
  <c r="I269" i="8"/>
  <c r="J269" i="8"/>
  <c r="K269" i="8"/>
  <c r="E270" i="8"/>
  <c r="F270" i="8"/>
  <c r="G270" i="8"/>
  <c r="H270" i="8"/>
  <c r="I270" i="8"/>
  <c r="J270" i="8"/>
  <c r="K270" i="8"/>
  <c r="E271" i="8"/>
  <c r="F271" i="8"/>
  <c r="G271" i="8"/>
  <c r="H271" i="8"/>
  <c r="I271" i="8"/>
  <c r="J271" i="8"/>
  <c r="K271" i="8"/>
  <c r="E272" i="8"/>
  <c r="F272" i="8"/>
  <c r="G272" i="8"/>
  <c r="H272" i="8"/>
  <c r="I272" i="8"/>
  <c r="J272" i="8"/>
  <c r="K272" i="8"/>
  <c r="E273" i="8"/>
  <c r="F273" i="8"/>
  <c r="G273" i="8"/>
  <c r="H273" i="8"/>
  <c r="I273" i="8"/>
  <c r="J273" i="8"/>
  <c r="K273" i="8"/>
  <c r="E274" i="8"/>
  <c r="F274" i="8"/>
  <c r="G274" i="8"/>
  <c r="H274" i="8"/>
  <c r="I274" i="8"/>
  <c r="J274" i="8"/>
  <c r="K274" i="8"/>
  <c r="E275" i="8"/>
  <c r="F275" i="8"/>
  <c r="G275" i="8"/>
  <c r="H275" i="8"/>
  <c r="I275" i="8"/>
  <c r="J275" i="8"/>
  <c r="K275" i="8"/>
  <c r="E276" i="8"/>
  <c r="F276" i="8"/>
  <c r="G276" i="8"/>
  <c r="H276" i="8"/>
  <c r="I276" i="8"/>
  <c r="J276" i="8"/>
  <c r="K276" i="8"/>
  <c r="E277" i="8"/>
  <c r="F277" i="8"/>
  <c r="G277" i="8"/>
  <c r="H277" i="8"/>
  <c r="I277" i="8"/>
  <c r="J277" i="8"/>
  <c r="K277" i="8"/>
  <c r="E278" i="8"/>
  <c r="F278" i="8"/>
  <c r="G278" i="8"/>
  <c r="H278" i="8"/>
  <c r="I278" i="8"/>
  <c r="J278" i="8"/>
  <c r="K278" i="8"/>
  <c r="E279" i="8"/>
  <c r="F279" i="8"/>
  <c r="G279" i="8"/>
  <c r="H279" i="8"/>
  <c r="I279" i="8"/>
  <c r="J279" i="8"/>
  <c r="K279" i="8"/>
  <c r="E280" i="8"/>
  <c r="F280" i="8"/>
  <c r="G280" i="8"/>
  <c r="H280" i="8"/>
  <c r="I280" i="8"/>
  <c r="J280" i="8"/>
  <c r="K280" i="8"/>
  <c r="E281" i="8"/>
  <c r="F281" i="8"/>
  <c r="G281" i="8"/>
  <c r="H281" i="8"/>
  <c r="I281" i="8"/>
  <c r="J281" i="8"/>
  <c r="K281" i="8"/>
  <c r="E282" i="8"/>
  <c r="F282" i="8"/>
  <c r="G282" i="8"/>
  <c r="H282" i="8"/>
  <c r="I282" i="8"/>
  <c r="J282" i="8"/>
  <c r="K282" i="8"/>
  <c r="E283" i="8"/>
  <c r="F283" i="8"/>
  <c r="G283" i="8"/>
  <c r="H283" i="8"/>
  <c r="I283" i="8"/>
  <c r="J283" i="8"/>
  <c r="K283" i="8"/>
  <c r="E284" i="8"/>
  <c r="F284" i="8"/>
  <c r="G284" i="8"/>
  <c r="H284" i="8"/>
  <c r="I284" i="8"/>
  <c r="J284" i="8"/>
  <c r="K284" i="8"/>
  <c r="E285" i="8"/>
  <c r="F285" i="8"/>
  <c r="G285" i="8"/>
  <c r="H285" i="8"/>
  <c r="I285" i="8"/>
  <c r="J285" i="8"/>
  <c r="K285" i="8"/>
  <c r="E286" i="8"/>
  <c r="F286" i="8"/>
  <c r="G286" i="8"/>
  <c r="H286" i="8"/>
  <c r="I286" i="8"/>
  <c r="J286" i="8"/>
  <c r="K286" i="8"/>
  <c r="E287" i="8"/>
  <c r="F287" i="8"/>
  <c r="G287" i="8"/>
  <c r="H287" i="8"/>
  <c r="I287" i="8"/>
  <c r="J287" i="8"/>
  <c r="K287" i="8"/>
  <c r="E288" i="8"/>
  <c r="F288" i="8"/>
  <c r="G288" i="8"/>
  <c r="H288" i="8"/>
  <c r="I288" i="8"/>
  <c r="J288" i="8"/>
  <c r="K288" i="8"/>
  <c r="E289" i="8"/>
  <c r="F289" i="8"/>
  <c r="G289" i="8"/>
  <c r="H289" i="8"/>
  <c r="I289" i="8"/>
  <c r="J289" i="8"/>
  <c r="K289" i="8"/>
  <c r="E290" i="8"/>
  <c r="F290" i="8"/>
  <c r="G290" i="8"/>
  <c r="H290" i="8"/>
  <c r="I290" i="8"/>
  <c r="J290" i="8"/>
  <c r="K290" i="8"/>
  <c r="E291" i="8"/>
  <c r="F291" i="8"/>
  <c r="G291" i="8"/>
  <c r="H291" i="8"/>
  <c r="I291" i="8"/>
  <c r="J291" i="8"/>
  <c r="K291" i="8"/>
  <c r="E292" i="8"/>
  <c r="F292" i="8"/>
  <c r="G292" i="8"/>
  <c r="H292" i="8"/>
  <c r="I292" i="8"/>
  <c r="J292" i="8"/>
  <c r="K292" i="8"/>
  <c r="E293" i="8"/>
  <c r="F293" i="8"/>
  <c r="G293" i="8"/>
  <c r="H293" i="8"/>
  <c r="I293" i="8"/>
  <c r="J293" i="8"/>
  <c r="K293" i="8"/>
  <c r="E294" i="8"/>
  <c r="F294" i="8"/>
  <c r="G294" i="8"/>
  <c r="H294" i="8"/>
  <c r="I294" i="8"/>
  <c r="J294" i="8"/>
  <c r="K294" i="8"/>
  <c r="E295" i="8"/>
  <c r="F295" i="8"/>
  <c r="G295" i="8"/>
  <c r="H295" i="8"/>
  <c r="I295" i="8"/>
  <c r="J295" i="8"/>
  <c r="K295" i="8"/>
  <c r="E296" i="8"/>
  <c r="F296" i="8"/>
  <c r="G296" i="8"/>
  <c r="H296" i="8"/>
  <c r="I296" i="8"/>
  <c r="J296" i="8"/>
  <c r="K296" i="8"/>
  <c r="E297" i="8"/>
  <c r="F297" i="8"/>
  <c r="G297" i="8"/>
  <c r="H297" i="8"/>
  <c r="I297" i="8"/>
  <c r="J297" i="8"/>
  <c r="K297" i="8"/>
  <c r="E298" i="8"/>
  <c r="F298" i="8"/>
  <c r="G298" i="8"/>
  <c r="H298" i="8"/>
  <c r="I298" i="8"/>
  <c r="J298" i="8"/>
  <c r="K298" i="8"/>
  <c r="E299" i="8"/>
  <c r="F299" i="8"/>
  <c r="G299" i="8"/>
  <c r="H299" i="8"/>
  <c r="I299" i="8"/>
  <c r="J299" i="8"/>
  <c r="K299" i="8"/>
  <c r="E300" i="8"/>
  <c r="F300" i="8"/>
  <c r="G300" i="8"/>
  <c r="H300" i="8"/>
  <c r="I300" i="8"/>
  <c r="J300" i="8"/>
  <c r="K300" i="8"/>
  <c r="E301" i="8"/>
  <c r="F301" i="8"/>
  <c r="G301" i="8"/>
  <c r="H301" i="8"/>
  <c r="I301" i="8"/>
  <c r="J301" i="8"/>
  <c r="K301" i="8"/>
  <c r="E302" i="8"/>
  <c r="F302" i="8"/>
  <c r="G302" i="8"/>
  <c r="H302" i="8"/>
  <c r="I302" i="8"/>
  <c r="J302" i="8"/>
  <c r="K302" i="8"/>
  <c r="F262" i="8"/>
  <c r="G262" i="8"/>
  <c r="G13" i="68"/>
  <c r="I262" i="8"/>
  <c r="J262" i="8"/>
  <c r="K262" i="8"/>
  <c r="E207" i="8"/>
  <c r="K256" i="8"/>
  <c r="J256" i="8"/>
  <c r="I256" i="8"/>
  <c r="H256" i="8"/>
  <c r="G256" i="8"/>
  <c r="F256" i="8"/>
  <c r="E256" i="8"/>
  <c r="K255" i="8"/>
  <c r="J255" i="8"/>
  <c r="I255" i="8"/>
  <c r="H255" i="8"/>
  <c r="G255" i="8"/>
  <c r="F255" i="8"/>
  <c r="E255" i="8"/>
  <c r="K254" i="8"/>
  <c r="J254" i="8"/>
  <c r="I254" i="8"/>
  <c r="H254" i="8"/>
  <c r="G254" i="8"/>
  <c r="F254" i="8"/>
  <c r="E254" i="8"/>
  <c r="K253" i="8"/>
  <c r="J253" i="8"/>
  <c r="I253" i="8"/>
  <c r="H253" i="8"/>
  <c r="G253" i="8"/>
  <c r="F253" i="8"/>
  <c r="E253" i="8"/>
  <c r="K252" i="8"/>
  <c r="J252" i="8"/>
  <c r="I252" i="8"/>
  <c r="H252" i="8"/>
  <c r="G252" i="8"/>
  <c r="F252" i="8"/>
  <c r="E252" i="8"/>
  <c r="K251" i="8"/>
  <c r="J251" i="8"/>
  <c r="I251" i="8"/>
  <c r="H251" i="8"/>
  <c r="G251" i="8"/>
  <c r="F251" i="8"/>
  <c r="E251" i="8"/>
  <c r="K250" i="8"/>
  <c r="J250" i="8"/>
  <c r="I250" i="8"/>
  <c r="H250" i="8"/>
  <c r="G250" i="8"/>
  <c r="F250" i="8"/>
  <c r="E250" i="8"/>
  <c r="K249" i="8"/>
  <c r="J249" i="8"/>
  <c r="I249" i="8"/>
  <c r="H249" i="8"/>
  <c r="G249" i="8"/>
  <c r="F249" i="8"/>
  <c r="E249" i="8"/>
  <c r="E208" i="8"/>
  <c r="F208" i="8"/>
  <c r="G208" i="8"/>
  <c r="H208" i="8"/>
  <c r="I208" i="8"/>
  <c r="J208" i="8"/>
  <c r="K208" i="8"/>
  <c r="E209" i="8"/>
  <c r="F209" i="8"/>
  <c r="G209" i="8"/>
  <c r="H209" i="8"/>
  <c r="I209" i="8"/>
  <c r="J209" i="8"/>
  <c r="K209" i="8"/>
  <c r="E210" i="8"/>
  <c r="F210" i="8"/>
  <c r="G210" i="8"/>
  <c r="H210" i="8"/>
  <c r="I210" i="8"/>
  <c r="J210" i="8"/>
  <c r="K210" i="8"/>
  <c r="E211" i="8"/>
  <c r="F211" i="8"/>
  <c r="G211" i="8"/>
  <c r="H211" i="8"/>
  <c r="I211" i="8"/>
  <c r="J211" i="8"/>
  <c r="K211" i="8"/>
  <c r="E212" i="8"/>
  <c r="F212" i="8"/>
  <c r="G212" i="8"/>
  <c r="H212" i="8"/>
  <c r="I212" i="8"/>
  <c r="J212" i="8"/>
  <c r="K212" i="8"/>
  <c r="E213" i="8"/>
  <c r="F213" i="8"/>
  <c r="G213" i="8"/>
  <c r="H213" i="8"/>
  <c r="I213" i="8"/>
  <c r="J213" i="8"/>
  <c r="K213" i="8"/>
  <c r="E214" i="8"/>
  <c r="F214" i="8"/>
  <c r="G214" i="8"/>
  <c r="H214" i="8"/>
  <c r="I214" i="8"/>
  <c r="J214" i="8"/>
  <c r="K214" i="8"/>
  <c r="E215" i="8"/>
  <c r="F215" i="8"/>
  <c r="G215" i="8"/>
  <c r="H215" i="8"/>
  <c r="I215" i="8"/>
  <c r="J215" i="8"/>
  <c r="K215" i="8"/>
  <c r="E216" i="8"/>
  <c r="F216" i="8"/>
  <c r="G216" i="8"/>
  <c r="H216" i="8"/>
  <c r="I216" i="8"/>
  <c r="J216" i="8"/>
  <c r="K216" i="8"/>
  <c r="E217" i="8"/>
  <c r="F217" i="8"/>
  <c r="G217" i="8"/>
  <c r="H217" i="8"/>
  <c r="I217" i="8"/>
  <c r="J217" i="8"/>
  <c r="K217" i="8"/>
  <c r="E218" i="8"/>
  <c r="F218" i="8"/>
  <c r="G218" i="8"/>
  <c r="H218" i="8"/>
  <c r="I218" i="8"/>
  <c r="J218" i="8"/>
  <c r="K218" i="8"/>
  <c r="E219" i="8"/>
  <c r="F219" i="8"/>
  <c r="G219" i="8"/>
  <c r="H219" i="8"/>
  <c r="I219" i="8"/>
  <c r="J219" i="8"/>
  <c r="K219" i="8"/>
  <c r="E220" i="8"/>
  <c r="F220" i="8"/>
  <c r="G220" i="8"/>
  <c r="H220" i="8"/>
  <c r="I220" i="8"/>
  <c r="J220" i="8"/>
  <c r="K220" i="8"/>
  <c r="E221" i="8"/>
  <c r="F221" i="8"/>
  <c r="G221" i="8"/>
  <c r="H221" i="8"/>
  <c r="I221" i="8"/>
  <c r="J221" i="8"/>
  <c r="K221" i="8"/>
  <c r="E222" i="8"/>
  <c r="F222" i="8"/>
  <c r="G222" i="8"/>
  <c r="H222" i="8"/>
  <c r="I222" i="8"/>
  <c r="J222" i="8"/>
  <c r="K222" i="8"/>
  <c r="E223" i="8"/>
  <c r="F223" i="8"/>
  <c r="G223" i="8"/>
  <c r="H223" i="8"/>
  <c r="I223" i="8"/>
  <c r="J223" i="8"/>
  <c r="K223" i="8"/>
  <c r="E224" i="8"/>
  <c r="F224" i="8"/>
  <c r="G224" i="8"/>
  <c r="H224" i="8"/>
  <c r="I224" i="8"/>
  <c r="J224" i="8"/>
  <c r="K224" i="8"/>
  <c r="E225" i="8"/>
  <c r="F225" i="8"/>
  <c r="G225" i="8"/>
  <c r="H225" i="8"/>
  <c r="I225" i="8"/>
  <c r="J225" i="8"/>
  <c r="K225" i="8"/>
  <c r="E226" i="8"/>
  <c r="F226" i="8"/>
  <c r="G226" i="8"/>
  <c r="H226" i="8"/>
  <c r="I226" i="8"/>
  <c r="J226" i="8"/>
  <c r="K226" i="8"/>
  <c r="E227" i="8"/>
  <c r="F227" i="8"/>
  <c r="G227" i="8"/>
  <c r="H227" i="8"/>
  <c r="I227" i="8"/>
  <c r="J227" i="8"/>
  <c r="K227" i="8"/>
  <c r="E228" i="8"/>
  <c r="F228" i="8"/>
  <c r="G228" i="8"/>
  <c r="H228" i="8"/>
  <c r="I228" i="8"/>
  <c r="J228" i="8"/>
  <c r="K228" i="8"/>
  <c r="E229" i="8"/>
  <c r="F229" i="8"/>
  <c r="G229" i="8"/>
  <c r="H229" i="8"/>
  <c r="I229" i="8"/>
  <c r="J229" i="8"/>
  <c r="K229" i="8"/>
  <c r="E230" i="8"/>
  <c r="F230" i="8"/>
  <c r="G230" i="8"/>
  <c r="H230" i="8"/>
  <c r="I230" i="8"/>
  <c r="J230" i="8"/>
  <c r="K230" i="8"/>
  <c r="E231" i="8"/>
  <c r="F231" i="8"/>
  <c r="G231" i="8"/>
  <c r="H231" i="8"/>
  <c r="I231" i="8"/>
  <c r="J231" i="8"/>
  <c r="K231" i="8"/>
  <c r="E232" i="8"/>
  <c r="F232" i="8"/>
  <c r="G232" i="8"/>
  <c r="H232" i="8"/>
  <c r="I232" i="8"/>
  <c r="J232" i="8"/>
  <c r="K232" i="8"/>
  <c r="E233" i="8"/>
  <c r="F233" i="8"/>
  <c r="G233" i="8"/>
  <c r="H233" i="8"/>
  <c r="I233" i="8"/>
  <c r="J233" i="8"/>
  <c r="K233" i="8"/>
  <c r="E234" i="8"/>
  <c r="F234" i="8"/>
  <c r="G234" i="8"/>
  <c r="H234" i="8"/>
  <c r="I234" i="8"/>
  <c r="J234" i="8"/>
  <c r="K234" i="8"/>
  <c r="E235" i="8"/>
  <c r="F235" i="8"/>
  <c r="G235" i="8"/>
  <c r="H235" i="8"/>
  <c r="I235" i="8"/>
  <c r="J235" i="8"/>
  <c r="K235" i="8"/>
  <c r="E236" i="8"/>
  <c r="F236" i="8"/>
  <c r="G236" i="8"/>
  <c r="H236" i="8"/>
  <c r="I236" i="8"/>
  <c r="J236" i="8"/>
  <c r="K236" i="8"/>
  <c r="E237" i="8"/>
  <c r="F237" i="8"/>
  <c r="G237" i="8"/>
  <c r="H237" i="8"/>
  <c r="I237" i="8"/>
  <c r="J237" i="8"/>
  <c r="K237" i="8"/>
  <c r="E238" i="8"/>
  <c r="F238" i="8"/>
  <c r="G238" i="8"/>
  <c r="H238" i="8"/>
  <c r="I238" i="8"/>
  <c r="J238" i="8"/>
  <c r="K238" i="8"/>
  <c r="E239" i="8"/>
  <c r="F239" i="8"/>
  <c r="G239" i="8"/>
  <c r="H239" i="8"/>
  <c r="I239" i="8"/>
  <c r="J239" i="8"/>
  <c r="K239" i="8"/>
  <c r="E240" i="8"/>
  <c r="F240" i="8"/>
  <c r="G240" i="8"/>
  <c r="H240" i="8"/>
  <c r="I240" i="8"/>
  <c r="J240" i="8"/>
  <c r="K240" i="8"/>
  <c r="E241" i="8"/>
  <c r="F241" i="8"/>
  <c r="G241" i="8"/>
  <c r="H241" i="8"/>
  <c r="I241" i="8"/>
  <c r="J241" i="8"/>
  <c r="K241" i="8"/>
  <c r="E242" i="8"/>
  <c r="F242" i="8"/>
  <c r="G242" i="8"/>
  <c r="H242" i="8"/>
  <c r="I242" i="8"/>
  <c r="J242" i="8"/>
  <c r="K242" i="8"/>
  <c r="E243" i="8"/>
  <c r="F243" i="8"/>
  <c r="G243" i="8"/>
  <c r="H243" i="8"/>
  <c r="I243" i="8"/>
  <c r="J243" i="8"/>
  <c r="K243" i="8"/>
  <c r="E244" i="8"/>
  <c r="F244" i="8"/>
  <c r="G244" i="8"/>
  <c r="H244" i="8"/>
  <c r="I244" i="8"/>
  <c r="J244" i="8"/>
  <c r="K244" i="8"/>
  <c r="E245" i="8"/>
  <c r="F245" i="8"/>
  <c r="G245" i="8"/>
  <c r="H245" i="8"/>
  <c r="I245" i="8"/>
  <c r="J245" i="8"/>
  <c r="K245" i="8"/>
  <c r="E246" i="8"/>
  <c r="F246" i="8"/>
  <c r="G246" i="8"/>
  <c r="H246" i="8"/>
  <c r="I246" i="8"/>
  <c r="J246" i="8"/>
  <c r="K246" i="8"/>
  <c r="E247" i="8"/>
  <c r="F247" i="8"/>
  <c r="G247" i="8"/>
  <c r="H247" i="8"/>
  <c r="I247" i="8"/>
  <c r="J247" i="8"/>
  <c r="K247" i="8"/>
  <c r="F207" i="8"/>
  <c r="G207" i="8"/>
  <c r="H207" i="8"/>
  <c r="I207" i="8"/>
  <c r="J207" i="8"/>
  <c r="K207" i="8"/>
  <c r="K202" i="8"/>
  <c r="J202" i="8"/>
  <c r="I202" i="8"/>
  <c r="H202" i="8"/>
  <c r="G202" i="8"/>
  <c r="F202" i="8"/>
  <c r="E202" i="8"/>
  <c r="K201" i="8"/>
  <c r="J201" i="8"/>
  <c r="I201" i="8"/>
  <c r="H201" i="8"/>
  <c r="G201" i="8"/>
  <c r="F201" i="8"/>
  <c r="E201" i="8"/>
  <c r="K200" i="8"/>
  <c r="J200" i="8"/>
  <c r="I200" i="8"/>
  <c r="H200" i="8"/>
  <c r="G200" i="8"/>
  <c r="F200" i="8"/>
  <c r="E200" i="8"/>
  <c r="K199" i="8"/>
  <c r="J199" i="8"/>
  <c r="I199" i="8"/>
  <c r="H199" i="8"/>
  <c r="G199" i="8"/>
  <c r="F199" i="8"/>
  <c r="E199" i="8"/>
  <c r="K198" i="8"/>
  <c r="J198" i="8"/>
  <c r="I198" i="8"/>
  <c r="H198" i="8"/>
  <c r="G198" i="8"/>
  <c r="F198" i="8"/>
  <c r="E198" i="8"/>
  <c r="K197" i="8"/>
  <c r="J197" i="8"/>
  <c r="I197" i="8"/>
  <c r="H197" i="8"/>
  <c r="G197" i="8"/>
  <c r="F197" i="8"/>
  <c r="E197" i="8"/>
  <c r="K196" i="8"/>
  <c r="J196" i="8"/>
  <c r="I196" i="8"/>
  <c r="H196" i="8"/>
  <c r="G196" i="8"/>
  <c r="F196" i="8"/>
  <c r="E196" i="8"/>
  <c r="K195" i="8"/>
  <c r="J195" i="8"/>
  <c r="I195" i="8"/>
  <c r="H195" i="8"/>
  <c r="G195" i="8"/>
  <c r="F195" i="8"/>
  <c r="E195" i="8"/>
  <c r="E154" i="8"/>
  <c r="F154" i="8"/>
  <c r="G154" i="8"/>
  <c r="H154" i="8"/>
  <c r="I154" i="8"/>
  <c r="J154" i="8"/>
  <c r="K154" i="8"/>
  <c r="E155" i="8"/>
  <c r="F155" i="8"/>
  <c r="G155" i="8"/>
  <c r="H155" i="8"/>
  <c r="I155" i="8"/>
  <c r="J155" i="8"/>
  <c r="K155" i="8"/>
  <c r="E156" i="8"/>
  <c r="F156" i="8"/>
  <c r="G156" i="8"/>
  <c r="H156" i="8"/>
  <c r="I156" i="8"/>
  <c r="J156" i="8"/>
  <c r="K156" i="8"/>
  <c r="E157" i="8"/>
  <c r="F157" i="8"/>
  <c r="G157" i="8"/>
  <c r="H157" i="8"/>
  <c r="I157" i="8"/>
  <c r="J157" i="8"/>
  <c r="K157" i="8"/>
  <c r="E158" i="8"/>
  <c r="F158" i="8"/>
  <c r="G158" i="8"/>
  <c r="H158" i="8"/>
  <c r="I158" i="8"/>
  <c r="J158" i="8"/>
  <c r="K158" i="8"/>
  <c r="E159" i="8"/>
  <c r="F159" i="8"/>
  <c r="G159" i="8"/>
  <c r="H159" i="8"/>
  <c r="I159" i="8"/>
  <c r="J159" i="8"/>
  <c r="K159" i="8"/>
  <c r="E160" i="8"/>
  <c r="F160" i="8"/>
  <c r="G160" i="8"/>
  <c r="H160" i="8"/>
  <c r="I160" i="8"/>
  <c r="J160" i="8"/>
  <c r="K160" i="8"/>
  <c r="E161" i="8"/>
  <c r="F161" i="8"/>
  <c r="G161" i="8"/>
  <c r="H161" i="8"/>
  <c r="I161" i="8"/>
  <c r="J161" i="8"/>
  <c r="K161" i="8"/>
  <c r="E162" i="8"/>
  <c r="F162" i="8"/>
  <c r="G162" i="8"/>
  <c r="H162" i="8"/>
  <c r="I162" i="8"/>
  <c r="J162" i="8"/>
  <c r="K162" i="8"/>
  <c r="E163" i="8"/>
  <c r="F163" i="8"/>
  <c r="G163" i="8"/>
  <c r="H163" i="8"/>
  <c r="I163" i="8"/>
  <c r="J163" i="8"/>
  <c r="K163" i="8"/>
  <c r="E164" i="8"/>
  <c r="F164" i="8"/>
  <c r="G164" i="8"/>
  <c r="H164" i="8"/>
  <c r="I164" i="8"/>
  <c r="J164" i="8"/>
  <c r="K164" i="8"/>
  <c r="E165" i="8"/>
  <c r="F165" i="8"/>
  <c r="G165" i="8"/>
  <c r="H165" i="8"/>
  <c r="I165" i="8"/>
  <c r="J165" i="8"/>
  <c r="K165" i="8"/>
  <c r="E166" i="8"/>
  <c r="F166" i="8"/>
  <c r="G166" i="8"/>
  <c r="H166" i="8"/>
  <c r="I166" i="8"/>
  <c r="J166" i="8"/>
  <c r="K166" i="8"/>
  <c r="E167" i="8"/>
  <c r="F167" i="8"/>
  <c r="G167" i="8"/>
  <c r="H167" i="8"/>
  <c r="I167" i="8"/>
  <c r="J167" i="8"/>
  <c r="K167" i="8"/>
  <c r="E168" i="8"/>
  <c r="F168" i="8"/>
  <c r="G168" i="8"/>
  <c r="H168" i="8"/>
  <c r="I168" i="8"/>
  <c r="J168" i="8"/>
  <c r="K168" i="8"/>
  <c r="E169" i="8"/>
  <c r="F169" i="8"/>
  <c r="G169" i="8"/>
  <c r="H169" i="8"/>
  <c r="I169" i="8"/>
  <c r="J169" i="8"/>
  <c r="K169" i="8"/>
  <c r="E170" i="8"/>
  <c r="F170" i="8"/>
  <c r="G170" i="8"/>
  <c r="H170" i="8"/>
  <c r="I170" i="8"/>
  <c r="J170" i="8"/>
  <c r="K170" i="8"/>
  <c r="E171" i="8"/>
  <c r="F171" i="8"/>
  <c r="G171" i="8"/>
  <c r="H171" i="8"/>
  <c r="I171" i="8"/>
  <c r="J171" i="8"/>
  <c r="K171" i="8"/>
  <c r="E172" i="8"/>
  <c r="F172" i="8"/>
  <c r="G172" i="8"/>
  <c r="H172" i="8"/>
  <c r="I172" i="8"/>
  <c r="J172" i="8"/>
  <c r="K172" i="8"/>
  <c r="E173" i="8"/>
  <c r="F173" i="8"/>
  <c r="G173" i="8"/>
  <c r="H173" i="8"/>
  <c r="I173" i="8"/>
  <c r="J173" i="8"/>
  <c r="K173" i="8"/>
  <c r="E174" i="8"/>
  <c r="F174" i="8"/>
  <c r="G174" i="8"/>
  <c r="H174" i="8"/>
  <c r="I174" i="8"/>
  <c r="J174" i="8"/>
  <c r="K174" i="8"/>
  <c r="E175" i="8"/>
  <c r="F175" i="8"/>
  <c r="G175" i="8"/>
  <c r="H175" i="8"/>
  <c r="I175" i="8"/>
  <c r="J175" i="8"/>
  <c r="K175" i="8"/>
  <c r="E176" i="8"/>
  <c r="F176" i="8"/>
  <c r="G176" i="8"/>
  <c r="H176" i="8"/>
  <c r="I176" i="8"/>
  <c r="J176" i="8"/>
  <c r="K176" i="8"/>
  <c r="E177" i="8"/>
  <c r="F177" i="8"/>
  <c r="G177" i="8"/>
  <c r="H177" i="8"/>
  <c r="I177" i="8"/>
  <c r="J177" i="8"/>
  <c r="K177" i="8"/>
  <c r="E178" i="8"/>
  <c r="F178" i="8"/>
  <c r="G178" i="8"/>
  <c r="H178" i="8"/>
  <c r="I178" i="8"/>
  <c r="J178" i="8"/>
  <c r="K178" i="8"/>
  <c r="E179" i="8"/>
  <c r="F179" i="8"/>
  <c r="G179" i="8"/>
  <c r="H179" i="8"/>
  <c r="I179" i="8"/>
  <c r="J179" i="8"/>
  <c r="K179" i="8"/>
  <c r="E180" i="8"/>
  <c r="F180" i="8"/>
  <c r="G180" i="8"/>
  <c r="H180" i="8"/>
  <c r="I180" i="8"/>
  <c r="J180" i="8"/>
  <c r="K180" i="8"/>
  <c r="E181" i="8"/>
  <c r="F181" i="8"/>
  <c r="G181" i="8"/>
  <c r="H181" i="8"/>
  <c r="I181" i="8"/>
  <c r="J181" i="8"/>
  <c r="K181" i="8"/>
  <c r="E182" i="8"/>
  <c r="F182" i="8"/>
  <c r="G182" i="8"/>
  <c r="H182" i="8"/>
  <c r="I182" i="8"/>
  <c r="J182" i="8"/>
  <c r="K182" i="8"/>
  <c r="E183" i="8"/>
  <c r="F183" i="8"/>
  <c r="G183" i="8"/>
  <c r="H183" i="8"/>
  <c r="I183" i="8"/>
  <c r="J183" i="8"/>
  <c r="K183" i="8"/>
  <c r="E184" i="8"/>
  <c r="F184" i="8"/>
  <c r="G184" i="8"/>
  <c r="H184" i="8"/>
  <c r="I184" i="8"/>
  <c r="J184" i="8"/>
  <c r="K184" i="8"/>
  <c r="E185" i="8"/>
  <c r="F185" i="8"/>
  <c r="G185" i="8"/>
  <c r="H185" i="8"/>
  <c r="I185" i="8"/>
  <c r="J185" i="8"/>
  <c r="K185" i="8"/>
  <c r="E186" i="8"/>
  <c r="F186" i="8"/>
  <c r="G186" i="8"/>
  <c r="H186" i="8"/>
  <c r="I186" i="8"/>
  <c r="J186" i="8"/>
  <c r="K186" i="8"/>
  <c r="E187" i="8"/>
  <c r="F187" i="8"/>
  <c r="G187" i="8"/>
  <c r="H187" i="8"/>
  <c r="I187" i="8"/>
  <c r="J187" i="8"/>
  <c r="K187" i="8"/>
  <c r="E188" i="8"/>
  <c r="F188" i="8"/>
  <c r="G188" i="8"/>
  <c r="H188" i="8"/>
  <c r="I188" i="8"/>
  <c r="J188" i="8"/>
  <c r="K188" i="8"/>
  <c r="E189" i="8"/>
  <c r="F189" i="8"/>
  <c r="G189" i="8"/>
  <c r="H189" i="8"/>
  <c r="I189" i="8"/>
  <c r="J189" i="8"/>
  <c r="K189" i="8"/>
  <c r="E190" i="8"/>
  <c r="F190" i="8"/>
  <c r="G190" i="8"/>
  <c r="H190" i="8"/>
  <c r="I190" i="8"/>
  <c r="J190" i="8"/>
  <c r="K190" i="8"/>
  <c r="E191" i="8"/>
  <c r="F191" i="8"/>
  <c r="G191" i="8"/>
  <c r="H191" i="8"/>
  <c r="I191" i="8"/>
  <c r="J191" i="8"/>
  <c r="K191" i="8"/>
  <c r="E192" i="8"/>
  <c r="F192" i="8"/>
  <c r="G192" i="8"/>
  <c r="H192" i="8"/>
  <c r="I192" i="8"/>
  <c r="J192" i="8"/>
  <c r="K192" i="8"/>
  <c r="E193" i="8"/>
  <c r="F193" i="8"/>
  <c r="G193" i="8"/>
  <c r="H193" i="8"/>
  <c r="I193" i="8"/>
  <c r="J193" i="8"/>
  <c r="K193" i="8"/>
  <c r="F153" i="8"/>
  <c r="G153" i="8"/>
  <c r="H153" i="8"/>
  <c r="I153" i="8"/>
  <c r="J153" i="8"/>
  <c r="K153" i="8"/>
  <c r="N25" i="60"/>
  <c r="F22" i="60"/>
  <c r="S98" i="76"/>
  <c r="S68" i="76"/>
  <c r="S38" i="76"/>
  <c r="S8" i="76"/>
  <c r="M8" i="76"/>
  <c r="D11" i="76"/>
  <c r="E8" i="76"/>
  <c r="D9" i="76"/>
  <c r="E9" i="76"/>
  <c r="F9" i="76"/>
  <c r="G9" i="76"/>
  <c r="H9" i="76"/>
  <c r="I9" i="76"/>
  <c r="J9" i="76"/>
  <c r="K9" i="76"/>
  <c r="L9" i="76"/>
  <c r="M9" i="76"/>
  <c r="N9" i="76"/>
  <c r="O9" i="76"/>
  <c r="P9" i="76"/>
  <c r="Q9" i="76"/>
  <c r="R9" i="76"/>
  <c r="S9" i="76"/>
  <c r="T9" i="76"/>
  <c r="U9" i="76"/>
  <c r="V9" i="76"/>
  <c r="W9" i="76"/>
  <c r="X9" i="76"/>
  <c r="Y9" i="76"/>
  <c r="Z9" i="76"/>
  <c r="AA9" i="76"/>
  <c r="AB9" i="76"/>
  <c r="AC9" i="76"/>
  <c r="AD9" i="76"/>
  <c r="AE9" i="76"/>
  <c r="AF9" i="76"/>
  <c r="AG9" i="76"/>
  <c r="D10" i="76"/>
  <c r="E10" i="76"/>
  <c r="F10" i="76"/>
  <c r="G10" i="76"/>
  <c r="H10" i="76"/>
  <c r="I10" i="76"/>
  <c r="J10" i="76"/>
  <c r="K10" i="76"/>
  <c r="L10" i="76"/>
  <c r="M10" i="76"/>
  <c r="N10" i="76"/>
  <c r="O10" i="76"/>
  <c r="P10" i="76"/>
  <c r="Q10" i="76"/>
  <c r="R10" i="76"/>
  <c r="S10" i="76"/>
  <c r="T10" i="76"/>
  <c r="U10" i="76"/>
  <c r="V10" i="76"/>
  <c r="W10" i="76"/>
  <c r="X10" i="76"/>
  <c r="Y10" i="76"/>
  <c r="Z10" i="76"/>
  <c r="AA10" i="76"/>
  <c r="AB10" i="76"/>
  <c r="AC10" i="76"/>
  <c r="AD10" i="76"/>
  <c r="AE10" i="76"/>
  <c r="AF10" i="76"/>
  <c r="AG10" i="76"/>
  <c r="C11" i="76"/>
  <c r="AH11" i="76"/>
  <c r="D12" i="76"/>
  <c r="E12" i="76"/>
  <c r="F12" i="76"/>
  <c r="G12" i="76"/>
  <c r="H12" i="76"/>
  <c r="I12" i="76"/>
  <c r="J12" i="76"/>
  <c r="K12" i="76"/>
  <c r="L12" i="76"/>
  <c r="M12" i="76"/>
  <c r="N12" i="76"/>
  <c r="O12" i="76"/>
  <c r="P12" i="76"/>
  <c r="Q12" i="76"/>
  <c r="R12" i="76"/>
  <c r="S12" i="76"/>
  <c r="T12" i="76"/>
  <c r="U12" i="76"/>
  <c r="V12" i="76"/>
  <c r="W12" i="76"/>
  <c r="X12" i="76"/>
  <c r="Y12" i="76"/>
  <c r="Z12" i="76"/>
  <c r="AA12" i="76"/>
  <c r="AB12" i="76"/>
  <c r="AC12" i="76"/>
  <c r="AD12" i="76"/>
  <c r="AE12" i="76"/>
  <c r="AF12" i="76"/>
  <c r="AG12" i="76"/>
  <c r="D13" i="76"/>
  <c r="E13" i="76"/>
  <c r="F13" i="76"/>
  <c r="G13" i="76"/>
  <c r="H13" i="76"/>
  <c r="I13" i="76"/>
  <c r="J13" i="76"/>
  <c r="K13" i="76"/>
  <c r="L13" i="76"/>
  <c r="M13" i="76"/>
  <c r="N13" i="76"/>
  <c r="O13" i="76"/>
  <c r="P13" i="76"/>
  <c r="Q13" i="76"/>
  <c r="R13" i="76"/>
  <c r="S13" i="76"/>
  <c r="T13" i="76"/>
  <c r="U13" i="76"/>
  <c r="V13" i="76"/>
  <c r="W13" i="76"/>
  <c r="X13" i="76"/>
  <c r="Y13" i="76"/>
  <c r="Z13" i="76"/>
  <c r="AA13" i="76"/>
  <c r="AB13" i="76"/>
  <c r="AC13" i="76"/>
  <c r="AD13" i="76"/>
  <c r="AE13" i="76"/>
  <c r="AF13" i="76"/>
  <c r="AG13" i="76"/>
  <c r="D14" i="76"/>
  <c r="E14" i="76"/>
  <c r="F14" i="76"/>
  <c r="G14" i="76"/>
  <c r="H14" i="76"/>
  <c r="I14" i="76"/>
  <c r="J14" i="76"/>
  <c r="K14" i="76"/>
  <c r="L14" i="76"/>
  <c r="M14" i="76"/>
  <c r="N14" i="76"/>
  <c r="O14" i="76"/>
  <c r="P14" i="76"/>
  <c r="Q14" i="76"/>
  <c r="R14" i="76"/>
  <c r="S14" i="76"/>
  <c r="T14" i="76"/>
  <c r="U14" i="76"/>
  <c r="V14" i="76"/>
  <c r="W14" i="76"/>
  <c r="X14" i="76"/>
  <c r="Y14" i="76"/>
  <c r="Z14" i="76"/>
  <c r="AA14" i="76"/>
  <c r="AB14" i="76"/>
  <c r="AC14" i="76"/>
  <c r="AD14" i="76"/>
  <c r="AE14" i="76"/>
  <c r="AF14" i="76"/>
  <c r="AG14" i="76"/>
  <c r="D15" i="76"/>
  <c r="E15" i="76"/>
  <c r="F15" i="76"/>
  <c r="G15" i="76"/>
  <c r="H15" i="76"/>
  <c r="I15" i="76"/>
  <c r="J15" i="76"/>
  <c r="K15" i="76"/>
  <c r="L15" i="76"/>
  <c r="M15" i="76"/>
  <c r="N15" i="76"/>
  <c r="O15" i="76"/>
  <c r="P15" i="76"/>
  <c r="Q15" i="76"/>
  <c r="R15" i="76"/>
  <c r="S15" i="76"/>
  <c r="T15" i="76"/>
  <c r="U15" i="76"/>
  <c r="V15" i="76"/>
  <c r="W15" i="76"/>
  <c r="X15" i="76"/>
  <c r="Y15" i="76"/>
  <c r="Z15" i="76"/>
  <c r="AA15" i="76"/>
  <c r="AB15" i="76"/>
  <c r="AC15" i="76"/>
  <c r="AD15" i="76"/>
  <c r="AE15" i="76"/>
  <c r="AF15" i="76"/>
  <c r="AG15" i="76"/>
  <c r="D16" i="76"/>
  <c r="E16" i="76"/>
  <c r="F16" i="76"/>
  <c r="G16" i="76"/>
  <c r="H16" i="76"/>
  <c r="I16" i="76"/>
  <c r="J16" i="76"/>
  <c r="K16" i="76"/>
  <c r="L16" i="76"/>
  <c r="M16" i="76"/>
  <c r="N16" i="76"/>
  <c r="O16" i="76"/>
  <c r="P16" i="76"/>
  <c r="Q16" i="76"/>
  <c r="R16" i="76"/>
  <c r="S16" i="76"/>
  <c r="T16" i="76"/>
  <c r="U16" i="76"/>
  <c r="V16" i="76"/>
  <c r="W16" i="76"/>
  <c r="X16" i="76"/>
  <c r="Y16" i="76"/>
  <c r="Z16" i="76"/>
  <c r="AA16" i="76"/>
  <c r="AB16" i="76"/>
  <c r="AC16" i="76"/>
  <c r="AD16" i="76"/>
  <c r="AE16" i="76"/>
  <c r="AF16" i="76"/>
  <c r="AG16" i="76"/>
  <c r="D17" i="76"/>
  <c r="E17" i="76"/>
  <c r="F17" i="76"/>
  <c r="G17" i="76"/>
  <c r="H17" i="76"/>
  <c r="I17" i="76"/>
  <c r="J17" i="76"/>
  <c r="K17" i="76"/>
  <c r="L17" i="76"/>
  <c r="M17" i="76"/>
  <c r="N17" i="76"/>
  <c r="O17" i="76"/>
  <c r="P17" i="76"/>
  <c r="Q17" i="76"/>
  <c r="R17" i="76"/>
  <c r="S17" i="76"/>
  <c r="T17" i="76"/>
  <c r="U17" i="76"/>
  <c r="V17" i="76"/>
  <c r="W17" i="76"/>
  <c r="X17" i="76"/>
  <c r="Y17" i="76"/>
  <c r="Z17" i="76"/>
  <c r="AA17" i="76"/>
  <c r="AB17" i="76"/>
  <c r="AC17" i="76"/>
  <c r="AD17" i="76"/>
  <c r="AE17" i="76"/>
  <c r="AF17" i="76"/>
  <c r="AG17" i="76"/>
  <c r="D18" i="76"/>
  <c r="D19" i="76"/>
  <c r="E19" i="76"/>
  <c r="F19" i="76"/>
  <c r="G19" i="76"/>
  <c r="H19" i="76"/>
  <c r="I19" i="76"/>
  <c r="J19" i="76"/>
  <c r="K19" i="76"/>
  <c r="L19" i="76"/>
  <c r="M19" i="76"/>
  <c r="N19" i="76"/>
  <c r="O19" i="76"/>
  <c r="P19" i="76"/>
  <c r="Q19" i="76"/>
  <c r="R19" i="76"/>
  <c r="S19" i="76"/>
  <c r="T19" i="76"/>
  <c r="U19" i="76"/>
  <c r="V19" i="76"/>
  <c r="W19" i="76"/>
  <c r="X19" i="76"/>
  <c r="Y19" i="76"/>
  <c r="Z19" i="76"/>
  <c r="AA19" i="76"/>
  <c r="AB19" i="76"/>
  <c r="AC19" i="76"/>
  <c r="AD19" i="76"/>
  <c r="AE19" i="76"/>
  <c r="AF19" i="76"/>
  <c r="AG19" i="76"/>
  <c r="D20" i="76"/>
  <c r="D21" i="76"/>
  <c r="E21" i="76"/>
  <c r="F21" i="76"/>
  <c r="G21" i="76"/>
  <c r="H21" i="76"/>
  <c r="I21" i="76"/>
  <c r="J21" i="76"/>
  <c r="K21" i="76"/>
  <c r="L21" i="76"/>
  <c r="M21" i="76"/>
  <c r="N21" i="76"/>
  <c r="O21" i="76"/>
  <c r="P21" i="76"/>
  <c r="Q21" i="76"/>
  <c r="R21" i="76"/>
  <c r="S21" i="76"/>
  <c r="T21" i="76"/>
  <c r="U21" i="76"/>
  <c r="V21" i="76"/>
  <c r="W21" i="76"/>
  <c r="X21" i="76"/>
  <c r="Y21" i="76"/>
  <c r="Z21" i="76"/>
  <c r="AA21" i="76"/>
  <c r="AB21" i="76"/>
  <c r="AC21" i="76"/>
  <c r="AD21" i="76"/>
  <c r="AE21" i="76"/>
  <c r="AF21" i="76"/>
  <c r="AG21" i="76"/>
  <c r="D22" i="76"/>
  <c r="E22" i="76"/>
  <c r="F22" i="76"/>
  <c r="G22" i="76"/>
  <c r="H22" i="76"/>
  <c r="I22" i="76"/>
  <c r="J22" i="76"/>
  <c r="K22" i="76"/>
  <c r="L22" i="76"/>
  <c r="M22" i="76"/>
  <c r="N22" i="76"/>
  <c r="O22" i="76"/>
  <c r="P22" i="76"/>
  <c r="Q22" i="76"/>
  <c r="R22" i="76"/>
  <c r="S22" i="76"/>
  <c r="T22" i="76"/>
  <c r="U22" i="76"/>
  <c r="V22" i="76"/>
  <c r="W22" i="76"/>
  <c r="X22" i="76"/>
  <c r="Y22" i="76"/>
  <c r="Z22" i="76"/>
  <c r="AA22" i="76"/>
  <c r="AB22" i="76"/>
  <c r="AC22" i="76"/>
  <c r="AD22" i="76"/>
  <c r="AE22" i="76"/>
  <c r="AF22" i="76"/>
  <c r="AG22" i="76"/>
  <c r="D23" i="76"/>
  <c r="E23" i="76"/>
  <c r="F23" i="76"/>
  <c r="G23" i="76"/>
  <c r="H23" i="76"/>
  <c r="I23" i="76"/>
  <c r="J23" i="76"/>
  <c r="K23" i="76"/>
  <c r="L23" i="76"/>
  <c r="M23" i="76"/>
  <c r="N23" i="76"/>
  <c r="O23" i="76"/>
  <c r="P23" i="76"/>
  <c r="Q23" i="76"/>
  <c r="R23" i="76"/>
  <c r="S23" i="76"/>
  <c r="T23" i="76"/>
  <c r="U23" i="76"/>
  <c r="V23" i="76"/>
  <c r="W23" i="76"/>
  <c r="X23" i="76"/>
  <c r="Y23" i="76"/>
  <c r="Z23" i="76"/>
  <c r="AA23" i="76"/>
  <c r="AB23" i="76"/>
  <c r="AC23" i="76"/>
  <c r="AD23" i="76"/>
  <c r="AE23" i="76"/>
  <c r="AF23" i="76"/>
  <c r="AG23" i="76"/>
  <c r="D24" i="76"/>
  <c r="E24" i="76"/>
  <c r="F24" i="76"/>
  <c r="G24" i="76"/>
  <c r="H24" i="76"/>
  <c r="I24" i="76"/>
  <c r="J24" i="76"/>
  <c r="K24" i="76"/>
  <c r="L24" i="76"/>
  <c r="M24" i="76"/>
  <c r="N24" i="76"/>
  <c r="O24" i="76"/>
  <c r="P24" i="76"/>
  <c r="Q24" i="76"/>
  <c r="R24" i="76"/>
  <c r="S24" i="76"/>
  <c r="T24" i="76"/>
  <c r="U24" i="76"/>
  <c r="V24" i="76"/>
  <c r="W24" i="76"/>
  <c r="X24" i="76"/>
  <c r="Y24" i="76"/>
  <c r="Z24" i="76"/>
  <c r="AA24" i="76"/>
  <c r="AB24" i="76"/>
  <c r="AC24" i="76"/>
  <c r="AD24" i="76"/>
  <c r="AE24" i="76"/>
  <c r="AF24" i="76"/>
  <c r="AG24" i="76"/>
  <c r="D25" i="76"/>
  <c r="E25" i="76"/>
  <c r="F25" i="76"/>
  <c r="G25" i="76"/>
  <c r="H25" i="76"/>
  <c r="I25" i="76"/>
  <c r="J25" i="76"/>
  <c r="K25" i="76"/>
  <c r="L25" i="76"/>
  <c r="M25" i="76"/>
  <c r="N25" i="76"/>
  <c r="O25" i="76"/>
  <c r="P25" i="76"/>
  <c r="Q25" i="76"/>
  <c r="R25" i="76"/>
  <c r="S25" i="76"/>
  <c r="T25" i="76"/>
  <c r="U25" i="76"/>
  <c r="V25" i="76"/>
  <c r="W25" i="76"/>
  <c r="X25" i="76"/>
  <c r="Y25" i="76"/>
  <c r="Z25" i="76"/>
  <c r="AA25" i="76"/>
  <c r="AB25" i="76"/>
  <c r="AC25" i="76"/>
  <c r="AD25" i="76"/>
  <c r="AE25" i="76"/>
  <c r="AF25" i="76"/>
  <c r="AG25" i="76"/>
  <c r="D26" i="76"/>
  <c r="E26" i="76"/>
  <c r="F26" i="76"/>
  <c r="G26" i="76"/>
  <c r="H26" i="76"/>
  <c r="I26" i="76"/>
  <c r="J26" i="76"/>
  <c r="K26" i="76"/>
  <c r="L26" i="76"/>
  <c r="M26" i="76"/>
  <c r="N26" i="76"/>
  <c r="O26" i="76"/>
  <c r="P26" i="76"/>
  <c r="Q26" i="76"/>
  <c r="R26" i="76"/>
  <c r="S26" i="76"/>
  <c r="T26" i="76"/>
  <c r="U26" i="76"/>
  <c r="V26" i="76"/>
  <c r="W26" i="76"/>
  <c r="X26" i="76"/>
  <c r="Y26" i="76"/>
  <c r="Z26" i="76"/>
  <c r="AA26" i="76"/>
  <c r="AB26" i="76"/>
  <c r="AC26" i="76"/>
  <c r="AD26" i="76"/>
  <c r="AE26" i="76"/>
  <c r="AF26" i="76"/>
  <c r="AG26" i="76"/>
  <c r="D27" i="76"/>
  <c r="E27" i="76"/>
  <c r="F27" i="76"/>
  <c r="G27" i="76"/>
  <c r="H27" i="76"/>
  <c r="I27" i="76"/>
  <c r="J27" i="76"/>
  <c r="K27" i="76"/>
  <c r="L27" i="76"/>
  <c r="M27" i="76"/>
  <c r="N27" i="76"/>
  <c r="O27" i="76"/>
  <c r="P27" i="76"/>
  <c r="Q27" i="76"/>
  <c r="R27" i="76"/>
  <c r="S27" i="76"/>
  <c r="T27" i="76"/>
  <c r="U27" i="76"/>
  <c r="V27" i="76"/>
  <c r="W27" i="76"/>
  <c r="X27" i="76"/>
  <c r="Y27" i="76"/>
  <c r="Z27" i="76"/>
  <c r="AA27" i="76"/>
  <c r="AB27" i="76"/>
  <c r="AC27" i="76"/>
  <c r="AD27" i="76"/>
  <c r="AE27" i="76"/>
  <c r="AF27" i="76"/>
  <c r="AG27" i="76"/>
  <c r="D28" i="76"/>
  <c r="E28" i="76"/>
  <c r="F28" i="76"/>
  <c r="G28" i="76"/>
  <c r="H28" i="76"/>
  <c r="I28" i="76"/>
  <c r="J28" i="76"/>
  <c r="K28" i="76"/>
  <c r="L28" i="76"/>
  <c r="M28" i="76"/>
  <c r="N28" i="76"/>
  <c r="O28" i="76"/>
  <c r="P28" i="76"/>
  <c r="Q28" i="76"/>
  <c r="R28" i="76"/>
  <c r="S28" i="76"/>
  <c r="T28" i="76"/>
  <c r="U28" i="76"/>
  <c r="V28" i="76"/>
  <c r="W28" i="76"/>
  <c r="X28" i="76"/>
  <c r="Y28" i="76"/>
  <c r="Z28" i="76"/>
  <c r="AA28" i="76"/>
  <c r="AB28" i="76"/>
  <c r="AC28" i="76"/>
  <c r="AD28" i="76"/>
  <c r="AE28" i="76"/>
  <c r="AF28" i="76"/>
  <c r="AG28" i="76"/>
  <c r="D29" i="76"/>
  <c r="E29" i="76"/>
  <c r="F29" i="76"/>
  <c r="G29" i="76"/>
  <c r="H29" i="76"/>
  <c r="I29" i="76"/>
  <c r="J29" i="76"/>
  <c r="K29" i="76"/>
  <c r="L29" i="76"/>
  <c r="M29" i="76"/>
  <c r="N29" i="76"/>
  <c r="O29" i="76"/>
  <c r="P29" i="76"/>
  <c r="Q29" i="76"/>
  <c r="R29" i="76"/>
  <c r="S29" i="76"/>
  <c r="T29" i="76"/>
  <c r="U29" i="76"/>
  <c r="V29" i="76"/>
  <c r="W29" i="76"/>
  <c r="X29" i="76"/>
  <c r="Y29" i="76"/>
  <c r="Z29" i="76"/>
  <c r="AA29" i="76"/>
  <c r="AB29" i="76"/>
  <c r="AC29" i="76"/>
  <c r="AD29" i="76"/>
  <c r="AE29" i="76"/>
  <c r="AF29" i="76"/>
  <c r="AG29" i="76"/>
  <c r="D30" i="76"/>
  <c r="E30" i="76"/>
  <c r="F30" i="76"/>
  <c r="G30" i="76"/>
  <c r="H30" i="76"/>
  <c r="I30" i="76"/>
  <c r="J30" i="76"/>
  <c r="K30" i="76"/>
  <c r="L30" i="76"/>
  <c r="M30" i="76"/>
  <c r="N30" i="76"/>
  <c r="O30" i="76"/>
  <c r="P30" i="76"/>
  <c r="Q30" i="76"/>
  <c r="R30" i="76"/>
  <c r="S30" i="76"/>
  <c r="T30" i="76"/>
  <c r="U30" i="76"/>
  <c r="V30" i="76"/>
  <c r="W30" i="76"/>
  <c r="X30" i="76"/>
  <c r="Y30" i="76"/>
  <c r="Z30" i="76"/>
  <c r="AA30" i="76"/>
  <c r="AB30" i="76"/>
  <c r="AC30" i="76"/>
  <c r="AD30" i="76"/>
  <c r="AE30" i="76"/>
  <c r="AF30" i="76"/>
  <c r="AG30" i="76"/>
  <c r="D31" i="76"/>
  <c r="E31" i="76"/>
  <c r="F31" i="76"/>
  <c r="G31" i="76"/>
  <c r="H31" i="76"/>
  <c r="I31" i="76"/>
  <c r="J31" i="76"/>
  <c r="K31" i="76"/>
  <c r="L31" i="76"/>
  <c r="M31" i="76"/>
  <c r="N31" i="76"/>
  <c r="O31" i="76"/>
  <c r="P31" i="76"/>
  <c r="Q31" i="76"/>
  <c r="R31" i="76"/>
  <c r="S31" i="76"/>
  <c r="T31" i="76"/>
  <c r="U31" i="76"/>
  <c r="V31" i="76"/>
  <c r="W31" i="76"/>
  <c r="X31" i="76"/>
  <c r="Y31" i="76"/>
  <c r="Z31" i="76"/>
  <c r="AA31" i="76"/>
  <c r="AB31" i="76"/>
  <c r="AC31" i="76"/>
  <c r="AD31" i="76"/>
  <c r="AE31" i="76"/>
  <c r="AF31" i="76"/>
  <c r="AG31" i="76"/>
  <c r="D32" i="76"/>
  <c r="E32" i="76"/>
  <c r="F32" i="76"/>
  <c r="G32" i="76"/>
  <c r="H32" i="76"/>
  <c r="I32" i="76"/>
  <c r="J32" i="76"/>
  <c r="K32" i="76"/>
  <c r="L32" i="76"/>
  <c r="M32" i="76"/>
  <c r="N32" i="76"/>
  <c r="O32" i="76"/>
  <c r="P32" i="76"/>
  <c r="Q32" i="76"/>
  <c r="R32" i="76"/>
  <c r="S32" i="76"/>
  <c r="T32" i="76"/>
  <c r="U32" i="76"/>
  <c r="V32" i="76"/>
  <c r="W32" i="76"/>
  <c r="X32" i="76"/>
  <c r="Y32" i="76"/>
  <c r="Z32" i="76"/>
  <c r="AA32" i="76"/>
  <c r="AB32" i="76"/>
  <c r="AC32" i="76"/>
  <c r="AD32" i="76"/>
  <c r="AE32" i="76"/>
  <c r="AF32" i="76"/>
  <c r="AG32" i="76"/>
  <c r="D33" i="76"/>
  <c r="E33" i="76"/>
  <c r="F33" i="76"/>
  <c r="G33" i="76"/>
  <c r="H33" i="76"/>
  <c r="I33" i="76"/>
  <c r="J33" i="76"/>
  <c r="K33" i="76"/>
  <c r="L33" i="76"/>
  <c r="M33" i="76"/>
  <c r="N33" i="76"/>
  <c r="O33" i="76"/>
  <c r="P33" i="76"/>
  <c r="Q33" i="76"/>
  <c r="R33" i="76"/>
  <c r="S33" i="76"/>
  <c r="T33" i="76"/>
  <c r="U33" i="76"/>
  <c r="V33" i="76"/>
  <c r="W33" i="76"/>
  <c r="X33" i="76"/>
  <c r="Y33" i="76"/>
  <c r="Z33" i="76"/>
  <c r="AA33" i="76"/>
  <c r="AB33" i="76"/>
  <c r="AC33" i="76"/>
  <c r="AD33" i="76"/>
  <c r="AE33" i="76"/>
  <c r="AF33" i="76"/>
  <c r="AG33" i="76"/>
  <c r="D38" i="76"/>
  <c r="E38" i="76"/>
  <c r="M38" i="76"/>
  <c r="D39" i="76"/>
  <c r="E39" i="76"/>
  <c r="F39" i="76"/>
  <c r="G39" i="76"/>
  <c r="H39" i="76"/>
  <c r="I39" i="76"/>
  <c r="J39" i="76"/>
  <c r="K39" i="76"/>
  <c r="L39" i="76"/>
  <c r="M39" i="76"/>
  <c r="N39" i="76"/>
  <c r="O39" i="76"/>
  <c r="P39" i="76"/>
  <c r="Q39" i="76"/>
  <c r="R39" i="76"/>
  <c r="S39" i="76"/>
  <c r="T39" i="76"/>
  <c r="U39" i="76"/>
  <c r="V39" i="76"/>
  <c r="W39" i="76"/>
  <c r="X39" i="76"/>
  <c r="Y39" i="76"/>
  <c r="Z39" i="76"/>
  <c r="AA39" i="76"/>
  <c r="AB39" i="76"/>
  <c r="AC39" i="76"/>
  <c r="AD39" i="76"/>
  <c r="AE39" i="76"/>
  <c r="AF39" i="76"/>
  <c r="AG39" i="76"/>
  <c r="D40" i="76"/>
  <c r="E40" i="76"/>
  <c r="F40" i="76"/>
  <c r="G40" i="76"/>
  <c r="H40" i="76"/>
  <c r="I40" i="76"/>
  <c r="J40" i="76"/>
  <c r="K40" i="76"/>
  <c r="L40" i="76"/>
  <c r="M40" i="76"/>
  <c r="N40" i="76"/>
  <c r="O40" i="76"/>
  <c r="P40" i="76"/>
  <c r="Q40" i="76"/>
  <c r="R40" i="76"/>
  <c r="S40" i="76"/>
  <c r="T40" i="76"/>
  <c r="U40" i="76"/>
  <c r="V40" i="76"/>
  <c r="W40" i="76"/>
  <c r="X40" i="76"/>
  <c r="Y40" i="76"/>
  <c r="Z40" i="76"/>
  <c r="AA40" i="76"/>
  <c r="AB40" i="76"/>
  <c r="AC40" i="76"/>
  <c r="AD40" i="76"/>
  <c r="AE40" i="76"/>
  <c r="AF40" i="76"/>
  <c r="AG40" i="76"/>
  <c r="C41" i="76"/>
  <c r="D41" i="76"/>
  <c r="AH41" i="76"/>
  <c r="D42" i="76"/>
  <c r="E42" i="76"/>
  <c r="F42" i="76"/>
  <c r="G42" i="76"/>
  <c r="H42" i="76"/>
  <c r="I42" i="76"/>
  <c r="J42" i="76"/>
  <c r="K42" i="76"/>
  <c r="L42" i="76"/>
  <c r="M42" i="76"/>
  <c r="N42" i="76"/>
  <c r="O42" i="76"/>
  <c r="P42" i="76"/>
  <c r="Q42" i="76"/>
  <c r="R42" i="76"/>
  <c r="S42" i="76"/>
  <c r="T42" i="76"/>
  <c r="U42" i="76"/>
  <c r="V42" i="76"/>
  <c r="W42" i="76"/>
  <c r="X42" i="76"/>
  <c r="Y42" i="76"/>
  <c r="Z42" i="76"/>
  <c r="AA42" i="76"/>
  <c r="AB42" i="76"/>
  <c r="AC42" i="76"/>
  <c r="AD42" i="76"/>
  <c r="AE42" i="76"/>
  <c r="AF42" i="76"/>
  <c r="AG42" i="76"/>
  <c r="D43" i="76"/>
  <c r="E43" i="76"/>
  <c r="F43" i="76"/>
  <c r="G43" i="76"/>
  <c r="H43" i="76"/>
  <c r="I43" i="76"/>
  <c r="J43" i="76"/>
  <c r="K43" i="76"/>
  <c r="L43" i="76"/>
  <c r="M43" i="76"/>
  <c r="N43" i="76"/>
  <c r="O43" i="76"/>
  <c r="P43" i="76"/>
  <c r="Q43" i="76"/>
  <c r="R43" i="76"/>
  <c r="S43" i="76"/>
  <c r="T43" i="76"/>
  <c r="U43" i="76"/>
  <c r="V43" i="76"/>
  <c r="W43" i="76"/>
  <c r="X43" i="76"/>
  <c r="Y43" i="76"/>
  <c r="Z43" i="76"/>
  <c r="AA43" i="76"/>
  <c r="AB43" i="76"/>
  <c r="AC43" i="76"/>
  <c r="AD43" i="76"/>
  <c r="AE43" i="76"/>
  <c r="AF43" i="76"/>
  <c r="AG43" i="76"/>
  <c r="D44" i="76"/>
  <c r="E44" i="76"/>
  <c r="F44" i="76"/>
  <c r="G44" i="76"/>
  <c r="H44" i="76"/>
  <c r="I44" i="76"/>
  <c r="J44" i="76"/>
  <c r="K44" i="76"/>
  <c r="L44" i="76"/>
  <c r="M44" i="76"/>
  <c r="N44" i="76"/>
  <c r="O44" i="76"/>
  <c r="P44" i="76"/>
  <c r="Q44" i="76"/>
  <c r="R44" i="76"/>
  <c r="S44" i="76"/>
  <c r="T44" i="76"/>
  <c r="U44" i="76"/>
  <c r="V44" i="76"/>
  <c r="W44" i="76"/>
  <c r="X44" i="76"/>
  <c r="Y44" i="76"/>
  <c r="Z44" i="76"/>
  <c r="AA44" i="76"/>
  <c r="AB44" i="76"/>
  <c r="AC44" i="76"/>
  <c r="AD44" i="76"/>
  <c r="AE44" i="76"/>
  <c r="AF44" i="76"/>
  <c r="AG44" i="76"/>
  <c r="D45" i="76"/>
  <c r="E45" i="76"/>
  <c r="F45" i="76"/>
  <c r="G45" i="76"/>
  <c r="H45" i="76"/>
  <c r="I45" i="76"/>
  <c r="J45" i="76"/>
  <c r="K45" i="76"/>
  <c r="L45" i="76"/>
  <c r="M45" i="76"/>
  <c r="N45" i="76"/>
  <c r="O45" i="76"/>
  <c r="P45" i="76"/>
  <c r="Q45" i="76"/>
  <c r="R45" i="76"/>
  <c r="S45" i="76"/>
  <c r="T45" i="76"/>
  <c r="U45" i="76"/>
  <c r="V45" i="76"/>
  <c r="W45" i="76"/>
  <c r="X45" i="76"/>
  <c r="Y45" i="76"/>
  <c r="Z45" i="76"/>
  <c r="AA45" i="76"/>
  <c r="AB45" i="76"/>
  <c r="AC45" i="76"/>
  <c r="AD45" i="76"/>
  <c r="AE45" i="76"/>
  <c r="AF45" i="76"/>
  <c r="AG45" i="76"/>
  <c r="D46" i="76"/>
  <c r="E46" i="76"/>
  <c r="F46" i="76"/>
  <c r="G46" i="76"/>
  <c r="H46" i="76"/>
  <c r="I46" i="76"/>
  <c r="J46" i="76"/>
  <c r="K46" i="76"/>
  <c r="L46" i="76"/>
  <c r="M46" i="76"/>
  <c r="N46" i="76"/>
  <c r="O46" i="76"/>
  <c r="P46" i="76"/>
  <c r="Q46" i="76"/>
  <c r="R46" i="76"/>
  <c r="S46" i="76"/>
  <c r="T46" i="76"/>
  <c r="U46" i="76"/>
  <c r="V46" i="76"/>
  <c r="W46" i="76"/>
  <c r="X46" i="76"/>
  <c r="Y46" i="76"/>
  <c r="Z46" i="76"/>
  <c r="AA46" i="76"/>
  <c r="AB46" i="76"/>
  <c r="AC46" i="76"/>
  <c r="AD46" i="76"/>
  <c r="AE46" i="76"/>
  <c r="AF46" i="76"/>
  <c r="AG46" i="76"/>
  <c r="D47" i="76"/>
  <c r="E47" i="76"/>
  <c r="F47" i="76"/>
  <c r="G47" i="76"/>
  <c r="H47" i="76"/>
  <c r="I47" i="76"/>
  <c r="J47" i="76"/>
  <c r="K47" i="76"/>
  <c r="L47" i="76"/>
  <c r="M47" i="76"/>
  <c r="N47" i="76"/>
  <c r="O47" i="76"/>
  <c r="P47" i="76"/>
  <c r="Q47" i="76"/>
  <c r="R47" i="76"/>
  <c r="S47" i="76"/>
  <c r="T47" i="76"/>
  <c r="U47" i="76"/>
  <c r="V47" i="76"/>
  <c r="W47" i="76"/>
  <c r="X47" i="76"/>
  <c r="Y47" i="76"/>
  <c r="Z47" i="76"/>
  <c r="AA47" i="76"/>
  <c r="AB47" i="76"/>
  <c r="AC47" i="76"/>
  <c r="AD47" i="76"/>
  <c r="AE47" i="76"/>
  <c r="AF47" i="76"/>
  <c r="AG47" i="76"/>
  <c r="D48" i="76"/>
  <c r="D49" i="76"/>
  <c r="E49" i="76"/>
  <c r="F49" i="76"/>
  <c r="G49" i="76"/>
  <c r="H49" i="76"/>
  <c r="I49" i="76"/>
  <c r="J49" i="76"/>
  <c r="K49" i="76"/>
  <c r="L49" i="76"/>
  <c r="M49" i="76"/>
  <c r="N49" i="76"/>
  <c r="O49" i="76"/>
  <c r="P49" i="76"/>
  <c r="Q49" i="76"/>
  <c r="R49" i="76"/>
  <c r="S49" i="76"/>
  <c r="T49" i="76"/>
  <c r="U49" i="76"/>
  <c r="V49" i="76"/>
  <c r="W49" i="76"/>
  <c r="X49" i="76"/>
  <c r="Y49" i="76"/>
  <c r="Z49" i="76"/>
  <c r="AA49" i="76"/>
  <c r="AB49" i="76"/>
  <c r="AC49" i="76"/>
  <c r="AD49" i="76"/>
  <c r="AE49" i="76"/>
  <c r="AF49" i="76"/>
  <c r="AG49" i="76"/>
  <c r="D50" i="76"/>
  <c r="D51" i="76"/>
  <c r="E51" i="76"/>
  <c r="F51" i="76"/>
  <c r="G51" i="76"/>
  <c r="H51" i="76"/>
  <c r="I51" i="76"/>
  <c r="J51" i="76"/>
  <c r="K51" i="76"/>
  <c r="L51" i="76"/>
  <c r="M51" i="76"/>
  <c r="N51" i="76"/>
  <c r="O51" i="76"/>
  <c r="P51" i="76"/>
  <c r="Q51" i="76"/>
  <c r="R51" i="76"/>
  <c r="S51" i="76"/>
  <c r="T51" i="76"/>
  <c r="U51" i="76"/>
  <c r="V51" i="76"/>
  <c r="W51" i="76"/>
  <c r="X51" i="76"/>
  <c r="Y51" i="76"/>
  <c r="Z51" i="76"/>
  <c r="AA51" i="76"/>
  <c r="AB51" i="76"/>
  <c r="AC51" i="76"/>
  <c r="AD51" i="76"/>
  <c r="AE51" i="76"/>
  <c r="AF51" i="76"/>
  <c r="AG51" i="76"/>
  <c r="D52" i="76"/>
  <c r="E52" i="76"/>
  <c r="F52" i="76"/>
  <c r="G52" i="76"/>
  <c r="H52" i="76"/>
  <c r="I52" i="76"/>
  <c r="J52" i="76"/>
  <c r="K52" i="76"/>
  <c r="L52" i="76"/>
  <c r="M52" i="76"/>
  <c r="N52" i="76"/>
  <c r="O52" i="76"/>
  <c r="P52" i="76"/>
  <c r="Q52" i="76"/>
  <c r="R52" i="76"/>
  <c r="S52" i="76"/>
  <c r="T52" i="76"/>
  <c r="U52" i="76"/>
  <c r="V52" i="76"/>
  <c r="W52" i="76"/>
  <c r="X52" i="76"/>
  <c r="Y52" i="76"/>
  <c r="Z52" i="76"/>
  <c r="AA52" i="76"/>
  <c r="AB52" i="76"/>
  <c r="AC52" i="76"/>
  <c r="AD52" i="76"/>
  <c r="AE52" i="76"/>
  <c r="AF52" i="76"/>
  <c r="AG52" i="76"/>
  <c r="D53" i="76"/>
  <c r="E53" i="76"/>
  <c r="F53" i="76"/>
  <c r="G53" i="76"/>
  <c r="H53" i="76"/>
  <c r="I53" i="76"/>
  <c r="J53" i="76"/>
  <c r="K53" i="76"/>
  <c r="L53" i="76"/>
  <c r="M53" i="76"/>
  <c r="N53" i="76"/>
  <c r="O53" i="76"/>
  <c r="P53" i="76"/>
  <c r="Q53" i="76"/>
  <c r="R53" i="76"/>
  <c r="S53" i="76"/>
  <c r="T53" i="76"/>
  <c r="U53" i="76"/>
  <c r="V53" i="76"/>
  <c r="W53" i="76"/>
  <c r="X53" i="76"/>
  <c r="Y53" i="76"/>
  <c r="Z53" i="76"/>
  <c r="AA53" i="76"/>
  <c r="AB53" i="76"/>
  <c r="AC53" i="76"/>
  <c r="AD53" i="76"/>
  <c r="AE53" i="76"/>
  <c r="AF53" i="76"/>
  <c r="AG53" i="76"/>
  <c r="D54" i="76"/>
  <c r="E54" i="76"/>
  <c r="F54" i="76"/>
  <c r="G54" i="76"/>
  <c r="H54" i="76"/>
  <c r="I54" i="76"/>
  <c r="J54" i="76"/>
  <c r="K54" i="76"/>
  <c r="L54" i="76"/>
  <c r="M54" i="76"/>
  <c r="N54" i="76"/>
  <c r="O54" i="76"/>
  <c r="P54" i="76"/>
  <c r="Q54" i="76"/>
  <c r="R54" i="76"/>
  <c r="S54" i="76"/>
  <c r="T54" i="76"/>
  <c r="U54" i="76"/>
  <c r="V54" i="76"/>
  <c r="W54" i="76"/>
  <c r="X54" i="76"/>
  <c r="Y54" i="76"/>
  <c r="Z54" i="76"/>
  <c r="AA54" i="76"/>
  <c r="AB54" i="76"/>
  <c r="AC54" i="76"/>
  <c r="AD54" i="76"/>
  <c r="AE54" i="76"/>
  <c r="AF54" i="76"/>
  <c r="AG54" i="76"/>
  <c r="D55" i="76"/>
  <c r="E55" i="76"/>
  <c r="F55" i="76"/>
  <c r="G55" i="76"/>
  <c r="H55" i="76"/>
  <c r="I55" i="76"/>
  <c r="J55" i="76"/>
  <c r="K55" i="76"/>
  <c r="L55" i="76"/>
  <c r="M55" i="76"/>
  <c r="N55" i="76"/>
  <c r="O55" i="76"/>
  <c r="P55" i="76"/>
  <c r="Q55" i="76"/>
  <c r="R55" i="76"/>
  <c r="S55" i="76"/>
  <c r="T55" i="76"/>
  <c r="U55" i="76"/>
  <c r="V55" i="76"/>
  <c r="W55" i="76"/>
  <c r="X55" i="76"/>
  <c r="Y55" i="76"/>
  <c r="Z55" i="76"/>
  <c r="AA55" i="76"/>
  <c r="AB55" i="76"/>
  <c r="AC55" i="76"/>
  <c r="AD55" i="76"/>
  <c r="AE55" i="76"/>
  <c r="AF55" i="76"/>
  <c r="AG55" i="76"/>
  <c r="D56" i="76"/>
  <c r="E56" i="76"/>
  <c r="F56" i="76"/>
  <c r="G56" i="76"/>
  <c r="H56" i="76"/>
  <c r="I56" i="76"/>
  <c r="J56" i="76"/>
  <c r="K56" i="76"/>
  <c r="L56" i="76"/>
  <c r="M56" i="76"/>
  <c r="N56" i="76"/>
  <c r="O56" i="76"/>
  <c r="P56" i="76"/>
  <c r="Q56" i="76"/>
  <c r="R56" i="76"/>
  <c r="S56" i="76"/>
  <c r="T56" i="76"/>
  <c r="U56" i="76"/>
  <c r="V56" i="76"/>
  <c r="W56" i="76"/>
  <c r="X56" i="76"/>
  <c r="Y56" i="76"/>
  <c r="Z56" i="76"/>
  <c r="AA56" i="76"/>
  <c r="AB56" i="76"/>
  <c r="AC56" i="76"/>
  <c r="AD56" i="76"/>
  <c r="AE56" i="76"/>
  <c r="AF56" i="76"/>
  <c r="AG56" i="76"/>
  <c r="D57" i="76"/>
  <c r="E57" i="76"/>
  <c r="F57" i="76"/>
  <c r="G57" i="76"/>
  <c r="H57" i="76"/>
  <c r="I57" i="76"/>
  <c r="J57" i="76"/>
  <c r="K57" i="76"/>
  <c r="L57" i="76"/>
  <c r="M57" i="76"/>
  <c r="N57" i="76"/>
  <c r="O57" i="76"/>
  <c r="P57" i="76"/>
  <c r="Q57" i="76"/>
  <c r="R57" i="76"/>
  <c r="S57" i="76"/>
  <c r="T57" i="76"/>
  <c r="U57" i="76"/>
  <c r="V57" i="76"/>
  <c r="W57" i="76"/>
  <c r="X57" i="76"/>
  <c r="Y57" i="76"/>
  <c r="Z57" i="76"/>
  <c r="AA57" i="76"/>
  <c r="AB57" i="76"/>
  <c r="AC57" i="76"/>
  <c r="AD57" i="76"/>
  <c r="AE57" i="76"/>
  <c r="AF57" i="76"/>
  <c r="AG57" i="76"/>
  <c r="D58" i="76"/>
  <c r="E58" i="76"/>
  <c r="F58" i="76"/>
  <c r="G58" i="76"/>
  <c r="H58" i="76"/>
  <c r="I58" i="76"/>
  <c r="J58" i="76"/>
  <c r="K58" i="76"/>
  <c r="L58" i="76"/>
  <c r="M58" i="76"/>
  <c r="N58" i="76"/>
  <c r="O58" i="76"/>
  <c r="P58" i="76"/>
  <c r="Q58" i="76"/>
  <c r="R58" i="76"/>
  <c r="S58" i="76"/>
  <c r="T58" i="76"/>
  <c r="U58" i="76"/>
  <c r="V58" i="76"/>
  <c r="W58" i="76"/>
  <c r="X58" i="76"/>
  <c r="Y58" i="76"/>
  <c r="Z58" i="76"/>
  <c r="AA58" i="76"/>
  <c r="AB58" i="76"/>
  <c r="AC58" i="76"/>
  <c r="AD58" i="76"/>
  <c r="AE58" i="76"/>
  <c r="AF58" i="76"/>
  <c r="AG58" i="76"/>
  <c r="D59" i="76"/>
  <c r="E59" i="76"/>
  <c r="F59" i="76"/>
  <c r="G59" i="76"/>
  <c r="H59" i="76"/>
  <c r="I59" i="76"/>
  <c r="J59" i="76"/>
  <c r="K59" i="76"/>
  <c r="L59" i="76"/>
  <c r="M59" i="76"/>
  <c r="N59" i="76"/>
  <c r="O59" i="76"/>
  <c r="P59" i="76"/>
  <c r="Q59" i="76"/>
  <c r="R59" i="76"/>
  <c r="S59" i="76"/>
  <c r="T59" i="76"/>
  <c r="U59" i="76"/>
  <c r="V59" i="76"/>
  <c r="W59" i="76"/>
  <c r="X59" i="76"/>
  <c r="Y59" i="76"/>
  <c r="Z59" i="76"/>
  <c r="AA59" i="76"/>
  <c r="AB59" i="76"/>
  <c r="AC59" i="76"/>
  <c r="AD59" i="76"/>
  <c r="AE59" i="76"/>
  <c r="AF59" i="76"/>
  <c r="AG59" i="76"/>
  <c r="D60" i="76"/>
  <c r="E60" i="76"/>
  <c r="F60" i="76"/>
  <c r="G60" i="76"/>
  <c r="H60" i="76"/>
  <c r="I60" i="76"/>
  <c r="J60" i="76"/>
  <c r="K60" i="76"/>
  <c r="L60" i="76"/>
  <c r="M60" i="76"/>
  <c r="N60" i="76"/>
  <c r="O60" i="76"/>
  <c r="P60" i="76"/>
  <c r="Q60" i="76"/>
  <c r="R60" i="76"/>
  <c r="S60" i="76"/>
  <c r="T60" i="76"/>
  <c r="U60" i="76"/>
  <c r="V60" i="76"/>
  <c r="W60" i="76"/>
  <c r="X60" i="76"/>
  <c r="Y60" i="76"/>
  <c r="Z60" i="76"/>
  <c r="AA60" i="76"/>
  <c r="AB60" i="76"/>
  <c r="AC60" i="76"/>
  <c r="AD60" i="76"/>
  <c r="AE60" i="76"/>
  <c r="AF60" i="76"/>
  <c r="AG60" i="76"/>
  <c r="D61" i="76"/>
  <c r="E61" i="76"/>
  <c r="F61" i="76"/>
  <c r="G61" i="76"/>
  <c r="H61" i="76"/>
  <c r="I61" i="76"/>
  <c r="J61" i="76"/>
  <c r="K61" i="76"/>
  <c r="L61" i="76"/>
  <c r="M61" i="76"/>
  <c r="N61" i="76"/>
  <c r="O61" i="76"/>
  <c r="P61" i="76"/>
  <c r="Q61" i="76"/>
  <c r="R61" i="76"/>
  <c r="S61" i="76"/>
  <c r="T61" i="76"/>
  <c r="U61" i="76"/>
  <c r="V61" i="76"/>
  <c r="W61" i="76"/>
  <c r="X61" i="76"/>
  <c r="Y61" i="76"/>
  <c r="Z61" i="76"/>
  <c r="AA61" i="76"/>
  <c r="AB61" i="76"/>
  <c r="AC61" i="76"/>
  <c r="AD61" i="76"/>
  <c r="AE61" i="76"/>
  <c r="AF61" i="76"/>
  <c r="AG61" i="76"/>
  <c r="D62" i="76"/>
  <c r="E62" i="76"/>
  <c r="F62" i="76"/>
  <c r="G62" i="76"/>
  <c r="H62" i="76"/>
  <c r="I62" i="76"/>
  <c r="J62" i="76"/>
  <c r="K62" i="76"/>
  <c r="L62" i="76"/>
  <c r="M62" i="76"/>
  <c r="N62" i="76"/>
  <c r="O62" i="76"/>
  <c r="P62" i="76"/>
  <c r="Q62" i="76"/>
  <c r="R62" i="76"/>
  <c r="S62" i="76"/>
  <c r="T62" i="76"/>
  <c r="U62" i="76"/>
  <c r="V62" i="76"/>
  <c r="W62" i="76"/>
  <c r="X62" i="76"/>
  <c r="Y62" i="76"/>
  <c r="Z62" i="76"/>
  <c r="AA62" i="76"/>
  <c r="AB62" i="76"/>
  <c r="AC62" i="76"/>
  <c r="AD62" i="76"/>
  <c r="AE62" i="76"/>
  <c r="AF62" i="76"/>
  <c r="AG62" i="76"/>
  <c r="D63" i="76"/>
  <c r="E63" i="76"/>
  <c r="F63" i="76"/>
  <c r="G63" i="76"/>
  <c r="H63" i="76"/>
  <c r="I63" i="76"/>
  <c r="J63" i="76"/>
  <c r="K63" i="76"/>
  <c r="L63" i="76"/>
  <c r="M63" i="76"/>
  <c r="N63" i="76"/>
  <c r="O63" i="76"/>
  <c r="P63" i="76"/>
  <c r="Q63" i="76"/>
  <c r="R63" i="76"/>
  <c r="S63" i="76"/>
  <c r="T63" i="76"/>
  <c r="U63" i="76"/>
  <c r="V63" i="76"/>
  <c r="W63" i="76"/>
  <c r="X63" i="76"/>
  <c r="Y63" i="76"/>
  <c r="Z63" i="76"/>
  <c r="AA63" i="76"/>
  <c r="AB63" i="76"/>
  <c r="AC63" i="76"/>
  <c r="AD63" i="76"/>
  <c r="AE63" i="76"/>
  <c r="AF63" i="76"/>
  <c r="AG63" i="76"/>
  <c r="E68" i="76"/>
  <c r="M68" i="76"/>
  <c r="D69" i="76"/>
  <c r="E69" i="76"/>
  <c r="F69" i="76"/>
  <c r="G69" i="76"/>
  <c r="H69" i="76"/>
  <c r="I69" i="76"/>
  <c r="J69" i="76"/>
  <c r="K69" i="76"/>
  <c r="L69" i="76"/>
  <c r="M69" i="76"/>
  <c r="N69" i="76"/>
  <c r="O69" i="76"/>
  <c r="P69" i="76"/>
  <c r="Q69" i="76"/>
  <c r="R69" i="76"/>
  <c r="S69" i="76"/>
  <c r="T69" i="76"/>
  <c r="U69" i="76"/>
  <c r="V69" i="76"/>
  <c r="W69" i="76"/>
  <c r="X69" i="76"/>
  <c r="Y69" i="76"/>
  <c r="Z69" i="76"/>
  <c r="AA69" i="76"/>
  <c r="AB69" i="76"/>
  <c r="AC69" i="76"/>
  <c r="AD69" i="76"/>
  <c r="AE69" i="76"/>
  <c r="AF69" i="76"/>
  <c r="AG69" i="76"/>
  <c r="D70" i="76"/>
  <c r="E70" i="76"/>
  <c r="F70" i="76"/>
  <c r="G70" i="76"/>
  <c r="H70" i="76"/>
  <c r="I70" i="76"/>
  <c r="J70" i="76"/>
  <c r="K70" i="76"/>
  <c r="L70" i="76"/>
  <c r="M70" i="76"/>
  <c r="N70" i="76"/>
  <c r="O70" i="76"/>
  <c r="P70" i="76"/>
  <c r="Q70" i="76"/>
  <c r="R70" i="76"/>
  <c r="S70" i="76"/>
  <c r="T70" i="76"/>
  <c r="U70" i="76"/>
  <c r="V70" i="76"/>
  <c r="W70" i="76"/>
  <c r="X70" i="76"/>
  <c r="Y70" i="76"/>
  <c r="Z70" i="76"/>
  <c r="AA70" i="76"/>
  <c r="AB70" i="76"/>
  <c r="AC70" i="76"/>
  <c r="AD70" i="76"/>
  <c r="AE70" i="76"/>
  <c r="AF70" i="76"/>
  <c r="AG70" i="76"/>
  <c r="C71" i="76"/>
  <c r="D71" i="76"/>
  <c r="E71" i="76"/>
  <c r="F71" i="76"/>
  <c r="G71" i="76"/>
  <c r="H71" i="76"/>
  <c r="I71" i="76"/>
  <c r="J71" i="76"/>
  <c r="K71" i="76"/>
  <c r="L71" i="76"/>
  <c r="M71" i="76"/>
  <c r="N71" i="76"/>
  <c r="O71" i="76"/>
  <c r="P71" i="76"/>
  <c r="Q71" i="76"/>
  <c r="R71" i="76"/>
  <c r="S71" i="76"/>
  <c r="T71" i="76"/>
  <c r="U71" i="76"/>
  <c r="V71" i="76"/>
  <c r="W71" i="76"/>
  <c r="X71" i="76"/>
  <c r="Y71" i="76"/>
  <c r="Z71" i="76"/>
  <c r="AA71" i="76"/>
  <c r="AB71" i="76"/>
  <c r="AC71" i="76"/>
  <c r="AD71" i="76"/>
  <c r="AE71" i="76"/>
  <c r="AF71" i="76"/>
  <c r="AG71" i="76"/>
  <c r="AH71" i="76"/>
  <c r="D72" i="76"/>
  <c r="E72" i="76"/>
  <c r="F72" i="76"/>
  <c r="G72" i="76"/>
  <c r="H72" i="76"/>
  <c r="I72" i="76"/>
  <c r="J72" i="76"/>
  <c r="K72" i="76"/>
  <c r="L72" i="76"/>
  <c r="M72" i="76"/>
  <c r="N72" i="76"/>
  <c r="O72" i="76"/>
  <c r="P72" i="76"/>
  <c r="Q72" i="76"/>
  <c r="R72" i="76"/>
  <c r="S72" i="76"/>
  <c r="T72" i="76"/>
  <c r="U72" i="76"/>
  <c r="V72" i="76"/>
  <c r="W72" i="76"/>
  <c r="X72" i="76"/>
  <c r="Y72" i="76"/>
  <c r="Z72" i="76"/>
  <c r="AA72" i="76"/>
  <c r="AB72" i="76"/>
  <c r="AC72" i="76"/>
  <c r="AD72" i="76"/>
  <c r="AE72" i="76"/>
  <c r="AF72" i="76"/>
  <c r="AG72" i="76"/>
  <c r="D73" i="76"/>
  <c r="E73" i="76"/>
  <c r="F73" i="76"/>
  <c r="G73" i="76"/>
  <c r="H73" i="76"/>
  <c r="I73" i="76"/>
  <c r="J73" i="76"/>
  <c r="K73" i="76"/>
  <c r="L73" i="76"/>
  <c r="M73" i="76"/>
  <c r="N73" i="76"/>
  <c r="O73" i="76"/>
  <c r="P73" i="76"/>
  <c r="Q73" i="76"/>
  <c r="R73" i="76"/>
  <c r="S73" i="76"/>
  <c r="T73" i="76"/>
  <c r="U73" i="76"/>
  <c r="V73" i="76"/>
  <c r="W73" i="76"/>
  <c r="X73" i="76"/>
  <c r="Y73" i="76"/>
  <c r="Z73" i="76"/>
  <c r="AA73" i="76"/>
  <c r="AB73" i="76"/>
  <c r="AC73" i="76"/>
  <c r="AD73" i="76"/>
  <c r="AE73" i="76"/>
  <c r="AF73" i="76"/>
  <c r="AG73" i="76"/>
  <c r="D74" i="76"/>
  <c r="E74" i="76"/>
  <c r="F74" i="76"/>
  <c r="G74" i="76"/>
  <c r="H74" i="76"/>
  <c r="I74" i="76"/>
  <c r="J74" i="76"/>
  <c r="K74" i="76"/>
  <c r="L74" i="76"/>
  <c r="M74" i="76"/>
  <c r="N74" i="76"/>
  <c r="O74" i="76"/>
  <c r="P74" i="76"/>
  <c r="Q74" i="76"/>
  <c r="R74" i="76"/>
  <c r="S74" i="76"/>
  <c r="T74" i="76"/>
  <c r="U74" i="76"/>
  <c r="V74" i="76"/>
  <c r="W74" i="76"/>
  <c r="X74" i="76"/>
  <c r="Y74" i="76"/>
  <c r="Z74" i="76"/>
  <c r="AA74" i="76"/>
  <c r="AB74" i="76"/>
  <c r="AC74" i="76"/>
  <c r="AD74" i="76"/>
  <c r="AE74" i="76"/>
  <c r="AF74" i="76"/>
  <c r="AG74" i="76"/>
  <c r="D75" i="76"/>
  <c r="E75" i="76"/>
  <c r="F75" i="76"/>
  <c r="G75" i="76"/>
  <c r="H75" i="76"/>
  <c r="I75" i="76"/>
  <c r="J75" i="76"/>
  <c r="K75" i="76"/>
  <c r="L75" i="76"/>
  <c r="M75" i="76"/>
  <c r="N75" i="76"/>
  <c r="O75" i="76"/>
  <c r="P75" i="76"/>
  <c r="Q75" i="76"/>
  <c r="R75" i="76"/>
  <c r="S75" i="76"/>
  <c r="T75" i="76"/>
  <c r="U75" i="76"/>
  <c r="V75" i="76"/>
  <c r="W75" i="76"/>
  <c r="X75" i="76"/>
  <c r="Y75" i="76"/>
  <c r="Z75" i="76"/>
  <c r="AA75" i="76"/>
  <c r="AB75" i="76"/>
  <c r="AC75" i="76"/>
  <c r="AD75" i="76"/>
  <c r="AE75" i="76"/>
  <c r="AF75" i="76"/>
  <c r="AG75" i="76"/>
  <c r="D76" i="76"/>
  <c r="E76" i="76"/>
  <c r="F76" i="76"/>
  <c r="G76" i="76"/>
  <c r="H76" i="76"/>
  <c r="I76" i="76"/>
  <c r="J76" i="76"/>
  <c r="K76" i="76"/>
  <c r="L76" i="76"/>
  <c r="M76" i="76"/>
  <c r="N76" i="76"/>
  <c r="O76" i="76"/>
  <c r="P76" i="76"/>
  <c r="Q76" i="76"/>
  <c r="R76" i="76"/>
  <c r="S76" i="76"/>
  <c r="T76" i="76"/>
  <c r="U76" i="76"/>
  <c r="V76" i="76"/>
  <c r="W76" i="76"/>
  <c r="X76" i="76"/>
  <c r="Y76" i="76"/>
  <c r="Z76" i="76"/>
  <c r="AA76" i="76"/>
  <c r="AB76" i="76"/>
  <c r="AC76" i="76"/>
  <c r="AD76" i="76"/>
  <c r="AE76" i="76"/>
  <c r="AF76" i="76"/>
  <c r="AG76" i="76"/>
  <c r="D77" i="76"/>
  <c r="E77" i="76"/>
  <c r="F77" i="76"/>
  <c r="G77" i="76"/>
  <c r="H77" i="76"/>
  <c r="I77" i="76"/>
  <c r="J77" i="76"/>
  <c r="K77" i="76"/>
  <c r="L77" i="76"/>
  <c r="M77" i="76"/>
  <c r="N77" i="76"/>
  <c r="O77" i="76"/>
  <c r="P77" i="76"/>
  <c r="Q77" i="76"/>
  <c r="R77" i="76"/>
  <c r="S77" i="76"/>
  <c r="T77" i="76"/>
  <c r="U77" i="76"/>
  <c r="V77" i="76"/>
  <c r="W77" i="76"/>
  <c r="X77" i="76"/>
  <c r="Y77" i="76"/>
  <c r="Z77" i="76"/>
  <c r="AA77" i="76"/>
  <c r="AB77" i="76"/>
  <c r="AC77" i="76"/>
  <c r="AD77" i="76"/>
  <c r="AE77" i="76"/>
  <c r="AF77" i="76"/>
  <c r="AG77" i="76"/>
  <c r="D78" i="76"/>
  <c r="E78" i="76"/>
  <c r="F78" i="76"/>
  <c r="G78" i="76"/>
  <c r="H78" i="76"/>
  <c r="I78" i="76"/>
  <c r="J78" i="76"/>
  <c r="K78" i="76"/>
  <c r="L78" i="76"/>
  <c r="M78" i="76"/>
  <c r="N78" i="76"/>
  <c r="O78" i="76"/>
  <c r="P78" i="76"/>
  <c r="Q78" i="76"/>
  <c r="R78" i="76"/>
  <c r="S78" i="76"/>
  <c r="T78" i="76"/>
  <c r="U78" i="76"/>
  <c r="V78" i="76"/>
  <c r="W78" i="76"/>
  <c r="X78" i="76"/>
  <c r="Y78" i="76"/>
  <c r="Z78" i="76"/>
  <c r="AA78" i="76"/>
  <c r="AB78" i="76"/>
  <c r="AC78" i="76"/>
  <c r="AD78" i="76"/>
  <c r="AE78" i="76"/>
  <c r="AF78" i="76"/>
  <c r="AG78" i="76"/>
  <c r="D79" i="76"/>
  <c r="E79" i="76"/>
  <c r="F79" i="76"/>
  <c r="G79" i="76"/>
  <c r="H79" i="76"/>
  <c r="I79" i="76"/>
  <c r="J79" i="76"/>
  <c r="K79" i="76"/>
  <c r="L79" i="76"/>
  <c r="M79" i="76"/>
  <c r="N79" i="76"/>
  <c r="O79" i="76"/>
  <c r="P79" i="76"/>
  <c r="Q79" i="76"/>
  <c r="R79" i="76"/>
  <c r="S79" i="76"/>
  <c r="T79" i="76"/>
  <c r="U79" i="76"/>
  <c r="V79" i="76"/>
  <c r="W79" i="76"/>
  <c r="X79" i="76"/>
  <c r="Y79" i="76"/>
  <c r="Z79" i="76"/>
  <c r="AA79" i="76"/>
  <c r="AB79" i="76"/>
  <c r="AC79" i="76"/>
  <c r="AD79" i="76"/>
  <c r="AE79" i="76"/>
  <c r="AF79" i="76"/>
  <c r="AG79" i="76"/>
  <c r="D80" i="76"/>
  <c r="E80" i="76"/>
  <c r="F80" i="76"/>
  <c r="G80" i="76"/>
  <c r="H80" i="76"/>
  <c r="I80" i="76"/>
  <c r="J80" i="76"/>
  <c r="K80" i="76"/>
  <c r="L80" i="76"/>
  <c r="M80" i="76"/>
  <c r="N80" i="76"/>
  <c r="O80" i="76"/>
  <c r="P80" i="76"/>
  <c r="Q80" i="76"/>
  <c r="R80" i="76"/>
  <c r="S80" i="76"/>
  <c r="T80" i="76"/>
  <c r="U80" i="76"/>
  <c r="V80" i="76"/>
  <c r="W80" i="76"/>
  <c r="X80" i="76"/>
  <c r="Y80" i="76"/>
  <c r="Z80" i="76"/>
  <c r="AA80" i="76"/>
  <c r="AB80" i="76"/>
  <c r="AC80" i="76"/>
  <c r="AD80" i="76"/>
  <c r="AE80" i="76"/>
  <c r="AF80" i="76"/>
  <c r="AG80" i="76"/>
  <c r="D81" i="76"/>
  <c r="E81" i="76"/>
  <c r="F81" i="76"/>
  <c r="G81" i="76"/>
  <c r="H81" i="76"/>
  <c r="I81" i="76"/>
  <c r="J81" i="76"/>
  <c r="K81" i="76"/>
  <c r="L81" i="76"/>
  <c r="M81" i="76"/>
  <c r="N81" i="76"/>
  <c r="O81" i="76"/>
  <c r="P81" i="76"/>
  <c r="Q81" i="76"/>
  <c r="R81" i="76"/>
  <c r="S81" i="76"/>
  <c r="T81" i="76"/>
  <c r="U81" i="76"/>
  <c r="V81" i="76"/>
  <c r="W81" i="76"/>
  <c r="X81" i="76"/>
  <c r="Y81" i="76"/>
  <c r="Z81" i="76"/>
  <c r="AA81" i="76"/>
  <c r="AB81" i="76"/>
  <c r="AC81" i="76"/>
  <c r="AD81" i="76"/>
  <c r="AE81" i="76"/>
  <c r="AF81" i="76"/>
  <c r="AG81" i="76"/>
  <c r="D82" i="76"/>
  <c r="E82" i="76"/>
  <c r="F82" i="76"/>
  <c r="G82" i="76"/>
  <c r="H82" i="76"/>
  <c r="I82" i="76"/>
  <c r="J82" i="76"/>
  <c r="K82" i="76"/>
  <c r="L82" i="76"/>
  <c r="M82" i="76"/>
  <c r="N82" i="76"/>
  <c r="O82" i="76"/>
  <c r="P82" i="76"/>
  <c r="Q82" i="76"/>
  <c r="R82" i="76"/>
  <c r="S82" i="76"/>
  <c r="T82" i="76"/>
  <c r="U82" i="76"/>
  <c r="V82" i="76"/>
  <c r="W82" i="76"/>
  <c r="X82" i="76"/>
  <c r="Y82" i="76"/>
  <c r="Z82" i="76"/>
  <c r="AA82" i="76"/>
  <c r="AB82" i="76"/>
  <c r="AC82" i="76"/>
  <c r="AD82" i="76"/>
  <c r="AE82" i="76"/>
  <c r="AF82" i="76"/>
  <c r="AG82" i="76"/>
  <c r="D83" i="76"/>
  <c r="E83" i="76"/>
  <c r="F83" i="76"/>
  <c r="G83" i="76"/>
  <c r="H83" i="76"/>
  <c r="I83" i="76"/>
  <c r="J83" i="76"/>
  <c r="K83" i="76"/>
  <c r="L83" i="76"/>
  <c r="M83" i="76"/>
  <c r="N83" i="76"/>
  <c r="O83" i="76"/>
  <c r="P83" i="76"/>
  <c r="Q83" i="76"/>
  <c r="R83" i="76"/>
  <c r="S83" i="76"/>
  <c r="T83" i="76"/>
  <c r="U83" i="76"/>
  <c r="V83" i="76"/>
  <c r="W83" i="76"/>
  <c r="X83" i="76"/>
  <c r="Y83" i="76"/>
  <c r="Z83" i="76"/>
  <c r="AA83" i="76"/>
  <c r="AB83" i="76"/>
  <c r="AC83" i="76"/>
  <c r="AD83" i="76"/>
  <c r="AE83" i="76"/>
  <c r="AF83" i="76"/>
  <c r="AG83" i="76"/>
  <c r="D84" i="76"/>
  <c r="E84" i="76"/>
  <c r="F84" i="76"/>
  <c r="G84" i="76"/>
  <c r="H84" i="76"/>
  <c r="I84" i="76"/>
  <c r="J84" i="76"/>
  <c r="K84" i="76"/>
  <c r="L84" i="76"/>
  <c r="M84" i="76"/>
  <c r="N84" i="76"/>
  <c r="O84" i="76"/>
  <c r="P84" i="76"/>
  <c r="Q84" i="76"/>
  <c r="R84" i="76"/>
  <c r="S84" i="76"/>
  <c r="T84" i="76"/>
  <c r="U84" i="76"/>
  <c r="V84" i="76"/>
  <c r="W84" i="76"/>
  <c r="X84" i="76"/>
  <c r="Y84" i="76"/>
  <c r="Z84" i="76"/>
  <c r="AA84" i="76"/>
  <c r="AB84" i="76"/>
  <c r="AC84" i="76"/>
  <c r="AD84" i="76"/>
  <c r="AE84" i="76"/>
  <c r="AF84" i="76"/>
  <c r="AG84" i="76"/>
  <c r="D85" i="76"/>
  <c r="E85" i="76"/>
  <c r="F85" i="76"/>
  <c r="G85" i="76"/>
  <c r="H85" i="76"/>
  <c r="I85" i="76"/>
  <c r="J85" i="76"/>
  <c r="K85" i="76"/>
  <c r="L85" i="76"/>
  <c r="M85" i="76"/>
  <c r="N85" i="76"/>
  <c r="O85" i="76"/>
  <c r="P85" i="76"/>
  <c r="Q85" i="76"/>
  <c r="R85" i="76"/>
  <c r="S85" i="76"/>
  <c r="T85" i="76"/>
  <c r="U85" i="76"/>
  <c r="V85" i="76"/>
  <c r="W85" i="76"/>
  <c r="X85" i="76"/>
  <c r="Y85" i="76"/>
  <c r="Z85" i="76"/>
  <c r="AA85" i="76"/>
  <c r="AB85" i="76"/>
  <c r="AC85" i="76"/>
  <c r="AD85" i="76"/>
  <c r="AE85" i="76"/>
  <c r="AF85" i="76"/>
  <c r="AG85" i="76"/>
  <c r="D86" i="76"/>
  <c r="E86" i="76"/>
  <c r="F86" i="76"/>
  <c r="G86" i="76"/>
  <c r="H86" i="76"/>
  <c r="I86" i="76"/>
  <c r="J86" i="76"/>
  <c r="K86" i="76"/>
  <c r="L86" i="76"/>
  <c r="M86" i="76"/>
  <c r="N86" i="76"/>
  <c r="O86" i="76"/>
  <c r="P86" i="76"/>
  <c r="Q86" i="76"/>
  <c r="R86" i="76"/>
  <c r="S86" i="76"/>
  <c r="T86" i="76"/>
  <c r="U86" i="76"/>
  <c r="V86" i="76"/>
  <c r="W86" i="76"/>
  <c r="X86" i="76"/>
  <c r="Y86" i="76"/>
  <c r="Z86" i="76"/>
  <c r="AA86" i="76"/>
  <c r="AB86" i="76"/>
  <c r="AC86" i="76"/>
  <c r="AD86" i="76"/>
  <c r="AE86" i="76"/>
  <c r="AF86" i="76"/>
  <c r="AG86" i="76"/>
  <c r="D87" i="76"/>
  <c r="E87" i="76"/>
  <c r="F87" i="76"/>
  <c r="G87" i="76"/>
  <c r="H87" i="76"/>
  <c r="I87" i="76"/>
  <c r="J87" i="76"/>
  <c r="K87" i="76"/>
  <c r="L87" i="76"/>
  <c r="M87" i="76"/>
  <c r="N87" i="76"/>
  <c r="O87" i="76"/>
  <c r="P87" i="76"/>
  <c r="Q87" i="76"/>
  <c r="R87" i="76"/>
  <c r="S87" i="76"/>
  <c r="T87" i="76"/>
  <c r="U87" i="76"/>
  <c r="V87" i="76"/>
  <c r="W87" i="76"/>
  <c r="X87" i="76"/>
  <c r="Y87" i="76"/>
  <c r="Z87" i="76"/>
  <c r="AA87" i="76"/>
  <c r="AB87" i="76"/>
  <c r="AC87" i="76"/>
  <c r="AD87" i="76"/>
  <c r="AE87" i="76"/>
  <c r="AF87" i="76"/>
  <c r="AG87" i="76"/>
  <c r="D88" i="76"/>
  <c r="E88" i="76"/>
  <c r="F88" i="76"/>
  <c r="G88" i="76"/>
  <c r="H88" i="76"/>
  <c r="I88" i="76"/>
  <c r="J88" i="76"/>
  <c r="K88" i="76"/>
  <c r="L88" i="76"/>
  <c r="M88" i="76"/>
  <c r="N88" i="76"/>
  <c r="O88" i="76"/>
  <c r="P88" i="76"/>
  <c r="Q88" i="76"/>
  <c r="R88" i="76"/>
  <c r="S88" i="76"/>
  <c r="T88" i="76"/>
  <c r="U88" i="76"/>
  <c r="V88" i="76"/>
  <c r="W88" i="76"/>
  <c r="X88" i="76"/>
  <c r="Y88" i="76"/>
  <c r="Z88" i="76"/>
  <c r="AA88" i="76"/>
  <c r="AB88" i="76"/>
  <c r="AC88" i="76"/>
  <c r="AD88" i="76"/>
  <c r="AE88" i="76"/>
  <c r="AF88" i="76"/>
  <c r="AG88" i="76"/>
  <c r="D89" i="76"/>
  <c r="E89" i="76"/>
  <c r="F89" i="76"/>
  <c r="G89" i="76"/>
  <c r="H89" i="76"/>
  <c r="I89" i="76"/>
  <c r="J89" i="76"/>
  <c r="K89" i="76"/>
  <c r="L89" i="76"/>
  <c r="M89" i="76"/>
  <c r="N89" i="76"/>
  <c r="O89" i="76"/>
  <c r="P89" i="76"/>
  <c r="Q89" i="76"/>
  <c r="R89" i="76"/>
  <c r="S89" i="76"/>
  <c r="T89" i="76"/>
  <c r="U89" i="76"/>
  <c r="V89" i="76"/>
  <c r="W89" i="76"/>
  <c r="X89" i="76"/>
  <c r="Y89" i="76"/>
  <c r="Z89" i="76"/>
  <c r="AA89" i="76"/>
  <c r="AB89" i="76"/>
  <c r="AC89" i="76"/>
  <c r="AD89" i="76"/>
  <c r="AE89" i="76"/>
  <c r="AF89" i="76"/>
  <c r="AG89" i="76"/>
  <c r="D90" i="76"/>
  <c r="E90" i="76"/>
  <c r="F90" i="76"/>
  <c r="G90" i="76"/>
  <c r="H90" i="76"/>
  <c r="I90" i="76"/>
  <c r="J90" i="76"/>
  <c r="K90" i="76"/>
  <c r="L90" i="76"/>
  <c r="M90" i="76"/>
  <c r="N90" i="76"/>
  <c r="O90" i="76"/>
  <c r="P90" i="76"/>
  <c r="Q90" i="76"/>
  <c r="R90" i="76"/>
  <c r="S90" i="76"/>
  <c r="T90" i="76"/>
  <c r="U90" i="76"/>
  <c r="V90" i="76"/>
  <c r="W90" i="76"/>
  <c r="X90" i="76"/>
  <c r="Y90" i="76"/>
  <c r="Z90" i="76"/>
  <c r="AA90" i="76"/>
  <c r="AB90" i="76"/>
  <c r="AC90" i="76"/>
  <c r="AD90" i="76"/>
  <c r="AE90" i="76"/>
  <c r="AF90" i="76"/>
  <c r="AG90" i="76"/>
  <c r="D91" i="76"/>
  <c r="E91" i="76"/>
  <c r="F91" i="76"/>
  <c r="G91" i="76"/>
  <c r="H91" i="76"/>
  <c r="I91" i="76"/>
  <c r="J91" i="76"/>
  <c r="K91" i="76"/>
  <c r="L91" i="76"/>
  <c r="M91" i="76"/>
  <c r="N91" i="76"/>
  <c r="O91" i="76"/>
  <c r="P91" i="76"/>
  <c r="Q91" i="76"/>
  <c r="R91" i="76"/>
  <c r="S91" i="76"/>
  <c r="T91" i="76"/>
  <c r="U91" i="76"/>
  <c r="V91" i="76"/>
  <c r="W91" i="76"/>
  <c r="X91" i="76"/>
  <c r="Y91" i="76"/>
  <c r="Z91" i="76"/>
  <c r="AA91" i="76"/>
  <c r="AB91" i="76"/>
  <c r="AC91" i="76"/>
  <c r="AD91" i="76"/>
  <c r="AE91" i="76"/>
  <c r="AF91" i="76"/>
  <c r="AG91" i="76"/>
  <c r="D92" i="76"/>
  <c r="E92" i="76"/>
  <c r="F92" i="76"/>
  <c r="G92" i="76"/>
  <c r="H92" i="76"/>
  <c r="I92" i="76"/>
  <c r="J92" i="76"/>
  <c r="K92" i="76"/>
  <c r="L92" i="76"/>
  <c r="M92" i="76"/>
  <c r="N92" i="76"/>
  <c r="O92" i="76"/>
  <c r="P92" i="76"/>
  <c r="Q92" i="76"/>
  <c r="R92" i="76"/>
  <c r="S92" i="76"/>
  <c r="T92" i="76"/>
  <c r="U92" i="76"/>
  <c r="V92" i="76"/>
  <c r="W92" i="76"/>
  <c r="X92" i="76"/>
  <c r="Y92" i="76"/>
  <c r="Z92" i="76"/>
  <c r="AA92" i="76"/>
  <c r="AB92" i="76"/>
  <c r="AC92" i="76"/>
  <c r="AD92" i="76"/>
  <c r="AE92" i="76"/>
  <c r="AF92" i="76"/>
  <c r="AG92" i="76"/>
  <c r="D93" i="76"/>
  <c r="E93" i="76"/>
  <c r="F93" i="76"/>
  <c r="G93" i="76"/>
  <c r="H93" i="76"/>
  <c r="I93" i="76"/>
  <c r="J93" i="76"/>
  <c r="K93" i="76"/>
  <c r="L93" i="76"/>
  <c r="M93" i="76"/>
  <c r="N93" i="76"/>
  <c r="O93" i="76"/>
  <c r="P93" i="76"/>
  <c r="Q93" i="76"/>
  <c r="R93" i="76"/>
  <c r="S93" i="76"/>
  <c r="T93" i="76"/>
  <c r="U93" i="76"/>
  <c r="V93" i="76"/>
  <c r="W93" i="76"/>
  <c r="X93" i="76"/>
  <c r="Y93" i="76"/>
  <c r="Z93" i="76"/>
  <c r="AA93" i="76"/>
  <c r="AB93" i="76"/>
  <c r="AC93" i="76"/>
  <c r="AD93" i="76"/>
  <c r="AE93" i="76"/>
  <c r="AF93" i="76"/>
  <c r="AG93" i="76"/>
  <c r="E98" i="76"/>
  <c r="M98" i="76"/>
  <c r="D99" i="76"/>
  <c r="E99" i="76"/>
  <c r="F99" i="76"/>
  <c r="G99" i="76"/>
  <c r="H99" i="76"/>
  <c r="I99" i="76"/>
  <c r="J99" i="76"/>
  <c r="K99" i="76"/>
  <c r="L99" i="76"/>
  <c r="M99" i="76"/>
  <c r="N99" i="76"/>
  <c r="O99" i="76"/>
  <c r="P99" i="76"/>
  <c r="Q99" i="76"/>
  <c r="R99" i="76"/>
  <c r="S99" i="76"/>
  <c r="T99" i="76"/>
  <c r="U99" i="76"/>
  <c r="V99" i="76"/>
  <c r="W99" i="76"/>
  <c r="X99" i="76"/>
  <c r="Y99" i="76"/>
  <c r="Z99" i="76"/>
  <c r="AA99" i="76"/>
  <c r="AB99" i="76"/>
  <c r="AC99" i="76"/>
  <c r="AD99" i="76"/>
  <c r="AE99" i="76"/>
  <c r="AF99" i="76"/>
  <c r="AG99" i="76"/>
  <c r="D100" i="76"/>
  <c r="E100" i="76"/>
  <c r="F100" i="76"/>
  <c r="G100" i="76"/>
  <c r="H100" i="76"/>
  <c r="I100" i="76"/>
  <c r="J100" i="76"/>
  <c r="K100" i="76"/>
  <c r="L100" i="76"/>
  <c r="M100" i="76"/>
  <c r="N100" i="76"/>
  <c r="O100" i="76"/>
  <c r="P100" i="76"/>
  <c r="Q100" i="76"/>
  <c r="R100" i="76"/>
  <c r="S100" i="76"/>
  <c r="T100" i="76"/>
  <c r="U100" i="76"/>
  <c r="V100" i="76"/>
  <c r="W100" i="76"/>
  <c r="X100" i="76"/>
  <c r="Y100" i="76"/>
  <c r="Z100" i="76"/>
  <c r="AA100" i="76"/>
  <c r="AB100" i="76"/>
  <c r="AC100" i="76"/>
  <c r="AD100" i="76"/>
  <c r="AE100" i="76"/>
  <c r="AF100" i="76"/>
  <c r="AG100" i="76"/>
  <c r="C101" i="76"/>
  <c r="D101" i="76"/>
  <c r="E101" i="76"/>
  <c r="F101" i="76"/>
  <c r="G101" i="76"/>
  <c r="H101" i="76"/>
  <c r="I101" i="76"/>
  <c r="J101" i="76"/>
  <c r="K101" i="76"/>
  <c r="L101" i="76"/>
  <c r="M101" i="76"/>
  <c r="N101" i="76"/>
  <c r="O101" i="76"/>
  <c r="P101" i="76"/>
  <c r="Q101" i="76"/>
  <c r="R101" i="76"/>
  <c r="S101" i="76"/>
  <c r="T101" i="76"/>
  <c r="U101" i="76"/>
  <c r="V101" i="76"/>
  <c r="W101" i="76"/>
  <c r="X101" i="76"/>
  <c r="Y101" i="76"/>
  <c r="Z101" i="76"/>
  <c r="AA101" i="76"/>
  <c r="AB101" i="76"/>
  <c r="AC101" i="76"/>
  <c r="AD101" i="76"/>
  <c r="AE101" i="76"/>
  <c r="AF101" i="76"/>
  <c r="AG101" i="76"/>
  <c r="AH101" i="76"/>
  <c r="D102" i="76"/>
  <c r="E102" i="76"/>
  <c r="F102" i="76"/>
  <c r="G102" i="76"/>
  <c r="H102" i="76"/>
  <c r="I102" i="76"/>
  <c r="J102" i="76"/>
  <c r="K102" i="76"/>
  <c r="L102" i="76"/>
  <c r="M102" i="76"/>
  <c r="N102" i="76"/>
  <c r="O102" i="76"/>
  <c r="P102" i="76"/>
  <c r="Q102" i="76"/>
  <c r="R102" i="76"/>
  <c r="S102" i="76"/>
  <c r="T102" i="76"/>
  <c r="U102" i="76"/>
  <c r="V102" i="76"/>
  <c r="W102" i="76"/>
  <c r="X102" i="76"/>
  <c r="Y102" i="76"/>
  <c r="Z102" i="76"/>
  <c r="AA102" i="76"/>
  <c r="AB102" i="76"/>
  <c r="AC102" i="76"/>
  <c r="AD102" i="76"/>
  <c r="AE102" i="76"/>
  <c r="AF102" i="76"/>
  <c r="AG102" i="76"/>
  <c r="D103" i="76"/>
  <c r="E103" i="76"/>
  <c r="F103" i="76"/>
  <c r="G103" i="76"/>
  <c r="H103" i="76"/>
  <c r="I103" i="76"/>
  <c r="J103" i="76"/>
  <c r="K103" i="76"/>
  <c r="L103" i="76"/>
  <c r="M103" i="76"/>
  <c r="N103" i="76"/>
  <c r="O103" i="76"/>
  <c r="P103" i="76"/>
  <c r="Q103" i="76"/>
  <c r="R103" i="76"/>
  <c r="S103" i="76"/>
  <c r="T103" i="76"/>
  <c r="U103" i="76"/>
  <c r="V103" i="76"/>
  <c r="W103" i="76"/>
  <c r="X103" i="76"/>
  <c r="Y103" i="76"/>
  <c r="Z103" i="76"/>
  <c r="AA103" i="76"/>
  <c r="AB103" i="76"/>
  <c r="AC103" i="76"/>
  <c r="AD103" i="76"/>
  <c r="AE103" i="76"/>
  <c r="AF103" i="76"/>
  <c r="AG103" i="76"/>
  <c r="D104" i="76"/>
  <c r="E104" i="76"/>
  <c r="F104" i="76"/>
  <c r="G104" i="76"/>
  <c r="H104" i="76"/>
  <c r="I104" i="76"/>
  <c r="J104" i="76"/>
  <c r="K104" i="76"/>
  <c r="L104" i="76"/>
  <c r="M104" i="76"/>
  <c r="N104" i="76"/>
  <c r="O104" i="76"/>
  <c r="P104" i="76"/>
  <c r="Q104" i="76"/>
  <c r="R104" i="76"/>
  <c r="S104" i="76"/>
  <c r="T104" i="76"/>
  <c r="U104" i="76"/>
  <c r="V104" i="76"/>
  <c r="W104" i="76"/>
  <c r="X104" i="76"/>
  <c r="Y104" i="76"/>
  <c r="Z104" i="76"/>
  <c r="AA104" i="76"/>
  <c r="AB104" i="76"/>
  <c r="AC104" i="76"/>
  <c r="AD104" i="76"/>
  <c r="AE104" i="76"/>
  <c r="AF104" i="76"/>
  <c r="AG104" i="76"/>
  <c r="D105" i="76"/>
  <c r="E105" i="76"/>
  <c r="F105" i="76"/>
  <c r="G105" i="76"/>
  <c r="H105" i="76"/>
  <c r="I105" i="76"/>
  <c r="J105" i="76"/>
  <c r="K105" i="76"/>
  <c r="L105" i="76"/>
  <c r="M105" i="76"/>
  <c r="N105" i="76"/>
  <c r="O105" i="76"/>
  <c r="P105" i="76"/>
  <c r="Q105" i="76"/>
  <c r="R105" i="76"/>
  <c r="S105" i="76"/>
  <c r="T105" i="76"/>
  <c r="U105" i="76"/>
  <c r="V105" i="76"/>
  <c r="W105" i="76"/>
  <c r="X105" i="76"/>
  <c r="Y105" i="76"/>
  <c r="Z105" i="76"/>
  <c r="AA105" i="76"/>
  <c r="AB105" i="76"/>
  <c r="AC105" i="76"/>
  <c r="AD105" i="76"/>
  <c r="AE105" i="76"/>
  <c r="AF105" i="76"/>
  <c r="AG105" i="76"/>
  <c r="D106" i="76"/>
  <c r="E106" i="76"/>
  <c r="F106" i="76"/>
  <c r="G106" i="76"/>
  <c r="H106" i="76"/>
  <c r="I106" i="76"/>
  <c r="J106" i="76"/>
  <c r="K106" i="76"/>
  <c r="L106" i="76"/>
  <c r="M106" i="76"/>
  <c r="N106" i="76"/>
  <c r="O106" i="76"/>
  <c r="P106" i="76"/>
  <c r="Q106" i="76"/>
  <c r="R106" i="76"/>
  <c r="S106" i="76"/>
  <c r="T106" i="76"/>
  <c r="U106" i="76"/>
  <c r="V106" i="76"/>
  <c r="W106" i="76"/>
  <c r="X106" i="76"/>
  <c r="Y106" i="76"/>
  <c r="Z106" i="76"/>
  <c r="AA106" i="76"/>
  <c r="AB106" i="76"/>
  <c r="AC106" i="76"/>
  <c r="AD106" i="76"/>
  <c r="AE106" i="76"/>
  <c r="AF106" i="76"/>
  <c r="AG106" i="76"/>
  <c r="D107" i="76"/>
  <c r="E107" i="76"/>
  <c r="F107" i="76"/>
  <c r="G107" i="76"/>
  <c r="H107" i="76"/>
  <c r="I107" i="76"/>
  <c r="J107" i="76"/>
  <c r="K107" i="76"/>
  <c r="L107" i="76"/>
  <c r="M107" i="76"/>
  <c r="N107" i="76"/>
  <c r="O107" i="76"/>
  <c r="P107" i="76"/>
  <c r="Q107" i="76"/>
  <c r="R107" i="76"/>
  <c r="S107" i="76"/>
  <c r="T107" i="76"/>
  <c r="U107" i="76"/>
  <c r="V107" i="76"/>
  <c r="W107" i="76"/>
  <c r="X107" i="76"/>
  <c r="Y107" i="76"/>
  <c r="Z107" i="76"/>
  <c r="AA107" i="76"/>
  <c r="AB107" i="76"/>
  <c r="AC107" i="76"/>
  <c r="AD107" i="76"/>
  <c r="AE107" i="76"/>
  <c r="AF107" i="76"/>
  <c r="AG107" i="76"/>
  <c r="D108" i="76"/>
  <c r="E108" i="76"/>
  <c r="F108" i="76"/>
  <c r="G108" i="76"/>
  <c r="H108" i="76"/>
  <c r="I108" i="76"/>
  <c r="J108" i="76"/>
  <c r="K108" i="76"/>
  <c r="L108" i="76"/>
  <c r="M108" i="76"/>
  <c r="N108" i="76"/>
  <c r="O108" i="76"/>
  <c r="P108" i="76"/>
  <c r="Q108" i="76"/>
  <c r="R108" i="76"/>
  <c r="S108" i="76"/>
  <c r="T108" i="76"/>
  <c r="U108" i="76"/>
  <c r="V108" i="76"/>
  <c r="W108" i="76"/>
  <c r="X108" i="76"/>
  <c r="Y108" i="76"/>
  <c r="Z108" i="76"/>
  <c r="AA108" i="76"/>
  <c r="AB108" i="76"/>
  <c r="AC108" i="76"/>
  <c r="AD108" i="76"/>
  <c r="AE108" i="76"/>
  <c r="AF108" i="76"/>
  <c r="AG108" i="76"/>
  <c r="D109" i="76"/>
  <c r="E109" i="76"/>
  <c r="F109" i="76"/>
  <c r="G109" i="76"/>
  <c r="H109" i="76"/>
  <c r="I109" i="76"/>
  <c r="J109" i="76"/>
  <c r="K109" i="76"/>
  <c r="L109" i="76"/>
  <c r="M109" i="76"/>
  <c r="N109" i="76"/>
  <c r="O109" i="76"/>
  <c r="P109" i="76"/>
  <c r="Q109" i="76"/>
  <c r="R109" i="76"/>
  <c r="S109" i="76"/>
  <c r="T109" i="76"/>
  <c r="U109" i="76"/>
  <c r="V109" i="76"/>
  <c r="W109" i="76"/>
  <c r="X109" i="76"/>
  <c r="Y109" i="76"/>
  <c r="Z109" i="76"/>
  <c r="AA109" i="76"/>
  <c r="AB109" i="76"/>
  <c r="AC109" i="76"/>
  <c r="AD109" i="76"/>
  <c r="AE109" i="76"/>
  <c r="AF109" i="76"/>
  <c r="AG109" i="76"/>
  <c r="D110" i="76"/>
  <c r="E110" i="76"/>
  <c r="F110" i="76"/>
  <c r="G110" i="76"/>
  <c r="H110" i="76"/>
  <c r="I110" i="76"/>
  <c r="J110" i="76"/>
  <c r="K110" i="76"/>
  <c r="L110" i="76"/>
  <c r="M110" i="76"/>
  <c r="N110" i="76"/>
  <c r="O110" i="76"/>
  <c r="P110" i="76"/>
  <c r="Q110" i="76"/>
  <c r="R110" i="76"/>
  <c r="S110" i="76"/>
  <c r="T110" i="76"/>
  <c r="U110" i="76"/>
  <c r="V110" i="76"/>
  <c r="W110" i="76"/>
  <c r="X110" i="76"/>
  <c r="Y110" i="76"/>
  <c r="Z110" i="76"/>
  <c r="AA110" i="76"/>
  <c r="AB110" i="76"/>
  <c r="AC110" i="76"/>
  <c r="AD110" i="76"/>
  <c r="AE110" i="76"/>
  <c r="AF110" i="76"/>
  <c r="AG110" i="76"/>
  <c r="D111" i="76"/>
  <c r="E111" i="76"/>
  <c r="F111" i="76"/>
  <c r="G111" i="76"/>
  <c r="H111" i="76"/>
  <c r="I111" i="76"/>
  <c r="J111" i="76"/>
  <c r="K111" i="76"/>
  <c r="L111" i="76"/>
  <c r="M111" i="76"/>
  <c r="N111" i="76"/>
  <c r="O111" i="76"/>
  <c r="P111" i="76"/>
  <c r="Q111" i="76"/>
  <c r="R111" i="76"/>
  <c r="S111" i="76"/>
  <c r="T111" i="76"/>
  <c r="U111" i="76"/>
  <c r="V111" i="76"/>
  <c r="W111" i="76"/>
  <c r="X111" i="76"/>
  <c r="Y111" i="76"/>
  <c r="Z111" i="76"/>
  <c r="AA111" i="76"/>
  <c r="AB111" i="76"/>
  <c r="AC111" i="76"/>
  <c r="AD111" i="76"/>
  <c r="AE111" i="76"/>
  <c r="AF111" i="76"/>
  <c r="AG111" i="76"/>
  <c r="D112" i="76"/>
  <c r="E112" i="76"/>
  <c r="F112" i="76"/>
  <c r="G112" i="76"/>
  <c r="H112" i="76"/>
  <c r="I112" i="76"/>
  <c r="J112" i="76"/>
  <c r="K112" i="76"/>
  <c r="L112" i="76"/>
  <c r="M112" i="76"/>
  <c r="N112" i="76"/>
  <c r="O112" i="76"/>
  <c r="P112" i="76"/>
  <c r="Q112" i="76"/>
  <c r="R112" i="76"/>
  <c r="S112" i="76"/>
  <c r="T112" i="76"/>
  <c r="U112" i="76"/>
  <c r="V112" i="76"/>
  <c r="W112" i="76"/>
  <c r="X112" i="76"/>
  <c r="Y112" i="76"/>
  <c r="Z112" i="76"/>
  <c r="AA112" i="76"/>
  <c r="AB112" i="76"/>
  <c r="AC112" i="76"/>
  <c r="AD112" i="76"/>
  <c r="AE112" i="76"/>
  <c r="AF112" i="76"/>
  <c r="AG112" i="76"/>
  <c r="D113" i="76"/>
  <c r="E113" i="76"/>
  <c r="F113" i="76"/>
  <c r="G113" i="76"/>
  <c r="H113" i="76"/>
  <c r="I113" i="76"/>
  <c r="J113" i="76"/>
  <c r="K113" i="76"/>
  <c r="L113" i="76"/>
  <c r="M113" i="76"/>
  <c r="N113" i="76"/>
  <c r="O113" i="76"/>
  <c r="P113" i="76"/>
  <c r="Q113" i="76"/>
  <c r="R113" i="76"/>
  <c r="S113" i="76"/>
  <c r="T113" i="76"/>
  <c r="U113" i="76"/>
  <c r="V113" i="76"/>
  <c r="W113" i="76"/>
  <c r="X113" i="76"/>
  <c r="Y113" i="76"/>
  <c r="Z113" i="76"/>
  <c r="AA113" i="76"/>
  <c r="AB113" i="76"/>
  <c r="AC113" i="76"/>
  <c r="AD113" i="76"/>
  <c r="AE113" i="76"/>
  <c r="AF113" i="76"/>
  <c r="AG113" i="76"/>
  <c r="D114" i="76"/>
  <c r="E114" i="76"/>
  <c r="F114" i="76"/>
  <c r="G114" i="76"/>
  <c r="H114" i="76"/>
  <c r="I114" i="76"/>
  <c r="J114" i="76"/>
  <c r="K114" i="76"/>
  <c r="L114" i="76"/>
  <c r="M114" i="76"/>
  <c r="N114" i="76"/>
  <c r="O114" i="76"/>
  <c r="P114" i="76"/>
  <c r="Q114" i="76"/>
  <c r="R114" i="76"/>
  <c r="S114" i="76"/>
  <c r="T114" i="76"/>
  <c r="U114" i="76"/>
  <c r="V114" i="76"/>
  <c r="W114" i="76"/>
  <c r="X114" i="76"/>
  <c r="Y114" i="76"/>
  <c r="Z114" i="76"/>
  <c r="AA114" i="76"/>
  <c r="AB114" i="76"/>
  <c r="AC114" i="76"/>
  <c r="AD114" i="76"/>
  <c r="AE114" i="76"/>
  <c r="AF114" i="76"/>
  <c r="AG114" i="76"/>
  <c r="D115" i="76"/>
  <c r="E115" i="76"/>
  <c r="F115" i="76"/>
  <c r="G115" i="76"/>
  <c r="H115" i="76"/>
  <c r="I115" i="76"/>
  <c r="J115" i="76"/>
  <c r="K115" i="76"/>
  <c r="L115" i="76"/>
  <c r="M115" i="76"/>
  <c r="N115" i="76"/>
  <c r="O115" i="76"/>
  <c r="P115" i="76"/>
  <c r="Q115" i="76"/>
  <c r="R115" i="76"/>
  <c r="S115" i="76"/>
  <c r="T115" i="76"/>
  <c r="U115" i="76"/>
  <c r="V115" i="76"/>
  <c r="W115" i="76"/>
  <c r="X115" i="76"/>
  <c r="Y115" i="76"/>
  <c r="Z115" i="76"/>
  <c r="AA115" i="76"/>
  <c r="AB115" i="76"/>
  <c r="AC115" i="76"/>
  <c r="AD115" i="76"/>
  <c r="AE115" i="76"/>
  <c r="AF115" i="76"/>
  <c r="AG115" i="76"/>
  <c r="D116" i="76"/>
  <c r="E116" i="76"/>
  <c r="F116" i="76"/>
  <c r="G116" i="76"/>
  <c r="H116" i="76"/>
  <c r="I116" i="76"/>
  <c r="J116" i="76"/>
  <c r="K116" i="76"/>
  <c r="L116" i="76"/>
  <c r="M116" i="76"/>
  <c r="N116" i="76"/>
  <c r="O116" i="76"/>
  <c r="P116" i="76"/>
  <c r="Q116" i="76"/>
  <c r="R116" i="76"/>
  <c r="S116" i="76"/>
  <c r="T116" i="76"/>
  <c r="U116" i="76"/>
  <c r="V116" i="76"/>
  <c r="W116" i="76"/>
  <c r="X116" i="76"/>
  <c r="Y116" i="76"/>
  <c r="Z116" i="76"/>
  <c r="AA116" i="76"/>
  <c r="AB116" i="76"/>
  <c r="AC116" i="76"/>
  <c r="AD116" i="76"/>
  <c r="AE116" i="76"/>
  <c r="AF116" i="76"/>
  <c r="AG116" i="76"/>
  <c r="D117" i="76"/>
  <c r="E117" i="76"/>
  <c r="F117" i="76"/>
  <c r="G117" i="76"/>
  <c r="H117" i="76"/>
  <c r="I117" i="76"/>
  <c r="J117" i="76"/>
  <c r="K117" i="76"/>
  <c r="L117" i="76"/>
  <c r="M117" i="76"/>
  <c r="N117" i="76"/>
  <c r="O117" i="76"/>
  <c r="P117" i="76"/>
  <c r="Q117" i="76"/>
  <c r="R117" i="76"/>
  <c r="S117" i="76"/>
  <c r="T117" i="76"/>
  <c r="U117" i="76"/>
  <c r="V117" i="76"/>
  <c r="W117" i="76"/>
  <c r="X117" i="76"/>
  <c r="Y117" i="76"/>
  <c r="Z117" i="76"/>
  <c r="AA117" i="76"/>
  <c r="AB117" i="76"/>
  <c r="AC117" i="76"/>
  <c r="AD117" i="76"/>
  <c r="AE117" i="76"/>
  <c r="AF117" i="76"/>
  <c r="AG117" i="76"/>
  <c r="D118" i="76"/>
  <c r="E118" i="76"/>
  <c r="F118" i="76"/>
  <c r="G118" i="76"/>
  <c r="H118" i="76"/>
  <c r="I118" i="76"/>
  <c r="J118" i="76"/>
  <c r="K118" i="76"/>
  <c r="L118" i="76"/>
  <c r="M118" i="76"/>
  <c r="N118" i="76"/>
  <c r="O118" i="76"/>
  <c r="P118" i="76"/>
  <c r="Q118" i="76"/>
  <c r="R118" i="76"/>
  <c r="S118" i="76"/>
  <c r="T118" i="76"/>
  <c r="U118" i="76"/>
  <c r="V118" i="76"/>
  <c r="W118" i="76"/>
  <c r="X118" i="76"/>
  <c r="Y118" i="76"/>
  <c r="Z118" i="76"/>
  <c r="AA118" i="76"/>
  <c r="AB118" i="76"/>
  <c r="AC118" i="76"/>
  <c r="AD118" i="76"/>
  <c r="AE118" i="76"/>
  <c r="AF118" i="76"/>
  <c r="AG118" i="76"/>
  <c r="D119" i="76"/>
  <c r="E119" i="76"/>
  <c r="F119" i="76"/>
  <c r="G119" i="76"/>
  <c r="H119" i="76"/>
  <c r="I119" i="76"/>
  <c r="J119" i="76"/>
  <c r="K119" i="76"/>
  <c r="L119" i="76"/>
  <c r="M119" i="76"/>
  <c r="N119" i="76"/>
  <c r="O119" i="76"/>
  <c r="P119" i="76"/>
  <c r="Q119" i="76"/>
  <c r="R119" i="76"/>
  <c r="S119" i="76"/>
  <c r="T119" i="76"/>
  <c r="U119" i="76"/>
  <c r="V119" i="76"/>
  <c r="W119" i="76"/>
  <c r="X119" i="76"/>
  <c r="Y119" i="76"/>
  <c r="Z119" i="76"/>
  <c r="AA119" i="76"/>
  <c r="AB119" i="76"/>
  <c r="AC119" i="76"/>
  <c r="AD119" i="76"/>
  <c r="AE119" i="76"/>
  <c r="AF119" i="76"/>
  <c r="AG119" i="76"/>
  <c r="D120" i="76"/>
  <c r="E120" i="76"/>
  <c r="F120" i="76"/>
  <c r="G120" i="76"/>
  <c r="H120" i="76"/>
  <c r="I120" i="76"/>
  <c r="J120" i="76"/>
  <c r="K120" i="76"/>
  <c r="L120" i="76"/>
  <c r="M120" i="76"/>
  <c r="N120" i="76"/>
  <c r="O120" i="76"/>
  <c r="P120" i="76"/>
  <c r="Q120" i="76"/>
  <c r="R120" i="76"/>
  <c r="S120" i="76"/>
  <c r="T120" i="76"/>
  <c r="U120" i="76"/>
  <c r="V120" i="76"/>
  <c r="W120" i="76"/>
  <c r="X120" i="76"/>
  <c r="Y120" i="76"/>
  <c r="Z120" i="76"/>
  <c r="AA120" i="76"/>
  <c r="AB120" i="76"/>
  <c r="AC120" i="76"/>
  <c r="AD120" i="76"/>
  <c r="AE120" i="76"/>
  <c r="AF120" i="76"/>
  <c r="AG120" i="76"/>
  <c r="D121" i="76"/>
  <c r="E121" i="76"/>
  <c r="F121" i="76"/>
  <c r="G121" i="76"/>
  <c r="H121" i="76"/>
  <c r="I121" i="76"/>
  <c r="J121" i="76"/>
  <c r="K121" i="76"/>
  <c r="L121" i="76"/>
  <c r="M121" i="76"/>
  <c r="N121" i="76"/>
  <c r="O121" i="76"/>
  <c r="P121" i="76"/>
  <c r="Q121" i="76"/>
  <c r="R121" i="76"/>
  <c r="S121" i="76"/>
  <c r="T121" i="76"/>
  <c r="U121" i="76"/>
  <c r="V121" i="76"/>
  <c r="W121" i="76"/>
  <c r="X121" i="76"/>
  <c r="Y121" i="76"/>
  <c r="Z121" i="76"/>
  <c r="AA121" i="76"/>
  <c r="AB121" i="76"/>
  <c r="AC121" i="76"/>
  <c r="AD121" i="76"/>
  <c r="AE121" i="76"/>
  <c r="AF121" i="76"/>
  <c r="AG121" i="76"/>
  <c r="D122" i="76"/>
  <c r="E122" i="76"/>
  <c r="F122" i="76"/>
  <c r="G122" i="76"/>
  <c r="H122" i="76"/>
  <c r="I122" i="76"/>
  <c r="J122" i="76"/>
  <c r="K122" i="76"/>
  <c r="L122" i="76"/>
  <c r="M122" i="76"/>
  <c r="N122" i="76"/>
  <c r="O122" i="76"/>
  <c r="P122" i="76"/>
  <c r="Q122" i="76"/>
  <c r="R122" i="76"/>
  <c r="S122" i="76"/>
  <c r="T122" i="76"/>
  <c r="U122" i="76"/>
  <c r="V122" i="76"/>
  <c r="W122" i="76"/>
  <c r="X122" i="76"/>
  <c r="Y122" i="76"/>
  <c r="Z122" i="76"/>
  <c r="AA122" i="76"/>
  <c r="AB122" i="76"/>
  <c r="AC122" i="76"/>
  <c r="AD122" i="76"/>
  <c r="AE122" i="76"/>
  <c r="AF122" i="76"/>
  <c r="AG122" i="76"/>
  <c r="D123" i="76"/>
  <c r="E123" i="76"/>
  <c r="F123" i="76"/>
  <c r="G123" i="76"/>
  <c r="H123" i="76"/>
  <c r="I123" i="76"/>
  <c r="J123" i="76"/>
  <c r="K123" i="76"/>
  <c r="L123" i="76"/>
  <c r="M123" i="76"/>
  <c r="N123" i="76"/>
  <c r="O123" i="76"/>
  <c r="P123" i="76"/>
  <c r="Q123" i="76"/>
  <c r="R123" i="76"/>
  <c r="S123" i="76"/>
  <c r="T123" i="76"/>
  <c r="U123" i="76"/>
  <c r="V123" i="76"/>
  <c r="W123" i="76"/>
  <c r="X123" i="76"/>
  <c r="Y123" i="76"/>
  <c r="Z123" i="76"/>
  <c r="AA123" i="76"/>
  <c r="AB123" i="76"/>
  <c r="AC123" i="76"/>
  <c r="AD123" i="76"/>
  <c r="AE123" i="76"/>
  <c r="AF123" i="76"/>
  <c r="AG123" i="76"/>
  <c r="B96" i="76"/>
  <c r="B36" i="76"/>
  <c r="B66" i="76"/>
  <c r="B6" i="76"/>
  <c r="J2" i="76"/>
  <c r="J1" i="76"/>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AH508" i="7"/>
  <c r="AH12" i="76" s="1"/>
  <c r="AH509" i="7"/>
  <c r="AH13" i="76" s="1"/>
  <c r="AH510" i="7"/>
  <c r="AH14" i="76" s="1"/>
  <c r="AH511" i="7"/>
  <c r="AH15" i="76" s="1"/>
  <c r="AH512" i="7"/>
  <c r="AH16" i="76" s="1"/>
  <c r="AH513" i="7"/>
  <c r="AH17" i="76" s="1"/>
  <c r="AH514" i="7"/>
  <c r="AH515" i="7"/>
  <c r="AH19" i="76" s="1"/>
  <c r="AH520" i="7"/>
  <c r="AH516" i="7"/>
  <c r="AH21" i="76" s="1"/>
  <c r="AH517" i="7"/>
  <c r="AH22" i="76" s="1"/>
  <c r="AH518" i="7"/>
  <c r="AH23" i="76" s="1"/>
  <c r="AH519" i="7"/>
  <c r="AH24" i="76" s="1"/>
  <c r="AH521" i="7"/>
  <c r="AH25" i="76" s="1"/>
  <c r="AH522" i="7"/>
  <c r="AH26" i="76" s="1"/>
  <c r="AH523" i="7"/>
  <c r="AH27" i="76" s="1"/>
  <c r="AH524" i="7"/>
  <c r="AH28" i="76" s="1"/>
  <c r="AH525" i="7"/>
  <c r="AH29" i="76" s="1"/>
  <c r="AH526" i="7"/>
  <c r="AH30" i="76" s="1"/>
  <c r="AH527" i="7"/>
  <c r="AH31" i="76" s="1"/>
  <c r="AH528" i="7"/>
  <c r="AH32" i="76" s="1"/>
  <c r="AH529" i="7"/>
  <c r="AH33" i="76" s="1"/>
  <c r="AH538" i="7"/>
  <c r="AH42" i="76" s="1"/>
  <c r="AH539" i="7"/>
  <c r="AH43" i="76" s="1"/>
  <c r="AH540" i="7"/>
  <c r="AH44" i="76" s="1"/>
  <c r="AH541" i="7"/>
  <c r="AH45" i="76" s="1"/>
  <c r="AH542" i="7"/>
  <c r="AH46" i="76" s="1"/>
  <c r="AH543" i="7"/>
  <c r="AH47" i="76" s="1"/>
  <c r="AH544" i="7"/>
  <c r="AH545" i="7"/>
  <c r="AH49" i="76" s="1"/>
  <c r="AH550" i="7"/>
  <c r="AH546" i="7"/>
  <c r="AH51" i="76" s="1"/>
  <c r="AH547" i="7"/>
  <c r="AH52" i="76" s="1"/>
  <c r="AH548" i="7"/>
  <c r="AH53" i="76" s="1"/>
  <c r="AH549" i="7"/>
  <c r="AH54" i="76" s="1"/>
  <c r="AH551" i="7"/>
  <c r="AH55" i="76" s="1"/>
  <c r="AH552" i="7"/>
  <c r="AH56" i="76" s="1"/>
  <c r="AH553" i="7"/>
  <c r="AH57" i="76" s="1"/>
  <c r="AH554" i="7"/>
  <c r="AH58" i="76" s="1"/>
  <c r="AH555" i="7"/>
  <c r="AH59" i="76" s="1"/>
  <c r="AH556" i="7"/>
  <c r="AH60" i="76" s="1"/>
  <c r="AH557" i="7"/>
  <c r="AH61" i="76" s="1"/>
  <c r="AH558" i="7"/>
  <c r="AH62" i="76" s="1"/>
  <c r="AH559" i="7"/>
  <c r="AH63" i="76" s="1"/>
  <c r="AH568" i="7"/>
  <c r="AH72" i="76" s="1"/>
  <c r="AH569" i="7"/>
  <c r="AH73" i="76" s="1"/>
  <c r="AH570" i="7"/>
  <c r="AH74" i="76" s="1"/>
  <c r="AH571" i="7"/>
  <c r="AH75" i="76" s="1"/>
  <c r="AH572" i="7"/>
  <c r="AH76" i="76" s="1"/>
  <c r="AH573" i="7"/>
  <c r="AH77" i="76" s="1"/>
  <c r="AH574" i="7"/>
  <c r="AH78" i="76" s="1"/>
  <c r="AH575" i="7"/>
  <c r="AH79" i="76" s="1"/>
  <c r="AH580" i="7"/>
  <c r="AH80" i="76" s="1"/>
  <c r="AH576" i="7"/>
  <c r="AH81" i="76" s="1"/>
  <c r="AH577" i="7"/>
  <c r="AH82" i="76" s="1"/>
  <c r="AH578" i="7"/>
  <c r="AH83" i="76" s="1"/>
  <c r="AH579" i="7"/>
  <c r="AH84" i="76" s="1"/>
  <c r="AH581" i="7"/>
  <c r="AH85" i="76" s="1"/>
  <c r="AH582" i="7"/>
  <c r="AH86" i="76" s="1"/>
  <c r="AH583" i="7"/>
  <c r="AH87" i="76" s="1"/>
  <c r="AH584" i="7"/>
  <c r="AH88" i="76" s="1"/>
  <c r="AH585" i="7"/>
  <c r="AH89" i="76" s="1"/>
  <c r="AH586" i="7"/>
  <c r="AH90" i="76" s="1"/>
  <c r="AH587" i="7"/>
  <c r="AH91" i="76" s="1"/>
  <c r="AH588" i="7"/>
  <c r="AH92" i="76" s="1"/>
  <c r="AH589" i="7"/>
  <c r="AH93" i="76" s="1"/>
  <c r="AH598" i="7"/>
  <c r="AH102" i="76" s="1"/>
  <c r="AH599" i="7"/>
  <c r="AH103" i="76" s="1"/>
  <c r="AH600" i="7"/>
  <c r="AH104" i="76" s="1"/>
  <c r="AH601" i="7"/>
  <c r="AH105" i="76" s="1"/>
  <c r="AH602" i="7"/>
  <c r="AH106" i="76" s="1"/>
  <c r="AH603" i="7"/>
  <c r="AH107" i="76" s="1"/>
  <c r="AH604" i="7"/>
  <c r="AH108" i="76" s="1"/>
  <c r="AH605" i="7"/>
  <c r="AH109" i="76" s="1"/>
  <c r="AH610" i="7"/>
  <c r="AH110" i="76" s="1"/>
  <c r="AH606" i="7"/>
  <c r="AH111" i="76" s="1"/>
  <c r="AH607" i="7"/>
  <c r="AH112" i="76" s="1"/>
  <c r="AH608" i="7"/>
  <c r="AH113" i="76" s="1"/>
  <c r="AH609" i="7"/>
  <c r="AH114" i="76" s="1"/>
  <c r="AH611" i="7"/>
  <c r="AH115" i="76" s="1"/>
  <c r="AH612" i="7"/>
  <c r="AH116" i="76" s="1"/>
  <c r="AH613" i="7"/>
  <c r="AH117" i="76" s="1"/>
  <c r="AH614" i="7"/>
  <c r="AH118" i="76" s="1"/>
  <c r="AH615" i="7"/>
  <c r="AH119" i="76" s="1"/>
  <c r="AH616" i="7"/>
  <c r="AH120" i="76" s="1"/>
  <c r="AH617" i="7"/>
  <c r="AH121" i="76" s="1"/>
  <c r="AH618" i="7"/>
  <c r="AH122" i="76" s="1"/>
  <c r="AH619" i="7"/>
  <c r="AH123" i="76" s="1"/>
  <c r="F631" i="7"/>
  <c r="G631" i="7"/>
  <c r="F632" i="7"/>
  <c r="G632" i="7"/>
  <c r="F633" i="7"/>
  <c r="G633" i="7"/>
  <c r="F634" i="7"/>
  <c r="G634" i="7"/>
  <c r="F635" i="7"/>
  <c r="G635" i="7"/>
  <c r="F636" i="7"/>
  <c r="G636" i="7"/>
  <c r="F637" i="7"/>
  <c r="G637" i="7"/>
  <c r="F638" i="7"/>
  <c r="G638" i="7"/>
  <c r="F646" i="7"/>
  <c r="G646" i="7"/>
  <c r="F647" i="7"/>
  <c r="G647" i="7"/>
  <c r="F648" i="7"/>
  <c r="G648" i="7"/>
  <c r="F649" i="7"/>
  <c r="G649" i="7"/>
  <c r="F650" i="7"/>
  <c r="G650" i="7"/>
  <c r="F651" i="7"/>
  <c r="G651" i="7"/>
  <c r="F652" i="7"/>
  <c r="G652" i="7"/>
  <c r="F653" i="7"/>
  <c r="G653" i="7"/>
  <c r="F659" i="7"/>
  <c r="G659" i="7"/>
  <c r="F660" i="7"/>
  <c r="G660" i="7"/>
  <c r="F661" i="7"/>
  <c r="G661" i="7"/>
  <c r="F662" i="7"/>
  <c r="G662" i="7"/>
  <c r="F663" i="7"/>
  <c r="G663" i="7"/>
  <c r="F664" i="7"/>
  <c r="G664" i="7"/>
  <c r="F665" i="7"/>
  <c r="G665" i="7"/>
  <c r="F666" i="7"/>
  <c r="G666" i="7"/>
  <c r="F688" i="7"/>
  <c r="G688" i="7"/>
  <c r="H688" i="7"/>
  <c r="I688" i="7"/>
  <c r="M7" i="96" l="1"/>
  <c r="H652" i="7"/>
  <c r="H638" i="7"/>
  <c r="H634" i="7"/>
  <c r="H632" i="7"/>
  <c r="H631" i="7"/>
  <c r="L427" i="8"/>
  <c r="H665" i="7"/>
  <c r="H661" i="7"/>
  <c r="H659" i="7"/>
  <c r="H653" i="7"/>
  <c r="I652" i="7"/>
  <c r="H666" i="7"/>
  <c r="I665" i="7"/>
  <c r="H649" i="7"/>
  <c r="H647" i="7"/>
  <c r="H646" i="7"/>
  <c r="I638" i="7"/>
  <c r="H663" i="7"/>
  <c r="H662" i="7"/>
  <c r="I661" i="7"/>
  <c r="H650" i="7"/>
  <c r="I649" i="7"/>
  <c r="H636" i="7"/>
  <c r="H635" i="7"/>
  <c r="I634" i="7"/>
  <c r="H664" i="7"/>
  <c r="I663" i="7"/>
  <c r="H660" i="7"/>
  <c r="I659" i="7"/>
  <c r="H651" i="7"/>
  <c r="I650" i="7"/>
  <c r="H648" i="7"/>
  <c r="I647" i="7"/>
  <c r="H637" i="7"/>
  <c r="I636" i="7"/>
  <c r="H633" i="7"/>
  <c r="I632" i="7"/>
  <c r="I648" i="7"/>
  <c r="I646" i="7"/>
  <c r="I637" i="7"/>
  <c r="I635" i="7"/>
  <c r="I633" i="7"/>
  <c r="I631" i="7"/>
  <c r="I666" i="7"/>
  <c r="I664" i="7"/>
  <c r="I662" i="7"/>
  <c r="I660" i="7"/>
  <c r="I653" i="7"/>
  <c r="I651" i="7"/>
  <c r="E515" i="8"/>
  <c r="E513" i="8"/>
  <c r="E517" i="8"/>
  <c r="E233" i="10"/>
  <c r="F269" i="10" s="1"/>
  <c r="F233" i="10"/>
  <c r="G269" i="10" s="1"/>
  <c r="G233" i="10"/>
  <c r="H269" i="10" s="1"/>
  <c r="H233" i="10"/>
  <c r="I269" i="10" s="1"/>
  <c r="E234" i="10"/>
  <c r="F270" i="10" s="1"/>
  <c r="F234" i="10"/>
  <c r="G270" i="10" s="1"/>
  <c r="G234" i="10"/>
  <c r="H270" i="10" s="1"/>
  <c r="H234" i="10"/>
  <c r="I270" i="10" s="1"/>
  <c r="E235" i="10"/>
  <c r="F271" i="10" s="1"/>
  <c r="F235" i="10"/>
  <c r="G271" i="10" s="1"/>
  <c r="G235" i="10"/>
  <c r="H271" i="10" s="1"/>
  <c r="H235" i="10"/>
  <c r="I271" i="10" s="1"/>
  <c r="E236" i="10"/>
  <c r="F272" i="10" s="1"/>
  <c r="F236" i="10"/>
  <c r="G272" i="10" s="1"/>
  <c r="G236" i="10"/>
  <c r="H272" i="10" s="1"/>
  <c r="H236" i="10"/>
  <c r="I272" i="10" s="1"/>
  <c r="E237" i="10"/>
  <c r="F273" i="10" s="1"/>
  <c r="F237" i="10"/>
  <c r="G273" i="10" s="1"/>
  <c r="G237" i="10"/>
  <c r="H273" i="10" s="1"/>
  <c r="H237" i="10"/>
  <c r="I273" i="10" s="1"/>
  <c r="E238" i="10"/>
  <c r="F274" i="10" s="1"/>
  <c r="F238" i="10"/>
  <c r="G274" i="10" s="1"/>
  <c r="G238" i="10"/>
  <c r="H274" i="10" s="1"/>
  <c r="H238" i="10"/>
  <c r="I274" i="10" s="1"/>
  <c r="E239" i="10"/>
  <c r="F275" i="10" s="1"/>
  <c r="F239" i="10"/>
  <c r="G275" i="10" s="1"/>
  <c r="G239" i="10"/>
  <c r="H275" i="10" s="1"/>
  <c r="H239" i="10"/>
  <c r="I275" i="10" s="1"/>
  <c r="E240" i="10"/>
  <c r="F276" i="10" s="1"/>
  <c r="F240" i="10"/>
  <c r="G276" i="10" s="1"/>
  <c r="G240" i="10"/>
  <c r="H276" i="10" s="1"/>
  <c r="H240" i="10"/>
  <c r="I276" i="10" s="1"/>
  <c r="E241" i="10"/>
  <c r="F277" i="10" s="1"/>
  <c r="F241" i="10"/>
  <c r="G277" i="10" s="1"/>
  <c r="G241" i="10"/>
  <c r="H277" i="10" s="1"/>
  <c r="H241" i="10"/>
  <c r="I277" i="10" s="1"/>
  <c r="E242" i="10"/>
  <c r="F278" i="10" s="1"/>
  <c r="F242" i="10"/>
  <c r="G278" i="10" s="1"/>
  <c r="G242" i="10"/>
  <c r="H278" i="10" s="1"/>
  <c r="H242" i="10"/>
  <c r="I278" i="10" s="1"/>
  <c r="E243" i="10"/>
  <c r="F279" i="10" s="1"/>
  <c r="F243" i="10"/>
  <c r="G279" i="10" s="1"/>
  <c r="G243" i="10"/>
  <c r="H279" i="10" s="1"/>
  <c r="H243" i="10"/>
  <c r="I279" i="10" s="1"/>
  <c r="E244" i="10"/>
  <c r="F280" i="10" s="1"/>
  <c r="F244" i="10"/>
  <c r="G280" i="10" s="1"/>
  <c r="G244" i="10"/>
  <c r="H280" i="10" s="1"/>
  <c r="H244" i="10"/>
  <c r="I280" i="10" s="1"/>
  <c r="E245" i="10"/>
  <c r="F281" i="10" s="1"/>
  <c r="F245" i="10"/>
  <c r="G281" i="10" s="1"/>
  <c r="G245" i="10"/>
  <c r="H281" i="10" s="1"/>
  <c r="H245" i="10"/>
  <c r="I281" i="10" s="1"/>
  <c r="E247" i="10"/>
  <c r="F283" i="10" s="1"/>
  <c r="F247" i="10"/>
  <c r="G283" i="10" s="1"/>
  <c r="G247" i="10"/>
  <c r="H283" i="10" s="1"/>
  <c r="H247" i="10"/>
  <c r="I283" i="10" s="1"/>
  <c r="E248" i="10"/>
  <c r="F284" i="10" s="1"/>
  <c r="F248" i="10"/>
  <c r="G284" i="10" s="1"/>
  <c r="G248" i="10"/>
  <c r="H284" i="10" s="1"/>
  <c r="H248" i="10"/>
  <c r="I284" i="10" s="1"/>
  <c r="E249" i="10"/>
  <c r="F285" i="10" s="1"/>
  <c r="F249" i="10"/>
  <c r="G285" i="10" s="1"/>
  <c r="G249" i="10"/>
  <c r="H285" i="10" s="1"/>
  <c r="H249" i="10"/>
  <c r="I285" i="10" s="1"/>
  <c r="E250" i="10"/>
  <c r="F286" i="10" s="1"/>
  <c r="F250" i="10"/>
  <c r="G286" i="10" s="1"/>
  <c r="G250" i="10"/>
  <c r="H286" i="10" s="1"/>
  <c r="H250" i="10"/>
  <c r="I286" i="10" s="1"/>
  <c r="E251" i="10"/>
  <c r="F287" i="10" s="1"/>
  <c r="F251" i="10"/>
  <c r="G287" i="10" s="1"/>
  <c r="G251" i="10"/>
  <c r="H287" i="10" s="1"/>
  <c r="H251" i="10"/>
  <c r="I287" i="10" s="1"/>
  <c r="E252" i="10"/>
  <c r="F288" i="10" s="1"/>
  <c r="F252" i="10"/>
  <c r="G288" i="10" s="1"/>
  <c r="G252" i="10"/>
  <c r="H288" i="10" s="1"/>
  <c r="H252" i="10"/>
  <c r="I288" i="10" s="1"/>
  <c r="E253" i="10"/>
  <c r="F289" i="10" s="1"/>
  <c r="F253" i="10"/>
  <c r="G289" i="10" s="1"/>
  <c r="G253" i="10"/>
  <c r="H289" i="10" s="1"/>
  <c r="H253" i="10"/>
  <c r="I289" i="10" s="1"/>
  <c r="C2" i="10"/>
  <c r="F225" i="10"/>
  <c r="F224" i="10"/>
  <c r="F223" i="10"/>
  <c r="F222" i="10"/>
  <c r="F221" i="10"/>
  <c r="F220" i="10"/>
  <c r="F219" i="10"/>
  <c r="F218" i="10"/>
  <c r="F212" i="10"/>
  <c r="F211" i="10"/>
  <c r="F210" i="10"/>
  <c r="F209" i="10"/>
  <c r="F208" i="10"/>
  <c r="F207" i="10"/>
  <c r="F206" i="10"/>
  <c r="F205" i="10"/>
  <c r="F199" i="10"/>
  <c r="F198" i="10"/>
  <c r="F197" i="10"/>
  <c r="F196" i="10"/>
  <c r="F195" i="10"/>
  <c r="F194" i="10"/>
  <c r="F193" i="10"/>
  <c r="F192" i="10"/>
  <c r="G187" i="10"/>
  <c r="G186" i="10"/>
  <c r="G185" i="10"/>
  <c r="G184" i="10"/>
  <c r="G183" i="10"/>
  <c r="G182" i="10"/>
  <c r="G181" i="10"/>
  <c r="G180" i="10"/>
  <c r="D218" i="10"/>
  <c r="E218" i="10" s="1"/>
  <c r="D219" i="10"/>
  <c r="E219" i="10" s="1"/>
  <c r="D220" i="10"/>
  <c r="E220" i="10" s="1"/>
  <c r="D221" i="10"/>
  <c r="E221" i="10" s="1"/>
  <c r="D222" i="10"/>
  <c r="E222" i="10" s="1"/>
  <c r="D223" i="10"/>
  <c r="E223" i="10" s="1"/>
  <c r="D224" i="10"/>
  <c r="E224" i="10" s="1"/>
  <c r="D225" i="10"/>
  <c r="E225" i="10" s="1"/>
  <c r="D205" i="10"/>
  <c r="D206" i="10"/>
  <c r="D207" i="10"/>
  <c r="D208" i="10"/>
  <c r="D209" i="10"/>
  <c r="D210" i="10"/>
  <c r="D211" i="10"/>
  <c r="D212" i="10"/>
  <c r="D192" i="10"/>
  <c r="E192" i="10" s="1"/>
  <c r="D193" i="10"/>
  <c r="D194" i="10"/>
  <c r="D195" i="10"/>
  <c r="D196" i="10"/>
  <c r="D197" i="10"/>
  <c r="D198" i="10"/>
  <c r="D199" i="10"/>
  <c r="D406" i="10"/>
  <c r="E406" i="10"/>
  <c r="F406" i="10"/>
  <c r="G406" i="10"/>
  <c r="H406" i="10"/>
  <c r="I406" i="10"/>
  <c r="J406" i="10"/>
  <c r="K406" i="10"/>
  <c r="L406" i="10"/>
  <c r="M406" i="10"/>
  <c r="N406" i="10"/>
  <c r="O406" i="10"/>
  <c r="P406" i="10"/>
  <c r="Q406" i="10"/>
  <c r="R406" i="10"/>
  <c r="S406" i="10"/>
  <c r="T406" i="10"/>
  <c r="U406" i="10"/>
  <c r="V406" i="10"/>
  <c r="W406" i="10"/>
  <c r="X406" i="10"/>
  <c r="Y406" i="10"/>
  <c r="Z406" i="10"/>
  <c r="AA406" i="10"/>
  <c r="AB406" i="10"/>
  <c r="AC406" i="10"/>
  <c r="AD406" i="10"/>
  <c r="AE406" i="10"/>
  <c r="AF406" i="10"/>
  <c r="D407" i="10"/>
  <c r="E407" i="10"/>
  <c r="F407" i="10"/>
  <c r="G407" i="10"/>
  <c r="H407" i="10"/>
  <c r="I407" i="10"/>
  <c r="J407" i="10"/>
  <c r="K407" i="10"/>
  <c r="L407" i="10"/>
  <c r="M407" i="10"/>
  <c r="N407" i="10"/>
  <c r="O407" i="10"/>
  <c r="P407" i="10"/>
  <c r="Q407" i="10"/>
  <c r="R407" i="10"/>
  <c r="S407" i="10"/>
  <c r="T407" i="10"/>
  <c r="U407" i="10"/>
  <c r="V407" i="10"/>
  <c r="W407" i="10"/>
  <c r="X407" i="10"/>
  <c r="Y407" i="10"/>
  <c r="Z407" i="10"/>
  <c r="AA407" i="10"/>
  <c r="AB407" i="10"/>
  <c r="AC407" i="10"/>
  <c r="AD407" i="10"/>
  <c r="AE407" i="10"/>
  <c r="AF407" i="10"/>
  <c r="D408" i="10"/>
  <c r="E408" i="10"/>
  <c r="F408" i="10"/>
  <c r="G408" i="10"/>
  <c r="H408" i="10"/>
  <c r="I408" i="10"/>
  <c r="J408" i="10"/>
  <c r="K408" i="10"/>
  <c r="L408" i="10"/>
  <c r="M408" i="10"/>
  <c r="N408" i="10"/>
  <c r="O408" i="10"/>
  <c r="P408" i="10"/>
  <c r="Q408" i="10"/>
  <c r="R408" i="10"/>
  <c r="S408" i="10"/>
  <c r="T408" i="10"/>
  <c r="U408" i="10"/>
  <c r="V408" i="10"/>
  <c r="W408" i="10"/>
  <c r="X408" i="10"/>
  <c r="Y408" i="10"/>
  <c r="Z408" i="10"/>
  <c r="AA408" i="10"/>
  <c r="AB408" i="10"/>
  <c r="AC408" i="10"/>
  <c r="AD408" i="10"/>
  <c r="AE408" i="10"/>
  <c r="AF408" i="10"/>
  <c r="D409" i="10"/>
  <c r="E409" i="10"/>
  <c r="F409" i="10"/>
  <c r="G409" i="10"/>
  <c r="H409" i="10"/>
  <c r="I409" i="10"/>
  <c r="J409" i="10"/>
  <c r="K409" i="10"/>
  <c r="L409" i="10"/>
  <c r="M409" i="10"/>
  <c r="N409" i="10"/>
  <c r="O409" i="10"/>
  <c r="P409" i="10"/>
  <c r="Q409" i="10"/>
  <c r="R409" i="10"/>
  <c r="S409" i="10"/>
  <c r="T409" i="10"/>
  <c r="U409" i="10"/>
  <c r="V409" i="10"/>
  <c r="W409" i="10"/>
  <c r="X409" i="10"/>
  <c r="Y409" i="10"/>
  <c r="Z409" i="10"/>
  <c r="AA409" i="10"/>
  <c r="AB409" i="10"/>
  <c r="AC409" i="10"/>
  <c r="AD409" i="10"/>
  <c r="AE409" i="10"/>
  <c r="AF409" i="10"/>
  <c r="D410" i="10"/>
  <c r="E410" i="10"/>
  <c r="F410" i="10"/>
  <c r="G410" i="10"/>
  <c r="H410" i="10"/>
  <c r="I410" i="10"/>
  <c r="J410" i="10"/>
  <c r="K410" i="10"/>
  <c r="L410" i="10"/>
  <c r="M410" i="10"/>
  <c r="N410" i="10"/>
  <c r="O410" i="10"/>
  <c r="P410" i="10"/>
  <c r="Q410" i="10"/>
  <c r="R410" i="10"/>
  <c r="S410" i="10"/>
  <c r="T410" i="10"/>
  <c r="U410" i="10"/>
  <c r="V410" i="10"/>
  <c r="W410" i="10"/>
  <c r="X410" i="10"/>
  <c r="Y410" i="10"/>
  <c r="Z410" i="10"/>
  <c r="AA410" i="10"/>
  <c r="AB410" i="10"/>
  <c r="AC410" i="10"/>
  <c r="AD410" i="10"/>
  <c r="AE410" i="10"/>
  <c r="AF410" i="10"/>
  <c r="D411" i="10"/>
  <c r="E411" i="10"/>
  <c r="F411" i="10"/>
  <c r="G411" i="10"/>
  <c r="H411" i="10"/>
  <c r="I411" i="10"/>
  <c r="J411" i="10"/>
  <c r="K411" i="10"/>
  <c r="L411" i="10"/>
  <c r="M411" i="10"/>
  <c r="N411" i="10"/>
  <c r="O411" i="10"/>
  <c r="P411" i="10"/>
  <c r="Q411" i="10"/>
  <c r="R411" i="10"/>
  <c r="S411" i="10"/>
  <c r="T411" i="10"/>
  <c r="U411" i="10"/>
  <c r="V411" i="10"/>
  <c r="W411" i="10"/>
  <c r="X411" i="10"/>
  <c r="Y411" i="10"/>
  <c r="Z411" i="10"/>
  <c r="AA411" i="10"/>
  <c r="AB411" i="10"/>
  <c r="AC411" i="10"/>
  <c r="AD411" i="10"/>
  <c r="AE411" i="10"/>
  <c r="AF411" i="10"/>
  <c r="D412" i="10"/>
  <c r="E412" i="10"/>
  <c r="F412" i="10"/>
  <c r="G412" i="10"/>
  <c r="H412" i="10"/>
  <c r="I412" i="10"/>
  <c r="J412" i="10"/>
  <c r="K412" i="10"/>
  <c r="L412" i="10"/>
  <c r="M412" i="10"/>
  <c r="N412" i="10"/>
  <c r="O412" i="10"/>
  <c r="P412" i="10"/>
  <c r="Q412" i="10"/>
  <c r="R412" i="10"/>
  <c r="S412" i="10"/>
  <c r="T412" i="10"/>
  <c r="U412" i="10"/>
  <c r="V412" i="10"/>
  <c r="W412" i="10"/>
  <c r="X412" i="10"/>
  <c r="Y412" i="10"/>
  <c r="Z412" i="10"/>
  <c r="AA412" i="10"/>
  <c r="AB412" i="10"/>
  <c r="AC412" i="10"/>
  <c r="AD412" i="10"/>
  <c r="AE412" i="10"/>
  <c r="AF412" i="10"/>
  <c r="D413" i="10"/>
  <c r="E413" i="10"/>
  <c r="F413" i="10"/>
  <c r="G413" i="10"/>
  <c r="H413" i="10"/>
  <c r="I413" i="10"/>
  <c r="J413" i="10"/>
  <c r="K413" i="10"/>
  <c r="L413" i="10"/>
  <c r="M413" i="10"/>
  <c r="N413" i="10"/>
  <c r="O413" i="10"/>
  <c r="P413" i="10"/>
  <c r="Q413" i="10"/>
  <c r="R413" i="10"/>
  <c r="S413" i="10"/>
  <c r="T413" i="10"/>
  <c r="U413" i="10"/>
  <c r="V413" i="10"/>
  <c r="W413" i="10"/>
  <c r="X413" i="10"/>
  <c r="Y413" i="10"/>
  <c r="Z413" i="10"/>
  <c r="AA413" i="10"/>
  <c r="AB413" i="10"/>
  <c r="AC413" i="10"/>
  <c r="AD413" i="10"/>
  <c r="AE413" i="10"/>
  <c r="AF413" i="10"/>
  <c r="D418" i="10"/>
  <c r="E418" i="10"/>
  <c r="F418" i="10"/>
  <c r="G418" i="10"/>
  <c r="H418" i="10"/>
  <c r="I418" i="10"/>
  <c r="J418" i="10"/>
  <c r="K418" i="10"/>
  <c r="L418" i="10"/>
  <c r="M418" i="10"/>
  <c r="N418" i="10"/>
  <c r="O418" i="10"/>
  <c r="P418" i="10"/>
  <c r="Q418" i="10"/>
  <c r="R418" i="10"/>
  <c r="S418" i="10"/>
  <c r="T418" i="10"/>
  <c r="U418" i="10"/>
  <c r="V418" i="10"/>
  <c r="W418" i="10"/>
  <c r="X418" i="10"/>
  <c r="Y418" i="10"/>
  <c r="Z418" i="10"/>
  <c r="AA418" i="10"/>
  <c r="AB418" i="10"/>
  <c r="AC418" i="10"/>
  <c r="AD418" i="10"/>
  <c r="AE418" i="10"/>
  <c r="AF418" i="10"/>
  <c r="D414" i="10"/>
  <c r="E414" i="10"/>
  <c r="F414" i="10"/>
  <c r="G414" i="10"/>
  <c r="H414" i="10"/>
  <c r="I414" i="10"/>
  <c r="J414" i="10"/>
  <c r="K414" i="10"/>
  <c r="L414" i="10"/>
  <c r="M414" i="10"/>
  <c r="N414" i="10"/>
  <c r="O414" i="10"/>
  <c r="P414" i="10"/>
  <c r="Q414" i="10"/>
  <c r="R414" i="10"/>
  <c r="S414" i="10"/>
  <c r="T414" i="10"/>
  <c r="U414" i="10"/>
  <c r="V414" i="10"/>
  <c r="W414" i="10"/>
  <c r="X414" i="10"/>
  <c r="Y414" i="10"/>
  <c r="Z414" i="10"/>
  <c r="AA414" i="10"/>
  <c r="AB414" i="10"/>
  <c r="AC414" i="10"/>
  <c r="AD414" i="10"/>
  <c r="AE414" i="10"/>
  <c r="AF414" i="10"/>
  <c r="D415" i="10"/>
  <c r="E415" i="10"/>
  <c r="F415" i="10"/>
  <c r="G415" i="10"/>
  <c r="H415" i="10"/>
  <c r="I415" i="10"/>
  <c r="J415" i="10"/>
  <c r="K415" i="10"/>
  <c r="L415" i="10"/>
  <c r="M415" i="10"/>
  <c r="N415" i="10"/>
  <c r="O415" i="10"/>
  <c r="P415" i="10"/>
  <c r="Q415" i="10"/>
  <c r="R415" i="10"/>
  <c r="S415" i="10"/>
  <c r="T415" i="10"/>
  <c r="U415" i="10"/>
  <c r="V415" i="10"/>
  <c r="W415" i="10"/>
  <c r="X415" i="10"/>
  <c r="Y415" i="10"/>
  <c r="Z415" i="10"/>
  <c r="AA415" i="10"/>
  <c r="AB415" i="10"/>
  <c r="AC415" i="10"/>
  <c r="AD415" i="10"/>
  <c r="AE415" i="10"/>
  <c r="AF415" i="10"/>
  <c r="D416" i="10"/>
  <c r="E416" i="10"/>
  <c r="F416" i="10"/>
  <c r="G416" i="10"/>
  <c r="H416" i="10"/>
  <c r="I416" i="10"/>
  <c r="J416" i="10"/>
  <c r="K416" i="10"/>
  <c r="L416" i="10"/>
  <c r="M416" i="10"/>
  <c r="N416" i="10"/>
  <c r="O416" i="10"/>
  <c r="P416" i="10"/>
  <c r="Q416" i="10"/>
  <c r="R416" i="10"/>
  <c r="S416" i="10"/>
  <c r="T416" i="10"/>
  <c r="U416" i="10"/>
  <c r="V416" i="10"/>
  <c r="W416" i="10"/>
  <c r="X416" i="10"/>
  <c r="Y416" i="10"/>
  <c r="Z416" i="10"/>
  <c r="AA416" i="10"/>
  <c r="AB416" i="10"/>
  <c r="AC416" i="10"/>
  <c r="AD416" i="10"/>
  <c r="AE416" i="10"/>
  <c r="AF416" i="10"/>
  <c r="D417" i="10"/>
  <c r="E417" i="10"/>
  <c r="F417" i="10"/>
  <c r="G417" i="10"/>
  <c r="H417" i="10"/>
  <c r="I417" i="10"/>
  <c r="J417" i="10"/>
  <c r="K417" i="10"/>
  <c r="L417" i="10"/>
  <c r="M417" i="10"/>
  <c r="N417" i="10"/>
  <c r="O417" i="10"/>
  <c r="P417" i="10"/>
  <c r="Q417" i="10"/>
  <c r="R417" i="10"/>
  <c r="S417" i="10"/>
  <c r="T417" i="10"/>
  <c r="U417" i="10"/>
  <c r="V417" i="10"/>
  <c r="W417" i="10"/>
  <c r="X417" i="10"/>
  <c r="Y417" i="10"/>
  <c r="Z417" i="10"/>
  <c r="AA417" i="10"/>
  <c r="AB417" i="10"/>
  <c r="AC417" i="10"/>
  <c r="AD417" i="10"/>
  <c r="AE417" i="10"/>
  <c r="AF417" i="10"/>
  <c r="D419" i="10"/>
  <c r="E419" i="10"/>
  <c r="F419" i="10"/>
  <c r="G419" i="10"/>
  <c r="H419" i="10"/>
  <c r="I419" i="10"/>
  <c r="J419" i="10"/>
  <c r="K419" i="10"/>
  <c r="L419" i="10"/>
  <c r="M419" i="10"/>
  <c r="N419" i="10"/>
  <c r="O419" i="10"/>
  <c r="P419" i="10"/>
  <c r="Q419" i="10"/>
  <c r="R419" i="10"/>
  <c r="S419" i="10"/>
  <c r="T419" i="10"/>
  <c r="U419" i="10"/>
  <c r="V419" i="10"/>
  <c r="W419" i="10"/>
  <c r="X419" i="10"/>
  <c r="Y419" i="10"/>
  <c r="Z419" i="10"/>
  <c r="AA419" i="10"/>
  <c r="AB419" i="10"/>
  <c r="AC419" i="10"/>
  <c r="AD419" i="10"/>
  <c r="AE419" i="10"/>
  <c r="AF419" i="10"/>
  <c r="D420" i="10"/>
  <c r="E420" i="10"/>
  <c r="F420" i="10"/>
  <c r="G420" i="10"/>
  <c r="H420" i="10"/>
  <c r="I420" i="10"/>
  <c r="J420" i="10"/>
  <c r="K420" i="10"/>
  <c r="L420" i="10"/>
  <c r="M420" i="10"/>
  <c r="N420" i="10"/>
  <c r="O420" i="10"/>
  <c r="P420" i="10"/>
  <c r="Q420" i="10"/>
  <c r="R420" i="10"/>
  <c r="S420" i="10"/>
  <c r="T420" i="10"/>
  <c r="U420" i="10"/>
  <c r="V420" i="10"/>
  <c r="W420" i="10"/>
  <c r="X420" i="10"/>
  <c r="Y420" i="10"/>
  <c r="Z420" i="10"/>
  <c r="AA420" i="10"/>
  <c r="AB420" i="10"/>
  <c r="AC420" i="10"/>
  <c r="AD420" i="10"/>
  <c r="AE420" i="10"/>
  <c r="AF420" i="10"/>
  <c r="D421" i="10"/>
  <c r="E421" i="10"/>
  <c r="F421" i="10"/>
  <c r="G421" i="10"/>
  <c r="H421" i="10"/>
  <c r="I421" i="10"/>
  <c r="J421" i="10"/>
  <c r="K421" i="10"/>
  <c r="L421" i="10"/>
  <c r="M421" i="10"/>
  <c r="N421" i="10"/>
  <c r="O421" i="10"/>
  <c r="P421" i="10"/>
  <c r="Q421" i="10"/>
  <c r="R421" i="10"/>
  <c r="S421" i="10"/>
  <c r="T421" i="10"/>
  <c r="U421" i="10"/>
  <c r="V421" i="10"/>
  <c r="W421" i="10"/>
  <c r="X421" i="10"/>
  <c r="Y421" i="10"/>
  <c r="Z421" i="10"/>
  <c r="AA421" i="10"/>
  <c r="AB421" i="10"/>
  <c r="AC421" i="10"/>
  <c r="AD421" i="10"/>
  <c r="AE421" i="10"/>
  <c r="AF421" i="10"/>
  <c r="D422" i="10"/>
  <c r="E422" i="10"/>
  <c r="F422" i="10"/>
  <c r="G422" i="10"/>
  <c r="H422" i="10"/>
  <c r="I422" i="10"/>
  <c r="J422" i="10"/>
  <c r="K422" i="10"/>
  <c r="L422" i="10"/>
  <c r="M422" i="10"/>
  <c r="N422" i="10"/>
  <c r="O422" i="10"/>
  <c r="P422" i="10"/>
  <c r="Q422" i="10"/>
  <c r="R422" i="10"/>
  <c r="S422" i="10"/>
  <c r="T422" i="10"/>
  <c r="U422" i="10"/>
  <c r="V422" i="10"/>
  <c r="W422" i="10"/>
  <c r="X422" i="10"/>
  <c r="Y422" i="10"/>
  <c r="Z422" i="10"/>
  <c r="AA422" i="10"/>
  <c r="AB422" i="10"/>
  <c r="AC422" i="10"/>
  <c r="AD422" i="10"/>
  <c r="AE422" i="10"/>
  <c r="AF422" i="10"/>
  <c r="D423" i="10"/>
  <c r="E423" i="10"/>
  <c r="F423" i="10"/>
  <c r="G423" i="10"/>
  <c r="H423" i="10"/>
  <c r="I423" i="10"/>
  <c r="J423" i="10"/>
  <c r="K423" i="10"/>
  <c r="L423" i="10"/>
  <c r="M423" i="10"/>
  <c r="N423" i="10"/>
  <c r="O423" i="10"/>
  <c r="P423" i="10"/>
  <c r="Q423" i="10"/>
  <c r="R423" i="10"/>
  <c r="S423" i="10"/>
  <c r="T423" i="10"/>
  <c r="U423" i="10"/>
  <c r="V423" i="10"/>
  <c r="W423" i="10"/>
  <c r="X423" i="10"/>
  <c r="Y423" i="10"/>
  <c r="Z423" i="10"/>
  <c r="AA423" i="10"/>
  <c r="AB423" i="10"/>
  <c r="AC423" i="10"/>
  <c r="AD423" i="10"/>
  <c r="AE423" i="10"/>
  <c r="AF423" i="10"/>
  <c r="D424" i="10"/>
  <c r="E424" i="10"/>
  <c r="F424" i="10"/>
  <c r="G424" i="10"/>
  <c r="H424" i="10"/>
  <c r="I424" i="10"/>
  <c r="J424" i="10"/>
  <c r="K424" i="10"/>
  <c r="L424" i="10"/>
  <c r="M424" i="10"/>
  <c r="N424" i="10"/>
  <c r="O424" i="10"/>
  <c r="P424" i="10"/>
  <c r="Q424" i="10"/>
  <c r="R424" i="10"/>
  <c r="S424" i="10"/>
  <c r="T424" i="10"/>
  <c r="U424" i="10"/>
  <c r="V424" i="10"/>
  <c r="W424" i="10"/>
  <c r="X424" i="10"/>
  <c r="Y424" i="10"/>
  <c r="Z424" i="10"/>
  <c r="AA424" i="10"/>
  <c r="AB424" i="10"/>
  <c r="AC424" i="10"/>
  <c r="AD424" i="10"/>
  <c r="AE424" i="10"/>
  <c r="AF424" i="10"/>
  <c r="D425" i="10"/>
  <c r="E425" i="10"/>
  <c r="F425" i="10"/>
  <c r="G425" i="10"/>
  <c r="H425" i="10"/>
  <c r="I425" i="10"/>
  <c r="J425" i="10"/>
  <c r="K425" i="10"/>
  <c r="L425" i="10"/>
  <c r="M425" i="10"/>
  <c r="N425" i="10"/>
  <c r="O425" i="10"/>
  <c r="P425" i="10"/>
  <c r="Q425" i="10"/>
  <c r="R425" i="10"/>
  <c r="S425" i="10"/>
  <c r="T425" i="10"/>
  <c r="U425" i="10"/>
  <c r="V425" i="10"/>
  <c r="W425" i="10"/>
  <c r="X425" i="10"/>
  <c r="Y425" i="10"/>
  <c r="Z425" i="10"/>
  <c r="AA425" i="10"/>
  <c r="AB425" i="10"/>
  <c r="AC425" i="10"/>
  <c r="AD425" i="10"/>
  <c r="AE425" i="10"/>
  <c r="AF425" i="10"/>
  <c r="D426" i="10"/>
  <c r="E426" i="10"/>
  <c r="F426" i="10"/>
  <c r="G426" i="10"/>
  <c r="H426" i="10"/>
  <c r="I426" i="10"/>
  <c r="J426" i="10"/>
  <c r="K426" i="10"/>
  <c r="L426" i="10"/>
  <c r="M426" i="10"/>
  <c r="N426" i="10"/>
  <c r="O426" i="10"/>
  <c r="P426" i="10"/>
  <c r="Q426" i="10"/>
  <c r="R426" i="10"/>
  <c r="S426" i="10"/>
  <c r="T426" i="10"/>
  <c r="U426" i="10"/>
  <c r="V426" i="10"/>
  <c r="W426" i="10"/>
  <c r="X426" i="10"/>
  <c r="Y426" i="10"/>
  <c r="Z426" i="10"/>
  <c r="AA426" i="10"/>
  <c r="AB426" i="10"/>
  <c r="AC426" i="10"/>
  <c r="AD426" i="10"/>
  <c r="AE426" i="10"/>
  <c r="AF426" i="10"/>
  <c r="D427" i="10"/>
  <c r="E427" i="10"/>
  <c r="F427" i="10"/>
  <c r="G427" i="10"/>
  <c r="H427" i="10"/>
  <c r="I427" i="10"/>
  <c r="J427" i="10"/>
  <c r="K427" i="10"/>
  <c r="L427" i="10"/>
  <c r="M427" i="10"/>
  <c r="N427" i="10"/>
  <c r="O427" i="10"/>
  <c r="P427" i="10"/>
  <c r="Q427" i="10"/>
  <c r="R427" i="10"/>
  <c r="S427" i="10"/>
  <c r="T427" i="10"/>
  <c r="U427" i="10"/>
  <c r="V427" i="10"/>
  <c r="W427" i="10"/>
  <c r="X427" i="10"/>
  <c r="Y427" i="10"/>
  <c r="Z427" i="10"/>
  <c r="AA427" i="10"/>
  <c r="AB427" i="10"/>
  <c r="AC427" i="10"/>
  <c r="AD427" i="10"/>
  <c r="AE427" i="10"/>
  <c r="AF427" i="10"/>
  <c r="D371" i="10"/>
  <c r="E371" i="10"/>
  <c r="F371" i="10"/>
  <c r="G371" i="10"/>
  <c r="H371" i="10"/>
  <c r="I371" i="10"/>
  <c r="J371" i="10"/>
  <c r="K371" i="10"/>
  <c r="L371" i="10"/>
  <c r="M371" i="10"/>
  <c r="N371" i="10"/>
  <c r="O371" i="10"/>
  <c r="P371" i="10"/>
  <c r="Q371" i="10"/>
  <c r="R371" i="10"/>
  <c r="S371" i="10"/>
  <c r="T371" i="10"/>
  <c r="U371" i="10"/>
  <c r="V371" i="10"/>
  <c r="W371" i="10"/>
  <c r="X371" i="10"/>
  <c r="Y371" i="10"/>
  <c r="Z371" i="10"/>
  <c r="AA371" i="10"/>
  <c r="AB371" i="10"/>
  <c r="AC371" i="10"/>
  <c r="AD371" i="10"/>
  <c r="AE371" i="10"/>
  <c r="AF371" i="10"/>
  <c r="D372" i="10"/>
  <c r="E372" i="10"/>
  <c r="F372" i="10"/>
  <c r="G372" i="10"/>
  <c r="H372" i="10"/>
  <c r="I372" i="10"/>
  <c r="J372" i="10"/>
  <c r="K372" i="10"/>
  <c r="L372" i="10"/>
  <c r="M372" i="10"/>
  <c r="N372" i="10"/>
  <c r="O372" i="10"/>
  <c r="P372" i="10"/>
  <c r="Q372" i="10"/>
  <c r="R372" i="10"/>
  <c r="S372" i="10"/>
  <c r="T372" i="10"/>
  <c r="U372" i="10"/>
  <c r="V372" i="10"/>
  <c r="W372" i="10"/>
  <c r="X372" i="10"/>
  <c r="Y372" i="10"/>
  <c r="Z372" i="10"/>
  <c r="AA372" i="10"/>
  <c r="AB372" i="10"/>
  <c r="AC372" i="10"/>
  <c r="AD372" i="10"/>
  <c r="AE372" i="10"/>
  <c r="AF372" i="10"/>
  <c r="D373" i="10"/>
  <c r="E373" i="10"/>
  <c r="F373" i="10"/>
  <c r="G373" i="10"/>
  <c r="H373" i="10"/>
  <c r="I373" i="10"/>
  <c r="J373" i="10"/>
  <c r="K373" i="10"/>
  <c r="L373" i="10"/>
  <c r="M373" i="10"/>
  <c r="N373" i="10"/>
  <c r="O373" i="10"/>
  <c r="P373" i="10"/>
  <c r="Q373" i="10"/>
  <c r="R373" i="10"/>
  <c r="S373" i="10"/>
  <c r="T373" i="10"/>
  <c r="U373" i="10"/>
  <c r="V373" i="10"/>
  <c r="W373" i="10"/>
  <c r="X373" i="10"/>
  <c r="Y373" i="10"/>
  <c r="Z373" i="10"/>
  <c r="AA373" i="10"/>
  <c r="AB373" i="10"/>
  <c r="AC373" i="10"/>
  <c r="AD373" i="10"/>
  <c r="AE373" i="10"/>
  <c r="AF373" i="10"/>
  <c r="D374" i="10"/>
  <c r="E374" i="10"/>
  <c r="F374" i="10"/>
  <c r="G374" i="10"/>
  <c r="H374" i="10"/>
  <c r="I374" i="10"/>
  <c r="J374" i="10"/>
  <c r="K374" i="10"/>
  <c r="L374" i="10"/>
  <c r="M374" i="10"/>
  <c r="N374" i="10"/>
  <c r="O374" i="10"/>
  <c r="P374" i="10"/>
  <c r="Q374" i="10"/>
  <c r="R374" i="10"/>
  <c r="S374" i="10"/>
  <c r="T374" i="10"/>
  <c r="U374" i="10"/>
  <c r="V374" i="10"/>
  <c r="W374" i="10"/>
  <c r="X374" i="10"/>
  <c r="Y374" i="10"/>
  <c r="Z374" i="10"/>
  <c r="AA374" i="10"/>
  <c r="AB374" i="10"/>
  <c r="AC374" i="10"/>
  <c r="AD374" i="10"/>
  <c r="AE374" i="10"/>
  <c r="AF374" i="10"/>
  <c r="D375" i="10"/>
  <c r="E375" i="10"/>
  <c r="F375" i="10"/>
  <c r="G375" i="10"/>
  <c r="H375" i="10"/>
  <c r="I375" i="10"/>
  <c r="J375" i="10"/>
  <c r="K375" i="10"/>
  <c r="L375" i="10"/>
  <c r="M375" i="10"/>
  <c r="N375" i="10"/>
  <c r="O375" i="10"/>
  <c r="P375" i="10"/>
  <c r="Q375" i="10"/>
  <c r="R375" i="10"/>
  <c r="S375" i="10"/>
  <c r="T375" i="10"/>
  <c r="U375" i="10"/>
  <c r="V375" i="10"/>
  <c r="W375" i="10"/>
  <c r="X375" i="10"/>
  <c r="Y375" i="10"/>
  <c r="Z375" i="10"/>
  <c r="AA375" i="10"/>
  <c r="AB375" i="10"/>
  <c r="AC375" i="10"/>
  <c r="AD375" i="10"/>
  <c r="AE375" i="10"/>
  <c r="AF375" i="10"/>
  <c r="D376" i="10"/>
  <c r="E376" i="10"/>
  <c r="F376" i="10"/>
  <c r="G376" i="10"/>
  <c r="H376" i="10"/>
  <c r="I376" i="10"/>
  <c r="J376" i="10"/>
  <c r="K376" i="10"/>
  <c r="L376" i="10"/>
  <c r="M376" i="10"/>
  <c r="N376" i="10"/>
  <c r="O376" i="10"/>
  <c r="P376" i="10"/>
  <c r="Q376" i="10"/>
  <c r="R376" i="10"/>
  <c r="S376" i="10"/>
  <c r="T376" i="10"/>
  <c r="U376" i="10"/>
  <c r="V376" i="10"/>
  <c r="W376" i="10"/>
  <c r="X376" i="10"/>
  <c r="Y376" i="10"/>
  <c r="Z376" i="10"/>
  <c r="AA376" i="10"/>
  <c r="AB376" i="10"/>
  <c r="AC376" i="10"/>
  <c r="AD376" i="10"/>
  <c r="AE376" i="10"/>
  <c r="AF376" i="10"/>
  <c r="D377" i="10"/>
  <c r="E377" i="10"/>
  <c r="F377" i="10"/>
  <c r="G377" i="10"/>
  <c r="H377" i="10"/>
  <c r="I377" i="10"/>
  <c r="J377" i="10"/>
  <c r="K377" i="10"/>
  <c r="L377" i="10"/>
  <c r="M377" i="10"/>
  <c r="N377" i="10"/>
  <c r="O377" i="10"/>
  <c r="P377" i="10"/>
  <c r="Q377" i="10"/>
  <c r="R377" i="10"/>
  <c r="S377" i="10"/>
  <c r="T377" i="10"/>
  <c r="U377" i="10"/>
  <c r="V377" i="10"/>
  <c r="W377" i="10"/>
  <c r="X377" i="10"/>
  <c r="Y377" i="10"/>
  <c r="Z377" i="10"/>
  <c r="AA377" i="10"/>
  <c r="AB377" i="10"/>
  <c r="AC377" i="10"/>
  <c r="AD377" i="10"/>
  <c r="AE377" i="10"/>
  <c r="AF377" i="10"/>
  <c r="D378" i="10"/>
  <c r="E378" i="10"/>
  <c r="F378" i="10"/>
  <c r="G378" i="10"/>
  <c r="H378" i="10"/>
  <c r="I378" i="10"/>
  <c r="J378" i="10"/>
  <c r="K378" i="10"/>
  <c r="L378" i="10"/>
  <c r="M378" i="10"/>
  <c r="N378" i="10"/>
  <c r="O378" i="10"/>
  <c r="P378" i="10"/>
  <c r="Q378" i="10"/>
  <c r="R378" i="10"/>
  <c r="S378" i="10"/>
  <c r="T378" i="10"/>
  <c r="U378" i="10"/>
  <c r="V378" i="10"/>
  <c r="W378" i="10"/>
  <c r="X378" i="10"/>
  <c r="Y378" i="10"/>
  <c r="Z378" i="10"/>
  <c r="AA378" i="10"/>
  <c r="AB378" i="10"/>
  <c r="AC378" i="10"/>
  <c r="AD378" i="10"/>
  <c r="AE378" i="10"/>
  <c r="AF378" i="10"/>
  <c r="D383" i="10"/>
  <c r="E383" i="10"/>
  <c r="F383" i="10"/>
  <c r="G383" i="10"/>
  <c r="H383" i="10"/>
  <c r="I383" i="10"/>
  <c r="J383" i="10"/>
  <c r="K383" i="10"/>
  <c r="L383" i="10"/>
  <c r="M383" i="10"/>
  <c r="N383" i="10"/>
  <c r="O383" i="10"/>
  <c r="P383" i="10"/>
  <c r="Q383" i="10"/>
  <c r="R383" i="10"/>
  <c r="S383" i="10"/>
  <c r="T383" i="10"/>
  <c r="U383" i="10"/>
  <c r="V383" i="10"/>
  <c r="W383" i="10"/>
  <c r="X383" i="10"/>
  <c r="Y383" i="10"/>
  <c r="Z383" i="10"/>
  <c r="AA383" i="10"/>
  <c r="AB383" i="10"/>
  <c r="AC383" i="10"/>
  <c r="AD383" i="10"/>
  <c r="AE383" i="10"/>
  <c r="AF383" i="10"/>
  <c r="D379" i="10"/>
  <c r="E379" i="10"/>
  <c r="F379" i="10"/>
  <c r="G379" i="10"/>
  <c r="H379" i="10"/>
  <c r="I379" i="10"/>
  <c r="J379" i="10"/>
  <c r="K379" i="10"/>
  <c r="L379" i="10"/>
  <c r="M379" i="10"/>
  <c r="N379" i="10"/>
  <c r="O379" i="10"/>
  <c r="P379" i="10"/>
  <c r="Q379" i="10"/>
  <c r="R379" i="10"/>
  <c r="S379" i="10"/>
  <c r="T379" i="10"/>
  <c r="U379" i="10"/>
  <c r="V379" i="10"/>
  <c r="W379" i="10"/>
  <c r="X379" i="10"/>
  <c r="Y379" i="10"/>
  <c r="Z379" i="10"/>
  <c r="AA379" i="10"/>
  <c r="AB379" i="10"/>
  <c r="AC379" i="10"/>
  <c r="AD379" i="10"/>
  <c r="AE379" i="10"/>
  <c r="AF379" i="10"/>
  <c r="D380" i="10"/>
  <c r="E380" i="10"/>
  <c r="F380" i="10"/>
  <c r="G380" i="10"/>
  <c r="H380" i="10"/>
  <c r="I380" i="10"/>
  <c r="J380" i="10"/>
  <c r="K380" i="10"/>
  <c r="L380" i="10"/>
  <c r="M380" i="10"/>
  <c r="N380" i="10"/>
  <c r="O380" i="10"/>
  <c r="P380" i="10"/>
  <c r="Q380" i="10"/>
  <c r="R380" i="10"/>
  <c r="S380" i="10"/>
  <c r="T380" i="10"/>
  <c r="U380" i="10"/>
  <c r="V380" i="10"/>
  <c r="W380" i="10"/>
  <c r="X380" i="10"/>
  <c r="Y380" i="10"/>
  <c r="Z380" i="10"/>
  <c r="AA380" i="10"/>
  <c r="AB380" i="10"/>
  <c r="AC380" i="10"/>
  <c r="AD380" i="10"/>
  <c r="AE380" i="10"/>
  <c r="AF380" i="10"/>
  <c r="D381" i="10"/>
  <c r="E381" i="10"/>
  <c r="F381" i="10"/>
  <c r="G381" i="10"/>
  <c r="H381" i="10"/>
  <c r="I381" i="10"/>
  <c r="J381" i="10"/>
  <c r="K381" i="10"/>
  <c r="L381" i="10"/>
  <c r="M381" i="10"/>
  <c r="N381" i="10"/>
  <c r="O381" i="10"/>
  <c r="P381" i="10"/>
  <c r="Q381" i="10"/>
  <c r="R381" i="10"/>
  <c r="S381" i="10"/>
  <c r="T381" i="10"/>
  <c r="U381" i="10"/>
  <c r="V381" i="10"/>
  <c r="W381" i="10"/>
  <c r="X381" i="10"/>
  <c r="Y381" i="10"/>
  <c r="Z381" i="10"/>
  <c r="AA381" i="10"/>
  <c r="AB381" i="10"/>
  <c r="AC381" i="10"/>
  <c r="AD381" i="10"/>
  <c r="AE381" i="10"/>
  <c r="AF381" i="10"/>
  <c r="D382" i="10"/>
  <c r="E382" i="10"/>
  <c r="F382" i="10"/>
  <c r="G382" i="10"/>
  <c r="H382" i="10"/>
  <c r="I382" i="10"/>
  <c r="J382" i="10"/>
  <c r="K382" i="10"/>
  <c r="L382" i="10"/>
  <c r="M382" i="10"/>
  <c r="N382" i="10"/>
  <c r="O382" i="10"/>
  <c r="P382" i="10"/>
  <c r="Q382" i="10"/>
  <c r="R382" i="10"/>
  <c r="S382" i="10"/>
  <c r="T382" i="10"/>
  <c r="U382" i="10"/>
  <c r="V382" i="10"/>
  <c r="W382" i="10"/>
  <c r="X382" i="10"/>
  <c r="Y382" i="10"/>
  <c r="Z382" i="10"/>
  <c r="AA382" i="10"/>
  <c r="AB382" i="10"/>
  <c r="AC382" i="10"/>
  <c r="AD382" i="10"/>
  <c r="AE382" i="10"/>
  <c r="AF382" i="10"/>
  <c r="D384" i="10"/>
  <c r="E384" i="10"/>
  <c r="F384" i="10"/>
  <c r="G384" i="10"/>
  <c r="H384" i="10"/>
  <c r="I384" i="10"/>
  <c r="J384" i="10"/>
  <c r="K384" i="10"/>
  <c r="L384" i="10"/>
  <c r="M384" i="10"/>
  <c r="N384" i="10"/>
  <c r="O384" i="10"/>
  <c r="P384" i="10"/>
  <c r="Q384" i="10"/>
  <c r="R384" i="10"/>
  <c r="S384" i="10"/>
  <c r="T384" i="10"/>
  <c r="U384" i="10"/>
  <c r="V384" i="10"/>
  <c r="W384" i="10"/>
  <c r="X384" i="10"/>
  <c r="Y384" i="10"/>
  <c r="Z384" i="10"/>
  <c r="AA384" i="10"/>
  <c r="AB384" i="10"/>
  <c r="AC384" i="10"/>
  <c r="AD384" i="10"/>
  <c r="AE384" i="10"/>
  <c r="AF384" i="10"/>
  <c r="D385" i="10"/>
  <c r="E385" i="10"/>
  <c r="F385" i="10"/>
  <c r="G385" i="10"/>
  <c r="H385" i="10"/>
  <c r="I385" i="10"/>
  <c r="J385" i="10"/>
  <c r="K385" i="10"/>
  <c r="L385" i="10"/>
  <c r="M385" i="10"/>
  <c r="N385" i="10"/>
  <c r="O385" i="10"/>
  <c r="P385" i="10"/>
  <c r="Q385" i="10"/>
  <c r="R385" i="10"/>
  <c r="S385" i="10"/>
  <c r="T385" i="10"/>
  <c r="U385" i="10"/>
  <c r="V385" i="10"/>
  <c r="W385" i="10"/>
  <c r="X385" i="10"/>
  <c r="Y385" i="10"/>
  <c r="Z385" i="10"/>
  <c r="AA385" i="10"/>
  <c r="AB385" i="10"/>
  <c r="AC385" i="10"/>
  <c r="AD385" i="10"/>
  <c r="AE385" i="10"/>
  <c r="AF385" i="10"/>
  <c r="D386" i="10"/>
  <c r="E386" i="10"/>
  <c r="F386" i="10"/>
  <c r="G386" i="10"/>
  <c r="H386" i="10"/>
  <c r="I386" i="10"/>
  <c r="J386" i="10"/>
  <c r="K386" i="10"/>
  <c r="L386" i="10"/>
  <c r="M386" i="10"/>
  <c r="N386" i="10"/>
  <c r="O386" i="10"/>
  <c r="P386" i="10"/>
  <c r="Q386" i="10"/>
  <c r="R386" i="10"/>
  <c r="S386" i="10"/>
  <c r="T386" i="10"/>
  <c r="U386" i="10"/>
  <c r="V386" i="10"/>
  <c r="W386" i="10"/>
  <c r="X386" i="10"/>
  <c r="Y386" i="10"/>
  <c r="Z386" i="10"/>
  <c r="AA386" i="10"/>
  <c r="AB386" i="10"/>
  <c r="AC386" i="10"/>
  <c r="AD386" i="10"/>
  <c r="AE386" i="10"/>
  <c r="AF386" i="10"/>
  <c r="D387" i="10"/>
  <c r="E387" i="10"/>
  <c r="F387" i="10"/>
  <c r="G387" i="10"/>
  <c r="H387" i="10"/>
  <c r="I387" i="10"/>
  <c r="J387" i="10"/>
  <c r="K387" i="10"/>
  <c r="L387" i="10"/>
  <c r="M387" i="10"/>
  <c r="N387" i="10"/>
  <c r="O387" i="10"/>
  <c r="P387" i="10"/>
  <c r="Q387" i="10"/>
  <c r="R387" i="10"/>
  <c r="S387" i="10"/>
  <c r="T387" i="10"/>
  <c r="U387" i="10"/>
  <c r="V387" i="10"/>
  <c r="W387" i="10"/>
  <c r="X387" i="10"/>
  <c r="Y387" i="10"/>
  <c r="Z387" i="10"/>
  <c r="AA387" i="10"/>
  <c r="AB387" i="10"/>
  <c r="AC387" i="10"/>
  <c r="AD387" i="10"/>
  <c r="AE387" i="10"/>
  <c r="AF387" i="10"/>
  <c r="D388" i="10"/>
  <c r="E388" i="10"/>
  <c r="F388" i="10"/>
  <c r="G388" i="10"/>
  <c r="H388" i="10"/>
  <c r="I388" i="10"/>
  <c r="J388" i="10"/>
  <c r="K388" i="10"/>
  <c r="L388" i="10"/>
  <c r="M388" i="10"/>
  <c r="N388" i="10"/>
  <c r="O388" i="10"/>
  <c r="P388" i="10"/>
  <c r="Q388" i="10"/>
  <c r="R388" i="10"/>
  <c r="S388" i="10"/>
  <c r="T388" i="10"/>
  <c r="U388" i="10"/>
  <c r="V388" i="10"/>
  <c r="W388" i="10"/>
  <c r="X388" i="10"/>
  <c r="Y388" i="10"/>
  <c r="Z388" i="10"/>
  <c r="AA388" i="10"/>
  <c r="AB388" i="10"/>
  <c r="AC388" i="10"/>
  <c r="AD388" i="10"/>
  <c r="AE388" i="10"/>
  <c r="AF388" i="10"/>
  <c r="D389" i="10"/>
  <c r="E389" i="10"/>
  <c r="F389" i="10"/>
  <c r="G389" i="10"/>
  <c r="H389" i="10"/>
  <c r="I389" i="10"/>
  <c r="J389" i="10"/>
  <c r="K389" i="10"/>
  <c r="L389" i="10"/>
  <c r="M389" i="10"/>
  <c r="N389" i="10"/>
  <c r="O389" i="10"/>
  <c r="P389" i="10"/>
  <c r="Q389" i="10"/>
  <c r="R389" i="10"/>
  <c r="S389" i="10"/>
  <c r="T389" i="10"/>
  <c r="U389" i="10"/>
  <c r="V389" i="10"/>
  <c r="W389" i="10"/>
  <c r="X389" i="10"/>
  <c r="Y389" i="10"/>
  <c r="Z389" i="10"/>
  <c r="AA389" i="10"/>
  <c r="AB389" i="10"/>
  <c r="AC389" i="10"/>
  <c r="AD389" i="10"/>
  <c r="AE389" i="10"/>
  <c r="AF389" i="10"/>
  <c r="D390" i="10"/>
  <c r="E390" i="10"/>
  <c r="F390" i="10"/>
  <c r="G390" i="10"/>
  <c r="H390" i="10"/>
  <c r="I390" i="10"/>
  <c r="J390" i="10"/>
  <c r="K390" i="10"/>
  <c r="L390" i="10"/>
  <c r="M390" i="10"/>
  <c r="N390" i="10"/>
  <c r="O390" i="10"/>
  <c r="P390" i="10"/>
  <c r="Q390" i="10"/>
  <c r="R390" i="10"/>
  <c r="S390" i="10"/>
  <c r="T390" i="10"/>
  <c r="U390" i="10"/>
  <c r="V390" i="10"/>
  <c r="W390" i="10"/>
  <c r="X390" i="10"/>
  <c r="Y390" i="10"/>
  <c r="Z390" i="10"/>
  <c r="AA390" i="10"/>
  <c r="AB390" i="10"/>
  <c r="AC390" i="10"/>
  <c r="AD390" i="10"/>
  <c r="AE390" i="10"/>
  <c r="AF390" i="10"/>
  <c r="D391" i="10"/>
  <c r="E391" i="10"/>
  <c r="F391" i="10"/>
  <c r="G391" i="10"/>
  <c r="H391" i="10"/>
  <c r="I391" i="10"/>
  <c r="J391" i="10"/>
  <c r="K391" i="10"/>
  <c r="L391" i="10"/>
  <c r="M391" i="10"/>
  <c r="N391" i="10"/>
  <c r="O391" i="10"/>
  <c r="P391" i="10"/>
  <c r="Q391" i="10"/>
  <c r="R391" i="10"/>
  <c r="S391" i="10"/>
  <c r="T391" i="10"/>
  <c r="U391" i="10"/>
  <c r="V391" i="10"/>
  <c r="W391" i="10"/>
  <c r="X391" i="10"/>
  <c r="Y391" i="10"/>
  <c r="Z391" i="10"/>
  <c r="AA391" i="10"/>
  <c r="AB391" i="10"/>
  <c r="AC391" i="10"/>
  <c r="AD391" i="10"/>
  <c r="AE391" i="10"/>
  <c r="AF391" i="10"/>
  <c r="D392" i="10"/>
  <c r="E392" i="10"/>
  <c r="F392" i="10"/>
  <c r="G392" i="10"/>
  <c r="H392" i="10"/>
  <c r="I392" i="10"/>
  <c r="J392" i="10"/>
  <c r="K392" i="10"/>
  <c r="L392" i="10"/>
  <c r="M392" i="10"/>
  <c r="N392" i="10"/>
  <c r="O392" i="10"/>
  <c r="P392" i="10"/>
  <c r="Q392" i="10"/>
  <c r="R392" i="10"/>
  <c r="S392" i="10"/>
  <c r="T392" i="10"/>
  <c r="U392" i="10"/>
  <c r="V392" i="10"/>
  <c r="W392" i="10"/>
  <c r="X392" i="10"/>
  <c r="Y392" i="10"/>
  <c r="Z392" i="10"/>
  <c r="AA392" i="10"/>
  <c r="AB392" i="10"/>
  <c r="AC392" i="10"/>
  <c r="AD392" i="10"/>
  <c r="AE392" i="10"/>
  <c r="AF392" i="10"/>
  <c r="D336" i="10"/>
  <c r="E336" i="10"/>
  <c r="F336" i="10"/>
  <c r="G336" i="10"/>
  <c r="H336" i="10"/>
  <c r="I336" i="10"/>
  <c r="J336" i="10"/>
  <c r="K336" i="10"/>
  <c r="L336" i="10"/>
  <c r="M336" i="10"/>
  <c r="N336" i="10"/>
  <c r="O336" i="10"/>
  <c r="P336" i="10"/>
  <c r="Q336" i="10"/>
  <c r="R336" i="10"/>
  <c r="S336" i="10"/>
  <c r="T336" i="10"/>
  <c r="U336" i="10"/>
  <c r="V336" i="10"/>
  <c r="W336" i="10"/>
  <c r="X336" i="10"/>
  <c r="Y336" i="10"/>
  <c r="Z336" i="10"/>
  <c r="AA336" i="10"/>
  <c r="AB336" i="10"/>
  <c r="AC336" i="10"/>
  <c r="AD336" i="10"/>
  <c r="AE336" i="10"/>
  <c r="AF336" i="10"/>
  <c r="D337" i="10"/>
  <c r="E337" i="10"/>
  <c r="F337" i="10"/>
  <c r="G337" i="10"/>
  <c r="H337" i="10"/>
  <c r="I337" i="10"/>
  <c r="J337" i="10"/>
  <c r="K337" i="10"/>
  <c r="L337" i="10"/>
  <c r="M337" i="10"/>
  <c r="N337" i="10"/>
  <c r="O337" i="10"/>
  <c r="P337" i="10"/>
  <c r="Q337" i="10"/>
  <c r="R337" i="10"/>
  <c r="S337" i="10"/>
  <c r="T337" i="10"/>
  <c r="U337" i="10"/>
  <c r="V337" i="10"/>
  <c r="W337" i="10"/>
  <c r="X337" i="10"/>
  <c r="Y337" i="10"/>
  <c r="Z337" i="10"/>
  <c r="AA337" i="10"/>
  <c r="AB337" i="10"/>
  <c r="AC337" i="10"/>
  <c r="AD337" i="10"/>
  <c r="AE337" i="10"/>
  <c r="AF337" i="10"/>
  <c r="D338" i="10"/>
  <c r="E338" i="10"/>
  <c r="F338" i="10"/>
  <c r="G338" i="10"/>
  <c r="H338" i="10"/>
  <c r="I338" i="10"/>
  <c r="J338" i="10"/>
  <c r="K338" i="10"/>
  <c r="L338" i="10"/>
  <c r="M338" i="10"/>
  <c r="N338" i="10"/>
  <c r="O338" i="10"/>
  <c r="P338" i="10"/>
  <c r="Q338" i="10"/>
  <c r="R338" i="10"/>
  <c r="S338" i="10"/>
  <c r="T338" i="10"/>
  <c r="U338" i="10"/>
  <c r="V338" i="10"/>
  <c r="W338" i="10"/>
  <c r="X338" i="10"/>
  <c r="Y338" i="10"/>
  <c r="Z338" i="10"/>
  <c r="AA338" i="10"/>
  <c r="AB338" i="10"/>
  <c r="AC338" i="10"/>
  <c r="AD338" i="10"/>
  <c r="AE338" i="10"/>
  <c r="AF338" i="10"/>
  <c r="D339" i="10"/>
  <c r="E339" i="10"/>
  <c r="F339" i="10"/>
  <c r="G339" i="10"/>
  <c r="H339" i="10"/>
  <c r="I339" i="10"/>
  <c r="J339" i="10"/>
  <c r="K339" i="10"/>
  <c r="L339" i="10"/>
  <c r="M339" i="10"/>
  <c r="N339" i="10"/>
  <c r="O339" i="10"/>
  <c r="P339" i="10"/>
  <c r="Q339" i="10"/>
  <c r="R339" i="10"/>
  <c r="S339" i="10"/>
  <c r="T339" i="10"/>
  <c r="U339" i="10"/>
  <c r="V339" i="10"/>
  <c r="W339" i="10"/>
  <c r="X339" i="10"/>
  <c r="Y339" i="10"/>
  <c r="Z339" i="10"/>
  <c r="AA339" i="10"/>
  <c r="AB339" i="10"/>
  <c r="AC339" i="10"/>
  <c r="AD339" i="10"/>
  <c r="AE339" i="10"/>
  <c r="AF339" i="10"/>
  <c r="D340" i="10"/>
  <c r="E340" i="10"/>
  <c r="F340" i="10"/>
  <c r="G340" i="10"/>
  <c r="H340" i="10"/>
  <c r="I340" i="10"/>
  <c r="J340" i="10"/>
  <c r="K340" i="10"/>
  <c r="L340" i="10"/>
  <c r="M340" i="10"/>
  <c r="N340" i="10"/>
  <c r="O340" i="10"/>
  <c r="P340" i="10"/>
  <c r="Q340" i="10"/>
  <c r="R340" i="10"/>
  <c r="S340" i="10"/>
  <c r="T340" i="10"/>
  <c r="U340" i="10"/>
  <c r="V340" i="10"/>
  <c r="W340" i="10"/>
  <c r="X340" i="10"/>
  <c r="Y340" i="10"/>
  <c r="Z340" i="10"/>
  <c r="AA340" i="10"/>
  <c r="AB340" i="10"/>
  <c r="AC340" i="10"/>
  <c r="AD340" i="10"/>
  <c r="AE340" i="10"/>
  <c r="AF340" i="10"/>
  <c r="D341" i="10"/>
  <c r="E341" i="10"/>
  <c r="F341" i="10"/>
  <c r="G341" i="10"/>
  <c r="H341" i="10"/>
  <c r="I341" i="10"/>
  <c r="J341" i="10"/>
  <c r="K341" i="10"/>
  <c r="L341" i="10"/>
  <c r="M341" i="10"/>
  <c r="N341" i="10"/>
  <c r="O341" i="10"/>
  <c r="P341" i="10"/>
  <c r="Q341" i="10"/>
  <c r="R341" i="10"/>
  <c r="S341" i="10"/>
  <c r="T341" i="10"/>
  <c r="U341" i="10"/>
  <c r="V341" i="10"/>
  <c r="W341" i="10"/>
  <c r="X341" i="10"/>
  <c r="Y341" i="10"/>
  <c r="Z341" i="10"/>
  <c r="AA341" i="10"/>
  <c r="AB341" i="10"/>
  <c r="AC341" i="10"/>
  <c r="AD341" i="10"/>
  <c r="AE341" i="10"/>
  <c r="AF341" i="10"/>
  <c r="D342" i="10"/>
  <c r="E342" i="10"/>
  <c r="F342" i="10"/>
  <c r="G342" i="10"/>
  <c r="H342" i="10"/>
  <c r="I342" i="10"/>
  <c r="J342" i="10"/>
  <c r="K342" i="10"/>
  <c r="L342" i="10"/>
  <c r="M342" i="10"/>
  <c r="N342" i="10"/>
  <c r="O342" i="10"/>
  <c r="P342" i="10"/>
  <c r="Q342" i="10"/>
  <c r="R342" i="10"/>
  <c r="S342" i="10"/>
  <c r="T342" i="10"/>
  <c r="U342" i="10"/>
  <c r="V342" i="10"/>
  <c r="W342" i="10"/>
  <c r="X342" i="10"/>
  <c r="Y342" i="10"/>
  <c r="Z342" i="10"/>
  <c r="AA342" i="10"/>
  <c r="AB342" i="10"/>
  <c r="AC342" i="10"/>
  <c r="AD342" i="10"/>
  <c r="AE342" i="10"/>
  <c r="AF342" i="10"/>
  <c r="D343" i="10"/>
  <c r="E343" i="10"/>
  <c r="F343" i="10"/>
  <c r="G343" i="10"/>
  <c r="H343" i="10"/>
  <c r="I343" i="10"/>
  <c r="J343" i="10"/>
  <c r="K343" i="10"/>
  <c r="L343" i="10"/>
  <c r="M343" i="10"/>
  <c r="N343" i="10"/>
  <c r="O343" i="10"/>
  <c r="P343" i="10"/>
  <c r="Q343" i="10"/>
  <c r="R343" i="10"/>
  <c r="S343" i="10"/>
  <c r="T343" i="10"/>
  <c r="U343" i="10"/>
  <c r="V343" i="10"/>
  <c r="W343" i="10"/>
  <c r="X343" i="10"/>
  <c r="Y343" i="10"/>
  <c r="Z343" i="10"/>
  <c r="AA343" i="10"/>
  <c r="AB343" i="10"/>
  <c r="AC343" i="10"/>
  <c r="AD343" i="10"/>
  <c r="AE343" i="10"/>
  <c r="AF343" i="10"/>
  <c r="D348" i="10"/>
  <c r="E348" i="10"/>
  <c r="F348" i="10"/>
  <c r="G348" i="10"/>
  <c r="H348" i="10"/>
  <c r="I348" i="10"/>
  <c r="J348" i="10"/>
  <c r="K348" i="10"/>
  <c r="L348" i="10"/>
  <c r="M348" i="10"/>
  <c r="N348" i="10"/>
  <c r="O348" i="10"/>
  <c r="P348" i="10"/>
  <c r="Q348" i="10"/>
  <c r="R348" i="10"/>
  <c r="S348" i="10"/>
  <c r="T348" i="10"/>
  <c r="U348" i="10"/>
  <c r="V348" i="10"/>
  <c r="W348" i="10"/>
  <c r="X348" i="10"/>
  <c r="Y348" i="10"/>
  <c r="Z348" i="10"/>
  <c r="AA348" i="10"/>
  <c r="AB348" i="10"/>
  <c r="AC348" i="10"/>
  <c r="AD348" i="10"/>
  <c r="AE348" i="10"/>
  <c r="AF348" i="10"/>
  <c r="D344" i="10"/>
  <c r="E344" i="10"/>
  <c r="F344" i="10"/>
  <c r="G344" i="10"/>
  <c r="H344" i="10"/>
  <c r="I344" i="10"/>
  <c r="J344" i="10"/>
  <c r="K344" i="10"/>
  <c r="L344" i="10"/>
  <c r="M344" i="10"/>
  <c r="N344" i="10"/>
  <c r="O344" i="10"/>
  <c r="P344" i="10"/>
  <c r="Q344" i="10"/>
  <c r="R344" i="10"/>
  <c r="S344" i="10"/>
  <c r="T344" i="10"/>
  <c r="U344" i="10"/>
  <c r="V344" i="10"/>
  <c r="W344" i="10"/>
  <c r="X344" i="10"/>
  <c r="Y344" i="10"/>
  <c r="Z344" i="10"/>
  <c r="AA344" i="10"/>
  <c r="AB344" i="10"/>
  <c r="AC344" i="10"/>
  <c r="AD344" i="10"/>
  <c r="AE344" i="10"/>
  <c r="AF344" i="10"/>
  <c r="D345" i="10"/>
  <c r="E345" i="10"/>
  <c r="F345" i="10"/>
  <c r="G345" i="10"/>
  <c r="H345" i="10"/>
  <c r="I345" i="10"/>
  <c r="J345" i="10"/>
  <c r="K345" i="10"/>
  <c r="L345" i="10"/>
  <c r="M345" i="10"/>
  <c r="N345" i="10"/>
  <c r="O345" i="10"/>
  <c r="P345" i="10"/>
  <c r="Q345" i="10"/>
  <c r="R345" i="10"/>
  <c r="S345" i="10"/>
  <c r="T345" i="10"/>
  <c r="U345" i="10"/>
  <c r="V345" i="10"/>
  <c r="W345" i="10"/>
  <c r="X345" i="10"/>
  <c r="Y345" i="10"/>
  <c r="Z345" i="10"/>
  <c r="AA345" i="10"/>
  <c r="AB345" i="10"/>
  <c r="AC345" i="10"/>
  <c r="AD345" i="10"/>
  <c r="AE345" i="10"/>
  <c r="AF345" i="10"/>
  <c r="D346" i="10"/>
  <c r="E346" i="10"/>
  <c r="F346" i="10"/>
  <c r="G346" i="10"/>
  <c r="H346" i="10"/>
  <c r="I346" i="10"/>
  <c r="J346" i="10"/>
  <c r="K346" i="10"/>
  <c r="L346" i="10"/>
  <c r="M346" i="10"/>
  <c r="N346" i="10"/>
  <c r="O346" i="10"/>
  <c r="P346" i="10"/>
  <c r="Q346" i="10"/>
  <c r="R346" i="10"/>
  <c r="S346" i="10"/>
  <c r="T346" i="10"/>
  <c r="U346" i="10"/>
  <c r="V346" i="10"/>
  <c r="W346" i="10"/>
  <c r="X346" i="10"/>
  <c r="Y346" i="10"/>
  <c r="Z346" i="10"/>
  <c r="AA346" i="10"/>
  <c r="AB346" i="10"/>
  <c r="AC346" i="10"/>
  <c r="AD346" i="10"/>
  <c r="AE346" i="10"/>
  <c r="AF346" i="10"/>
  <c r="D347" i="10"/>
  <c r="E347" i="10"/>
  <c r="F347" i="10"/>
  <c r="G347" i="10"/>
  <c r="H347" i="10"/>
  <c r="I347" i="10"/>
  <c r="J347" i="10"/>
  <c r="K347" i="10"/>
  <c r="L347" i="10"/>
  <c r="M347" i="10"/>
  <c r="N347" i="10"/>
  <c r="O347" i="10"/>
  <c r="P347" i="10"/>
  <c r="Q347" i="10"/>
  <c r="R347" i="10"/>
  <c r="S347" i="10"/>
  <c r="T347" i="10"/>
  <c r="U347" i="10"/>
  <c r="V347" i="10"/>
  <c r="W347" i="10"/>
  <c r="X347" i="10"/>
  <c r="Y347" i="10"/>
  <c r="Z347" i="10"/>
  <c r="AA347" i="10"/>
  <c r="AB347" i="10"/>
  <c r="AC347" i="10"/>
  <c r="AD347" i="10"/>
  <c r="AE347" i="10"/>
  <c r="AF347" i="10"/>
  <c r="D349" i="10"/>
  <c r="E349" i="10"/>
  <c r="F349" i="10"/>
  <c r="G349" i="10"/>
  <c r="H349" i="10"/>
  <c r="I349" i="10"/>
  <c r="J349" i="10"/>
  <c r="K349" i="10"/>
  <c r="L349" i="10"/>
  <c r="M349" i="10"/>
  <c r="N349" i="10"/>
  <c r="O349" i="10"/>
  <c r="P349" i="10"/>
  <c r="Q349" i="10"/>
  <c r="R349" i="10"/>
  <c r="S349" i="10"/>
  <c r="T349" i="10"/>
  <c r="U349" i="10"/>
  <c r="V349" i="10"/>
  <c r="W349" i="10"/>
  <c r="X349" i="10"/>
  <c r="Y349" i="10"/>
  <c r="Z349" i="10"/>
  <c r="AA349" i="10"/>
  <c r="AB349" i="10"/>
  <c r="AC349" i="10"/>
  <c r="AD349" i="10"/>
  <c r="AE349" i="10"/>
  <c r="AF349" i="10"/>
  <c r="D350" i="10"/>
  <c r="E350" i="10"/>
  <c r="F350" i="10"/>
  <c r="G350" i="10"/>
  <c r="H350" i="10"/>
  <c r="I350" i="10"/>
  <c r="J350" i="10"/>
  <c r="K350" i="10"/>
  <c r="L350" i="10"/>
  <c r="M350" i="10"/>
  <c r="N350" i="10"/>
  <c r="O350" i="10"/>
  <c r="P350" i="10"/>
  <c r="Q350" i="10"/>
  <c r="R350" i="10"/>
  <c r="S350" i="10"/>
  <c r="T350" i="10"/>
  <c r="U350" i="10"/>
  <c r="V350" i="10"/>
  <c r="W350" i="10"/>
  <c r="X350" i="10"/>
  <c r="Y350" i="10"/>
  <c r="Z350" i="10"/>
  <c r="AA350" i="10"/>
  <c r="AB350" i="10"/>
  <c r="AC350" i="10"/>
  <c r="AD350" i="10"/>
  <c r="AE350" i="10"/>
  <c r="AF350" i="10"/>
  <c r="D351" i="10"/>
  <c r="E351" i="10"/>
  <c r="F351" i="10"/>
  <c r="G351" i="10"/>
  <c r="H351" i="10"/>
  <c r="I351" i="10"/>
  <c r="J351" i="10"/>
  <c r="K351" i="10"/>
  <c r="L351" i="10"/>
  <c r="M351" i="10"/>
  <c r="N351" i="10"/>
  <c r="O351" i="10"/>
  <c r="P351" i="10"/>
  <c r="Q351" i="10"/>
  <c r="R351" i="10"/>
  <c r="S351" i="10"/>
  <c r="T351" i="10"/>
  <c r="U351" i="10"/>
  <c r="V351" i="10"/>
  <c r="W351" i="10"/>
  <c r="X351" i="10"/>
  <c r="Y351" i="10"/>
  <c r="Z351" i="10"/>
  <c r="AA351" i="10"/>
  <c r="AB351" i="10"/>
  <c r="AC351" i="10"/>
  <c r="AD351" i="10"/>
  <c r="AE351" i="10"/>
  <c r="AF351" i="10"/>
  <c r="D352" i="10"/>
  <c r="E352" i="10"/>
  <c r="F352" i="10"/>
  <c r="G352" i="10"/>
  <c r="H352" i="10"/>
  <c r="I352" i="10"/>
  <c r="J352" i="10"/>
  <c r="K352" i="10"/>
  <c r="L352" i="10"/>
  <c r="M352" i="10"/>
  <c r="N352" i="10"/>
  <c r="O352" i="10"/>
  <c r="P352" i="10"/>
  <c r="Q352" i="10"/>
  <c r="R352" i="10"/>
  <c r="S352" i="10"/>
  <c r="T352" i="10"/>
  <c r="U352" i="10"/>
  <c r="V352" i="10"/>
  <c r="W352" i="10"/>
  <c r="X352" i="10"/>
  <c r="Y352" i="10"/>
  <c r="Z352" i="10"/>
  <c r="AA352" i="10"/>
  <c r="AB352" i="10"/>
  <c r="AC352" i="10"/>
  <c r="AD352" i="10"/>
  <c r="AE352" i="10"/>
  <c r="AF352" i="10"/>
  <c r="D353" i="10"/>
  <c r="E353" i="10"/>
  <c r="F353" i="10"/>
  <c r="G353" i="10"/>
  <c r="H353" i="10"/>
  <c r="I353" i="10"/>
  <c r="J353" i="10"/>
  <c r="K353" i="10"/>
  <c r="L353" i="10"/>
  <c r="M353" i="10"/>
  <c r="N353" i="10"/>
  <c r="O353" i="10"/>
  <c r="P353" i="10"/>
  <c r="Q353" i="10"/>
  <c r="R353" i="10"/>
  <c r="S353" i="10"/>
  <c r="T353" i="10"/>
  <c r="U353" i="10"/>
  <c r="V353" i="10"/>
  <c r="W353" i="10"/>
  <c r="X353" i="10"/>
  <c r="Y353" i="10"/>
  <c r="Z353" i="10"/>
  <c r="AA353" i="10"/>
  <c r="AB353" i="10"/>
  <c r="AC353" i="10"/>
  <c r="AD353" i="10"/>
  <c r="AE353" i="10"/>
  <c r="AF353" i="10"/>
  <c r="D354" i="10"/>
  <c r="E354" i="10"/>
  <c r="F354" i="10"/>
  <c r="G354" i="10"/>
  <c r="H354" i="10"/>
  <c r="I354" i="10"/>
  <c r="J354" i="10"/>
  <c r="K354" i="10"/>
  <c r="L354" i="10"/>
  <c r="M354" i="10"/>
  <c r="N354" i="10"/>
  <c r="O354" i="10"/>
  <c r="P354" i="10"/>
  <c r="Q354" i="10"/>
  <c r="R354" i="10"/>
  <c r="S354" i="10"/>
  <c r="T354" i="10"/>
  <c r="U354" i="10"/>
  <c r="V354" i="10"/>
  <c r="W354" i="10"/>
  <c r="X354" i="10"/>
  <c r="Y354" i="10"/>
  <c r="Z354" i="10"/>
  <c r="AA354" i="10"/>
  <c r="AB354" i="10"/>
  <c r="AC354" i="10"/>
  <c r="AD354" i="10"/>
  <c r="AE354" i="10"/>
  <c r="AF354" i="10"/>
  <c r="D355" i="10"/>
  <c r="E355" i="10"/>
  <c r="F355" i="10"/>
  <c r="G355" i="10"/>
  <c r="H355" i="10"/>
  <c r="I355" i="10"/>
  <c r="J355" i="10"/>
  <c r="K355" i="10"/>
  <c r="L355" i="10"/>
  <c r="M355" i="10"/>
  <c r="N355" i="10"/>
  <c r="O355" i="10"/>
  <c r="P355" i="10"/>
  <c r="Q355" i="10"/>
  <c r="R355" i="10"/>
  <c r="S355" i="10"/>
  <c r="T355" i="10"/>
  <c r="U355" i="10"/>
  <c r="V355" i="10"/>
  <c r="W355" i="10"/>
  <c r="X355" i="10"/>
  <c r="Y355" i="10"/>
  <c r="Z355" i="10"/>
  <c r="AA355" i="10"/>
  <c r="AB355" i="10"/>
  <c r="AC355" i="10"/>
  <c r="AD355" i="10"/>
  <c r="AE355" i="10"/>
  <c r="AF355" i="10"/>
  <c r="D356" i="10"/>
  <c r="E356" i="10"/>
  <c r="F356" i="10"/>
  <c r="G356" i="10"/>
  <c r="H356" i="10"/>
  <c r="I356" i="10"/>
  <c r="J356" i="10"/>
  <c r="K356" i="10"/>
  <c r="L356" i="10"/>
  <c r="M356" i="10"/>
  <c r="N356" i="10"/>
  <c r="O356" i="10"/>
  <c r="P356" i="10"/>
  <c r="Q356" i="10"/>
  <c r="R356" i="10"/>
  <c r="S356" i="10"/>
  <c r="T356" i="10"/>
  <c r="U356" i="10"/>
  <c r="V356" i="10"/>
  <c r="W356" i="10"/>
  <c r="X356" i="10"/>
  <c r="Y356" i="10"/>
  <c r="Z356" i="10"/>
  <c r="AA356" i="10"/>
  <c r="AB356" i="10"/>
  <c r="AC356" i="10"/>
  <c r="AD356" i="10"/>
  <c r="AE356" i="10"/>
  <c r="AF356" i="10"/>
  <c r="D357" i="10"/>
  <c r="E357" i="10"/>
  <c r="F357" i="10"/>
  <c r="G357" i="10"/>
  <c r="H357" i="10"/>
  <c r="I357" i="10"/>
  <c r="J357" i="10"/>
  <c r="K357" i="10"/>
  <c r="L357" i="10"/>
  <c r="M357" i="10"/>
  <c r="N357" i="10"/>
  <c r="O357" i="10"/>
  <c r="P357" i="10"/>
  <c r="Q357" i="10"/>
  <c r="R357" i="10"/>
  <c r="S357" i="10"/>
  <c r="T357" i="10"/>
  <c r="U357" i="10"/>
  <c r="V357" i="10"/>
  <c r="W357" i="10"/>
  <c r="X357" i="10"/>
  <c r="Y357" i="10"/>
  <c r="Z357" i="10"/>
  <c r="AA357" i="10"/>
  <c r="AB357" i="10"/>
  <c r="AC357" i="10"/>
  <c r="AD357" i="10"/>
  <c r="AE357" i="10"/>
  <c r="AF357" i="10"/>
  <c r="D302" i="10"/>
  <c r="D303" i="10"/>
  <c r="D304" i="10"/>
  <c r="D305" i="10"/>
  <c r="D306" i="10"/>
  <c r="D307" i="10"/>
  <c r="D301" i="10"/>
  <c r="E301" i="10"/>
  <c r="F301" i="10"/>
  <c r="G301" i="10"/>
  <c r="H301" i="10"/>
  <c r="I301" i="10"/>
  <c r="J301" i="10"/>
  <c r="K301" i="10"/>
  <c r="L301" i="10"/>
  <c r="M301" i="10"/>
  <c r="N301" i="10"/>
  <c r="O301" i="10"/>
  <c r="P301" i="10"/>
  <c r="Q301" i="10"/>
  <c r="R301" i="10"/>
  <c r="S301" i="10"/>
  <c r="T301" i="10"/>
  <c r="U301" i="10"/>
  <c r="V301" i="10"/>
  <c r="W301" i="10"/>
  <c r="X301" i="10"/>
  <c r="Y301" i="10"/>
  <c r="Z301" i="10"/>
  <c r="AA301" i="10"/>
  <c r="AB301" i="10"/>
  <c r="AC301" i="10"/>
  <c r="AD301" i="10"/>
  <c r="AE301" i="10"/>
  <c r="AF301" i="10"/>
  <c r="E302" i="10"/>
  <c r="F302" i="10"/>
  <c r="G302" i="10"/>
  <c r="H302" i="10"/>
  <c r="I302" i="10"/>
  <c r="J302" i="10"/>
  <c r="K302" i="10"/>
  <c r="L302" i="10"/>
  <c r="M302" i="10"/>
  <c r="N302" i="10"/>
  <c r="O302" i="10"/>
  <c r="P302" i="10"/>
  <c r="Q302" i="10"/>
  <c r="R302" i="10"/>
  <c r="S302" i="10"/>
  <c r="T302" i="10"/>
  <c r="U302" i="10"/>
  <c r="V302" i="10"/>
  <c r="W302" i="10"/>
  <c r="X302" i="10"/>
  <c r="Y302" i="10"/>
  <c r="Z302" i="10"/>
  <c r="AA302" i="10"/>
  <c r="AB302" i="10"/>
  <c r="AC302" i="10"/>
  <c r="AD302" i="10"/>
  <c r="AE302" i="10"/>
  <c r="AF302" i="10"/>
  <c r="E303" i="10"/>
  <c r="F303" i="10"/>
  <c r="G303" i="10"/>
  <c r="H303" i="10"/>
  <c r="I303" i="10"/>
  <c r="J303" i="10"/>
  <c r="K303" i="10"/>
  <c r="L303" i="10"/>
  <c r="M303" i="10"/>
  <c r="N303" i="10"/>
  <c r="O303" i="10"/>
  <c r="P303" i="10"/>
  <c r="Q303" i="10"/>
  <c r="R303" i="10"/>
  <c r="S303" i="10"/>
  <c r="T303" i="10"/>
  <c r="U303" i="10"/>
  <c r="V303" i="10"/>
  <c r="W303" i="10"/>
  <c r="X303" i="10"/>
  <c r="Y303" i="10"/>
  <c r="Z303" i="10"/>
  <c r="AA303" i="10"/>
  <c r="AB303" i="10"/>
  <c r="AC303" i="10"/>
  <c r="AD303" i="10"/>
  <c r="AE303" i="10"/>
  <c r="AF303" i="10"/>
  <c r="E304" i="10"/>
  <c r="F304" i="10"/>
  <c r="G304" i="10"/>
  <c r="H304" i="10"/>
  <c r="I304" i="10"/>
  <c r="J304" i="10"/>
  <c r="K304" i="10"/>
  <c r="L304" i="10"/>
  <c r="M304" i="10"/>
  <c r="N304" i="10"/>
  <c r="O304" i="10"/>
  <c r="P304" i="10"/>
  <c r="Q304" i="10"/>
  <c r="R304" i="10"/>
  <c r="S304" i="10"/>
  <c r="T304" i="10"/>
  <c r="U304" i="10"/>
  <c r="V304" i="10"/>
  <c r="W304" i="10"/>
  <c r="X304" i="10"/>
  <c r="Y304" i="10"/>
  <c r="Z304" i="10"/>
  <c r="AA304" i="10"/>
  <c r="AB304" i="10"/>
  <c r="AC304" i="10"/>
  <c r="AD304" i="10"/>
  <c r="AE304" i="10"/>
  <c r="AF304" i="10"/>
  <c r="E305" i="10"/>
  <c r="F305" i="10"/>
  <c r="G305" i="10"/>
  <c r="H305" i="10"/>
  <c r="I305" i="10"/>
  <c r="J305" i="10"/>
  <c r="K305" i="10"/>
  <c r="L305" i="10"/>
  <c r="M305" i="10"/>
  <c r="N305" i="10"/>
  <c r="O305" i="10"/>
  <c r="P305" i="10"/>
  <c r="Q305" i="10"/>
  <c r="R305" i="10"/>
  <c r="S305" i="10"/>
  <c r="T305" i="10"/>
  <c r="U305" i="10"/>
  <c r="V305" i="10"/>
  <c r="W305" i="10"/>
  <c r="X305" i="10"/>
  <c r="Y305" i="10"/>
  <c r="Z305" i="10"/>
  <c r="AA305" i="10"/>
  <c r="AB305" i="10"/>
  <c r="AC305" i="10"/>
  <c r="AD305" i="10"/>
  <c r="AE305" i="10"/>
  <c r="AF305" i="10"/>
  <c r="E306" i="10"/>
  <c r="F306" i="10"/>
  <c r="G306" i="10"/>
  <c r="H306" i="10"/>
  <c r="I306" i="10"/>
  <c r="J306" i="10"/>
  <c r="K306" i="10"/>
  <c r="L306" i="10"/>
  <c r="M306" i="10"/>
  <c r="N306" i="10"/>
  <c r="O306" i="10"/>
  <c r="P306" i="10"/>
  <c r="Q306" i="10"/>
  <c r="R306" i="10"/>
  <c r="S306" i="10"/>
  <c r="T306" i="10"/>
  <c r="U306" i="10"/>
  <c r="V306" i="10"/>
  <c r="W306" i="10"/>
  <c r="X306" i="10"/>
  <c r="Y306" i="10"/>
  <c r="Z306" i="10"/>
  <c r="AA306" i="10"/>
  <c r="AB306" i="10"/>
  <c r="AC306" i="10"/>
  <c r="AD306" i="10"/>
  <c r="AE306" i="10"/>
  <c r="AF306" i="10"/>
  <c r="E307" i="10"/>
  <c r="F307" i="10"/>
  <c r="G307" i="10"/>
  <c r="H307" i="10"/>
  <c r="I307" i="10"/>
  <c r="J307" i="10"/>
  <c r="K307" i="10"/>
  <c r="L307" i="10"/>
  <c r="M307" i="10"/>
  <c r="N307" i="10"/>
  <c r="O307" i="10"/>
  <c r="P307" i="10"/>
  <c r="Q307" i="10"/>
  <c r="R307" i="10"/>
  <c r="S307" i="10"/>
  <c r="T307" i="10"/>
  <c r="U307" i="10"/>
  <c r="V307" i="10"/>
  <c r="W307" i="10"/>
  <c r="X307" i="10"/>
  <c r="Y307" i="10"/>
  <c r="Z307" i="10"/>
  <c r="AA307" i="10"/>
  <c r="AB307" i="10"/>
  <c r="AC307" i="10"/>
  <c r="AD307" i="10"/>
  <c r="AE307" i="10"/>
  <c r="AF307" i="10"/>
  <c r="D308" i="10"/>
  <c r="E308" i="10"/>
  <c r="F308" i="10"/>
  <c r="G308" i="10"/>
  <c r="H308" i="10"/>
  <c r="I308" i="10"/>
  <c r="J308" i="10"/>
  <c r="K308" i="10"/>
  <c r="L308" i="10"/>
  <c r="M308" i="10"/>
  <c r="N308" i="10"/>
  <c r="O308" i="10"/>
  <c r="P308" i="10"/>
  <c r="Q308" i="10"/>
  <c r="R308" i="10"/>
  <c r="S308" i="10"/>
  <c r="T308" i="10"/>
  <c r="U308" i="10"/>
  <c r="V308" i="10"/>
  <c r="W308" i="10"/>
  <c r="X308" i="10"/>
  <c r="Y308" i="10"/>
  <c r="Z308" i="10"/>
  <c r="AA308" i="10"/>
  <c r="AB308" i="10"/>
  <c r="AC308" i="10"/>
  <c r="AD308" i="10"/>
  <c r="AE308" i="10"/>
  <c r="AF308" i="10"/>
  <c r="D313" i="10"/>
  <c r="E313" i="10"/>
  <c r="F313" i="10"/>
  <c r="G313" i="10"/>
  <c r="H313" i="10"/>
  <c r="I313" i="10"/>
  <c r="J313" i="10"/>
  <c r="K313" i="10"/>
  <c r="L313" i="10"/>
  <c r="M313" i="10"/>
  <c r="N313" i="10"/>
  <c r="O313" i="10"/>
  <c r="P313" i="10"/>
  <c r="Q313" i="10"/>
  <c r="R313" i="10"/>
  <c r="S313" i="10"/>
  <c r="T313" i="10"/>
  <c r="U313" i="10"/>
  <c r="V313" i="10"/>
  <c r="W313" i="10"/>
  <c r="X313" i="10"/>
  <c r="Y313" i="10"/>
  <c r="Z313" i="10"/>
  <c r="AA313" i="10"/>
  <c r="AB313" i="10"/>
  <c r="AC313" i="10"/>
  <c r="AD313" i="10"/>
  <c r="AE313" i="10"/>
  <c r="AF313" i="10"/>
  <c r="D309" i="10"/>
  <c r="E309" i="10"/>
  <c r="F309" i="10"/>
  <c r="G309" i="10"/>
  <c r="H309" i="10"/>
  <c r="I309" i="10"/>
  <c r="J309" i="10"/>
  <c r="K309" i="10"/>
  <c r="L309" i="10"/>
  <c r="M309" i="10"/>
  <c r="N309" i="10"/>
  <c r="O309" i="10"/>
  <c r="P309" i="10"/>
  <c r="Q309" i="10"/>
  <c r="R309" i="10"/>
  <c r="S309" i="10"/>
  <c r="T309" i="10"/>
  <c r="U309" i="10"/>
  <c r="V309" i="10"/>
  <c r="W309" i="10"/>
  <c r="X309" i="10"/>
  <c r="Y309" i="10"/>
  <c r="Z309" i="10"/>
  <c r="AA309" i="10"/>
  <c r="AB309" i="10"/>
  <c r="AC309" i="10"/>
  <c r="AD309" i="10"/>
  <c r="AE309" i="10"/>
  <c r="AF309" i="10"/>
  <c r="D310" i="10"/>
  <c r="E310" i="10"/>
  <c r="F310" i="10"/>
  <c r="G310" i="10"/>
  <c r="H310" i="10"/>
  <c r="I310" i="10"/>
  <c r="J310" i="10"/>
  <c r="K310" i="10"/>
  <c r="L310" i="10"/>
  <c r="M310" i="10"/>
  <c r="N310" i="10"/>
  <c r="O310" i="10"/>
  <c r="P310" i="10"/>
  <c r="Q310" i="10"/>
  <c r="R310" i="10"/>
  <c r="S310" i="10"/>
  <c r="T310" i="10"/>
  <c r="U310" i="10"/>
  <c r="V310" i="10"/>
  <c r="W310" i="10"/>
  <c r="X310" i="10"/>
  <c r="Y310" i="10"/>
  <c r="Z310" i="10"/>
  <c r="AA310" i="10"/>
  <c r="AB310" i="10"/>
  <c r="AC310" i="10"/>
  <c r="AD310" i="10"/>
  <c r="AE310" i="10"/>
  <c r="AF310" i="10"/>
  <c r="D311" i="10"/>
  <c r="E311" i="10"/>
  <c r="F311" i="10"/>
  <c r="G311" i="10"/>
  <c r="H311" i="10"/>
  <c r="I311" i="10"/>
  <c r="J311" i="10"/>
  <c r="K311" i="10"/>
  <c r="L311" i="10"/>
  <c r="M311" i="10"/>
  <c r="N311" i="10"/>
  <c r="O311" i="10"/>
  <c r="P311" i="10"/>
  <c r="Q311" i="10"/>
  <c r="R311" i="10"/>
  <c r="S311" i="10"/>
  <c r="T311" i="10"/>
  <c r="U311" i="10"/>
  <c r="V311" i="10"/>
  <c r="W311" i="10"/>
  <c r="X311" i="10"/>
  <c r="Y311" i="10"/>
  <c r="Z311" i="10"/>
  <c r="AA311" i="10"/>
  <c r="AB311" i="10"/>
  <c r="AC311" i="10"/>
  <c r="AD311" i="10"/>
  <c r="AE311" i="10"/>
  <c r="AF311" i="10"/>
  <c r="D312" i="10"/>
  <c r="E312" i="10"/>
  <c r="F312" i="10"/>
  <c r="G312" i="10"/>
  <c r="H312" i="10"/>
  <c r="I312" i="10"/>
  <c r="J312" i="10"/>
  <c r="K312" i="10"/>
  <c r="L312" i="10"/>
  <c r="M312" i="10"/>
  <c r="N312" i="10"/>
  <c r="O312" i="10"/>
  <c r="P312" i="10"/>
  <c r="Q312" i="10"/>
  <c r="R312" i="10"/>
  <c r="S312" i="10"/>
  <c r="T312" i="10"/>
  <c r="U312" i="10"/>
  <c r="V312" i="10"/>
  <c r="W312" i="10"/>
  <c r="X312" i="10"/>
  <c r="Y312" i="10"/>
  <c r="Z312" i="10"/>
  <c r="AA312" i="10"/>
  <c r="AB312" i="10"/>
  <c r="AC312" i="10"/>
  <c r="AD312" i="10"/>
  <c r="AE312" i="10"/>
  <c r="AF312" i="10"/>
  <c r="D314" i="10"/>
  <c r="E314" i="10"/>
  <c r="F314" i="10"/>
  <c r="G314" i="10"/>
  <c r="H314" i="10"/>
  <c r="I314" i="10"/>
  <c r="J314" i="10"/>
  <c r="K314" i="10"/>
  <c r="L314" i="10"/>
  <c r="M314" i="10"/>
  <c r="N314" i="10"/>
  <c r="O314" i="10"/>
  <c r="P314" i="10"/>
  <c r="Q314" i="10"/>
  <c r="R314" i="10"/>
  <c r="S314" i="10"/>
  <c r="T314" i="10"/>
  <c r="U314" i="10"/>
  <c r="V314" i="10"/>
  <c r="W314" i="10"/>
  <c r="X314" i="10"/>
  <c r="Y314" i="10"/>
  <c r="Z314" i="10"/>
  <c r="AA314" i="10"/>
  <c r="AB314" i="10"/>
  <c r="AC314" i="10"/>
  <c r="AD314" i="10"/>
  <c r="AE314" i="10"/>
  <c r="AF314" i="10"/>
  <c r="D315" i="10"/>
  <c r="E315" i="10"/>
  <c r="F315" i="10"/>
  <c r="G315" i="10"/>
  <c r="H315" i="10"/>
  <c r="I315" i="10"/>
  <c r="J315" i="10"/>
  <c r="K315" i="10"/>
  <c r="L315" i="10"/>
  <c r="M315" i="10"/>
  <c r="N315" i="10"/>
  <c r="O315" i="10"/>
  <c r="P315" i="10"/>
  <c r="Q315" i="10"/>
  <c r="R315" i="10"/>
  <c r="S315" i="10"/>
  <c r="T315" i="10"/>
  <c r="U315" i="10"/>
  <c r="V315" i="10"/>
  <c r="W315" i="10"/>
  <c r="X315" i="10"/>
  <c r="Y315" i="10"/>
  <c r="Z315" i="10"/>
  <c r="AA315" i="10"/>
  <c r="AB315" i="10"/>
  <c r="AC315" i="10"/>
  <c r="AD315" i="10"/>
  <c r="AE315" i="10"/>
  <c r="AF315" i="10"/>
  <c r="D316" i="10"/>
  <c r="E316" i="10"/>
  <c r="F316" i="10"/>
  <c r="G316" i="10"/>
  <c r="H316" i="10"/>
  <c r="I316" i="10"/>
  <c r="J316" i="10"/>
  <c r="K316" i="10"/>
  <c r="L316" i="10"/>
  <c r="M316" i="10"/>
  <c r="N316" i="10"/>
  <c r="O316" i="10"/>
  <c r="P316" i="10"/>
  <c r="Q316" i="10"/>
  <c r="R316" i="10"/>
  <c r="S316" i="10"/>
  <c r="T316" i="10"/>
  <c r="U316" i="10"/>
  <c r="V316" i="10"/>
  <c r="W316" i="10"/>
  <c r="X316" i="10"/>
  <c r="Y316" i="10"/>
  <c r="Z316" i="10"/>
  <c r="AA316" i="10"/>
  <c r="AB316" i="10"/>
  <c r="AC316" i="10"/>
  <c r="AD316" i="10"/>
  <c r="AE316" i="10"/>
  <c r="AF316" i="10"/>
  <c r="D317" i="10"/>
  <c r="E317" i="10"/>
  <c r="F317" i="10"/>
  <c r="G317" i="10"/>
  <c r="H317" i="10"/>
  <c r="I317" i="10"/>
  <c r="J317" i="10"/>
  <c r="K317" i="10"/>
  <c r="L317" i="10"/>
  <c r="M317" i="10"/>
  <c r="N317" i="10"/>
  <c r="O317" i="10"/>
  <c r="P317" i="10"/>
  <c r="Q317" i="10"/>
  <c r="R317" i="10"/>
  <c r="S317" i="10"/>
  <c r="T317" i="10"/>
  <c r="U317" i="10"/>
  <c r="V317" i="10"/>
  <c r="W317" i="10"/>
  <c r="X317" i="10"/>
  <c r="Y317" i="10"/>
  <c r="Z317" i="10"/>
  <c r="AA317" i="10"/>
  <c r="AB317" i="10"/>
  <c r="AC317" i="10"/>
  <c r="AD317" i="10"/>
  <c r="AE317" i="10"/>
  <c r="AF317" i="10"/>
  <c r="D318" i="10"/>
  <c r="E318" i="10"/>
  <c r="F318" i="10"/>
  <c r="G318" i="10"/>
  <c r="H318" i="10"/>
  <c r="I318" i="10"/>
  <c r="J318" i="10"/>
  <c r="K318" i="10"/>
  <c r="L318" i="10"/>
  <c r="M318" i="10"/>
  <c r="N318" i="10"/>
  <c r="O318" i="10"/>
  <c r="P318" i="10"/>
  <c r="Q318" i="10"/>
  <c r="R318" i="10"/>
  <c r="S318" i="10"/>
  <c r="T318" i="10"/>
  <c r="U318" i="10"/>
  <c r="V318" i="10"/>
  <c r="W318" i="10"/>
  <c r="X318" i="10"/>
  <c r="Y318" i="10"/>
  <c r="Z318" i="10"/>
  <c r="AA318" i="10"/>
  <c r="AB318" i="10"/>
  <c r="AC318" i="10"/>
  <c r="AD318" i="10"/>
  <c r="AE318" i="10"/>
  <c r="AF318" i="10"/>
  <c r="D319" i="10"/>
  <c r="E319" i="10"/>
  <c r="F319" i="10"/>
  <c r="G319" i="10"/>
  <c r="H319" i="10"/>
  <c r="I319" i="10"/>
  <c r="J319" i="10"/>
  <c r="K319" i="10"/>
  <c r="L319" i="10"/>
  <c r="M319" i="10"/>
  <c r="N319" i="10"/>
  <c r="O319" i="10"/>
  <c r="P319" i="10"/>
  <c r="Q319" i="10"/>
  <c r="R319" i="10"/>
  <c r="S319" i="10"/>
  <c r="T319" i="10"/>
  <c r="U319" i="10"/>
  <c r="V319" i="10"/>
  <c r="W319" i="10"/>
  <c r="X319" i="10"/>
  <c r="Y319" i="10"/>
  <c r="Z319" i="10"/>
  <c r="AA319" i="10"/>
  <c r="AB319" i="10"/>
  <c r="AC319" i="10"/>
  <c r="AD319" i="10"/>
  <c r="AE319" i="10"/>
  <c r="AF319" i="10"/>
  <c r="D320" i="10"/>
  <c r="E320" i="10"/>
  <c r="F320" i="10"/>
  <c r="G320" i="10"/>
  <c r="H320" i="10"/>
  <c r="I320" i="10"/>
  <c r="J320" i="10"/>
  <c r="K320" i="10"/>
  <c r="L320" i="10"/>
  <c r="M320" i="10"/>
  <c r="N320" i="10"/>
  <c r="O320" i="10"/>
  <c r="P320" i="10"/>
  <c r="Q320" i="10"/>
  <c r="R320" i="10"/>
  <c r="S320" i="10"/>
  <c r="T320" i="10"/>
  <c r="U320" i="10"/>
  <c r="V320" i="10"/>
  <c r="W320" i="10"/>
  <c r="X320" i="10"/>
  <c r="Y320" i="10"/>
  <c r="Z320" i="10"/>
  <c r="AA320" i="10"/>
  <c r="AB320" i="10"/>
  <c r="AC320" i="10"/>
  <c r="AD320" i="10"/>
  <c r="AE320" i="10"/>
  <c r="AF320" i="10"/>
  <c r="D321" i="10"/>
  <c r="E321" i="10"/>
  <c r="F321" i="10"/>
  <c r="G321" i="10"/>
  <c r="H321" i="10"/>
  <c r="I321" i="10"/>
  <c r="J321" i="10"/>
  <c r="K321" i="10"/>
  <c r="L321" i="10"/>
  <c r="M321" i="10"/>
  <c r="N321" i="10"/>
  <c r="O321" i="10"/>
  <c r="P321" i="10"/>
  <c r="Q321" i="10"/>
  <c r="R321" i="10"/>
  <c r="S321" i="10"/>
  <c r="T321" i="10"/>
  <c r="U321" i="10"/>
  <c r="V321" i="10"/>
  <c r="W321" i="10"/>
  <c r="X321" i="10"/>
  <c r="Y321" i="10"/>
  <c r="Z321" i="10"/>
  <c r="AA321" i="10"/>
  <c r="AB321" i="10"/>
  <c r="AC321" i="10"/>
  <c r="AD321" i="10"/>
  <c r="AE321" i="10"/>
  <c r="AF321" i="10"/>
  <c r="D322" i="10"/>
  <c r="E322" i="10"/>
  <c r="F322" i="10"/>
  <c r="G322" i="10"/>
  <c r="H322" i="10"/>
  <c r="I322" i="10"/>
  <c r="J322" i="10"/>
  <c r="K322" i="10"/>
  <c r="L322" i="10"/>
  <c r="M322" i="10"/>
  <c r="N322" i="10"/>
  <c r="O322" i="10"/>
  <c r="P322" i="10"/>
  <c r="Q322" i="10"/>
  <c r="R322" i="10"/>
  <c r="S322" i="10"/>
  <c r="T322" i="10"/>
  <c r="U322" i="10"/>
  <c r="V322" i="10"/>
  <c r="W322" i="10"/>
  <c r="X322" i="10"/>
  <c r="Y322" i="10"/>
  <c r="Z322" i="10"/>
  <c r="AA322" i="10"/>
  <c r="AB322" i="10"/>
  <c r="AC322" i="10"/>
  <c r="AD322" i="10"/>
  <c r="AE322" i="10"/>
  <c r="AF322" i="10"/>
  <c r="G246" i="10"/>
  <c r="H282" i="10" s="1"/>
  <c r="H246" i="10"/>
  <c r="I282" i="10" s="1"/>
  <c r="F246" i="10"/>
  <c r="G282" i="10" s="1"/>
  <c r="E246" i="10"/>
  <c r="F282" i="10" s="1"/>
  <c r="D404" i="10" l="1" a="1"/>
  <c r="AE323" i="10"/>
  <c r="AC323" i="10"/>
  <c r="AA323" i="10"/>
  <c r="Y323" i="10"/>
  <c r="W323" i="10"/>
  <c r="R323" i="10"/>
  <c r="P323" i="10"/>
  <c r="N323" i="10"/>
  <c r="L323" i="10"/>
  <c r="J323" i="10"/>
  <c r="AE359" i="10"/>
  <c r="AC359" i="10"/>
  <c r="AA359" i="10"/>
  <c r="Y359" i="10"/>
  <c r="W359" i="10"/>
  <c r="P359" i="10"/>
  <c r="N359" i="10"/>
  <c r="L359" i="10"/>
  <c r="J359" i="10"/>
  <c r="D359" i="10"/>
  <c r="AE394" i="10"/>
  <c r="AA394" i="10"/>
  <c r="Y394" i="10"/>
  <c r="W394" i="10"/>
  <c r="R394" i="10"/>
  <c r="P394" i="10"/>
  <c r="N394" i="10"/>
  <c r="L394" i="10"/>
  <c r="J394" i="10"/>
  <c r="D394" i="10"/>
  <c r="U429" i="10"/>
  <c r="J429" i="10"/>
  <c r="H429" i="10"/>
  <c r="F429" i="10"/>
  <c r="D429" i="10"/>
  <c r="AB324" i="10"/>
  <c r="V324" i="10"/>
  <c r="T324" i="10"/>
  <c r="AB358" i="10"/>
  <c r="V358" i="10"/>
  <c r="T358" i="10"/>
  <c r="S358" i="10"/>
  <c r="E358" i="10"/>
  <c r="AD393" i="10"/>
  <c r="V393" i="10"/>
  <c r="T393" i="10"/>
  <c r="S393" i="10"/>
  <c r="AD428" i="10"/>
  <c r="Z428" i="10"/>
  <c r="X428" i="10"/>
  <c r="T428" i="10"/>
  <c r="S428" i="10"/>
  <c r="Q428" i="10"/>
  <c r="O428" i="10"/>
  <c r="M428" i="10"/>
  <c r="K428" i="10"/>
  <c r="I428" i="10"/>
  <c r="G428" i="10"/>
  <c r="E428" i="10"/>
  <c r="H225" i="10"/>
  <c r="I225" i="10" s="1"/>
  <c r="G225" i="10"/>
  <c r="H268" i="10" s="1"/>
  <c r="AE324" i="10"/>
  <c r="AC324" i="10"/>
  <c r="AA324" i="10"/>
  <c r="Y324" i="10"/>
  <c r="W324" i="10"/>
  <c r="R324" i="10"/>
  <c r="P324" i="10"/>
  <c r="N324" i="10"/>
  <c r="L324" i="10"/>
  <c r="J324" i="10"/>
  <c r="AB323" i="10"/>
  <c r="V323" i="10"/>
  <c r="T323" i="10"/>
  <c r="AB359" i="10"/>
  <c r="V359" i="10"/>
  <c r="T359" i="10"/>
  <c r="S359" i="10"/>
  <c r="E359" i="10"/>
  <c r="AE358" i="10"/>
  <c r="AC358" i="10"/>
  <c r="AA358" i="10"/>
  <c r="Y358" i="10"/>
  <c r="W358" i="10"/>
  <c r="P358" i="10"/>
  <c r="N358" i="10"/>
  <c r="L358" i="10"/>
  <c r="J358" i="10"/>
  <c r="D358" i="10"/>
  <c r="AD394" i="10"/>
  <c r="V394" i="10"/>
  <c r="T394" i="10"/>
  <c r="S394" i="10"/>
  <c r="AE393" i="10"/>
  <c r="AA393" i="10"/>
  <c r="Y393" i="10"/>
  <c r="W393" i="10"/>
  <c r="R393" i="10"/>
  <c r="P393" i="10"/>
  <c r="N393" i="10"/>
  <c r="L393" i="10"/>
  <c r="J393" i="10"/>
  <c r="D393" i="10"/>
  <c r="AD429" i="10"/>
  <c r="Z429" i="10"/>
  <c r="X429" i="10"/>
  <c r="T429" i="10"/>
  <c r="S429" i="10"/>
  <c r="Q429" i="10"/>
  <c r="O429" i="10"/>
  <c r="M429" i="10"/>
  <c r="K429" i="10"/>
  <c r="I429" i="10"/>
  <c r="G429" i="10"/>
  <c r="E429" i="10"/>
  <c r="U428" i="10"/>
  <c r="J428" i="10"/>
  <c r="H428" i="10"/>
  <c r="F428" i="10"/>
  <c r="D428" i="10"/>
  <c r="S201" i="8" l="1"/>
  <c r="D404" i="10"/>
  <c r="AC404" i="10"/>
  <c r="Y404" i="10"/>
  <c r="U404" i="10"/>
  <c r="U431" i="10" s="1"/>
  <c r="Q404" i="10"/>
  <c r="M404" i="10"/>
  <c r="I404" i="10"/>
  <c r="E404" i="10"/>
  <c r="AD404" i="10"/>
  <c r="Z404" i="10"/>
  <c r="Z431" i="10" s="1"/>
  <c r="V404" i="10"/>
  <c r="R404" i="10"/>
  <c r="N404" i="10"/>
  <c r="J404" i="10"/>
  <c r="F404" i="10"/>
  <c r="AE404" i="10"/>
  <c r="AA404" i="10"/>
  <c r="W404" i="10"/>
  <c r="S404" i="10"/>
  <c r="S430" i="10" s="1"/>
  <c r="O404" i="10"/>
  <c r="K404" i="10"/>
  <c r="G404" i="10"/>
  <c r="AF404" i="10"/>
  <c r="AB404" i="10"/>
  <c r="X404" i="10"/>
  <c r="X430" i="10" s="1"/>
  <c r="T404" i="10"/>
  <c r="T430" i="10" s="1"/>
  <c r="P404" i="10"/>
  <c r="L404" i="10"/>
  <c r="H404" i="10"/>
  <c r="S431" i="10" l="1"/>
  <c r="Z430" i="10"/>
  <c r="U430" i="10"/>
  <c r="T431" i="10"/>
  <c r="X431" i="10"/>
  <c r="BN56" i="74" l="1"/>
  <c r="BM56" i="74"/>
  <c r="BF56" i="74"/>
  <c r="BE56" i="74"/>
  <c r="AX56" i="74"/>
  <c r="AW56" i="74"/>
  <c r="AP56" i="74"/>
  <c r="AO56" i="74"/>
  <c r="AH56" i="74"/>
  <c r="AG56" i="74"/>
  <c r="Z56" i="74"/>
  <c r="Y56" i="74"/>
  <c r="S56" i="74"/>
  <c r="R56" i="74"/>
  <c r="BN55" i="74"/>
  <c r="BM55" i="74"/>
  <c r="BF55" i="74"/>
  <c r="BE55" i="74"/>
  <c r="AX55" i="74"/>
  <c r="AW55" i="74"/>
  <c r="AP55" i="74"/>
  <c r="AO55" i="74"/>
  <c r="AH55" i="74"/>
  <c r="AG55" i="74"/>
  <c r="Z55" i="74"/>
  <c r="Y55" i="74"/>
  <c r="S55" i="74"/>
  <c r="R55" i="74"/>
  <c r="BN54" i="74"/>
  <c r="BM54" i="74"/>
  <c r="BF54" i="74"/>
  <c r="BE54" i="74"/>
  <c r="AX54" i="74"/>
  <c r="AW54" i="74"/>
  <c r="AP54" i="74"/>
  <c r="AO54" i="74"/>
  <c r="AH54" i="74"/>
  <c r="AG54" i="74"/>
  <c r="Z54" i="74"/>
  <c r="Y54" i="74"/>
  <c r="S54" i="74"/>
  <c r="R54" i="74"/>
  <c r="BN53" i="74"/>
  <c r="BM53" i="74"/>
  <c r="BF53" i="74"/>
  <c r="BE53" i="74"/>
  <c r="AX53" i="74"/>
  <c r="AW53" i="74"/>
  <c r="AP53" i="74"/>
  <c r="AO53" i="74"/>
  <c r="AH53" i="74"/>
  <c r="AG53" i="74"/>
  <c r="Z53" i="74"/>
  <c r="Y53" i="74"/>
  <c r="S53" i="74"/>
  <c r="R53" i="74"/>
  <c r="BN52" i="74"/>
  <c r="BM52" i="74"/>
  <c r="BF52" i="74"/>
  <c r="BE52" i="74"/>
  <c r="AX52" i="74"/>
  <c r="AW52" i="74"/>
  <c r="AP52" i="74"/>
  <c r="AO52" i="74"/>
  <c r="AH52" i="74"/>
  <c r="AG52" i="74"/>
  <c r="Z52" i="74"/>
  <c r="Y52" i="74"/>
  <c r="S52" i="74"/>
  <c r="R52" i="74"/>
  <c r="BN51" i="74"/>
  <c r="BM51" i="74"/>
  <c r="BF51" i="74"/>
  <c r="BE51" i="74"/>
  <c r="AX51" i="74"/>
  <c r="AW51" i="74"/>
  <c r="AP51" i="74"/>
  <c r="AO51" i="74"/>
  <c r="AH51" i="74"/>
  <c r="AG51" i="74"/>
  <c r="Z51" i="74"/>
  <c r="Y51" i="74"/>
  <c r="S51" i="74"/>
  <c r="R51" i="74"/>
  <c r="BN50" i="74"/>
  <c r="BM50" i="74"/>
  <c r="BF50" i="74"/>
  <c r="BE50" i="74"/>
  <c r="AX50" i="74"/>
  <c r="AW50" i="74"/>
  <c r="AP50" i="74"/>
  <c r="AO50" i="74"/>
  <c r="AH50" i="74"/>
  <c r="AG50" i="74"/>
  <c r="Z50" i="74"/>
  <c r="Y50" i="74"/>
  <c r="S50" i="74"/>
  <c r="R50" i="74"/>
  <c r="BN49" i="74"/>
  <c r="BM49" i="74"/>
  <c r="BF49" i="74"/>
  <c r="BE49" i="74"/>
  <c r="AX49" i="74"/>
  <c r="AW49" i="74"/>
  <c r="AP49" i="74"/>
  <c r="AO49" i="74"/>
  <c r="AH49" i="74"/>
  <c r="AG49" i="74"/>
  <c r="Z49" i="74"/>
  <c r="Y49" i="74"/>
  <c r="S49" i="74"/>
  <c r="R49" i="74"/>
  <c r="BN47" i="74"/>
  <c r="BM47" i="74"/>
  <c r="BF47" i="74"/>
  <c r="BE47" i="74"/>
  <c r="AX47" i="74"/>
  <c r="AW47" i="74"/>
  <c r="AP47" i="74"/>
  <c r="AO47" i="74"/>
  <c r="AH47" i="74"/>
  <c r="AG47" i="74"/>
  <c r="Z47" i="74"/>
  <c r="Y47" i="74"/>
  <c r="S47" i="74"/>
  <c r="R47" i="74"/>
  <c r="BN46" i="74"/>
  <c r="BM46" i="74"/>
  <c r="BF46" i="74"/>
  <c r="BE46" i="74"/>
  <c r="AX46" i="74"/>
  <c r="AW46" i="74"/>
  <c r="AP46" i="74"/>
  <c r="AO46" i="74"/>
  <c r="AH46" i="74"/>
  <c r="AG46" i="74"/>
  <c r="Z46" i="74"/>
  <c r="Y46" i="74"/>
  <c r="S46" i="74"/>
  <c r="R46" i="74"/>
  <c r="BN45" i="74"/>
  <c r="BM45" i="74"/>
  <c r="BF45" i="74"/>
  <c r="BE45" i="74"/>
  <c r="AX45" i="74"/>
  <c r="AW45" i="74"/>
  <c r="AP45" i="74"/>
  <c r="AO45" i="74"/>
  <c r="AH45" i="74"/>
  <c r="AG45" i="74"/>
  <c r="Z45" i="74"/>
  <c r="Y45" i="74"/>
  <c r="S45" i="74"/>
  <c r="R45" i="74"/>
  <c r="BN44" i="74"/>
  <c r="BM44" i="74"/>
  <c r="BF44" i="74"/>
  <c r="BE44" i="74"/>
  <c r="AX44" i="74"/>
  <c r="AW44" i="74"/>
  <c r="AP44" i="74"/>
  <c r="AO44" i="74"/>
  <c r="AH44" i="74"/>
  <c r="AG44" i="74"/>
  <c r="Z44" i="74"/>
  <c r="Y44" i="74"/>
  <c r="S44" i="74"/>
  <c r="R44" i="74"/>
  <c r="BN43" i="74"/>
  <c r="BM43" i="74"/>
  <c r="BF43" i="74"/>
  <c r="BE43" i="74"/>
  <c r="AX43" i="74"/>
  <c r="AW43" i="74"/>
  <c r="AP43" i="74"/>
  <c r="AO43" i="74"/>
  <c r="AH43" i="74"/>
  <c r="AG43" i="74"/>
  <c r="Z43" i="74"/>
  <c r="Y43" i="74"/>
  <c r="S43" i="74"/>
  <c r="R43" i="74"/>
  <c r="BN42" i="74"/>
  <c r="BM42" i="74"/>
  <c r="BF42" i="74"/>
  <c r="BE42" i="74"/>
  <c r="AX42" i="74"/>
  <c r="AW42" i="74"/>
  <c r="AP42" i="74"/>
  <c r="AO42" i="74"/>
  <c r="AH42" i="74"/>
  <c r="AG42" i="74"/>
  <c r="Z42" i="74"/>
  <c r="Y42" i="74"/>
  <c r="S42" i="74"/>
  <c r="R42" i="74"/>
  <c r="BN41" i="74"/>
  <c r="BM41" i="74"/>
  <c r="BF41" i="74"/>
  <c r="BE41" i="74"/>
  <c r="AX41" i="74"/>
  <c r="AW41" i="74"/>
  <c r="AP41" i="74"/>
  <c r="AO41" i="74"/>
  <c r="AH41" i="74"/>
  <c r="AG41" i="74"/>
  <c r="Z41" i="74"/>
  <c r="Y41" i="74"/>
  <c r="S41" i="74"/>
  <c r="R41" i="74"/>
  <c r="BN40" i="74"/>
  <c r="BM40" i="74"/>
  <c r="BF40" i="74"/>
  <c r="BE40" i="74"/>
  <c r="AX40" i="74"/>
  <c r="AW40" i="74"/>
  <c r="AP40" i="74"/>
  <c r="AO40" i="74"/>
  <c r="AH40" i="74"/>
  <c r="AG40" i="74"/>
  <c r="Z40" i="74"/>
  <c r="Y40" i="74"/>
  <c r="S40" i="74"/>
  <c r="R40" i="74"/>
  <c r="BN39" i="74"/>
  <c r="BM39" i="74"/>
  <c r="BF39" i="74"/>
  <c r="BE39" i="74"/>
  <c r="AX39" i="74"/>
  <c r="AW39" i="74"/>
  <c r="AP39" i="74"/>
  <c r="AO39" i="74"/>
  <c r="AH39" i="74"/>
  <c r="AG39" i="74"/>
  <c r="Z39" i="74"/>
  <c r="Y39" i="74"/>
  <c r="S39" i="74"/>
  <c r="R39" i="74"/>
  <c r="BN38" i="74"/>
  <c r="BM38" i="74"/>
  <c r="BF38" i="74"/>
  <c r="BE38" i="74"/>
  <c r="AX38" i="74"/>
  <c r="AW38" i="74"/>
  <c r="AP38" i="74"/>
  <c r="AO38" i="74"/>
  <c r="AH38" i="74"/>
  <c r="AG38" i="74"/>
  <c r="Z38" i="74"/>
  <c r="Y38" i="74"/>
  <c r="S38" i="74"/>
  <c r="R38" i="74"/>
  <c r="BN37" i="74"/>
  <c r="BM37" i="74"/>
  <c r="BF37" i="74"/>
  <c r="BE37" i="74"/>
  <c r="AX37" i="74"/>
  <c r="AW37" i="74"/>
  <c r="AP37" i="74"/>
  <c r="AO37" i="74"/>
  <c r="AH37" i="74"/>
  <c r="AG37" i="74"/>
  <c r="Z37" i="74"/>
  <c r="Y37" i="74"/>
  <c r="S37" i="74"/>
  <c r="R37" i="74"/>
  <c r="BN36" i="74"/>
  <c r="BM36" i="74"/>
  <c r="BF36" i="74"/>
  <c r="BE36" i="74"/>
  <c r="AX36" i="74"/>
  <c r="AW36" i="74"/>
  <c r="AP36" i="74"/>
  <c r="AO36" i="74"/>
  <c r="AH36" i="74"/>
  <c r="AG36" i="74"/>
  <c r="Z36" i="74"/>
  <c r="Y36" i="74"/>
  <c r="S36" i="74"/>
  <c r="R36" i="74"/>
  <c r="BN35" i="74"/>
  <c r="BM35" i="74"/>
  <c r="BF35" i="74"/>
  <c r="BE35" i="74"/>
  <c r="AX35" i="74"/>
  <c r="AW35" i="74"/>
  <c r="AP35" i="74"/>
  <c r="AO35" i="74"/>
  <c r="AH35" i="74"/>
  <c r="AG35" i="74"/>
  <c r="Z35" i="74"/>
  <c r="Y35" i="74"/>
  <c r="S35" i="74"/>
  <c r="R35" i="74"/>
  <c r="BN34" i="74"/>
  <c r="BM34" i="74"/>
  <c r="BF34" i="74"/>
  <c r="BE34" i="74"/>
  <c r="AX34" i="74"/>
  <c r="AW34" i="74"/>
  <c r="AP34" i="74"/>
  <c r="AO34" i="74"/>
  <c r="AH34" i="74"/>
  <c r="AG34" i="74"/>
  <c r="Z34" i="74"/>
  <c r="Y34" i="74"/>
  <c r="S34" i="74"/>
  <c r="R34" i="74"/>
  <c r="BN33" i="74"/>
  <c r="BM33" i="74"/>
  <c r="BF33" i="74"/>
  <c r="BE33" i="74"/>
  <c r="AX33" i="74"/>
  <c r="AW33" i="74"/>
  <c r="AP33" i="74"/>
  <c r="AO33" i="74"/>
  <c r="AH33" i="74"/>
  <c r="AG33" i="74"/>
  <c r="Z33" i="74"/>
  <c r="Y33" i="74"/>
  <c r="S33" i="74"/>
  <c r="R33" i="74"/>
  <c r="BN32" i="74"/>
  <c r="BM32" i="74"/>
  <c r="BF32" i="74"/>
  <c r="BE32" i="74"/>
  <c r="AX32" i="74"/>
  <c r="AW32" i="74"/>
  <c r="AP32" i="74"/>
  <c r="AO32" i="74"/>
  <c r="AH32" i="74"/>
  <c r="AG32" i="74"/>
  <c r="Z32" i="74"/>
  <c r="Y32" i="74"/>
  <c r="S32" i="74"/>
  <c r="R32" i="74"/>
  <c r="BN31" i="74"/>
  <c r="BM31" i="74"/>
  <c r="BF31" i="74"/>
  <c r="BE31" i="74"/>
  <c r="AX31" i="74"/>
  <c r="AW31" i="74"/>
  <c r="AP31" i="74"/>
  <c r="AO31" i="74"/>
  <c r="AH31" i="74"/>
  <c r="AG31" i="74"/>
  <c r="Z31" i="74"/>
  <c r="Y31" i="74"/>
  <c r="S31" i="74"/>
  <c r="R31" i="74"/>
  <c r="BN30" i="74"/>
  <c r="BM30" i="74"/>
  <c r="BF30" i="74"/>
  <c r="BE30" i="74"/>
  <c r="AX30" i="74"/>
  <c r="AW30" i="74"/>
  <c r="AP30" i="74"/>
  <c r="AO30" i="74"/>
  <c r="AH30" i="74"/>
  <c r="AG30" i="74"/>
  <c r="Z30" i="74"/>
  <c r="Y30" i="74"/>
  <c r="S30" i="74"/>
  <c r="R30" i="74"/>
  <c r="BN29" i="74"/>
  <c r="BM29" i="74"/>
  <c r="BF29" i="74"/>
  <c r="BE29" i="74"/>
  <c r="AX29" i="74"/>
  <c r="AW29" i="74"/>
  <c r="AP29" i="74"/>
  <c r="AO29" i="74"/>
  <c r="AH29" i="74"/>
  <c r="AG29" i="74"/>
  <c r="Z29" i="74"/>
  <c r="Y29" i="74"/>
  <c r="S29" i="74"/>
  <c r="R29" i="74"/>
  <c r="BN28" i="74"/>
  <c r="BM28" i="74"/>
  <c r="BF28" i="74"/>
  <c r="BE28" i="74"/>
  <c r="AX28" i="74"/>
  <c r="AW28" i="74"/>
  <c r="AP28" i="74"/>
  <c r="AO28" i="74"/>
  <c r="AH28" i="74"/>
  <c r="AG28" i="74"/>
  <c r="Z28" i="74"/>
  <c r="Y28" i="74"/>
  <c r="S28" i="74"/>
  <c r="R28" i="74"/>
  <c r="BN27" i="74"/>
  <c r="BM27" i="74"/>
  <c r="BF27" i="74"/>
  <c r="BE27" i="74"/>
  <c r="AX27" i="74"/>
  <c r="AW27" i="74"/>
  <c r="AP27" i="74"/>
  <c r="AO27" i="74"/>
  <c r="AH27" i="74"/>
  <c r="AG27" i="74"/>
  <c r="Z27" i="74"/>
  <c r="Y27" i="74"/>
  <c r="S27" i="74"/>
  <c r="R27" i="74"/>
  <c r="BN26" i="74"/>
  <c r="BM26" i="74"/>
  <c r="BF26" i="74"/>
  <c r="BE26" i="74"/>
  <c r="AX26" i="74"/>
  <c r="AW26" i="74"/>
  <c r="AP26" i="74"/>
  <c r="AO26" i="74"/>
  <c r="AH26" i="74"/>
  <c r="AG26" i="74"/>
  <c r="Z26" i="74"/>
  <c r="Y26" i="74"/>
  <c r="S26" i="74"/>
  <c r="R26" i="74"/>
  <c r="BN25" i="74"/>
  <c r="BM25" i="74"/>
  <c r="BF25" i="74"/>
  <c r="BE25" i="74"/>
  <c r="AX25" i="74"/>
  <c r="AW25" i="74"/>
  <c r="AP25" i="74"/>
  <c r="AO25" i="74"/>
  <c r="AH25" i="74"/>
  <c r="AG25" i="74"/>
  <c r="Z25" i="74"/>
  <c r="Y25" i="74"/>
  <c r="S25" i="74"/>
  <c r="R25" i="74"/>
  <c r="BN24" i="74"/>
  <c r="BM24" i="74"/>
  <c r="BF24" i="74"/>
  <c r="BE24" i="74"/>
  <c r="AX24" i="74"/>
  <c r="AW24" i="74"/>
  <c r="AP24" i="74"/>
  <c r="AO24" i="74"/>
  <c r="AH24" i="74"/>
  <c r="AG24" i="74"/>
  <c r="Z24" i="74"/>
  <c r="Y24" i="74"/>
  <c r="S24" i="74"/>
  <c r="R24" i="74"/>
  <c r="BN23" i="74"/>
  <c r="BM23" i="74"/>
  <c r="BF23" i="74"/>
  <c r="BE23" i="74"/>
  <c r="AX23" i="74"/>
  <c r="AW23" i="74"/>
  <c r="AP23" i="74"/>
  <c r="AO23" i="74"/>
  <c r="AH23" i="74"/>
  <c r="AG23" i="74"/>
  <c r="Z23" i="74"/>
  <c r="Y23" i="74"/>
  <c r="S23" i="74"/>
  <c r="R23" i="74"/>
  <c r="BN22" i="74"/>
  <c r="BM22" i="74"/>
  <c r="BF22" i="74"/>
  <c r="BE22" i="74"/>
  <c r="AX22" i="74"/>
  <c r="AW22" i="74"/>
  <c r="AP22" i="74"/>
  <c r="AO22" i="74"/>
  <c r="AH22" i="74"/>
  <c r="AG22" i="74"/>
  <c r="Z22" i="74"/>
  <c r="Y22" i="74"/>
  <c r="S22" i="74"/>
  <c r="R22" i="74"/>
  <c r="BN21" i="74"/>
  <c r="BM21" i="74"/>
  <c r="BF21" i="74"/>
  <c r="BE21" i="74"/>
  <c r="AX21" i="74"/>
  <c r="AW21" i="74"/>
  <c r="AP21" i="74"/>
  <c r="AO21" i="74"/>
  <c r="AH21" i="74"/>
  <c r="AG21" i="74"/>
  <c r="Z21" i="74"/>
  <c r="Y21" i="74"/>
  <c r="S21" i="74"/>
  <c r="R21" i="74"/>
  <c r="BN20" i="74"/>
  <c r="BM20" i="74"/>
  <c r="BF20" i="74"/>
  <c r="BE20" i="74"/>
  <c r="AX20" i="74"/>
  <c r="AW20" i="74"/>
  <c r="AP20" i="74"/>
  <c r="AO20" i="74"/>
  <c r="AH20" i="74"/>
  <c r="AG20" i="74"/>
  <c r="Z20" i="74"/>
  <c r="Y20" i="74"/>
  <c r="S20" i="74"/>
  <c r="R20" i="74"/>
  <c r="BN19" i="74"/>
  <c r="BM19" i="74"/>
  <c r="BF19" i="74"/>
  <c r="BE19" i="74"/>
  <c r="AX19" i="74"/>
  <c r="AW19" i="74"/>
  <c r="AP19" i="74"/>
  <c r="AO19" i="74"/>
  <c r="AH19" i="74"/>
  <c r="AG19" i="74"/>
  <c r="Z19" i="74"/>
  <c r="Y19" i="74"/>
  <c r="S19" i="74"/>
  <c r="R19" i="74"/>
  <c r="BN18" i="74"/>
  <c r="BM18" i="74"/>
  <c r="BF18" i="74"/>
  <c r="BE18" i="74"/>
  <c r="AX18" i="74"/>
  <c r="AW18" i="74"/>
  <c r="AP18" i="74"/>
  <c r="AO18" i="74"/>
  <c r="AH18" i="74"/>
  <c r="AG18" i="74"/>
  <c r="Z18" i="74"/>
  <c r="Y18" i="74"/>
  <c r="S18" i="74"/>
  <c r="R18" i="74"/>
  <c r="BN17" i="74"/>
  <c r="BM17" i="74"/>
  <c r="BF17" i="74"/>
  <c r="BE17" i="74"/>
  <c r="AX17" i="74"/>
  <c r="AW17" i="74"/>
  <c r="AP17" i="74"/>
  <c r="AO17" i="74"/>
  <c r="AH17" i="74"/>
  <c r="AG17" i="74"/>
  <c r="Z17" i="74"/>
  <c r="Y17" i="74"/>
  <c r="S17" i="74"/>
  <c r="R17" i="74"/>
  <c r="BN16" i="74"/>
  <c r="BM16" i="74"/>
  <c r="BF16" i="74"/>
  <c r="BE16" i="74"/>
  <c r="AX16" i="74"/>
  <c r="AW16" i="74"/>
  <c r="AP16" i="74"/>
  <c r="AO16" i="74"/>
  <c r="AH16" i="74"/>
  <c r="AG16" i="74"/>
  <c r="Z16" i="74"/>
  <c r="Y16" i="74"/>
  <c r="S16" i="74"/>
  <c r="R16" i="74"/>
  <c r="BN15" i="74"/>
  <c r="BM15" i="74"/>
  <c r="BF15" i="74"/>
  <c r="BE15" i="74"/>
  <c r="AX15" i="74"/>
  <c r="AW15" i="74"/>
  <c r="AP15" i="74"/>
  <c r="AO15" i="74"/>
  <c r="AH15" i="74"/>
  <c r="AG15" i="74"/>
  <c r="Z15" i="74"/>
  <c r="Y15" i="74"/>
  <c r="S15" i="74"/>
  <c r="R15" i="74"/>
  <c r="BN14" i="74"/>
  <c r="BM14" i="74"/>
  <c r="BF14" i="74"/>
  <c r="BE14" i="74"/>
  <c r="AX14" i="74"/>
  <c r="AW14" i="74"/>
  <c r="AP14" i="74"/>
  <c r="AO14" i="74"/>
  <c r="AH14" i="74"/>
  <c r="AG14" i="74"/>
  <c r="Z14" i="74"/>
  <c r="Y14" i="74"/>
  <c r="S14" i="74"/>
  <c r="R14" i="74"/>
  <c r="BN13" i="74"/>
  <c r="BM13" i="74"/>
  <c r="BF13" i="74"/>
  <c r="BE13" i="74"/>
  <c r="AX13" i="74"/>
  <c r="AW13" i="74"/>
  <c r="AP13" i="74"/>
  <c r="AO13" i="74"/>
  <c r="AH13" i="74"/>
  <c r="AG13" i="74"/>
  <c r="Z13" i="74"/>
  <c r="Y13" i="74"/>
  <c r="S13" i="74"/>
  <c r="R13" i="74"/>
  <c r="BN12" i="74"/>
  <c r="BM12" i="74"/>
  <c r="BF12" i="74"/>
  <c r="BE12" i="74"/>
  <c r="AX12" i="74"/>
  <c r="AW12" i="74"/>
  <c r="AP12" i="74"/>
  <c r="AO12" i="74"/>
  <c r="AH12" i="74"/>
  <c r="AG12" i="74"/>
  <c r="Z12" i="74"/>
  <c r="Y12" i="74"/>
  <c r="S12" i="74"/>
  <c r="R12" i="74"/>
  <c r="BN11" i="74"/>
  <c r="BM11" i="74"/>
  <c r="BF11" i="74"/>
  <c r="BE11" i="74"/>
  <c r="AX11" i="74"/>
  <c r="AW11" i="74"/>
  <c r="AP11" i="74"/>
  <c r="AO11" i="74"/>
  <c r="AH11" i="74"/>
  <c r="AG11" i="74"/>
  <c r="Z11" i="74"/>
  <c r="Y11" i="74"/>
  <c r="S11" i="74"/>
  <c r="R11" i="74"/>
  <c r="BN10" i="74"/>
  <c r="BM10" i="74"/>
  <c r="BF10" i="74"/>
  <c r="BE10" i="74"/>
  <c r="AX10" i="74"/>
  <c r="AW10" i="74"/>
  <c r="AP10" i="74"/>
  <c r="AO10" i="74"/>
  <c r="AH10" i="74"/>
  <c r="AG10" i="74"/>
  <c r="Z10" i="74"/>
  <c r="Y10" i="74"/>
  <c r="S10" i="74"/>
  <c r="R10" i="74"/>
  <c r="BN9" i="74"/>
  <c r="BM9" i="74"/>
  <c r="BF9" i="74"/>
  <c r="BE9" i="74"/>
  <c r="AX9" i="74"/>
  <c r="AW9" i="74"/>
  <c r="AP9" i="74"/>
  <c r="AO9" i="74"/>
  <c r="AH9" i="74"/>
  <c r="AG9" i="74"/>
  <c r="Z9" i="74"/>
  <c r="Y9" i="74"/>
  <c r="S9" i="74"/>
  <c r="R9" i="74"/>
  <c r="BN8" i="74"/>
  <c r="BM8" i="74"/>
  <c r="BF8" i="74"/>
  <c r="BE8" i="74"/>
  <c r="AX8" i="74"/>
  <c r="AW8" i="74"/>
  <c r="AP8" i="74"/>
  <c r="AO8" i="74"/>
  <c r="AH8" i="74"/>
  <c r="AG8" i="74"/>
  <c r="Z8" i="74"/>
  <c r="Y8" i="74"/>
  <c r="S8" i="74"/>
  <c r="R8" i="74"/>
  <c r="BN7" i="74"/>
  <c r="BM7" i="74"/>
  <c r="BF7" i="74"/>
  <c r="BE7" i="74"/>
  <c r="AX7" i="74"/>
  <c r="AW7" i="74"/>
  <c r="AP7" i="74"/>
  <c r="AO7" i="74"/>
  <c r="AH7" i="74"/>
  <c r="AG7" i="74"/>
  <c r="Z7" i="74"/>
  <c r="Y7" i="74"/>
  <c r="S7" i="74"/>
  <c r="R7" i="74"/>
  <c r="BN56" i="45"/>
  <c r="BM56" i="45"/>
  <c r="BF56" i="45"/>
  <c r="BE56" i="45"/>
  <c r="AX56" i="45"/>
  <c r="AW56" i="45"/>
  <c r="AP56" i="45"/>
  <c r="AO56" i="45"/>
  <c r="AH56" i="45"/>
  <c r="AG56" i="45"/>
  <c r="Z56" i="45"/>
  <c r="Y56" i="45"/>
  <c r="S56" i="45"/>
  <c r="R56" i="45"/>
  <c r="BN55" i="45"/>
  <c r="BM55" i="45"/>
  <c r="BF55" i="45"/>
  <c r="BE55" i="45"/>
  <c r="AX55" i="45"/>
  <c r="AW55" i="45"/>
  <c r="AP55" i="45"/>
  <c r="AO55" i="45"/>
  <c r="AH55" i="45"/>
  <c r="AG55" i="45"/>
  <c r="Z55" i="45"/>
  <c r="Y55" i="45"/>
  <c r="S55" i="45"/>
  <c r="R55" i="45"/>
  <c r="BN54" i="45"/>
  <c r="BM54" i="45"/>
  <c r="BF54" i="45"/>
  <c r="BE54" i="45"/>
  <c r="AX54" i="45"/>
  <c r="AW54" i="45"/>
  <c r="AP54" i="45"/>
  <c r="AO54" i="45"/>
  <c r="AH54" i="45"/>
  <c r="AG54" i="45"/>
  <c r="Z54" i="45"/>
  <c r="Y54" i="45"/>
  <c r="S54" i="45"/>
  <c r="R54" i="45"/>
  <c r="BN53" i="45"/>
  <c r="BM53" i="45"/>
  <c r="BF53" i="45"/>
  <c r="BE53" i="45"/>
  <c r="AX53" i="45"/>
  <c r="AW53" i="45"/>
  <c r="AP53" i="45"/>
  <c r="AO53" i="45"/>
  <c r="AH53" i="45"/>
  <c r="AG53" i="45"/>
  <c r="Z53" i="45"/>
  <c r="Y53" i="45"/>
  <c r="S53" i="45"/>
  <c r="R53" i="45"/>
  <c r="BN52" i="45"/>
  <c r="BM52" i="45"/>
  <c r="BF52" i="45"/>
  <c r="BE52" i="45"/>
  <c r="AX52" i="45"/>
  <c r="AW52" i="45"/>
  <c r="AP52" i="45"/>
  <c r="AO52" i="45"/>
  <c r="AH52" i="45"/>
  <c r="AG52" i="45"/>
  <c r="Z52" i="45"/>
  <c r="Y52" i="45"/>
  <c r="S52" i="45"/>
  <c r="R52" i="45"/>
  <c r="BN51" i="45"/>
  <c r="BM51" i="45"/>
  <c r="BF51" i="45"/>
  <c r="BE51" i="45"/>
  <c r="AX51" i="45"/>
  <c r="AW51" i="45"/>
  <c r="AP51" i="45"/>
  <c r="AO51" i="45"/>
  <c r="AH51" i="45"/>
  <c r="AG51" i="45"/>
  <c r="Z51" i="45"/>
  <c r="Y51" i="45"/>
  <c r="S51" i="45"/>
  <c r="R51" i="45"/>
  <c r="BN50" i="45"/>
  <c r="BM50" i="45"/>
  <c r="BF50" i="45"/>
  <c r="BE50" i="45"/>
  <c r="AX50" i="45"/>
  <c r="AW50" i="45"/>
  <c r="AP50" i="45"/>
  <c r="AO50" i="45"/>
  <c r="AH50" i="45"/>
  <c r="AG50" i="45"/>
  <c r="Z50" i="45"/>
  <c r="Y50" i="45"/>
  <c r="S50" i="45"/>
  <c r="R50" i="45"/>
  <c r="BN49" i="45"/>
  <c r="BM49" i="45"/>
  <c r="BF49" i="45"/>
  <c r="BE49" i="45"/>
  <c r="AX49" i="45"/>
  <c r="AW49" i="45"/>
  <c r="AP49" i="45"/>
  <c r="AO49" i="45"/>
  <c r="AH49" i="45"/>
  <c r="AG49" i="45"/>
  <c r="Z49" i="45"/>
  <c r="Y49" i="45"/>
  <c r="S49" i="45"/>
  <c r="R49" i="45"/>
  <c r="R8" i="45"/>
  <c r="S8" i="45"/>
  <c r="Y8" i="45"/>
  <c r="Z8" i="45"/>
  <c r="AG8" i="45"/>
  <c r="AH8" i="45"/>
  <c r="AO8" i="45"/>
  <c r="AP8" i="45"/>
  <c r="AW8" i="45"/>
  <c r="AX8" i="45"/>
  <c r="BE8" i="45"/>
  <c r="BF8" i="45"/>
  <c r="BM8" i="45"/>
  <c r="BN8" i="45"/>
  <c r="R9" i="45"/>
  <c r="S9" i="45"/>
  <c r="Y9" i="45"/>
  <c r="Z9" i="45"/>
  <c r="AG9" i="45"/>
  <c r="AH9" i="45"/>
  <c r="AO9" i="45"/>
  <c r="AP9" i="45"/>
  <c r="AW9" i="45"/>
  <c r="AX9" i="45"/>
  <c r="BE9" i="45"/>
  <c r="BF9" i="45"/>
  <c r="BM9" i="45"/>
  <c r="BN9" i="45"/>
  <c r="R10" i="45"/>
  <c r="S10" i="45"/>
  <c r="Y10" i="45"/>
  <c r="Z10" i="45"/>
  <c r="AG10" i="45"/>
  <c r="AH10" i="45"/>
  <c r="AO10" i="45"/>
  <c r="AP10" i="45"/>
  <c r="AW10" i="45"/>
  <c r="AX10" i="45"/>
  <c r="BE10" i="45"/>
  <c r="BF10" i="45"/>
  <c r="BM10" i="45"/>
  <c r="BN10" i="45"/>
  <c r="R11" i="45"/>
  <c r="S11" i="45"/>
  <c r="Y11" i="45"/>
  <c r="Z11" i="45"/>
  <c r="AG11" i="45"/>
  <c r="AH11" i="45"/>
  <c r="AO11" i="45"/>
  <c r="AP11" i="45"/>
  <c r="AW11" i="45"/>
  <c r="AX11" i="45"/>
  <c r="BE11" i="45"/>
  <c r="BF11" i="45"/>
  <c r="BM11" i="45"/>
  <c r="BN11" i="45"/>
  <c r="R12" i="45"/>
  <c r="S12" i="45"/>
  <c r="Y12" i="45"/>
  <c r="Z12" i="45"/>
  <c r="AG12" i="45"/>
  <c r="AH12" i="45"/>
  <c r="AO12" i="45"/>
  <c r="AP12" i="45"/>
  <c r="AW12" i="45"/>
  <c r="AX12" i="45"/>
  <c r="BE12" i="45"/>
  <c r="BF12" i="45"/>
  <c r="BM12" i="45"/>
  <c r="BN12" i="45"/>
  <c r="R13" i="45"/>
  <c r="S13" i="45"/>
  <c r="Y13" i="45"/>
  <c r="Z13" i="45"/>
  <c r="AG13" i="45"/>
  <c r="AH13" i="45"/>
  <c r="AO13" i="45"/>
  <c r="AP13" i="45"/>
  <c r="AW13" i="45"/>
  <c r="AX13" i="45"/>
  <c r="BE13" i="45"/>
  <c r="BF13" i="45"/>
  <c r="BM13" i="45"/>
  <c r="BN13" i="45"/>
  <c r="R14" i="45"/>
  <c r="S14" i="45"/>
  <c r="Y14" i="45"/>
  <c r="Z14" i="45"/>
  <c r="AG14" i="45"/>
  <c r="AH14" i="45"/>
  <c r="AO14" i="45"/>
  <c r="AP14" i="45"/>
  <c r="AW14" i="45"/>
  <c r="AX14" i="45"/>
  <c r="BE14" i="45"/>
  <c r="BF14" i="45"/>
  <c r="BM14" i="45"/>
  <c r="BN14" i="45"/>
  <c r="R15" i="45"/>
  <c r="S15" i="45"/>
  <c r="Y15" i="45"/>
  <c r="Z15" i="45"/>
  <c r="AG15" i="45"/>
  <c r="AH15" i="45"/>
  <c r="AO15" i="45"/>
  <c r="AP15" i="45"/>
  <c r="AW15" i="45"/>
  <c r="AX15" i="45"/>
  <c r="BE15" i="45"/>
  <c r="BF15" i="45"/>
  <c r="BM15" i="45"/>
  <c r="BN15" i="45"/>
  <c r="R16" i="45"/>
  <c r="S16" i="45"/>
  <c r="Y16" i="45"/>
  <c r="Z16" i="45"/>
  <c r="AG16" i="45"/>
  <c r="AH16" i="45"/>
  <c r="AO16" i="45"/>
  <c r="AP16" i="45"/>
  <c r="AW16" i="45"/>
  <c r="AX16" i="45"/>
  <c r="BE16" i="45"/>
  <c r="BF16" i="45"/>
  <c r="BM16" i="45"/>
  <c r="BN16" i="45"/>
  <c r="R17" i="45"/>
  <c r="S17" i="45"/>
  <c r="Y17" i="45"/>
  <c r="Z17" i="45"/>
  <c r="AG17" i="45"/>
  <c r="AH17" i="45"/>
  <c r="AO17" i="45"/>
  <c r="AP17" i="45"/>
  <c r="AW17" i="45"/>
  <c r="AX17" i="45"/>
  <c r="BE17" i="45"/>
  <c r="BF17" i="45"/>
  <c r="BM17" i="45"/>
  <c r="BN17" i="45"/>
  <c r="R18" i="45"/>
  <c r="S18" i="45"/>
  <c r="Y18" i="45"/>
  <c r="Z18" i="45"/>
  <c r="AG18" i="45"/>
  <c r="AH18" i="45"/>
  <c r="AO18" i="45"/>
  <c r="AP18" i="45"/>
  <c r="AW18" i="45"/>
  <c r="AX18" i="45"/>
  <c r="BE18" i="45"/>
  <c r="BF18" i="45"/>
  <c r="BM18" i="45"/>
  <c r="BN18" i="45"/>
  <c r="R19" i="45"/>
  <c r="S19" i="45"/>
  <c r="Y19" i="45"/>
  <c r="Z19" i="45"/>
  <c r="AG19" i="45"/>
  <c r="AH19" i="45"/>
  <c r="AO19" i="45"/>
  <c r="AP19" i="45"/>
  <c r="AW19" i="45"/>
  <c r="AX19" i="45"/>
  <c r="BE19" i="45"/>
  <c r="BF19" i="45"/>
  <c r="BM19" i="45"/>
  <c r="BN19" i="45"/>
  <c r="R20" i="45"/>
  <c r="S20" i="45"/>
  <c r="Y20" i="45"/>
  <c r="Z20" i="45"/>
  <c r="AG20" i="45"/>
  <c r="AH20" i="45"/>
  <c r="AO20" i="45"/>
  <c r="AP20" i="45"/>
  <c r="AW20" i="45"/>
  <c r="AX20" i="45"/>
  <c r="BE20" i="45"/>
  <c r="BF20" i="45"/>
  <c r="BM20" i="45"/>
  <c r="BN20" i="45"/>
  <c r="R21" i="45"/>
  <c r="S21" i="45"/>
  <c r="Y21" i="45"/>
  <c r="Z21" i="45"/>
  <c r="AG21" i="45"/>
  <c r="AH21" i="45"/>
  <c r="AO21" i="45"/>
  <c r="AP21" i="45"/>
  <c r="AW21" i="45"/>
  <c r="AX21" i="45"/>
  <c r="BE21" i="45"/>
  <c r="BF21" i="45"/>
  <c r="BM21" i="45"/>
  <c r="BN21" i="45"/>
  <c r="R22" i="45"/>
  <c r="S22" i="45"/>
  <c r="Y22" i="45"/>
  <c r="Z22" i="45"/>
  <c r="AG22" i="45"/>
  <c r="AH22" i="45"/>
  <c r="AO22" i="45"/>
  <c r="AP22" i="45"/>
  <c r="AW22" i="45"/>
  <c r="AX22" i="45"/>
  <c r="BE22" i="45"/>
  <c r="BF22" i="45"/>
  <c r="BM22" i="45"/>
  <c r="BN22" i="45"/>
  <c r="R23" i="45"/>
  <c r="S23" i="45"/>
  <c r="Y23" i="45"/>
  <c r="Z23" i="45"/>
  <c r="AG23" i="45"/>
  <c r="AH23" i="45"/>
  <c r="AO23" i="45"/>
  <c r="AP23" i="45"/>
  <c r="AW23" i="45"/>
  <c r="AX23" i="45"/>
  <c r="BE23" i="45"/>
  <c r="BF23" i="45"/>
  <c r="BM23" i="45"/>
  <c r="BN23" i="45"/>
  <c r="R24" i="45"/>
  <c r="S24" i="45"/>
  <c r="Y24" i="45"/>
  <c r="Z24" i="45"/>
  <c r="AG24" i="45"/>
  <c r="AH24" i="45"/>
  <c r="AO24" i="45"/>
  <c r="AP24" i="45"/>
  <c r="AW24" i="45"/>
  <c r="AX24" i="45"/>
  <c r="BE24" i="45"/>
  <c r="BF24" i="45"/>
  <c r="BM24" i="45"/>
  <c r="BN24" i="45"/>
  <c r="R25" i="45"/>
  <c r="S25" i="45"/>
  <c r="Y25" i="45"/>
  <c r="Z25" i="45"/>
  <c r="AG25" i="45"/>
  <c r="AH25" i="45"/>
  <c r="AO25" i="45"/>
  <c r="AP25" i="45"/>
  <c r="AW25" i="45"/>
  <c r="AX25" i="45"/>
  <c r="BE25" i="45"/>
  <c r="BF25" i="45"/>
  <c r="BM25" i="45"/>
  <c r="BN25" i="45"/>
  <c r="R26" i="45"/>
  <c r="S26" i="45"/>
  <c r="Y26" i="45"/>
  <c r="Z26" i="45"/>
  <c r="AG26" i="45"/>
  <c r="AH26" i="45"/>
  <c r="AO26" i="45"/>
  <c r="AP26" i="45"/>
  <c r="AW26" i="45"/>
  <c r="AX26" i="45"/>
  <c r="BE26" i="45"/>
  <c r="BF26" i="45"/>
  <c r="BM26" i="45"/>
  <c r="BN26" i="45"/>
  <c r="R27" i="45"/>
  <c r="S27" i="45"/>
  <c r="Y27" i="45"/>
  <c r="Z27" i="45"/>
  <c r="AG27" i="45"/>
  <c r="AH27" i="45"/>
  <c r="AO27" i="45"/>
  <c r="AP27" i="45"/>
  <c r="AW27" i="45"/>
  <c r="AX27" i="45"/>
  <c r="BE27" i="45"/>
  <c r="BF27" i="45"/>
  <c r="BM27" i="45"/>
  <c r="BN27" i="45"/>
  <c r="R28" i="45"/>
  <c r="S28" i="45"/>
  <c r="Y28" i="45"/>
  <c r="Z28" i="45"/>
  <c r="AG28" i="45"/>
  <c r="AH28" i="45"/>
  <c r="AO28" i="45"/>
  <c r="AP28" i="45"/>
  <c r="AW28" i="45"/>
  <c r="AX28" i="45"/>
  <c r="BE28" i="45"/>
  <c r="BF28" i="45"/>
  <c r="BM28" i="45"/>
  <c r="BN28" i="45"/>
  <c r="R29" i="45"/>
  <c r="S29" i="45"/>
  <c r="Y29" i="45"/>
  <c r="Z29" i="45"/>
  <c r="AG29" i="45"/>
  <c r="AH29" i="45"/>
  <c r="AO29" i="45"/>
  <c r="AP29" i="45"/>
  <c r="AW29" i="45"/>
  <c r="AX29" i="45"/>
  <c r="BE29" i="45"/>
  <c r="BF29" i="45"/>
  <c r="BM29" i="45"/>
  <c r="BN29" i="45"/>
  <c r="R30" i="45"/>
  <c r="S30" i="45"/>
  <c r="Y30" i="45"/>
  <c r="Z30" i="45"/>
  <c r="AG30" i="45"/>
  <c r="AH30" i="45"/>
  <c r="AO30" i="45"/>
  <c r="AP30" i="45"/>
  <c r="AW30" i="45"/>
  <c r="AX30" i="45"/>
  <c r="BE30" i="45"/>
  <c r="BF30" i="45"/>
  <c r="BM30" i="45"/>
  <c r="BN30" i="45"/>
  <c r="R31" i="45"/>
  <c r="S31" i="45"/>
  <c r="Y31" i="45"/>
  <c r="Z31" i="45"/>
  <c r="AG31" i="45"/>
  <c r="AH31" i="45"/>
  <c r="AO31" i="45"/>
  <c r="AP31" i="45"/>
  <c r="AW31" i="45"/>
  <c r="AX31" i="45"/>
  <c r="BE31" i="45"/>
  <c r="BF31" i="45"/>
  <c r="BM31" i="45"/>
  <c r="BN31" i="45"/>
  <c r="R32" i="45"/>
  <c r="S32" i="45"/>
  <c r="Y32" i="45"/>
  <c r="Z32" i="45"/>
  <c r="AG32" i="45"/>
  <c r="AH32" i="45"/>
  <c r="AO32" i="45"/>
  <c r="AP32" i="45"/>
  <c r="AW32" i="45"/>
  <c r="AX32" i="45"/>
  <c r="BE32" i="45"/>
  <c r="BF32" i="45"/>
  <c r="BM32" i="45"/>
  <c r="BN32" i="45"/>
  <c r="R33" i="45"/>
  <c r="S33" i="45"/>
  <c r="Y33" i="45"/>
  <c r="Z33" i="45"/>
  <c r="AG33" i="45"/>
  <c r="AH33" i="45"/>
  <c r="AO33" i="45"/>
  <c r="AP33" i="45"/>
  <c r="AW33" i="45"/>
  <c r="AX33" i="45"/>
  <c r="BE33" i="45"/>
  <c r="BF33" i="45"/>
  <c r="BM33" i="45"/>
  <c r="BN33" i="45"/>
  <c r="R34" i="45"/>
  <c r="S34" i="45"/>
  <c r="Y34" i="45"/>
  <c r="Z34" i="45"/>
  <c r="AG34" i="45"/>
  <c r="AH34" i="45"/>
  <c r="AO34" i="45"/>
  <c r="AP34" i="45"/>
  <c r="AW34" i="45"/>
  <c r="AX34" i="45"/>
  <c r="BE34" i="45"/>
  <c r="BF34" i="45"/>
  <c r="BM34" i="45"/>
  <c r="BN34" i="45"/>
  <c r="R35" i="45"/>
  <c r="S35" i="45"/>
  <c r="Y35" i="45"/>
  <c r="Z35" i="45"/>
  <c r="AG35" i="45"/>
  <c r="AH35" i="45"/>
  <c r="AO35" i="45"/>
  <c r="AP35" i="45"/>
  <c r="AW35" i="45"/>
  <c r="AX35" i="45"/>
  <c r="BE35" i="45"/>
  <c r="BF35" i="45"/>
  <c r="BM35" i="45"/>
  <c r="BN35" i="45"/>
  <c r="R36" i="45"/>
  <c r="S36" i="45"/>
  <c r="Y36" i="45"/>
  <c r="Z36" i="45"/>
  <c r="AG36" i="45"/>
  <c r="AH36" i="45"/>
  <c r="AO36" i="45"/>
  <c r="AP36" i="45"/>
  <c r="AW36" i="45"/>
  <c r="AX36" i="45"/>
  <c r="BE36" i="45"/>
  <c r="BF36" i="45"/>
  <c r="BM36" i="45"/>
  <c r="BN36" i="45"/>
  <c r="R37" i="45"/>
  <c r="S37" i="45"/>
  <c r="Y37" i="45"/>
  <c r="Z37" i="45"/>
  <c r="AG37" i="45"/>
  <c r="AH37" i="45"/>
  <c r="AO37" i="45"/>
  <c r="AP37" i="45"/>
  <c r="AW37" i="45"/>
  <c r="AX37" i="45"/>
  <c r="BE37" i="45"/>
  <c r="BF37" i="45"/>
  <c r="BM37" i="45"/>
  <c r="BN37" i="45"/>
  <c r="R38" i="45"/>
  <c r="S38" i="45"/>
  <c r="Y38" i="45"/>
  <c r="Z38" i="45"/>
  <c r="AG38" i="45"/>
  <c r="AH38" i="45"/>
  <c r="AO38" i="45"/>
  <c r="AP38" i="45"/>
  <c r="AW38" i="45"/>
  <c r="AX38" i="45"/>
  <c r="BE38" i="45"/>
  <c r="BF38" i="45"/>
  <c r="BM38" i="45"/>
  <c r="BN38" i="45"/>
  <c r="R39" i="45"/>
  <c r="S39" i="45"/>
  <c r="Y39" i="45"/>
  <c r="Z39" i="45"/>
  <c r="AG39" i="45"/>
  <c r="AH39" i="45"/>
  <c r="AO39" i="45"/>
  <c r="AP39" i="45"/>
  <c r="AW39" i="45"/>
  <c r="AX39" i="45"/>
  <c r="BE39" i="45"/>
  <c r="BF39" i="45"/>
  <c r="BM39" i="45"/>
  <c r="BN39" i="45"/>
  <c r="R40" i="45"/>
  <c r="S40" i="45"/>
  <c r="Y40" i="45"/>
  <c r="Z40" i="45"/>
  <c r="AG40" i="45"/>
  <c r="AH40" i="45"/>
  <c r="AO40" i="45"/>
  <c r="AP40" i="45"/>
  <c r="AW40" i="45"/>
  <c r="AX40" i="45"/>
  <c r="BE40" i="45"/>
  <c r="BF40" i="45"/>
  <c r="BM40" i="45"/>
  <c r="BN40" i="45"/>
  <c r="R41" i="45"/>
  <c r="S41" i="45"/>
  <c r="Y41" i="45"/>
  <c r="Z41" i="45"/>
  <c r="AG41" i="45"/>
  <c r="AH41" i="45"/>
  <c r="AO41" i="45"/>
  <c r="AP41" i="45"/>
  <c r="AW41" i="45"/>
  <c r="AX41" i="45"/>
  <c r="BE41" i="45"/>
  <c r="BF41" i="45"/>
  <c r="BM41" i="45"/>
  <c r="BN41" i="45"/>
  <c r="R42" i="45"/>
  <c r="S42" i="45"/>
  <c r="Y42" i="45"/>
  <c r="Z42" i="45"/>
  <c r="AG42" i="45"/>
  <c r="AH42" i="45"/>
  <c r="AO42" i="45"/>
  <c r="AP42" i="45"/>
  <c r="AW42" i="45"/>
  <c r="AX42" i="45"/>
  <c r="BE42" i="45"/>
  <c r="BF42" i="45"/>
  <c r="BM42" i="45"/>
  <c r="BN42" i="45"/>
  <c r="R43" i="45"/>
  <c r="S43" i="45"/>
  <c r="Y43" i="45"/>
  <c r="Z43" i="45"/>
  <c r="AG43" i="45"/>
  <c r="AH43" i="45"/>
  <c r="AO43" i="45"/>
  <c r="AP43" i="45"/>
  <c r="AW43" i="45"/>
  <c r="AX43" i="45"/>
  <c r="BE43" i="45"/>
  <c r="BF43" i="45"/>
  <c r="BM43" i="45"/>
  <c r="BN43" i="45"/>
  <c r="R44" i="45"/>
  <c r="S44" i="45"/>
  <c r="Y44" i="45"/>
  <c r="Z44" i="45"/>
  <c r="AG44" i="45"/>
  <c r="AH44" i="45"/>
  <c r="AO44" i="45"/>
  <c r="AP44" i="45"/>
  <c r="AW44" i="45"/>
  <c r="AX44" i="45"/>
  <c r="BE44" i="45"/>
  <c r="BF44" i="45"/>
  <c r="BM44" i="45"/>
  <c r="BN44" i="45"/>
  <c r="R45" i="45"/>
  <c r="S45" i="45"/>
  <c r="Y45" i="45"/>
  <c r="Z45" i="45"/>
  <c r="AG45" i="45"/>
  <c r="AH45" i="45"/>
  <c r="AO45" i="45"/>
  <c r="AP45" i="45"/>
  <c r="AW45" i="45"/>
  <c r="AX45" i="45"/>
  <c r="BE45" i="45"/>
  <c r="BF45" i="45"/>
  <c r="BM45" i="45"/>
  <c r="BN45" i="45"/>
  <c r="R46" i="45"/>
  <c r="S46" i="45"/>
  <c r="Y46" i="45"/>
  <c r="Z46" i="45"/>
  <c r="AG46" i="45"/>
  <c r="AH46" i="45"/>
  <c r="AO46" i="45"/>
  <c r="AP46" i="45"/>
  <c r="AW46" i="45"/>
  <c r="AX46" i="45"/>
  <c r="BE46" i="45"/>
  <c r="BF46" i="45"/>
  <c r="BM46" i="45"/>
  <c r="BN46" i="45"/>
  <c r="R47" i="45"/>
  <c r="S47" i="45"/>
  <c r="Y47" i="45"/>
  <c r="Z47" i="45"/>
  <c r="AG47" i="45"/>
  <c r="AH47" i="45"/>
  <c r="AO47" i="45"/>
  <c r="AP47" i="45"/>
  <c r="AW47" i="45"/>
  <c r="AX47" i="45"/>
  <c r="BE47" i="45"/>
  <c r="BF47" i="45"/>
  <c r="BM47" i="45"/>
  <c r="BN47" i="45"/>
  <c r="T26" i="45" l="1"/>
  <c r="T24" i="45"/>
  <c r="AB49" i="45"/>
  <c r="AR49" i="45"/>
  <c r="BH49" i="45"/>
  <c r="T50" i="45"/>
  <c r="AJ50" i="45"/>
  <c r="AZ50" i="45"/>
  <c r="BP50" i="45"/>
  <c r="AB51" i="45"/>
  <c r="AR51" i="45"/>
  <c r="BH51" i="45"/>
  <c r="T52" i="45"/>
  <c r="AJ52" i="45"/>
  <c r="AZ52" i="45"/>
  <c r="BP52" i="45"/>
  <c r="AB53" i="45"/>
  <c r="AR53" i="45"/>
  <c r="BH53" i="45"/>
  <c r="T54" i="45"/>
  <c r="AJ54" i="45"/>
  <c r="AZ54" i="45"/>
  <c r="BP54" i="45"/>
  <c r="AB55" i="45"/>
  <c r="AR55" i="45"/>
  <c r="BH55" i="45"/>
  <c r="T56" i="45"/>
  <c r="AZ56" i="45"/>
  <c r="T25" i="45"/>
  <c r="T23" i="45"/>
  <c r="AJ49" i="45"/>
  <c r="AZ49" i="45"/>
  <c r="BP49" i="45"/>
  <c r="AB50" i="45"/>
  <c r="AR50" i="45"/>
  <c r="BH50" i="45"/>
  <c r="T51" i="45"/>
  <c r="AJ51" i="45"/>
  <c r="AZ51" i="45"/>
  <c r="BP51" i="45"/>
  <c r="AB52" i="45"/>
  <c r="AR52" i="45"/>
  <c r="BH52" i="45"/>
  <c r="T53" i="45"/>
  <c r="AJ53" i="45"/>
  <c r="AZ53" i="45"/>
  <c r="BP53" i="45"/>
  <c r="AB54" i="45"/>
  <c r="AR54" i="45"/>
  <c r="BH54" i="45"/>
  <c r="T55" i="45"/>
  <c r="AJ55" i="45"/>
  <c r="AZ55" i="45"/>
  <c r="BP55" i="45"/>
  <c r="AB56" i="45"/>
  <c r="AR56" i="45"/>
  <c r="BH56" i="45"/>
  <c r="T7" i="74"/>
  <c r="AJ7" i="74"/>
  <c r="AZ7" i="74"/>
  <c r="BP7" i="74"/>
  <c r="AB8" i="74"/>
  <c r="AR8" i="74"/>
  <c r="BH8" i="74"/>
  <c r="T9" i="74"/>
  <c r="AJ9" i="74"/>
  <c r="AZ9" i="74"/>
  <c r="BP9" i="74"/>
  <c r="AB10" i="74"/>
  <c r="AR10" i="74"/>
  <c r="BH10" i="74"/>
  <c r="T11" i="74"/>
  <c r="AJ11" i="74"/>
  <c r="AZ11" i="74"/>
  <c r="BP11" i="74"/>
  <c r="AB12" i="74"/>
  <c r="AR12" i="74"/>
  <c r="BH12" i="74"/>
  <c r="T13" i="74"/>
  <c r="AJ13" i="74"/>
  <c r="AZ13" i="74"/>
  <c r="BP13" i="74"/>
  <c r="AB14" i="74"/>
  <c r="AR14" i="74"/>
  <c r="BH14" i="74"/>
  <c r="T15" i="74"/>
  <c r="AJ15" i="74"/>
  <c r="AZ15" i="74"/>
  <c r="BP15" i="74"/>
  <c r="AB16" i="74"/>
  <c r="AR16" i="74"/>
  <c r="BH16" i="74"/>
  <c r="T17" i="74"/>
  <c r="AJ17" i="74"/>
  <c r="AZ17" i="74"/>
  <c r="BP17" i="74"/>
  <c r="AB18" i="74"/>
  <c r="AR18" i="74"/>
  <c r="BH18" i="74"/>
  <c r="T19" i="74"/>
  <c r="AJ19" i="74"/>
  <c r="AZ19" i="74"/>
  <c r="BP19" i="74"/>
  <c r="AB20" i="74"/>
  <c r="AR20" i="74"/>
  <c r="BH20" i="74"/>
  <c r="T21" i="74"/>
  <c r="AJ21" i="74"/>
  <c r="AZ21" i="74"/>
  <c r="BP21" i="74"/>
  <c r="AB22" i="74"/>
  <c r="AR22" i="74"/>
  <c r="BH22" i="74"/>
  <c r="AJ23" i="74"/>
  <c r="AZ23" i="74"/>
  <c r="BP23" i="74"/>
  <c r="AJ56" i="45"/>
  <c r="BP56" i="45"/>
  <c r="BH7" i="74"/>
  <c r="T8" i="74"/>
  <c r="AZ8" i="74"/>
  <c r="AB9" i="74"/>
  <c r="BH9" i="74"/>
  <c r="AZ10" i="74"/>
  <c r="BH11" i="74"/>
  <c r="AB7" i="74"/>
  <c r="AR7" i="74"/>
  <c r="AJ8" i="74"/>
  <c r="BP8" i="74"/>
  <c r="AR9" i="74"/>
  <c r="T10" i="74"/>
  <c r="AJ10" i="74"/>
  <c r="BP10" i="74"/>
  <c r="AB11" i="74"/>
  <c r="AR11" i="74"/>
  <c r="T12" i="74"/>
  <c r="AJ12" i="74"/>
  <c r="BP12" i="74"/>
  <c r="BH13" i="74"/>
  <c r="AB15" i="74"/>
  <c r="AZ12" i="74"/>
  <c r="AB13" i="74"/>
  <c r="AR13" i="74"/>
  <c r="T14" i="74"/>
  <c r="AJ14" i="74"/>
  <c r="AZ14" i="74"/>
  <c r="BP14" i="74"/>
  <c r="AR15" i="74"/>
  <c r="BH15" i="74"/>
  <c r="T16" i="74"/>
  <c r="AJ16" i="74"/>
  <c r="AZ16" i="74"/>
  <c r="BP16" i="74"/>
  <c r="AB17" i="74"/>
  <c r="AR17" i="74"/>
  <c r="BH17" i="74"/>
  <c r="T18" i="74"/>
  <c r="AJ18" i="74"/>
  <c r="AZ18" i="74"/>
  <c r="BP18" i="74"/>
  <c r="AB19" i="74"/>
  <c r="AR19" i="74"/>
  <c r="BH19" i="74"/>
  <c r="T20" i="74"/>
  <c r="AJ20" i="74"/>
  <c r="AZ20" i="74"/>
  <c r="BP20" i="74"/>
  <c r="AB21" i="74"/>
  <c r="AR21" i="74"/>
  <c r="BH21" i="74"/>
  <c r="T22" i="74"/>
  <c r="AJ22" i="74"/>
  <c r="AZ22" i="74"/>
  <c r="BP22" i="74"/>
  <c r="AB23" i="74"/>
  <c r="AR23" i="74"/>
  <c r="BH23" i="74"/>
  <c r="AB24" i="74"/>
  <c r="AJ24" i="74"/>
  <c r="AR24" i="74"/>
  <c r="AZ24" i="74"/>
  <c r="BH24" i="74"/>
  <c r="BP24" i="74"/>
  <c r="AB25" i="74"/>
  <c r="AJ25" i="74"/>
  <c r="AR25" i="74"/>
  <c r="AZ25" i="74"/>
  <c r="BH25" i="74"/>
  <c r="BP25" i="74"/>
  <c r="AB26" i="74"/>
  <c r="AJ26" i="74"/>
  <c r="AR26" i="74"/>
  <c r="AZ26" i="74"/>
  <c r="BH26" i="74"/>
  <c r="BP26" i="74"/>
  <c r="T27" i="74"/>
  <c r="AB27" i="74"/>
  <c r="AJ27" i="74"/>
  <c r="AR27" i="74"/>
  <c r="AZ27" i="74"/>
  <c r="BH27" i="74"/>
  <c r="BP27" i="74"/>
  <c r="T28" i="74"/>
  <c r="AB28" i="74"/>
  <c r="AJ28" i="74"/>
  <c r="AR28" i="74"/>
  <c r="AZ28" i="74"/>
  <c r="BH28" i="74"/>
  <c r="BP28" i="74"/>
  <c r="T29" i="74"/>
  <c r="AB29" i="74"/>
  <c r="AJ29" i="74"/>
  <c r="AR29" i="74"/>
  <c r="AZ29" i="74"/>
  <c r="BH29" i="74"/>
  <c r="BP29" i="74"/>
  <c r="T30" i="74"/>
  <c r="AB30" i="74"/>
  <c r="AJ30" i="74"/>
  <c r="AR30" i="74"/>
  <c r="AZ30" i="74"/>
  <c r="BH30" i="74"/>
  <c r="BP30" i="74"/>
  <c r="T31" i="74"/>
  <c r="AB31" i="74"/>
  <c r="AJ31" i="74"/>
  <c r="AR31" i="74"/>
  <c r="AZ31" i="74"/>
  <c r="BH31" i="74"/>
  <c r="BP31" i="74"/>
  <c r="T32" i="74"/>
  <c r="AB32" i="74"/>
  <c r="AJ32" i="74"/>
  <c r="AR32" i="74"/>
  <c r="AZ32" i="74"/>
  <c r="BH32" i="74"/>
  <c r="BP32" i="74"/>
  <c r="T33" i="74"/>
  <c r="AB33" i="74"/>
  <c r="AJ33" i="74"/>
  <c r="AR33" i="74"/>
  <c r="AZ33" i="74"/>
  <c r="BH33" i="74"/>
  <c r="BP33" i="74"/>
  <c r="T34" i="74"/>
  <c r="AB34" i="74"/>
  <c r="AJ34" i="74"/>
  <c r="AR34" i="74"/>
  <c r="AZ34" i="74"/>
  <c r="BH34" i="74"/>
  <c r="BP34" i="74"/>
  <c r="T35" i="74"/>
  <c r="AB35" i="74"/>
  <c r="AJ35" i="74"/>
  <c r="AR35" i="74"/>
  <c r="AZ35" i="74"/>
  <c r="BH35" i="74"/>
  <c r="BP35" i="74"/>
  <c r="T36" i="74"/>
  <c r="AB36" i="74"/>
  <c r="AJ36" i="74"/>
  <c r="AR36" i="74"/>
  <c r="AZ36" i="74"/>
  <c r="BH36" i="74"/>
  <c r="BP36" i="74"/>
  <c r="T37" i="74"/>
  <c r="AB37" i="74"/>
  <c r="AJ37" i="74"/>
  <c r="AR37" i="74"/>
  <c r="AZ37" i="74"/>
  <c r="BH37" i="74"/>
  <c r="BP37" i="74"/>
  <c r="T38" i="74"/>
  <c r="AB38" i="74"/>
  <c r="AJ38" i="74"/>
  <c r="AR38" i="74"/>
  <c r="AZ38" i="74"/>
  <c r="BH38" i="74"/>
  <c r="BP38" i="74"/>
  <c r="T39" i="74"/>
  <c r="AB39" i="74"/>
  <c r="AJ39" i="74"/>
  <c r="AR39" i="74"/>
  <c r="AZ39" i="74"/>
  <c r="BH39" i="74"/>
  <c r="BP39" i="74"/>
  <c r="T40" i="74"/>
  <c r="AB40" i="74"/>
  <c r="AJ40" i="74"/>
  <c r="AR40" i="74"/>
  <c r="AZ40" i="74"/>
  <c r="BH40" i="74"/>
  <c r="BP40" i="74"/>
  <c r="T41" i="74"/>
  <c r="AB41" i="74"/>
  <c r="AJ41" i="74"/>
  <c r="AR41" i="74"/>
  <c r="AZ41" i="74"/>
  <c r="BH41" i="74"/>
  <c r="BP41" i="74"/>
  <c r="T42" i="74"/>
  <c r="AB42" i="74"/>
  <c r="AJ42" i="74"/>
  <c r="AR42" i="74"/>
  <c r="AZ42" i="74"/>
  <c r="BH42" i="74"/>
  <c r="BP42" i="74"/>
  <c r="T43" i="74"/>
  <c r="AB43" i="74"/>
  <c r="AJ43" i="74"/>
  <c r="AR43" i="74"/>
  <c r="AZ43" i="74"/>
  <c r="BH43" i="74"/>
  <c r="BP43" i="74"/>
  <c r="T44" i="74"/>
  <c r="AB44" i="74"/>
  <c r="AJ44" i="74"/>
  <c r="AR44" i="74"/>
  <c r="AZ44" i="74"/>
  <c r="BH44" i="74"/>
  <c r="BP44" i="74"/>
  <c r="T45" i="74"/>
  <c r="AB45" i="74"/>
  <c r="AJ45" i="74"/>
  <c r="AR45" i="74"/>
  <c r="AZ45" i="74"/>
  <c r="BH45" i="74"/>
  <c r="BP45" i="74"/>
  <c r="T46" i="74"/>
  <c r="AB46" i="74"/>
  <c r="AJ46" i="74"/>
  <c r="AR46" i="74"/>
  <c r="AZ46" i="74"/>
  <c r="BH46" i="74"/>
  <c r="BP46" i="74"/>
  <c r="T47" i="74"/>
  <c r="AB47" i="74"/>
  <c r="AJ47" i="74"/>
  <c r="AR47" i="74"/>
  <c r="AZ47" i="74"/>
  <c r="BH47" i="74"/>
  <c r="BP47" i="74"/>
  <c r="AB49" i="74"/>
  <c r="AJ49" i="74"/>
  <c r="AR49" i="74"/>
  <c r="AZ49" i="74"/>
  <c r="BH49" i="74"/>
  <c r="BP49" i="74"/>
  <c r="T50" i="74"/>
  <c r="AB50" i="74"/>
  <c r="AJ50" i="74"/>
  <c r="AR50" i="74"/>
  <c r="AZ50" i="74"/>
  <c r="BH50" i="74"/>
  <c r="BP50" i="74"/>
  <c r="T51" i="74"/>
  <c r="AB51" i="74"/>
  <c r="AJ51" i="74"/>
  <c r="AR51" i="74"/>
  <c r="AZ51" i="74"/>
  <c r="BH51" i="74"/>
  <c r="BP51" i="74"/>
  <c r="T52" i="74"/>
  <c r="AB52" i="74"/>
  <c r="AJ52" i="74"/>
  <c r="AR52" i="74"/>
  <c r="AZ52" i="74"/>
  <c r="BH52" i="74"/>
  <c r="BP52" i="74"/>
  <c r="T53" i="74"/>
  <c r="AB53" i="74"/>
  <c r="AJ53" i="74"/>
  <c r="AR53" i="74"/>
  <c r="AZ53" i="74"/>
  <c r="BH53" i="74"/>
  <c r="BP53" i="74"/>
  <c r="T54" i="74"/>
  <c r="AB54" i="74"/>
  <c r="AJ54" i="74"/>
  <c r="AR54" i="74"/>
  <c r="AZ54" i="74"/>
  <c r="BH54" i="74"/>
  <c r="BP54" i="74"/>
  <c r="T55" i="74"/>
  <c r="AB55" i="74"/>
  <c r="AJ55" i="74"/>
  <c r="AR55" i="74"/>
  <c r="AZ55" i="74"/>
  <c r="BH55" i="74"/>
  <c r="BP55" i="74"/>
  <c r="T56" i="74"/>
  <c r="AB56" i="74"/>
  <c r="AJ56" i="74"/>
  <c r="AR56" i="74"/>
  <c r="AZ56" i="74"/>
  <c r="BH56" i="74"/>
  <c r="BP56" i="74"/>
  <c r="T49" i="45"/>
  <c r="T49" i="74"/>
  <c r="BP47" i="45"/>
  <c r="BH47" i="45"/>
  <c r="AZ47" i="45"/>
  <c r="AR47" i="45"/>
  <c r="AJ47" i="45"/>
  <c r="AB47" i="45"/>
  <c r="T47" i="45"/>
  <c r="BP46" i="45"/>
  <c r="BH46" i="45"/>
  <c r="AZ46" i="45"/>
  <c r="AR46" i="45"/>
  <c r="AJ46" i="45"/>
  <c r="AB46" i="45"/>
  <c r="T46" i="45"/>
  <c r="BP45" i="45"/>
  <c r="BH45" i="45"/>
  <c r="AZ45" i="45"/>
  <c r="AR45" i="45"/>
  <c r="AJ45" i="45"/>
  <c r="AB45" i="45"/>
  <c r="T45" i="45"/>
  <c r="BP44" i="45"/>
  <c r="BH44" i="45"/>
  <c r="AZ44" i="45"/>
  <c r="AR44" i="45"/>
  <c r="AJ44" i="45"/>
  <c r="AB44" i="45"/>
  <c r="T44" i="45"/>
  <c r="BP43" i="45"/>
  <c r="BH43" i="45"/>
  <c r="AZ43" i="45"/>
  <c r="AR43" i="45"/>
  <c r="AJ43" i="45"/>
  <c r="AB43" i="45"/>
  <c r="T43" i="45"/>
  <c r="BP42" i="45"/>
  <c r="BH42" i="45"/>
  <c r="AZ42" i="45"/>
  <c r="AR42" i="45"/>
  <c r="AJ42" i="45"/>
  <c r="AB42" i="45"/>
  <c r="T42" i="45"/>
  <c r="BP41" i="45"/>
  <c r="BH41" i="45"/>
  <c r="AZ41" i="45"/>
  <c r="AR41" i="45"/>
  <c r="AJ41" i="45"/>
  <c r="AB41" i="45"/>
  <c r="T41" i="45"/>
  <c r="BP40" i="45"/>
  <c r="BH40" i="45"/>
  <c r="AZ40" i="45"/>
  <c r="AR40" i="45"/>
  <c r="AJ40" i="45"/>
  <c r="AB40" i="45"/>
  <c r="T40" i="45"/>
  <c r="BP39" i="45"/>
  <c r="BH39" i="45"/>
  <c r="AZ39" i="45"/>
  <c r="AR39" i="45"/>
  <c r="AJ39" i="45"/>
  <c r="AB39" i="45"/>
  <c r="T39" i="45"/>
  <c r="BP38" i="45"/>
  <c r="BH38" i="45"/>
  <c r="AZ38" i="45"/>
  <c r="AR38" i="45"/>
  <c r="AJ38" i="45"/>
  <c r="AB38" i="45"/>
  <c r="T38" i="45"/>
  <c r="BP37" i="45"/>
  <c r="BH37" i="45"/>
  <c r="AZ37" i="45"/>
  <c r="AR37" i="45"/>
  <c r="AJ37" i="45"/>
  <c r="AB37" i="45"/>
  <c r="T37" i="45"/>
  <c r="BP36" i="45"/>
  <c r="BH36" i="45"/>
  <c r="AZ36" i="45"/>
  <c r="AR36" i="45"/>
  <c r="AJ36" i="45"/>
  <c r="AB36" i="45"/>
  <c r="T36" i="45"/>
  <c r="BP35" i="45"/>
  <c r="BH35" i="45"/>
  <c r="AZ35" i="45"/>
  <c r="AR35" i="45"/>
  <c r="AJ35" i="45"/>
  <c r="AB35" i="45"/>
  <c r="T35" i="45"/>
  <c r="BP34" i="45"/>
  <c r="BH34" i="45"/>
  <c r="AZ34" i="45"/>
  <c r="AR34" i="45"/>
  <c r="AJ34" i="45"/>
  <c r="AB34" i="45"/>
  <c r="T34" i="45"/>
  <c r="BP33" i="45"/>
  <c r="BH33" i="45"/>
  <c r="AZ33" i="45"/>
  <c r="AR33" i="45"/>
  <c r="AJ33" i="45"/>
  <c r="AB33" i="45"/>
  <c r="T33" i="45"/>
  <c r="BP32" i="45"/>
  <c r="BH32" i="45"/>
  <c r="AZ32" i="45"/>
  <c r="AR32" i="45"/>
  <c r="AJ32" i="45"/>
  <c r="AB32" i="45"/>
  <c r="T32" i="45"/>
  <c r="BP31" i="45"/>
  <c r="BH31" i="45"/>
  <c r="AZ31" i="45"/>
  <c r="AR31" i="45"/>
  <c r="AJ31" i="45"/>
  <c r="AB31" i="45"/>
  <c r="T31" i="45"/>
  <c r="BP30" i="45"/>
  <c r="BH30" i="45"/>
  <c r="AZ30" i="45"/>
  <c r="AR30" i="45"/>
  <c r="AJ30" i="45"/>
  <c r="AB30" i="45"/>
  <c r="T30" i="45"/>
  <c r="BP29" i="45"/>
  <c r="BH29" i="45"/>
  <c r="AZ29" i="45"/>
  <c r="AR29" i="45"/>
  <c r="AJ29" i="45"/>
  <c r="AB29" i="45"/>
  <c r="T29" i="45"/>
  <c r="BP28" i="45"/>
  <c r="BH28" i="45"/>
  <c r="AZ28" i="45"/>
  <c r="AR28" i="45"/>
  <c r="AJ28" i="45"/>
  <c r="AB28" i="45"/>
  <c r="T28" i="45"/>
  <c r="BP27" i="45"/>
  <c r="BH27" i="45"/>
  <c r="AZ27" i="45"/>
  <c r="AR27" i="45"/>
  <c r="AJ27" i="45"/>
  <c r="AB27" i="45"/>
  <c r="T27" i="45"/>
  <c r="BP26" i="45"/>
  <c r="BH26" i="45"/>
  <c r="AZ26" i="45"/>
  <c r="AR26" i="45"/>
  <c r="AJ26" i="45"/>
  <c r="AB26" i="45"/>
  <c r="BP25" i="45"/>
  <c r="BH25" i="45"/>
  <c r="AZ25" i="45"/>
  <c r="AR25" i="45"/>
  <c r="AJ25" i="45"/>
  <c r="AB25" i="45"/>
  <c r="BP24" i="45"/>
  <c r="BH24" i="45"/>
  <c r="AZ24" i="45"/>
  <c r="AR24" i="45"/>
  <c r="AJ24" i="45"/>
  <c r="AB24" i="45"/>
  <c r="BP23" i="45"/>
  <c r="BH23" i="45"/>
  <c r="AZ23" i="45"/>
  <c r="AR23" i="45"/>
  <c r="AJ23" i="45"/>
  <c r="AB23" i="45"/>
  <c r="BP22" i="45"/>
  <c r="BH22" i="45"/>
  <c r="AZ22" i="45"/>
  <c r="AR22" i="45"/>
  <c r="AJ22" i="45"/>
  <c r="AB22" i="45"/>
  <c r="T22" i="45"/>
  <c r="BP21" i="45"/>
  <c r="BH21" i="45"/>
  <c r="AZ21" i="45"/>
  <c r="AR21" i="45"/>
  <c r="AJ21" i="45"/>
  <c r="AB21" i="45"/>
  <c r="T21" i="45"/>
  <c r="BP20" i="45"/>
  <c r="BH20" i="45"/>
  <c r="AZ20" i="45"/>
  <c r="AR20" i="45"/>
  <c r="AJ20" i="45"/>
  <c r="AB20" i="45"/>
  <c r="T20" i="45"/>
  <c r="BP19" i="45"/>
  <c r="BH19" i="45"/>
  <c r="AZ19" i="45"/>
  <c r="AR19" i="45"/>
  <c r="AJ19" i="45"/>
  <c r="AB19" i="45"/>
  <c r="T19" i="45"/>
  <c r="BP18" i="45"/>
  <c r="BH18" i="45"/>
  <c r="AZ18" i="45"/>
  <c r="AR18" i="45"/>
  <c r="AJ18" i="45"/>
  <c r="AB18" i="45"/>
  <c r="T18" i="45"/>
  <c r="BP17" i="45"/>
  <c r="BH17" i="45"/>
  <c r="AZ17" i="45"/>
  <c r="AR17" i="45"/>
  <c r="AJ17" i="45"/>
  <c r="AB17" i="45"/>
  <c r="T17" i="45"/>
  <c r="BP16" i="45"/>
  <c r="BH16" i="45"/>
  <c r="AZ16" i="45"/>
  <c r="AR16" i="45"/>
  <c r="AJ16" i="45"/>
  <c r="AB16" i="45"/>
  <c r="T16" i="45"/>
  <c r="BP15" i="45"/>
  <c r="BH15" i="45"/>
  <c r="AZ15" i="45"/>
  <c r="AR15" i="45"/>
  <c r="AJ15" i="45"/>
  <c r="AB15" i="45"/>
  <c r="T15" i="45"/>
  <c r="BP14" i="45"/>
  <c r="BH14" i="45"/>
  <c r="AZ14" i="45"/>
  <c r="AR14" i="45"/>
  <c r="AJ14" i="45"/>
  <c r="AB14" i="45"/>
  <c r="T14" i="45"/>
  <c r="BP13" i="45"/>
  <c r="BH13" i="45"/>
  <c r="AZ13" i="45"/>
  <c r="AR13" i="45"/>
  <c r="AJ13" i="45"/>
  <c r="AB13" i="45"/>
  <c r="T13" i="45"/>
  <c r="BP12" i="45"/>
  <c r="BH12" i="45"/>
  <c r="AZ12" i="45"/>
  <c r="AR12" i="45"/>
  <c r="AJ12" i="45"/>
  <c r="AB12" i="45"/>
  <c r="T12" i="45"/>
  <c r="BP11" i="45"/>
  <c r="BH11" i="45"/>
  <c r="AZ11" i="45"/>
  <c r="AR11" i="45"/>
  <c r="AJ11" i="45"/>
  <c r="AB11" i="45"/>
  <c r="T11" i="45"/>
  <c r="BP10" i="45"/>
  <c r="BH10" i="45"/>
  <c r="AZ10" i="45"/>
  <c r="AR10" i="45"/>
  <c r="AJ10" i="45"/>
  <c r="AB10" i="45"/>
  <c r="T10" i="45"/>
  <c r="BP9" i="45"/>
  <c r="BH9" i="45"/>
  <c r="AZ9" i="45"/>
  <c r="AR9" i="45"/>
  <c r="AJ9" i="45"/>
  <c r="AB9" i="45"/>
  <c r="T9" i="45"/>
  <c r="BP8" i="45"/>
  <c r="BH8" i="45"/>
  <c r="AZ8" i="45"/>
  <c r="AR8" i="45"/>
  <c r="AJ8" i="45"/>
  <c r="AB8" i="45"/>
  <c r="T8" i="45"/>
  <c r="T23" i="74"/>
  <c r="T24" i="74"/>
  <c r="T25" i="74"/>
  <c r="T26" i="74"/>
  <c r="O56" i="74"/>
  <c r="J56" i="74"/>
  <c r="I56" i="74"/>
  <c r="K56" i="74" s="1"/>
  <c r="H56" i="74"/>
  <c r="O55" i="74"/>
  <c r="J55" i="74"/>
  <c r="I55" i="74"/>
  <c r="K55" i="74" s="1"/>
  <c r="H55" i="74"/>
  <c r="O54" i="74"/>
  <c r="J54" i="74"/>
  <c r="I54" i="74"/>
  <c r="K54" i="74" s="1"/>
  <c r="H54" i="74"/>
  <c r="O53" i="74"/>
  <c r="J53" i="74"/>
  <c r="I53" i="74"/>
  <c r="K53" i="74" s="1"/>
  <c r="H53" i="74"/>
  <c r="O52" i="74"/>
  <c r="J52" i="74"/>
  <c r="I52" i="74"/>
  <c r="K52" i="74" s="1"/>
  <c r="H52" i="74"/>
  <c r="O51" i="74"/>
  <c r="J51" i="74"/>
  <c r="I51" i="74"/>
  <c r="K51" i="74" s="1"/>
  <c r="H51" i="74"/>
  <c r="O50" i="74"/>
  <c r="J50" i="74"/>
  <c r="I50" i="74"/>
  <c r="K50" i="74" s="1"/>
  <c r="H50" i="74"/>
  <c r="O49" i="74"/>
  <c r="J49" i="74"/>
  <c r="I49" i="74"/>
  <c r="K49" i="74" s="1"/>
  <c r="H49" i="74"/>
  <c r="O47" i="74"/>
  <c r="H47" i="74"/>
  <c r="O46" i="74"/>
  <c r="H46" i="74"/>
  <c r="O45" i="74"/>
  <c r="H45" i="74"/>
  <c r="O44" i="74"/>
  <c r="H44" i="74"/>
  <c r="O43" i="74"/>
  <c r="H43" i="74"/>
  <c r="O42" i="74"/>
  <c r="H42" i="74"/>
  <c r="O41" i="74"/>
  <c r="H41" i="74"/>
  <c r="O40" i="74"/>
  <c r="H40" i="74"/>
  <c r="O39" i="74"/>
  <c r="H39" i="74"/>
  <c r="O38" i="74"/>
  <c r="H38" i="74"/>
  <c r="O37" i="74"/>
  <c r="H37" i="74"/>
  <c r="O36" i="74"/>
  <c r="H36" i="74"/>
  <c r="O35" i="74"/>
  <c r="H35" i="74"/>
  <c r="O34" i="74"/>
  <c r="H34" i="74"/>
  <c r="O33" i="74"/>
  <c r="H33" i="74"/>
  <c r="O32" i="74"/>
  <c r="H32" i="74"/>
  <c r="O31" i="74"/>
  <c r="H31" i="74"/>
  <c r="O30" i="74"/>
  <c r="H30" i="74"/>
  <c r="O29" i="74"/>
  <c r="H29" i="74"/>
  <c r="O28" i="74"/>
  <c r="H28" i="74"/>
  <c r="O27" i="74"/>
  <c r="H27" i="74"/>
  <c r="O26" i="74"/>
  <c r="H26" i="74"/>
  <c r="O25" i="74"/>
  <c r="H25" i="74"/>
  <c r="O24" i="74"/>
  <c r="H24" i="74"/>
  <c r="O23" i="74"/>
  <c r="H23" i="74"/>
  <c r="O22" i="74"/>
  <c r="H22" i="74"/>
  <c r="O21" i="74"/>
  <c r="H21" i="74"/>
  <c r="O20" i="74"/>
  <c r="H20" i="74"/>
  <c r="O19" i="74"/>
  <c r="H19" i="74"/>
  <c r="O18" i="74"/>
  <c r="H18" i="74"/>
  <c r="O17" i="74"/>
  <c r="H17" i="74"/>
  <c r="O16" i="74"/>
  <c r="H16" i="74"/>
  <c r="O15" i="74"/>
  <c r="H15" i="74"/>
  <c r="O14" i="74"/>
  <c r="H14" i="74"/>
  <c r="O13" i="74"/>
  <c r="H13" i="74"/>
  <c r="O12" i="74"/>
  <c r="H12" i="74"/>
  <c r="O11" i="74"/>
  <c r="H11" i="74"/>
  <c r="O10" i="74"/>
  <c r="H10" i="74"/>
  <c r="O9" i="74"/>
  <c r="H9" i="74"/>
  <c r="O8" i="74"/>
  <c r="H8" i="74"/>
  <c r="O7" i="74"/>
  <c r="H7" i="74"/>
  <c r="AI233" i="73"/>
  <c r="L233" i="73"/>
  <c r="K233" i="73"/>
  <c r="G233" i="73"/>
  <c r="F233" i="73"/>
  <c r="E233" i="73"/>
  <c r="AI232" i="73"/>
  <c r="L232" i="73"/>
  <c r="K232" i="73"/>
  <c r="G232" i="73"/>
  <c r="F232" i="73"/>
  <c r="E232" i="73"/>
  <c r="AI231" i="73"/>
  <c r="L231" i="73"/>
  <c r="K231" i="73"/>
  <c r="G231" i="73"/>
  <c r="F231" i="73"/>
  <c r="E231" i="73"/>
  <c r="AI230" i="73"/>
  <c r="L230" i="73"/>
  <c r="K230" i="73"/>
  <c r="G230" i="73"/>
  <c r="F230" i="73"/>
  <c r="E230" i="73"/>
  <c r="AI229" i="73"/>
  <c r="L229" i="73"/>
  <c r="K229" i="73"/>
  <c r="G229" i="73"/>
  <c r="F229" i="73"/>
  <c r="E229" i="73"/>
  <c r="AI228" i="73"/>
  <c r="L228" i="73"/>
  <c r="K228" i="73"/>
  <c r="G228" i="73"/>
  <c r="F228" i="73"/>
  <c r="E228" i="73"/>
  <c r="AI227" i="73"/>
  <c r="L227" i="73"/>
  <c r="K227" i="73"/>
  <c r="G227" i="73"/>
  <c r="F227" i="73"/>
  <c r="E227" i="73"/>
  <c r="AI226" i="73"/>
  <c r="L226" i="73"/>
  <c r="K226" i="73"/>
  <c r="G226" i="73"/>
  <c r="F226" i="73"/>
  <c r="E226" i="73"/>
  <c r="AI224" i="73"/>
  <c r="G224" i="73"/>
  <c r="F224" i="73"/>
  <c r="E224" i="73"/>
  <c r="AI223" i="73"/>
  <c r="I223" i="73"/>
  <c r="J223" i="73" s="1"/>
  <c r="G223" i="73"/>
  <c r="F223" i="73"/>
  <c r="E223" i="73"/>
  <c r="AI222" i="73"/>
  <c r="G222" i="73"/>
  <c r="F222" i="73"/>
  <c r="E222" i="73"/>
  <c r="AI221" i="73"/>
  <c r="G221" i="73"/>
  <c r="F221" i="73"/>
  <c r="E221" i="73"/>
  <c r="AI220" i="73"/>
  <c r="I220" i="73"/>
  <c r="J220" i="73" s="1"/>
  <c r="G220" i="73"/>
  <c r="F220" i="73"/>
  <c r="E220" i="73"/>
  <c r="AI219" i="73"/>
  <c r="G219" i="73"/>
  <c r="F219" i="73"/>
  <c r="E219" i="73"/>
  <c r="AI218" i="73"/>
  <c r="G218" i="73"/>
  <c r="F218" i="73"/>
  <c r="E218" i="73"/>
  <c r="AI217" i="73"/>
  <c r="G217" i="73"/>
  <c r="F217" i="73"/>
  <c r="E217" i="73"/>
  <c r="AI216" i="73"/>
  <c r="G216" i="73"/>
  <c r="F216" i="73"/>
  <c r="E216" i="73"/>
  <c r="AI215" i="73"/>
  <c r="G215" i="73"/>
  <c r="F215" i="73"/>
  <c r="E215" i="73"/>
  <c r="AI214" i="73"/>
  <c r="G214" i="73"/>
  <c r="F214" i="73"/>
  <c r="E214" i="73"/>
  <c r="AI213" i="73"/>
  <c r="G213" i="73"/>
  <c r="F213" i="73"/>
  <c r="E213" i="73"/>
  <c r="AI212" i="73"/>
  <c r="G212" i="73"/>
  <c r="F212" i="73"/>
  <c r="E212" i="73"/>
  <c r="AI211" i="73"/>
  <c r="G211" i="73"/>
  <c r="F211" i="73"/>
  <c r="E211" i="73"/>
  <c r="AI210" i="73"/>
  <c r="G210" i="73"/>
  <c r="F210" i="73"/>
  <c r="E210" i="73"/>
  <c r="AI209" i="73"/>
  <c r="G209" i="73"/>
  <c r="F209" i="73"/>
  <c r="E209" i="73"/>
  <c r="AI208" i="73"/>
  <c r="G208" i="73"/>
  <c r="F208" i="73"/>
  <c r="E208" i="73"/>
  <c r="AI207" i="73"/>
  <c r="G207" i="73"/>
  <c r="F207" i="73"/>
  <c r="E207" i="73"/>
  <c r="AI206" i="73"/>
  <c r="G206" i="73"/>
  <c r="F206" i="73"/>
  <c r="E206" i="73"/>
  <c r="AI205" i="73"/>
  <c r="G205" i="73"/>
  <c r="F205" i="73"/>
  <c r="E205" i="73"/>
  <c r="AI204" i="73"/>
  <c r="G204" i="73"/>
  <c r="F204" i="73"/>
  <c r="E204" i="73"/>
  <c r="AI203" i="73"/>
  <c r="G203" i="73"/>
  <c r="F203" i="73"/>
  <c r="E203" i="73"/>
  <c r="AI202" i="73"/>
  <c r="G202" i="73"/>
  <c r="F202" i="73"/>
  <c r="E202" i="73"/>
  <c r="AI201" i="73"/>
  <c r="G201" i="73"/>
  <c r="F201" i="73"/>
  <c r="E201" i="73"/>
  <c r="AI200" i="73"/>
  <c r="G200" i="73"/>
  <c r="F200" i="73"/>
  <c r="E200" i="73"/>
  <c r="AI199" i="73"/>
  <c r="G199" i="73"/>
  <c r="F199" i="73"/>
  <c r="E199" i="73"/>
  <c r="AI198" i="73"/>
  <c r="G198" i="73"/>
  <c r="F198" i="73"/>
  <c r="E198" i="73"/>
  <c r="AI197" i="73"/>
  <c r="G197" i="73"/>
  <c r="F197" i="73"/>
  <c r="E197" i="73"/>
  <c r="AI196" i="73"/>
  <c r="G196" i="73"/>
  <c r="F196" i="73"/>
  <c r="E196" i="73"/>
  <c r="AI195" i="73"/>
  <c r="G195" i="73"/>
  <c r="F195" i="73"/>
  <c r="E195" i="73"/>
  <c r="AI194" i="73"/>
  <c r="G194" i="73"/>
  <c r="F194" i="73"/>
  <c r="E194" i="73"/>
  <c r="AI193" i="73"/>
  <c r="G193" i="73"/>
  <c r="F193" i="73"/>
  <c r="E193" i="73"/>
  <c r="AI192" i="73"/>
  <c r="G192" i="73"/>
  <c r="F192" i="73"/>
  <c r="E192" i="73"/>
  <c r="AI191" i="73"/>
  <c r="G191" i="73"/>
  <c r="F191" i="73"/>
  <c r="E191" i="73"/>
  <c r="AI190" i="73"/>
  <c r="G190" i="73"/>
  <c r="F190" i="73"/>
  <c r="E190" i="73"/>
  <c r="AI189" i="73"/>
  <c r="G189" i="73"/>
  <c r="F189" i="73"/>
  <c r="E189" i="73"/>
  <c r="AI188" i="73"/>
  <c r="G188" i="73"/>
  <c r="F188" i="73"/>
  <c r="E188" i="73"/>
  <c r="AI187" i="73"/>
  <c r="G187" i="73"/>
  <c r="F187" i="73"/>
  <c r="E187" i="73"/>
  <c r="AI186" i="73"/>
  <c r="G186" i="73"/>
  <c r="F186" i="73"/>
  <c r="E186" i="73"/>
  <c r="AI185" i="73"/>
  <c r="G185" i="73"/>
  <c r="F185" i="73"/>
  <c r="E185" i="73"/>
  <c r="AI184" i="73"/>
  <c r="G184" i="73"/>
  <c r="F184" i="73"/>
  <c r="E184" i="73"/>
  <c r="L176" i="73"/>
  <c r="K176" i="73"/>
  <c r="G176" i="73"/>
  <c r="F176" i="73"/>
  <c r="E176" i="73"/>
  <c r="L175" i="73"/>
  <c r="K175" i="73"/>
  <c r="G175" i="73"/>
  <c r="F175" i="73"/>
  <c r="E175" i="73"/>
  <c r="L174" i="73"/>
  <c r="K174" i="73"/>
  <c r="G174" i="73"/>
  <c r="F174" i="73"/>
  <c r="E174" i="73"/>
  <c r="L173" i="73"/>
  <c r="K173" i="73"/>
  <c r="G173" i="73"/>
  <c r="F173" i="73"/>
  <c r="E173" i="73"/>
  <c r="L172" i="73"/>
  <c r="K172" i="73"/>
  <c r="G172" i="73"/>
  <c r="F172" i="73"/>
  <c r="E172" i="73"/>
  <c r="L171" i="73"/>
  <c r="K171" i="73"/>
  <c r="G171" i="73"/>
  <c r="F171" i="73"/>
  <c r="E171" i="73"/>
  <c r="L170" i="73"/>
  <c r="K170" i="73"/>
  <c r="G170" i="73"/>
  <c r="F170" i="73"/>
  <c r="E170" i="73"/>
  <c r="L169" i="73"/>
  <c r="K169" i="73"/>
  <c r="G169" i="73"/>
  <c r="F169" i="73"/>
  <c r="E169" i="73"/>
  <c r="G167" i="73"/>
  <c r="F167" i="73"/>
  <c r="E167" i="73"/>
  <c r="I166" i="73"/>
  <c r="J166" i="73" s="1"/>
  <c r="G166" i="73"/>
  <c r="F166" i="73"/>
  <c r="E166" i="73"/>
  <c r="G165" i="73"/>
  <c r="F165" i="73"/>
  <c r="E165" i="73"/>
  <c r="G164" i="73"/>
  <c r="F164" i="73"/>
  <c r="E164" i="73"/>
  <c r="I163" i="73"/>
  <c r="J163" i="73" s="1"/>
  <c r="G163" i="73"/>
  <c r="F163" i="73"/>
  <c r="E163" i="73"/>
  <c r="G162" i="73"/>
  <c r="F162" i="73"/>
  <c r="E162" i="73"/>
  <c r="G161" i="73"/>
  <c r="F161" i="73"/>
  <c r="E161" i="73"/>
  <c r="G160" i="73"/>
  <c r="F160" i="73"/>
  <c r="E160" i="73"/>
  <c r="G159" i="73"/>
  <c r="F159" i="73"/>
  <c r="E159" i="73"/>
  <c r="G158" i="73"/>
  <c r="F158" i="73"/>
  <c r="E158" i="73"/>
  <c r="G157" i="73"/>
  <c r="F157" i="73"/>
  <c r="E157" i="73"/>
  <c r="G156" i="73"/>
  <c r="F156" i="73"/>
  <c r="E156" i="73"/>
  <c r="G155" i="73"/>
  <c r="F155" i="73"/>
  <c r="E155" i="73"/>
  <c r="G154" i="73"/>
  <c r="F154" i="73"/>
  <c r="E154" i="73"/>
  <c r="G153" i="73"/>
  <c r="F153" i="73"/>
  <c r="E153" i="73"/>
  <c r="G152" i="73"/>
  <c r="F152" i="73"/>
  <c r="E152" i="73"/>
  <c r="G151" i="73"/>
  <c r="F151" i="73"/>
  <c r="E151" i="73"/>
  <c r="G150" i="73"/>
  <c r="F150" i="73"/>
  <c r="E150" i="73"/>
  <c r="G149" i="73"/>
  <c r="F149" i="73"/>
  <c r="E149" i="73"/>
  <c r="G148" i="73"/>
  <c r="F148" i="73"/>
  <c r="E148" i="73"/>
  <c r="G147" i="73"/>
  <c r="F147" i="73"/>
  <c r="E147" i="73"/>
  <c r="G146" i="73"/>
  <c r="F146" i="73"/>
  <c r="E146" i="73"/>
  <c r="G145" i="73"/>
  <c r="F145" i="73"/>
  <c r="E145" i="73"/>
  <c r="G144" i="73"/>
  <c r="F144" i="73"/>
  <c r="E144" i="73"/>
  <c r="G143" i="73"/>
  <c r="F143" i="73"/>
  <c r="E143" i="73"/>
  <c r="G142" i="73"/>
  <c r="F142" i="73"/>
  <c r="E142" i="73"/>
  <c r="G141" i="73"/>
  <c r="F141" i="73"/>
  <c r="E141" i="73"/>
  <c r="G140" i="73"/>
  <c r="F140" i="73"/>
  <c r="E140" i="73"/>
  <c r="G139" i="73"/>
  <c r="F139" i="73"/>
  <c r="E139" i="73"/>
  <c r="G138" i="73"/>
  <c r="F138" i="73"/>
  <c r="E138" i="73"/>
  <c r="G137" i="73"/>
  <c r="F137" i="73"/>
  <c r="E137" i="73"/>
  <c r="G136" i="73"/>
  <c r="F136" i="73"/>
  <c r="E136" i="73"/>
  <c r="G135" i="73"/>
  <c r="F135" i="73"/>
  <c r="E135" i="73"/>
  <c r="G134" i="73"/>
  <c r="F134" i="73"/>
  <c r="E134" i="73"/>
  <c r="G133" i="73"/>
  <c r="F133" i="73"/>
  <c r="E133" i="73"/>
  <c r="G132" i="73"/>
  <c r="F132" i="73"/>
  <c r="E132" i="73"/>
  <c r="G131" i="73"/>
  <c r="F131" i="73"/>
  <c r="E131" i="73"/>
  <c r="G130" i="73"/>
  <c r="F130" i="73"/>
  <c r="E130" i="73"/>
  <c r="G129" i="73"/>
  <c r="F129" i="73"/>
  <c r="E129" i="73"/>
  <c r="G128" i="73"/>
  <c r="F128" i="73"/>
  <c r="E128" i="73"/>
  <c r="G127" i="73"/>
  <c r="F127" i="73"/>
  <c r="E127" i="73"/>
  <c r="L119" i="73"/>
  <c r="K119" i="73"/>
  <c r="G119" i="73"/>
  <c r="F119" i="73"/>
  <c r="E119" i="73"/>
  <c r="L118" i="73"/>
  <c r="K118" i="73"/>
  <c r="G118" i="73"/>
  <c r="F118" i="73"/>
  <c r="E118" i="73"/>
  <c r="L117" i="73"/>
  <c r="K117" i="73"/>
  <c r="G117" i="73"/>
  <c r="F117" i="73"/>
  <c r="E117" i="73"/>
  <c r="L116" i="73"/>
  <c r="K116" i="73"/>
  <c r="G116" i="73"/>
  <c r="F116" i="73"/>
  <c r="E116" i="73"/>
  <c r="L115" i="73"/>
  <c r="K115" i="73"/>
  <c r="G115" i="73"/>
  <c r="F115" i="73"/>
  <c r="E115" i="73"/>
  <c r="L114" i="73"/>
  <c r="K114" i="73"/>
  <c r="G114" i="73"/>
  <c r="F114" i="73"/>
  <c r="E114" i="73"/>
  <c r="L113" i="73"/>
  <c r="K113" i="73"/>
  <c r="G113" i="73"/>
  <c r="F113" i="73"/>
  <c r="E113" i="73"/>
  <c r="L112" i="73"/>
  <c r="K112" i="73"/>
  <c r="G112" i="73"/>
  <c r="F112" i="73"/>
  <c r="E112" i="73"/>
  <c r="G110" i="73"/>
  <c r="F110" i="73"/>
  <c r="E110" i="73"/>
  <c r="I109" i="73"/>
  <c r="J109" i="73" s="1"/>
  <c r="G109" i="73"/>
  <c r="F109" i="73"/>
  <c r="E109" i="73"/>
  <c r="G108" i="73"/>
  <c r="F108" i="73"/>
  <c r="E108" i="73"/>
  <c r="G107" i="73"/>
  <c r="F107" i="73"/>
  <c r="E107" i="73"/>
  <c r="I106" i="73"/>
  <c r="J106" i="73" s="1"/>
  <c r="G106" i="73"/>
  <c r="F106" i="73"/>
  <c r="E106" i="73"/>
  <c r="G105" i="73"/>
  <c r="F105" i="73"/>
  <c r="E105" i="73"/>
  <c r="G104" i="73"/>
  <c r="F104" i="73"/>
  <c r="E104" i="73"/>
  <c r="G103" i="73"/>
  <c r="F103" i="73"/>
  <c r="E103" i="73"/>
  <c r="G102" i="73"/>
  <c r="F102" i="73"/>
  <c r="E102" i="73"/>
  <c r="G101" i="73"/>
  <c r="F101" i="73"/>
  <c r="E101" i="73"/>
  <c r="G100" i="73"/>
  <c r="F100" i="73"/>
  <c r="E100" i="73"/>
  <c r="G99" i="73"/>
  <c r="F99" i="73"/>
  <c r="E99" i="73"/>
  <c r="G98" i="73"/>
  <c r="F98" i="73"/>
  <c r="E98" i="73"/>
  <c r="G97" i="73"/>
  <c r="F97" i="73"/>
  <c r="E97" i="73"/>
  <c r="G96" i="73"/>
  <c r="F96" i="73"/>
  <c r="E96" i="73"/>
  <c r="G95" i="73"/>
  <c r="F95" i="73"/>
  <c r="E95" i="73"/>
  <c r="G94" i="73"/>
  <c r="F94" i="73"/>
  <c r="E94" i="73"/>
  <c r="G93" i="73"/>
  <c r="F93" i="73"/>
  <c r="E93" i="73"/>
  <c r="G92" i="73"/>
  <c r="F92" i="73"/>
  <c r="E92" i="73"/>
  <c r="G91" i="73"/>
  <c r="F91" i="73"/>
  <c r="E91" i="73"/>
  <c r="G90" i="73"/>
  <c r="F90" i="73"/>
  <c r="E90" i="73"/>
  <c r="G89" i="73"/>
  <c r="F89" i="73"/>
  <c r="E89" i="73"/>
  <c r="G88" i="73"/>
  <c r="F88" i="73"/>
  <c r="E88" i="73"/>
  <c r="G87" i="73"/>
  <c r="F87" i="73"/>
  <c r="E87" i="73"/>
  <c r="G86" i="73"/>
  <c r="F86" i="73"/>
  <c r="E86" i="73"/>
  <c r="G85" i="73"/>
  <c r="F85" i="73"/>
  <c r="E85" i="73"/>
  <c r="G84" i="73"/>
  <c r="F84" i="73"/>
  <c r="E84" i="73"/>
  <c r="G83" i="73"/>
  <c r="F83" i="73"/>
  <c r="E83" i="73"/>
  <c r="G82" i="73"/>
  <c r="F82" i="73"/>
  <c r="E82" i="73"/>
  <c r="G81" i="73"/>
  <c r="F81" i="73"/>
  <c r="E81" i="73"/>
  <c r="G80" i="73"/>
  <c r="F80" i="73"/>
  <c r="E80" i="73"/>
  <c r="G79" i="73"/>
  <c r="F79" i="73"/>
  <c r="E79" i="73"/>
  <c r="G78" i="73"/>
  <c r="F78" i="73"/>
  <c r="E78" i="73"/>
  <c r="G77" i="73"/>
  <c r="F77" i="73"/>
  <c r="E77" i="73"/>
  <c r="G76" i="73"/>
  <c r="F76" i="73"/>
  <c r="E76" i="73"/>
  <c r="G75" i="73"/>
  <c r="F75" i="73"/>
  <c r="E75" i="73"/>
  <c r="G74" i="73"/>
  <c r="F74" i="73"/>
  <c r="E74" i="73"/>
  <c r="G73" i="73"/>
  <c r="F73" i="73"/>
  <c r="E73" i="73"/>
  <c r="G72" i="73"/>
  <c r="F72" i="73"/>
  <c r="E72" i="73"/>
  <c r="G71" i="73"/>
  <c r="F71" i="73"/>
  <c r="E71" i="73"/>
  <c r="G70" i="73"/>
  <c r="F70" i="73"/>
  <c r="E70" i="73"/>
  <c r="L62" i="73"/>
  <c r="K62" i="73"/>
  <c r="G62" i="73"/>
  <c r="F62" i="73"/>
  <c r="E62" i="73"/>
  <c r="L61" i="73"/>
  <c r="K61" i="73"/>
  <c r="G61" i="73"/>
  <c r="F61" i="73"/>
  <c r="E61" i="73"/>
  <c r="L60" i="73"/>
  <c r="K60" i="73"/>
  <c r="G60" i="73"/>
  <c r="F60" i="73"/>
  <c r="E60" i="73"/>
  <c r="L59" i="73"/>
  <c r="K59" i="73"/>
  <c r="G59" i="73"/>
  <c r="F59" i="73"/>
  <c r="E59" i="73"/>
  <c r="L58" i="73"/>
  <c r="K58" i="73"/>
  <c r="G58" i="73"/>
  <c r="F58" i="73"/>
  <c r="E58" i="73"/>
  <c r="L57" i="73"/>
  <c r="K57" i="73"/>
  <c r="G57" i="73"/>
  <c r="F57" i="73"/>
  <c r="E57" i="73"/>
  <c r="L56" i="73"/>
  <c r="K56" i="73"/>
  <c r="G56" i="73"/>
  <c r="F56" i="73"/>
  <c r="E56" i="73"/>
  <c r="L55" i="73"/>
  <c r="K55" i="73"/>
  <c r="G55" i="73"/>
  <c r="F55" i="73"/>
  <c r="E55" i="73"/>
  <c r="AU54" i="73"/>
  <c r="AT54" i="73"/>
  <c r="G53" i="73"/>
  <c r="F53" i="73"/>
  <c r="E53" i="73"/>
  <c r="I52" i="73"/>
  <c r="J52" i="73" s="1"/>
  <c r="G52" i="73"/>
  <c r="F52" i="73"/>
  <c r="E52" i="73"/>
  <c r="G51" i="73"/>
  <c r="F51" i="73"/>
  <c r="E51" i="73"/>
  <c r="G50" i="73"/>
  <c r="F50" i="73"/>
  <c r="E50" i="73"/>
  <c r="I49" i="73"/>
  <c r="J49" i="73" s="1"/>
  <c r="G49" i="73"/>
  <c r="F49" i="73"/>
  <c r="E49" i="73"/>
  <c r="G48" i="73"/>
  <c r="F48" i="73"/>
  <c r="E48" i="73"/>
  <c r="G47" i="73"/>
  <c r="F47" i="73"/>
  <c r="E47" i="73"/>
  <c r="G46" i="73"/>
  <c r="F46" i="73"/>
  <c r="E46" i="73"/>
  <c r="G45" i="73"/>
  <c r="F45" i="73"/>
  <c r="E45" i="73"/>
  <c r="G44" i="73"/>
  <c r="F44" i="73"/>
  <c r="E44" i="73"/>
  <c r="G43" i="73"/>
  <c r="F43" i="73"/>
  <c r="E43" i="73"/>
  <c r="G42" i="73"/>
  <c r="F42" i="73"/>
  <c r="E42" i="73"/>
  <c r="G41" i="73"/>
  <c r="F41" i="73"/>
  <c r="E41" i="73"/>
  <c r="G40" i="73"/>
  <c r="F40" i="73"/>
  <c r="E40" i="73"/>
  <c r="G39" i="73"/>
  <c r="F39" i="73"/>
  <c r="E39" i="73"/>
  <c r="G38" i="73"/>
  <c r="F38" i="73"/>
  <c r="E38" i="73"/>
  <c r="G37" i="73"/>
  <c r="F37" i="73"/>
  <c r="E37" i="73"/>
  <c r="G36" i="73"/>
  <c r="F36" i="73"/>
  <c r="E36" i="73"/>
  <c r="G35" i="73"/>
  <c r="F35" i="73"/>
  <c r="E35" i="73"/>
  <c r="G34" i="73"/>
  <c r="F34" i="73"/>
  <c r="E34" i="73"/>
  <c r="G33" i="73"/>
  <c r="F33" i="73"/>
  <c r="E33" i="73"/>
  <c r="G32" i="73"/>
  <c r="F32" i="73"/>
  <c r="E32" i="73"/>
  <c r="G31" i="73"/>
  <c r="F31" i="73"/>
  <c r="E31" i="73"/>
  <c r="G30" i="73"/>
  <c r="F30" i="73"/>
  <c r="E30" i="73"/>
  <c r="G29" i="73"/>
  <c r="F29" i="73"/>
  <c r="E29" i="73"/>
  <c r="G28" i="73"/>
  <c r="F28" i="73"/>
  <c r="E28" i="73"/>
  <c r="G27" i="73"/>
  <c r="F27" i="73"/>
  <c r="E27" i="73"/>
  <c r="G26" i="73"/>
  <c r="F26" i="73"/>
  <c r="E26" i="73"/>
  <c r="G25" i="73"/>
  <c r="F25" i="73"/>
  <c r="E25" i="73"/>
  <c r="G24" i="73"/>
  <c r="F24" i="73"/>
  <c r="E24" i="73"/>
  <c r="G23" i="73"/>
  <c r="F23" i="73"/>
  <c r="E23" i="73"/>
  <c r="G22" i="73"/>
  <c r="F22" i="73"/>
  <c r="E22" i="73"/>
  <c r="G21" i="73"/>
  <c r="F21" i="73"/>
  <c r="E21" i="73"/>
  <c r="G20" i="73"/>
  <c r="F20" i="73"/>
  <c r="E20" i="73"/>
  <c r="G19" i="73"/>
  <c r="F19" i="73"/>
  <c r="E19" i="73"/>
  <c r="G18" i="73"/>
  <c r="F18" i="73"/>
  <c r="E18" i="73"/>
  <c r="G17" i="73"/>
  <c r="F17" i="73"/>
  <c r="E17" i="73"/>
  <c r="G16" i="73"/>
  <c r="F16" i="73"/>
  <c r="E16" i="73"/>
  <c r="G15" i="73"/>
  <c r="F15" i="73"/>
  <c r="E15" i="73"/>
  <c r="G14" i="73"/>
  <c r="F14" i="73"/>
  <c r="E14" i="73"/>
  <c r="G13" i="73"/>
  <c r="F13" i="73"/>
  <c r="E13" i="73"/>
  <c r="D22" i="8"/>
  <c r="E22" i="8"/>
  <c r="AV22" i="8"/>
  <c r="B91" i="23"/>
  <c r="C91" i="23"/>
  <c r="B92" i="23"/>
  <c r="C92" i="23"/>
  <c r="B94" i="23"/>
  <c r="B89" i="23"/>
  <c r="C89" i="23"/>
  <c r="B82" i="23"/>
  <c r="C82" i="23"/>
  <c r="B83" i="23"/>
  <c r="C83" i="23"/>
  <c r="B84" i="23"/>
  <c r="C84" i="23"/>
  <c r="B85" i="23"/>
  <c r="C85" i="23"/>
  <c r="B86" i="23"/>
  <c r="C86" i="23"/>
  <c r="B87" i="23"/>
  <c r="C87" i="23"/>
  <c r="B23" i="23"/>
  <c r="C23" i="23"/>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4" i="11"/>
  <c r="AI225" i="11"/>
  <c r="AI226" i="11"/>
  <c r="AI227" i="11"/>
  <c r="AI228" i="11"/>
  <c r="AI229" i="11"/>
  <c r="AI230" i="11"/>
  <c r="AI231" i="11"/>
  <c r="G61" i="68"/>
  <c r="F61" i="68"/>
  <c r="E61" i="68"/>
  <c r="D61" i="68"/>
  <c r="C61" i="68"/>
  <c r="G60" i="68"/>
  <c r="F60" i="68"/>
  <c r="E60" i="68"/>
  <c r="D60" i="68"/>
  <c r="G59" i="68"/>
  <c r="F59" i="68"/>
  <c r="E59" i="68"/>
  <c r="D59" i="68"/>
  <c r="C59" i="68"/>
  <c r="G58" i="68"/>
  <c r="F58" i="68"/>
  <c r="E58" i="68"/>
  <c r="D58" i="68"/>
  <c r="G57" i="68"/>
  <c r="F57" i="68"/>
  <c r="E57" i="68"/>
  <c r="D57" i="68"/>
  <c r="G56" i="68"/>
  <c r="F56" i="68"/>
  <c r="E56" i="68"/>
  <c r="D56" i="68"/>
  <c r="G55" i="68"/>
  <c r="F55" i="68"/>
  <c r="E55" i="68"/>
  <c r="D55" i="68"/>
  <c r="G54" i="68"/>
  <c r="F54" i="68"/>
  <c r="E54" i="68"/>
  <c r="D54" i="68"/>
  <c r="C54" i="68"/>
  <c r="B54" i="68"/>
  <c r="H53" i="68"/>
  <c r="G53" i="68"/>
  <c r="F53" i="68"/>
  <c r="E53" i="68"/>
  <c r="D53" i="68"/>
  <c r="C53" i="68"/>
  <c r="H52" i="68"/>
  <c r="G52" i="68"/>
  <c r="F52" i="68"/>
  <c r="E52" i="68"/>
  <c r="D52" i="68"/>
  <c r="H51" i="68"/>
  <c r="G51" i="68"/>
  <c r="F51" i="68"/>
  <c r="E51" i="68"/>
  <c r="D51" i="68"/>
  <c r="H50" i="68"/>
  <c r="G50" i="68"/>
  <c r="F50" i="68"/>
  <c r="E50" i="68"/>
  <c r="D50" i="68"/>
  <c r="H49" i="68"/>
  <c r="G49" i="68"/>
  <c r="F49" i="68"/>
  <c r="E49" i="68"/>
  <c r="D49" i="68"/>
  <c r="H48" i="68"/>
  <c r="G48" i="68"/>
  <c r="F48" i="68"/>
  <c r="E48" i="68"/>
  <c r="D48" i="68"/>
  <c r="H47" i="68"/>
  <c r="G47" i="68"/>
  <c r="F47" i="68"/>
  <c r="E47" i="68"/>
  <c r="D47" i="68"/>
  <c r="H46" i="68"/>
  <c r="G46" i="68"/>
  <c r="F46" i="68"/>
  <c r="E46" i="68"/>
  <c r="D46" i="68"/>
  <c r="H45" i="68"/>
  <c r="G45" i="68"/>
  <c r="F45" i="68"/>
  <c r="E45" i="68"/>
  <c r="D45" i="68"/>
  <c r="C45" i="68"/>
  <c r="H44" i="68"/>
  <c r="G44" i="68"/>
  <c r="F44" i="68"/>
  <c r="E44" i="68"/>
  <c r="D44" i="68"/>
  <c r="H43" i="68"/>
  <c r="G43" i="68"/>
  <c r="F43" i="68"/>
  <c r="E43" i="68"/>
  <c r="D43" i="68"/>
  <c r="H42" i="68"/>
  <c r="G42" i="68"/>
  <c r="F42" i="68"/>
  <c r="E42" i="68"/>
  <c r="D42" i="68"/>
  <c r="H41" i="68"/>
  <c r="G41" i="68"/>
  <c r="F41" i="68"/>
  <c r="E41" i="68"/>
  <c r="D41" i="68"/>
  <c r="H40" i="68"/>
  <c r="G40" i="68"/>
  <c r="F40" i="68"/>
  <c r="E40" i="68"/>
  <c r="D40" i="68"/>
  <c r="H39" i="68"/>
  <c r="G39" i="68"/>
  <c r="F39" i="68"/>
  <c r="E39" i="68"/>
  <c r="D39" i="68"/>
  <c r="H38" i="68"/>
  <c r="G38" i="68"/>
  <c r="F38" i="68"/>
  <c r="E38" i="68"/>
  <c r="D38" i="68"/>
  <c r="H37" i="68"/>
  <c r="G37" i="68"/>
  <c r="F37" i="68"/>
  <c r="E37" i="68"/>
  <c r="D37" i="68"/>
  <c r="H36" i="68"/>
  <c r="G36" i="68"/>
  <c r="F36" i="68"/>
  <c r="E36" i="68"/>
  <c r="D36" i="68"/>
  <c r="H35" i="68"/>
  <c r="G35" i="68"/>
  <c r="F35" i="68"/>
  <c r="E35" i="68"/>
  <c r="D35" i="68"/>
  <c r="H34" i="68"/>
  <c r="G34" i="68"/>
  <c r="F34" i="68"/>
  <c r="E34" i="68"/>
  <c r="D34" i="68"/>
  <c r="C34" i="68"/>
  <c r="H33" i="68"/>
  <c r="G33" i="68"/>
  <c r="F33" i="68"/>
  <c r="E33" i="68"/>
  <c r="D33" i="68"/>
  <c r="H32" i="68"/>
  <c r="G32" i="68"/>
  <c r="F32" i="68"/>
  <c r="E32" i="68"/>
  <c r="D32" i="68"/>
  <c r="H31" i="68"/>
  <c r="G31" i="68"/>
  <c r="F31" i="68"/>
  <c r="E31" i="68"/>
  <c r="D31" i="68"/>
  <c r="H30" i="68"/>
  <c r="G30" i="68"/>
  <c r="F30" i="68"/>
  <c r="E30" i="68"/>
  <c r="D30" i="68"/>
  <c r="H29" i="68"/>
  <c r="G29" i="68"/>
  <c r="F29" i="68"/>
  <c r="E29" i="68"/>
  <c r="D29" i="68"/>
  <c r="H28" i="68"/>
  <c r="G28" i="68"/>
  <c r="F28" i="68"/>
  <c r="E28" i="68"/>
  <c r="D28" i="68"/>
  <c r="C28" i="68"/>
  <c r="H27" i="68"/>
  <c r="G27" i="68"/>
  <c r="F27" i="68"/>
  <c r="E27" i="68"/>
  <c r="D27" i="68"/>
  <c r="H26" i="68"/>
  <c r="G26" i="68"/>
  <c r="F26" i="68"/>
  <c r="E26" i="68"/>
  <c r="D26" i="68"/>
  <c r="H25" i="68"/>
  <c r="G25" i="68"/>
  <c r="F25" i="68"/>
  <c r="E25" i="68"/>
  <c r="D25" i="68"/>
  <c r="H24" i="68"/>
  <c r="G24" i="68"/>
  <c r="F24" i="68"/>
  <c r="E24" i="68"/>
  <c r="D24" i="68"/>
  <c r="H23" i="68"/>
  <c r="G23" i="68"/>
  <c r="F23" i="68"/>
  <c r="E23" i="68"/>
  <c r="D23" i="68"/>
  <c r="H22" i="68"/>
  <c r="G22" i="68"/>
  <c r="F22" i="68"/>
  <c r="E22" i="68"/>
  <c r="D22" i="68"/>
  <c r="H21" i="68"/>
  <c r="G21" i="68"/>
  <c r="F21" i="68"/>
  <c r="E21" i="68"/>
  <c r="D21" i="68"/>
  <c r="H20" i="68"/>
  <c r="G20" i="68"/>
  <c r="F20" i="68"/>
  <c r="E20" i="68"/>
  <c r="D20" i="68"/>
  <c r="H19" i="68"/>
  <c r="G19" i="68"/>
  <c r="F19" i="68"/>
  <c r="E19" i="68"/>
  <c r="D19" i="68"/>
  <c r="H18" i="68"/>
  <c r="G18" i="68"/>
  <c r="F18" i="68"/>
  <c r="E18" i="68"/>
  <c r="D18" i="68"/>
  <c r="H17" i="68"/>
  <c r="G17" i="68"/>
  <c r="F17" i="68"/>
  <c r="E17" i="68"/>
  <c r="D17" i="68"/>
  <c r="H16" i="68"/>
  <c r="G16" i="68"/>
  <c r="F16" i="68"/>
  <c r="E16" i="68"/>
  <c r="D16" i="68"/>
  <c r="H15" i="68"/>
  <c r="G15" i="68"/>
  <c r="F15" i="68"/>
  <c r="E15" i="68"/>
  <c r="D15" i="68"/>
  <c r="H14" i="68"/>
  <c r="G14" i="68"/>
  <c r="F14" i="68"/>
  <c r="E14" i="68"/>
  <c r="D14" i="68"/>
  <c r="H13" i="68"/>
  <c r="F13" i="68"/>
  <c r="E13" i="68"/>
  <c r="D13" i="68"/>
  <c r="C13" i="68"/>
  <c r="B13" i="68"/>
  <c r="H12" i="68"/>
  <c r="G12" i="68"/>
  <c r="F12" i="68"/>
  <c r="E12" i="68"/>
  <c r="D12" i="68"/>
  <c r="I2" i="68"/>
  <c r="I1" i="68"/>
  <c r="G231" i="11"/>
  <c r="F231" i="11"/>
  <c r="E231" i="11"/>
  <c r="G230" i="11"/>
  <c r="F230" i="11"/>
  <c r="E230" i="11"/>
  <c r="G229" i="11"/>
  <c r="F229" i="11"/>
  <c r="E229" i="11"/>
  <c r="G228" i="11"/>
  <c r="F228" i="11"/>
  <c r="E228" i="11"/>
  <c r="G227" i="11"/>
  <c r="F227" i="11"/>
  <c r="E227" i="11"/>
  <c r="G226" i="11"/>
  <c r="F226" i="11"/>
  <c r="E226" i="11"/>
  <c r="G225" i="11"/>
  <c r="F225" i="11"/>
  <c r="E225" i="11"/>
  <c r="G224" i="11"/>
  <c r="F224" i="11"/>
  <c r="E224" i="11"/>
  <c r="G174" i="11"/>
  <c r="F174" i="11"/>
  <c r="E174" i="11"/>
  <c r="G173" i="11"/>
  <c r="F173" i="11"/>
  <c r="E173" i="11"/>
  <c r="G172" i="11"/>
  <c r="F172" i="11"/>
  <c r="E172" i="11"/>
  <c r="G171" i="11"/>
  <c r="F171" i="11"/>
  <c r="E171" i="11"/>
  <c r="G170" i="11"/>
  <c r="F170" i="11"/>
  <c r="E170" i="11"/>
  <c r="G169" i="11"/>
  <c r="F169" i="11"/>
  <c r="E169" i="11"/>
  <c r="G168" i="11"/>
  <c r="F168" i="11"/>
  <c r="E168" i="11"/>
  <c r="G167" i="11"/>
  <c r="F167" i="11"/>
  <c r="E167" i="11"/>
  <c r="E111" i="11"/>
  <c r="F111" i="11"/>
  <c r="G111" i="11"/>
  <c r="E112" i="11"/>
  <c r="F112" i="11"/>
  <c r="G112" i="11"/>
  <c r="E113" i="11"/>
  <c r="F113" i="11"/>
  <c r="G113" i="11"/>
  <c r="E114" i="11"/>
  <c r="F114" i="11"/>
  <c r="G114" i="11"/>
  <c r="E115" i="11"/>
  <c r="F115" i="11"/>
  <c r="G115" i="11"/>
  <c r="E116" i="11"/>
  <c r="F116" i="11"/>
  <c r="G116" i="11"/>
  <c r="E117" i="11"/>
  <c r="F117" i="11"/>
  <c r="G117" i="11"/>
  <c r="G110" i="11"/>
  <c r="F110" i="11"/>
  <c r="E110" i="11"/>
  <c r="E54" i="11"/>
  <c r="F54" i="11"/>
  <c r="G54" i="11"/>
  <c r="E55" i="11"/>
  <c r="F55" i="11"/>
  <c r="G55" i="11"/>
  <c r="E56" i="11"/>
  <c r="F56" i="11"/>
  <c r="G56" i="11"/>
  <c r="E57" i="11"/>
  <c r="F57" i="11"/>
  <c r="G57" i="11"/>
  <c r="E58" i="11"/>
  <c r="F58" i="11"/>
  <c r="G58" i="11"/>
  <c r="E59" i="11"/>
  <c r="F59" i="11"/>
  <c r="G59" i="11"/>
  <c r="E60" i="11"/>
  <c r="F60" i="11"/>
  <c r="G60" i="11"/>
  <c r="G53" i="11"/>
  <c r="F53" i="11"/>
  <c r="E53" i="11"/>
  <c r="E183" i="11"/>
  <c r="F183" i="11"/>
  <c r="G183" i="11"/>
  <c r="E184" i="11"/>
  <c r="F184" i="11"/>
  <c r="G184" i="11"/>
  <c r="E185" i="11"/>
  <c r="F185" i="11"/>
  <c r="G185" i="11"/>
  <c r="E186" i="11"/>
  <c r="F186" i="11"/>
  <c r="G186" i="11"/>
  <c r="E187" i="11"/>
  <c r="F187" i="11"/>
  <c r="G187" i="11"/>
  <c r="E188" i="11"/>
  <c r="F188" i="11"/>
  <c r="G188" i="11"/>
  <c r="E189" i="11"/>
  <c r="F189" i="11"/>
  <c r="G189" i="11"/>
  <c r="E190" i="11"/>
  <c r="F190" i="11"/>
  <c r="G190" i="11"/>
  <c r="E191" i="11"/>
  <c r="F191" i="11"/>
  <c r="G191" i="11"/>
  <c r="E192" i="11"/>
  <c r="F192" i="11"/>
  <c r="G192" i="11"/>
  <c r="E193" i="11"/>
  <c r="F193" i="11"/>
  <c r="G193" i="11"/>
  <c r="E194" i="11"/>
  <c r="F194" i="11"/>
  <c r="G194" i="11"/>
  <c r="E195" i="11"/>
  <c r="F195" i="11"/>
  <c r="G195" i="11"/>
  <c r="E196" i="11"/>
  <c r="F196" i="11"/>
  <c r="G196" i="11"/>
  <c r="E197" i="11"/>
  <c r="F197" i="11"/>
  <c r="G197" i="11"/>
  <c r="E198" i="11"/>
  <c r="F198" i="11"/>
  <c r="G198" i="11"/>
  <c r="E199" i="11"/>
  <c r="F199" i="11"/>
  <c r="G199" i="11"/>
  <c r="E200" i="11"/>
  <c r="F200" i="11"/>
  <c r="G200" i="11"/>
  <c r="E201" i="11"/>
  <c r="F201" i="11"/>
  <c r="G201" i="11"/>
  <c r="E202" i="11"/>
  <c r="F202" i="11"/>
  <c r="G202" i="11"/>
  <c r="E203" i="11"/>
  <c r="F203" i="11"/>
  <c r="G203" i="11"/>
  <c r="E204" i="11"/>
  <c r="F204" i="11"/>
  <c r="G204" i="11"/>
  <c r="E205" i="11"/>
  <c r="F205" i="11"/>
  <c r="G205" i="11"/>
  <c r="E206" i="11"/>
  <c r="F206" i="11"/>
  <c r="G206" i="11"/>
  <c r="E207" i="11"/>
  <c r="F207" i="11"/>
  <c r="G207" i="11"/>
  <c r="E208" i="11"/>
  <c r="F208" i="11"/>
  <c r="G208" i="11"/>
  <c r="E209" i="11"/>
  <c r="F209" i="11"/>
  <c r="G209" i="11"/>
  <c r="E210" i="11"/>
  <c r="F210" i="11"/>
  <c r="G210" i="11"/>
  <c r="E211" i="11"/>
  <c r="F211" i="11"/>
  <c r="G211" i="11"/>
  <c r="E212" i="11"/>
  <c r="F212" i="11"/>
  <c r="G212" i="11"/>
  <c r="E213" i="11"/>
  <c r="F213" i="11"/>
  <c r="G213" i="11"/>
  <c r="E214" i="11"/>
  <c r="F214" i="11"/>
  <c r="G214" i="11"/>
  <c r="E215" i="11"/>
  <c r="F215" i="11"/>
  <c r="G215" i="11"/>
  <c r="E216" i="11"/>
  <c r="F216" i="11"/>
  <c r="G216" i="11"/>
  <c r="E217" i="11"/>
  <c r="F217" i="11"/>
  <c r="G217" i="11"/>
  <c r="E218" i="11"/>
  <c r="F218" i="11"/>
  <c r="G218" i="11"/>
  <c r="I218" i="11"/>
  <c r="J218" i="11" s="1"/>
  <c r="E219" i="11"/>
  <c r="F219" i="11"/>
  <c r="G219" i="11"/>
  <c r="E220" i="11"/>
  <c r="F220" i="11"/>
  <c r="G220" i="11"/>
  <c r="E221" i="11"/>
  <c r="F221" i="11"/>
  <c r="G221" i="11"/>
  <c r="I221" i="11"/>
  <c r="J221" i="11" s="1"/>
  <c r="E222" i="11"/>
  <c r="F222" i="11"/>
  <c r="G222" i="11"/>
  <c r="E126" i="11"/>
  <c r="F126" i="11"/>
  <c r="G126" i="11"/>
  <c r="E127" i="11"/>
  <c r="F127" i="11"/>
  <c r="G127" i="11"/>
  <c r="E128" i="11"/>
  <c r="F128" i="11"/>
  <c r="G128" i="11"/>
  <c r="E129" i="11"/>
  <c r="F129" i="11"/>
  <c r="G129" i="11"/>
  <c r="E130" i="11"/>
  <c r="F130" i="11"/>
  <c r="G130" i="11"/>
  <c r="E131" i="11"/>
  <c r="F131" i="11"/>
  <c r="G131" i="11"/>
  <c r="E132" i="11"/>
  <c r="F132" i="11"/>
  <c r="G132" i="11"/>
  <c r="E133" i="11"/>
  <c r="F133" i="11"/>
  <c r="G133" i="11"/>
  <c r="E134" i="11"/>
  <c r="F134" i="11"/>
  <c r="G134" i="11"/>
  <c r="E135" i="11"/>
  <c r="F135" i="11"/>
  <c r="G135" i="11"/>
  <c r="E136" i="11"/>
  <c r="F136" i="11"/>
  <c r="G136" i="11"/>
  <c r="E137" i="11"/>
  <c r="F137" i="11"/>
  <c r="G137" i="11"/>
  <c r="E138" i="11"/>
  <c r="F138" i="11"/>
  <c r="G138" i="11"/>
  <c r="E139" i="11"/>
  <c r="F139" i="11"/>
  <c r="G139" i="11"/>
  <c r="E140" i="11"/>
  <c r="F140" i="11"/>
  <c r="G140" i="11"/>
  <c r="E141" i="11"/>
  <c r="F141" i="11"/>
  <c r="G141" i="11"/>
  <c r="E142" i="11"/>
  <c r="F142" i="11"/>
  <c r="G142" i="11"/>
  <c r="E143" i="11"/>
  <c r="F143" i="11"/>
  <c r="G143" i="11"/>
  <c r="E144" i="11"/>
  <c r="F144" i="11"/>
  <c r="G144" i="11"/>
  <c r="E145" i="11"/>
  <c r="F145" i="11"/>
  <c r="G145" i="11"/>
  <c r="E146" i="11"/>
  <c r="F146" i="11"/>
  <c r="G146" i="11"/>
  <c r="E147" i="11"/>
  <c r="F147" i="11"/>
  <c r="G147" i="11"/>
  <c r="E148" i="11"/>
  <c r="F148" i="11"/>
  <c r="G148" i="11"/>
  <c r="E149" i="11"/>
  <c r="F149" i="11"/>
  <c r="G149" i="11"/>
  <c r="E150" i="11"/>
  <c r="F150" i="11"/>
  <c r="G150" i="11"/>
  <c r="E151" i="11"/>
  <c r="F151" i="11"/>
  <c r="G151" i="11"/>
  <c r="E152" i="11"/>
  <c r="F152" i="11"/>
  <c r="G152" i="11"/>
  <c r="E153" i="11"/>
  <c r="F153" i="11"/>
  <c r="G153" i="11"/>
  <c r="E154" i="11"/>
  <c r="F154" i="11"/>
  <c r="G154" i="11"/>
  <c r="E155" i="11"/>
  <c r="F155" i="11"/>
  <c r="G155" i="11"/>
  <c r="E156" i="11"/>
  <c r="F156" i="11"/>
  <c r="G156" i="11"/>
  <c r="E157" i="11"/>
  <c r="F157" i="11"/>
  <c r="G157" i="11"/>
  <c r="E158" i="11"/>
  <c r="F158" i="11"/>
  <c r="G158" i="11"/>
  <c r="E159" i="11"/>
  <c r="F159" i="11"/>
  <c r="G159" i="11"/>
  <c r="E160" i="11"/>
  <c r="F160" i="11"/>
  <c r="G160" i="11"/>
  <c r="E161" i="11"/>
  <c r="F161" i="11"/>
  <c r="G161" i="11"/>
  <c r="I161" i="11"/>
  <c r="J161" i="11" s="1"/>
  <c r="E162" i="11"/>
  <c r="F162" i="11"/>
  <c r="G162" i="11"/>
  <c r="E163" i="11"/>
  <c r="F163" i="11"/>
  <c r="G163" i="11"/>
  <c r="E164" i="11"/>
  <c r="F164" i="11"/>
  <c r="G164" i="11"/>
  <c r="I164" i="11"/>
  <c r="J164" i="11" s="1"/>
  <c r="E165" i="11"/>
  <c r="F165" i="11"/>
  <c r="G165" i="11"/>
  <c r="E69" i="11"/>
  <c r="F69" i="11"/>
  <c r="G69" i="11"/>
  <c r="E70" i="11"/>
  <c r="F70" i="11"/>
  <c r="G70" i="11"/>
  <c r="E71" i="11"/>
  <c r="F71" i="11"/>
  <c r="G71" i="11"/>
  <c r="E72" i="11"/>
  <c r="F72" i="11"/>
  <c r="G72" i="11"/>
  <c r="E73" i="11"/>
  <c r="F73" i="11"/>
  <c r="G73" i="11"/>
  <c r="E74" i="11"/>
  <c r="F74" i="11"/>
  <c r="G74" i="11"/>
  <c r="E75" i="11"/>
  <c r="F75" i="11"/>
  <c r="G75" i="11"/>
  <c r="E76" i="11"/>
  <c r="F76" i="11"/>
  <c r="G76" i="11"/>
  <c r="E77" i="11"/>
  <c r="F77" i="11"/>
  <c r="G77" i="11"/>
  <c r="E78" i="11"/>
  <c r="F78" i="11"/>
  <c r="G78" i="11"/>
  <c r="E79" i="11"/>
  <c r="F79" i="11"/>
  <c r="G79" i="11"/>
  <c r="E80" i="11"/>
  <c r="F80" i="11"/>
  <c r="G80" i="11"/>
  <c r="E81" i="11"/>
  <c r="F81" i="11"/>
  <c r="G81" i="11"/>
  <c r="E82" i="11"/>
  <c r="F82" i="11"/>
  <c r="G82" i="11"/>
  <c r="E83" i="11"/>
  <c r="F83" i="11"/>
  <c r="G83" i="11"/>
  <c r="E84" i="11"/>
  <c r="F84" i="11"/>
  <c r="G84" i="11"/>
  <c r="E85" i="11"/>
  <c r="F85" i="11"/>
  <c r="G85" i="11"/>
  <c r="E86" i="11"/>
  <c r="F86" i="11"/>
  <c r="G86" i="11"/>
  <c r="E87" i="11"/>
  <c r="F87" i="11"/>
  <c r="G87" i="11"/>
  <c r="E88" i="11"/>
  <c r="F88" i="11"/>
  <c r="G88" i="11"/>
  <c r="E89" i="11"/>
  <c r="F89" i="11"/>
  <c r="G89" i="11"/>
  <c r="E90" i="11"/>
  <c r="F90" i="11"/>
  <c r="G90" i="11"/>
  <c r="E91" i="11"/>
  <c r="F91" i="11"/>
  <c r="G91" i="11"/>
  <c r="E92" i="11"/>
  <c r="F92" i="11"/>
  <c r="G92" i="11"/>
  <c r="E93" i="11"/>
  <c r="F93" i="11"/>
  <c r="G93" i="11"/>
  <c r="E94" i="11"/>
  <c r="F94" i="11"/>
  <c r="G94" i="11"/>
  <c r="E95" i="11"/>
  <c r="F95" i="11"/>
  <c r="G95" i="11"/>
  <c r="E96" i="11"/>
  <c r="F96" i="11"/>
  <c r="G96" i="11"/>
  <c r="E97" i="11"/>
  <c r="F97" i="11"/>
  <c r="G97" i="11"/>
  <c r="E98" i="11"/>
  <c r="F98" i="11"/>
  <c r="G98" i="11"/>
  <c r="E99" i="11"/>
  <c r="F99" i="11"/>
  <c r="G99" i="11"/>
  <c r="E100" i="11"/>
  <c r="F100" i="11"/>
  <c r="G100" i="11"/>
  <c r="E101" i="11"/>
  <c r="F101" i="11"/>
  <c r="G101" i="11"/>
  <c r="E102" i="11"/>
  <c r="F102" i="11"/>
  <c r="G102" i="11"/>
  <c r="E103" i="11"/>
  <c r="F103" i="11"/>
  <c r="G103" i="11"/>
  <c r="E104" i="11"/>
  <c r="F104" i="11"/>
  <c r="G104" i="11"/>
  <c r="I104" i="11"/>
  <c r="J104" i="11" s="1"/>
  <c r="E105" i="11"/>
  <c r="F105" i="11"/>
  <c r="G105" i="11"/>
  <c r="E106" i="11"/>
  <c r="F106" i="11"/>
  <c r="G106" i="11"/>
  <c r="E107" i="11"/>
  <c r="F107" i="11"/>
  <c r="G107" i="11"/>
  <c r="I107" i="11"/>
  <c r="J107" i="11" s="1"/>
  <c r="E108" i="11"/>
  <c r="F108" i="11"/>
  <c r="G108" i="11"/>
  <c r="G182" i="11"/>
  <c r="F182" i="11"/>
  <c r="E182" i="11"/>
  <c r="G125" i="11"/>
  <c r="F125" i="11"/>
  <c r="E125" i="11"/>
  <c r="G68" i="11"/>
  <c r="F68" i="11"/>
  <c r="E68" i="11"/>
  <c r="G11" i="11"/>
  <c r="F11" i="11"/>
  <c r="E11" i="11"/>
  <c r="I47" i="11"/>
  <c r="J47" i="11" s="1"/>
  <c r="I50" i="11"/>
  <c r="J50" i="11" s="1"/>
  <c r="F12" i="11"/>
  <c r="G12" i="11"/>
  <c r="F13" i="11"/>
  <c r="G13" i="11"/>
  <c r="F14" i="11"/>
  <c r="G14" i="11"/>
  <c r="F15" i="11"/>
  <c r="G15" i="11"/>
  <c r="F16" i="11"/>
  <c r="G16" i="11"/>
  <c r="F17" i="11"/>
  <c r="G17" i="11"/>
  <c r="F18" i="11"/>
  <c r="G18" i="11"/>
  <c r="F19" i="11"/>
  <c r="G19" i="11"/>
  <c r="F20" i="11"/>
  <c r="G20" i="11"/>
  <c r="F21" i="11"/>
  <c r="G21" i="11"/>
  <c r="F22" i="11"/>
  <c r="G22" i="11"/>
  <c r="F23" i="11"/>
  <c r="G23" i="11"/>
  <c r="F24" i="11"/>
  <c r="G24" i="11"/>
  <c r="F25" i="11"/>
  <c r="G25" i="11"/>
  <c r="F26" i="11"/>
  <c r="G26" i="11"/>
  <c r="F27" i="11"/>
  <c r="G27" i="11"/>
  <c r="F28" i="11"/>
  <c r="G28" i="11"/>
  <c r="F29" i="11"/>
  <c r="G29" i="11"/>
  <c r="F30" i="11"/>
  <c r="G30" i="11"/>
  <c r="F31" i="11"/>
  <c r="G31" i="11"/>
  <c r="F32" i="11"/>
  <c r="G32" i="11"/>
  <c r="F33" i="11"/>
  <c r="G33" i="11"/>
  <c r="F34" i="11"/>
  <c r="G34" i="11"/>
  <c r="F35" i="11"/>
  <c r="G35" i="11"/>
  <c r="F36" i="11"/>
  <c r="G36" i="11"/>
  <c r="F37" i="11"/>
  <c r="G37" i="11"/>
  <c r="F38" i="11"/>
  <c r="G38" i="11"/>
  <c r="F39" i="11"/>
  <c r="G39" i="11"/>
  <c r="F40" i="11"/>
  <c r="G40" i="11"/>
  <c r="F41" i="11"/>
  <c r="G41" i="11"/>
  <c r="F42" i="11"/>
  <c r="G42" i="11"/>
  <c r="F43" i="11"/>
  <c r="G43" i="11"/>
  <c r="F44" i="11"/>
  <c r="G44" i="11"/>
  <c r="F45" i="11"/>
  <c r="G45" i="11"/>
  <c r="F46" i="11"/>
  <c r="G46" i="11"/>
  <c r="F47" i="11"/>
  <c r="G47" i="11"/>
  <c r="F48" i="11"/>
  <c r="G48" i="11"/>
  <c r="F49" i="11"/>
  <c r="G49" i="11"/>
  <c r="F50" i="11"/>
  <c r="G50" i="11"/>
  <c r="F51" i="11"/>
  <c r="G5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O96" i="48"/>
  <c r="M96" i="48"/>
  <c r="K96" i="48"/>
  <c r="I96" i="48"/>
  <c r="G96" i="48"/>
  <c r="E96" i="48"/>
  <c r="C96" i="48"/>
  <c r="O82" i="48"/>
  <c r="M82" i="48"/>
  <c r="K82" i="48"/>
  <c r="I82" i="48"/>
  <c r="G82" i="48"/>
  <c r="E82" i="48"/>
  <c r="C82" i="48"/>
  <c r="O76" i="48"/>
  <c r="M76" i="48"/>
  <c r="K76" i="48"/>
  <c r="I76" i="48"/>
  <c r="G76" i="48"/>
  <c r="E76" i="48"/>
  <c r="C76" i="48"/>
  <c r="O70" i="48"/>
  <c r="M70" i="48"/>
  <c r="K70" i="48"/>
  <c r="I70" i="48"/>
  <c r="G70" i="48"/>
  <c r="E70" i="48"/>
  <c r="C70" i="48"/>
  <c r="O66" i="48"/>
  <c r="M66" i="48"/>
  <c r="K66" i="48"/>
  <c r="I66" i="48"/>
  <c r="G66" i="48"/>
  <c r="E66" i="48"/>
  <c r="C66" i="48"/>
  <c r="O62" i="48"/>
  <c r="M62" i="48"/>
  <c r="K62" i="48"/>
  <c r="I62" i="48"/>
  <c r="G62" i="48"/>
  <c r="E62" i="48"/>
  <c r="C62" i="48"/>
  <c r="O54" i="48"/>
  <c r="M54" i="48"/>
  <c r="K54" i="48"/>
  <c r="I54" i="48"/>
  <c r="G54" i="48"/>
  <c r="E54" i="48"/>
  <c r="C54" i="48"/>
  <c r="O38" i="48"/>
  <c r="M38" i="48"/>
  <c r="K38" i="48"/>
  <c r="I38" i="48"/>
  <c r="G38" i="48"/>
  <c r="E38" i="48"/>
  <c r="C38" i="48"/>
  <c r="O36" i="48"/>
  <c r="M36" i="48"/>
  <c r="K36" i="48"/>
  <c r="I36" i="48"/>
  <c r="G36" i="48"/>
  <c r="E36" i="48"/>
  <c r="C36" i="48"/>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B95" i="48"/>
  <c r="B81" i="48"/>
  <c r="B75" i="48"/>
  <c r="B69" i="48"/>
  <c r="B65" i="48"/>
  <c r="B61" i="48"/>
  <c r="B53" i="48"/>
  <c r="B37" i="48"/>
  <c r="B35" i="48"/>
  <c r="D84" i="58"/>
  <c r="E84" i="58"/>
  <c r="F84" i="58"/>
  <c r="G84" i="58"/>
  <c r="H84" i="58"/>
  <c r="I84" i="58"/>
  <c r="J84" i="58"/>
  <c r="K84" i="58"/>
  <c r="L84" i="58"/>
  <c r="M84" i="58"/>
  <c r="N84" i="58"/>
  <c r="O84" i="58"/>
  <c r="P84" i="58"/>
  <c r="Q84" i="58"/>
  <c r="R84" i="58"/>
  <c r="S84" i="58"/>
  <c r="T84" i="58"/>
  <c r="U84" i="58"/>
  <c r="V84" i="58"/>
  <c r="W84" i="58"/>
  <c r="X84" i="58"/>
  <c r="Y84" i="58"/>
  <c r="Z84" i="58"/>
  <c r="AA84" i="58"/>
  <c r="AB84" i="58"/>
  <c r="AC84" i="58"/>
  <c r="AD84" i="58"/>
  <c r="AE84" i="58"/>
  <c r="AF84" i="58"/>
  <c r="AG84" i="58"/>
  <c r="AH84" i="58"/>
  <c r="AI84" i="58"/>
  <c r="AJ84" i="58"/>
  <c r="AK84" i="58"/>
  <c r="AL84" i="58"/>
  <c r="AM84" i="58"/>
  <c r="AN84" i="58"/>
  <c r="AO84" i="58"/>
  <c r="AP84" i="58"/>
  <c r="AQ84" i="58"/>
  <c r="AR84" i="58"/>
  <c r="AS84" i="58"/>
  <c r="AT84" i="58"/>
  <c r="D85" i="58"/>
  <c r="E85" i="58"/>
  <c r="F85" i="58"/>
  <c r="G85" i="58"/>
  <c r="H85" i="58"/>
  <c r="I85" i="58"/>
  <c r="J85" i="58"/>
  <c r="K85" i="58"/>
  <c r="L85" i="58"/>
  <c r="M85" i="58"/>
  <c r="N85" i="58"/>
  <c r="O85" i="58"/>
  <c r="P85" i="58"/>
  <c r="Q85" i="58"/>
  <c r="R85" i="58"/>
  <c r="S85" i="58"/>
  <c r="T85" i="58"/>
  <c r="U85" i="58"/>
  <c r="V85" i="58"/>
  <c r="W85" i="58"/>
  <c r="X85" i="58"/>
  <c r="Y85" i="58"/>
  <c r="Z85" i="58"/>
  <c r="AA85" i="58"/>
  <c r="AB85" i="58"/>
  <c r="AC85" i="58"/>
  <c r="AD85" i="58"/>
  <c r="AE85" i="58"/>
  <c r="AF85" i="58"/>
  <c r="AG85" i="58"/>
  <c r="AH85" i="58"/>
  <c r="AI85" i="58"/>
  <c r="AJ85" i="58"/>
  <c r="AK85" i="58"/>
  <c r="AL85" i="58"/>
  <c r="AM85" i="58"/>
  <c r="AN85" i="58"/>
  <c r="AO85" i="58"/>
  <c r="AP85" i="58"/>
  <c r="AQ85" i="58"/>
  <c r="AR85" i="58"/>
  <c r="AS85" i="58"/>
  <c r="AT85" i="58"/>
  <c r="D86" i="58"/>
  <c r="E86" i="58"/>
  <c r="F86" i="58"/>
  <c r="G86" i="58"/>
  <c r="H86" i="58"/>
  <c r="I86" i="58"/>
  <c r="J86" i="58"/>
  <c r="K86" i="58"/>
  <c r="L86" i="58"/>
  <c r="M86" i="58"/>
  <c r="N86" i="58"/>
  <c r="O86" i="58"/>
  <c r="P86" i="58"/>
  <c r="Q86" i="58"/>
  <c r="R86" i="58"/>
  <c r="S86" i="58"/>
  <c r="T86" i="58"/>
  <c r="U86" i="58"/>
  <c r="V86" i="58"/>
  <c r="W86" i="58"/>
  <c r="X86" i="58"/>
  <c r="Y86" i="58"/>
  <c r="Z86" i="58"/>
  <c r="AA86" i="58"/>
  <c r="AB86" i="58"/>
  <c r="AC86" i="58"/>
  <c r="AD86" i="58"/>
  <c r="AE86" i="58"/>
  <c r="AF86" i="58"/>
  <c r="AG86" i="58"/>
  <c r="AH86" i="58"/>
  <c r="AI86" i="58"/>
  <c r="AJ86" i="58"/>
  <c r="AK86" i="58"/>
  <c r="AL86" i="58"/>
  <c r="AM86" i="58"/>
  <c r="AN86" i="58"/>
  <c r="AO86" i="58"/>
  <c r="AP86" i="58"/>
  <c r="AQ86" i="58"/>
  <c r="AR86" i="58"/>
  <c r="AS86" i="58"/>
  <c r="AT86" i="58"/>
  <c r="D87" i="58"/>
  <c r="E87" i="58"/>
  <c r="F87" i="58"/>
  <c r="G87" i="58"/>
  <c r="H87" i="58"/>
  <c r="I87" i="58"/>
  <c r="J87" i="58"/>
  <c r="K87" i="58"/>
  <c r="L87" i="58"/>
  <c r="M87" i="58"/>
  <c r="N87" i="58"/>
  <c r="O87" i="58"/>
  <c r="P87" i="58"/>
  <c r="Q87" i="58"/>
  <c r="R87" i="58"/>
  <c r="S87" i="58"/>
  <c r="T87" i="58"/>
  <c r="U87" i="58"/>
  <c r="V87" i="58"/>
  <c r="W87" i="58"/>
  <c r="X87" i="58"/>
  <c r="Y87" i="58"/>
  <c r="Z87" i="58"/>
  <c r="AA87" i="58"/>
  <c r="AB87" i="58"/>
  <c r="AC87" i="58"/>
  <c r="AD87" i="58"/>
  <c r="AE87" i="58"/>
  <c r="AF87" i="58"/>
  <c r="AG87" i="58"/>
  <c r="AH87" i="58"/>
  <c r="AI87" i="58"/>
  <c r="AJ87" i="58"/>
  <c r="AK87" i="58"/>
  <c r="AL87" i="58"/>
  <c r="AM87" i="58"/>
  <c r="AN87" i="58"/>
  <c r="AO87" i="58"/>
  <c r="AP87" i="58"/>
  <c r="AQ87" i="58"/>
  <c r="AR87" i="58"/>
  <c r="AS87" i="58"/>
  <c r="AT87" i="58"/>
  <c r="D88" i="58"/>
  <c r="E88" i="58"/>
  <c r="F88" i="58"/>
  <c r="G88" i="58"/>
  <c r="H88" i="58"/>
  <c r="I88" i="58"/>
  <c r="J88" i="58"/>
  <c r="K88" i="58"/>
  <c r="L88" i="58"/>
  <c r="M88" i="58"/>
  <c r="N88" i="58"/>
  <c r="O88" i="58"/>
  <c r="P88" i="58"/>
  <c r="Q88" i="58"/>
  <c r="R88" i="58"/>
  <c r="S88" i="58"/>
  <c r="T88" i="58"/>
  <c r="U88" i="58"/>
  <c r="V88" i="58"/>
  <c r="W88" i="58"/>
  <c r="X88" i="58"/>
  <c r="Y88" i="58"/>
  <c r="Z88" i="58"/>
  <c r="AA88" i="58"/>
  <c r="AB88" i="58"/>
  <c r="AC88" i="58"/>
  <c r="AD88" i="58"/>
  <c r="AE88" i="58"/>
  <c r="AF88" i="58"/>
  <c r="AG88" i="58"/>
  <c r="AH88" i="58"/>
  <c r="AI88" i="58"/>
  <c r="AJ88" i="58"/>
  <c r="AK88" i="58"/>
  <c r="AL88" i="58"/>
  <c r="AM88" i="58"/>
  <c r="AN88" i="58"/>
  <c r="AO88" i="58"/>
  <c r="AP88" i="58"/>
  <c r="AQ88" i="58"/>
  <c r="AR88" i="58"/>
  <c r="AS88" i="58"/>
  <c r="AT88" i="58"/>
  <c r="D89" i="58"/>
  <c r="E89" i="58"/>
  <c r="F89" i="58"/>
  <c r="G89" i="58"/>
  <c r="H89" i="58"/>
  <c r="I89" i="58"/>
  <c r="J89" i="58"/>
  <c r="K89" i="58"/>
  <c r="L89" i="58"/>
  <c r="M89" i="58"/>
  <c r="N89" i="58"/>
  <c r="O89" i="58"/>
  <c r="P89" i="58"/>
  <c r="Q89" i="58"/>
  <c r="R89" i="58"/>
  <c r="S89" i="58"/>
  <c r="T89" i="58"/>
  <c r="U89" i="58"/>
  <c r="V89" i="58"/>
  <c r="W89" i="58"/>
  <c r="X89" i="58"/>
  <c r="Y89" i="58"/>
  <c r="Z89" i="58"/>
  <c r="AA89" i="58"/>
  <c r="AB89" i="58"/>
  <c r="AC89" i="58"/>
  <c r="AD89" i="58"/>
  <c r="AE89" i="58"/>
  <c r="AF89" i="58"/>
  <c r="AG89" i="58"/>
  <c r="AH89" i="58"/>
  <c r="AI89" i="58"/>
  <c r="AJ89" i="58"/>
  <c r="AK89" i="58"/>
  <c r="AL89" i="58"/>
  <c r="AM89" i="58"/>
  <c r="AN89" i="58"/>
  <c r="AO89" i="58"/>
  <c r="AP89" i="58"/>
  <c r="AQ89" i="58"/>
  <c r="AR89" i="58"/>
  <c r="AS89" i="58"/>
  <c r="AT89" i="58"/>
  <c r="D90" i="58"/>
  <c r="E90" i="58"/>
  <c r="F90" i="58"/>
  <c r="G90" i="58"/>
  <c r="H90" i="58"/>
  <c r="I90" i="58"/>
  <c r="J90" i="58"/>
  <c r="K90" i="58"/>
  <c r="L90" i="58"/>
  <c r="M90" i="58"/>
  <c r="N90" i="58"/>
  <c r="O90" i="58"/>
  <c r="P90" i="58"/>
  <c r="Q90" i="58"/>
  <c r="R90" i="58"/>
  <c r="S90" i="58"/>
  <c r="T90" i="58"/>
  <c r="U90" i="58"/>
  <c r="V90" i="58"/>
  <c r="W90" i="58"/>
  <c r="X90" i="58"/>
  <c r="Y90" i="58"/>
  <c r="Z90" i="58"/>
  <c r="AA90" i="58"/>
  <c r="AB90" i="58"/>
  <c r="AC90" i="58"/>
  <c r="AD90" i="58"/>
  <c r="AE90" i="58"/>
  <c r="AF90" i="58"/>
  <c r="AG90" i="58"/>
  <c r="AH90" i="58"/>
  <c r="AI90" i="58"/>
  <c r="AJ90" i="58"/>
  <c r="AK90" i="58"/>
  <c r="AL90" i="58"/>
  <c r="AM90" i="58"/>
  <c r="AN90" i="58"/>
  <c r="AO90" i="58"/>
  <c r="AP90" i="58"/>
  <c r="AQ90" i="58"/>
  <c r="AR90" i="58"/>
  <c r="AS90" i="58"/>
  <c r="AT90" i="58"/>
  <c r="D91" i="58"/>
  <c r="E91" i="58"/>
  <c r="F91" i="58"/>
  <c r="G91" i="58"/>
  <c r="H91" i="58"/>
  <c r="I91" i="58"/>
  <c r="J91" i="58"/>
  <c r="K91" i="58"/>
  <c r="L91" i="58"/>
  <c r="M91" i="58"/>
  <c r="N91" i="58"/>
  <c r="O91" i="58"/>
  <c r="P91" i="58"/>
  <c r="Q91" i="58"/>
  <c r="R91" i="58"/>
  <c r="S91" i="58"/>
  <c r="T91" i="58"/>
  <c r="U91" i="58"/>
  <c r="V91" i="58"/>
  <c r="W91" i="58"/>
  <c r="X91" i="58"/>
  <c r="Y91" i="58"/>
  <c r="Z91" i="58"/>
  <c r="AA91" i="58"/>
  <c r="AB91" i="58"/>
  <c r="AC91" i="58"/>
  <c r="AD91" i="58"/>
  <c r="AE91" i="58"/>
  <c r="AF91" i="58"/>
  <c r="AG91" i="58"/>
  <c r="AH91" i="58"/>
  <c r="AI91" i="58"/>
  <c r="AJ91" i="58"/>
  <c r="AK91" i="58"/>
  <c r="AL91" i="58"/>
  <c r="AM91" i="58"/>
  <c r="AN91" i="58"/>
  <c r="AO91" i="58"/>
  <c r="AP91" i="58"/>
  <c r="AQ91" i="58"/>
  <c r="AR91" i="58"/>
  <c r="AS91" i="58"/>
  <c r="AT91" i="58"/>
  <c r="D92" i="58"/>
  <c r="E92" i="58"/>
  <c r="F92" i="58"/>
  <c r="G92" i="58"/>
  <c r="H92" i="58"/>
  <c r="I92" i="58"/>
  <c r="J92" i="58"/>
  <c r="K92" i="58"/>
  <c r="L92" i="58"/>
  <c r="M92" i="58"/>
  <c r="N92" i="58"/>
  <c r="O92" i="58"/>
  <c r="P92" i="58"/>
  <c r="Q92" i="58"/>
  <c r="R92" i="58"/>
  <c r="S92" i="58"/>
  <c r="T92" i="58"/>
  <c r="U92" i="58"/>
  <c r="V92" i="58"/>
  <c r="W92" i="58"/>
  <c r="X92" i="58"/>
  <c r="Y92" i="58"/>
  <c r="Z92" i="58"/>
  <c r="AA92" i="58"/>
  <c r="AB92" i="58"/>
  <c r="AC92" i="58"/>
  <c r="AD92" i="58"/>
  <c r="AE92" i="58"/>
  <c r="AF92" i="58"/>
  <c r="AG92" i="58"/>
  <c r="AH92" i="58"/>
  <c r="AI92" i="58"/>
  <c r="AJ92" i="58"/>
  <c r="AK92" i="58"/>
  <c r="AL92" i="58"/>
  <c r="AM92" i="58"/>
  <c r="AN92" i="58"/>
  <c r="AO92" i="58"/>
  <c r="AP92" i="58"/>
  <c r="AQ92" i="58"/>
  <c r="AR92" i="58"/>
  <c r="AS92" i="58"/>
  <c r="AT92" i="58"/>
  <c r="D93" i="58"/>
  <c r="E93" i="58"/>
  <c r="F93" i="58"/>
  <c r="G93" i="58"/>
  <c r="H93" i="58"/>
  <c r="I93" i="58"/>
  <c r="J93" i="58"/>
  <c r="K93" i="58"/>
  <c r="L93" i="58"/>
  <c r="M93" i="58"/>
  <c r="N93" i="58"/>
  <c r="O93" i="58"/>
  <c r="P93" i="58"/>
  <c r="Q93" i="58"/>
  <c r="R93" i="58"/>
  <c r="S93" i="58"/>
  <c r="T93" i="58"/>
  <c r="U93" i="58"/>
  <c r="V93" i="58"/>
  <c r="W93" i="58"/>
  <c r="X93" i="58"/>
  <c r="Y93" i="58"/>
  <c r="Z93" i="58"/>
  <c r="AA93" i="58"/>
  <c r="AB93" i="58"/>
  <c r="AC93" i="58"/>
  <c r="AD93" i="58"/>
  <c r="AE93" i="58"/>
  <c r="AF93" i="58"/>
  <c r="AG93" i="58"/>
  <c r="AH93" i="58"/>
  <c r="AI93" i="58"/>
  <c r="AJ93" i="58"/>
  <c r="AK93" i="58"/>
  <c r="AL93" i="58"/>
  <c r="AM93" i="58"/>
  <c r="AN93" i="58"/>
  <c r="AO93" i="58"/>
  <c r="AP93" i="58"/>
  <c r="AQ93" i="58"/>
  <c r="AR93" i="58"/>
  <c r="AS93" i="58"/>
  <c r="AT93" i="58"/>
  <c r="D94" i="58"/>
  <c r="E94" i="58"/>
  <c r="F94" i="58"/>
  <c r="G94" i="58"/>
  <c r="H94" i="58"/>
  <c r="I94" i="58"/>
  <c r="J94" i="58"/>
  <c r="K94" i="58"/>
  <c r="L94" i="58"/>
  <c r="M94" i="58"/>
  <c r="N94" i="58"/>
  <c r="O94" i="58"/>
  <c r="P94" i="58"/>
  <c r="Q94" i="58"/>
  <c r="R94" i="58"/>
  <c r="S94" i="58"/>
  <c r="T94" i="58"/>
  <c r="U94" i="58"/>
  <c r="V94" i="58"/>
  <c r="W94" i="58"/>
  <c r="X94" i="58"/>
  <c r="Y94" i="58"/>
  <c r="Z94" i="58"/>
  <c r="AA94" i="58"/>
  <c r="AB94" i="58"/>
  <c r="AC94" i="58"/>
  <c r="AD94" i="58"/>
  <c r="AE94" i="58"/>
  <c r="AF94" i="58"/>
  <c r="AG94" i="58"/>
  <c r="AH94" i="58"/>
  <c r="AI94" i="58"/>
  <c r="AJ94" i="58"/>
  <c r="AK94" i="58"/>
  <c r="AL94" i="58"/>
  <c r="AM94" i="58"/>
  <c r="AN94" i="58"/>
  <c r="AO94" i="58"/>
  <c r="AP94" i="58"/>
  <c r="AQ94" i="58"/>
  <c r="AR94" i="58"/>
  <c r="AS94" i="58"/>
  <c r="AT94" i="58"/>
  <c r="AT83" i="58"/>
  <c r="AS83" i="58"/>
  <c r="AR83" i="58"/>
  <c r="AQ83" i="58"/>
  <c r="AP83" i="58"/>
  <c r="AO83" i="58"/>
  <c r="AN83" i="58"/>
  <c r="AM83" i="58"/>
  <c r="AL83" i="58"/>
  <c r="AK83" i="58"/>
  <c r="AJ83" i="58"/>
  <c r="AI83" i="58"/>
  <c r="AH83" i="58"/>
  <c r="AG83" i="58"/>
  <c r="AF83" i="58"/>
  <c r="AE83" i="58"/>
  <c r="AD83" i="58"/>
  <c r="AC83" i="58"/>
  <c r="AB83" i="58"/>
  <c r="AA83" i="58"/>
  <c r="Z83" i="58"/>
  <c r="Y83" i="58"/>
  <c r="X83" i="58"/>
  <c r="W83" i="58"/>
  <c r="V83" i="58"/>
  <c r="U83" i="58"/>
  <c r="T83" i="58"/>
  <c r="S83" i="58"/>
  <c r="R83" i="58"/>
  <c r="Q83" i="58"/>
  <c r="P83" i="58"/>
  <c r="O83" i="58"/>
  <c r="N83" i="58"/>
  <c r="M83" i="58"/>
  <c r="L83" i="58"/>
  <c r="K83" i="58"/>
  <c r="J83" i="58"/>
  <c r="I83" i="58"/>
  <c r="H83" i="58"/>
  <c r="G83" i="58"/>
  <c r="F83" i="58"/>
  <c r="E83" i="58"/>
  <c r="D83" i="58"/>
  <c r="C84" i="58"/>
  <c r="C85" i="58"/>
  <c r="C86" i="58"/>
  <c r="C87" i="58"/>
  <c r="C88" i="58"/>
  <c r="C89" i="58"/>
  <c r="C90" i="58"/>
  <c r="C91" i="58"/>
  <c r="C92" i="58"/>
  <c r="C93" i="58"/>
  <c r="C94" i="58"/>
  <c r="C83" i="58"/>
  <c r="C24" i="58"/>
  <c r="C11" i="58"/>
  <c r="AP6" i="58"/>
  <c r="AM6" i="58"/>
  <c r="AM7" i="58"/>
  <c r="AM8" i="58"/>
  <c r="AM9" i="58"/>
  <c r="AM11" i="58"/>
  <c r="AM12" i="58"/>
  <c r="AM13" i="58"/>
  <c r="AM14" i="58"/>
  <c r="AM15" i="58"/>
  <c r="AM16" i="58"/>
  <c r="AM17" i="58"/>
  <c r="AM18" i="58"/>
  <c r="AM19" i="58"/>
  <c r="AM20" i="58"/>
  <c r="AM21" i="58"/>
  <c r="AM23" i="58"/>
  <c r="AM25" i="58"/>
  <c r="AM26" i="58"/>
  <c r="AM27" i="58"/>
  <c r="AM28" i="58"/>
  <c r="AM29" i="58"/>
  <c r="AM30" i="58"/>
  <c r="AM31" i="58"/>
  <c r="AM32"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K5" i="58"/>
  <c r="AK6" i="58"/>
  <c r="AK7" i="58"/>
  <c r="AK8" i="58"/>
  <c r="AK9" i="58"/>
  <c r="AK11" i="58"/>
  <c r="AK12" i="58"/>
  <c r="AK13" i="58"/>
  <c r="AK14" i="58"/>
  <c r="AK15" i="58"/>
  <c r="AK16" i="58"/>
  <c r="AK17" i="58"/>
  <c r="AK18" i="58"/>
  <c r="AK19" i="58"/>
  <c r="AK20" i="58"/>
  <c r="AK21" i="58"/>
  <c r="AK23" i="58"/>
  <c r="AK25" i="58"/>
  <c r="AK26" i="58"/>
  <c r="AK27" i="58"/>
  <c r="AK28" i="58"/>
  <c r="AK29" i="58"/>
  <c r="AK30" i="58"/>
  <c r="AK31" i="58"/>
  <c r="AK32" i="58"/>
  <c r="AK34" i="58"/>
  <c r="AK35" i="58"/>
  <c r="AK36" i="58"/>
  <c r="AK37" i="58"/>
  <c r="AK38" i="58"/>
  <c r="AK39" i="58"/>
  <c r="AK40" i="58"/>
  <c r="AK41" i="58"/>
  <c r="AK42" i="58"/>
  <c r="AK43" i="58"/>
  <c r="AK44" i="58"/>
  <c r="AK45" i="58"/>
  <c r="AK46" i="58"/>
  <c r="AK47" i="58"/>
  <c r="AK48" i="58"/>
  <c r="AK49" i="58"/>
  <c r="AK50" i="58"/>
  <c r="AK51" i="58"/>
  <c r="AK52" i="58"/>
  <c r="AK53" i="58"/>
  <c r="AK54" i="58"/>
  <c r="AK55" i="58"/>
  <c r="AK56" i="58"/>
  <c r="AK57" i="58"/>
  <c r="AK58" i="58"/>
  <c r="AK59" i="58"/>
  <c r="AK60" i="58"/>
  <c r="AK61" i="58"/>
  <c r="AK62" i="58"/>
  <c r="AK63" i="58"/>
  <c r="AK64" i="58"/>
  <c r="AK65" i="58"/>
  <c r="AK66" i="58"/>
  <c r="AK67" i="58"/>
  <c r="AK68" i="58"/>
  <c r="AK69" i="58"/>
  <c r="AK70" i="58"/>
  <c r="AK71" i="58"/>
  <c r="AK72" i="58"/>
  <c r="AK73" i="58"/>
  <c r="AK74" i="58"/>
  <c r="AK75" i="58"/>
  <c r="AK76" i="58"/>
  <c r="AK77" i="58"/>
  <c r="AK78" i="58"/>
  <c r="AK79" i="58"/>
  <c r="AK80" i="58"/>
  <c r="AK81" i="58"/>
  <c r="AF6" i="58"/>
  <c r="AF7" i="58"/>
  <c r="AF8" i="58"/>
  <c r="AF9" i="58"/>
  <c r="AF11" i="58"/>
  <c r="AF12" i="58"/>
  <c r="AF13" i="58"/>
  <c r="AF14" i="58"/>
  <c r="AF15" i="58"/>
  <c r="AF16" i="58"/>
  <c r="AF17" i="58"/>
  <c r="AF18" i="58"/>
  <c r="AF19" i="58"/>
  <c r="AF20" i="58"/>
  <c r="AF21" i="58"/>
  <c r="AF23" i="58"/>
  <c r="AF25" i="58"/>
  <c r="AF26" i="58"/>
  <c r="AF27" i="58"/>
  <c r="AF28" i="58"/>
  <c r="AF29" i="58"/>
  <c r="AF30" i="58"/>
  <c r="AF31" i="58"/>
  <c r="AF32" i="58"/>
  <c r="AF34" i="58"/>
  <c r="AF35" i="58"/>
  <c r="AF36" i="58"/>
  <c r="AF37" i="58"/>
  <c r="AF38" i="58"/>
  <c r="AF39" i="58"/>
  <c r="AF40" i="58"/>
  <c r="AF41" i="58"/>
  <c r="AF42" i="58"/>
  <c r="AF43" i="58"/>
  <c r="AF44" i="58"/>
  <c r="AF45" i="58"/>
  <c r="AF46" i="58"/>
  <c r="AF47" i="58"/>
  <c r="AF48" i="58"/>
  <c r="AF49" i="58"/>
  <c r="AF50" i="58"/>
  <c r="AF51" i="58"/>
  <c r="AF52" i="58"/>
  <c r="AF53" i="58"/>
  <c r="AF54" i="58"/>
  <c r="AF55" i="58"/>
  <c r="AF56" i="58"/>
  <c r="AF57" i="58"/>
  <c r="AF58" i="58"/>
  <c r="AF59" i="58"/>
  <c r="AF60" i="58"/>
  <c r="AF61" i="58"/>
  <c r="AF62" i="58"/>
  <c r="AF63" i="58"/>
  <c r="AF64" i="58"/>
  <c r="AF65" i="58"/>
  <c r="AF66" i="58"/>
  <c r="AF67" i="58"/>
  <c r="AF68" i="58"/>
  <c r="AF69" i="58"/>
  <c r="AF70" i="58"/>
  <c r="AF71" i="58"/>
  <c r="AF72" i="58"/>
  <c r="AF73" i="58"/>
  <c r="AF74" i="58"/>
  <c r="AF75" i="58"/>
  <c r="AF76" i="58"/>
  <c r="AF77" i="58"/>
  <c r="AF78" i="58"/>
  <c r="AF79" i="58"/>
  <c r="AF80" i="58"/>
  <c r="AF81" i="58"/>
  <c r="AB6" i="58"/>
  <c r="AC6" i="58"/>
  <c r="AB7" i="58"/>
  <c r="AC7" i="58"/>
  <c r="AB8" i="58"/>
  <c r="AC8" i="58"/>
  <c r="AB9" i="58"/>
  <c r="AC9" i="58"/>
  <c r="AB11" i="58"/>
  <c r="AC11" i="58"/>
  <c r="AB12" i="58"/>
  <c r="AC12" i="58"/>
  <c r="AB13" i="58"/>
  <c r="AC13" i="58"/>
  <c r="AB14" i="58"/>
  <c r="AC14" i="58"/>
  <c r="AB15" i="58"/>
  <c r="AC15" i="58"/>
  <c r="AB16" i="58"/>
  <c r="AC16" i="58"/>
  <c r="AB17" i="58"/>
  <c r="AC17" i="58"/>
  <c r="AB18" i="58"/>
  <c r="AC18" i="58"/>
  <c r="AB19" i="58"/>
  <c r="AC19" i="58"/>
  <c r="AB20" i="58"/>
  <c r="AC20" i="58"/>
  <c r="AB21" i="58"/>
  <c r="AC21" i="58"/>
  <c r="AB23" i="58"/>
  <c r="AC23" i="58"/>
  <c r="AB25" i="58"/>
  <c r="AC25" i="58"/>
  <c r="AB26" i="58"/>
  <c r="AC26" i="58"/>
  <c r="AB27" i="58"/>
  <c r="AC27" i="58"/>
  <c r="AB28" i="58"/>
  <c r="AC28" i="58"/>
  <c r="AB29" i="58"/>
  <c r="AC29" i="58"/>
  <c r="AB30" i="58"/>
  <c r="AC30" i="58"/>
  <c r="AB31" i="58"/>
  <c r="AC31" i="58"/>
  <c r="AB32" i="58"/>
  <c r="AC32" i="58"/>
  <c r="AB34" i="58"/>
  <c r="AC34" i="58"/>
  <c r="AB35" i="58"/>
  <c r="AC35" i="58"/>
  <c r="AB36" i="58"/>
  <c r="AC36" i="58"/>
  <c r="AB37" i="58"/>
  <c r="AC37" i="58"/>
  <c r="AB38" i="58"/>
  <c r="AC38" i="58"/>
  <c r="AB39" i="58"/>
  <c r="AC39" i="58"/>
  <c r="AB40" i="58"/>
  <c r="AC40" i="58"/>
  <c r="AB41" i="58"/>
  <c r="AC41" i="58"/>
  <c r="AB42" i="58"/>
  <c r="AC42" i="58"/>
  <c r="AB43" i="58"/>
  <c r="AC43" i="58"/>
  <c r="AB44" i="58"/>
  <c r="AC44" i="58"/>
  <c r="AB45" i="58"/>
  <c r="AC45" i="58"/>
  <c r="AB46" i="58"/>
  <c r="AC46" i="58"/>
  <c r="AB47" i="58"/>
  <c r="AC47" i="58"/>
  <c r="AB48" i="58"/>
  <c r="AC48" i="58"/>
  <c r="AB49" i="58"/>
  <c r="AC49" i="58"/>
  <c r="AB50" i="58"/>
  <c r="AC50" i="58"/>
  <c r="AB51" i="58"/>
  <c r="AC51" i="58"/>
  <c r="AB52" i="58"/>
  <c r="AC52" i="58"/>
  <c r="AB53" i="58"/>
  <c r="AC53" i="58"/>
  <c r="AB54" i="58"/>
  <c r="AC54" i="58"/>
  <c r="AB55" i="58"/>
  <c r="AC55" i="58"/>
  <c r="AB56" i="58"/>
  <c r="AC56" i="58"/>
  <c r="AB57" i="58"/>
  <c r="AC57" i="58"/>
  <c r="AB58" i="58"/>
  <c r="AC58" i="58"/>
  <c r="AB59" i="58"/>
  <c r="AC59" i="58"/>
  <c r="AB60" i="58"/>
  <c r="AC60" i="58"/>
  <c r="AB61" i="58"/>
  <c r="AC61" i="58"/>
  <c r="AB62" i="58"/>
  <c r="AC62" i="58"/>
  <c r="AB63" i="58"/>
  <c r="AC63" i="58"/>
  <c r="AB64" i="58"/>
  <c r="AC64" i="58"/>
  <c r="AB65" i="58"/>
  <c r="AC65" i="58"/>
  <c r="AB66" i="58"/>
  <c r="AC66" i="58"/>
  <c r="AB67" i="58"/>
  <c r="AC67" i="58"/>
  <c r="AB68" i="58"/>
  <c r="AC68" i="58"/>
  <c r="AB69" i="58"/>
  <c r="AC69" i="58"/>
  <c r="AB70" i="58"/>
  <c r="AC70" i="58"/>
  <c r="AB71" i="58"/>
  <c r="AC71" i="58"/>
  <c r="AB72" i="58"/>
  <c r="AC72" i="58"/>
  <c r="AB73" i="58"/>
  <c r="AC73" i="58"/>
  <c r="AB74" i="58"/>
  <c r="AC74" i="58"/>
  <c r="AB75" i="58"/>
  <c r="AC75" i="58"/>
  <c r="AB76" i="58"/>
  <c r="AC76" i="58"/>
  <c r="AB77" i="58"/>
  <c r="AC77" i="58"/>
  <c r="AB78" i="58"/>
  <c r="AC78" i="58"/>
  <c r="AB79" i="58"/>
  <c r="AC79" i="58"/>
  <c r="AB80" i="58"/>
  <c r="AC80" i="58"/>
  <c r="AB81" i="58"/>
  <c r="AC81" i="58"/>
  <c r="Z5" i="58"/>
  <c r="Z6" i="58"/>
  <c r="Z7" i="58"/>
  <c r="Z8" i="58"/>
  <c r="Z9" i="58"/>
  <c r="Z11" i="58"/>
  <c r="Z12" i="58"/>
  <c r="Z13" i="58"/>
  <c r="Z14" i="58"/>
  <c r="Z15" i="58"/>
  <c r="Z16" i="58"/>
  <c r="Z17" i="58"/>
  <c r="Z18" i="58"/>
  <c r="Z19" i="58"/>
  <c r="Z20" i="58"/>
  <c r="Z21" i="58"/>
  <c r="Z23" i="58"/>
  <c r="Z25" i="58"/>
  <c r="Z26" i="58"/>
  <c r="Z27" i="58"/>
  <c r="Z28" i="58"/>
  <c r="Z29" i="58"/>
  <c r="Z30" i="58"/>
  <c r="Z31" i="58"/>
  <c r="Z32"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X6" i="58"/>
  <c r="X7" i="58"/>
  <c r="X8" i="58"/>
  <c r="X9" i="58"/>
  <c r="X11" i="58"/>
  <c r="X12" i="58"/>
  <c r="X13" i="58"/>
  <c r="X14" i="58"/>
  <c r="X15" i="58"/>
  <c r="X16" i="58"/>
  <c r="X17" i="58"/>
  <c r="X18" i="58"/>
  <c r="X19" i="58"/>
  <c r="X20" i="58"/>
  <c r="X21" i="58"/>
  <c r="X23" i="58"/>
  <c r="X25" i="58"/>
  <c r="X26" i="58"/>
  <c r="X27" i="58"/>
  <c r="X28" i="58"/>
  <c r="X29" i="58"/>
  <c r="X30" i="58"/>
  <c r="X31" i="58"/>
  <c r="X32" i="58"/>
  <c r="X34" i="58"/>
  <c r="X35" i="58"/>
  <c r="X36" i="58"/>
  <c r="X37" i="58"/>
  <c r="X38" i="58"/>
  <c r="X39" i="58"/>
  <c r="X40" i="58"/>
  <c r="X41" i="58"/>
  <c r="X42" i="58"/>
  <c r="X43" i="58"/>
  <c r="X44" i="58"/>
  <c r="X45" i="58"/>
  <c r="X46" i="58"/>
  <c r="X47" i="58"/>
  <c r="X48" i="58"/>
  <c r="X49" i="58"/>
  <c r="X50" i="58"/>
  <c r="X51" i="58"/>
  <c r="X52" i="58"/>
  <c r="X53" i="58"/>
  <c r="X54" i="58"/>
  <c r="X55" i="58"/>
  <c r="X56" i="58"/>
  <c r="X57" i="58"/>
  <c r="X58" i="58"/>
  <c r="X59" i="58"/>
  <c r="X60" i="58"/>
  <c r="X61" i="58"/>
  <c r="X62" i="58"/>
  <c r="X63" i="58"/>
  <c r="X64" i="58"/>
  <c r="X65" i="58"/>
  <c r="X66" i="58"/>
  <c r="X67" i="58"/>
  <c r="X68" i="58"/>
  <c r="X69" i="58"/>
  <c r="X70" i="58"/>
  <c r="X71" i="58"/>
  <c r="X72" i="58"/>
  <c r="X73" i="58"/>
  <c r="X74" i="58"/>
  <c r="X75" i="58"/>
  <c r="X76" i="58"/>
  <c r="X77" i="58"/>
  <c r="X78" i="58"/>
  <c r="X79" i="58"/>
  <c r="X80" i="58"/>
  <c r="X81" i="58"/>
  <c r="V6" i="58"/>
  <c r="V7" i="58"/>
  <c r="V8" i="58"/>
  <c r="V9" i="58"/>
  <c r="V11" i="58"/>
  <c r="V12" i="58"/>
  <c r="V13" i="58"/>
  <c r="V14" i="58"/>
  <c r="V15" i="58"/>
  <c r="V16" i="58"/>
  <c r="V17" i="58"/>
  <c r="V18" i="58"/>
  <c r="V19" i="58"/>
  <c r="V20" i="58"/>
  <c r="V21" i="58"/>
  <c r="V23" i="58"/>
  <c r="V25" i="58"/>
  <c r="V26" i="58"/>
  <c r="V27" i="58"/>
  <c r="V28" i="58"/>
  <c r="V29" i="58"/>
  <c r="V30" i="58"/>
  <c r="V31" i="58"/>
  <c r="V32" i="58"/>
  <c r="V34" i="58"/>
  <c r="V35" i="58"/>
  <c r="V36" i="58"/>
  <c r="V37" i="58"/>
  <c r="V38" i="58"/>
  <c r="V39" i="58"/>
  <c r="V40" i="58"/>
  <c r="V41" i="58"/>
  <c r="V42" i="58"/>
  <c r="V43" i="58"/>
  <c r="V44" i="58"/>
  <c r="V45" i="58"/>
  <c r="V46" i="58"/>
  <c r="V47" i="58"/>
  <c r="V48" i="58"/>
  <c r="V49" i="58"/>
  <c r="V50" i="58"/>
  <c r="V51" i="58"/>
  <c r="V52" i="58"/>
  <c r="V53" i="58"/>
  <c r="V54" i="58"/>
  <c r="V55" i="58"/>
  <c r="V56" i="58"/>
  <c r="V57" i="58"/>
  <c r="V58" i="58"/>
  <c r="V59" i="58"/>
  <c r="V60" i="58"/>
  <c r="V61" i="58"/>
  <c r="V62" i="58"/>
  <c r="V63" i="58"/>
  <c r="V64" i="58"/>
  <c r="V65" i="58"/>
  <c r="V66" i="58"/>
  <c r="V67" i="58"/>
  <c r="V68" i="58"/>
  <c r="V69" i="58"/>
  <c r="V70" i="58"/>
  <c r="V71" i="58"/>
  <c r="V72" i="58"/>
  <c r="V73" i="58"/>
  <c r="V74" i="58"/>
  <c r="V75" i="58"/>
  <c r="V76" i="58"/>
  <c r="V77" i="58"/>
  <c r="V78" i="58"/>
  <c r="V79" i="58"/>
  <c r="V80" i="58"/>
  <c r="V81" i="58"/>
  <c r="R6" i="58"/>
  <c r="R7" i="58"/>
  <c r="R8" i="58"/>
  <c r="R9" i="58"/>
  <c r="R11" i="58"/>
  <c r="R12" i="58"/>
  <c r="R13" i="58"/>
  <c r="R14" i="58"/>
  <c r="R15" i="58"/>
  <c r="R16" i="58"/>
  <c r="R17" i="58"/>
  <c r="R18" i="58"/>
  <c r="R19" i="58"/>
  <c r="R20" i="58"/>
  <c r="R21" i="58"/>
  <c r="R23" i="58"/>
  <c r="R25" i="58"/>
  <c r="R26" i="58"/>
  <c r="R27" i="58"/>
  <c r="R28" i="58"/>
  <c r="R29" i="58"/>
  <c r="R30" i="58"/>
  <c r="R31" i="58"/>
  <c r="R32" i="58"/>
  <c r="R34" i="58"/>
  <c r="R35" i="58"/>
  <c r="R36" i="58"/>
  <c r="R37" i="58"/>
  <c r="R38" i="58"/>
  <c r="R39" i="58"/>
  <c r="R40" i="58"/>
  <c r="R41" i="58"/>
  <c r="R42" i="58"/>
  <c r="R43" i="58"/>
  <c r="R44" i="58"/>
  <c r="R45" i="58"/>
  <c r="R46" i="58"/>
  <c r="R47" i="58"/>
  <c r="R48" i="58"/>
  <c r="R49" i="58"/>
  <c r="R50" i="58"/>
  <c r="R51" i="58"/>
  <c r="R52" i="58"/>
  <c r="R53" i="58"/>
  <c r="R54" i="58"/>
  <c r="R55" i="58"/>
  <c r="R56" i="58"/>
  <c r="R57" i="58"/>
  <c r="R58" i="58"/>
  <c r="R59" i="58"/>
  <c r="R60" i="58"/>
  <c r="R61" i="58"/>
  <c r="R62" i="58"/>
  <c r="R63" i="58"/>
  <c r="R64" i="58"/>
  <c r="R65" i="58"/>
  <c r="R66" i="58"/>
  <c r="R67" i="58"/>
  <c r="R68" i="58"/>
  <c r="R69" i="58"/>
  <c r="R70" i="58"/>
  <c r="R71" i="58"/>
  <c r="R72" i="58"/>
  <c r="R73" i="58"/>
  <c r="R74" i="58"/>
  <c r="R75" i="58"/>
  <c r="R76" i="58"/>
  <c r="R77" i="58"/>
  <c r="R78" i="58"/>
  <c r="R79" i="58"/>
  <c r="R80" i="58"/>
  <c r="R81" i="58"/>
  <c r="J6" i="58"/>
  <c r="J7" i="58"/>
  <c r="J8" i="58"/>
  <c r="J9" i="58"/>
  <c r="J11" i="58"/>
  <c r="J12" i="58"/>
  <c r="J13" i="58"/>
  <c r="J14" i="58"/>
  <c r="J15" i="58"/>
  <c r="J16" i="58"/>
  <c r="J17" i="58"/>
  <c r="J18" i="58"/>
  <c r="J19" i="58"/>
  <c r="J20" i="58"/>
  <c r="J21" i="58"/>
  <c r="J23" i="58"/>
  <c r="J25" i="58"/>
  <c r="J26" i="58"/>
  <c r="J27" i="58"/>
  <c r="J28" i="58"/>
  <c r="J29" i="58"/>
  <c r="J30" i="58"/>
  <c r="J31" i="58"/>
  <c r="J32" i="58"/>
  <c r="J34" i="58"/>
  <c r="J35" i="58"/>
  <c r="J36" i="58"/>
  <c r="J37" i="58"/>
  <c r="J38" i="58"/>
  <c r="J39" i="58"/>
  <c r="J40" i="58"/>
  <c r="J41" i="58"/>
  <c r="J42" i="58"/>
  <c r="J43" i="58"/>
  <c r="J44" i="58"/>
  <c r="J45" i="58"/>
  <c r="J46" i="58"/>
  <c r="J47" i="58"/>
  <c r="J48" i="58"/>
  <c r="J49" i="58"/>
  <c r="J50" i="58"/>
  <c r="J51" i="58"/>
  <c r="J52" i="58"/>
  <c r="J53" i="58"/>
  <c r="J54" i="58"/>
  <c r="J55" i="58"/>
  <c r="J56" i="58"/>
  <c r="J57" i="58"/>
  <c r="J58" i="58"/>
  <c r="J59" i="58"/>
  <c r="J60" i="58"/>
  <c r="J61" i="58"/>
  <c r="J62" i="58"/>
  <c r="J63" i="58"/>
  <c r="J64" i="58"/>
  <c r="J65" i="58"/>
  <c r="J66" i="58"/>
  <c r="J67" i="58"/>
  <c r="J68" i="58"/>
  <c r="J69" i="58"/>
  <c r="J70" i="58"/>
  <c r="J71" i="58"/>
  <c r="J72" i="58"/>
  <c r="J73" i="58"/>
  <c r="J74" i="58"/>
  <c r="J75" i="58"/>
  <c r="J76" i="58"/>
  <c r="J77" i="58"/>
  <c r="J78" i="58"/>
  <c r="J79" i="58"/>
  <c r="J80" i="58"/>
  <c r="J81" i="58"/>
  <c r="H55" i="73" l="1"/>
  <c r="H59" i="73"/>
  <c r="H115" i="73"/>
  <c r="H119" i="73"/>
  <c r="H171" i="73"/>
  <c r="H175" i="73"/>
  <c r="H226" i="73"/>
  <c r="H228" i="73"/>
  <c r="H230" i="73"/>
  <c r="H232" i="73"/>
  <c r="P46" i="45"/>
  <c r="P42" i="45"/>
  <c r="P38" i="45"/>
  <c r="P34" i="45"/>
  <c r="P30" i="45"/>
  <c r="P26" i="45"/>
  <c r="P22" i="45"/>
  <c r="P18" i="45"/>
  <c r="P14" i="45"/>
  <c r="P47" i="45"/>
  <c r="P43" i="45"/>
  <c r="P39" i="45"/>
  <c r="P35" i="45"/>
  <c r="P31" i="45"/>
  <c r="P27" i="45"/>
  <c r="P23" i="45"/>
  <c r="P19" i="45"/>
  <c r="P15" i="45"/>
  <c r="P44" i="45"/>
  <c r="P40" i="45"/>
  <c r="P36" i="45"/>
  <c r="P32" i="45"/>
  <c r="P28" i="45"/>
  <c r="P24" i="45"/>
  <c r="P20" i="45"/>
  <c r="P16" i="45"/>
  <c r="P12" i="45"/>
  <c r="P45" i="45"/>
  <c r="P41" i="45"/>
  <c r="P37" i="45"/>
  <c r="P33" i="45"/>
  <c r="P29" i="45"/>
  <c r="P25" i="45"/>
  <c r="P21" i="45"/>
  <c r="P17" i="45"/>
  <c r="P13" i="45"/>
  <c r="H57" i="73"/>
  <c r="H61" i="73"/>
  <c r="H113" i="73"/>
  <c r="H117" i="73"/>
  <c r="H169" i="73"/>
  <c r="H173" i="73"/>
  <c r="H227" i="73"/>
  <c r="H229" i="73"/>
  <c r="H231" i="73"/>
  <c r="H233" i="73"/>
  <c r="H56" i="73"/>
  <c r="H58" i="73"/>
  <c r="H60" i="73"/>
  <c r="H62" i="73"/>
  <c r="H112" i="73"/>
  <c r="H114" i="73"/>
  <c r="H116" i="73"/>
  <c r="H118" i="73"/>
  <c r="H170" i="73"/>
  <c r="H172" i="73"/>
  <c r="H174" i="73"/>
  <c r="H176" i="73"/>
  <c r="P7" i="74"/>
  <c r="P8" i="74"/>
  <c r="P9" i="74"/>
  <c r="P10" i="74"/>
  <c r="P11" i="74"/>
  <c r="P12" i="74"/>
  <c r="P13" i="74"/>
  <c r="P14" i="74"/>
  <c r="P15" i="74"/>
  <c r="P16" i="74"/>
  <c r="P17" i="74"/>
  <c r="P18" i="74"/>
  <c r="P19" i="74"/>
  <c r="P20" i="74"/>
  <c r="P21" i="74"/>
  <c r="P22" i="74"/>
  <c r="P23" i="74"/>
  <c r="P24" i="74"/>
  <c r="P25" i="74"/>
  <c r="P26" i="74"/>
  <c r="P27" i="74"/>
  <c r="P28" i="74"/>
  <c r="P29" i="74"/>
  <c r="P30" i="74"/>
  <c r="P31" i="74"/>
  <c r="P32" i="74"/>
  <c r="P33" i="74"/>
  <c r="P34" i="74"/>
  <c r="P35" i="74"/>
  <c r="P36" i="74"/>
  <c r="P37" i="74"/>
  <c r="P38" i="74"/>
  <c r="P39" i="74"/>
  <c r="P40" i="74"/>
  <c r="P41" i="74"/>
  <c r="P42" i="74"/>
  <c r="P43" i="74"/>
  <c r="P44" i="74"/>
  <c r="P45" i="74"/>
  <c r="P46" i="74"/>
  <c r="P47" i="74"/>
  <c r="P49" i="74"/>
  <c r="P50" i="74"/>
  <c r="P51" i="74"/>
  <c r="P52" i="74"/>
  <c r="P53" i="74"/>
  <c r="P54" i="74"/>
  <c r="P55" i="74"/>
  <c r="P56" i="74"/>
  <c r="E92" i="8"/>
  <c r="E91" i="8"/>
  <c r="E90" i="8"/>
  <c r="E89" i="8"/>
  <c r="E88" i="8"/>
  <c r="E87" i="8"/>
  <c r="E86" i="8"/>
  <c r="E85" i="8"/>
  <c r="E84" i="8"/>
  <c r="E83" i="8"/>
  <c r="E82" i="8"/>
  <c r="E81" i="8"/>
  <c r="AM4" i="8"/>
  <c r="AV88" i="8"/>
  <c r="AV89" i="8"/>
  <c r="AV90" i="8"/>
  <c r="W93" i="8" s="1"/>
  <c r="AV91" i="8"/>
  <c r="Y93" i="8" s="1"/>
  <c r="AV92" i="8"/>
  <c r="AV81" i="8"/>
  <c r="AV82" i="8"/>
  <c r="AV83" i="8"/>
  <c r="AV84" i="8"/>
  <c r="AV85" i="8"/>
  <c r="AV86" i="8"/>
  <c r="AL93" i="8"/>
  <c r="AN93" i="8"/>
  <c r="AL94" i="8"/>
  <c r="Q135" i="8" s="1"/>
  <c r="AN94" i="8"/>
  <c r="Q137" i="8" s="1"/>
  <c r="AL95" i="8"/>
  <c r="AC93" i="8"/>
  <c r="P126" i="8" s="1"/>
  <c r="AD93" i="8"/>
  <c r="P127" i="8" s="1"/>
  <c r="AG93" i="8"/>
  <c r="P130" i="8" s="1"/>
  <c r="AC94" i="8"/>
  <c r="Q126" i="8" s="1"/>
  <c r="AD94" i="8"/>
  <c r="Q127" i="8" s="1"/>
  <c r="AG94" i="8"/>
  <c r="Q130" i="8" s="1"/>
  <c r="AC95" i="8"/>
  <c r="R126" i="8" s="1"/>
  <c r="AD95" i="8"/>
  <c r="R127" i="8" s="1"/>
  <c r="AG95" i="8"/>
  <c r="R130" i="8" s="1"/>
  <c r="AA93" i="8"/>
  <c r="AA94" i="8"/>
  <c r="Q124" i="8" s="1"/>
  <c r="AA95" i="8"/>
  <c r="Y94" i="8"/>
  <c r="Q122" i="8" s="1"/>
  <c r="W94" i="8"/>
  <c r="Q120" i="8" s="1"/>
  <c r="S93" i="8"/>
  <c r="S94" i="8"/>
  <c r="Q116" i="8" s="1"/>
  <c r="S95" i="8"/>
  <c r="K93" i="8"/>
  <c r="K94" i="8"/>
  <c r="Q108" i="8" s="1"/>
  <c r="K95" i="8"/>
  <c r="F4" i="8"/>
  <c r="G4" i="8"/>
  <c r="H4" i="8"/>
  <c r="I4" i="8"/>
  <c r="J4" i="8"/>
  <c r="K4" i="8"/>
  <c r="L4" i="8"/>
  <c r="M4" i="8"/>
  <c r="N4" i="8"/>
  <c r="O4" i="8"/>
  <c r="P4" i="8"/>
  <c r="Q4" i="8"/>
  <c r="R4" i="8"/>
  <c r="S4" i="8"/>
  <c r="T4" i="8"/>
  <c r="U4" i="8"/>
  <c r="V4" i="8"/>
  <c r="W4" i="8"/>
  <c r="X4" i="8"/>
  <c r="Y4" i="8"/>
  <c r="Z4" i="8"/>
  <c r="AA4" i="8"/>
  <c r="AB4" i="8"/>
  <c r="AC4" i="8"/>
  <c r="AD4" i="8"/>
  <c r="AE4" i="8"/>
  <c r="AF4" i="8"/>
  <c r="AG4" i="8"/>
  <c r="AH4" i="8"/>
  <c r="AI4" i="8"/>
  <c r="AJ4" i="8"/>
  <c r="AK4" i="8"/>
  <c r="AL4" i="8"/>
  <c r="AN4" i="8"/>
  <c r="AO4" i="8"/>
  <c r="AP4" i="8"/>
  <c r="AQ4" i="8"/>
  <c r="AR4" i="8"/>
  <c r="AS4" i="8"/>
  <c r="AT4" i="8"/>
  <c r="AU4" i="8"/>
  <c r="F5" i="8"/>
  <c r="G5" i="8"/>
  <c r="H5" i="8"/>
  <c r="I5" i="8"/>
  <c r="J5" i="8"/>
  <c r="K5" i="8"/>
  <c r="L5" i="8"/>
  <c r="M5" i="8"/>
  <c r="N5" i="8"/>
  <c r="O5" i="8"/>
  <c r="P5" i="8"/>
  <c r="Q5" i="8"/>
  <c r="R5" i="8"/>
  <c r="S5" i="8"/>
  <c r="T5" i="8"/>
  <c r="U5" i="8"/>
  <c r="V5" i="8"/>
  <c r="W5" i="8"/>
  <c r="X5" i="8"/>
  <c r="Y5" i="8"/>
  <c r="Z5" i="8"/>
  <c r="AA5" i="8"/>
  <c r="AB5" i="8"/>
  <c r="AC5" i="8"/>
  <c r="AD5" i="8"/>
  <c r="AE5" i="8"/>
  <c r="AF5" i="8"/>
  <c r="AG5" i="8"/>
  <c r="AH5" i="8"/>
  <c r="AI5" i="8"/>
  <c r="AJ5" i="8"/>
  <c r="AK5" i="8"/>
  <c r="AL5" i="8"/>
  <c r="AM5" i="8"/>
  <c r="AN5" i="8"/>
  <c r="AO5" i="8"/>
  <c r="AP5" i="8"/>
  <c r="AQ5" i="8"/>
  <c r="AR5" i="8"/>
  <c r="AS5" i="8"/>
  <c r="AT5" i="8"/>
  <c r="AU5"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K139" i="8" s="1"/>
  <c r="AR6" i="8"/>
  <c r="K140" i="8" s="1"/>
  <c r="AS6" i="8"/>
  <c r="AT6" i="8"/>
  <c r="AU6" i="8"/>
  <c r="K142" i="8" s="1"/>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J138" i="8" s="1"/>
  <c r="AP7" i="8"/>
  <c r="AQ7" i="8"/>
  <c r="J139" i="8" s="1"/>
  <c r="AR7" i="8"/>
  <c r="J140" i="8" s="1"/>
  <c r="AS7" i="8"/>
  <c r="J141" i="8" s="1"/>
  <c r="AT7" i="8"/>
  <c r="AU7" i="8"/>
  <c r="J142" i="8" s="1"/>
  <c r="E5" i="8"/>
  <c r="E6" i="8"/>
  <c r="E7" i="8"/>
  <c r="E4" i="8"/>
  <c r="D92" i="8"/>
  <c r="D91" i="8"/>
  <c r="D90" i="8"/>
  <c r="D89" i="8"/>
  <c r="D88" i="8"/>
  <c r="D87" i="8"/>
  <c r="D86" i="8"/>
  <c r="D85" i="8"/>
  <c r="D84" i="8"/>
  <c r="D83" i="8"/>
  <c r="D82" i="8"/>
  <c r="D81"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0" i="8"/>
  <c r="D29" i="8"/>
  <c r="D28" i="8"/>
  <c r="D27" i="8"/>
  <c r="D26" i="8"/>
  <c r="D25" i="8"/>
  <c r="D24" i="8"/>
  <c r="D23" i="8"/>
  <c r="D21" i="8"/>
  <c r="D10" i="8"/>
  <c r="D11" i="8"/>
  <c r="D12" i="8"/>
  <c r="D13" i="8"/>
  <c r="D14" i="8"/>
  <c r="D15" i="8"/>
  <c r="D16" i="8"/>
  <c r="D17" i="8"/>
  <c r="D18" i="8"/>
  <c r="D19" i="8"/>
  <c r="D9" i="8"/>
  <c r="E9" i="8"/>
  <c r="C94" i="23"/>
  <c r="AV105" i="7"/>
  <c r="AV107" i="7"/>
  <c r="AV108" i="7"/>
  <c r="AV109" i="7"/>
  <c r="AV110" i="7"/>
  <c r="AV111" i="7"/>
  <c r="AV100" i="7"/>
  <c r="AV101" i="7"/>
  <c r="AV103" i="7"/>
  <c r="AV104" i="7"/>
  <c r="L323" i="8"/>
  <c r="M323" i="8"/>
  <c r="L324" i="8"/>
  <c r="M324" i="8"/>
  <c r="L325" i="8"/>
  <c r="M325" i="8"/>
  <c r="L326" i="8"/>
  <c r="M326" i="8"/>
  <c r="L327" i="8"/>
  <c r="M327" i="8"/>
  <c r="L328" i="8"/>
  <c r="M328" i="8"/>
  <c r="L329" i="8"/>
  <c r="M329" i="8"/>
  <c r="L330" i="8"/>
  <c r="M330" i="8"/>
  <c r="L331" i="8"/>
  <c r="M331" i="8"/>
  <c r="L332" i="8"/>
  <c r="M332" i="8"/>
  <c r="L333" i="8"/>
  <c r="M333" i="8"/>
  <c r="L334" i="8"/>
  <c r="M334" i="8"/>
  <c r="L335" i="8"/>
  <c r="M335" i="8"/>
  <c r="L336" i="8"/>
  <c r="M336" i="8"/>
  <c r="L337" i="8"/>
  <c r="M337" i="8"/>
  <c r="L338" i="8"/>
  <c r="M338" i="8"/>
  <c r="L339" i="8"/>
  <c r="M339" i="8"/>
  <c r="L340" i="8"/>
  <c r="M340" i="8"/>
  <c r="L341" i="8"/>
  <c r="M341" i="8"/>
  <c r="L342" i="8"/>
  <c r="M342" i="8"/>
  <c r="L343" i="8"/>
  <c r="M343" i="8"/>
  <c r="L344" i="8"/>
  <c r="M344" i="8"/>
  <c r="L345" i="8"/>
  <c r="M345" i="8"/>
  <c r="L346" i="8"/>
  <c r="M346" i="8"/>
  <c r="L347" i="8"/>
  <c r="M347" i="8"/>
  <c r="L348" i="8"/>
  <c r="M348" i="8"/>
  <c r="L349" i="8"/>
  <c r="M349" i="8"/>
  <c r="L350" i="8"/>
  <c r="M350" i="8"/>
  <c r="L351" i="8"/>
  <c r="M351" i="8"/>
  <c r="L352" i="8"/>
  <c r="M352" i="8"/>
  <c r="L353" i="8"/>
  <c r="M353" i="8"/>
  <c r="L354" i="8"/>
  <c r="M354" i="8"/>
  <c r="L355" i="8"/>
  <c r="M355" i="8"/>
  <c r="L356" i="8"/>
  <c r="M356" i="8"/>
  <c r="L357" i="8"/>
  <c r="M357" i="8"/>
  <c r="M273" i="8"/>
  <c r="N273" i="8"/>
  <c r="M443" i="8" s="1"/>
  <c r="P273" i="8"/>
  <c r="N443" i="8" s="1"/>
  <c r="Q273" i="8"/>
  <c r="M274" i="8"/>
  <c r="N274" i="8"/>
  <c r="M444" i="8" s="1"/>
  <c r="P274" i="8"/>
  <c r="N444" i="8" s="1"/>
  <c r="Q274" i="8"/>
  <c r="M275" i="8"/>
  <c r="N275" i="8"/>
  <c r="M445" i="8" s="1"/>
  <c r="P275" i="8"/>
  <c r="N445" i="8" s="1"/>
  <c r="Q275" i="8"/>
  <c r="M276" i="8"/>
  <c r="N276" i="8"/>
  <c r="M446" i="8" s="1"/>
  <c r="P276" i="8"/>
  <c r="N446" i="8" s="1"/>
  <c r="Q276" i="8"/>
  <c r="M277" i="8"/>
  <c r="N277" i="8"/>
  <c r="M447" i="8" s="1"/>
  <c r="P277" i="8"/>
  <c r="N447" i="8" s="1"/>
  <c r="Q277" i="8"/>
  <c r="M278" i="8"/>
  <c r="N278" i="8"/>
  <c r="M448" i="8" s="1"/>
  <c r="P278" i="8"/>
  <c r="N448" i="8" s="1"/>
  <c r="Q278" i="8"/>
  <c r="M279" i="8"/>
  <c r="N279" i="8"/>
  <c r="M449" i="8" s="1"/>
  <c r="P279" i="8"/>
  <c r="N449" i="8" s="1"/>
  <c r="Q279" i="8"/>
  <c r="M280" i="8"/>
  <c r="N280" i="8"/>
  <c r="M450" i="8" s="1"/>
  <c r="P280" i="8"/>
  <c r="N450" i="8" s="1"/>
  <c r="Q280" i="8"/>
  <c r="M281" i="8"/>
  <c r="N281" i="8"/>
  <c r="M451" i="8" s="1"/>
  <c r="P281" i="8"/>
  <c r="N451" i="8" s="1"/>
  <c r="Q281" i="8"/>
  <c r="M282" i="8"/>
  <c r="N282" i="8"/>
  <c r="M452" i="8" s="1"/>
  <c r="P282" i="8"/>
  <c r="N452" i="8" s="1"/>
  <c r="Q282" i="8"/>
  <c r="M283" i="8"/>
  <c r="N283" i="8"/>
  <c r="M453" i="8" s="1"/>
  <c r="P283" i="8"/>
  <c r="N453" i="8" s="1"/>
  <c r="Q283" i="8"/>
  <c r="M284" i="8"/>
  <c r="N284" i="8"/>
  <c r="M454" i="8" s="1"/>
  <c r="P284" i="8"/>
  <c r="N454" i="8" s="1"/>
  <c r="Q284" i="8"/>
  <c r="M285" i="8"/>
  <c r="N285" i="8"/>
  <c r="M455" i="8" s="1"/>
  <c r="P285" i="8"/>
  <c r="N455" i="8" s="1"/>
  <c r="Q285" i="8"/>
  <c r="M286" i="8"/>
  <c r="N286" i="8"/>
  <c r="M456" i="8" s="1"/>
  <c r="P286" i="8"/>
  <c r="N456" i="8" s="1"/>
  <c r="Q286" i="8"/>
  <c r="M287" i="8"/>
  <c r="N287" i="8"/>
  <c r="M457" i="8" s="1"/>
  <c r="P287" i="8"/>
  <c r="N457" i="8" s="1"/>
  <c r="Q287" i="8"/>
  <c r="M288" i="8"/>
  <c r="N288" i="8"/>
  <c r="M458" i="8" s="1"/>
  <c r="P288" i="8"/>
  <c r="N458" i="8" s="1"/>
  <c r="Q288" i="8"/>
  <c r="M289" i="8"/>
  <c r="N289" i="8"/>
  <c r="M459" i="8" s="1"/>
  <c r="P289" i="8"/>
  <c r="N459" i="8" s="1"/>
  <c r="Q289" i="8"/>
  <c r="M290" i="8"/>
  <c r="N290" i="8"/>
  <c r="M460" i="8" s="1"/>
  <c r="P290" i="8"/>
  <c r="N460" i="8" s="1"/>
  <c r="Q290" i="8"/>
  <c r="M291" i="8"/>
  <c r="N291" i="8"/>
  <c r="M461" i="8" s="1"/>
  <c r="P291" i="8"/>
  <c r="N461" i="8" s="1"/>
  <c r="Q291" i="8"/>
  <c r="M292" i="8"/>
  <c r="N292" i="8"/>
  <c r="M462" i="8" s="1"/>
  <c r="P292" i="8"/>
  <c r="N462" i="8" s="1"/>
  <c r="Q292" i="8"/>
  <c r="M293" i="8"/>
  <c r="N293" i="8"/>
  <c r="M463" i="8" s="1"/>
  <c r="P293" i="8"/>
  <c r="N463" i="8" s="1"/>
  <c r="Q293" i="8"/>
  <c r="M294" i="8"/>
  <c r="N294" i="8"/>
  <c r="M464" i="8" s="1"/>
  <c r="P294" i="8"/>
  <c r="N464" i="8" s="1"/>
  <c r="Q294" i="8"/>
  <c r="M295" i="8"/>
  <c r="N295" i="8"/>
  <c r="M465" i="8" s="1"/>
  <c r="P295" i="8"/>
  <c r="N465" i="8" s="1"/>
  <c r="Q295" i="8"/>
  <c r="M296" i="8"/>
  <c r="N296" i="8"/>
  <c r="M466" i="8" s="1"/>
  <c r="P296" i="8"/>
  <c r="N466" i="8" s="1"/>
  <c r="Q296" i="8"/>
  <c r="M297" i="8"/>
  <c r="N297" i="8"/>
  <c r="M467" i="8" s="1"/>
  <c r="P297" i="8"/>
  <c r="N467" i="8" s="1"/>
  <c r="Q297" i="8"/>
  <c r="M298" i="8"/>
  <c r="N298" i="8"/>
  <c r="M468" i="8" s="1"/>
  <c r="P298" i="8"/>
  <c r="N468" i="8" s="1"/>
  <c r="Q298" i="8"/>
  <c r="M299" i="8"/>
  <c r="N299" i="8"/>
  <c r="M469" i="8" s="1"/>
  <c r="P299" i="8"/>
  <c r="N469" i="8" s="1"/>
  <c r="Q299" i="8"/>
  <c r="M300" i="8"/>
  <c r="N300" i="8"/>
  <c r="M470" i="8" s="1"/>
  <c r="P300" i="8"/>
  <c r="N470" i="8" s="1"/>
  <c r="Q300" i="8"/>
  <c r="M301" i="8"/>
  <c r="N301" i="8"/>
  <c r="M471" i="8" s="1"/>
  <c r="P301" i="8"/>
  <c r="N471" i="8" s="1"/>
  <c r="Q301" i="8"/>
  <c r="M302" i="8"/>
  <c r="N302" i="8"/>
  <c r="M472" i="8" s="1"/>
  <c r="P302" i="8"/>
  <c r="N472" i="8" s="1"/>
  <c r="Q302" i="8"/>
  <c r="M268" i="8"/>
  <c r="N268" i="8"/>
  <c r="M438" i="8" s="1"/>
  <c r="P268" i="8"/>
  <c r="N438" i="8" s="1"/>
  <c r="Q268" i="8"/>
  <c r="K70" i="46"/>
  <c r="M70" i="46" s="1"/>
  <c r="M131" i="46"/>
  <c r="P131" i="46" s="1"/>
  <c r="N131" i="46"/>
  <c r="Q131" i="46" s="1"/>
  <c r="L131" i="46"/>
  <c r="O131" i="46" s="1"/>
  <c r="J56" i="45"/>
  <c r="J55" i="45"/>
  <c r="J54" i="45"/>
  <c r="J53" i="45"/>
  <c r="J52" i="45"/>
  <c r="J51" i="45"/>
  <c r="J50" i="45"/>
  <c r="J49" i="45"/>
  <c r="I56" i="45"/>
  <c r="K56" i="45" s="1"/>
  <c r="I55" i="45"/>
  <c r="K55" i="45" s="1"/>
  <c r="I54" i="45"/>
  <c r="K54" i="45" s="1"/>
  <c r="I53" i="45"/>
  <c r="K53" i="45" s="1"/>
  <c r="I52" i="45"/>
  <c r="K52" i="45" s="1"/>
  <c r="I51" i="45"/>
  <c r="K51" i="45" s="1"/>
  <c r="I50" i="45"/>
  <c r="K50" i="45" s="1"/>
  <c r="I49" i="45"/>
  <c r="K49" i="45" s="1"/>
  <c r="L32" i="45" l="1"/>
  <c r="L32" i="74"/>
  <c r="P41" i="65"/>
  <c r="P57" i="65"/>
  <c r="P24" i="65"/>
  <c r="P32" i="65"/>
  <c r="P48" i="65"/>
  <c r="P56" i="65"/>
  <c r="P55" i="65"/>
  <c r="P29" i="65"/>
  <c r="P40" i="65"/>
  <c r="P27" i="65"/>
  <c r="P43" i="65"/>
  <c r="P59" i="65"/>
  <c r="P26" i="65"/>
  <c r="P34" i="65"/>
  <c r="P42" i="65"/>
  <c r="P50" i="65"/>
  <c r="P58" i="65"/>
  <c r="P37" i="65"/>
  <c r="P45" i="65"/>
  <c r="P53" i="65"/>
  <c r="P28" i="65"/>
  <c r="P44" i="65"/>
  <c r="P35" i="65"/>
  <c r="P51" i="65"/>
  <c r="P25" i="65"/>
  <c r="P33" i="65"/>
  <c r="P49" i="65"/>
  <c r="P36" i="65"/>
  <c r="P52" i="65"/>
  <c r="P31" i="65"/>
  <c r="P39" i="65"/>
  <c r="P47" i="65"/>
  <c r="P30" i="65"/>
  <c r="P38" i="65"/>
  <c r="P46" i="65"/>
  <c r="P54" i="65"/>
  <c r="B46" i="48"/>
  <c r="B62" i="48"/>
  <c r="B78" i="48"/>
  <c r="B94" i="48"/>
  <c r="B40" i="48"/>
  <c r="B56" i="48"/>
  <c r="B72" i="48"/>
  <c r="B88" i="48"/>
  <c r="B104" i="48"/>
  <c r="B50" i="48"/>
  <c r="B66" i="48"/>
  <c r="B82" i="48"/>
  <c r="B98" i="48"/>
  <c r="B44" i="48"/>
  <c r="B60" i="48"/>
  <c r="B76" i="48"/>
  <c r="B92" i="48"/>
  <c r="B102" i="48"/>
  <c r="B38" i="48"/>
  <c r="B54" i="48"/>
  <c r="B70" i="48"/>
  <c r="B86" i="48"/>
  <c r="B106" i="48"/>
  <c r="B48" i="48"/>
  <c r="B64" i="48"/>
  <c r="B80" i="48"/>
  <c r="B96" i="48"/>
  <c r="B42" i="48"/>
  <c r="B58" i="48"/>
  <c r="B74" i="48"/>
  <c r="B90" i="48"/>
  <c r="B36" i="48"/>
  <c r="B52" i="48"/>
  <c r="B68" i="48"/>
  <c r="B84" i="48"/>
  <c r="B100" i="48"/>
  <c r="AT53" i="73"/>
  <c r="AT110" i="73"/>
  <c r="AT167" i="73"/>
  <c r="BW224" i="73"/>
  <c r="BW223" i="73"/>
  <c r="AT52" i="73"/>
  <c r="AT109" i="73"/>
  <c r="AT166" i="73"/>
  <c r="AT51" i="73"/>
  <c r="AT108" i="73"/>
  <c r="AT165" i="73"/>
  <c r="BW222" i="73"/>
  <c r="BW221" i="73"/>
  <c r="AT50" i="73"/>
  <c r="AT107" i="73"/>
  <c r="AT164" i="73"/>
  <c r="AT49" i="73"/>
  <c r="AT106" i="73"/>
  <c r="AT163" i="73"/>
  <c r="BW220" i="73"/>
  <c r="BW219" i="73"/>
  <c r="AT48" i="73"/>
  <c r="AT105" i="73"/>
  <c r="AT162" i="73"/>
  <c r="AT47" i="73"/>
  <c r="AT104" i="73"/>
  <c r="AT161" i="73"/>
  <c r="BW218" i="73"/>
  <c r="BW217" i="73"/>
  <c r="AT46" i="73"/>
  <c r="AT103" i="73"/>
  <c r="AT160" i="73"/>
  <c r="AT45" i="73"/>
  <c r="AT102" i="73"/>
  <c r="AT159" i="73"/>
  <c r="BW216" i="73"/>
  <c r="BW215" i="73"/>
  <c r="AT44" i="73"/>
  <c r="AT101" i="73"/>
  <c r="AT158" i="73"/>
  <c r="AT43" i="73"/>
  <c r="AT100" i="73"/>
  <c r="AT157" i="73"/>
  <c r="BW214" i="73"/>
  <c r="BW213" i="73"/>
  <c r="AT42" i="73"/>
  <c r="AT99" i="73"/>
  <c r="AT156" i="73"/>
  <c r="AT41" i="73"/>
  <c r="AT98" i="73"/>
  <c r="AT155" i="73"/>
  <c r="BW212" i="73"/>
  <c r="BW211" i="73"/>
  <c r="AT40" i="73"/>
  <c r="AT97" i="73"/>
  <c r="AT154" i="73"/>
  <c r="AT39" i="73"/>
  <c r="AT96" i="73"/>
  <c r="AT153" i="73"/>
  <c r="BW210" i="73"/>
  <c r="BW209" i="73"/>
  <c r="AT38" i="73"/>
  <c r="AT95" i="73"/>
  <c r="AT152" i="73"/>
  <c r="AT37" i="73"/>
  <c r="AT94" i="73"/>
  <c r="AT151" i="73"/>
  <c r="BW208" i="73"/>
  <c r="BW207" i="73"/>
  <c r="AT36" i="73"/>
  <c r="AT93" i="73"/>
  <c r="AT150" i="73"/>
  <c r="AT35" i="73"/>
  <c r="AT92" i="73"/>
  <c r="AT149" i="73"/>
  <c r="BW206" i="73"/>
  <c r="BW205" i="73"/>
  <c r="AT34" i="73"/>
  <c r="AT91" i="73"/>
  <c r="AT148" i="73"/>
  <c r="AT33" i="73"/>
  <c r="AT90" i="73"/>
  <c r="AT147" i="73"/>
  <c r="BW204" i="73"/>
  <c r="BW203" i="73"/>
  <c r="AT32" i="73"/>
  <c r="AT89" i="73"/>
  <c r="AT146" i="73"/>
  <c r="AT31" i="73"/>
  <c r="AT88" i="73"/>
  <c r="AT145" i="73"/>
  <c r="BW202" i="73"/>
  <c r="BW201" i="73"/>
  <c r="AT30" i="73"/>
  <c r="AT87" i="73"/>
  <c r="AT144" i="73"/>
  <c r="AT29" i="73"/>
  <c r="AT86" i="73"/>
  <c r="AT143" i="73"/>
  <c r="BW200" i="73"/>
  <c r="BW199" i="73"/>
  <c r="AT28" i="73"/>
  <c r="AT85" i="73"/>
  <c r="AT142" i="73"/>
  <c r="AT27" i="73"/>
  <c r="AT84" i="73"/>
  <c r="AT141" i="73"/>
  <c r="BW198" i="73"/>
  <c r="BW197" i="73"/>
  <c r="AT26" i="73"/>
  <c r="AT83" i="73"/>
  <c r="AT140" i="73"/>
  <c r="AT25" i="73"/>
  <c r="AT82" i="73"/>
  <c r="AT139" i="73"/>
  <c r="BW196" i="73"/>
  <c r="BW195" i="73"/>
  <c r="AT24" i="73"/>
  <c r="AT81" i="73"/>
  <c r="AT138" i="73"/>
  <c r="AT23" i="73"/>
  <c r="AT80" i="73"/>
  <c r="AT137" i="73"/>
  <c r="BW194" i="73"/>
  <c r="BW193" i="73"/>
  <c r="AT22" i="73"/>
  <c r="AT79" i="73"/>
  <c r="AT136" i="73"/>
  <c r="AT21" i="73"/>
  <c r="AT78" i="73"/>
  <c r="AT135" i="73"/>
  <c r="BW192" i="73"/>
  <c r="BW191" i="73"/>
  <c r="AT20" i="73"/>
  <c r="AT77" i="73"/>
  <c r="AT134" i="73"/>
  <c r="AT19" i="73"/>
  <c r="AT76" i="73"/>
  <c r="AT133" i="73"/>
  <c r="BW190" i="73"/>
  <c r="AS17" i="11"/>
  <c r="AE19" i="73"/>
  <c r="AS51" i="11"/>
  <c r="AE53" i="73"/>
  <c r="AQ53" i="73" s="1"/>
  <c r="AS50" i="11"/>
  <c r="AE52" i="73"/>
  <c r="AS49" i="11"/>
  <c r="AE51" i="73"/>
  <c r="AQ51" i="73" s="1"/>
  <c r="AS48" i="11"/>
  <c r="AE50" i="73"/>
  <c r="AQ50" i="73" s="1"/>
  <c r="AS47" i="11"/>
  <c r="AE49" i="73"/>
  <c r="AS46" i="11"/>
  <c r="AE48" i="73"/>
  <c r="AQ48" i="73" s="1"/>
  <c r="AS45" i="11"/>
  <c r="AE47" i="73"/>
  <c r="AQ47" i="73" s="1"/>
  <c r="AS44" i="11"/>
  <c r="AE46" i="73"/>
  <c r="AS43" i="11"/>
  <c r="AE45" i="73"/>
  <c r="AS42" i="11"/>
  <c r="AE44" i="73"/>
  <c r="AS41" i="11"/>
  <c r="AE43" i="73"/>
  <c r="AS40" i="11"/>
  <c r="AE42" i="73"/>
  <c r="AS39" i="11"/>
  <c r="AE41" i="73"/>
  <c r="AQ41" i="73" s="1"/>
  <c r="AS38" i="11"/>
  <c r="AE40" i="73"/>
  <c r="AS37" i="11"/>
  <c r="AE39" i="73"/>
  <c r="AQ39" i="73" s="1"/>
  <c r="AS36" i="11"/>
  <c r="AE38" i="73"/>
  <c r="AQ38" i="73" s="1"/>
  <c r="AS35" i="11"/>
  <c r="AE37" i="73"/>
  <c r="AQ37" i="73" s="1"/>
  <c r="AS34" i="11"/>
  <c r="AE36" i="73"/>
  <c r="AQ36" i="73" s="1"/>
  <c r="AS33" i="11"/>
  <c r="AE35" i="73"/>
  <c r="AQ35" i="73" s="1"/>
  <c r="AS32" i="11"/>
  <c r="AE34" i="73"/>
  <c r="AS31" i="11"/>
  <c r="AE33" i="73"/>
  <c r="AQ33" i="73" s="1"/>
  <c r="AS30" i="11"/>
  <c r="AE32" i="73"/>
  <c r="AS29" i="11"/>
  <c r="AE31" i="73"/>
  <c r="AQ31" i="73" s="1"/>
  <c r="AS28" i="11"/>
  <c r="AE30" i="73"/>
  <c r="AS27" i="11"/>
  <c r="AE29" i="73"/>
  <c r="AS26" i="11"/>
  <c r="AE28" i="73"/>
  <c r="AQ28" i="73" s="1"/>
  <c r="AS25" i="11"/>
  <c r="AE27" i="73"/>
  <c r="AQ27" i="73" s="1"/>
  <c r="AS24" i="11"/>
  <c r="AE26" i="73"/>
  <c r="AS22" i="11"/>
  <c r="AE24" i="73"/>
  <c r="AQ24" i="73" s="1"/>
  <c r="AS23" i="11"/>
  <c r="AE25" i="73"/>
  <c r="V193" i="8"/>
  <c r="Y193" i="8" s="1"/>
  <c r="N224" i="73"/>
  <c r="N167" i="73"/>
  <c r="N110" i="73"/>
  <c r="N53" i="73"/>
  <c r="M47" i="74"/>
  <c r="V192" i="8"/>
  <c r="N52" i="73"/>
  <c r="N223" i="73"/>
  <c r="N166" i="73"/>
  <c r="N109" i="73"/>
  <c r="M46" i="74"/>
  <c r="N222" i="73"/>
  <c r="N165" i="73"/>
  <c r="N108" i="73"/>
  <c r="N51" i="73"/>
  <c r="M45" i="74"/>
  <c r="V190" i="8"/>
  <c r="N50" i="73"/>
  <c r="N221" i="73"/>
  <c r="N164" i="73"/>
  <c r="N107" i="73"/>
  <c r="M44" i="74"/>
  <c r="V189" i="8"/>
  <c r="N220" i="73"/>
  <c r="N163" i="73"/>
  <c r="N106" i="73"/>
  <c r="N49" i="73"/>
  <c r="M43" i="74"/>
  <c r="N48" i="73"/>
  <c r="N219" i="73"/>
  <c r="N162" i="73"/>
  <c r="N105" i="73"/>
  <c r="M42" i="74"/>
  <c r="N218" i="73"/>
  <c r="N161" i="73"/>
  <c r="N104" i="73"/>
  <c r="N47" i="73"/>
  <c r="M41" i="74"/>
  <c r="N46" i="73"/>
  <c r="N217" i="73"/>
  <c r="N160" i="73"/>
  <c r="N103" i="73"/>
  <c r="M40" i="74"/>
  <c r="N216" i="73"/>
  <c r="N159" i="73"/>
  <c r="N102" i="73"/>
  <c r="N45" i="73"/>
  <c r="M39" i="74"/>
  <c r="N44" i="73"/>
  <c r="N215" i="73"/>
  <c r="N158" i="73"/>
  <c r="N101" i="73"/>
  <c r="M38" i="74"/>
  <c r="N214" i="73"/>
  <c r="N157" i="73"/>
  <c r="N100" i="73"/>
  <c r="N43" i="73"/>
  <c r="M37" i="74"/>
  <c r="N42" i="73"/>
  <c r="N213" i="73"/>
  <c r="N156" i="73"/>
  <c r="N99" i="73"/>
  <c r="M36" i="74"/>
  <c r="N212" i="73"/>
  <c r="N155" i="73"/>
  <c r="N98" i="73"/>
  <c r="N41" i="73"/>
  <c r="M35" i="74"/>
  <c r="N40" i="73"/>
  <c r="N211" i="73"/>
  <c r="N154" i="73"/>
  <c r="N97" i="73"/>
  <c r="M34" i="74"/>
  <c r="N210" i="73"/>
  <c r="N153" i="73"/>
  <c r="N96" i="73"/>
  <c r="N39" i="73"/>
  <c r="M33" i="74"/>
  <c r="N38" i="73"/>
  <c r="N209" i="73"/>
  <c r="N152" i="73"/>
  <c r="N95" i="73"/>
  <c r="M32" i="74"/>
  <c r="N208" i="73"/>
  <c r="N151" i="73"/>
  <c r="N94" i="73"/>
  <c r="N37" i="73"/>
  <c r="M31" i="74"/>
  <c r="N36" i="73"/>
  <c r="N207" i="73"/>
  <c r="N150" i="73"/>
  <c r="N93" i="73"/>
  <c r="M30" i="74"/>
  <c r="N206" i="73"/>
  <c r="N149" i="73"/>
  <c r="N92" i="73"/>
  <c r="N35" i="73"/>
  <c r="M29" i="74"/>
  <c r="N34" i="73"/>
  <c r="N205" i="73"/>
  <c r="N148" i="73"/>
  <c r="N91" i="73"/>
  <c r="M28" i="74"/>
  <c r="N204" i="73"/>
  <c r="N147" i="73"/>
  <c r="N90" i="73"/>
  <c r="N33" i="73"/>
  <c r="M27" i="74"/>
  <c r="N32" i="73"/>
  <c r="N203" i="73"/>
  <c r="N146" i="73"/>
  <c r="N89" i="73"/>
  <c r="M26" i="74"/>
  <c r="N202" i="73"/>
  <c r="N145" i="73"/>
  <c r="N88" i="73"/>
  <c r="N31" i="73"/>
  <c r="M25" i="74"/>
  <c r="N30" i="73"/>
  <c r="N201" i="73"/>
  <c r="N144" i="73"/>
  <c r="N87" i="73"/>
  <c r="M24" i="74"/>
  <c r="N200" i="73"/>
  <c r="N143" i="73"/>
  <c r="N86" i="73"/>
  <c r="N29" i="73"/>
  <c r="M23" i="74"/>
  <c r="N28" i="73"/>
  <c r="N199" i="73"/>
  <c r="N142" i="73"/>
  <c r="N85" i="73"/>
  <c r="M22" i="74"/>
  <c r="N198" i="73"/>
  <c r="N141" i="73"/>
  <c r="N84" i="73"/>
  <c r="N27" i="73"/>
  <c r="M21" i="74"/>
  <c r="N26" i="73"/>
  <c r="N197" i="73"/>
  <c r="N140" i="73"/>
  <c r="N83" i="73"/>
  <c r="M20" i="74"/>
  <c r="N196" i="73"/>
  <c r="N139" i="73"/>
  <c r="N82" i="73"/>
  <c r="N25" i="73"/>
  <c r="M19" i="74"/>
  <c r="N24" i="73"/>
  <c r="N195" i="73"/>
  <c r="N138" i="73"/>
  <c r="N81" i="73"/>
  <c r="M18" i="74"/>
  <c r="N194" i="73"/>
  <c r="N137" i="73"/>
  <c r="N80" i="73"/>
  <c r="N23" i="73"/>
  <c r="M17" i="74"/>
  <c r="N22" i="73"/>
  <c r="N193" i="73"/>
  <c r="N136" i="73"/>
  <c r="N79" i="73"/>
  <c r="M16" i="74"/>
  <c r="N192" i="73"/>
  <c r="N135" i="73"/>
  <c r="N78" i="73"/>
  <c r="N21" i="73"/>
  <c r="M15" i="74"/>
  <c r="N20" i="73"/>
  <c r="N191" i="73"/>
  <c r="N134" i="73"/>
  <c r="N77" i="73"/>
  <c r="M14" i="74"/>
  <c r="N190" i="73"/>
  <c r="N133" i="73"/>
  <c r="N76" i="73"/>
  <c r="N19" i="73"/>
  <c r="M13" i="74"/>
  <c r="AV190" i="73"/>
  <c r="BV190" i="73"/>
  <c r="AS76" i="73"/>
  <c r="AE76" i="73"/>
  <c r="AQ76" i="73" s="1"/>
  <c r="M76" i="73"/>
  <c r="BV224" i="73"/>
  <c r="AV224" i="73"/>
  <c r="BF224" i="73" s="1"/>
  <c r="AS110" i="73"/>
  <c r="M110" i="73"/>
  <c r="AE110" i="73"/>
  <c r="AQ110" i="73" s="1"/>
  <c r="AV223" i="73"/>
  <c r="BV223" i="73"/>
  <c r="AE109" i="73"/>
  <c r="AQ109" i="73" s="1"/>
  <c r="AS109" i="73"/>
  <c r="M109" i="73"/>
  <c r="AV222" i="73"/>
  <c r="BF222" i="73" s="1"/>
  <c r="BV222" i="73"/>
  <c r="AE108" i="73"/>
  <c r="AQ108" i="73" s="1"/>
  <c r="M108" i="73"/>
  <c r="AS108" i="73"/>
  <c r="BV221" i="73"/>
  <c r="AV221" i="73"/>
  <c r="BF221" i="73" s="1"/>
  <c r="AS107" i="73"/>
  <c r="M107" i="73"/>
  <c r="AE107" i="73"/>
  <c r="AQ107" i="73" s="1"/>
  <c r="BV220" i="73"/>
  <c r="AV220" i="73"/>
  <c r="AE106" i="73"/>
  <c r="AQ106" i="73" s="1"/>
  <c r="AS106" i="73"/>
  <c r="M106" i="73"/>
  <c r="AV219" i="73"/>
  <c r="BF219" i="73" s="1"/>
  <c r="BV219" i="73"/>
  <c r="AE105" i="73"/>
  <c r="AQ105" i="73" s="1"/>
  <c r="AS105" i="73"/>
  <c r="M105" i="73"/>
  <c r="AV218" i="73"/>
  <c r="BF218" i="73" s="1"/>
  <c r="BV218" i="73"/>
  <c r="AE104" i="73"/>
  <c r="AQ104" i="73" s="1"/>
  <c r="AS104" i="73"/>
  <c r="M104" i="73"/>
  <c r="BV217" i="73"/>
  <c r="AV217" i="73"/>
  <c r="AE103" i="73"/>
  <c r="AS103" i="73"/>
  <c r="M103" i="73"/>
  <c r="BV216" i="73"/>
  <c r="AV216" i="73"/>
  <c r="AE102" i="73"/>
  <c r="AQ102" i="73" s="1"/>
  <c r="M102" i="73"/>
  <c r="AS102" i="73"/>
  <c r="AV215" i="73"/>
  <c r="AZ215" i="73" s="1"/>
  <c r="BV215" i="73"/>
  <c r="AE101" i="73"/>
  <c r="AQ101" i="73" s="1"/>
  <c r="AS101" i="73"/>
  <c r="M101" i="73"/>
  <c r="AV214" i="73"/>
  <c r="BV214" i="73"/>
  <c r="AE100" i="73"/>
  <c r="AQ100" i="73" s="1"/>
  <c r="M100" i="73"/>
  <c r="AS100" i="73"/>
  <c r="BV213" i="73"/>
  <c r="AV213" i="73"/>
  <c r="AZ213" i="73" s="1"/>
  <c r="AE99" i="73"/>
  <c r="AQ99" i="73" s="1"/>
  <c r="AS99" i="73"/>
  <c r="M99" i="73"/>
  <c r="AV212" i="73"/>
  <c r="BF212" i="73" s="1"/>
  <c r="BV212" i="73"/>
  <c r="AE98" i="73"/>
  <c r="AQ98" i="73" s="1"/>
  <c r="AS98" i="73"/>
  <c r="M98" i="73"/>
  <c r="AV211" i="73"/>
  <c r="BV211" i="73"/>
  <c r="AE97" i="73"/>
  <c r="AQ97" i="73" s="1"/>
  <c r="M97" i="73"/>
  <c r="AS97" i="73"/>
  <c r="BV210" i="73"/>
  <c r="AV210" i="73"/>
  <c r="BF210" i="73" s="1"/>
  <c r="AE96" i="73"/>
  <c r="AQ96" i="73" s="1"/>
  <c r="AS96" i="73"/>
  <c r="M96" i="73"/>
  <c r="AV209" i="73"/>
  <c r="BF209" i="73" s="1"/>
  <c r="BV209" i="73"/>
  <c r="AE95" i="73"/>
  <c r="AQ95" i="73" s="1"/>
  <c r="AS95" i="73"/>
  <c r="M95" i="73"/>
  <c r="BV208" i="73"/>
  <c r="AV208" i="73"/>
  <c r="BF208" i="73" s="1"/>
  <c r="AS94" i="73"/>
  <c r="AE94" i="73"/>
  <c r="AQ94" i="73" s="1"/>
  <c r="M94" i="73"/>
  <c r="BV207" i="73"/>
  <c r="AV207" i="73"/>
  <c r="BF207" i="73" s="1"/>
  <c r="AE93" i="73"/>
  <c r="AQ93" i="73" s="1"/>
  <c r="AS93" i="73"/>
  <c r="M93" i="73"/>
  <c r="AV206" i="73"/>
  <c r="BF206" i="73" s="1"/>
  <c r="BV206" i="73"/>
  <c r="AS92" i="73"/>
  <c r="AE92" i="73"/>
  <c r="AQ92" i="73" s="1"/>
  <c r="M92" i="73"/>
  <c r="AV205" i="73"/>
  <c r="BV205" i="73"/>
  <c r="AE91" i="73"/>
  <c r="AQ91" i="73" s="1"/>
  <c r="AS91" i="73"/>
  <c r="M91" i="73"/>
  <c r="BV204" i="73"/>
  <c r="AV204" i="73"/>
  <c r="BF204" i="73" s="1"/>
  <c r="AS90" i="73"/>
  <c r="AE90" i="73"/>
  <c r="AQ90" i="73" s="1"/>
  <c r="M90" i="73"/>
  <c r="BV203" i="73"/>
  <c r="AV203" i="73"/>
  <c r="AE89" i="73"/>
  <c r="AQ89" i="73" s="1"/>
  <c r="AS89" i="73"/>
  <c r="M89" i="73"/>
  <c r="AV202" i="73"/>
  <c r="BF202" i="73" s="1"/>
  <c r="BV202" i="73"/>
  <c r="AS88" i="73"/>
  <c r="AE88" i="73"/>
  <c r="AQ88" i="73" s="1"/>
  <c r="M88" i="73"/>
  <c r="AV201" i="73"/>
  <c r="BV201" i="73"/>
  <c r="AE87" i="73"/>
  <c r="AS87" i="73"/>
  <c r="M87" i="73"/>
  <c r="AV200" i="73"/>
  <c r="BV200" i="73"/>
  <c r="AS86" i="73"/>
  <c r="AE86" i="73"/>
  <c r="AQ86" i="73" s="1"/>
  <c r="M86" i="73"/>
  <c r="AV199" i="73"/>
  <c r="BF199" i="73" s="1"/>
  <c r="BV199" i="73"/>
  <c r="AS85" i="73"/>
  <c r="AE85" i="73"/>
  <c r="AQ85" i="73" s="1"/>
  <c r="M85" i="73"/>
  <c r="BV198" i="73"/>
  <c r="AV198" i="73"/>
  <c r="BF198" i="73" s="1"/>
  <c r="AS84" i="73"/>
  <c r="AE84" i="73"/>
  <c r="AQ84" i="73" s="1"/>
  <c r="M84" i="73"/>
  <c r="BV197" i="73"/>
  <c r="AV197" i="73"/>
  <c r="AE83" i="73"/>
  <c r="AQ83" i="73" s="1"/>
  <c r="AS83" i="73"/>
  <c r="M83" i="73"/>
  <c r="AV196" i="73"/>
  <c r="BV196" i="73"/>
  <c r="AS82" i="73"/>
  <c r="AE82" i="73"/>
  <c r="M82" i="73"/>
  <c r="AV195" i="73"/>
  <c r="BF195" i="73" s="1"/>
  <c r="BV195" i="73"/>
  <c r="AE81" i="73"/>
  <c r="AQ81" i="73" s="1"/>
  <c r="M81" i="73"/>
  <c r="AS81" i="73"/>
  <c r="K222" i="73"/>
  <c r="H222" i="73" s="1"/>
  <c r="K108" i="73"/>
  <c r="H108" i="73" s="1"/>
  <c r="K165" i="73"/>
  <c r="H165" i="73" s="1"/>
  <c r="K51" i="73"/>
  <c r="H51" i="73" s="1"/>
  <c r="I222" i="73"/>
  <c r="J222" i="73" s="1"/>
  <c r="L222" i="73" s="1"/>
  <c r="I165" i="73"/>
  <c r="J165" i="73" s="1"/>
  <c r="I108" i="73"/>
  <c r="J108" i="73" s="1"/>
  <c r="I51" i="73"/>
  <c r="J51" i="73" s="1"/>
  <c r="L51" i="73" s="1"/>
  <c r="AS19" i="73"/>
  <c r="AS53" i="73"/>
  <c r="AS52" i="73"/>
  <c r="AS51" i="73"/>
  <c r="AS50" i="73"/>
  <c r="AS49" i="73"/>
  <c r="AS48" i="73"/>
  <c r="AS47" i="73"/>
  <c r="AS46" i="73"/>
  <c r="AS45" i="73"/>
  <c r="AS44" i="73"/>
  <c r="AS43" i="73"/>
  <c r="AS42" i="73"/>
  <c r="AS41" i="73"/>
  <c r="AS40" i="73"/>
  <c r="AS39" i="73"/>
  <c r="AS38" i="73"/>
  <c r="AS37" i="73"/>
  <c r="AS36" i="73"/>
  <c r="AS35" i="73"/>
  <c r="AS34" i="73"/>
  <c r="AS33" i="73"/>
  <c r="AS32" i="73"/>
  <c r="AS31" i="73"/>
  <c r="AS30" i="73"/>
  <c r="AS29" i="73"/>
  <c r="AS28" i="73"/>
  <c r="AS27" i="73"/>
  <c r="AS26" i="73"/>
  <c r="AS25" i="73"/>
  <c r="AS24" i="73"/>
  <c r="K224" i="73"/>
  <c r="H224" i="73" s="1"/>
  <c r="K110" i="73"/>
  <c r="H110" i="73" s="1"/>
  <c r="K167" i="73"/>
  <c r="H167" i="73" s="1"/>
  <c r="K53" i="73"/>
  <c r="H53" i="73" s="1"/>
  <c r="K223" i="73"/>
  <c r="H223" i="73" s="1"/>
  <c r="K166" i="73"/>
  <c r="H166" i="73" s="1"/>
  <c r="K109" i="73"/>
  <c r="H109" i="73" s="1"/>
  <c r="K52" i="73"/>
  <c r="H52" i="73" s="1"/>
  <c r="K221" i="73"/>
  <c r="H221" i="73" s="1"/>
  <c r="K107" i="73"/>
  <c r="H107" i="73" s="1"/>
  <c r="K164" i="73"/>
  <c r="H164" i="73" s="1"/>
  <c r="K50" i="73"/>
  <c r="H50" i="73" s="1"/>
  <c r="K220" i="73"/>
  <c r="H220" i="73" s="1"/>
  <c r="K163" i="73"/>
  <c r="H163" i="73" s="1"/>
  <c r="K106" i="73"/>
  <c r="H106" i="73" s="1"/>
  <c r="K49" i="73"/>
  <c r="H49" i="73" s="1"/>
  <c r="I224" i="73"/>
  <c r="J224" i="73" s="1"/>
  <c r="L224" i="73" s="1"/>
  <c r="I167" i="73"/>
  <c r="J167" i="73" s="1"/>
  <c r="I110" i="73"/>
  <c r="J110" i="73" s="1"/>
  <c r="I53" i="73"/>
  <c r="J53" i="73" s="1"/>
  <c r="L53" i="73" s="1"/>
  <c r="I221" i="73"/>
  <c r="J221" i="73" s="1"/>
  <c r="L221" i="73" s="1"/>
  <c r="I164" i="73"/>
  <c r="J164" i="73" s="1"/>
  <c r="I107" i="73"/>
  <c r="J107" i="73" s="1"/>
  <c r="I50" i="73"/>
  <c r="J50" i="73" s="1"/>
  <c r="L50" i="73" s="1"/>
  <c r="V191" i="8"/>
  <c r="BV188" i="11"/>
  <c r="M74" i="11"/>
  <c r="AS74" i="11"/>
  <c r="BV222" i="11"/>
  <c r="AS108" i="11"/>
  <c r="M108" i="11"/>
  <c r="BV221" i="11"/>
  <c r="M107" i="11"/>
  <c r="AS107" i="11"/>
  <c r="BV220" i="11"/>
  <c r="M106" i="11"/>
  <c r="AS106" i="11"/>
  <c r="BV219" i="11"/>
  <c r="M105" i="11"/>
  <c r="AS105" i="11"/>
  <c r="BV218" i="11"/>
  <c r="M104" i="11"/>
  <c r="AS104" i="11"/>
  <c r="BV217" i="11"/>
  <c r="M103" i="11"/>
  <c r="AS103" i="11"/>
  <c r="BV216" i="11"/>
  <c r="M102" i="11"/>
  <c r="AS102" i="11"/>
  <c r="BV215" i="11"/>
  <c r="M101" i="11"/>
  <c r="AS101" i="11"/>
  <c r="BV214" i="11"/>
  <c r="M100" i="11"/>
  <c r="AS100" i="11"/>
  <c r="BV213" i="11"/>
  <c r="M99" i="11"/>
  <c r="AS99" i="11"/>
  <c r="BV212" i="11"/>
  <c r="M98" i="11"/>
  <c r="AS98" i="11"/>
  <c r="BV211" i="11"/>
  <c r="M97" i="11"/>
  <c r="AS97" i="11"/>
  <c r="BV210" i="11"/>
  <c r="M96" i="11"/>
  <c r="AS96" i="11"/>
  <c r="BV209" i="11"/>
  <c r="M95" i="11"/>
  <c r="AS95" i="11"/>
  <c r="BV208" i="11"/>
  <c r="M94" i="11"/>
  <c r="AS94" i="11"/>
  <c r="BV207" i="11"/>
  <c r="M93" i="11"/>
  <c r="AS93" i="11"/>
  <c r="BV206" i="11"/>
  <c r="M92" i="11"/>
  <c r="AS92" i="11"/>
  <c r="BV205" i="11"/>
  <c r="M91" i="11"/>
  <c r="AS91" i="11"/>
  <c r="BV204" i="11"/>
  <c r="M90" i="11"/>
  <c r="AS90" i="11"/>
  <c r="BV203" i="11"/>
  <c r="AS89" i="11"/>
  <c r="M89" i="11"/>
  <c r="BV202" i="11"/>
  <c r="AS88" i="11"/>
  <c r="M88" i="11"/>
  <c r="BV201" i="11"/>
  <c r="M87" i="11"/>
  <c r="AS87" i="11"/>
  <c r="BV200" i="11"/>
  <c r="M86" i="11"/>
  <c r="AS86" i="11"/>
  <c r="BV199" i="11"/>
  <c r="AS85" i="11"/>
  <c r="M85" i="11"/>
  <c r="BV198" i="11"/>
  <c r="M84" i="11"/>
  <c r="AS84" i="11"/>
  <c r="BV197" i="11"/>
  <c r="M83" i="11"/>
  <c r="AS83" i="11"/>
  <c r="BV196" i="11"/>
  <c r="M82" i="11"/>
  <c r="AS82" i="11"/>
  <c r="BV195" i="11"/>
  <c r="AS81" i="11"/>
  <c r="M81" i="11"/>
  <c r="BV194" i="11"/>
  <c r="M80" i="11"/>
  <c r="AS80" i="11"/>
  <c r="BV193" i="11"/>
  <c r="M79" i="11"/>
  <c r="AS79" i="11"/>
  <c r="K220" i="11"/>
  <c r="H220" i="11" s="1"/>
  <c r="K163" i="11"/>
  <c r="H163" i="11" s="1"/>
  <c r="K106" i="11"/>
  <c r="H106" i="11" s="1"/>
  <c r="K49" i="11"/>
  <c r="H49" i="11" s="1"/>
  <c r="I220" i="11"/>
  <c r="J220" i="11" s="1"/>
  <c r="L220" i="11" s="1"/>
  <c r="I163" i="11"/>
  <c r="J163" i="11" s="1"/>
  <c r="L163" i="11" s="1"/>
  <c r="I106" i="11"/>
  <c r="J106" i="11" s="1"/>
  <c r="I49" i="11"/>
  <c r="J49" i="11" s="1"/>
  <c r="L49" i="11" s="1"/>
  <c r="J102" i="8" a="1"/>
  <c r="K222" i="11"/>
  <c r="H222" i="11" s="1"/>
  <c r="K165" i="11"/>
  <c r="H165" i="11" s="1"/>
  <c r="K108" i="11"/>
  <c r="H108" i="11" s="1"/>
  <c r="K51" i="11"/>
  <c r="H51" i="11" s="1"/>
  <c r="K221" i="11"/>
  <c r="H221" i="11" s="1"/>
  <c r="K164" i="11"/>
  <c r="H164" i="11" s="1"/>
  <c r="K107" i="11"/>
  <c r="H107" i="11" s="1"/>
  <c r="K50" i="11"/>
  <c r="H50" i="11" s="1"/>
  <c r="K162" i="11"/>
  <c r="H162" i="11" s="1"/>
  <c r="K105" i="11"/>
  <c r="H105" i="11" s="1"/>
  <c r="K48" i="11"/>
  <c r="H48" i="11" s="1"/>
  <c r="K219" i="11"/>
  <c r="H219" i="11" s="1"/>
  <c r="K161" i="11"/>
  <c r="H161" i="11" s="1"/>
  <c r="K218" i="11"/>
  <c r="H218" i="11" s="1"/>
  <c r="K104" i="11"/>
  <c r="H104" i="11" s="1"/>
  <c r="K47" i="11"/>
  <c r="H47" i="11" s="1"/>
  <c r="I222" i="11"/>
  <c r="J222" i="11" s="1"/>
  <c r="L222" i="11" s="1"/>
  <c r="I165" i="11"/>
  <c r="J165" i="11" s="1"/>
  <c r="L165" i="11" s="1"/>
  <c r="I108" i="11"/>
  <c r="J108" i="11" s="1"/>
  <c r="L108" i="11" s="1"/>
  <c r="I51" i="11"/>
  <c r="J51" i="11" s="1"/>
  <c r="I162" i="11"/>
  <c r="J162" i="11" s="1"/>
  <c r="L162" i="11" s="1"/>
  <c r="I219" i="11"/>
  <c r="J219" i="11" s="1"/>
  <c r="I105" i="11"/>
  <c r="J105" i="11" s="1"/>
  <c r="I48" i="11"/>
  <c r="J48" i="11" s="1"/>
  <c r="K102" i="8" a="1"/>
  <c r="K102" i="8" s="1"/>
  <c r="I125" i="11" s="1"/>
  <c r="AG97" i="8"/>
  <c r="M130" i="8" s="1"/>
  <c r="AC97" i="8"/>
  <c r="M126" i="8" s="1"/>
  <c r="AA97" i="8"/>
  <c r="M124" i="8" s="1"/>
  <c r="Y97" i="8"/>
  <c r="M122" i="8" s="1"/>
  <c r="W97" i="8"/>
  <c r="M120" i="8" s="1"/>
  <c r="S97" i="8"/>
  <c r="M116" i="8" s="1"/>
  <c r="AN97" i="8"/>
  <c r="M137" i="8" s="1"/>
  <c r="AL97" i="8"/>
  <c r="M135" i="8" s="1"/>
  <c r="AD96" i="8"/>
  <c r="L127" i="8" s="1"/>
  <c r="L178" i="8" s="1"/>
  <c r="K97" i="8"/>
  <c r="M108" i="8" s="1"/>
  <c r="K98" i="8"/>
  <c r="N108" i="8" s="1"/>
  <c r="K96" i="8"/>
  <c r="L108" i="8" s="1"/>
  <c r="L159" i="8" s="1"/>
  <c r="S98" i="8"/>
  <c r="N116" i="8" s="1"/>
  <c r="S96" i="8"/>
  <c r="L116" i="8" s="1"/>
  <c r="L167" i="8" s="1"/>
  <c r="O167" i="8" s="1"/>
  <c r="W96" i="8"/>
  <c r="L120" i="8" s="1"/>
  <c r="L171" i="8" s="1"/>
  <c r="O171" i="8" s="1"/>
  <c r="Y96" i="8"/>
  <c r="L122" i="8" s="1"/>
  <c r="L173" i="8" s="1"/>
  <c r="O173" i="8" s="1"/>
  <c r="AA98" i="8"/>
  <c r="N124" i="8" s="1"/>
  <c r="AA96" i="8"/>
  <c r="L124" i="8" s="1"/>
  <c r="L175" i="8" s="1"/>
  <c r="AC98" i="8"/>
  <c r="N126" i="8" s="1"/>
  <c r="AD97" i="8"/>
  <c r="M127" i="8" s="1"/>
  <c r="AN96" i="8"/>
  <c r="L137" i="8" s="1"/>
  <c r="L188" i="8" s="1"/>
  <c r="O188" i="8" s="1"/>
  <c r="P108" i="8"/>
  <c r="R108" i="8"/>
  <c r="P116" i="8"/>
  <c r="R116" i="8"/>
  <c r="P122" i="8"/>
  <c r="P137" i="8"/>
  <c r="AD98" i="8"/>
  <c r="N127" i="8" s="1"/>
  <c r="L232" i="8" s="1"/>
  <c r="AG98" i="8"/>
  <c r="N130" i="8" s="1"/>
  <c r="L235" i="8" s="1"/>
  <c r="AG96" i="8"/>
  <c r="L130" i="8" s="1"/>
  <c r="L181" i="8" s="1"/>
  <c r="O181" i="8" s="1"/>
  <c r="AC96" i="8"/>
  <c r="L126" i="8" s="1"/>
  <c r="L177" i="8" s="1"/>
  <c r="AL98" i="8"/>
  <c r="N135" i="8" s="1"/>
  <c r="L240" i="8" s="1"/>
  <c r="AL96" i="8"/>
  <c r="L135" i="8" s="1"/>
  <c r="L186" i="8" s="1"/>
  <c r="P120" i="8"/>
  <c r="P124" i="8"/>
  <c r="R124" i="8"/>
  <c r="P135" i="8"/>
  <c r="R135" i="8"/>
  <c r="N340" i="8"/>
  <c r="Q30" i="74" s="1"/>
  <c r="N332" i="8"/>
  <c r="Q22" i="74" s="1"/>
  <c r="N328" i="8"/>
  <c r="Q18" i="74" s="1"/>
  <c r="N327" i="8"/>
  <c r="Q17" i="74" s="1"/>
  <c r="N326" i="8"/>
  <c r="Q16" i="74" s="1"/>
  <c r="N325" i="8"/>
  <c r="Q15" i="74" s="1"/>
  <c r="N356" i="8"/>
  <c r="Q46" i="74" s="1"/>
  <c r="O273" i="8"/>
  <c r="AC138" i="73" s="1"/>
  <c r="AO138" i="73" s="1"/>
  <c r="N357" i="8"/>
  <c r="Q47" i="74" s="1"/>
  <c r="N348" i="8"/>
  <c r="Q38" i="74" s="1"/>
  <c r="N344" i="8"/>
  <c r="Q34" i="74" s="1"/>
  <c r="N342" i="8"/>
  <c r="Q32" i="74" s="1"/>
  <c r="N341" i="8"/>
  <c r="Q31" i="74" s="1"/>
  <c r="O300" i="8"/>
  <c r="AC165" i="73" s="1"/>
  <c r="AO165" i="73" s="1"/>
  <c r="O299" i="8"/>
  <c r="AC164" i="73" s="1"/>
  <c r="AO164" i="73" s="1"/>
  <c r="O298" i="8"/>
  <c r="AC163" i="73" s="1"/>
  <c r="O296" i="8"/>
  <c r="AC161" i="73" s="1"/>
  <c r="AO161" i="73" s="1"/>
  <c r="O294" i="8"/>
  <c r="AC159" i="73" s="1"/>
  <c r="O291" i="8"/>
  <c r="AC156" i="73" s="1"/>
  <c r="O290" i="8"/>
  <c r="AC155" i="73" s="1"/>
  <c r="AO155" i="73" s="1"/>
  <c r="O287" i="8"/>
  <c r="AC152" i="73" s="1"/>
  <c r="AO152" i="73" s="1"/>
  <c r="O286" i="8"/>
  <c r="AC151" i="73" s="1"/>
  <c r="AO151" i="73" s="1"/>
  <c r="O283" i="8"/>
  <c r="AC148" i="73" s="1"/>
  <c r="O282" i="8"/>
  <c r="AC147" i="73" s="1"/>
  <c r="AO147" i="73" s="1"/>
  <c r="O281" i="8"/>
  <c r="AC146" i="73" s="1"/>
  <c r="O280" i="8"/>
  <c r="AC145" i="73" s="1"/>
  <c r="AO145" i="73" s="1"/>
  <c r="N352" i="8"/>
  <c r="Q42" i="74" s="1"/>
  <c r="N350" i="8"/>
  <c r="Q40" i="74" s="1"/>
  <c r="N349" i="8"/>
  <c r="Q39" i="74" s="1"/>
  <c r="N336" i="8"/>
  <c r="Q26" i="74" s="1"/>
  <c r="N334" i="8"/>
  <c r="Q24" i="74" s="1"/>
  <c r="N333" i="8"/>
  <c r="Q23" i="74" s="1"/>
  <c r="O268" i="8"/>
  <c r="AC133" i="73" s="1"/>
  <c r="O277" i="8"/>
  <c r="AC142" i="73" s="1"/>
  <c r="AO142" i="73" s="1"/>
  <c r="O276" i="8"/>
  <c r="AC141" i="73" s="1"/>
  <c r="AO141" i="73" s="1"/>
  <c r="N354" i="8"/>
  <c r="Q44" i="74" s="1"/>
  <c r="N353" i="8"/>
  <c r="Q43" i="74" s="1"/>
  <c r="N346" i="8"/>
  <c r="Q36" i="74" s="1"/>
  <c r="N345" i="8"/>
  <c r="Q35" i="74" s="1"/>
  <c r="N338" i="8"/>
  <c r="Q28" i="74" s="1"/>
  <c r="N337" i="8"/>
  <c r="Q27" i="74" s="1"/>
  <c r="N330" i="8"/>
  <c r="Q20" i="74" s="1"/>
  <c r="N329" i="8"/>
  <c r="Q19" i="74" s="1"/>
  <c r="N323" i="8"/>
  <c r="Q13" i="74" s="1"/>
  <c r="O302" i="8"/>
  <c r="AC167" i="73" s="1"/>
  <c r="AO167" i="73" s="1"/>
  <c r="O301" i="8"/>
  <c r="AC166" i="73" s="1"/>
  <c r="O297" i="8"/>
  <c r="AC162" i="73" s="1"/>
  <c r="AO162" i="73" s="1"/>
  <c r="O293" i="8"/>
  <c r="AC158" i="73" s="1"/>
  <c r="O292" i="8"/>
  <c r="AC157" i="73" s="1"/>
  <c r="O289" i="8"/>
  <c r="AC154" i="73" s="1"/>
  <c r="O288" i="8"/>
  <c r="AC153" i="73" s="1"/>
  <c r="AO153" i="73" s="1"/>
  <c r="O285" i="8"/>
  <c r="AC150" i="73" s="1"/>
  <c r="AO150" i="73" s="1"/>
  <c r="O284" i="8"/>
  <c r="AC149" i="73" s="1"/>
  <c r="AO149" i="73" s="1"/>
  <c r="N355" i="8"/>
  <c r="Q45" i="74" s="1"/>
  <c r="N351" i="8"/>
  <c r="Q41" i="74" s="1"/>
  <c r="N347" i="8"/>
  <c r="Q37" i="74" s="1"/>
  <c r="N343" i="8"/>
  <c r="Q33" i="74" s="1"/>
  <c r="N339" i="8"/>
  <c r="Q29" i="74" s="1"/>
  <c r="N335" i="8"/>
  <c r="Q25" i="74" s="1"/>
  <c r="N331" i="8"/>
  <c r="Q21" i="74" s="1"/>
  <c r="N324" i="8"/>
  <c r="Q14" i="74" s="1"/>
  <c r="O295" i="8"/>
  <c r="AC160" i="73" s="1"/>
  <c r="O279" i="8"/>
  <c r="AC144" i="73" s="1"/>
  <c r="O278" i="8"/>
  <c r="AC143" i="73" s="1"/>
  <c r="O275" i="8"/>
  <c r="AC140" i="73" s="1"/>
  <c r="O274" i="8"/>
  <c r="AC139" i="73" s="1"/>
  <c r="H8" i="45"/>
  <c r="H9" i="45"/>
  <c r="H10" i="45"/>
  <c r="H11" i="45"/>
  <c r="H12" i="45"/>
  <c r="H13" i="45"/>
  <c r="H14" i="45"/>
  <c r="H15" i="45"/>
  <c r="H16" i="45"/>
  <c r="H17" i="45"/>
  <c r="H18" i="45"/>
  <c r="H19" i="45"/>
  <c r="H20" i="45"/>
  <c r="H21" i="45"/>
  <c r="H22" i="45"/>
  <c r="H23" i="45"/>
  <c r="H24" i="45"/>
  <c r="H25" i="45"/>
  <c r="H26" i="45"/>
  <c r="H27" i="45"/>
  <c r="H28" i="45"/>
  <c r="H29" i="45"/>
  <c r="H30" i="45"/>
  <c r="H31" i="45"/>
  <c r="H32" i="45"/>
  <c r="H33" i="45"/>
  <c r="H34" i="45"/>
  <c r="H35" i="45"/>
  <c r="H36" i="45"/>
  <c r="H37" i="45"/>
  <c r="H38" i="45"/>
  <c r="H39" i="45"/>
  <c r="H40" i="45"/>
  <c r="H41" i="45"/>
  <c r="H42" i="45"/>
  <c r="H43" i="45"/>
  <c r="H44" i="45"/>
  <c r="H45" i="45"/>
  <c r="H46" i="45"/>
  <c r="H47" i="45"/>
  <c r="H7" i="45"/>
  <c r="O7" i="45"/>
  <c r="R7" i="45"/>
  <c r="S7" i="45"/>
  <c r="O8" i="45"/>
  <c r="O9" i="45"/>
  <c r="O10" i="45"/>
  <c r="O11" i="45"/>
  <c r="L317" i="8"/>
  <c r="M317" i="8"/>
  <c r="L318" i="8"/>
  <c r="M318" i="8"/>
  <c r="L319" i="8"/>
  <c r="M319" i="8"/>
  <c r="L320" i="8"/>
  <c r="M320" i="8"/>
  <c r="L321" i="8"/>
  <c r="M321" i="8"/>
  <c r="L322" i="8"/>
  <c r="M322" i="8"/>
  <c r="M262" i="8"/>
  <c r="N262" i="8"/>
  <c r="M432" i="8" s="1"/>
  <c r="P262" i="8"/>
  <c r="N432" i="8" s="1"/>
  <c r="Q262" i="8"/>
  <c r="M263" i="8"/>
  <c r="N263" i="8"/>
  <c r="M433" i="8" s="1"/>
  <c r="P263" i="8"/>
  <c r="N433" i="8" s="1"/>
  <c r="Q263" i="8"/>
  <c r="M264" i="8"/>
  <c r="N264" i="8"/>
  <c r="M434" i="8" s="1"/>
  <c r="P264" i="8"/>
  <c r="N434" i="8" s="1"/>
  <c r="Q264" i="8"/>
  <c r="M265" i="8"/>
  <c r="N265" i="8"/>
  <c r="M435" i="8" s="1"/>
  <c r="P265" i="8"/>
  <c r="N435" i="8" s="1"/>
  <c r="Q265" i="8"/>
  <c r="M266" i="8"/>
  <c r="N266" i="8"/>
  <c r="M436" i="8" s="1"/>
  <c r="P266" i="8"/>
  <c r="N436" i="8" s="1"/>
  <c r="Q266" i="8"/>
  <c r="M267" i="8"/>
  <c r="N267" i="8"/>
  <c r="M437" i="8" s="1"/>
  <c r="P267" i="8"/>
  <c r="N437" i="8" s="1"/>
  <c r="Q267" i="8"/>
  <c r="M269" i="8"/>
  <c r="N269" i="8"/>
  <c r="M439" i="8" s="1"/>
  <c r="P269" i="8"/>
  <c r="N439" i="8" s="1"/>
  <c r="Q269" i="8"/>
  <c r="M270" i="8"/>
  <c r="N270" i="8"/>
  <c r="M440" i="8" s="1"/>
  <c r="P270" i="8"/>
  <c r="N440" i="8" s="1"/>
  <c r="Q270" i="8"/>
  <c r="M271" i="8"/>
  <c r="N271" i="8"/>
  <c r="M441" i="8" s="1"/>
  <c r="P271" i="8"/>
  <c r="N441" i="8" s="1"/>
  <c r="Q271" i="8"/>
  <c r="M272" i="8"/>
  <c r="N272" i="8"/>
  <c r="M442" i="8" s="1"/>
  <c r="P272" i="8"/>
  <c r="N442" i="8" s="1"/>
  <c r="Q272" i="8"/>
  <c r="N153" i="8"/>
  <c r="N150" i="46"/>
  <c r="Q150" i="46" s="1"/>
  <c r="M150" i="46"/>
  <c r="P150" i="46" s="1"/>
  <c r="L150" i="46"/>
  <c r="O150" i="46" s="1"/>
  <c r="N149" i="46"/>
  <c r="Q149" i="46" s="1"/>
  <c r="M149" i="46"/>
  <c r="P149" i="46" s="1"/>
  <c r="L149" i="46"/>
  <c r="O149" i="46" s="1"/>
  <c r="N148" i="46"/>
  <c r="Q148" i="46" s="1"/>
  <c r="M148" i="46"/>
  <c r="P148" i="46" s="1"/>
  <c r="L148" i="46"/>
  <c r="O148" i="46" s="1"/>
  <c r="N147" i="46"/>
  <c r="Q147" i="46" s="1"/>
  <c r="M147" i="46"/>
  <c r="P147" i="46" s="1"/>
  <c r="L147" i="46"/>
  <c r="O147" i="46" s="1"/>
  <c r="N146" i="46"/>
  <c r="Q146" i="46" s="1"/>
  <c r="M146" i="46"/>
  <c r="P146" i="46" s="1"/>
  <c r="L146" i="46"/>
  <c r="O146" i="46" s="1"/>
  <c r="N145" i="46"/>
  <c r="Q145" i="46" s="1"/>
  <c r="M145" i="46"/>
  <c r="P145" i="46" s="1"/>
  <c r="L145" i="46"/>
  <c r="O145" i="46" s="1"/>
  <c r="N144" i="46"/>
  <c r="Q144" i="46" s="1"/>
  <c r="M144" i="46"/>
  <c r="P144" i="46" s="1"/>
  <c r="L144" i="46"/>
  <c r="O144" i="46" s="1"/>
  <c r="N143" i="46"/>
  <c r="Q143" i="46" s="1"/>
  <c r="M143" i="46"/>
  <c r="P143" i="46" s="1"/>
  <c r="L143" i="46"/>
  <c r="O143" i="46" s="1"/>
  <c r="N142" i="46"/>
  <c r="Q142" i="46" s="1"/>
  <c r="M142" i="46"/>
  <c r="P142" i="46" s="1"/>
  <c r="L142" i="46"/>
  <c r="O142" i="46" s="1"/>
  <c r="N141" i="46"/>
  <c r="Q141" i="46" s="1"/>
  <c r="M141" i="46"/>
  <c r="P141" i="46" s="1"/>
  <c r="L141" i="46"/>
  <c r="O141" i="46" s="1"/>
  <c r="N140" i="46"/>
  <c r="Q140" i="46" s="1"/>
  <c r="M140" i="46"/>
  <c r="P140" i="46" s="1"/>
  <c r="L140" i="46"/>
  <c r="O140" i="46" s="1"/>
  <c r="N139" i="46"/>
  <c r="Q139" i="46" s="1"/>
  <c r="M139" i="46"/>
  <c r="P139" i="46" s="1"/>
  <c r="L139" i="46"/>
  <c r="O139" i="46" s="1"/>
  <c r="N138" i="46"/>
  <c r="Q138" i="46" s="1"/>
  <c r="M138" i="46"/>
  <c r="P138" i="46" s="1"/>
  <c r="L138" i="46"/>
  <c r="O138" i="46" s="1"/>
  <c r="N137" i="46"/>
  <c r="Q137" i="46" s="1"/>
  <c r="M137" i="46"/>
  <c r="P137" i="46" s="1"/>
  <c r="L137" i="46"/>
  <c r="O137" i="46" s="1"/>
  <c r="N136" i="46"/>
  <c r="Q136" i="46" s="1"/>
  <c r="M136" i="46"/>
  <c r="P136" i="46" s="1"/>
  <c r="L136" i="46"/>
  <c r="O136" i="46" s="1"/>
  <c r="N135" i="46"/>
  <c r="Q135" i="46" s="1"/>
  <c r="M135" i="46"/>
  <c r="P135" i="46" s="1"/>
  <c r="L135" i="46"/>
  <c r="O135" i="46" s="1"/>
  <c r="N134" i="46"/>
  <c r="Q134" i="46" s="1"/>
  <c r="M134" i="46"/>
  <c r="P134" i="46" s="1"/>
  <c r="L134" i="46"/>
  <c r="O134" i="46" s="1"/>
  <c r="N133" i="46"/>
  <c r="Q133" i="46" s="1"/>
  <c r="M133" i="46"/>
  <c r="P133" i="46" s="1"/>
  <c r="L133" i="46"/>
  <c r="O133" i="46" s="1"/>
  <c r="N130" i="46"/>
  <c r="Q130" i="46" s="1"/>
  <c r="M130" i="46"/>
  <c r="P130" i="46" s="1"/>
  <c r="L130" i="46"/>
  <c r="O130" i="46" s="1"/>
  <c r="N129" i="46"/>
  <c r="Q129" i="46" s="1"/>
  <c r="M129" i="46"/>
  <c r="P129" i="46" s="1"/>
  <c r="L129" i="46"/>
  <c r="O129" i="46" s="1"/>
  <c r="N128" i="46"/>
  <c r="Q128" i="46" s="1"/>
  <c r="M128" i="46"/>
  <c r="P128" i="46" s="1"/>
  <c r="L128" i="46"/>
  <c r="O128" i="46" s="1"/>
  <c r="N127" i="46"/>
  <c r="Q127" i="46" s="1"/>
  <c r="M127" i="46"/>
  <c r="P127" i="46" s="1"/>
  <c r="L127" i="46"/>
  <c r="O127" i="46" s="1"/>
  <c r="N125" i="46"/>
  <c r="Q125" i="46" s="1"/>
  <c r="M125" i="46"/>
  <c r="P125" i="46" s="1"/>
  <c r="L125" i="46"/>
  <c r="O125" i="46" s="1"/>
  <c r="N124" i="46"/>
  <c r="Q124" i="46" s="1"/>
  <c r="M124" i="46"/>
  <c r="P124" i="46" s="1"/>
  <c r="L124" i="46"/>
  <c r="O124" i="46" s="1"/>
  <c r="N123" i="46"/>
  <c r="Q123" i="46" s="1"/>
  <c r="M123" i="46"/>
  <c r="P123" i="46" s="1"/>
  <c r="L123" i="46"/>
  <c r="O123" i="46" s="1"/>
  <c r="N122" i="46"/>
  <c r="Q122" i="46" s="1"/>
  <c r="M122" i="46"/>
  <c r="P122" i="46" s="1"/>
  <c r="L122" i="46"/>
  <c r="O122" i="46" s="1"/>
  <c r="N121" i="46"/>
  <c r="Q121" i="46" s="1"/>
  <c r="M121" i="46"/>
  <c r="P121" i="46" s="1"/>
  <c r="L121" i="46"/>
  <c r="O121" i="46" s="1"/>
  <c r="N120" i="46"/>
  <c r="Q120" i="46" s="1"/>
  <c r="M120" i="46"/>
  <c r="P120" i="46" s="1"/>
  <c r="L120" i="46"/>
  <c r="O120" i="46" s="1"/>
  <c r="N119" i="46"/>
  <c r="Q119" i="46" s="1"/>
  <c r="M119" i="46"/>
  <c r="P119" i="46" s="1"/>
  <c r="L119" i="46"/>
  <c r="O119" i="46" s="1"/>
  <c r="N118" i="46"/>
  <c r="Q118" i="46" s="1"/>
  <c r="M118" i="46"/>
  <c r="P118" i="46" s="1"/>
  <c r="L118" i="46"/>
  <c r="O118" i="46" s="1"/>
  <c r="N117" i="46"/>
  <c r="Q117" i="46" s="1"/>
  <c r="M117" i="46"/>
  <c r="P117" i="46" s="1"/>
  <c r="L117" i="46"/>
  <c r="O117" i="46" s="1"/>
  <c r="N116" i="46"/>
  <c r="Q116" i="46" s="1"/>
  <c r="M116" i="46"/>
  <c r="P116" i="46" s="1"/>
  <c r="L116" i="46"/>
  <c r="O116" i="46" s="1"/>
  <c r="N115" i="46"/>
  <c r="Q115" i="46" s="1"/>
  <c r="M115" i="46"/>
  <c r="P115" i="46" s="1"/>
  <c r="L115" i="46"/>
  <c r="O115" i="46" s="1"/>
  <c r="N114" i="46"/>
  <c r="Q114" i="46" s="1"/>
  <c r="M114" i="46"/>
  <c r="P114" i="46" s="1"/>
  <c r="L114" i="46"/>
  <c r="O114" i="46" s="1"/>
  <c r="N113" i="46"/>
  <c r="Q113" i="46" s="1"/>
  <c r="M113" i="46"/>
  <c r="P113" i="46" s="1"/>
  <c r="L113" i="46"/>
  <c r="O113" i="46" s="1"/>
  <c r="N112" i="46"/>
  <c r="Q112" i="46" s="1"/>
  <c r="M112" i="46"/>
  <c r="P112" i="46" s="1"/>
  <c r="L112" i="46"/>
  <c r="O112" i="46" s="1"/>
  <c r="N111" i="46"/>
  <c r="Q111" i="46" s="1"/>
  <c r="M111" i="46"/>
  <c r="P111" i="46" s="1"/>
  <c r="L111" i="46"/>
  <c r="O111" i="46" s="1"/>
  <c r="N110" i="46"/>
  <c r="Q110" i="46" s="1"/>
  <c r="M110" i="46"/>
  <c r="P110" i="46" s="1"/>
  <c r="L110" i="46"/>
  <c r="O110" i="46" s="1"/>
  <c r="N109" i="46"/>
  <c r="Q109" i="46" s="1"/>
  <c r="M109" i="46"/>
  <c r="P109" i="46" s="1"/>
  <c r="L109" i="46"/>
  <c r="O109" i="46" s="1"/>
  <c r="N108" i="46"/>
  <c r="Q108" i="46" s="1"/>
  <c r="M108" i="46"/>
  <c r="P108" i="46" s="1"/>
  <c r="L108" i="46"/>
  <c r="O108" i="46" s="1"/>
  <c r="N107" i="46"/>
  <c r="Q107" i="46" s="1"/>
  <c r="M107" i="46"/>
  <c r="P107" i="46" s="1"/>
  <c r="L107" i="46"/>
  <c r="O107" i="46" s="1"/>
  <c r="N106" i="46"/>
  <c r="Q106" i="46" s="1"/>
  <c r="M106" i="46"/>
  <c r="P106" i="46" s="1"/>
  <c r="L106" i="46"/>
  <c r="O106" i="46" s="1"/>
  <c r="N104" i="46"/>
  <c r="Q104" i="46" s="1"/>
  <c r="M104" i="46"/>
  <c r="P104" i="46" s="1"/>
  <c r="L104" i="46"/>
  <c r="O104" i="46" s="1"/>
  <c r="N103" i="46"/>
  <c r="Q103" i="46" s="1"/>
  <c r="M103" i="46"/>
  <c r="P103" i="46" s="1"/>
  <c r="L103" i="46"/>
  <c r="O103" i="46" s="1"/>
  <c r="N102" i="46"/>
  <c r="Q102" i="46" s="1"/>
  <c r="M102" i="46"/>
  <c r="P102" i="46" s="1"/>
  <c r="L102" i="46"/>
  <c r="L56" i="74" s="1"/>
  <c r="N101" i="46"/>
  <c r="Q101" i="46" s="1"/>
  <c r="M101" i="46"/>
  <c r="P101" i="46" s="1"/>
  <c r="L101" i="46"/>
  <c r="O101" i="46" s="1"/>
  <c r="N100" i="46"/>
  <c r="Q100" i="46" s="1"/>
  <c r="M100" i="46"/>
  <c r="P100" i="46" s="1"/>
  <c r="L100" i="46"/>
  <c r="L53" i="74" s="1"/>
  <c r="N99" i="46"/>
  <c r="Q99" i="46" s="1"/>
  <c r="M99" i="46"/>
  <c r="P99" i="46" s="1"/>
  <c r="L99" i="46"/>
  <c r="O99" i="46" s="1"/>
  <c r="N98" i="46"/>
  <c r="Q98" i="46" s="1"/>
  <c r="M98" i="46"/>
  <c r="P98" i="46" s="1"/>
  <c r="L98" i="46"/>
  <c r="L52" i="74" s="1"/>
  <c r="N97" i="46"/>
  <c r="Q97" i="46" s="1"/>
  <c r="M97" i="46"/>
  <c r="P97" i="46" s="1"/>
  <c r="L97" i="46"/>
  <c r="L54" i="74" s="1"/>
  <c r="N96" i="46"/>
  <c r="Q96" i="46" s="1"/>
  <c r="M96" i="46"/>
  <c r="P96" i="46" s="1"/>
  <c r="L96" i="46"/>
  <c r="O96" i="46" s="1"/>
  <c r="N95" i="46"/>
  <c r="Q95" i="46" s="1"/>
  <c r="M95" i="46"/>
  <c r="P95" i="46" s="1"/>
  <c r="L95" i="46"/>
  <c r="L55" i="74" s="1"/>
  <c r="N94" i="46"/>
  <c r="Q94" i="46" s="1"/>
  <c r="M94" i="46"/>
  <c r="P94" i="46" s="1"/>
  <c r="L94" i="46"/>
  <c r="O94" i="46" s="1"/>
  <c r="N93" i="46"/>
  <c r="Q93" i="46" s="1"/>
  <c r="M93" i="46"/>
  <c r="P93" i="46" s="1"/>
  <c r="L93" i="46"/>
  <c r="L51" i="74" s="1"/>
  <c r="N92" i="46"/>
  <c r="Q92" i="46" s="1"/>
  <c r="M92" i="46"/>
  <c r="P92" i="46" s="1"/>
  <c r="L92" i="46"/>
  <c r="L50" i="74" s="1"/>
  <c r="N91" i="46"/>
  <c r="Q91" i="46" s="1"/>
  <c r="M91" i="46"/>
  <c r="P91" i="46" s="1"/>
  <c r="L91" i="46"/>
  <c r="L49" i="74" s="1"/>
  <c r="N90" i="46"/>
  <c r="Q90" i="46" s="1"/>
  <c r="M90" i="46"/>
  <c r="P90" i="46" s="1"/>
  <c r="L90" i="46"/>
  <c r="O90" i="46" s="1"/>
  <c r="K69" i="46"/>
  <c r="M69" i="46" s="1"/>
  <c r="N64" i="46"/>
  <c r="Q64" i="46" s="1"/>
  <c r="M64" i="46"/>
  <c r="P64" i="46" s="1"/>
  <c r="L64" i="46"/>
  <c r="O64" i="46" s="1"/>
  <c r="N63" i="46"/>
  <c r="Q63" i="46" s="1"/>
  <c r="M63" i="46"/>
  <c r="P63" i="46" s="1"/>
  <c r="L63" i="46"/>
  <c r="O63" i="46" s="1"/>
  <c r="N62" i="46"/>
  <c r="Q62" i="46" s="1"/>
  <c r="M62" i="46"/>
  <c r="P62" i="46" s="1"/>
  <c r="L62" i="46"/>
  <c r="O62" i="46" s="1"/>
  <c r="N61" i="46"/>
  <c r="Q61" i="46" s="1"/>
  <c r="M61" i="46"/>
  <c r="P61" i="46" s="1"/>
  <c r="L61" i="46"/>
  <c r="O61" i="46" s="1"/>
  <c r="N60" i="46"/>
  <c r="Q60" i="46" s="1"/>
  <c r="M60" i="46"/>
  <c r="P60" i="46" s="1"/>
  <c r="L60" i="46"/>
  <c r="O60" i="46" s="1"/>
  <c r="N59" i="46"/>
  <c r="Q59" i="46" s="1"/>
  <c r="M59" i="46"/>
  <c r="P59" i="46" s="1"/>
  <c r="L59" i="46"/>
  <c r="O59" i="46" s="1"/>
  <c r="N58" i="46"/>
  <c r="Q58" i="46" s="1"/>
  <c r="M58" i="46"/>
  <c r="P58" i="46" s="1"/>
  <c r="L58" i="46"/>
  <c r="O58" i="46" s="1"/>
  <c r="N57" i="46"/>
  <c r="Q57" i="46" s="1"/>
  <c r="M57" i="46"/>
  <c r="P57" i="46" s="1"/>
  <c r="L57" i="46"/>
  <c r="O57" i="46" s="1"/>
  <c r="N56" i="46"/>
  <c r="Q56" i="46" s="1"/>
  <c r="M56" i="46"/>
  <c r="P56" i="46" s="1"/>
  <c r="L56" i="46"/>
  <c r="O56" i="46" s="1"/>
  <c r="N54" i="46"/>
  <c r="Q54" i="46" s="1"/>
  <c r="M54" i="46"/>
  <c r="P54" i="46" s="1"/>
  <c r="L54" i="46"/>
  <c r="O54" i="46" s="1"/>
  <c r="N53" i="46"/>
  <c r="Q53" i="46" s="1"/>
  <c r="M53" i="46"/>
  <c r="P53" i="46" s="1"/>
  <c r="L53" i="46"/>
  <c r="O53" i="46" s="1"/>
  <c r="N52" i="46"/>
  <c r="Q52" i="46" s="1"/>
  <c r="M52" i="46"/>
  <c r="P52" i="46" s="1"/>
  <c r="L52" i="46"/>
  <c r="O52" i="46" s="1"/>
  <c r="N51" i="46"/>
  <c r="Q51" i="46" s="1"/>
  <c r="M51" i="46"/>
  <c r="P51" i="46" s="1"/>
  <c r="L51" i="46"/>
  <c r="O51" i="46" s="1"/>
  <c r="N50" i="46"/>
  <c r="Q50" i="46" s="1"/>
  <c r="M50" i="46"/>
  <c r="P50" i="46" s="1"/>
  <c r="L50" i="46"/>
  <c r="O50" i="46" s="1"/>
  <c r="N49" i="46"/>
  <c r="Q49" i="46" s="1"/>
  <c r="M49" i="46"/>
  <c r="P49" i="46" s="1"/>
  <c r="L49" i="46"/>
  <c r="O49" i="46" s="1"/>
  <c r="N48" i="46"/>
  <c r="Q48" i="46" s="1"/>
  <c r="M48" i="46"/>
  <c r="P48" i="46" s="1"/>
  <c r="L48" i="46"/>
  <c r="O48" i="46" s="1"/>
  <c r="N46" i="46"/>
  <c r="Q46" i="46" s="1"/>
  <c r="M46" i="46"/>
  <c r="P46" i="46" s="1"/>
  <c r="L46" i="46"/>
  <c r="O46" i="46" s="1"/>
  <c r="N45" i="46"/>
  <c r="Q45" i="46" s="1"/>
  <c r="M45" i="46"/>
  <c r="P45" i="46" s="1"/>
  <c r="L45" i="46"/>
  <c r="O45" i="46" s="1"/>
  <c r="N44" i="46"/>
  <c r="Q44" i="46" s="1"/>
  <c r="M44" i="46"/>
  <c r="P44" i="46" s="1"/>
  <c r="L44" i="46"/>
  <c r="O44" i="46" s="1"/>
  <c r="N43" i="46"/>
  <c r="Q43" i="46" s="1"/>
  <c r="M43" i="46"/>
  <c r="P43" i="46" s="1"/>
  <c r="L43" i="46"/>
  <c r="O43" i="46" s="1"/>
  <c r="N42" i="46"/>
  <c r="Q42" i="46" s="1"/>
  <c r="M42" i="46"/>
  <c r="P42" i="46" s="1"/>
  <c r="L42" i="46"/>
  <c r="O42" i="46" s="1"/>
  <c r="N40" i="46"/>
  <c r="Q40" i="46" s="1"/>
  <c r="M40" i="46"/>
  <c r="P40" i="46" s="1"/>
  <c r="L40" i="46"/>
  <c r="O40" i="46" s="1"/>
  <c r="N39" i="46"/>
  <c r="Q39" i="46" s="1"/>
  <c r="M39" i="46"/>
  <c r="P39" i="46" s="1"/>
  <c r="L39" i="46"/>
  <c r="O39" i="46" s="1"/>
  <c r="N38" i="46"/>
  <c r="Q38" i="46" s="1"/>
  <c r="M38" i="46"/>
  <c r="P38" i="46" s="1"/>
  <c r="L38" i="46"/>
  <c r="O38" i="46" s="1"/>
  <c r="N37" i="46"/>
  <c r="Q37" i="46" s="1"/>
  <c r="M37" i="46"/>
  <c r="P37" i="46" s="1"/>
  <c r="L37" i="46"/>
  <c r="O37" i="46" s="1"/>
  <c r="N36" i="46"/>
  <c r="Q36" i="46" s="1"/>
  <c r="M36" i="46"/>
  <c r="P36" i="46" s="1"/>
  <c r="L36" i="46"/>
  <c r="O36" i="46" s="1"/>
  <c r="N35" i="46"/>
  <c r="Q35" i="46" s="1"/>
  <c r="M35" i="46"/>
  <c r="P35" i="46" s="1"/>
  <c r="L35" i="46"/>
  <c r="O35" i="46" s="1"/>
  <c r="N34" i="46"/>
  <c r="Q34" i="46" s="1"/>
  <c r="M34" i="46"/>
  <c r="P34" i="46" s="1"/>
  <c r="L34" i="46"/>
  <c r="O34" i="46" s="1"/>
  <c r="N33" i="46"/>
  <c r="Q33" i="46" s="1"/>
  <c r="M33" i="46"/>
  <c r="P33" i="46" s="1"/>
  <c r="L33" i="46"/>
  <c r="O33" i="46" s="1"/>
  <c r="N31" i="46"/>
  <c r="Q31" i="46" s="1"/>
  <c r="M31" i="46"/>
  <c r="P31" i="46" s="1"/>
  <c r="L31" i="46"/>
  <c r="O31" i="46" s="1"/>
  <c r="N30" i="46"/>
  <c r="Q30" i="46" s="1"/>
  <c r="M30" i="46"/>
  <c r="P30" i="46" s="1"/>
  <c r="L30" i="46"/>
  <c r="O30" i="46" s="1"/>
  <c r="N29" i="46"/>
  <c r="Q29" i="46" s="1"/>
  <c r="M29" i="46"/>
  <c r="P29" i="46" s="1"/>
  <c r="L29" i="46"/>
  <c r="O29" i="46" s="1"/>
  <c r="N28" i="46"/>
  <c r="Q28" i="46" s="1"/>
  <c r="M28" i="46"/>
  <c r="P28" i="46" s="1"/>
  <c r="L28" i="46"/>
  <c r="O28" i="46" s="1"/>
  <c r="N27" i="46"/>
  <c r="Q27" i="46" s="1"/>
  <c r="M27" i="46"/>
  <c r="P27" i="46" s="1"/>
  <c r="L27" i="46"/>
  <c r="O27" i="46" s="1"/>
  <c r="AI182" i="11"/>
  <c r="AI183" i="11"/>
  <c r="AI184" i="11"/>
  <c r="AI185" i="11"/>
  <c r="AI186" i="11"/>
  <c r="AI187" i="11"/>
  <c r="L229" i="8" l="1"/>
  <c r="L10" i="45"/>
  <c r="L10" i="74"/>
  <c r="L16" i="45"/>
  <c r="L16" i="74"/>
  <c r="L12" i="45"/>
  <c r="L12" i="74"/>
  <c r="L19" i="74"/>
  <c r="L19" i="45"/>
  <c r="L20" i="45"/>
  <c r="L20" i="74"/>
  <c r="L33" i="74"/>
  <c r="L33" i="45"/>
  <c r="L38" i="74"/>
  <c r="L38" i="45"/>
  <c r="L23" i="74"/>
  <c r="L23" i="45"/>
  <c r="L28" i="45"/>
  <c r="L28" i="74"/>
  <c r="L37" i="45"/>
  <c r="L37" i="74"/>
  <c r="L43" i="45"/>
  <c r="L43" i="74"/>
  <c r="L45" i="45"/>
  <c r="L45" i="74"/>
  <c r="L44" i="74"/>
  <c r="L44" i="45"/>
  <c r="L25" i="74"/>
  <c r="L25" i="45"/>
  <c r="L15" i="74"/>
  <c r="L15" i="45"/>
  <c r="L11" i="74"/>
  <c r="L11" i="45"/>
  <c r="L31" i="74"/>
  <c r="L31" i="45"/>
  <c r="L22" i="45"/>
  <c r="L22" i="74"/>
  <c r="L40" i="74"/>
  <c r="L40" i="45"/>
  <c r="L7" i="74"/>
  <c r="L7" i="45"/>
  <c r="L14" i="45"/>
  <c r="L14" i="74"/>
  <c r="L9" i="74"/>
  <c r="L9" i="45"/>
  <c r="L17" i="74"/>
  <c r="L17" i="45"/>
  <c r="L18" i="45"/>
  <c r="L18" i="74"/>
  <c r="L30" i="45"/>
  <c r="L30" i="74"/>
  <c r="L34" i="45"/>
  <c r="L34" i="74"/>
  <c r="L26" i="45"/>
  <c r="L26" i="74"/>
  <c r="L24" i="45"/>
  <c r="L24" i="74"/>
  <c r="L36" i="74"/>
  <c r="L36" i="45"/>
  <c r="L39" i="45"/>
  <c r="L39" i="74"/>
  <c r="L46" i="74"/>
  <c r="L46" i="45"/>
  <c r="L42" i="74"/>
  <c r="L42" i="45"/>
  <c r="L47" i="45"/>
  <c r="L47" i="74"/>
  <c r="L8" i="45"/>
  <c r="L8" i="74"/>
  <c r="L13" i="74"/>
  <c r="L13" i="45"/>
  <c r="L29" i="74"/>
  <c r="L29" i="45"/>
  <c r="L231" i="8"/>
  <c r="L56" i="45"/>
  <c r="L54" i="45"/>
  <c r="L52" i="45"/>
  <c r="L50" i="45"/>
  <c r="L55" i="45"/>
  <c r="L53" i="45"/>
  <c r="L51" i="45"/>
  <c r="L49" i="45"/>
  <c r="L221" i="8"/>
  <c r="N221" i="8" s="1"/>
  <c r="L213" i="8"/>
  <c r="L219" i="11"/>
  <c r="P9" i="45"/>
  <c r="P7" i="45"/>
  <c r="P10" i="45"/>
  <c r="E516" i="8"/>
  <c r="F507" i="8" s="1"/>
  <c r="F500" i="8" s="1"/>
  <c r="P11" i="45"/>
  <c r="P8" i="45"/>
  <c r="L106" i="11"/>
  <c r="L167" i="73"/>
  <c r="M68" i="11"/>
  <c r="K109" i="8"/>
  <c r="I191" i="73" s="1"/>
  <c r="J191" i="73" s="1"/>
  <c r="K115" i="8"/>
  <c r="I140" i="73" s="1"/>
  <c r="J140" i="73" s="1"/>
  <c r="K112" i="8"/>
  <c r="K118" i="8"/>
  <c r="I29" i="73" s="1"/>
  <c r="J29" i="73" s="1"/>
  <c r="AU27" i="73"/>
  <c r="AU84" i="73"/>
  <c r="AX84" i="73" s="1"/>
  <c r="AU141" i="73"/>
  <c r="BX198" i="73"/>
  <c r="AU35" i="73"/>
  <c r="AU92" i="73"/>
  <c r="AX92" i="73" s="1"/>
  <c r="AU149" i="73"/>
  <c r="BX206" i="73"/>
  <c r="AU43" i="73"/>
  <c r="AU100" i="73"/>
  <c r="AU157" i="73"/>
  <c r="BX214" i="73"/>
  <c r="CA214" i="73" s="1"/>
  <c r="AU51" i="73"/>
  <c r="AU108" i="73"/>
  <c r="AX108" i="73" s="1"/>
  <c r="AU165" i="73"/>
  <c r="BX222" i="73"/>
  <c r="AU19" i="73"/>
  <c r="AU76" i="73"/>
  <c r="AX76" i="73" s="1"/>
  <c r="AU133" i="73"/>
  <c r="BX190" i="73"/>
  <c r="AU26" i="73"/>
  <c r="AU83" i="73"/>
  <c r="AU140" i="73"/>
  <c r="BX197" i="73"/>
  <c r="CA197" i="73" s="1"/>
  <c r="AU34" i="73"/>
  <c r="AU91" i="73"/>
  <c r="AX91" i="73" s="1"/>
  <c r="AU148" i="73"/>
  <c r="BX205" i="73"/>
  <c r="AU42" i="73"/>
  <c r="AU99" i="73"/>
  <c r="AX99" i="73" s="1"/>
  <c r="AU156" i="73"/>
  <c r="BX213" i="73"/>
  <c r="AU50" i="73"/>
  <c r="AU107" i="73"/>
  <c r="AU164" i="73"/>
  <c r="BX221" i="73"/>
  <c r="CA221" i="73" s="1"/>
  <c r="AU29" i="73"/>
  <c r="AU86" i="73"/>
  <c r="AU143" i="73"/>
  <c r="BX200" i="73"/>
  <c r="CA200" i="73" s="1"/>
  <c r="AU32" i="73"/>
  <c r="AU89" i="73"/>
  <c r="AU146" i="73"/>
  <c r="BX203" i="73"/>
  <c r="CA203" i="73" s="1"/>
  <c r="AU46" i="73"/>
  <c r="AU103" i="73"/>
  <c r="AX103" i="73" s="1"/>
  <c r="AU160" i="73"/>
  <c r="BX217" i="73"/>
  <c r="AU38" i="73"/>
  <c r="AU95" i="73"/>
  <c r="AX95" i="73" s="1"/>
  <c r="AU152" i="73"/>
  <c r="BX209" i="73"/>
  <c r="AU44" i="73"/>
  <c r="AU101" i="73"/>
  <c r="AX101" i="73" s="1"/>
  <c r="AU158" i="73"/>
  <c r="BX215" i="73"/>
  <c r="AU21" i="73"/>
  <c r="AU78" i="73"/>
  <c r="AU135" i="73"/>
  <c r="BX192" i="73"/>
  <c r="AU23" i="73"/>
  <c r="AU80" i="73"/>
  <c r="AU137" i="73"/>
  <c r="BX194" i="73"/>
  <c r="AU28" i="73"/>
  <c r="AU85" i="73"/>
  <c r="AU142" i="73"/>
  <c r="BX199" i="73"/>
  <c r="CA199" i="73" s="1"/>
  <c r="N235" i="8"/>
  <c r="R235" i="8" s="1"/>
  <c r="K125" i="8"/>
  <c r="I150" i="73" s="1"/>
  <c r="J150" i="73" s="1"/>
  <c r="K128" i="8"/>
  <c r="I210" i="73" s="1"/>
  <c r="J210" i="73" s="1"/>
  <c r="K131" i="8"/>
  <c r="I156" i="73" s="1"/>
  <c r="J156" i="73" s="1"/>
  <c r="K134" i="8"/>
  <c r="I216" i="73" s="1"/>
  <c r="J216" i="73" s="1"/>
  <c r="I68" i="11"/>
  <c r="BW189" i="73"/>
  <c r="AT18" i="73"/>
  <c r="AT75" i="73"/>
  <c r="AT132" i="73"/>
  <c r="AT17" i="73"/>
  <c r="AT74" i="73"/>
  <c r="AT131" i="73"/>
  <c r="BW188" i="73"/>
  <c r="BW187" i="73"/>
  <c r="AT16" i="73"/>
  <c r="AT73" i="73"/>
  <c r="AT130" i="73"/>
  <c r="AT15" i="73"/>
  <c r="AT72" i="73"/>
  <c r="AT129" i="73"/>
  <c r="BW186" i="73"/>
  <c r="BW185" i="73"/>
  <c r="AT14" i="73"/>
  <c r="AT71" i="73"/>
  <c r="AT128" i="73"/>
  <c r="AT13" i="73"/>
  <c r="AT70" i="73"/>
  <c r="AT127" i="73"/>
  <c r="BW184" i="73"/>
  <c r="AU20" i="73"/>
  <c r="AU77" i="73"/>
  <c r="AU134" i="73"/>
  <c r="BX191" i="73"/>
  <c r="AU31" i="73"/>
  <c r="AU88" i="73"/>
  <c r="AX88" i="73" s="1"/>
  <c r="AU145" i="73"/>
  <c r="BX202" i="73"/>
  <c r="AU39" i="73"/>
  <c r="AU96" i="73"/>
  <c r="AU153" i="73"/>
  <c r="BX210" i="73"/>
  <c r="CA210" i="73" s="1"/>
  <c r="AU47" i="73"/>
  <c r="AU104" i="73"/>
  <c r="AX104" i="73" s="1"/>
  <c r="AU161" i="73"/>
  <c r="BX218" i="73"/>
  <c r="AU25" i="73"/>
  <c r="AU82" i="73"/>
  <c r="AX82" i="73" s="1"/>
  <c r="AU139" i="73"/>
  <c r="BX196" i="73"/>
  <c r="AU33" i="73"/>
  <c r="AU90" i="73"/>
  <c r="AX90" i="73" s="1"/>
  <c r="AU147" i="73"/>
  <c r="BX204" i="73"/>
  <c r="AU41" i="73"/>
  <c r="AU98" i="73"/>
  <c r="AU155" i="73"/>
  <c r="BX212" i="73"/>
  <c r="CA212" i="73" s="1"/>
  <c r="AU49" i="73"/>
  <c r="AU106" i="73"/>
  <c r="AX106" i="73" s="1"/>
  <c r="AU163" i="73"/>
  <c r="BX220" i="73"/>
  <c r="AU30" i="73"/>
  <c r="AU87" i="73"/>
  <c r="AX87" i="73" s="1"/>
  <c r="AU144" i="73"/>
  <c r="BX201" i="73"/>
  <c r="AU45" i="73"/>
  <c r="AU102" i="73"/>
  <c r="AX102" i="73" s="1"/>
  <c r="AU159" i="73"/>
  <c r="BX216" i="73"/>
  <c r="AU48" i="73"/>
  <c r="AU105" i="73"/>
  <c r="AU162" i="73"/>
  <c r="BX219" i="73"/>
  <c r="CA219" i="73" s="1"/>
  <c r="AU37" i="73"/>
  <c r="AU94" i="73"/>
  <c r="AX94" i="73" s="1"/>
  <c r="AU151" i="73"/>
  <c r="BX208" i="73"/>
  <c r="AU40" i="73"/>
  <c r="AU97" i="73"/>
  <c r="AX97" i="73" s="1"/>
  <c r="AU154" i="73"/>
  <c r="BX211" i="73"/>
  <c r="AU53" i="73"/>
  <c r="AU110" i="73"/>
  <c r="AU167" i="73"/>
  <c r="BX224" i="73"/>
  <c r="CA224" i="73" s="1"/>
  <c r="AU52" i="73"/>
  <c r="AU109" i="73"/>
  <c r="AU166" i="73"/>
  <c r="BX223" i="73"/>
  <c r="CA223" i="73" s="1"/>
  <c r="AU22" i="73"/>
  <c r="AU79" i="73"/>
  <c r="AU136" i="73"/>
  <c r="BX193" i="73"/>
  <c r="AU24" i="73"/>
  <c r="AU81" i="73"/>
  <c r="AX81" i="73" s="1"/>
  <c r="AU138" i="73"/>
  <c r="BX195" i="73"/>
  <c r="AU36" i="73"/>
  <c r="AU93" i="73"/>
  <c r="AU150" i="73"/>
  <c r="BX207" i="73"/>
  <c r="CA207" i="73" s="1"/>
  <c r="AS21" i="11"/>
  <c r="AE23" i="73"/>
  <c r="AS20" i="11"/>
  <c r="AE22" i="73"/>
  <c r="AS19" i="11"/>
  <c r="AE21" i="73"/>
  <c r="AS18" i="11"/>
  <c r="AE20" i="73"/>
  <c r="AS16" i="11"/>
  <c r="AE18" i="73"/>
  <c r="AS15" i="11"/>
  <c r="AE17" i="73"/>
  <c r="AS14" i="11"/>
  <c r="AE16" i="73"/>
  <c r="AS13" i="11"/>
  <c r="AE15" i="73"/>
  <c r="AS12" i="11"/>
  <c r="AE14" i="73"/>
  <c r="AF143" i="73"/>
  <c r="AH143" i="73" s="1"/>
  <c r="AE143" i="73"/>
  <c r="AG143" i="73" s="1"/>
  <c r="AE160" i="73"/>
  <c r="AG160" i="73" s="1"/>
  <c r="AH160" i="73"/>
  <c r="AF160" i="73"/>
  <c r="AL149" i="73"/>
  <c r="AF149" i="73"/>
  <c r="AM149" i="73"/>
  <c r="AN149" i="73"/>
  <c r="AE149" i="73"/>
  <c r="AG149" i="73" s="1"/>
  <c r="AH149" i="73"/>
  <c r="AJ149" i="73"/>
  <c r="AL153" i="73"/>
  <c r="AE153" i="73"/>
  <c r="AG153" i="73" s="1"/>
  <c r="AJ153" i="73"/>
  <c r="AN153" i="73"/>
  <c r="AM153" i="73"/>
  <c r="AF153" i="73"/>
  <c r="AH153" i="73" s="1"/>
  <c r="AE157" i="73"/>
  <c r="AG157" i="73" s="1"/>
  <c r="AF157" i="73"/>
  <c r="AH157" i="73" s="1"/>
  <c r="AJ162" i="73"/>
  <c r="AN162" i="73"/>
  <c r="AE162" i="73"/>
  <c r="AG162" i="73" s="1"/>
  <c r="AL162" i="73"/>
  <c r="AH162" i="73"/>
  <c r="AM162" i="73"/>
  <c r="AF162" i="73"/>
  <c r="AJ167" i="73"/>
  <c r="AN167" i="73"/>
  <c r="AL167" i="73"/>
  <c r="AE167" i="73"/>
  <c r="AG167" i="73" s="1"/>
  <c r="AH167" i="73"/>
  <c r="AM167" i="73"/>
  <c r="AF167" i="73"/>
  <c r="AL141" i="73"/>
  <c r="AF141" i="73"/>
  <c r="AM141" i="73"/>
  <c r="AN141" i="73"/>
  <c r="AE141" i="73"/>
  <c r="AG141" i="73" s="1"/>
  <c r="AH141" i="73"/>
  <c r="AJ141" i="73"/>
  <c r="AE133" i="73"/>
  <c r="AG133" i="73" s="1"/>
  <c r="AH133" i="73"/>
  <c r="AF133" i="73"/>
  <c r="AE146" i="73"/>
  <c r="AG146" i="73" s="1"/>
  <c r="AH146" i="73"/>
  <c r="AF146" i="73"/>
  <c r="AE148" i="73"/>
  <c r="AG148" i="73" s="1"/>
  <c r="AF148" i="73"/>
  <c r="AH148" i="73" s="1"/>
  <c r="AL152" i="73"/>
  <c r="AE152" i="73"/>
  <c r="AG152" i="73" s="1"/>
  <c r="AJ152" i="73"/>
  <c r="AN152" i="73"/>
  <c r="AH152" i="73"/>
  <c r="AM152" i="73"/>
  <c r="AF152" i="73"/>
  <c r="AE156" i="73"/>
  <c r="AG156" i="73" s="1"/>
  <c r="AF156" i="73"/>
  <c r="AH156" i="73" s="1"/>
  <c r="AE161" i="73"/>
  <c r="AG161" i="73" s="1"/>
  <c r="AL161" i="73"/>
  <c r="AJ161" i="73"/>
  <c r="AN161" i="73"/>
  <c r="AH161" i="73"/>
  <c r="AM161" i="73"/>
  <c r="AF161" i="73"/>
  <c r="AL164" i="73"/>
  <c r="AJ164" i="73"/>
  <c r="AN164" i="73"/>
  <c r="AM164" i="73"/>
  <c r="AF164" i="73"/>
  <c r="AE164" i="73"/>
  <c r="AG164" i="73" s="1"/>
  <c r="AH164" i="73"/>
  <c r="BE202" i="73"/>
  <c r="AZ202" i="73"/>
  <c r="BE206" i="73"/>
  <c r="AZ206" i="73"/>
  <c r="BE207" i="73"/>
  <c r="BE212" i="73"/>
  <c r="AZ212" i="73"/>
  <c r="AZ217" i="73"/>
  <c r="BE218" i="73"/>
  <c r="AZ218" i="73"/>
  <c r="BE221" i="73"/>
  <c r="AZ221" i="73"/>
  <c r="BE222" i="73"/>
  <c r="AG24" i="73"/>
  <c r="AI24" i="73" s="1"/>
  <c r="AN24" i="73"/>
  <c r="AP24" i="73"/>
  <c r="AO24" i="73"/>
  <c r="AH24" i="73"/>
  <c r="AL24" i="73"/>
  <c r="AJ24" i="73"/>
  <c r="AG26" i="73"/>
  <c r="AI26" i="73" s="1"/>
  <c r="AH26" i="73"/>
  <c r="AJ26" i="73" s="1"/>
  <c r="AG27" i="73"/>
  <c r="AI27" i="73" s="1"/>
  <c r="AN27" i="73"/>
  <c r="AP27" i="73"/>
  <c r="AO27" i="73"/>
  <c r="AH27" i="73"/>
  <c r="AL27" i="73"/>
  <c r="AJ27" i="73"/>
  <c r="AG28" i="73"/>
  <c r="AI28" i="73" s="1"/>
  <c r="AN28" i="73"/>
  <c r="AP28" i="73"/>
  <c r="AO28" i="73"/>
  <c r="AH28" i="73"/>
  <c r="AL28" i="73"/>
  <c r="AJ28" i="73"/>
  <c r="AG29" i="73"/>
  <c r="AI29" i="73" s="1"/>
  <c r="AH29" i="73"/>
  <c r="AJ29" i="73" s="1"/>
  <c r="AG30" i="73"/>
  <c r="AI30" i="73" s="1"/>
  <c r="AH30" i="73"/>
  <c r="AJ30" i="73" s="1"/>
  <c r="AG31" i="73"/>
  <c r="AI31" i="73" s="1"/>
  <c r="AN31" i="73"/>
  <c r="AP31" i="73"/>
  <c r="AO31" i="73"/>
  <c r="AH31" i="73"/>
  <c r="AL31" i="73"/>
  <c r="AJ31" i="73"/>
  <c r="AG32" i="73"/>
  <c r="AI32" i="73" s="1"/>
  <c r="AH32" i="73"/>
  <c r="AJ32" i="73"/>
  <c r="AG33" i="73"/>
  <c r="AI33" i="73" s="1"/>
  <c r="AN33" i="73"/>
  <c r="AP33" i="73"/>
  <c r="AO33" i="73"/>
  <c r="AH33" i="73"/>
  <c r="AL33" i="73"/>
  <c r="AJ33" i="73"/>
  <c r="AG34" i="73"/>
  <c r="AI34" i="73" s="1"/>
  <c r="AH34" i="73"/>
  <c r="AJ34" i="73" s="1"/>
  <c r="AG35" i="73"/>
  <c r="AI35" i="73" s="1"/>
  <c r="AN35" i="73"/>
  <c r="AP35" i="73"/>
  <c r="AO35" i="73"/>
  <c r="AH35" i="73"/>
  <c r="AL35" i="73"/>
  <c r="AJ35" i="73"/>
  <c r="AG36" i="73"/>
  <c r="AI36" i="73" s="1"/>
  <c r="AN36" i="73"/>
  <c r="AP36" i="73"/>
  <c r="AH36" i="73"/>
  <c r="AJ36" i="73" s="1"/>
  <c r="AL36" i="73"/>
  <c r="AO36" i="73"/>
  <c r="AG37" i="73"/>
  <c r="AI37" i="73" s="1"/>
  <c r="AN37" i="73"/>
  <c r="AP37" i="73"/>
  <c r="AJ37" i="73"/>
  <c r="AL37" i="73"/>
  <c r="AO37" i="73"/>
  <c r="AH37" i="73"/>
  <c r="AN38" i="73"/>
  <c r="AH38" i="73"/>
  <c r="AO38" i="73"/>
  <c r="AL38" i="73"/>
  <c r="AJ38" i="73"/>
  <c r="AP38" i="73"/>
  <c r="AG38" i="73"/>
  <c r="AI38" i="73" s="1"/>
  <c r="AN39" i="73"/>
  <c r="AO39" i="73"/>
  <c r="AP39" i="73"/>
  <c r="AG39" i="73"/>
  <c r="AI39" i="73" s="1"/>
  <c r="AH39" i="73"/>
  <c r="AJ39" i="73" s="1"/>
  <c r="AL39" i="73"/>
  <c r="AH40" i="73"/>
  <c r="AJ40" i="73" s="1"/>
  <c r="AG40" i="73"/>
  <c r="AI40" i="73" s="1"/>
  <c r="AN41" i="73"/>
  <c r="AJ41" i="73"/>
  <c r="AP41" i="73"/>
  <c r="AG41" i="73"/>
  <c r="AI41" i="73" s="1"/>
  <c r="AH41" i="73"/>
  <c r="AO41" i="73"/>
  <c r="AL41" i="73"/>
  <c r="AH42" i="73"/>
  <c r="AJ42" i="73" s="1"/>
  <c r="AG42" i="73"/>
  <c r="AI42" i="73" s="1"/>
  <c r="AG43" i="73"/>
  <c r="AI43" i="73" s="1"/>
  <c r="AH43" i="73"/>
  <c r="AJ43" i="73" s="1"/>
  <c r="AH44" i="73"/>
  <c r="AJ44" i="73" s="1"/>
  <c r="AG44" i="73"/>
  <c r="AI44" i="73" s="1"/>
  <c r="AH45" i="73"/>
  <c r="AJ45" i="73" s="1"/>
  <c r="AG45" i="73"/>
  <c r="AI45" i="73" s="1"/>
  <c r="AG46" i="73"/>
  <c r="AI46" i="73" s="1"/>
  <c r="AJ46" i="73"/>
  <c r="AH46" i="73"/>
  <c r="AG47" i="73"/>
  <c r="AI47" i="73" s="1"/>
  <c r="AH47" i="73"/>
  <c r="AN47" i="73"/>
  <c r="AJ47" i="73"/>
  <c r="AP47" i="73"/>
  <c r="AL47" i="73"/>
  <c r="AO47" i="73"/>
  <c r="AG48" i="73"/>
  <c r="AI48" i="73" s="1"/>
  <c r="AJ48" i="73"/>
  <c r="AP48" i="73"/>
  <c r="AH48" i="73"/>
  <c r="AN48" i="73"/>
  <c r="AO48" i="73"/>
  <c r="AL48" i="73"/>
  <c r="AG49" i="73"/>
  <c r="AI49" i="73" s="1"/>
  <c r="AH49" i="73"/>
  <c r="AJ49" i="73" s="1"/>
  <c r="AG50" i="73"/>
  <c r="AI50" i="73" s="1"/>
  <c r="AJ50" i="73"/>
  <c r="AP50" i="73"/>
  <c r="AH50" i="73"/>
  <c r="AN50" i="73"/>
  <c r="AL50" i="73"/>
  <c r="AO50" i="73"/>
  <c r="AG51" i="73"/>
  <c r="AI51" i="73" s="1"/>
  <c r="AH51" i="73"/>
  <c r="AJ51" i="73" s="1"/>
  <c r="AP51" i="73"/>
  <c r="AN51" i="73"/>
  <c r="AO51" i="73"/>
  <c r="AL51" i="73"/>
  <c r="AG52" i="73"/>
  <c r="AI52" i="73" s="1"/>
  <c r="AH52" i="73"/>
  <c r="AJ52" i="73" s="1"/>
  <c r="AG53" i="73"/>
  <c r="AI53" i="73" s="1"/>
  <c r="AJ53" i="73"/>
  <c r="AP53" i="73"/>
  <c r="AH53" i="73"/>
  <c r="AN53" i="73"/>
  <c r="AL53" i="73"/>
  <c r="AO53" i="73"/>
  <c r="AG19" i="73"/>
  <c r="AI19" i="73" s="1"/>
  <c r="AH19" i="73"/>
  <c r="AJ19" i="73"/>
  <c r="T7" i="45"/>
  <c r="AE140" i="73"/>
  <c r="AG140" i="73" s="1"/>
  <c r="AF140" i="73"/>
  <c r="AH140" i="73" s="1"/>
  <c r="AE144" i="73"/>
  <c r="AG144" i="73" s="1"/>
  <c r="AF144" i="73"/>
  <c r="AH144" i="73" s="1"/>
  <c r="AE150" i="73"/>
  <c r="AG150" i="73" s="1"/>
  <c r="AL150" i="73"/>
  <c r="AJ150" i="73"/>
  <c r="AN150" i="73"/>
  <c r="AF150" i="73"/>
  <c r="AH150" i="73" s="1"/>
  <c r="AM150" i="73"/>
  <c r="AE154" i="73"/>
  <c r="AG154" i="73" s="1"/>
  <c r="AF154" i="73"/>
  <c r="AH154" i="73"/>
  <c r="AE158" i="73"/>
  <c r="AG158" i="73" s="1"/>
  <c r="AF158" i="73"/>
  <c r="AH158" i="73" s="1"/>
  <c r="AE166" i="73"/>
  <c r="AG166" i="73" s="1"/>
  <c r="AF166" i="73"/>
  <c r="AH166" i="73" s="1"/>
  <c r="AJ142" i="73"/>
  <c r="AN142" i="73"/>
  <c r="AE142" i="73"/>
  <c r="AG142" i="73" s="1"/>
  <c r="AL142" i="73"/>
  <c r="AH142" i="73"/>
  <c r="AF142" i="73"/>
  <c r="AM142" i="73"/>
  <c r="AL145" i="73"/>
  <c r="AF145" i="73"/>
  <c r="AM145" i="73"/>
  <c r="AN145" i="73"/>
  <c r="AE145" i="73"/>
  <c r="AG145" i="73" s="1"/>
  <c r="AH145" i="73"/>
  <c r="AJ145" i="73"/>
  <c r="AL147" i="73"/>
  <c r="AF147" i="73"/>
  <c r="AM147" i="73"/>
  <c r="AJ147" i="73"/>
  <c r="AH147" i="73"/>
  <c r="AN147" i="73"/>
  <c r="AE147" i="73"/>
  <c r="AG147" i="73" s="1"/>
  <c r="AL151" i="73"/>
  <c r="AE151" i="73"/>
  <c r="AG151" i="73" s="1"/>
  <c r="AJ151" i="73"/>
  <c r="AN151" i="73"/>
  <c r="AH151" i="73"/>
  <c r="AM151" i="73"/>
  <c r="AF151" i="73"/>
  <c r="AE155" i="73"/>
  <c r="AG155" i="73" s="1"/>
  <c r="AJ155" i="73"/>
  <c r="AN155" i="73"/>
  <c r="AL155" i="73"/>
  <c r="AM155" i="73"/>
  <c r="AF155" i="73"/>
  <c r="AH155" i="73"/>
  <c r="AE159" i="73"/>
  <c r="AG159" i="73" s="1"/>
  <c r="AF159" i="73"/>
  <c r="AH159" i="73" s="1"/>
  <c r="AE163" i="73"/>
  <c r="AG163" i="73" s="1"/>
  <c r="AF163" i="73"/>
  <c r="AH163" i="73" s="1"/>
  <c r="AL165" i="73"/>
  <c r="AE165" i="73"/>
  <c r="AG165" i="73" s="1"/>
  <c r="AJ165" i="73"/>
  <c r="AN165" i="73"/>
  <c r="AF165" i="73"/>
  <c r="AH165" i="73" s="1"/>
  <c r="AM165" i="73"/>
  <c r="AE138" i="73"/>
  <c r="AG138" i="73" s="1"/>
  <c r="AL138" i="73"/>
  <c r="AJ138" i="73"/>
  <c r="AN138" i="73"/>
  <c r="AH138" i="73"/>
  <c r="AF138" i="73"/>
  <c r="AM138" i="73"/>
  <c r="BE195" i="73"/>
  <c r="AZ195" i="73"/>
  <c r="BE198" i="73"/>
  <c r="AZ198" i="73"/>
  <c r="BE199" i="73"/>
  <c r="AZ199" i="73"/>
  <c r="BE204" i="73"/>
  <c r="AZ204" i="73"/>
  <c r="BE208" i="73"/>
  <c r="AZ208" i="73"/>
  <c r="BE209" i="73"/>
  <c r="AZ209" i="73"/>
  <c r="BE219" i="73"/>
  <c r="AZ219" i="73"/>
  <c r="BE224" i="73"/>
  <c r="AZ224" i="73"/>
  <c r="AH139" i="73"/>
  <c r="AE139" i="73"/>
  <c r="AG139" i="73" s="1"/>
  <c r="AF139" i="73"/>
  <c r="AZ196" i="73"/>
  <c r="AG25" i="73"/>
  <c r="AI25" i="73" s="1"/>
  <c r="AH25" i="73"/>
  <c r="AJ25" i="73" s="1"/>
  <c r="AJ81" i="73"/>
  <c r="AP81" i="73"/>
  <c r="AP83" i="73"/>
  <c r="AJ84" i="73"/>
  <c r="AP84" i="73"/>
  <c r="AP86" i="73"/>
  <c r="AJ88" i="73"/>
  <c r="AP88" i="73"/>
  <c r="AP89" i="73"/>
  <c r="AJ90" i="73"/>
  <c r="AP90" i="73"/>
  <c r="AP91" i="73"/>
  <c r="AJ92" i="73"/>
  <c r="AP92" i="73"/>
  <c r="AP93" i="73"/>
  <c r="AJ94" i="73"/>
  <c r="AP94" i="73"/>
  <c r="AJ95" i="73"/>
  <c r="AP95" i="73"/>
  <c r="AP97" i="73"/>
  <c r="AP99" i="73"/>
  <c r="AP101" i="73"/>
  <c r="AJ103" i="73"/>
  <c r="AJ105" i="73"/>
  <c r="AP105" i="73"/>
  <c r="AJ107" i="73"/>
  <c r="AP107" i="73"/>
  <c r="AP109" i="73"/>
  <c r="AJ85" i="73"/>
  <c r="AP85" i="73"/>
  <c r="AP96" i="73"/>
  <c r="AJ98" i="73"/>
  <c r="AP98" i="73"/>
  <c r="AP100" i="73"/>
  <c r="AP102" i="73"/>
  <c r="AJ104" i="73"/>
  <c r="AP104" i="73"/>
  <c r="AP106" i="73"/>
  <c r="AP108" i="73"/>
  <c r="AJ110" i="73"/>
  <c r="AP110" i="73"/>
  <c r="AP76" i="73"/>
  <c r="L164" i="73"/>
  <c r="O92" i="46"/>
  <c r="O100" i="46"/>
  <c r="O91" i="46"/>
  <c r="O93" i="46"/>
  <c r="O95" i="46"/>
  <c r="O97" i="46"/>
  <c r="K133" i="8"/>
  <c r="I215" i="73" s="1"/>
  <c r="J215" i="73" s="1"/>
  <c r="K117" i="8"/>
  <c r="I140" i="11" s="1"/>
  <c r="J140" i="11" s="1"/>
  <c r="K136" i="8"/>
  <c r="I218" i="73" s="1"/>
  <c r="J218" i="73" s="1"/>
  <c r="K120" i="8"/>
  <c r="I145" i="73" s="1"/>
  <c r="J145" i="73" s="1"/>
  <c r="K104" i="8"/>
  <c r="I186" i="73" s="1"/>
  <c r="J186" i="73" s="1"/>
  <c r="K123" i="8"/>
  <c r="I32" i="11" s="1"/>
  <c r="J32" i="11" s="1"/>
  <c r="K107" i="8"/>
  <c r="I189" i="73" s="1"/>
  <c r="J189" i="73" s="1"/>
  <c r="K126" i="8"/>
  <c r="I151" i="73" s="1"/>
  <c r="J151" i="73" s="1"/>
  <c r="K110" i="8"/>
  <c r="I192" i="73" s="1"/>
  <c r="J192" i="73" s="1"/>
  <c r="I11" i="11"/>
  <c r="J11" i="11" s="1"/>
  <c r="N18" i="73"/>
  <c r="N189" i="73"/>
  <c r="N132" i="73"/>
  <c r="N75" i="73"/>
  <c r="M12" i="74"/>
  <c r="N188" i="73"/>
  <c r="N131" i="73"/>
  <c r="N74" i="73"/>
  <c r="N17" i="73"/>
  <c r="M11" i="74"/>
  <c r="N16" i="73"/>
  <c r="N187" i="73"/>
  <c r="N130" i="73"/>
  <c r="N73" i="73"/>
  <c r="M10" i="74"/>
  <c r="N186" i="73"/>
  <c r="N129" i="73"/>
  <c r="N72" i="73"/>
  <c r="N15" i="73"/>
  <c r="M9" i="74"/>
  <c r="N14" i="73"/>
  <c r="N185" i="73"/>
  <c r="N128" i="73"/>
  <c r="N71" i="73"/>
  <c r="M8" i="74"/>
  <c r="N184" i="73"/>
  <c r="N127" i="73"/>
  <c r="N70" i="73"/>
  <c r="N13" i="73"/>
  <c r="M7" i="74"/>
  <c r="O191" i="73"/>
  <c r="O134" i="73"/>
  <c r="O77" i="73"/>
  <c r="N14" i="74"/>
  <c r="BI14" i="74" s="1"/>
  <c r="O20" i="73"/>
  <c r="O202" i="73"/>
  <c r="O145" i="73"/>
  <c r="O88" i="73"/>
  <c r="O31" i="73"/>
  <c r="N25" i="74"/>
  <c r="AK25" i="74" s="1"/>
  <c r="O210" i="73"/>
  <c r="O153" i="73"/>
  <c r="O96" i="73"/>
  <c r="O39" i="73"/>
  <c r="N33" i="74"/>
  <c r="AC33" i="74" s="1"/>
  <c r="O218" i="73"/>
  <c r="O161" i="73"/>
  <c r="O104" i="73"/>
  <c r="O47" i="73"/>
  <c r="N41" i="74"/>
  <c r="AC41" i="74" s="1"/>
  <c r="O196" i="73"/>
  <c r="O139" i="73"/>
  <c r="O82" i="73"/>
  <c r="O25" i="73"/>
  <c r="N19" i="74"/>
  <c r="AK19" i="74" s="1"/>
  <c r="O204" i="73"/>
  <c r="O147" i="73"/>
  <c r="O90" i="73"/>
  <c r="O33" i="73"/>
  <c r="N27" i="74"/>
  <c r="BA27" i="74" s="1"/>
  <c r="O212" i="73"/>
  <c r="O155" i="73"/>
  <c r="O98" i="73"/>
  <c r="O41" i="73"/>
  <c r="N35" i="74"/>
  <c r="BA35" i="74" s="1"/>
  <c r="O220" i="73"/>
  <c r="O163" i="73"/>
  <c r="O106" i="73"/>
  <c r="O49" i="73"/>
  <c r="N43" i="74"/>
  <c r="AS43" i="74" s="1"/>
  <c r="O201" i="73"/>
  <c r="O144" i="73"/>
  <c r="O87" i="73"/>
  <c r="O30" i="73"/>
  <c r="N24" i="74"/>
  <c r="AK24" i="74" s="1"/>
  <c r="O216" i="73"/>
  <c r="O159" i="73"/>
  <c r="O102" i="73"/>
  <c r="O45" i="73"/>
  <c r="N39" i="74"/>
  <c r="U39" i="74" s="1"/>
  <c r="V39" i="74" s="1"/>
  <c r="O219" i="73"/>
  <c r="O162" i="73"/>
  <c r="O105" i="73"/>
  <c r="N42" i="74"/>
  <c r="U42" i="74" s="1"/>
  <c r="V42" i="74" s="1"/>
  <c r="O48" i="73"/>
  <c r="O208" i="73"/>
  <c r="O151" i="73"/>
  <c r="O94" i="73"/>
  <c r="O37" i="73"/>
  <c r="N31" i="74"/>
  <c r="AC31" i="74" s="1"/>
  <c r="O211" i="73"/>
  <c r="O154" i="73"/>
  <c r="O97" i="73"/>
  <c r="O40" i="73"/>
  <c r="N34" i="74"/>
  <c r="AK34" i="74" s="1"/>
  <c r="O224" i="73"/>
  <c r="O167" i="73"/>
  <c r="O110" i="73"/>
  <c r="O53" i="73"/>
  <c r="N47" i="74"/>
  <c r="U47" i="74" s="1"/>
  <c r="V47" i="74" s="1"/>
  <c r="O223" i="73"/>
  <c r="O166" i="73"/>
  <c r="O109" i="73"/>
  <c r="O52" i="73"/>
  <c r="N46" i="74"/>
  <c r="AK46" i="74" s="1"/>
  <c r="O193" i="73"/>
  <c r="O136" i="73"/>
  <c r="O79" i="73"/>
  <c r="N16" i="74"/>
  <c r="AS16" i="74" s="1"/>
  <c r="O22" i="73"/>
  <c r="O195" i="73"/>
  <c r="O138" i="73"/>
  <c r="O81" i="73"/>
  <c r="N18" i="74"/>
  <c r="BA18" i="74" s="1"/>
  <c r="O24" i="73"/>
  <c r="O207" i="73"/>
  <c r="O150" i="73"/>
  <c r="O93" i="73"/>
  <c r="O36" i="73"/>
  <c r="N30" i="74"/>
  <c r="BA30" i="74" s="1"/>
  <c r="M35" i="45"/>
  <c r="N39" i="11"/>
  <c r="N96" i="11"/>
  <c r="N210" i="11"/>
  <c r="N153" i="11"/>
  <c r="AN85" i="73"/>
  <c r="AO85" i="73"/>
  <c r="AL85" i="73"/>
  <c r="BC202" i="73"/>
  <c r="BD202" i="73"/>
  <c r="BB202" i="73"/>
  <c r="BC206" i="73"/>
  <c r="BD206" i="73"/>
  <c r="BB206" i="73"/>
  <c r="BC207" i="73"/>
  <c r="BD207" i="73"/>
  <c r="BB207" i="73"/>
  <c r="AN96" i="73"/>
  <c r="AO96" i="73"/>
  <c r="AL96" i="73"/>
  <c r="AN98" i="73"/>
  <c r="AO98" i="73"/>
  <c r="AL98" i="73"/>
  <c r="BC212" i="73"/>
  <c r="BD212" i="73"/>
  <c r="BB212" i="73"/>
  <c r="AN100" i="73"/>
  <c r="AO100" i="73"/>
  <c r="AL100" i="73"/>
  <c r="AN102" i="73"/>
  <c r="AO102" i="73"/>
  <c r="AL102" i="73"/>
  <c r="AO104" i="73"/>
  <c r="AL104" i="73"/>
  <c r="AN104" i="73"/>
  <c r="BC218" i="73"/>
  <c r="BD218" i="73"/>
  <c r="BB218" i="73"/>
  <c r="AO106" i="73"/>
  <c r="AL106" i="73"/>
  <c r="AN106" i="73"/>
  <c r="BC221" i="73"/>
  <c r="BD221" i="73"/>
  <c r="BB221" i="73"/>
  <c r="AO108" i="73"/>
  <c r="AL108" i="73"/>
  <c r="AN108" i="73"/>
  <c r="BC222" i="73"/>
  <c r="BD222" i="73"/>
  <c r="BB222" i="73"/>
  <c r="AO110" i="73"/>
  <c r="AL110" i="73"/>
  <c r="AN110" i="73"/>
  <c r="AO76" i="73"/>
  <c r="AL76" i="73"/>
  <c r="AN76" i="73"/>
  <c r="K137" i="8"/>
  <c r="I46" i="11" s="1"/>
  <c r="J46" i="11" s="1"/>
  <c r="K129" i="8"/>
  <c r="I211" i="73" s="1"/>
  <c r="J211" i="73" s="1"/>
  <c r="K121" i="8"/>
  <c r="K113" i="8"/>
  <c r="I195" i="73" s="1"/>
  <c r="J195" i="73" s="1"/>
  <c r="K105" i="8"/>
  <c r="K132" i="8"/>
  <c r="I214" i="73" s="1"/>
  <c r="J214" i="73" s="1"/>
  <c r="K124" i="8"/>
  <c r="I92" i="73" s="1"/>
  <c r="J92" i="73" s="1"/>
  <c r="K116" i="8"/>
  <c r="I198" i="73" s="1"/>
  <c r="J198" i="73" s="1"/>
  <c r="K108" i="8"/>
  <c r="I131" i="11" s="1"/>
  <c r="J131" i="11" s="1"/>
  <c r="K135" i="8"/>
  <c r="I217" i="73" s="1"/>
  <c r="J217" i="73" s="1"/>
  <c r="K127" i="8"/>
  <c r="K119" i="8"/>
  <c r="I201" i="73" s="1"/>
  <c r="J201" i="73" s="1"/>
  <c r="K111" i="8"/>
  <c r="K103" i="8"/>
  <c r="I185" i="73" s="1"/>
  <c r="J185" i="73" s="1"/>
  <c r="K130" i="8"/>
  <c r="I98" i="73" s="1"/>
  <c r="J98" i="73" s="1"/>
  <c r="K122" i="8"/>
  <c r="I204" i="73" s="1"/>
  <c r="J204" i="73" s="1"/>
  <c r="K114" i="8"/>
  <c r="K106" i="8"/>
  <c r="I188" i="73" s="1"/>
  <c r="J188" i="73" s="1"/>
  <c r="I182" i="11"/>
  <c r="Q81" i="73"/>
  <c r="Q82" i="73"/>
  <c r="Q84" i="73"/>
  <c r="AF84" i="73" s="1"/>
  <c r="AM84" i="73" s="1"/>
  <c r="Q86" i="73"/>
  <c r="Q88" i="73"/>
  <c r="Q90" i="73"/>
  <c r="AF90" i="73" s="1"/>
  <c r="AM90" i="73" s="1"/>
  <c r="Q92" i="73"/>
  <c r="AF92" i="73" s="1"/>
  <c r="AM92" i="73" s="1"/>
  <c r="Q94" i="73"/>
  <c r="Q96" i="73"/>
  <c r="Q97" i="73"/>
  <c r="AF97" i="73" s="1"/>
  <c r="AM97" i="73" s="1"/>
  <c r="Q98" i="73"/>
  <c r="AF98" i="73" s="1"/>
  <c r="AM98" i="73" s="1"/>
  <c r="Q104" i="73"/>
  <c r="Q106" i="73"/>
  <c r="Q107" i="73"/>
  <c r="O198" i="73"/>
  <c r="O141" i="73"/>
  <c r="O84" i="73"/>
  <c r="O27" i="73"/>
  <c r="N21" i="74"/>
  <c r="AC21" i="74" s="1"/>
  <c r="O206" i="73"/>
  <c r="O149" i="73"/>
  <c r="O92" i="73"/>
  <c r="O35" i="73"/>
  <c r="N29" i="74"/>
  <c r="BQ29" i="74" s="1"/>
  <c r="O214" i="73"/>
  <c r="O157" i="73"/>
  <c r="O100" i="73"/>
  <c r="O43" i="73"/>
  <c r="N37" i="74"/>
  <c r="BA37" i="74" s="1"/>
  <c r="O222" i="73"/>
  <c r="O165" i="73"/>
  <c r="O108" i="73"/>
  <c r="O51" i="73"/>
  <c r="N45" i="74"/>
  <c r="BI45" i="74" s="1"/>
  <c r="O190" i="73"/>
  <c r="O133" i="73"/>
  <c r="O76" i="73"/>
  <c r="O19" i="73"/>
  <c r="N13" i="74"/>
  <c r="BA13" i="74" s="1"/>
  <c r="O197" i="73"/>
  <c r="O140" i="73"/>
  <c r="O83" i="73"/>
  <c r="N20" i="74"/>
  <c r="BQ20" i="74" s="1"/>
  <c r="O26" i="73"/>
  <c r="O205" i="73"/>
  <c r="O148" i="73"/>
  <c r="O91" i="73"/>
  <c r="O34" i="73"/>
  <c r="N28" i="74"/>
  <c r="BQ28" i="74" s="1"/>
  <c r="O213" i="73"/>
  <c r="O156" i="73"/>
  <c r="O99" i="73"/>
  <c r="O42" i="73"/>
  <c r="N36" i="74"/>
  <c r="AS36" i="74" s="1"/>
  <c r="O221" i="73"/>
  <c r="O164" i="73"/>
  <c r="O107" i="73"/>
  <c r="N44" i="74"/>
  <c r="BA44" i="74" s="1"/>
  <c r="O50" i="73"/>
  <c r="O200" i="73"/>
  <c r="O143" i="73"/>
  <c r="O86" i="73"/>
  <c r="O29" i="73"/>
  <c r="N23" i="74"/>
  <c r="BA23" i="74" s="1"/>
  <c r="O203" i="73"/>
  <c r="O146" i="73"/>
  <c r="O89" i="73"/>
  <c r="N26" i="74"/>
  <c r="AK26" i="74" s="1"/>
  <c r="O32" i="73"/>
  <c r="O217" i="73"/>
  <c r="O160" i="73"/>
  <c r="O103" i="73"/>
  <c r="N40" i="74"/>
  <c r="AK40" i="74" s="1"/>
  <c r="O46" i="73"/>
  <c r="O209" i="73"/>
  <c r="O152" i="73"/>
  <c r="O95" i="73"/>
  <c r="O38" i="73"/>
  <c r="N32" i="74"/>
  <c r="BQ32" i="74" s="1"/>
  <c r="O215" i="73"/>
  <c r="O158" i="73"/>
  <c r="O101" i="73"/>
  <c r="N38" i="74"/>
  <c r="AC38" i="74" s="1"/>
  <c r="O44" i="73"/>
  <c r="O192" i="73"/>
  <c r="O135" i="73"/>
  <c r="O78" i="73"/>
  <c r="O21" i="73"/>
  <c r="N15" i="74"/>
  <c r="BI15" i="74" s="1"/>
  <c r="O194" i="73"/>
  <c r="O137" i="73"/>
  <c r="O80" i="73"/>
  <c r="O23" i="73"/>
  <c r="N17" i="74"/>
  <c r="BQ17" i="74" s="1"/>
  <c r="O199" i="73"/>
  <c r="O142" i="73"/>
  <c r="O85" i="73"/>
  <c r="O28" i="73"/>
  <c r="N22" i="74"/>
  <c r="AK22" i="74" s="1"/>
  <c r="M42" i="45"/>
  <c r="N46" i="11"/>
  <c r="N103" i="11"/>
  <c r="N217" i="11"/>
  <c r="N160" i="11"/>
  <c r="I48" i="68" s="1"/>
  <c r="N31" i="11"/>
  <c r="N88" i="11"/>
  <c r="N202" i="11"/>
  <c r="N145" i="11"/>
  <c r="M27" i="45"/>
  <c r="M25" i="45"/>
  <c r="N29" i="11"/>
  <c r="N86" i="11"/>
  <c r="N200" i="11"/>
  <c r="N143" i="11"/>
  <c r="I31" i="68" s="1"/>
  <c r="M21" i="45"/>
  <c r="N25" i="11"/>
  <c r="N82" i="11"/>
  <c r="N196" i="11"/>
  <c r="N139" i="11"/>
  <c r="I27" i="68" s="1"/>
  <c r="AO81" i="73"/>
  <c r="AL81" i="73"/>
  <c r="AN81" i="73"/>
  <c r="BC195" i="73"/>
  <c r="BD195" i="73"/>
  <c r="BB195" i="73"/>
  <c r="AO83" i="73"/>
  <c r="AL83" i="73"/>
  <c r="AN83" i="73"/>
  <c r="AO84" i="73"/>
  <c r="AL84" i="73"/>
  <c r="AN84" i="73"/>
  <c r="BC198" i="73"/>
  <c r="BD198" i="73"/>
  <c r="BB198" i="73"/>
  <c r="BC199" i="73"/>
  <c r="BD199" i="73"/>
  <c r="BB199" i="73"/>
  <c r="AO86" i="73"/>
  <c r="AL86" i="73"/>
  <c r="AN86" i="73"/>
  <c r="AO88" i="73"/>
  <c r="AL88" i="73"/>
  <c r="AN88" i="73"/>
  <c r="AO89" i="73"/>
  <c r="AL89" i="73"/>
  <c r="AN89" i="73"/>
  <c r="AO90" i="73"/>
  <c r="AL90" i="73"/>
  <c r="AN90" i="73"/>
  <c r="BC204" i="73"/>
  <c r="BD204" i="73"/>
  <c r="BB204" i="73"/>
  <c r="AO91" i="73"/>
  <c r="AL91" i="73"/>
  <c r="AN91" i="73"/>
  <c r="AO92" i="73"/>
  <c r="AL92" i="73"/>
  <c r="AN92" i="73"/>
  <c r="AO93" i="73"/>
  <c r="AL93" i="73"/>
  <c r="AN93" i="73"/>
  <c r="AN94" i="73"/>
  <c r="AO94" i="73"/>
  <c r="AL94" i="73"/>
  <c r="BC208" i="73"/>
  <c r="BD208" i="73"/>
  <c r="BB208" i="73"/>
  <c r="AN95" i="73"/>
  <c r="AO95" i="73"/>
  <c r="AL95" i="73"/>
  <c r="BC209" i="73"/>
  <c r="BD209" i="73"/>
  <c r="BB209" i="73"/>
  <c r="AN97" i="73"/>
  <c r="AO97" i="73"/>
  <c r="AL97" i="73"/>
  <c r="AN99" i="73"/>
  <c r="AO99" i="73"/>
  <c r="AL99" i="73"/>
  <c r="AN101" i="73"/>
  <c r="AO101" i="73"/>
  <c r="AL101" i="73"/>
  <c r="AO105" i="73"/>
  <c r="AL105" i="73"/>
  <c r="AN105" i="73"/>
  <c r="BC219" i="73"/>
  <c r="BD219" i="73"/>
  <c r="BB219" i="73"/>
  <c r="AO107" i="73"/>
  <c r="AL107" i="73"/>
  <c r="AN107" i="73"/>
  <c r="AO109" i="73"/>
  <c r="AL109" i="73"/>
  <c r="AN109" i="73"/>
  <c r="BC224" i="73"/>
  <c r="BD224" i="73"/>
  <c r="BB224" i="73"/>
  <c r="BA19" i="74"/>
  <c r="BI21" i="74"/>
  <c r="U37" i="74"/>
  <c r="V37" i="74" s="1"/>
  <c r="BA39" i="74"/>
  <c r="Q83" i="73"/>
  <c r="Q85" i="73"/>
  <c r="Q87" i="73"/>
  <c r="Q89" i="73"/>
  <c r="Q91" i="73"/>
  <c r="Q93" i="73"/>
  <c r="AF93" i="73" s="1"/>
  <c r="AM93" i="73" s="1"/>
  <c r="Q95" i="73"/>
  <c r="AF95" i="73" s="1"/>
  <c r="AM95" i="73" s="1"/>
  <c r="Q99" i="73"/>
  <c r="Q100" i="73"/>
  <c r="Q101" i="73"/>
  <c r="Q102" i="73"/>
  <c r="Q103" i="73"/>
  <c r="AF103" i="73" s="1"/>
  <c r="AM103" i="73" s="1"/>
  <c r="Q105" i="73"/>
  <c r="AF105" i="73" s="1"/>
  <c r="AM105" i="73" s="1"/>
  <c r="Q108" i="73"/>
  <c r="Q109" i="73"/>
  <c r="AF109" i="73" s="1"/>
  <c r="AM109" i="73" s="1"/>
  <c r="Q110" i="73"/>
  <c r="AF110" i="73" s="1"/>
  <c r="AM110" i="73" s="1"/>
  <c r="Q76" i="73"/>
  <c r="L108" i="73"/>
  <c r="AS23" i="73"/>
  <c r="AS22" i="73"/>
  <c r="AX22" i="73" s="1"/>
  <c r="AS21" i="73"/>
  <c r="AX21" i="73" s="1"/>
  <c r="AS20" i="73"/>
  <c r="AS18" i="73"/>
  <c r="AS17" i="73"/>
  <c r="AS16" i="73"/>
  <c r="AS15" i="73"/>
  <c r="AS14" i="73"/>
  <c r="AE13" i="73"/>
  <c r="AS13" i="73"/>
  <c r="AS139" i="73"/>
  <c r="AX139" i="73" s="1"/>
  <c r="AS143" i="73"/>
  <c r="AX143" i="73" s="1"/>
  <c r="AS160" i="73"/>
  <c r="AX160" i="73" s="1"/>
  <c r="AS149" i="73"/>
  <c r="AS153" i="73"/>
  <c r="AX153" i="73" s="1"/>
  <c r="AS157" i="73"/>
  <c r="AX157" i="73" s="1"/>
  <c r="AS162" i="73"/>
  <c r="AS167" i="73"/>
  <c r="AX167" i="73" s="1"/>
  <c r="V243" i="8"/>
  <c r="AS141" i="73"/>
  <c r="AX141" i="73" s="1"/>
  <c r="AS133" i="73"/>
  <c r="AX133" i="73" s="1"/>
  <c r="AS146" i="73"/>
  <c r="AS148" i="73"/>
  <c r="AS152" i="73"/>
  <c r="AX152" i="73" s="1"/>
  <c r="AS156" i="73"/>
  <c r="AX156" i="73" s="1"/>
  <c r="AS161" i="73"/>
  <c r="AX161" i="73" s="1"/>
  <c r="AS164" i="73"/>
  <c r="V247" i="8"/>
  <c r="V246" i="8"/>
  <c r="L49" i="73"/>
  <c r="L163" i="73"/>
  <c r="L52" i="73"/>
  <c r="L166" i="73"/>
  <c r="AW195" i="73"/>
  <c r="AY195" i="73" s="1"/>
  <c r="AX195" i="73"/>
  <c r="AH82" i="73"/>
  <c r="AJ82" i="73" s="1"/>
  <c r="AG82" i="73"/>
  <c r="AI82" i="73" s="1"/>
  <c r="AX196" i="73"/>
  <c r="BH196" i="73"/>
  <c r="AW196" i="73"/>
  <c r="AY196" i="73" s="1"/>
  <c r="AW197" i="73"/>
  <c r="AY197" i="73" s="1"/>
  <c r="AX197" i="73"/>
  <c r="AZ197" i="73" s="1"/>
  <c r="AH84" i="73"/>
  <c r="AG84" i="73"/>
  <c r="AI84" i="73" s="1"/>
  <c r="AX198" i="73"/>
  <c r="AW198" i="73"/>
  <c r="AY198" i="73" s="1"/>
  <c r="AH85" i="73"/>
  <c r="AG85" i="73"/>
  <c r="AI85" i="73" s="1"/>
  <c r="AW199" i="73"/>
  <c r="AY199" i="73" s="1"/>
  <c r="AX199" i="73"/>
  <c r="AH86" i="73"/>
  <c r="AJ86" i="73" s="1"/>
  <c r="AG86" i="73"/>
  <c r="AI86" i="73" s="1"/>
  <c r="AX200" i="73"/>
  <c r="AZ200" i="73" s="1"/>
  <c r="AW200" i="73"/>
  <c r="AY200" i="73" s="1"/>
  <c r="AW201" i="73"/>
  <c r="AY201" i="73" s="1"/>
  <c r="AX201" i="73"/>
  <c r="AZ201" i="73" s="1"/>
  <c r="AH88" i="73"/>
  <c r="AG88" i="73"/>
  <c r="AI88" i="73" s="1"/>
  <c r="AX202" i="73"/>
  <c r="AW202" i="73"/>
  <c r="AY202" i="73" s="1"/>
  <c r="AH90" i="73"/>
  <c r="AG90" i="73"/>
  <c r="AI90" i="73" s="1"/>
  <c r="AX204" i="73"/>
  <c r="AW204" i="73"/>
  <c r="AY204" i="73" s="1"/>
  <c r="AW205" i="73"/>
  <c r="AY205" i="73" s="1"/>
  <c r="BH205" i="73"/>
  <c r="AX205" i="73"/>
  <c r="AZ205" i="73" s="1"/>
  <c r="AH92" i="73"/>
  <c r="AG92" i="73"/>
  <c r="AI92" i="73" s="1"/>
  <c r="AX206" i="73"/>
  <c r="AW206" i="73"/>
  <c r="AY206" i="73" s="1"/>
  <c r="AW207" i="73"/>
  <c r="AY207" i="73" s="1"/>
  <c r="AX207" i="73"/>
  <c r="AZ207" i="73" s="1"/>
  <c r="AH94" i="73"/>
  <c r="AG94" i="73"/>
  <c r="AI94" i="73" s="1"/>
  <c r="AX208" i="73"/>
  <c r="AW208" i="73"/>
  <c r="AY208" i="73" s="1"/>
  <c r="AW209" i="73"/>
  <c r="AY209" i="73" s="1"/>
  <c r="AX209" i="73"/>
  <c r="AW211" i="73"/>
  <c r="AY211" i="73" s="1"/>
  <c r="AX211" i="73"/>
  <c r="AZ211" i="73" s="1"/>
  <c r="AW212" i="73"/>
  <c r="AY212" i="73" s="1"/>
  <c r="AX212" i="73"/>
  <c r="AX213" i="73"/>
  <c r="AW213" i="73"/>
  <c r="AY213" i="73" s="1"/>
  <c r="AW214" i="73"/>
  <c r="AY214" i="73" s="1"/>
  <c r="BH214" i="73"/>
  <c r="AX214" i="73"/>
  <c r="AZ214" i="73" s="1"/>
  <c r="AX215" i="73"/>
  <c r="AW215" i="73"/>
  <c r="AY215" i="73" s="1"/>
  <c r="AW217" i="73"/>
  <c r="AY217" i="73" s="1"/>
  <c r="AX217" i="73"/>
  <c r="AW218" i="73"/>
  <c r="AY218" i="73" s="1"/>
  <c r="AX218" i="73"/>
  <c r="BH218" i="73"/>
  <c r="AW219" i="73"/>
  <c r="AY219" i="73" s="1"/>
  <c r="AX219" i="73"/>
  <c r="AW220" i="73"/>
  <c r="AY220" i="73" s="1"/>
  <c r="AX220" i="73"/>
  <c r="AZ220" i="73" s="1"/>
  <c r="AX221" i="73"/>
  <c r="BH221" i="73"/>
  <c r="AW221" i="73"/>
  <c r="AY221" i="73" s="1"/>
  <c r="AW222" i="73"/>
  <c r="AY222" i="73" s="1"/>
  <c r="AX222" i="73"/>
  <c r="AZ222" i="73" s="1"/>
  <c r="AX223" i="73"/>
  <c r="AZ223" i="73" s="1"/>
  <c r="AW223" i="73"/>
  <c r="AY223" i="73" s="1"/>
  <c r="AH76" i="73"/>
  <c r="AJ76" i="73" s="1"/>
  <c r="AG76" i="73"/>
  <c r="AI76" i="73" s="1"/>
  <c r="AW190" i="73"/>
  <c r="AY190" i="73" s="1"/>
  <c r="AX190" i="73"/>
  <c r="AZ190" i="73" s="1"/>
  <c r="BV194" i="73"/>
  <c r="AV194" i="73"/>
  <c r="AS80" i="73"/>
  <c r="AX80" i="73" s="1"/>
  <c r="AE80" i="73"/>
  <c r="AQ80" i="73" s="1"/>
  <c r="M80" i="73"/>
  <c r="Q80" i="73" s="1"/>
  <c r="AV193" i="73"/>
  <c r="BV193" i="73"/>
  <c r="CA193" i="73" s="1"/>
  <c r="AS79" i="73"/>
  <c r="AE79" i="73"/>
  <c r="M79" i="73"/>
  <c r="Q79" i="73" s="1"/>
  <c r="BV192" i="73"/>
  <c r="AV192" i="73"/>
  <c r="AS78" i="73"/>
  <c r="AE78" i="73"/>
  <c r="M78" i="73"/>
  <c r="Q78" i="73" s="1"/>
  <c r="BV191" i="73"/>
  <c r="AV191" i="73"/>
  <c r="AS77" i="73"/>
  <c r="AE77" i="73"/>
  <c r="AQ77" i="73" s="1"/>
  <c r="M77" i="73"/>
  <c r="Q77" i="73" s="1"/>
  <c r="AV189" i="73"/>
  <c r="BV189" i="73"/>
  <c r="AS75" i="73"/>
  <c r="AE75" i="73"/>
  <c r="M75" i="73"/>
  <c r="BV188" i="73"/>
  <c r="AV188" i="73"/>
  <c r="AE74" i="73"/>
  <c r="M74" i="73"/>
  <c r="AS74" i="73"/>
  <c r="BV187" i="73"/>
  <c r="AV187" i="73"/>
  <c r="AS73" i="73"/>
  <c r="AE73" i="73"/>
  <c r="M73" i="73"/>
  <c r="AV186" i="73"/>
  <c r="BV186" i="73"/>
  <c r="AS72" i="73"/>
  <c r="AE72" i="73"/>
  <c r="AQ72" i="73" s="1"/>
  <c r="M72" i="73"/>
  <c r="AV185" i="73"/>
  <c r="BV185" i="73"/>
  <c r="AS71" i="73"/>
  <c r="AE71" i="73"/>
  <c r="M71" i="73"/>
  <c r="BV184" i="73"/>
  <c r="AV184" i="73"/>
  <c r="AE70" i="73"/>
  <c r="M70" i="73"/>
  <c r="AS70" i="73"/>
  <c r="AS140" i="73"/>
  <c r="AX140" i="73" s="1"/>
  <c r="AS144" i="73"/>
  <c r="AX144" i="73" s="1"/>
  <c r="V245" i="8"/>
  <c r="AS150" i="73"/>
  <c r="AS154" i="73"/>
  <c r="AS158" i="73"/>
  <c r="AS166" i="73"/>
  <c r="AX166" i="73" s="1"/>
  <c r="V244" i="8"/>
  <c r="AS142" i="73"/>
  <c r="AX142" i="73" s="1"/>
  <c r="AS145" i="73"/>
  <c r="AX145" i="73" s="1"/>
  <c r="AS147" i="73"/>
  <c r="AX147" i="73" s="1"/>
  <c r="AS151" i="73"/>
  <c r="AS155" i="73"/>
  <c r="AS159" i="73"/>
  <c r="AX159" i="73" s="1"/>
  <c r="AS163" i="73"/>
  <c r="AX163" i="73" s="1"/>
  <c r="AS165" i="73"/>
  <c r="AX165" i="73" s="1"/>
  <c r="AS138" i="73"/>
  <c r="AE103" i="11"/>
  <c r="AQ103" i="11" s="1"/>
  <c r="AE88" i="11"/>
  <c r="AQ88" i="11" s="1"/>
  <c r="AV200" i="11"/>
  <c r="AE82" i="11"/>
  <c r="AQ82" i="11" s="1"/>
  <c r="I77" i="73"/>
  <c r="J77" i="73" s="1"/>
  <c r="I153" i="73"/>
  <c r="J153" i="73" s="1"/>
  <c r="I184" i="73"/>
  <c r="J184" i="73" s="1"/>
  <c r="I127" i="73"/>
  <c r="J127" i="73" s="1"/>
  <c r="I70" i="73"/>
  <c r="J70" i="73" s="1"/>
  <c r="I13" i="73"/>
  <c r="J13" i="73" s="1"/>
  <c r="L106" i="73"/>
  <c r="L220" i="73"/>
  <c r="L109" i="73"/>
  <c r="L223" i="73"/>
  <c r="AH81" i="73"/>
  <c r="AG81" i="73"/>
  <c r="AI81" i="73" s="1"/>
  <c r="AH83" i="73"/>
  <c r="AJ83" i="73" s="1"/>
  <c r="AG83" i="73"/>
  <c r="AI83" i="73" s="1"/>
  <c r="AH87" i="73"/>
  <c r="AJ87" i="73" s="1"/>
  <c r="AG87" i="73"/>
  <c r="AI87" i="73" s="1"/>
  <c r="AH89" i="73"/>
  <c r="AJ89" i="73" s="1"/>
  <c r="AG89" i="73"/>
  <c r="AI89" i="73" s="1"/>
  <c r="AW203" i="73"/>
  <c r="AY203" i="73" s="1"/>
  <c r="BH203" i="73"/>
  <c r="AX203" i="73"/>
  <c r="AZ203" i="73" s="1"/>
  <c r="AH91" i="73"/>
  <c r="AJ91" i="73" s="1"/>
  <c r="AG91" i="73"/>
  <c r="AI91" i="73" s="1"/>
  <c r="AH93" i="73"/>
  <c r="AJ93" i="73" s="1"/>
  <c r="AG93" i="73"/>
  <c r="AI93" i="73" s="1"/>
  <c r="AH95" i="73"/>
  <c r="AG95" i="73"/>
  <c r="AI95" i="73" s="1"/>
  <c r="AH96" i="73"/>
  <c r="AJ96" i="73" s="1"/>
  <c r="AF96" i="73"/>
  <c r="AM96" i="73" s="1"/>
  <c r="AG96" i="73"/>
  <c r="AI96" i="73" s="1"/>
  <c r="AX210" i="73"/>
  <c r="AZ210" i="73" s="1"/>
  <c r="AW210" i="73"/>
  <c r="AY210" i="73" s="1"/>
  <c r="AH97" i="73"/>
  <c r="AJ97" i="73" s="1"/>
  <c r="AG97" i="73"/>
  <c r="AI97" i="73" s="1"/>
  <c r="AH98" i="73"/>
  <c r="AG98" i="73"/>
  <c r="AI98" i="73" s="1"/>
  <c r="AH99" i="73"/>
  <c r="AJ99" i="73" s="1"/>
  <c r="AG99" i="73"/>
  <c r="AI99" i="73" s="1"/>
  <c r="AH100" i="73"/>
  <c r="AJ100" i="73" s="1"/>
  <c r="AG100" i="73"/>
  <c r="AI100" i="73" s="1"/>
  <c r="AH101" i="73"/>
  <c r="AJ101" i="73" s="1"/>
  <c r="AG101" i="73"/>
  <c r="AI101" i="73" s="1"/>
  <c r="AH102" i="73"/>
  <c r="AJ102" i="73" s="1"/>
  <c r="AG102" i="73"/>
  <c r="AI102" i="73" s="1"/>
  <c r="AW216" i="73"/>
  <c r="AY216" i="73" s="1"/>
  <c r="AX216" i="73"/>
  <c r="AZ216" i="73" s="1"/>
  <c r="BH216" i="73"/>
  <c r="AH103" i="73"/>
  <c r="AG103" i="73"/>
  <c r="AI103" i="73" s="1"/>
  <c r="AH104" i="73"/>
  <c r="AG104" i="73"/>
  <c r="AI104" i="73" s="1"/>
  <c r="AH105" i="73"/>
  <c r="AG105" i="73"/>
  <c r="AI105" i="73" s="1"/>
  <c r="AH106" i="73"/>
  <c r="AJ106" i="73" s="1"/>
  <c r="AG106" i="73"/>
  <c r="AI106" i="73" s="1"/>
  <c r="AH107" i="73"/>
  <c r="AG107" i="73"/>
  <c r="AI107" i="73" s="1"/>
  <c r="AH108" i="73"/>
  <c r="AJ108" i="73" s="1"/>
  <c r="AG108" i="73"/>
  <c r="AI108" i="73" s="1"/>
  <c r="AH109" i="73"/>
  <c r="AJ109" i="73" s="1"/>
  <c r="AG109" i="73"/>
  <c r="AI109" i="73" s="1"/>
  <c r="AH110" i="73"/>
  <c r="AG110" i="73"/>
  <c r="AI110" i="73" s="1"/>
  <c r="AW224" i="73"/>
  <c r="AY224" i="73" s="1"/>
  <c r="BH224" i="73"/>
  <c r="AX224" i="73"/>
  <c r="O98" i="46"/>
  <c r="L107" i="73"/>
  <c r="L110" i="73"/>
  <c r="L165" i="73"/>
  <c r="AS137" i="11"/>
  <c r="AS141" i="11"/>
  <c r="AS158" i="11"/>
  <c r="AS147" i="11"/>
  <c r="AS151" i="11"/>
  <c r="AS155" i="11"/>
  <c r="AC160" i="11"/>
  <c r="AS160" i="11"/>
  <c r="AS165" i="11"/>
  <c r="AC139" i="11"/>
  <c r="AS139" i="11"/>
  <c r="AS131" i="11"/>
  <c r="AS144" i="11"/>
  <c r="AS146" i="11"/>
  <c r="AS150" i="11"/>
  <c r="AS154" i="11"/>
  <c r="AS159" i="11"/>
  <c r="AS162" i="11"/>
  <c r="AT39" i="11"/>
  <c r="BW210" i="11"/>
  <c r="AT153" i="11"/>
  <c r="AT96" i="11"/>
  <c r="AE86" i="11"/>
  <c r="AQ86" i="11" s="1"/>
  <c r="AE96" i="11"/>
  <c r="AQ96" i="11" s="1"/>
  <c r="BV192" i="11"/>
  <c r="M78" i="11"/>
  <c r="AS78" i="11"/>
  <c r="BV191" i="11"/>
  <c r="AS77" i="11"/>
  <c r="M77" i="11"/>
  <c r="BV190" i="11"/>
  <c r="M76" i="11"/>
  <c r="AS76" i="11"/>
  <c r="BV189" i="11"/>
  <c r="M75" i="11"/>
  <c r="AS75" i="11"/>
  <c r="AS138" i="11"/>
  <c r="AS142" i="11"/>
  <c r="AS148" i="11"/>
  <c r="AS152" i="11"/>
  <c r="AS156" i="11"/>
  <c r="AS164" i="11"/>
  <c r="AS140" i="11"/>
  <c r="AS143" i="11"/>
  <c r="AC143" i="11"/>
  <c r="AS145" i="11"/>
  <c r="AC145" i="11"/>
  <c r="AS149" i="11"/>
  <c r="AS153" i="11"/>
  <c r="AC153" i="11"/>
  <c r="AS157" i="11"/>
  <c r="AS161" i="11"/>
  <c r="AS163" i="11"/>
  <c r="AS136" i="11"/>
  <c r="AT46" i="11"/>
  <c r="BW217" i="11"/>
  <c r="AT103" i="11"/>
  <c r="AT160" i="11"/>
  <c r="AT31" i="11"/>
  <c r="BW202" i="11"/>
  <c r="AT145" i="11"/>
  <c r="AT88" i="11"/>
  <c r="BW200" i="11"/>
  <c r="AT143" i="11"/>
  <c r="AT86" i="11"/>
  <c r="AT25" i="11"/>
  <c r="AT139" i="11"/>
  <c r="BW196" i="11"/>
  <c r="AT82" i="11"/>
  <c r="L51" i="11"/>
  <c r="AV196" i="11"/>
  <c r="BF196" i="11" s="1"/>
  <c r="AV202" i="11"/>
  <c r="BF202" i="11" s="1"/>
  <c r="AV210" i="11"/>
  <c r="BF210" i="11" s="1"/>
  <c r="AV217" i="11"/>
  <c r="BF217" i="11" s="1"/>
  <c r="L105" i="11"/>
  <c r="L47" i="11"/>
  <c r="L218" i="11"/>
  <c r="L161" i="11"/>
  <c r="L50" i="11"/>
  <c r="L221" i="11"/>
  <c r="L48" i="11"/>
  <c r="AE25" i="11"/>
  <c r="AQ25" i="11" s="1"/>
  <c r="AE46" i="11"/>
  <c r="AQ46" i="11" s="1"/>
  <c r="L104" i="11"/>
  <c r="L107" i="11"/>
  <c r="L164" i="11"/>
  <c r="J102" i="8"/>
  <c r="J103" i="8"/>
  <c r="J107" i="8"/>
  <c r="J111" i="8"/>
  <c r="J115" i="8"/>
  <c r="J119" i="8"/>
  <c r="J123" i="8"/>
  <c r="J127" i="8"/>
  <c r="J131" i="8"/>
  <c r="J135" i="8"/>
  <c r="J105" i="8"/>
  <c r="J109" i="8"/>
  <c r="V214" i="8" s="1"/>
  <c r="J113" i="8"/>
  <c r="J117" i="8"/>
  <c r="J121" i="8"/>
  <c r="J125" i="8"/>
  <c r="J129" i="8"/>
  <c r="J133" i="8"/>
  <c r="J137" i="8"/>
  <c r="J134" i="8"/>
  <c r="J130" i="8"/>
  <c r="J126" i="8"/>
  <c r="J122" i="8"/>
  <c r="J118" i="8"/>
  <c r="J114" i="8"/>
  <c r="J110" i="8"/>
  <c r="J106" i="8"/>
  <c r="J136" i="8"/>
  <c r="J132" i="8"/>
  <c r="J128" i="8"/>
  <c r="J124" i="8"/>
  <c r="J120" i="8"/>
  <c r="J116" i="8"/>
  <c r="J112" i="8"/>
  <c r="J108" i="8"/>
  <c r="J104" i="8"/>
  <c r="O102" i="46"/>
  <c r="AE31" i="11"/>
  <c r="AQ31" i="11" s="1"/>
  <c r="AE39" i="11"/>
  <c r="AQ39" i="11" s="1"/>
  <c r="AT29" i="11"/>
  <c r="AE29" i="11"/>
  <c r="AQ29" i="11" s="1"/>
  <c r="I156" i="11"/>
  <c r="J156" i="11" s="1"/>
  <c r="I91" i="11"/>
  <c r="J91" i="11" s="1"/>
  <c r="I132" i="11"/>
  <c r="J132" i="11" s="1"/>
  <c r="I18" i="11"/>
  <c r="J18" i="11" s="1"/>
  <c r="I208" i="11"/>
  <c r="J208" i="11" s="1"/>
  <c r="I21" i="11"/>
  <c r="J21" i="11" s="1"/>
  <c r="I24" i="11"/>
  <c r="J24" i="11" s="1"/>
  <c r="R181" i="8"/>
  <c r="R188" i="8"/>
  <c r="R173" i="8"/>
  <c r="R171" i="8"/>
  <c r="R167" i="8"/>
  <c r="O267" i="8"/>
  <c r="AC132" i="73" s="1"/>
  <c r="O265" i="8"/>
  <c r="AC130" i="73" s="1"/>
  <c r="O264" i="8"/>
  <c r="AC129" i="73" s="1"/>
  <c r="O263" i="8"/>
  <c r="AC128" i="73" s="1"/>
  <c r="O262" i="8"/>
  <c r="N322" i="8"/>
  <c r="Q12" i="74" s="1"/>
  <c r="N320" i="8"/>
  <c r="Q10" i="74" s="1"/>
  <c r="N319" i="8"/>
  <c r="Q9" i="74" s="1"/>
  <c r="N318" i="8"/>
  <c r="Q8" i="74" s="1"/>
  <c r="N317" i="8"/>
  <c r="Q7" i="74" s="1"/>
  <c r="O271" i="8"/>
  <c r="AC136" i="73" s="1"/>
  <c r="O272" i="8"/>
  <c r="AC137" i="73" s="1"/>
  <c r="O269" i="8"/>
  <c r="AC134" i="73" s="1"/>
  <c r="N321" i="8"/>
  <c r="Q11" i="74" s="1"/>
  <c r="O270" i="8"/>
  <c r="AC135" i="73" s="1"/>
  <c r="O266" i="8"/>
  <c r="AC131" i="73" s="1"/>
  <c r="AX78" i="73" l="1"/>
  <c r="I141" i="11"/>
  <c r="J141" i="11" s="1"/>
  <c r="AX138" i="73"/>
  <c r="AX155" i="73"/>
  <c r="AX154" i="73"/>
  <c r="CA192" i="73"/>
  <c r="AX162" i="73"/>
  <c r="I86" i="73"/>
  <c r="J86" i="73" s="1"/>
  <c r="AX151" i="73"/>
  <c r="AX150" i="73"/>
  <c r="AX77" i="73"/>
  <c r="AX23" i="73"/>
  <c r="I76" i="11"/>
  <c r="J76" i="11" s="1"/>
  <c r="V155" i="8"/>
  <c r="I15" i="73"/>
  <c r="J15" i="73" s="1"/>
  <c r="I70" i="11"/>
  <c r="J70" i="11" s="1"/>
  <c r="I101" i="73"/>
  <c r="J101" i="73" s="1"/>
  <c r="AX158" i="73"/>
  <c r="AX146" i="73"/>
  <c r="AX149" i="73"/>
  <c r="BI27" i="74"/>
  <c r="BA34" i="74"/>
  <c r="V233" i="8"/>
  <c r="V161" i="8"/>
  <c r="I21" i="73"/>
  <c r="J21" i="73" s="1"/>
  <c r="CA194" i="73"/>
  <c r="AX164" i="73"/>
  <c r="AX148" i="73"/>
  <c r="AX20" i="73"/>
  <c r="AK35" i="74"/>
  <c r="AS42" i="74"/>
  <c r="J78" i="60"/>
  <c r="J29" i="96"/>
  <c r="J44" i="96"/>
  <c r="J93" i="60"/>
  <c r="J86" i="60"/>
  <c r="J37" i="96"/>
  <c r="J76" i="60"/>
  <c r="J27" i="96"/>
  <c r="I41" i="68"/>
  <c r="I33" i="68"/>
  <c r="J72" i="60"/>
  <c r="J23" i="96"/>
  <c r="I202" i="11"/>
  <c r="J202" i="11" s="1"/>
  <c r="AK37" i="74"/>
  <c r="AC25" i="74"/>
  <c r="I27" i="11"/>
  <c r="J27" i="11" s="1"/>
  <c r="I198" i="11"/>
  <c r="J198" i="11" s="1"/>
  <c r="I40" i="11"/>
  <c r="J40" i="11" s="1"/>
  <c r="I26" i="11"/>
  <c r="J26" i="11" s="1"/>
  <c r="I199" i="11"/>
  <c r="J199" i="11" s="1"/>
  <c r="I98" i="11"/>
  <c r="J98" i="11" s="1"/>
  <c r="V169" i="8"/>
  <c r="I200" i="73"/>
  <c r="J200" i="73" s="1"/>
  <c r="I138" i="73"/>
  <c r="J138" i="73" s="1"/>
  <c r="AL88" i="11"/>
  <c r="AS47" i="74"/>
  <c r="BQ30" i="74"/>
  <c r="Q96" i="11"/>
  <c r="AB96" i="11" s="1"/>
  <c r="I155" i="73"/>
  <c r="J155" i="73" s="1"/>
  <c r="BA41" i="74"/>
  <c r="AS39" i="74"/>
  <c r="U27" i="74"/>
  <c r="V27" i="74" s="1"/>
  <c r="W27" i="74" s="1"/>
  <c r="AS25" i="74"/>
  <c r="BA47" i="74"/>
  <c r="BA42" i="74"/>
  <c r="BI18" i="74"/>
  <c r="P446" i="8"/>
  <c r="I33" i="73"/>
  <c r="J33" i="73" s="1"/>
  <c r="I144" i="73"/>
  <c r="J144" i="73" s="1"/>
  <c r="I216" i="11"/>
  <c r="J216" i="11" s="1"/>
  <c r="I152" i="11"/>
  <c r="J152" i="11" s="1"/>
  <c r="V187" i="8"/>
  <c r="V239" i="8"/>
  <c r="I73" i="11"/>
  <c r="J73" i="11" s="1"/>
  <c r="I132" i="73"/>
  <c r="J132" i="73" s="1"/>
  <c r="I157" i="11"/>
  <c r="J157" i="11" s="1"/>
  <c r="I159" i="73"/>
  <c r="J159" i="73" s="1"/>
  <c r="I161" i="73"/>
  <c r="J161" i="73" s="1"/>
  <c r="BI30" i="74"/>
  <c r="BA14" i="74"/>
  <c r="BQ43" i="74"/>
  <c r="AS31" i="74"/>
  <c r="BS216" i="73"/>
  <c r="BT216" i="73"/>
  <c r="AF108" i="73"/>
  <c r="AM108" i="73" s="1"/>
  <c r="AF101" i="73"/>
  <c r="AM101" i="73" s="1"/>
  <c r="P21" i="65"/>
  <c r="BS218" i="73"/>
  <c r="BT218" i="73"/>
  <c r="BS214" i="73"/>
  <c r="BT214" i="73"/>
  <c r="BS196" i="73"/>
  <c r="BT196" i="73"/>
  <c r="AF102" i="73"/>
  <c r="AM102" i="73" s="1"/>
  <c r="P20" i="65"/>
  <c r="BC200" i="11"/>
  <c r="BF200" i="11"/>
  <c r="AF99" i="73"/>
  <c r="AM99" i="73" s="1"/>
  <c r="AF89" i="73"/>
  <c r="AM89" i="73" s="1"/>
  <c r="P23" i="65"/>
  <c r="P22" i="65"/>
  <c r="P19" i="65"/>
  <c r="BS224" i="73"/>
  <c r="BT224" i="73"/>
  <c r="BS203" i="73"/>
  <c r="BT203" i="73"/>
  <c r="BS221" i="73"/>
  <c r="BT221" i="73"/>
  <c r="AF100" i="73"/>
  <c r="AM100" i="73" s="1"/>
  <c r="AF91" i="73"/>
  <c r="AM91" i="73" s="1"/>
  <c r="U33" i="74"/>
  <c r="V33" i="74" s="1"/>
  <c r="W33" i="74" s="1"/>
  <c r="AC19" i="74"/>
  <c r="AC46" i="74"/>
  <c r="BA24" i="74"/>
  <c r="I92" i="11"/>
  <c r="J92" i="11" s="1"/>
  <c r="I146" i="11"/>
  <c r="J146" i="11" s="1"/>
  <c r="I29" i="11"/>
  <c r="J29" i="11" s="1"/>
  <c r="I186" i="11"/>
  <c r="J186" i="11" s="1"/>
  <c r="I183" i="11"/>
  <c r="J183" i="11" s="1"/>
  <c r="I215" i="11"/>
  <c r="J215" i="11" s="1"/>
  <c r="I82" i="11"/>
  <c r="J82" i="11" s="1"/>
  <c r="I79" i="11"/>
  <c r="J79" i="11" s="1"/>
  <c r="V186" i="8"/>
  <c r="V170" i="8"/>
  <c r="I143" i="73"/>
  <c r="J143" i="73" s="1"/>
  <c r="I148" i="73"/>
  <c r="J148" i="73" s="1"/>
  <c r="I20" i="73"/>
  <c r="J20" i="73" s="1"/>
  <c r="I142" i="73"/>
  <c r="J142" i="73" s="1"/>
  <c r="I17" i="73"/>
  <c r="J17" i="73" s="1"/>
  <c r="I141" i="73"/>
  <c r="J141" i="73" s="1"/>
  <c r="W47" i="74"/>
  <c r="W42" i="74"/>
  <c r="W39" i="74"/>
  <c r="B32" i="48"/>
  <c r="W37" i="74"/>
  <c r="I143" i="11"/>
  <c r="J143" i="11" s="1"/>
  <c r="I75" i="11"/>
  <c r="J75" i="11" s="1"/>
  <c r="I145" i="11"/>
  <c r="J145" i="11" s="1"/>
  <c r="I85" i="11"/>
  <c r="J85" i="11" s="1"/>
  <c r="I212" i="11"/>
  <c r="J212" i="11" s="1"/>
  <c r="I209" i="11"/>
  <c r="J209" i="11" s="1"/>
  <c r="AL103" i="11"/>
  <c r="I134" i="73"/>
  <c r="J134" i="73" s="1"/>
  <c r="I131" i="73"/>
  <c r="J131" i="73" s="1"/>
  <c r="I14" i="73"/>
  <c r="J14" i="73" s="1"/>
  <c r="I46" i="73"/>
  <c r="J46" i="73" s="1"/>
  <c r="I43" i="73"/>
  <c r="J43" i="73" s="1"/>
  <c r="I40" i="73"/>
  <c r="J40" i="73" s="1"/>
  <c r="B30" i="48"/>
  <c r="AK43" i="74"/>
  <c r="U41" i="74"/>
  <c r="V41" i="74" s="1"/>
  <c r="AA41" i="74" s="1"/>
  <c r="AD41" i="74" s="1"/>
  <c r="AS37" i="74"/>
  <c r="AK31" i="74"/>
  <c r="BQ27" i="74"/>
  <c r="AS14" i="74"/>
  <c r="I128" i="73"/>
  <c r="J128" i="73" s="1"/>
  <c r="I160" i="73"/>
  <c r="J160" i="73" s="1"/>
  <c r="I157" i="73"/>
  <c r="J157" i="73" s="1"/>
  <c r="I154" i="73"/>
  <c r="J154" i="73" s="1"/>
  <c r="B34" i="48"/>
  <c r="B26" i="48"/>
  <c r="BI41" i="74"/>
  <c r="BQ18" i="74"/>
  <c r="BQ14" i="74"/>
  <c r="I84" i="11"/>
  <c r="J84" i="11" s="1"/>
  <c r="I35" i="11"/>
  <c r="J35" i="11" s="1"/>
  <c r="I189" i="11"/>
  <c r="J189" i="11" s="1"/>
  <c r="I72" i="11"/>
  <c r="J72" i="11" s="1"/>
  <c r="I69" i="11"/>
  <c r="J69" i="11" s="1"/>
  <c r="I101" i="11"/>
  <c r="J101" i="11" s="1"/>
  <c r="I196" i="11"/>
  <c r="J196" i="11" s="1"/>
  <c r="I193" i="11"/>
  <c r="J193" i="11" s="1"/>
  <c r="CA191" i="73"/>
  <c r="AX79" i="73"/>
  <c r="I147" i="73"/>
  <c r="J147" i="73" s="1"/>
  <c r="I30" i="73"/>
  <c r="J30" i="73" s="1"/>
  <c r="I27" i="73"/>
  <c r="J27" i="73" s="1"/>
  <c r="I24" i="73"/>
  <c r="J24" i="73" s="1"/>
  <c r="B28" i="48"/>
  <c r="AC37" i="74"/>
  <c r="BI33" i="74"/>
  <c r="U21" i="74"/>
  <c r="V21" i="74" s="1"/>
  <c r="X21" i="74" s="1"/>
  <c r="AK13" i="74"/>
  <c r="AV150" i="73"/>
  <c r="AW150" i="73"/>
  <c r="AV36" i="73"/>
  <c r="AW36" i="73"/>
  <c r="AW138" i="73"/>
  <c r="AV138" i="73"/>
  <c r="AW24" i="73"/>
  <c r="AV24" i="73"/>
  <c r="AV22" i="73"/>
  <c r="AW22" i="73"/>
  <c r="AV166" i="73"/>
  <c r="AW166" i="73"/>
  <c r="AV52" i="73"/>
  <c r="AW52" i="73"/>
  <c r="AW167" i="73"/>
  <c r="AV167" i="73"/>
  <c r="AW53" i="73"/>
  <c r="AV53" i="73"/>
  <c r="AV154" i="73"/>
  <c r="AW154" i="73"/>
  <c r="AV40" i="73"/>
  <c r="AW40" i="73"/>
  <c r="AW151" i="73"/>
  <c r="AV151" i="73"/>
  <c r="AW37" i="73"/>
  <c r="AV37" i="73"/>
  <c r="AW162" i="73"/>
  <c r="AV162" i="73"/>
  <c r="AW48" i="73"/>
  <c r="AV48" i="73"/>
  <c r="AW159" i="73"/>
  <c r="AV159" i="73"/>
  <c r="AW45" i="73"/>
  <c r="AV45" i="73"/>
  <c r="AV144" i="73"/>
  <c r="AW144" i="73"/>
  <c r="AV30" i="73"/>
  <c r="AW30" i="73"/>
  <c r="AV163" i="73"/>
  <c r="AW163" i="73"/>
  <c r="AV49" i="73"/>
  <c r="AW49" i="73"/>
  <c r="AW155" i="73"/>
  <c r="AV155" i="73"/>
  <c r="AW41" i="73"/>
  <c r="AV41" i="73"/>
  <c r="AW147" i="73"/>
  <c r="AV147" i="73"/>
  <c r="AW33" i="73"/>
  <c r="AV33" i="73"/>
  <c r="AW139" i="73"/>
  <c r="AV139" i="73"/>
  <c r="AW25" i="73"/>
  <c r="AV25" i="73"/>
  <c r="AW161" i="73"/>
  <c r="AV161" i="73"/>
  <c r="AW47" i="73"/>
  <c r="AV47" i="73"/>
  <c r="AV153" i="73"/>
  <c r="AW153" i="73"/>
  <c r="AV39" i="73"/>
  <c r="AW39" i="73"/>
  <c r="AW145" i="73"/>
  <c r="AV145" i="73"/>
  <c r="AW31" i="73"/>
  <c r="AV31" i="73"/>
  <c r="AV20" i="73"/>
  <c r="AW20" i="73"/>
  <c r="AW142" i="73"/>
  <c r="AV142" i="73"/>
  <c r="AW28" i="73"/>
  <c r="AV28" i="73"/>
  <c r="AV23" i="73"/>
  <c r="AW23" i="73"/>
  <c r="AV21" i="73"/>
  <c r="AW21" i="73"/>
  <c r="AV158" i="73"/>
  <c r="AW158" i="73"/>
  <c r="AV44" i="73"/>
  <c r="AW44" i="73"/>
  <c r="AW152" i="73"/>
  <c r="AV152" i="73"/>
  <c r="AW38" i="73"/>
  <c r="AV38" i="73"/>
  <c r="AW160" i="73"/>
  <c r="AV160" i="73"/>
  <c r="AW46" i="73"/>
  <c r="AV46" i="73"/>
  <c r="AV146" i="73"/>
  <c r="AW146" i="73"/>
  <c r="AV32" i="73"/>
  <c r="AW32" i="73"/>
  <c r="AV143" i="73"/>
  <c r="AW143" i="73"/>
  <c r="AV29" i="73"/>
  <c r="AW29" i="73"/>
  <c r="AW164" i="73"/>
  <c r="AV164" i="73"/>
  <c r="AW50" i="73"/>
  <c r="AV50" i="73"/>
  <c r="AV156" i="73"/>
  <c r="AW156" i="73"/>
  <c r="AV42" i="73"/>
  <c r="AW42" i="73"/>
  <c r="AV148" i="73"/>
  <c r="AW148" i="73"/>
  <c r="AV34" i="73"/>
  <c r="AW34" i="73"/>
  <c r="AV140" i="73"/>
  <c r="AW140" i="73"/>
  <c r="AV26" i="73"/>
  <c r="AW26" i="73"/>
  <c r="AW133" i="73"/>
  <c r="AV133" i="73"/>
  <c r="AW19" i="73"/>
  <c r="AV19" i="73"/>
  <c r="AW165" i="73"/>
  <c r="AV165" i="73"/>
  <c r="AW51" i="73"/>
  <c r="AV51" i="73"/>
  <c r="AW157" i="73"/>
  <c r="AV157" i="73"/>
  <c r="AW43" i="73"/>
  <c r="AV43" i="73"/>
  <c r="AW149" i="73"/>
  <c r="AV149" i="73"/>
  <c r="AW35" i="73"/>
  <c r="AV35" i="73"/>
  <c r="AW141" i="73"/>
  <c r="AV141" i="73"/>
  <c r="AW27" i="73"/>
  <c r="AV27" i="73"/>
  <c r="AX51" i="73"/>
  <c r="AX47" i="73"/>
  <c r="AX43" i="73"/>
  <c r="AX39" i="73"/>
  <c r="AX35" i="73"/>
  <c r="AX31" i="73"/>
  <c r="AX27" i="73"/>
  <c r="AX19" i="73"/>
  <c r="AX50" i="73"/>
  <c r="AX46" i="73"/>
  <c r="AX42" i="73"/>
  <c r="AX38" i="73"/>
  <c r="AX34" i="73"/>
  <c r="AX30" i="73"/>
  <c r="AX26" i="73"/>
  <c r="BZ207" i="73"/>
  <c r="BY207" i="73"/>
  <c r="AW93" i="73"/>
  <c r="AC93" i="73" s="1"/>
  <c r="AV93" i="73"/>
  <c r="BZ195" i="73"/>
  <c r="BY195" i="73"/>
  <c r="AW81" i="73"/>
  <c r="AC81" i="73" s="1"/>
  <c r="AV81" i="73"/>
  <c r="BZ193" i="73"/>
  <c r="BY193" i="73"/>
  <c r="AW79" i="73"/>
  <c r="AV79" i="73"/>
  <c r="BY223" i="73"/>
  <c r="BZ223" i="73"/>
  <c r="AV109" i="73"/>
  <c r="AW109" i="73"/>
  <c r="AC109" i="73" s="1"/>
  <c r="BZ224" i="73"/>
  <c r="BY224" i="73"/>
  <c r="AW110" i="73"/>
  <c r="AC110" i="73" s="1"/>
  <c r="AV110" i="73"/>
  <c r="BZ211" i="73"/>
  <c r="BY211" i="73"/>
  <c r="AW97" i="73"/>
  <c r="AC97" i="73" s="1"/>
  <c r="AV97" i="73"/>
  <c r="BZ208" i="73"/>
  <c r="BY208" i="73"/>
  <c r="AW94" i="73"/>
  <c r="AC94" i="73" s="1"/>
  <c r="AV94" i="73"/>
  <c r="BZ219" i="73"/>
  <c r="BY219" i="73"/>
  <c r="AW105" i="73"/>
  <c r="AC105" i="73" s="1"/>
  <c r="AV105" i="73"/>
  <c r="BZ216" i="73"/>
  <c r="BY216" i="73"/>
  <c r="AV102" i="73"/>
  <c r="AW102" i="73"/>
  <c r="AC102" i="73" s="1"/>
  <c r="BY201" i="73"/>
  <c r="BZ201" i="73"/>
  <c r="AV87" i="73"/>
  <c r="AW87" i="73"/>
  <c r="BZ220" i="73"/>
  <c r="BY220" i="73"/>
  <c r="AV106" i="73"/>
  <c r="AW106" i="73"/>
  <c r="AC106" i="73" s="1"/>
  <c r="BZ212" i="73"/>
  <c r="BY212" i="73"/>
  <c r="AW98" i="73"/>
  <c r="AC98" i="73" s="1"/>
  <c r="AV98" i="73"/>
  <c r="BZ204" i="73"/>
  <c r="BY204" i="73"/>
  <c r="AW90" i="73"/>
  <c r="AC90" i="73" s="1"/>
  <c r="AV90" i="73"/>
  <c r="BZ196" i="73"/>
  <c r="BY196" i="73"/>
  <c r="AW82" i="73"/>
  <c r="AV82" i="73"/>
  <c r="BZ218" i="73"/>
  <c r="BY218" i="73"/>
  <c r="AW104" i="73"/>
  <c r="AC104" i="73" s="1"/>
  <c r="AV104" i="73"/>
  <c r="BZ210" i="73"/>
  <c r="BY210" i="73"/>
  <c r="AV96" i="73"/>
  <c r="AW96" i="73"/>
  <c r="AC96" i="73" s="1"/>
  <c r="BZ202" i="73"/>
  <c r="BY202" i="73"/>
  <c r="AW88" i="73"/>
  <c r="AC88" i="73" s="1"/>
  <c r="AV88" i="73"/>
  <c r="BZ191" i="73"/>
  <c r="BY191" i="73"/>
  <c r="AW77" i="73"/>
  <c r="AC77" i="73" s="1"/>
  <c r="AV77" i="73"/>
  <c r="BZ199" i="73"/>
  <c r="BY199" i="73"/>
  <c r="AW85" i="73"/>
  <c r="AC85" i="73" s="1"/>
  <c r="AV85" i="73"/>
  <c r="BZ194" i="73"/>
  <c r="BY194" i="73"/>
  <c r="AV80" i="73"/>
  <c r="AW80" i="73"/>
  <c r="AC80" i="73" s="1"/>
  <c r="BZ192" i="73"/>
  <c r="BY192" i="73"/>
  <c r="AV78" i="73"/>
  <c r="AW78" i="73"/>
  <c r="BY215" i="73"/>
  <c r="BZ215" i="73"/>
  <c r="AV101" i="73"/>
  <c r="AW101" i="73"/>
  <c r="AC101" i="73" s="1"/>
  <c r="BZ209" i="73"/>
  <c r="BY209" i="73"/>
  <c r="AW95" i="73"/>
  <c r="AC95" i="73" s="1"/>
  <c r="AV95" i="73"/>
  <c r="BZ217" i="73"/>
  <c r="BY217" i="73"/>
  <c r="AW103" i="73"/>
  <c r="AV103" i="73"/>
  <c r="BZ203" i="73"/>
  <c r="BY203" i="73"/>
  <c r="AW89" i="73"/>
  <c r="AC89" i="73" s="1"/>
  <c r="AV89" i="73"/>
  <c r="BY200" i="73"/>
  <c r="BZ200" i="73"/>
  <c r="AW86" i="73"/>
  <c r="AC86" i="73" s="1"/>
  <c r="AV86" i="73"/>
  <c r="BZ221" i="73"/>
  <c r="BY221" i="73"/>
  <c r="AW107" i="73"/>
  <c r="AC107" i="73" s="1"/>
  <c r="AV107" i="73"/>
  <c r="BY213" i="73"/>
  <c r="BZ213" i="73"/>
  <c r="AV99" i="73"/>
  <c r="AW99" i="73"/>
  <c r="AC99" i="73" s="1"/>
  <c r="BY205" i="73"/>
  <c r="BZ205" i="73"/>
  <c r="AV91" i="73"/>
  <c r="AW91" i="73"/>
  <c r="AC91" i="73" s="1"/>
  <c r="BZ197" i="73"/>
  <c r="BY197" i="73"/>
  <c r="AW83" i="73"/>
  <c r="AC83" i="73" s="1"/>
  <c r="AV83" i="73"/>
  <c r="BZ190" i="73"/>
  <c r="BY190" i="73"/>
  <c r="AW76" i="73"/>
  <c r="AC76" i="73" s="1"/>
  <c r="AV76" i="73"/>
  <c r="BZ222" i="73"/>
  <c r="BY222" i="73"/>
  <c r="AV108" i="73"/>
  <c r="AW108" i="73"/>
  <c r="AC108" i="73" s="1"/>
  <c r="BZ214" i="73"/>
  <c r="BY214" i="73"/>
  <c r="AV100" i="73"/>
  <c r="AW100" i="73"/>
  <c r="AC100" i="73" s="1"/>
  <c r="BZ206" i="73"/>
  <c r="BY206" i="73"/>
  <c r="AW92" i="73"/>
  <c r="AC92" i="73" s="1"/>
  <c r="AV92" i="73"/>
  <c r="BZ198" i="73"/>
  <c r="BY198" i="73"/>
  <c r="AW84" i="73"/>
  <c r="AC84" i="73" s="1"/>
  <c r="AV84" i="73"/>
  <c r="CA222" i="73"/>
  <c r="AX107" i="73"/>
  <c r="CA218" i="73"/>
  <c r="CA217" i="73"/>
  <c r="CA213" i="73"/>
  <c r="AX98" i="73"/>
  <c r="AX96" i="73"/>
  <c r="CA206" i="73"/>
  <c r="CA202" i="73"/>
  <c r="AX85" i="73"/>
  <c r="CA196" i="73"/>
  <c r="AX53" i="73"/>
  <c r="AX49" i="73"/>
  <c r="AX45" i="73"/>
  <c r="AX41" i="73"/>
  <c r="AX37" i="73"/>
  <c r="AX33" i="73"/>
  <c r="AX29" i="73"/>
  <c r="AX25" i="73"/>
  <c r="CA190" i="73"/>
  <c r="AX110" i="73"/>
  <c r="AX109" i="73"/>
  <c r="CA220" i="73"/>
  <c r="AX105" i="73"/>
  <c r="CA216" i="73"/>
  <c r="CA215" i="73"/>
  <c r="AX100" i="73"/>
  <c r="CA211" i="73"/>
  <c r="CA209" i="73"/>
  <c r="CA208" i="73"/>
  <c r="AX93" i="73"/>
  <c r="CA205" i="73"/>
  <c r="CA204" i="73"/>
  <c r="AX89" i="73"/>
  <c r="CA201" i="73"/>
  <c r="AX86" i="73"/>
  <c r="CA198" i="73"/>
  <c r="AX83" i="73"/>
  <c r="CA195" i="73"/>
  <c r="AX52" i="73"/>
  <c r="AX48" i="73"/>
  <c r="AX44" i="73"/>
  <c r="AX40" i="73"/>
  <c r="AX36" i="73"/>
  <c r="AX32" i="73"/>
  <c r="AX28" i="73"/>
  <c r="AX24" i="73"/>
  <c r="I190" i="11"/>
  <c r="J190" i="11" s="1"/>
  <c r="I214" i="11"/>
  <c r="J214" i="11" s="1"/>
  <c r="I187" i="11"/>
  <c r="J187" i="11" s="1"/>
  <c r="I184" i="11"/>
  <c r="J184" i="11" s="1"/>
  <c r="I94" i="11"/>
  <c r="J94" i="11" s="1"/>
  <c r="I102" i="11"/>
  <c r="J102" i="11" s="1"/>
  <c r="I213" i="11"/>
  <c r="J213" i="11" s="1"/>
  <c r="I39" i="11"/>
  <c r="J39" i="11" s="1"/>
  <c r="I135" i="73"/>
  <c r="J135" i="73" s="1"/>
  <c r="I45" i="73"/>
  <c r="J45" i="73" s="1"/>
  <c r="I18" i="73"/>
  <c r="J18" i="73" s="1"/>
  <c r="I129" i="73"/>
  <c r="J129" i="73" s="1"/>
  <c r="I39" i="73"/>
  <c r="J39" i="73" s="1"/>
  <c r="I47" i="73"/>
  <c r="J47" i="73" s="1"/>
  <c r="I44" i="73"/>
  <c r="J44" i="73" s="1"/>
  <c r="AC44" i="74"/>
  <c r="U44" i="74"/>
  <c r="V44" i="74" s="1"/>
  <c r="X44" i="74" s="1"/>
  <c r="AK45" i="74"/>
  <c r="U45" i="74"/>
  <c r="V45" i="74" s="1"/>
  <c r="X45" i="74" s="1"/>
  <c r="AC45" i="74"/>
  <c r="AC29" i="74"/>
  <c r="BA29" i="74"/>
  <c r="I139" i="73"/>
  <c r="J139" i="73" s="1"/>
  <c r="I82" i="73"/>
  <c r="J82" i="73" s="1"/>
  <c r="I136" i="73"/>
  <c r="J136" i="73" s="1"/>
  <c r="I79" i="73"/>
  <c r="J79" i="73" s="1"/>
  <c r="I95" i="73"/>
  <c r="J95" i="73" s="1"/>
  <c r="I150" i="11"/>
  <c r="J150" i="11" s="1"/>
  <c r="I133" i="73"/>
  <c r="J133" i="73" s="1"/>
  <c r="I76" i="73"/>
  <c r="J76" i="73" s="1"/>
  <c r="I149" i="73"/>
  <c r="J149" i="73" s="1"/>
  <c r="I147" i="11"/>
  <c r="J147" i="11" s="1"/>
  <c r="I130" i="73"/>
  <c r="J130" i="73" s="1"/>
  <c r="I73" i="73"/>
  <c r="J73" i="73" s="1"/>
  <c r="I146" i="73"/>
  <c r="J146" i="73" s="1"/>
  <c r="I30" i="11"/>
  <c r="J30" i="11" s="1"/>
  <c r="I162" i="73"/>
  <c r="J162" i="73" s="1"/>
  <c r="I105" i="73"/>
  <c r="J105" i="73" s="1"/>
  <c r="I213" i="73"/>
  <c r="J213" i="73" s="1"/>
  <c r="I42" i="73"/>
  <c r="J42" i="73" s="1"/>
  <c r="I207" i="73"/>
  <c r="J207" i="73" s="1"/>
  <c r="I36" i="73"/>
  <c r="J36" i="73" s="1"/>
  <c r="I194" i="73"/>
  <c r="J194" i="73" s="1"/>
  <c r="I23" i="73"/>
  <c r="J23" i="73" s="1"/>
  <c r="I197" i="73"/>
  <c r="J197" i="73" s="1"/>
  <c r="I26" i="73"/>
  <c r="J26" i="73" s="1"/>
  <c r="I138" i="11"/>
  <c r="J138" i="11" s="1"/>
  <c r="I154" i="11"/>
  <c r="J154" i="11" s="1"/>
  <c r="I135" i="11"/>
  <c r="J135" i="11" s="1"/>
  <c r="I34" i="11"/>
  <c r="J34" i="11" s="1"/>
  <c r="I137" i="11"/>
  <c r="J137" i="11" s="1"/>
  <c r="I134" i="11"/>
  <c r="J134" i="11" s="1"/>
  <c r="I128" i="11"/>
  <c r="J128" i="11" s="1"/>
  <c r="I137" i="73"/>
  <c r="J137" i="73" s="1"/>
  <c r="I152" i="73"/>
  <c r="J152" i="73" s="1"/>
  <c r="I89" i="73"/>
  <c r="J89" i="73" s="1"/>
  <c r="BA45" i="74"/>
  <c r="AS44" i="74"/>
  <c r="AK30" i="74"/>
  <c r="AS30" i="74"/>
  <c r="AC30" i="74"/>
  <c r="U30" i="74"/>
  <c r="V30" i="74" s="1"/>
  <c r="AC18" i="74"/>
  <c r="AS18" i="74"/>
  <c r="AK18" i="74"/>
  <c r="U18" i="74"/>
  <c r="V18" i="74" s="1"/>
  <c r="AA18" i="74" s="1"/>
  <c r="AC47" i="74"/>
  <c r="BI47" i="74"/>
  <c r="AK47" i="74"/>
  <c r="BQ47" i="74"/>
  <c r="BA31" i="74"/>
  <c r="BI31" i="74"/>
  <c r="BQ31" i="74"/>
  <c r="U31" i="74"/>
  <c r="V31" i="74" s="1"/>
  <c r="AC42" i="74"/>
  <c r="BI42" i="74"/>
  <c r="AK42" i="74"/>
  <c r="BQ42" i="74"/>
  <c r="AK39" i="74"/>
  <c r="BI39" i="74"/>
  <c r="AC39" i="74"/>
  <c r="BQ39" i="74"/>
  <c r="U43" i="74"/>
  <c r="V43" i="74" s="1"/>
  <c r="BA43" i="74"/>
  <c r="AC43" i="74"/>
  <c r="BI43" i="74"/>
  <c r="AC27" i="74"/>
  <c r="AK27" i="74"/>
  <c r="AS27" i="74"/>
  <c r="AK41" i="74"/>
  <c r="BQ41" i="74"/>
  <c r="AS41" i="74"/>
  <c r="BA25" i="74"/>
  <c r="BI25" i="74"/>
  <c r="BQ25" i="74"/>
  <c r="U25" i="74"/>
  <c r="V25" i="74" s="1"/>
  <c r="AA25" i="74" s="1"/>
  <c r="AD25" i="74" s="1"/>
  <c r="U14" i="74"/>
  <c r="V14" i="74" s="1"/>
  <c r="W14" i="74" s="1"/>
  <c r="AC14" i="74"/>
  <c r="AK14" i="74"/>
  <c r="I208" i="73"/>
  <c r="J208" i="73" s="1"/>
  <c r="I37" i="73"/>
  <c r="J37" i="73" s="1"/>
  <c r="I205" i="73"/>
  <c r="J205" i="73" s="1"/>
  <c r="I34" i="73"/>
  <c r="J34" i="73" s="1"/>
  <c r="I202" i="73"/>
  <c r="J202" i="73" s="1"/>
  <c r="I31" i="73"/>
  <c r="J31" i="73" s="1"/>
  <c r="I199" i="73"/>
  <c r="J199" i="73" s="1"/>
  <c r="I28" i="73"/>
  <c r="J28" i="73" s="1"/>
  <c r="V177" i="8"/>
  <c r="I149" i="11"/>
  <c r="J149" i="11" s="1"/>
  <c r="I206" i="11"/>
  <c r="J206" i="11" s="1"/>
  <c r="I81" i="11"/>
  <c r="J81" i="11" s="1"/>
  <c r="I195" i="11"/>
  <c r="J195" i="11" s="1"/>
  <c r="I89" i="11"/>
  <c r="J89" i="11" s="1"/>
  <c r="I203" i="11"/>
  <c r="J203" i="11" s="1"/>
  <c r="I97" i="11"/>
  <c r="J97" i="11" s="1"/>
  <c r="I211" i="11"/>
  <c r="J211" i="11" s="1"/>
  <c r="I78" i="11"/>
  <c r="J78" i="11" s="1"/>
  <c r="I192" i="11"/>
  <c r="J192" i="11" s="1"/>
  <c r="I86" i="11"/>
  <c r="J86" i="11" s="1"/>
  <c r="I200" i="11"/>
  <c r="J200" i="11" s="1"/>
  <c r="I83" i="11"/>
  <c r="J83" i="11" s="1"/>
  <c r="I197" i="11"/>
  <c r="J197" i="11" s="1"/>
  <c r="I148" i="11"/>
  <c r="J148" i="11" s="1"/>
  <c r="I205" i="11"/>
  <c r="J205" i="11" s="1"/>
  <c r="I23" i="11"/>
  <c r="J23" i="11" s="1"/>
  <c r="I96" i="11"/>
  <c r="J96" i="11" s="1"/>
  <c r="I20" i="11"/>
  <c r="J20" i="11" s="1"/>
  <c r="I36" i="11"/>
  <c r="J36" i="11" s="1"/>
  <c r="I17" i="11"/>
  <c r="J17" i="11" s="1"/>
  <c r="I33" i="11"/>
  <c r="J33" i="11" s="1"/>
  <c r="I14" i="11"/>
  <c r="J14" i="11" s="1"/>
  <c r="I87" i="11"/>
  <c r="J87" i="11" s="1"/>
  <c r="I103" i="11"/>
  <c r="J103" i="11" s="1"/>
  <c r="V219" i="8"/>
  <c r="V181" i="8"/>
  <c r="Y181" i="8" s="1"/>
  <c r="V188" i="8"/>
  <c r="Y188" i="8" s="1"/>
  <c r="V172" i="8"/>
  <c r="I94" i="73"/>
  <c r="J94" i="73" s="1"/>
  <c r="I83" i="73"/>
  <c r="J83" i="73" s="1"/>
  <c r="I91" i="73"/>
  <c r="J91" i="73" s="1"/>
  <c r="I99" i="73"/>
  <c r="J99" i="73" s="1"/>
  <c r="I80" i="73"/>
  <c r="J80" i="73" s="1"/>
  <c r="I88" i="73"/>
  <c r="J88" i="73" s="1"/>
  <c r="I85" i="73"/>
  <c r="J85" i="73" s="1"/>
  <c r="I93" i="73"/>
  <c r="J93" i="73" s="1"/>
  <c r="I196" i="73"/>
  <c r="J196" i="73" s="1"/>
  <c r="I212" i="73"/>
  <c r="J212" i="73" s="1"/>
  <c r="I193" i="73"/>
  <c r="J193" i="73" s="1"/>
  <c r="I209" i="73"/>
  <c r="J209" i="73" s="1"/>
  <c r="I190" i="73"/>
  <c r="J190" i="73" s="1"/>
  <c r="I206" i="73"/>
  <c r="J206" i="73" s="1"/>
  <c r="I187" i="73"/>
  <c r="J187" i="73" s="1"/>
  <c r="I203" i="73"/>
  <c r="J203" i="73" s="1"/>
  <c r="I219" i="73"/>
  <c r="J219" i="73" s="1"/>
  <c r="BX210" i="11"/>
  <c r="CA210" i="11" s="1"/>
  <c r="I80" i="11"/>
  <c r="J80" i="11" s="1"/>
  <c r="I194" i="11"/>
  <c r="J194" i="11" s="1"/>
  <c r="I153" i="11"/>
  <c r="J153" i="11" s="1"/>
  <c r="I210" i="11"/>
  <c r="J210" i="11" s="1"/>
  <c r="I77" i="11"/>
  <c r="J77" i="11" s="1"/>
  <c r="I191" i="11"/>
  <c r="J191" i="11" s="1"/>
  <c r="I93" i="11"/>
  <c r="J93" i="11" s="1"/>
  <c r="I207" i="11"/>
  <c r="J207" i="11" s="1"/>
  <c r="I74" i="11"/>
  <c r="J74" i="11" s="1"/>
  <c r="I188" i="11"/>
  <c r="J188" i="11" s="1"/>
  <c r="I90" i="11"/>
  <c r="J90" i="11" s="1"/>
  <c r="I204" i="11"/>
  <c r="J204" i="11" s="1"/>
  <c r="I71" i="11"/>
  <c r="J71" i="11" s="1"/>
  <c r="I185" i="11"/>
  <c r="J185" i="11" s="1"/>
  <c r="I144" i="11"/>
  <c r="J144" i="11" s="1"/>
  <c r="I201" i="11"/>
  <c r="J201" i="11" s="1"/>
  <c r="I160" i="11"/>
  <c r="J160" i="11" s="1"/>
  <c r="I217" i="11"/>
  <c r="J217" i="11" s="1"/>
  <c r="V178" i="8"/>
  <c r="Y178" i="8" s="1"/>
  <c r="V216" i="8"/>
  <c r="I25" i="73"/>
  <c r="J25" i="73" s="1"/>
  <c r="I41" i="73"/>
  <c r="J41" i="73" s="1"/>
  <c r="I22" i="73"/>
  <c r="J22" i="73" s="1"/>
  <c r="I38" i="73"/>
  <c r="J38" i="73" s="1"/>
  <c r="I19" i="73"/>
  <c r="J19" i="73" s="1"/>
  <c r="I35" i="73"/>
  <c r="J35" i="73" s="1"/>
  <c r="I16" i="73"/>
  <c r="J16" i="73" s="1"/>
  <c r="I32" i="73"/>
  <c r="J32" i="73" s="1"/>
  <c r="I48" i="73"/>
  <c r="J48" i="73" s="1"/>
  <c r="AS45" i="74"/>
  <c r="BQ45" i="74"/>
  <c r="BQ44" i="74"/>
  <c r="AK44" i="74"/>
  <c r="BI44" i="74"/>
  <c r="AS35" i="74"/>
  <c r="AC35" i="74"/>
  <c r="BQ33" i="74"/>
  <c r="BA33" i="74"/>
  <c r="U29" i="74"/>
  <c r="V29" i="74" s="1"/>
  <c r="AA29" i="74" s="1"/>
  <c r="BI29" i="74"/>
  <c r="AK23" i="74"/>
  <c r="AS19" i="74"/>
  <c r="AK17" i="74"/>
  <c r="AS29" i="74"/>
  <c r="AK29" i="74"/>
  <c r="AS23" i="74"/>
  <c r="AC23" i="74"/>
  <c r="AC17" i="74"/>
  <c r="AS17" i="74"/>
  <c r="P460" i="8"/>
  <c r="BA15" i="74"/>
  <c r="U13" i="74"/>
  <c r="V13" i="74" s="1"/>
  <c r="X13" i="74" s="1"/>
  <c r="AO103" i="11"/>
  <c r="U23" i="74"/>
  <c r="V23" i="74" s="1"/>
  <c r="BQ23" i="74"/>
  <c r="BI23" i="74"/>
  <c r="BI17" i="74"/>
  <c r="U17" i="74"/>
  <c r="V17" i="74" s="1"/>
  <c r="W17" i="74" s="1"/>
  <c r="BA17" i="74"/>
  <c r="BQ21" i="74"/>
  <c r="BA21" i="74"/>
  <c r="AK15" i="74"/>
  <c r="AC13" i="74"/>
  <c r="AS13" i="74"/>
  <c r="BI46" i="74"/>
  <c r="BA46" i="74"/>
  <c r="BI34" i="74"/>
  <c r="BQ34" i="74"/>
  <c r="BI24" i="74"/>
  <c r="BQ24" i="74"/>
  <c r="BA16" i="74"/>
  <c r="AO82" i="11"/>
  <c r="AC15" i="74"/>
  <c r="I19" i="11"/>
  <c r="J19" i="11" s="1"/>
  <c r="I133" i="11"/>
  <c r="J133" i="11" s="1"/>
  <c r="I100" i="11"/>
  <c r="J100" i="11" s="1"/>
  <c r="I43" i="11"/>
  <c r="J43" i="11" s="1"/>
  <c r="I16" i="11"/>
  <c r="J16" i="11" s="1"/>
  <c r="I130" i="11"/>
  <c r="J130" i="11" s="1"/>
  <c r="I13" i="11"/>
  <c r="J13" i="11" s="1"/>
  <c r="I127" i="11"/>
  <c r="J127" i="11" s="1"/>
  <c r="I37" i="11"/>
  <c r="J37" i="11" s="1"/>
  <c r="I151" i="11"/>
  <c r="J151" i="11" s="1"/>
  <c r="I45" i="11"/>
  <c r="J45" i="11" s="1"/>
  <c r="I159" i="11"/>
  <c r="J159" i="11" s="1"/>
  <c r="I99" i="11"/>
  <c r="J99" i="11" s="1"/>
  <c r="I42" i="11"/>
  <c r="J42" i="11" s="1"/>
  <c r="I15" i="11"/>
  <c r="J15" i="11" s="1"/>
  <c r="I129" i="11"/>
  <c r="J129" i="11" s="1"/>
  <c r="I88" i="11"/>
  <c r="J88" i="11" s="1"/>
  <c r="I31" i="11"/>
  <c r="J31" i="11" s="1"/>
  <c r="I12" i="11"/>
  <c r="J12" i="11" s="1"/>
  <c r="I126" i="11"/>
  <c r="J126" i="11" s="1"/>
  <c r="I28" i="11"/>
  <c r="J28" i="11" s="1"/>
  <c r="I142" i="11"/>
  <c r="J142" i="11" s="1"/>
  <c r="I44" i="11"/>
  <c r="J44" i="11" s="1"/>
  <c r="I158" i="11"/>
  <c r="J158" i="11" s="1"/>
  <c r="I25" i="11"/>
  <c r="J25" i="11" s="1"/>
  <c r="I139" i="11"/>
  <c r="J139" i="11" s="1"/>
  <c r="I41" i="11"/>
  <c r="J41" i="11" s="1"/>
  <c r="I155" i="11"/>
  <c r="J155" i="11" s="1"/>
  <c r="I22" i="11"/>
  <c r="J22" i="11" s="1"/>
  <c r="I136" i="11"/>
  <c r="J136" i="11" s="1"/>
  <c r="I95" i="11"/>
  <c r="J95" i="11" s="1"/>
  <c r="I38" i="11"/>
  <c r="J38" i="11" s="1"/>
  <c r="V180" i="8"/>
  <c r="V164" i="8"/>
  <c r="AU96" i="11"/>
  <c r="AN82" i="11"/>
  <c r="I78" i="73"/>
  <c r="J78" i="73" s="1"/>
  <c r="I102" i="73"/>
  <c r="J102" i="73" s="1"/>
  <c r="I75" i="73"/>
  <c r="J75" i="73" s="1"/>
  <c r="I72" i="73"/>
  <c r="J72" i="73" s="1"/>
  <c r="I96" i="73"/>
  <c r="J96" i="73" s="1"/>
  <c r="I104" i="73"/>
  <c r="J104" i="73" s="1"/>
  <c r="I158" i="73"/>
  <c r="J158" i="73" s="1"/>
  <c r="I74" i="73"/>
  <c r="J74" i="73" s="1"/>
  <c r="I90" i="73"/>
  <c r="J90" i="73" s="1"/>
  <c r="I71" i="73"/>
  <c r="J71" i="73" s="1"/>
  <c r="I87" i="73"/>
  <c r="J87" i="73" s="1"/>
  <c r="I103" i="73"/>
  <c r="J103" i="73" s="1"/>
  <c r="I84" i="73"/>
  <c r="J84" i="73" s="1"/>
  <c r="I100" i="73"/>
  <c r="J100" i="73" s="1"/>
  <c r="I81" i="73"/>
  <c r="J81" i="73" s="1"/>
  <c r="I97" i="73"/>
  <c r="J97" i="73" s="1"/>
  <c r="BQ37" i="74"/>
  <c r="BI37" i="74"/>
  <c r="U35" i="74"/>
  <c r="V35" i="74" s="1"/>
  <c r="BQ35" i="74"/>
  <c r="BI35" i="74"/>
  <c r="AS33" i="74"/>
  <c r="AK33" i="74"/>
  <c r="AS21" i="74"/>
  <c r="AK21" i="74"/>
  <c r="BI19" i="74"/>
  <c r="BQ19" i="74"/>
  <c r="U19" i="74"/>
  <c r="V19" i="74" s="1"/>
  <c r="AA19" i="74" s="1"/>
  <c r="U15" i="74"/>
  <c r="V15" i="74" s="1"/>
  <c r="AS15" i="74"/>
  <c r="BQ15" i="74"/>
  <c r="BQ13" i="74"/>
  <c r="BI13" i="74"/>
  <c r="O153" i="11"/>
  <c r="U46" i="74"/>
  <c r="V46" i="74" s="1"/>
  <c r="AS46" i="74"/>
  <c r="BQ46" i="74"/>
  <c r="U34" i="74"/>
  <c r="V34" i="74" s="1"/>
  <c r="X34" i="74" s="1"/>
  <c r="AC34" i="74"/>
  <c r="AS34" i="74"/>
  <c r="U24" i="74"/>
  <c r="V24" i="74" s="1"/>
  <c r="AC24" i="74"/>
  <c r="AS24" i="74"/>
  <c r="U16" i="74"/>
  <c r="V16" i="74" s="1"/>
  <c r="AA16" i="74" s="1"/>
  <c r="BI16" i="74"/>
  <c r="AK16" i="74"/>
  <c r="BQ16" i="74"/>
  <c r="AC16" i="74"/>
  <c r="O96" i="11"/>
  <c r="AU39" i="11"/>
  <c r="AX39" i="11" s="1"/>
  <c r="AU153" i="11"/>
  <c r="N35" i="45"/>
  <c r="BA35" i="45" s="1"/>
  <c r="O210" i="11"/>
  <c r="O39" i="11"/>
  <c r="V162" i="8"/>
  <c r="BD200" i="11"/>
  <c r="AU17" i="73"/>
  <c r="AU74" i="73"/>
  <c r="AX74" i="73" s="1"/>
  <c r="AU131" i="73"/>
  <c r="BX188" i="73"/>
  <c r="AU13" i="73"/>
  <c r="AU70" i="73"/>
  <c r="AU127" i="73"/>
  <c r="BX184" i="73"/>
  <c r="CA184" i="73" s="1"/>
  <c r="AU15" i="73"/>
  <c r="AU72" i="73"/>
  <c r="AU129" i="73"/>
  <c r="BX186" i="73"/>
  <c r="AU14" i="73"/>
  <c r="AU71" i="73"/>
  <c r="AX71" i="73" s="1"/>
  <c r="AU128" i="73"/>
  <c r="BX185" i="73"/>
  <c r="CA185" i="73" s="1"/>
  <c r="AU16" i="73"/>
  <c r="AU73" i="73"/>
  <c r="AX73" i="73" s="1"/>
  <c r="AU130" i="73"/>
  <c r="BX187" i="73"/>
  <c r="AU18" i="73"/>
  <c r="AU75" i="73"/>
  <c r="AX75" i="73" s="1"/>
  <c r="AU132" i="73"/>
  <c r="BX189" i="73"/>
  <c r="CA189" i="73" s="1"/>
  <c r="AE131" i="73"/>
  <c r="AG131" i="73" s="1"/>
  <c r="AF131" i="73"/>
  <c r="AH131" i="73" s="1"/>
  <c r="AE134" i="73"/>
  <c r="AG134" i="73" s="1"/>
  <c r="AF134" i="73"/>
  <c r="AH134" i="73" s="1"/>
  <c r="AE130" i="73"/>
  <c r="AG130" i="73" s="1"/>
  <c r="AF130" i="73"/>
  <c r="AH130" i="73" s="1"/>
  <c r="AF135" i="73"/>
  <c r="AH135" i="73" s="1"/>
  <c r="AE135" i="73"/>
  <c r="AG135" i="73" s="1"/>
  <c r="AE136" i="73"/>
  <c r="AG136" i="73" s="1"/>
  <c r="AF136" i="73"/>
  <c r="AH136" i="73" s="1"/>
  <c r="AE129" i="73"/>
  <c r="AG129" i="73" s="1"/>
  <c r="AF129" i="73"/>
  <c r="AH129" i="73" s="1"/>
  <c r="AE132" i="73"/>
  <c r="AG132" i="73" s="1"/>
  <c r="AF132" i="73"/>
  <c r="AH132" i="73" s="1"/>
  <c r="BB200" i="11"/>
  <c r="AF137" i="73"/>
  <c r="AH137" i="73" s="1"/>
  <c r="AE137" i="73"/>
  <c r="AG137" i="73" s="1"/>
  <c r="AE128" i="73"/>
  <c r="AG128" i="73" s="1"/>
  <c r="AF128" i="73"/>
  <c r="AH128" i="73" s="1"/>
  <c r="AG14" i="73"/>
  <c r="AI14" i="73" s="1"/>
  <c r="AH14" i="73"/>
  <c r="AJ14" i="73" s="1"/>
  <c r="AG15" i="73"/>
  <c r="AI15" i="73" s="1"/>
  <c r="AH15" i="73"/>
  <c r="AJ15" i="73" s="1"/>
  <c r="AG16" i="73"/>
  <c r="AI16" i="73" s="1"/>
  <c r="AH16" i="73"/>
  <c r="AJ16" i="73" s="1"/>
  <c r="AG17" i="73"/>
  <c r="AI17" i="73" s="1"/>
  <c r="AH17" i="73"/>
  <c r="AJ17" i="73" s="1"/>
  <c r="AG18" i="73"/>
  <c r="AI18" i="73" s="1"/>
  <c r="AH18" i="73"/>
  <c r="AJ18" i="73" s="1"/>
  <c r="AG20" i="73"/>
  <c r="AI20" i="73" s="1"/>
  <c r="AH20" i="73"/>
  <c r="AJ20" i="73" s="1"/>
  <c r="AG21" i="73"/>
  <c r="AI21" i="73" s="1"/>
  <c r="AH21" i="73"/>
  <c r="AJ21" i="73" s="1"/>
  <c r="AG22" i="73"/>
  <c r="AI22" i="73" s="1"/>
  <c r="AH22" i="73"/>
  <c r="AJ22" i="73" s="1"/>
  <c r="AG23" i="73"/>
  <c r="AI23" i="73" s="1"/>
  <c r="AH23" i="73"/>
  <c r="AJ23" i="73" s="1"/>
  <c r="AP29" i="11"/>
  <c r="AH29" i="11"/>
  <c r="AJ29" i="11"/>
  <c r="AG29" i="11"/>
  <c r="AI29" i="11" s="1"/>
  <c r="AP46" i="11"/>
  <c r="AJ46" i="11"/>
  <c r="AG46" i="11"/>
  <c r="AI46" i="11" s="1"/>
  <c r="AH46" i="11"/>
  <c r="AP25" i="11"/>
  <c r="AH25" i="11"/>
  <c r="AG25" i="11"/>
  <c r="AI25" i="11" s="1"/>
  <c r="AJ25" i="11"/>
  <c r="BE210" i="11"/>
  <c r="AZ210" i="11"/>
  <c r="AW210" i="11"/>
  <c r="AY210" i="11" s="1"/>
  <c r="AX210" i="11"/>
  <c r="BE202" i="11"/>
  <c r="AZ202" i="11"/>
  <c r="AW202" i="11"/>
  <c r="AY202" i="11" s="1"/>
  <c r="AX202" i="11"/>
  <c r="AH145" i="11"/>
  <c r="AF145" i="11"/>
  <c r="AE145" i="11"/>
  <c r="AG145" i="11" s="1"/>
  <c r="AH143" i="11"/>
  <c r="AF143" i="11"/>
  <c r="AE143" i="11"/>
  <c r="AG143" i="11" s="1"/>
  <c r="AH139" i="11"/>
  <c r="AF139" i="11"/>
  <c r="AE139" i="11"/>
  <c r="AG139" i="11" s="1"/>
  <c r="BE200" i="11"/>
  <c r="AZ200" i="11"/>
  <c r="AX200" i="11"/>
  <c r="AW200" i="11"/>
  <c r="AY200" i="11" s="1"/>
  <c r="AB77" i="73"/>
  <c r="AP80" i="73"/>
  <c r="AB76" i="73"/>
  <c r="AB109" i="73"/>
  <c r="V105" i="73"/>
  <c r="U105" i="73"/>
  <c r="AB105" i="73"/>
  <c r="AB102" i="73"/>
  <c r="AB100" i="73"/>
  <c r="V95" i="73"/>
  <c r="U95" i="73"/>
  <c r="AB95" i="73"/>
  <c r="AB91" i="73"/>
  <c r="AB83" i="73"/>
  <c r="AB106" i="73"/>
  <c r="V98" i="73"/>
  <c r="AB98" i="73"/>
  <c r="U98" i="73"/>
  <c r="AB96" i="73"/>
  <c r="V92" i="73"/>
  <c r="AB92" i="73"/>
  <c r="U92" i="73"/>
  <c r="V88" i="73"/>
  <c r="AB88" i="73"/>
  <c r="U88" i="73"/>
  <c r="V84" i="73"/>
  <c r="AB84" i="73"/>
  <c r="U84" i="73"/>
  <c r="V81" i="73"/>
  <c r="U81" i="73"/>
  <c r="AB81" i="73"/>
  <c r="AP39" i="11"/>
  <c r="AJ39" i="11"/>
  <c r="AG39" i="11"/>
  <c r="AI39" i="11" s="1"/>
  <c r="AH39" i="11"/>
  <c r="AP31" i="11"/>
  <c r="AH31" i="11"/>
  <c r="AJ31" i="11"/>
  <c r="AG31" i="11"/>
  <c r="AI31" i="11" s="1"/>
  <c r="AZ217" i="11"/>
  <c r="BE217" i="11"/>
  <c r="AX217" i="11"/>
  <c r="AW217" i="11"/>
  <c r="AY217" i="11" s="1"/>
  <c r="BE196" i="11"/>
  <c r="AZ196" i="11"/>
  <c r="AX196" i="11"/>
  <c r="AW196" i="11"/>
  <c r="AY196" i="11" s="1"/>
  <c r="AH153" i="11"/>
  <c r="AF153" i="11"/>
  <c r="AE153" i="11"/>
  <c r="AG153" i="11" s="1"/>
  <c r="AP96" i="11"/>
  <c r="AJ96" i="11"/>
  <c r="AH96" i="11"/>
  <c r="AG96" i="11"/>
  <c r="AI96" i="11" s="1"/>
  <c r="AP86" i="11"/>
  <c r="AJ86" i="11"/>
  <c r="AG86" i="11"/>
  <c r="AI86" i="11" s="1"/>
  <c r="AH86" i="11"/>
  <c r="AH160" i="11"/>
  <c r="AF160" i="11"/>
  <c r="AE160" i="11"/>
  <c r="AG160" i="11" s="1"/>
  <c r="AP82" i="11"/>
  <c r="AJ82" i="11"/>
  <c r="AH82" i="11"/>
  <c r="AG82" i="11"/>
  <c r="AI82" i="11" s="1"/>
  <c r="AP88" i="11"/>
  <c r="AJ88" i="11"/>
  <c r="AH88" i="11"/>
  <c r="AG88" i="11"/>
  <c r="AI88" i="11" s="1"/>
  <c r="AP103" i="11"/>
  <c r="AH103" i="11"/>
  <c r="AJ103" i="11"/>
  <c r="AG103" i="11"/>
  <c r="AI103" i="11" s="1"/>
  <c r="AP72" i="73"/>
  <c r="AP77" i="73"/>
  <c r="AB80" i="73"/>
  <c r="V110" i="73"/>
  <c r="AB110" i="73"/>
  <c r="U110" i="73"/>
  <c r="AB108" i="73"/>
  <c r="V103" i="73"/>
  <c r="AB101" i="73"/>
  <c r="AB99" i="73"/>
  <c r="AB93" i="73"/>
  <c r="AB89" i="73"/>
  <c r="V85" i="73"/>
  <c r="U85" i="73"/>
  <c r="AB85" i="73"/>
  <c r="V107" i="73"/>
  <c r="U107" i="73"/>
  <c r="AB107" i="73"/>
  <c r="V104" i="73"/>
  <c r="AB104" i="73"/>
  <c r="U104" i="73"/>
  <c r="AB97" i="73"/>
  <c r="V94" i="73"/>
  <c r="AB94" i="73"/>
  <c r="U94" i="73"/>
  <c r="V90" i="73"/>
  <c r="AB90" i="73"/>
  <c r="U90" i="73"/>
  <c r="AB86" i="73"/>
  <c r="BQ224" i="73"/>
  <c r="BO224" i="73"/>
  <c r="BP224" i="73"/>
  <c r="BQ216" i="73"/>
  <c r="BO216" i="73"/>
  <c r="BP216" i="73"/>
  <c r="BH222" i="73"/>
  <c r="BH202" i="73"/>
  <c r="AO80" i="73"/>
  <c r="AL80" i="73"/>
  <c r="AN80" i="73"/>
  <c r="BQ196" i="73"/>
  <c r="BO196" i="73"/>
  <c r="BP196" i="73"/>
  <c r="BH213" i="73"/>
  <c r="BI213" i="73" s="1"/>
  <c r="BL213" i="73" s="1"/>
  <c r="BH190" i="73"/>
  <c r="BH219" i="73"/>
  <c r="BH217" i="73"/>
  <c r="BI217" i="73" s="1"/>
  <c r="BL217" i="73" s="1"/>
  <c r="X31" i="74"/>
  <c r="X47" i="74"/>
  <c r="AA47" i="74"/>
  <c r="AA42" i="74"/>
  <c r="X42" i="74"/>
  <c r="Q71" i="73"/>
  <c r="Q72" i="73"/>
  <c r="AF72" i="73" s="1"/>
  <c r="AM72" i="73" s="1"/>
  <c r="Q73" i="73"/>
  <c r="Q75" i="73"/>
  <c r="BQ40" i="74"/>
  <c r="AC40" i="74"/>
  <c r="BI40" i="74"/>
  <c r="U40" i="74"/>
  <c r="V40" i="74" s="1"/>
  <c r="U38" i="74"/>
  <c r="V38" i="74" s="1"/>
  <c r="BQ38" i="74"/>
  <c r="BI38" i="74"/>
  <c r="AK36" i="74"/>
  <c r="U36" i="74"/>
  <c r="V36" i="74" s="1"/>
  <c r="BI36" i="74"/>
  <c r="BA36" i="74"/>
  <c r="U32" i="74"/>
  <c r="V32" i="74" s="1"/>
  <c r="AC32" i="74"/>
  <c r="AS32" i="74"/>
  <c r="AK32" i="74"/>
  <c r="U28" i="74"/>
  <c r="V28" i="74" s="1"/>
  <c r="AC28" i="74"/>
  <c r="AS28" i="74"/>
  <c r="AK28" i="74"/>
  <c r="BI26" i="74"/>
  <c r="BA26" i="74"/>
  <c r="BQ26" i="74"/>
  <c r="BI22" i="74"/>
  <c r="BA22" i="74"/>
  <c r="BQ22" i="74"/>
  <c r="AK20" i="74"/>
  <c r="BI20" i="74"/>
  <c r="AS20" i="74"/>
  <c r="AC20" i="74"/>
  <c r="O185" i="73"/>
  <c r="O128" i="73"/>
  <c r="O71" i="73"/>
  <c r="O14" i="73"/>
  <c r="N8" i="74"/>
  <c r="AK8" i="74" s="1"/>
  <c r="O187" i="73"/>
  <c r="O130" i="73"/>
  <c r="O73" i="73"/>
  <c r="N10" i="74"/>
  <c r="U10" i="74" s="1"/>
  <c r="V10" i="74" s="1"/>
  <c r="W10" i="74" s="1"/>
  <c r="O16" i="73"/>
  <c r="O188" i="73"/>
  <c r="O131" i="73"/>
  <c r="O74" i="73"/>
  <c r="O17" i="73"/>
  <c r="N11" i="74"/>
  <c r="BI11" i="74" s="1"/>
  <c r="O184" i="73"/>
  <c r="O127" i="73"/>
  <c r="O70" i="73"/>
  <c r="O13" i="73"/>
  <c r="N7" i="74"/>
  <c r="BI7" i="74" s="1"/>
  <c r="O186" i="73"/>
  <c r="O129" i="73"/>
  <c r="O72" i="73"/>
  <c r="O15" i="73"/>
  <c r="N9" i="74"/>
  <c r="AS9" i="74" s="1"/>
  <c r="O189" i="73"/>
  <c r="O132" i="73"/>
  <c r="O75" i="73"/>
  <c r="N12" i="74"/>
  <c r="AK12" i="74" s="1"/>
  <c r="O18" i="73"/>
  <c r="O25" i="11"/>
  <c r="O82" i="11"/>
  <c r="O196" i="11"/>
  <c r="O139" i="11"/>
  <c r="N21" i="45"/>
  <c r="BA21" i="45" s="1"/>
  <c r="BQ203" i="73"/>
  <c r="BO203" i="73"/>
  <c r="BP203" i="73"/>
  <c r="BH199" i="73"/>
  <c r="BI199" i="73" s="1"/>
  <c r="BL199" i="73" s="1"/>
  <c r="BH211" i="73"/>
  <c r="BH197" i="73"/>
  <c r="BI197" i="73" s="1"/>
  <c r="BL197" i="73" s="1"/>
  <c r="AN72" i="73"/>
  <c r="AO72" i="73"/>
  <c r="AL72" i="73"/>
  <c r="AO77" i="73"/>
  <c r="AL77" i="73"/>
  <c r="AN77" i="73"/>
  <c r="BQ221" i="73"/>
  <c r="BO221" i="73"/>
  <c r="BP221" i="73"/>
  <c r="BQ218" i="73"/>
  <c r="BO218" i="73"/>
  <c r="BP218" i="73"/>
  <c r="BQ214" i="73"/>
  <c r="BO214" i="73"/>
  <c r="BP214" i="73"/>
  <c r="BH206" i="73"/>
  <c r="X41" i="74"/>
  <c r="AA39" i="74"/>
  <c r="X39" i="74"/>
  <c r="AA37" i="74"/>
  <c r="X37" i="74"/>
  <c r="AA33" i="74"/>
  <c r="AD33" i="74" s="1"/>
  <c r="X33" i="74"/>
  <c r="X29" i="74"/>
  <c r="Q70" i="73"/>
  <c r="AF70" i="73" s="1"/>
  <c r="Q74" i="73"/>
  <c r="AF74" i="73" s="1"/>
  <c r="AM74" i="73" s="1"/>
  <c r="Q82" i="11"/>
  <c r="AS40" i="74"/>
  <c r="BA40" i="74"/>
  <c r="BA38" i="74"/>
  <c r="AS38" i="74"/>
  <c r="AK38" i="74"/>
  <c r="AC36" i="74"/>
  <c r="BQ36" i="74"/>
  <c r="BI32" i="74"/>
  <c r="BA32" i="74"/>
  <c r="BI28" i="74"/>
  <c r="BA28" i="74"/>
  <c r="U26" i="74"/>
  <c r="V26" i="74" s="1"/>
  <c r="W26" i="74" s="1"/>
  <c r="AC26" i="74"/>
  <c r="AS26" i="74"/>
  <c r="U22" i="74"/>
  <c r="V22" i="74" s="1"/>
  <c r="AC22" i="74"/>
  <c r="AS22" i="74"/>
  <c r="U20" i="74"/>
  <c r="V20" i="74" s="1"/>
  <c r="W20" i="74" s="1"/>
  <c r="BA20" i="74"/>
  <c r="BK216" i="73"/>
  <c r="BR216" i="73" s="1"/>
  <c r="BK210" i="73"/>
  <c r="BR210" i="73" s="1"/>
  <c r="T78" i="73"/>
  <c r="V78" i="73" s="1"/>
  <c r="S78" i="73"/>
  <c r="U78" i="73" s="1"/>
  <c r="X78" i="73"/>
  <c r="AS131" i="73"/>
  <c r="V211" i="8"/>
  <c r="AS134" i="73"/>
  <c r="AX134" i="73" s="1"/>
  <c r="AS137" i="73"/>
  <c r="AX137" i="73" s="1"/>
  <c r="V209" i="8"/>
  <c r="V212" i="8"/>
  <c r="AS128" i="73"/>
  <c r="AS130" i="73"/>
  <c r="AX130" i="73" s="1"/>
  <c r="K186" i="73"/>
  <c r="H186" i="73" s="1"/>
  <c r="K129" i="73"/>
  <c r="H129" i="73" s="1"/>
  <c r="K72" i="73"/>
  <c r="H72" i="73" s="1"/>
  <c r="K15" i="73"/>
  <c r="H15" i="73" s="1"/>
  <c r="V217" i="8"/>
  <c r="K194" i="73"/>
  <c r="H194" i="73" s="1"/>
  <c r="K137" i="73"/>
  <c r="H137" i="73" s="1"/>
  <c r="K80" i="73"/>
  <c r="H80" i="73" s="1"/>
  <c r="K23" i="73"/>
  <c r="H23" i="73" s="1"/>
  <c r="V163" i="8"/>
  <c r="K202" i="73"/>
  <c r="H202" i="73" s="1"/>
  <c r="K88" i="73"/>
  <c r="H88" i="73" s="1"/>
  <c r="K145" i="73"/>
  <c r="H145" i="73" s="1"/>
  <c r="K31" i="73"/>
  <c r="H31" i="73" s="1"/>
  <c r="V225" i="8"/>
  <c r="V171" i="8"/>
  <c r="Y171" i="8" s="1"/>
  <c r="K210" i="73"/>
  <c r="H210" i="73" s="1"/>
  <c r="K96" i="73"/>
  <c r="H96" i="73" s="1"/>
  <c r="K153" i="73"/>
  <c r="H153" i="73" s="1"/>
  <c r="K39" i="73"/>
  <c r="H39" i="73" s="1"/>
  <c r="V179" i="8"/>
  <c r="K218" i="73"/>
  <c r="H218" i="73" s="1"/>
  <c r="K161" i="73"/>
  <c r="H161" i="73" s="1"/>
  <c r="K104" i="73"/>
  <c r="H104" i="73" s="1"/>
  <c r="K47" i="73"/>
  <c r="H47" i="73" s="1"/>
  <c r="V241" i="8"/>
  <c r="K192" i="73"/>
  <c r="H192" i="73" s="1"/>
  <c r="K135" i="73"/>
  <c r="H135" i="73" s="1"/>
  <c r="K78" i="73"/>
  <c r="H78" i="73" s="1"/>
  <c r="K21" i="73"/>
  <c r="H21" i="73" s="1"/>
  <c r="V223" i="8"/>
  <c r="K200" i="73"/>
  <c r="H200" i="73" s="1"/>
  <c r="K143" i="73"/>
  <c r="H143" i="73" s="1"/>
  <c r="K86" i="73"/>
  <c r="H86" i="73" s="1"/>
  <c r="K29" i="73"/>
  <c r="H29" i="73" s="1"/>
  <c r="K208" i="73"/>
  <c r="H208" i="73" s="1"/>
  <c r="K151" i="73"/>
  <c r="H151" i="73" s="1"/>
  <c r="K94" i="73"/>
  <c r="H94" i="73" s="1"/>
  <c r="K37" i="73"/>
  <c r="H37" i="73" s="1"/>
  <c r="V231" i="8"/>
  <c r="K216" i="73"/>
  <c r="H216" i="73" s="1"/>
  <c r="K102" i="73"/>
  <c r="H102" i="73" s="1"/>
  <c r="K159" i="73"/>
  <c r="H159" i="73" s="1"/>
  <c r="K45" i="73"/>
  <c r="H45" i="73" s="1"/>
  <c r="V185" i="8"/>
  <c r="V238" i="8"/>
  <c r="K215" i="73"/>
  <c r="H215" i="73" s="1"/>
  <c r="K158" i="73"/>
  <c r="H158" i="73" s="1"/>
  <c r="K101" i="73"/>
  <c r="H101" i="73" s="1"/>
  <c r="K44" i="73"/>
  <c r="H44" i="73" s="1"/>
  <c r="K207" i="73"/>
  <c r="H207" i="73" s="1"/>
  <c r="K150" i="73"/>
  <c r="H150" i="73" s="1"/>
  <c r="K93" i="73"/>
  <c r="H93" i="73" s="1"/>
  <c r="K36" i="73"/>
  <c r="H36" i="73" s="1"/>
  <c r="V230" i="8"/>
  <c r="V168" i="8"/>
  <c r="K199" i="73"/>
  <c r="H199" i="73" s="1"/>
  <c r="K142" i="73"/>
  <c r="H142" i="73" s="1"/>
  <c r="K85" i="73"/>
  <c r="H85" i="73" s="1"/>
  <c r="K28" i="73"/>
  <c r="H28" i="73" s="1"/>
  <c r="K191" i="73"/>
  <c r="H191" i="73" s="1"/>
  <c r="K134" i="73"/>
  <c r="H134" i="73" s="1"/>
  <c r="K77" i="73"/>
  <c r="H77" i="73" s="1"/>
  <c r="K20" i="73"/>
  <c r="H20" i="73" s="1"/>
  <c r="V240" i="8"/>
  <c r="K217" i="73"/>
  <c r="H217" i="73" s="1"/>
  <c r="K160" i="73"/>
  <c r="H160" i="73" s="1"/>
  <c r="K103" i="73"/>
  <c r="H103" i="73" s="1"/>
  <c r="K46" i="73"/>
  <c r="H46" i="73" s="1"/>
  <c r="K209" i="73"/>
  <c r="H209" i="73" s="1"/>
  <c r="K152" i="73"/>
  <c r="H152" i="73" s="1"/>
  <c r="K95" i="73"/>
  <c r="H95" i="73" s="1"/>
  <c r="K38" i="73"/>
  <c r="H38" i="73" s="1"/>
  <c r="K201" i="73"/>
  <c r="H201" i="73" s="1"/>
  <c r="K144" i="73"/>
  <c r="H144" i="73" s="1"/>
  <c r="K87" i="73"/>
  <c r="H87" i="73" s="1"/>
  <c r="K30" i="73"/>
  <c r="H30" i="73" s="1"/>
  <c r="V224" i="8"/>
  <c r="K193" i="73"/>
  <c r="H193" i="73" s="1"/>
  <c r="K136" i="73"/>
  <c r="H136" i="73" s="1"/>
  <c r="K79" i="73"/>
  <c r="H79" i="73" s="1"/>
  <c r="K22" i="73"/>
  <c r="H22" i="73" s="1"/>
  <c r="K185" i="73"/>
  <c r="H185" i="73" s="1"/>
  <c r="K71" i="73"/>
  <c r="H71" i="73" s="1"/>
  <c r="K128" i="73"/>
  <c r="H128" i="73" s="1"/>
  <c r="K14" i="73"/>
  <c r="H14" i="73" s="1"/>
  <c r="V154" i="8"/>
  <c r="BJ224" i="73"/>
  <c r="BI224" i="73"/>
  <c r="BL224" i="73" s="1"/>
  <c r="BM224" i="73"/>
  <c r="BJ216" i="73"/>
  <c r="BM216" i="73" s="1"/>
  <c r="BI216" i="73"/>
  <c r="BL216" i="73" s="1"/>
  <c r="BK203" i="73"/>
  <c r="BR203" i="73" s="1"/>
  <c r="AL82" i="11"/>
  <c r="AN88" i="11"/>
  <c r="AO88" i="11"/>
  <c r="AN103" i="11"/>
  <c r="AA85" i="73"/>
  <c r="T85" i="73"/>
  <c r="S85" i="73"/>
  <c r="X85" i="73"/>
  <c r="Z85" i="73"/>
  <c r="AF85" i="73"/>
  <c r="AM85" i="73" s="1"/>
  <c r="AA80" i="73"/>
  <c r="T80" i="73"/>
  <c r="V80" i="73" s="1"/>
  <c r="S80" i="73"/>
  <c r="U80" i="73" s="1"/>
  <c r="X80" i="73"/>
  <c r="Z80" i="73"/>
  <c r="BH195" i="73"/>
  <c r="BH220" i="73"/>
  <c r="BH212" i="73"/>
  <c r="BH208" i="73"/>
  <c r="BH204" i="73"/>
  <c r="L29" i="73"/>
  <c r="T103" i="73"/>
  <c r="AA103" i="73" s="1"/>
  <c r="S103" i="73"/>
  <c r="U103" i="73" s="1"/>
  <c r="X103" i="73"/>
  <c r="AA86" i="73"/>
  <c r="T86" i="73"/>
  <c r="V86" i="73" s="1"/>
  <c r="Z86" i="73"/>
  <c r="S86" i="73"/>
  <c r="U86" i="73" s="1"/>
  <c r="X86" i="73"/>
  <c r="AA107" i="73"/>
  <c r="T107" i="73"/>
  <c r="Z107" i="73"/>
  <c r="S107" i="73"/>
  <c r="X107" i="73"/>
  <c r="AA83" i="73"/>
  <c r="T83" i="73"/>
  <c r="V83" i="73" s="1"/>
  <c r="X83" i="73"/>
  <c r="S83" i="73"/>
  <c r="U83" i="73" s="1"/>
  <c r="Z83" i="73"/>
  <c r="AA76" i="73"/>
  <c r="T76" i="73"/>
  <c r="V76" i="73" s="1"/>
  <c r="S76" i="73"/>
  <c r="U76" i="73" s="1"/>
  <c r="X76" i="73"/>
  <c r="Z76" i="73"/>
  <c r="BH223" i="73"/>
  <c r="AH70" i="73"/>
  <c r="AJ70" i="73" s="1"/>
  <c r="AG70" i="73"/>
  <c r="AI70" i="73" s="1"/>
  <c r="AW184" i="73"/>
  <c r="AY184" i="73" s="1"/>
  <c r="AX184" i="73"/>
  <c r="AZ184" i="73" s="1"/>
  <c r="AH71" i="73"/>
  <c r="AJ71" i="73" s="1"/>
  <c r="AG71" i="73"/>
  <c r="AI71" i="73" s="1"/>
  <c r="AW185" i="73"/>
  <c r="AY185" i="73" s="1"/>
  <c r="AX185" i="73"/>
  <c r="AZ185" i="73" s="1"/>
  <c r="AH73" i="73"/>
  <c r="AJ73" i="73" s="1"/>
  <c r="AG73" i="73"/>
  <c r="AI73" i="73" s="1"/>
  <c r="AH74" i="73"/>
  <c r="AJ74" i="73" s="1"/>
  <c r="AG74" i="73"/>
  <c r="AI74" i="73" s="1"/>
  <c r="AH75" i="73"/>
  <c r="AJ75" i="73" s="1"/>
  <c r="AG75" i="73"/>
  <c r="AI75" i="73" s="1"/>
  <c r="AW189" i="73"/>
  <c r="AY189" i="73" s="1"/>
  <c r="AX189" i="73"/>
  <c r="AZ189" i="73" s="1"/>
  <c r="AW191" i="73"/>
  <c r="AY191" i="73" s="1"/>
  <c r="BH191" i="73"/>
  <c r="AX191" i="73"/>
  <c r="AZ191" i="73" s="1"/>
  <c r="AX192" i="73"/>
  <c r="AZ192" i="73" s="1"/>
  <c r="AW192" i="73"/>
  <c r="AY192" i="73" s="1"/>
  <c r="BH194" i="73"/>
  <c r="AX194" i="73"/>
  <c r="AZ194" i="73" s="1"/>
  <c r="AW194" i="73"/>
  <c r="AY194" i="73" s="1"/>
  <c r="BK223" i="73"/>
  <c r="BR223" i="73" s="1"/>
  <c r="BI222" i="73"/>
  <c r="BL222" i="73" s="1"/>
  <c r="BK221" i="73"/>
  <c r="BR221" i="73" s="1"/>
  <c r="BI221" i="73"/>
  <c r="BL221" i="73" s="1"/>
  <c r="BJ221" i="73"/>
  <c r="BM221" i="73"/>
  <c r="BK220" i="73"/>
  <c r="BR220" i="73" s="1"/>
  <c r="BK219" i="73"/>
  <c r="BR219" i="73" s="1"/>
  <c r="BM218" i="73"/>
  <c r="BJ218" i="73"/>
  <c r="BI218" i="73"/>
  <c r="BL218" i="73" s="1"/>
  <c r="BK217" i="73"/>
  <c r="BR217" i="73" s="1"/>
  <c r="BJ214" i="73"/>
  <c r="BM214" i="73" s="1"/>
  <c r="BI214" i="73"/>
  <c r="BL214" i="73" s="1"/>
  <c r="BK212" i="73"/>
  <c r="BR212" i="73" s="1"/>
  <c r="BK211" i="73"/>
  <c r="BR211" i="73" s="1"/>
  <c r="BK209" i="73"/>
  <c r="BR209" i="73" s="1"/>
  <c r="BK208" i="73"/>
  <c r="BR208" i="73" s="1"/>
  <c r="BK207" i="73"/>
  <c r="BR207" i="73" s="1"/>
  <c r="BJ205" i="73"/>
  <c r="BM205" i="73" s="1"/>
  <c r="BI205" i="73"/>
  <c r="BL205" i="73" s="1"/>
  <c r="BK205" i="73"/>
  <c r="BR205" i="73" s="1"/>
  <c r="BK201" i="73"/>
  <c r="BR201" i="73" s="1"/>
  <c r="BK199" i="73"/>
  <c r="BR199" i="73" s="1"/>
  <c r="BK197" i="73"/>
  <c r="BR197" i="73" s="1"/>
  <c r="BI196" i="73"/>
  <c r="BL196" i="73" s="1"/>
  <c r="BJ196" i="73"/>
  <c r="BM196" i="73" s="1"/>
  <c r="BK195" i="73"/>
  <c r="BR195" i="73" s="1"/>
  <c r="AA81" i="73"/>
  <c r="T81" i="73"/>
  <c r="Z81" i="73"/>
  <c r="S81" i="73"/>
  <c r="X81" i="73"/>
  <c r="T79" i="73"/>
  <c r="V79" i="73" s="1"/>
  <c r="S79" i="73"/>
  <c r="U79" i="73" s="1"/>
  <c r="X79" i="73"/>
  <c r="AA94" i="73"/>
  <c r="T94" i="73"/>
  <c r="Z94" i="73"/>
  <c r="S94" i="73"/>
  <c r="X94" i="73"/>
  <c r="T105" i="73"/>
  <c r="AA105" i="73"/>
  <c r="Z105" i="73"/>
  <c r="S105" i="73"/>
  <c r="X105" i="73"/>
  <c r="T87" i="73"/>
  <c r="V87" i="73" s="1"/>
  <c r="S87" i="73"/>
  <c r="U87" i="73" s="1"/>
  <c r="X87" i="73"/>
  <c r="AA106" i="73"/>
  <c r="T106" i="73"/>
  <c r="V106" i="73" s="1"/>
  <c r="S106" i="73"/>
  <c r="U106" i="73" s="1"/>
  <c r="X106" i="73"/>
  <c r="Z106" i="73"/>
  <c r="T82" i="73"/>
  <c r="AA82" i="73" s="1"/>
  <c r="S82" i="73"/>
  <c r="U82" i="73" s="1"/>
  <c r="X82" i="73"/>
  <c r="T104" i="73"/>
  <c r="AA104" i="73"/>
  <c r="S104" i="73"/>
  <c r="X104" i="73"/>
  <c r="Z104" i="73"/>
  <c r="AA88" i="73"/>
  <c r="T88" i="73"/>
  <c r="S88" i="73"/>
  <c r="X88" i="73"/>
  <c r="Z88" i="73"/>
  <c r="AA77" i="73"/>
  <c r="T77" i="73"/>
  <c r="V77" i="73" s="1"/>
  <c r="X77" i="73"/>
  <c r="S77" i="73"/>
  <c r="U77" i="73" s="1"/>
  <c r="Z77" i="73"/>
  <c r="AH13" i="73"/>
  <c r="AJ13" i="73" s="1"/>
  <c r="AG13" i="73"/>
  <c r="AI13" i="73" s="1"/>
  <c r="AS135" i="73"/>
  <c r="AX135" i="73" s="1"/>
  <c r="AS136" i="73"/>
  <c r="AX136" i="73" s="1"/>
  <c r="V208" i="8"/>
  <c r="AS127" i="73"/>
  <c r="AC127" i="73"/>
  <c r="AS129" i="73"/>
  <c r="AS132" i="73"/>
  <c r="K190" i="73"/>
  <c r="H190" i="73" s="1"/>
  <c r="K133" i="73"/>
  <c r="H133" i="73" s="1"/>
  <c r="K76" i="73"/>
  <c r="H76" i="73" s="1"/>
  <c r="K19" i="73"/>
  <c r="H19" i="73" s="1"/>
  <c r="K198" i="73"/>
  <c r="H198" i="73" s="1"/>
  <c r="K141" i="73"/>
  <c r="H141" i="73" s="1"/>
  <c r="K84" i="73"/>
  <c r="H84" i="73" s="1"/>
  <c r="K27" i="73"/>
  <c r="H27" i="73" s="1"/>
  <c r="V175" i="8"/>
  <c r="Y175" i="8" s="1"/>
  <c r="K206" i="73"/>
  <c r="H206" i="73" s="1"/>
  <c r="K92" i="73"/>
  <c r="H92" i="73" s="1"/>
  <c r="K149" i="73"/>
  <c r="H149" i="73" s="1"/>
  <c r="K35" i="73"/>
  <c r="H35" i="73" s="1"/>
  <c r="V183" i="8"/>
  <c r="K214" i="73"/>
  <c r="H214" i="73" s="1"/>
  <c r="K157" i="73"/>
  <c r="H157" i="73" s="1"/>
  <c r="K100" i="73"/>
  <c r="H100" i="73" s="1"/>
  <c r="K43" i="73"/>
  <c r="H43" i="73" s="1"/>
  <c r="V157" i="8"/>
  <c r="K188" i="73"/>
  <c r="H188" i="73" s="1"/>
  <c r="K131" i="73"/>
  <c r="H131" i="73" s="1"/>
  <c r="K74" i="73"/>
  <c r="H74" i="73" s="1"/>
  <c r="K17" i="73"/>
  <c r="H17" i="73" s="1"/>
  <c r="K196" i="73"/>
  <c r="H196" i="73" s="1"/>
  <c r="K139" i="73"/>
  <c r="H139" i="73" s="1"/>
  <c r="K82" i="73"/>
  <c r="H82" i="73" s="1"/>
  <c r="K25" i="73"/>
  <c r="H25" i="73" s="1"/>
  <c r="V227" i="8"/>
  <c r="Y227" i="8" s="1"/>
  <c r="K204" i="73"/>
  <c r="H204" i="73" s="1"/>
  <c r="K90" i="73"/>
  <c r="H90" i="73" s="1"/>
  <c r="K147" i="73"/>
  <c r="H147" i="73" s="1"/>
  <c r="K33" i="73"/>
  <c r="H33" i="73" s="1"/>
  <c r="V235" i="8"/>
  <c r="Y235" i="8" s="1"/>
  <c r="K212" i="73"/>
  <c r="H212" i="73" s="1"/>
  <c r="K155" i="73"/>
  <c r="H155" i="73" s="1"/>
  <c r="K98" i="73"/>
  <c r="H98" i="73" s="1"/>
  <c r="K41" i="73"/>
  <c r="H41" i="73" s="1"/>
  <c r="V242" i="8"/>
  <c r="Y242" i="8" s="1"/>
  <c r="K219" i="73"/>
  <c r="H219" i="73" s="1"/>
  <c r="K162" i="73"/>
  <c r="H162" i="73" s="1"/>
  <c r="K105" i="73"/>
  <c r="H105" i="73" s="1"/>
  <c r="K48" i="73"/>
  <c r="H48" i="73" s="1"/>
  <c r="V234" i="8"/>
  <c r="K211" i="73"/>
  <c r="H211" i="73" s="1"/>
  <c r="K97" i="73"/>
  <c r="H97" i="73" s="1"/>
  <c r="K154" i="73"/>
  <c r="H154" i="73" s="1"/>
  <c r="K40" i="73"/>
  <c r="H40" i="73" s="1"/>
  <c r="K203" i="73"/>
  <c r="H203" i="73" s="1"/>
  <c r="K146" i="73"/>
  <c r="H146" i="73" s="1"/>
  <c r="K89" i="73"/>
  <c r="H89" i="73" s="1"/>
  <c r="K32" i="73"/>
  <c r="H32" i="73" s="1"/>
  <c r="V218" i="8"/>
  <c r="K195" i="73"/>
  <c r="H195" i="73" s="1"/>
  <c r="K138" i="73"/>
  <c r="H138" i="73" s="1"/>
  <c r="K81" i="73"/>
  <c r="H81" i="73" s="1"/>
  <c r="K24" i="73"/>
  <c r="H24" i="73" s="1"/>
  <c r="V156" i="8"/>
  <c r="K187" i="73"/>
  <c r="H187" i="73" s="1"/>
  <c r="K130" i="73"/>
  <c r="H130" i="73" s="1"/>
  <c r="K73" i="73"/>
  <c r="H73" i="73" s="1"/>
  <c r="K16" i="73"/>
  <c r="H16" i="73" s="1"/>
  <c r="K213" i="73"/>
  <c r="H213" i="73" s="1"/>
  <c r="K99" i="73"/>
  <c r="H99" i="73" s="1"/>
  <c r="K156" i="73"/>
  <c r="H156" i="73" s="1"/>
  <c r="K42" i="73"/>
  <c r="H42" i="73" s="1"/>
  <c r="K205" i="73"/>
  <c r="H205" i="73" s="1"/>
  <c r="K148" i="73"/>
  <c r="H148" i="73" s="1"/>
  <c r="K91" i="73"/>
  <c r="H91" i="73" s="1"/>
  <c r="K34" i="73"/>
  <c r="H34" i="73" s="1"/>
  <c r="K197" i="73"/>
  <c r="H197" i="73" s="1"/>
  <c r="K83" i="73"/>
  <c r="H83" i="73" s="1"/>
  <c r="K140" i="73"/>
  <c r="H140" i="73" s="1"/>
  <c r="K26" i="73"/>
  <c r="H26" i="73" s="1"/>
  <c r="V158" i="8"/>
  <c r="K189" i="73"/>
  <c r="H189" i="73" s="1"/>
  <c r="K132" i="73"/>
  <c r="H132" i="73" s="1"/>
  <c r="K75" i="73"/>
  <c r="H75" i="73" s="1"/>
  <c r="K18" i="73"/>
  <c r="H18" i="73" s="1"/>
  <c r="K184" i="73"/>
  <c r="H184" i="73" s="1"/>
  <c r="K127" i="73"/>
  <c r="H127" i="73" s="1"/>
  <c r="K70" i="73"/>
  <c r="H70" i="73" s="1"/>
  <c r="K13" i="73"/>
  <c r="H13" i="73" s="1"/>
  <c r="BK224" i="73"/>
  <c r="BR224" i="73" s="1"/>
  <c r="BI203" i="73"/>
  <c r="BL203" i="73" s="1"/>
  <c r="BJ203" i="73"/>
  <c r="BM203" i="73" s="1"/>
  <c r="AA101" i="73"/>
  <c r="T101" i="73"/>
  <c r="V101" i="73" s="1"/>
  <c r="S101" i="73"/>
  <c r="U101" i="73" s="1"/>
  <c r="Z101" i="73"/>
  <c r="X101" i="73"/>
  <c r="T95" i="73"/>
  <c r="AA95" i="73"/>
  <c r="S95" i="73"/>
  <c r="X95" i="73"/>
  <c r="Z95" i="73"/>
  <c r="AA89" i="73"/>
  <c r="T89" i="73"/>
  <c r="V89" i="73" s="1"/>
  <c r="X89" i="73"/>
  <c r="S89" i="73"/>
  <c r="U89" i="73" s="1"/>
  <c r="Z89" i="73"/>
  <c r="AA99" i="73"/>
  <c r="T99" i="73"/>
  <c r="V99" i="73" s="1"/>
  <c r="X99" i="73"/>
  <c r="S99" i="73"/>
  <c r="U99" i="73" s="1"/>
  <c r="Z99" i="73"/>
  <c r="AA91" i="73"/>
  <c r="T91" i="73"/>
  <c r="V91" i="73" s="1"/>
  <c r="S91" i="73"/>
  <c r="U91" i="73" s="1"/>
  <c r="Z91" i="73"/>
  <c r="X91" i="73"/>
  <c r="AA108" i="73"/>
  <c r="T108" i="73"/>
  <c r="V108" i="73" s="1"/>
  <c r="S108" i="73"/>
  <c r="U108" i="73" s="1"/>
  <c r="X108" i="73"/>
  <c r="Z108" i="73"/>
  <c r="AA100" i="73"/>
  <c r="T100" i="73"/>
  <c r="V100" i="73" s="1"/>
  <c r="Z100" i="73"/>
  <c r="S100" i="73"/>
  <c r="U100" i="73" s="1"/>
  <c r="X100" i="73"/>
  <c r="AA92" i="73"/>
  <c r="T92" i="73"/>
  <c r="S92" i="73"/>
  <c r="X92" i="73"/>
  <c r="Z92" i="73"/>
  <c r="AA84" i="73"/>
  <c r="T84" i="73"/>
  <c r="Z84" i="73"/>
  <c r="S84" i="73"/>
  <c r="X84" i="73"/>
  <c r="AH72" i="73"/>
  <c r="AJ72" i="73" s="1"/>
  <c r="AG72" i="73"/>
  <c r="AI72" i="73" s="1"/>
  <c r="BH186" i="73"/>
  <c r="AW186" i="73"/>
  <c r="AY186" i="73" s="1"/>
  <c r="AX186" i="73"/>
  <c r="AZ186" i="73" s="1"/>
  <c r="AW187" i="73"/>
  <c r="AY187" i="73" s="1"/>
  <c r="BH187" i="73"/>
  <c r="AX187" i="73"/>
  <c r="AZ187" i="73" s="1"/>
  <c r="AW188" i="73"/>
  <c r="AY188" i="73" s="1"/>
  <c r="AX188" i="73"/>
  <c r="AZ188" i="73" s="1"/>
  <c r="AH77" i="73"/>
  <c r="AJ77" i="73" s="1"/>
  <c r="AF77" i="73"/>
  <c r="AM77" i="73" s="1"/>
  <c r="AG77" i="73"/>
  <c r="AI77" i="73" s="1"/>
  <c r="AH78" i="73"/>
  <c r="AJ78" i="73" s="1"/>
  <c r="AF78" i="73"/>
  <c r="AM78" i="73" s="1"/>
  <c r="AG78" i="73"/>
  <c r="AI78" i="73" s="1"/>
  <c r="AH79" i="73"/>
  <c r="AJ79" i="73" s="1"/>
  <c r="AF79" i="73"/>
  <c r="AM79" i="73" s="1"/>
  <c r="AG79" i="73"/>
  <c r="AI79" i="73" s="1"/>
  <c r="AW193" i="73"/>
  <c r="AY193" i="73" s="1"/>
  <c r="BH193" i="73"/>
  <c r="AX193" i="73"/>
  <c r="AZ193" i="73" s="1"/>
  <c r="AH80" i="73"/>
  <c r="AJ80" i="73" s="1"/>
  <c r="AF80" i="73"/>
  <c r="AM80" i="73" s="1"/>
  <c r="AG80" i="73"/>
  <c r="AI80" i="73" s="1"/>
  <c r="BK190" i="73"/>
  <c r="BR190" i="73" s="1"/>
  <c r="BK222" i="73"/>
  <c r="BR222" i="73" s="1"/>
  <c r="BK218" i="73"/>
  <c r="BR218" i="73" s="1"/>
  <c r="BK215" i="73"/>
  <c r="BR215" i="73" s="1"/>
  <c r="BK214" i="73"/>
  <c r="BR214" i="73" s="1"/>
  <c r="BK213" i="73"/>
  <c r="BR213" i="73" s="1"/>
  <c r="BK206" i="73"/>
  <c r="BR206" i="73" s="1"/>
  <c r="BK204" i="73"/>
  <c r="BR204" i="73" s="1"/>
  <c r="BK202" i="73"/>
  <c r="BR202" i="73" s="1"/>
  <c r="BK200" i="73"/>
  <c r="BR200" i="73" s="1"/>
  <c r="BK198" i="73"/>
  <c r="BR198" i="73" s="1"/>
  <c r="BK196" i="73"/>
  <c r="BR196" i="73" s="1"/>
  <c r="AA93" i="73"/>
  <c r="T93" i="73"/>
  <c r="V93" i="73" s="1"/>
  <c r="X93" i="73"/>
  <c r="S93" i="73"/>
  <c r="U93" i="73" s="1"/>
  <c r="Z93" i="73"/>
  <c r="AA109" i="73"/>
  <c r="T109" i="73"/>
  <c r="V109" i="73" s="1"/>
  <c r="X109" i="73"/>
  <c r="S109" i="73"/>
  <c r="U109" i="73" s="1"/>
  <c r="Z109" i="73"/>
  <c r="AA110" i="73"/>
  <c r="T110" i="73"/>
  <c r="Z110" i="73"/>
  <c r="S110" i="73"/>
  <c r="X110" i="73"/>
  <c r="AA97" i="73"/>
  <c r="T97" i="73"/>
  <c r="V97" i="73" s="1"/>
  <c r="S97" i="73"/>
  <c r="U97" i="73" s="1"/>
  <c r="Z97" i="73"/>
  <c r="X97" i="73"/>
  <c r="AA102" i="73"/>
  <c r="T102" i="73"/>
  <c r="V102" i="73" s="1"/>
  <c r="S102" i="73"/>
  <c r="U102" i="73" s="1"/>
  <c r="X102" i="73"/>
  <c r="Z102" i="73"/>
  <c r="T98" i="73"/>
  <c r="AA98" i="73"/>
  <c r="S98" i="73"/>
  <c r="X98" i="73"/>
  <c r="Z98" i="73"/>
  <c r="AA90" i="73"/>
  <c r="T90" i="73"/>
  <c r="Z90" i="73"/>
  <c r="S90" i="73"/>
  <c r="X90" i="73"/>
  <c r="T96" i="73"/>
  <c r="V96" i="73" s="1"/>
  <c r="S96" i="73"/>
  <c r="U96" i="73" s="1"/>
  <c r="X96" i="73"/>
  <c r="AF76" i="73"/>
  <c r="AM76" i="73" s="1"/>
  <c r="AF86" i="73"/>
  <c r="AM86" i="73" s="1"/>
  <c r="AF107" i="73"/>
  <c r="AM107" i="73" s="1"/>
  <c r="AF106" i="73"/>
  <c r="AM106" i="73" s="1"/>
  <c r="AF104" i="73"/>
  <c r="AM104" i="73" s="1"/>
  <c r="BH210" i="73"/>
  <c r="BT210" i="73" s="1"/>
  <c r="AF87" i="73"/>
  <c r="AM87" i="73" s="1"/>
  <c r="AF83" i="73"/>
  <c r="AM83" i="73" s="1"/>
  <c r="AF81" i="73"/>
  <c r="AM81" i="73" s="1"/>
  <c r="BH215" i="73"/>
  <c r="BH209" i="73"/>
  <c r="AF94" i="73"/>
  <c r="AM94" i="73" s="1"/>
  <c r="BH207" i="73"/>
  <c r="AF88" i="73"/>
  <c r="AM88" i="73" s="1"/>
  <c r="BH201" i="73"/>
  <c r="BH200" i="73"/>
  <c r="BH198" i="73"/>
  <c r="AF82" i="73"/>
  <c r="AM82" i="73" s="1"/>
  <c r="AS133" i="11"/>
  <c r="AS134" i="11"/>
  <c r="BH210" i="11"/>
  <c r="BT210" i="11" s="1"/>
  <c r="BD210" i="11"/>
  <c r="BC210" i="11"/>
  <c r="BB210" i="11"/>
  <c r="BC202" i="11"/>
  <c r="BB202" i="11"/>
  <c r="BD202" i="11"/>
  <c r="AA96" i="11"/>
  <c r="BH202" i="11"/>
  <c r="BT202" i="11" s="1"/>
  <c r="AL145" i="11"/>
  <c r="AM145" i="11"/>
  <c r="AJ145" i="11"/>
  <c r="AS132" i="11"/>
  <c r="AS135" i="11"/>
  <c r="BX196" i="11"/>
  <c r="CA196" i="11" s="1"/>
  <c r="AU139" i="11"/>
  <c r="AU82" i="11"/>
  <c r="AX82" i="11" s="1"/>
  <c r="BB217" i="11"/>
  <c r="BD217" i="11"/>
  <c r="BC217" i="11"/>
  <c r="BC196" i="11"/>
  <c r="BD196" i="11"/>
  <c r="BB196" i="11"/>
  <c r="AJ153" i="11"/>
  <c r="AL153" i="11"/>
  <c r="AM153" i="11"/>
  <c r="BH200" i="11"/>
  <c r="BT200" i="11" s="1"/>
  <c r="AL143" i="11"/>
  <c r="AM143" i="11"/>
  <c r="AJ143" i="11"/>
  <c r="AN96" i="11"/>
  <c r="AL96" i="11"/>
  <c r="AO96" i="11"/>
  <c r="AL86" i="11"/>
  <c r="AN86" i="11"/>
  <c r="AO86" i="11"/>
  <c r="BH196" i="11"/>
  <c r="BT196" i="11" s="1"/>
  <c r="AL139" i="11"/>
  <c r="AJ139" i="11"/>
  <c r="AM139" i="11"/>
  <c r="BH217" i="11"/>
  <c r="BT217" i="11" s="1"/>
  <c r="AJ160" i="11"/>
  <c r="AL160" i="11"/>
  <c r="AM160" i="11"/>
  <c r="V210" i="8"/>
  <c r="AU25" i="11"/>
  <c r="AL39" i="11"/>
  <c r="AN39" i="11"/>
  <c r="AO39" i="11"/>
  <c r="AO31" i="11"/>
  <c r="AL31" i="11"/>
  <c r="AN31" i="11"/>
  <c r="K74" i="11"/>
  <c r="H74" i="11" s="1"/>
  <c r="K188" i="11"/>
  <c r="H188" i="11" s="1"/>
  <c r="K17" i="11"/>
  <c r="H17" i="11" s="1"/>
  <c r="K131" i="11"/>
  <c r="H131" i="11" s="1"/>
  <c r="V159" i="8"/>
  <c r="Y159" i="8" s="1"/>
  <c r="K82" i="11"/>
  <c r="H82" i="11" s="1"/>
  <c r="K196" i="11"/>
  <c r="H196" i="11" s="1"/>
  <c r="K25" i="11"/>
  <c r="H25" i="11" s="1"/>
  <c r="K139" i="11"/>
  <c r="H139" i="11" s="1"/>
  <c r="V167" i="8"/>
  <c r="Y167" i="8" s="1"/>
  <c r="K204" i="11"/>
  <c r="H204" i="11" s="1"/>
  <c r="K33" i="11"/>
  <c r="H33" i="11" s="1"/>
  <c r="K147" i="11"/>
  <c r="H147" i="11" s="1"/>
  <c r="K90" i="11"/>
  <c r="H90" i="11" s="1"/>
  <c r="K212" i="11"/>
  <c r="H212" i="11" s="1"/>
  <c r="K41" i="11"/>
  <c r="H41" i="11" s="1"/>
  <c r="K155" i="11"/>
  <c r="H155" i="11" s="1"/>
  <c r="K98" i="11"/>
  <c r="H98" i="11" s="1"/>
  <c r="K72" i="11"/>
  <c r="H72" i="11" s="1"/>
  <c r="K129" i="11"/>
  <c r="H129" i="11" s="1"/>
  <c r="K186" i="11"/>
  <c r="H186" i="11" s="1"/>
  <c r="K15" i="11"/>
  <c r="H15" i="11" s="1"/>
  <c r="K80" i="11"/>
  <c r="H80" i="11" s="1"/>
  <c r="K137" i="11"/>
  <c r="H137" i="11" s="1"/>
  <c r="V165" i="8"/>
  <c r="K194" i="11"/>
  <c r="H194" i="11" s="1"/>
  <c r="K23" i="11"/>
  <c r="H23" i="11" s="1"/>
  <c r="K202" i="11"/>
  <c r="H202" i="11" s="1"/>
  <c r="K88" i="11"/>
  <c r="H88" i="11" s="1"/>
  <c r="V173" i="8"/>
  <c r="Y173" i="8" s="1"/>
  <c r="K145" i="11"/>
  <c r="H145" i="11" s="1"/>
  <c r="K31" i="11"/>
  <c r="H31" i="11" s="1"/>
  <c r="K210" i="11"/>
  <c r="H210" i="11" s="1"/>
  <c r="K96" i="11"/>
  <c r="H96" i="11" s="1"/>
  <c r="K153" i="11"/>
  <c r="H153" i="11" s="1"/>
  <c r="K39" i="11"/>
  <c r="H39" i="11" s="1"/>
  <c r="K160" i="11"/>
  <c r="H160" i="11" s="1"/>
  <c r="K46" i="11"/>
  <c r="H46" i="11" s="1"/>
  <c r="K217" i="11"/>
  <c r="H217" i="11" s="1"/>
  <c r="K103" i="11"/>
  <c r="H103" i="11" s="1"/>
  <c r="K152" i="11"/>
  <c r="H152" i="11" s="1"/>
  <c r="K38" i="11"/>
  <c r="H38" i="11" s="1"/>
  <c r="K209" i="11"/>
  <c r="H209" i="11" s="1"/>
  <c r="K95" i="11"/>
  <c r="H95" i="11" s="1"/>
  <c r="K144" i="11"/>
  <c r="H144" i="11" s="1"/>
  <c r="K30" i="11"/>
  <c r="H30" i="11" s="1"/>
  <c r="K201" i="11"/>
  <c r="H201" i="11" s="1"/>
  <c r="K87" i="11"/>
  <c r="H87" i="11" s="1"/>
  <c r="K193" i="11"/>
  <c r="H193" i="11" s="1"/>
  <c r="K136" i="11"/>
  <c r="H136" i="11" s="1"/>
  <c r="K79" i="11"/>
  <c r="H79" i="11" s="1"/>
  <c r="K22" i="11"/>
  <c r="H22" i="11" s="1"/>
  <c r="K185" i="11"/>
  <c r="H185" i="11" s="1"/>
  <c r="K128" i="11"/>
  <c r="H128" i="11" s="1"/>
  <c r="K71" i="11"/>
  <c r="H71" i="11" s="1"/>
  <c r="K14" i="11"/>
  <c r="H14" i="11" s="1"/>
  <c r="K211" i="11"/>
  <c r="H211" i="11" s="1"/>
  <c r="K154" i="11"/>
  <c r="H154" i="11" s="1"/>
  <c r="K97" i="11"/>
  <c r="H97" i="11" s="1"/>
  <c r="K40" i="11"/>
  <c r="H40" i="11" s="1"/>
  <c r="K203" i="11"/>
  <c r="H203" i="11" s="1"/>
  <c r="K146" i="11"/>
  <c r="H146" i="11" s="1"/>
  <c r="K89" i="11"/>
  <c r="H89" i="11" s="1"/>
  <c r="K32" i="11"/>
  <c r="H32" i="11" s="1"/>
  <c r="K195" i="11"/>
  <c r="H195" i="11" s="1"/>
  <c r="K138" i="11"/>
  <c r="H138" i="11" s="1"/>
  <c r="K81" i="11"/>
  <c r="H81" i="11" s="1"/>
  <c r="K24" i="11"/>
  <c r="H24" i="11" s="1"/>
  <c r="K187" i="11"/>
  <c r="H187" i="11" s="1"/>
  <c r="K130" i="11"/>
  <c r="H130" i="11" s="1"/>
  <c r="K73" i="11"/>
  <c r="H73" i="11" s="1"/>
  <c r="K16" i="11"/>
  <c r="H16" i="11" s="1"/>
  <c r="K11" i="11"/>
  <c r="H11" i="11" s="1"/>
  <c r="K68" i="11"/>
  <c r="H68" i="11" s="1"/>
  <c r="K125" i="11"/>
  <c r="H125" i="11" s="1"/>
  <c r="K182" i="11"/>
  <c r="H182" i="11" s="1"/>
  <c r="V166" i="8"/>
  <c r="V182" i="8"/>
  <c r="V184" i="8"/>
  <c r="V228" i="8"/>
  <c r="V213" i="8"/>
  <c r="V229" i="8"/>
  <c r="K70" i="11"/>
  <c r="H70" i="11" s="1"/>
  <c r="K184" i="11"/>
  <c r="H184" i="11" s="1"/>
  <c r="K13" i="11"/>
  <c r="H13" i="11" s="1"/>
  <c r="K127" i="11"/>
  <c r="H127" i="11" s="1"/>
  <c r="K78" i="11"/>
  <c r="H78" i="11" s="1"/>
  <c r="K192" i="11"/>
  <c r="H192" i="11" s="1"/>
  <c r="K21" i="11"/>
  <c r="H21" i="11" s="1"/>
  <c r="K135" i="11"/>
  <c r="H135" i="11" s="1"/>
  <c r="K200" i="11"/>
  <c r="H200" i="11" s="1"/>
  <c r="K29" i="11"/>
  <c r="H29" i="11" s="1"/>
  <c r="K143" i="11"/>
  <c r="H143" i="11" s="1"/>
  <c r="K86" i="11"/>
  <c r="H86" i="11" s="1"/>
  <c r="K208" i="11"/>
  <c r="H208" i="11" s="1"/>
  <c r="K37" i="11"/>
  <c r="H37" i="11" s="1"/>
  <c r="K151" i="11"/>
  <c r="H151" i="11" s="1"/>
  <c r="K94" i="11"/>
  <c r="H94" i="11" s="1"/>
  <c r="K216" i="11"/>
  <c r="H216" i="11" s="1"/>
  <c r="K45" i="11"/>
  <c r="H45" i="11" s="1"/>
  <c r="K159" i="11"/>
  <c r="H159" i="11" s="1"/>
  <c r="K102" i="11"/>
  <c r="H102" i="11" s="1"/>
  <c r="K76" i="11"/>
  <c r="H76" i="11" s="1"/>
  <c r="K133" i="11"/>
  <c r="H133" i="11" s="1"/>
  <c r="K190" i="11"/>
  <c r="H190" i="11" s="1"/>
  <c r="K19" i="11"/>
  <c r="H19" i="11" s="1"/>
  <c r="K84" i="11"/>
  <c r="H84" i="11" s="1"/>
  <c r="K141" i="11"/>
  <c r="H141" i="11" s="1"/>
  <c r="K198" i="11"/>
  <c r="H198" i="11" s="1"/>
  <c r="K27" i="11"/>
  <c r="H27" i="11" s="1"/>
  <c r="K206" i="11"/>
  <c r="H206" i="11" s="1"/>
  <c r="K92" i="11"/>
  <c r="H92" i="11" s="1"/>
  <c r="K149" i="11"/>
  <c r="H149" i="11" s="1"/>
  <c r="K35" i="11"/>
  <c r="H35" i="11" s="1"/>
  <c r="K214" i="11"/>
  <c r="H214" i="11" s="1"/>
  <c r="K100" i="11"/>
  <c r="H100" i="11" s="1"/>
  <c r="K157" i="11"/>
  <c r="H157" i="11" s="1"/>
  <c r="K43" i="11"/>
  <c r="H43" i="11" s="1"/>
  <c r="K213" i="11"/>
  <c r="H213" i="11" s="1"/>
  <c r="K156" i="11"/>
  <c r="H156" i="11" s="1"/>
  <c r="K99" i="11"/>
  <c r="H99" i="11" s="1"/>
  <c r="K42" i="11"/>
  <c r="H42" i="11" s="1"/>
  <c r="K205" i="11"/>
  <c r="H205" i="11" s="1"/>
  <c r="K148" i="11"/>
  <c r="H148" i="11" s="1"/>
  <c r="K91" i="11"/>
  <c r="H91" i="11" s="1"/>
  <c r="K34" i="11"/>
  <c r="H34" i="11" s="1"/>
  <c r="K197" i="11"/>
  <c r="H197" i="11" s="1"/>
  <c r="K140" i="11"/>
  <c r="H140" i="11" s="1"/>
  <c r="K83" i="11"/>
  <c r="H83" i="11" s="1"/>
  <c r="K26" i="11"/>
  <c r="H26" i="11" s="1"/>
  <c r="K189" i="11"/>
  <c r="H189" i="11" s="1"/>
  <c r="K132" i="11"/>
  <c r="H132" i="11" s="1"/>
  <c r="K75" i="11"/>
  <c r="H75" i="11" s="1"/>
  <c r="K18" i="11"/>
  <c r="H18" i="11" s="1"/>
  <c r="K215" i="11"/>
  <c r="H215" i="11" s="1"/>
  <c r="K158" i="11"/>
  <c r="H158" i="11" s="1"/>
  <c r="K44" i="11"/>
  <c r="H44" i="11" s="1"/>
  <c r="K101" i="11"/>
  <c r="H101" i="11" s="1"/>
  <c r="K207" i="11"/>
  <c r="H207" i="11" s="1"/>
  <c r="K150" i="11"/>
  <c r="H150" i="11" s="1"/>
  <c r="K36" i="11"/>
  <c r="H36" i="11" s="1"/>
  <c r="K93" i="11"/>
  <c r="H93" i="11" s="1"/>
  <c r="K199" i="11"/>
  <c r="H199" i="11" s="1"/>
  <c r="K142" i="11"/>
  <c r="H142" i="11" s="1"/>
  <c r="K28" i="11"/>
  <c r="H28" i="11" s="1"/>
  <c r="K85" i="11"/>
  <c r="H85" i="11" s="1"/>
  <c r="K191" i="11"/>
  <c r="H191" i="11" s="1"/>
  <c r="K134" i="11"/>
  <c r="H134" i="11" s="1"/>
  <c r="K20" i="11"/>
  <c r="H20" i="11" s="1"/>
  <c r="K77" i="11"/>
  <c r="H77" i="11" s="1"/>
  <c r="K183" i="11"/>
  <c r="H183" i="11" s="1"/>
  <c r="K126" i="11"/>
  <c r="H126" i="11" s="1"/>
  <c r="K12" i="11"/>
  <c r="H12" i="11" s="1"/>
  <c r="K69" i="11"/>
  <c r="H69" i="11" s="1"/>
  <c r="AN46" i="11"/>
  <c r="AL46" i="11"/>
  <c r="AO46" i="11"/>
  <c r="AL25" i="11"/>
  <c r="AN25" i="11"/>
  <c r="AO25" i="11"/>
  <c r="V174" i="8"/>
  <c r="V160" i="8"/>
  <c r="V176" i="8"/>
  <c r="V222" i="8"/>
  <c r="V215" i="8"/>
  <c r="V232" i="8"/>
  <c r="Y232" i="8" s="1"/>
  <c r="V226" i="8"/>
  <c r="V236" i="8"/>
  <c r="V220" i="8"/>
  <c r="V237" i="8"/>
  <c r="V221" i="8"/>
  <c r="AO29" i="11"/>
  <c r="AL29" i="11"/>
  <c r="AN29" i="11"/>
  <c r="R221" i="8"/>
  <c r="I253" i="31"/>
  <c r="I251" i="31"/>
  <c r="I249" i="31"/>
  <c r="I247" i="31"/>
  <c r="I245" i="31"/>
  <c r="I243" i="31"/>
  <c r="I241" i="31"/>
  <c r="I239" i="31"/>
  <c r="I237" i="31"/>
  <c r="I235" i="31"/>
  <c r="I233" i="31"/>
  <c r="I231" i="31"/>
  <c r="I229" i="31"/>
  <c r="I227" i="31"/>
  <c r="I225" i="31"/>
  <c r="I223" i="31"/>
  <c r="I221" i="31"/>
  <c r="I219" i="31"/>
  <c r="I217" i="31"/>
  <c r="I215" i="31"/>
  <c r="I213" i="31"/>
  <c r="I211" i="31"/>
  <c r="I209" i="31"/>
  <c r="I207" i="31"/>
  <c r="I205" i="31"/>
  <c r="I203" i="31"/>
  <c r="I201" i="31"/>
  <c r="I199" i="31"/>
  <c r="I197" i="31"/>
  <c r="I195" i="31"/>
  <c r="I193" i="31"/>
  <c r="I191" i="31"/>
  <c r="I189" i="31"/>
  <c r="I163" i="31"/>
  <c r="I161" i="31"/>
  <c r="I159" i="31"/>
  <c r="I157" i="31"/>
  <c r="I155" i="31"/>
  <c r="I153" i="31"/>
  <c r="I151" i="31"/>
  <c r="I149" i="31"/>
  <c r="I147" i="31"/>
  <c r="I145" i="31"/>
  <c r="I143" i="31"/>
  <c r="I141" i="31"/>
  <c r="I139" i="31"/>
  <c r="I137" i="31"/>
  <c r="I135" i="31"/>
  <c r="I133" i="31"/>
  <c r="I131" i="31"/>
  <c r="I129" i="31"/>
  <c r="I127" i="31"/>
  <c r="I125" i="31"/>
  <c r="I123" i="31"/>
  <c r="I121" i="31"/>
  <c r="I119" i="31"/>
  <c r="I117" i="31"/>
  <c r="I115" i="31"/>
  <c r="I113" i="31"/>
  <c r="I111" i="31"/>
  <c r="I109" i="31"/>
  <c r="I107" i="31"/>
  <c r="I105" i="31"/>
  <c r="I103" i="31"/>
  <c r="I101" i="31"/>
  <c r="I99" i="31"/>
  <c r="I73" i="31"/>
  <c r="I71" i="31"/>
  <c r="I69" i="31"/>
  <c r="I67" i="31"/>
  <c r="I65" i="31"/>
  <c r="I63" i="31"/>
  <c r="I61" i="31"/>
  <c r="I59" i="31"/>
  <c r="I57" i="31"/>
  <c r="I55" i="31"/>
  <c r="I53" i="31"/>
  <c r="I51" i="31"/>
  <c r="I49" i="31"/>
  <c r="I47" i="31"/>
  <c r="I45" i="31"/>
  <c r="I43" i="31"/>
  <c r="I41" i="31"/>
  <c r="I39" i="31"/>
  <c r="I37" i="31"/>
  <c r="I35" i="31"/>
  <c r="I33" i="31"/>
  <c r="I31" i="31"/>
  <c r="I29" i="31"/>
  <c r="I27" i="31"/>
  <c r="I25" i="31"/>
  <c r="I23" i="31"/>
  <c r="I21" i="31"/>
  <c r="I19" i="31"/>
  <c r="I17" i="31"/>
  <c r="I15" i="31"/>
  <c r="I13" i="31"/>
  <c r="I11" i="31"/>
  <c r="I9" i="31"/>
  <c r="I101" i="60"/>
  <c r="I102" i="60"/>
  <c r="I103" i="60"/>
  <c r="I104" i="60"/>
  <c r="I105" i="60"/>
  <c r="I106" i="60"/>
  <c r="I107" i="60"/>
  <c r="I100" i="60"/>
  <c r="I2" i="58"/>
  <c r="I1" i="58"/>
  <c r="H28" i="26"/>
  <c r="H2" i="26"/>
  <c r="H1" i="26"/>
  <c r="E426" i="7"/>
  <c r="I21" i="26" s="1"/>
  <c r="I2" i="23"/>
  <c r="I1" i="23"/>
  <c r="I28" i="26"/>
  <c r="J28" i="26"/>
  <c r="H29" i="26"/>
  <c r="H30" i="26"/>
  <c r="H31" i="26"/>
  <c r="H32" i="26"/>
  <c r="H33" i="26"/>
  <c r="H34" i="26"/>
  <c r="H35" i="26"/>
  <c r="H36" i="26"/>
  <c r="H37" i="26"/>
  <c r="H38" i="26"/>
  <c r="H39" i="26"/>
  <c r="H40" i="26"/>
  <c r="H41" i="26"/>
  <c r="H42" i="26"/>
  <c r="H43" i="26"/>
  <c r="H44" i="26"/>
  <c r="H45" i="26"/>
  <c r="H10" i="26"/>
  <c r="I10" i="26"/>
  <c r="J10" i="26"/>
  <c r="H11" i="26"/>
  <c r="H12" i="26"/>
  <c r="I12" i="26"/>
  <c r="H13" i="26"/>
  <c r="I13" i="26"/>
  <c r="H14" i="26"/>
  <c r="I14" i="26"/>
  <c r="H15" i="26"/>
  <c r="I15" i="26"/>
  <c r="H16" i="26"/>
  <c r="I16" i="26"/>
  <c r="H17" i="26"/>
  <c r="I17" i="26"/>
  <c r="H18" i="26"/>
  <c r="H19" i="26"/>
  <c r="I19" i="26"/>
  <c r="H20" i="26"/>
  <c r="I20" i="26"/>
  <c r="H21" i="26"/>
  <c r="B8" i="26"/>
  <c r="C8" i="26"/>
  <c r="D8" i="26"/>
  <c r="B9" i="26"/>
  <c r="B10" i="26"/>
  <c r="C10" i="26"/>
  <c r="B11" i="26"/>
  <c r="C11" i="26"/>
  <c r="B12" i="26"/>
  <c r="C12" i="26"/>
  <c r="B13" i="26"/>
  <c r="C13" i="26"/>
  <c r="B14" i="26"/>
  <c r="C14" i="26"/>
  <c r="B15" i="26"/>
  <c r="C15" i="26"/>
  <c r="B16" i="26"/>
  <c r="B17" i="26"/>
  <c r="C17" i="26"/>
  <c r="B18" i="26"/>
  <c r="B19" i="26"/>
  <c r="C19" i="26"/>
  <c r="B20" i="26"/>
  <c r="C20" i="26"/>
  <c r="B21" i="26"/>
  <c r="C21" i="26"/>
  <c r="B22" i="26"/>
  <c r="C22" i="26"/>
  <c r="B23" i="26"/>
  <c r="C23" i="26"/>
  <c r="B24" i="26"/>
  <c r="C24" i="26"/>
  <c r="B25" i="26"/>
  <c r="C25" i="26"/>
  <c r="B26" i="26"/>
  <c r="C26" i="26"/>
  <c r="B27" i="26"/>
  <c r="C27" i="26"/>
  <c r="B28" i="26"/>
  <c r="C28" i="26"/>
  <c r="B29" i="26"/>
  <c r="C29" i="26"/>
  <c r="B30" i="26"/>
  <c r="C30" i="26"/>
  <c r="B31" i="26"/>
  <c r="C31" i="26"/>
  <c r="B32" i="26"/>
  <c r="B6" i="26"/>
  <c r="D4" i="58"/>
  <c r="D5" i="58"/>
  <c r="S5" i="58"/>
  <c r="Y5" i="58"/>
  <c r="AJ5" i="58"/>
  <c r="AT5" i="58"/>
  <c r="C6" i="58"/>
  <c r="D6" i="58"/>
  <c r="E6" i="58"/>
  <c r="F6" i="58"/>
  <c r="G6" i="58"/>
  <c r="H6" i="58"/>
  <c r="I6" i="58"/>
  <c r="K6" i="58"/>
  <c r="L6" i="58"/>
  <c r="M6" i="58"/>
  <c r="N6" i="58"/>
  <c r="O6" i="58"/>
  <c r="P6" i="58"/>
  <c r="Q6" i="58"/>
  <c r="S6" i="58"/>
  <c r="T6" i="58"/>
  <c r="U6" i="58"/>
  <c r="W6" i="58"/>
  <c r="Y6" i="58"/>
  <c r="AA6" i="58"/>
  <c r="AD6" i="58"/>
  <c r="AE6" i="58"/>
  <c r="AG6" i="58"/>
  <c r="AH6" i="58"/>
  <c r="AI6" i="58"/>
  <c r="AJ6" i="58"/>
  <c r="AN6" i="58"/>
  <c r="AO6" i="58"/>
  <c r="AQ6" i="58"/>
  <c r="AL6" i="58"/>
  <c r="AR6" i="58"/>
  <c r="AS6" i="58"/>
  <c r="AT6" i="58"/>
  <c r="C7" i="58"/>
  <c r="D7" i="58"/>
  <c r="E7" i="58"/>
  <c r="F7" i="58"/>
  <c r="G7" i="58"/>
  <c r="H7" i="58"/>
  <c r="I7" i="58"/>
  <c r="K7" i="58"/>
  <c r="L7" i="58"/>
  <c r="M7" i="58"/>
  <c r="N7" i="58"/>
  <c r="O7" i="58"/>
  <c r="P7" i="58"/>
  <c r="Q7" i="58"/>
  <c r="S7" i="58"/>
  <c r="T7" i="58"/>
  <c r="U7" i="58"/>
  <c r="W7" i="58"/>
  <c r="Y7" i="58"/>
  <c r="AA7" i="58"/>
  <c r="AD7" i="58"/>
  <c r="AE7" i="58"/>
  <c r="AG7" i="58"/>
  <c r="AH7" i="58"/>
  <c r="AI7" i="58"/>
  <c r="AJ7" i="58"/>
  <c r="AN7" i="58"/>
  <c r="AO7" i="58"/>
  <c r="AQ7" i="58"/>
  <c r="AL7" i="58"/>
  <c r="AP7" i="58"/>
  <c r="AR7" i="58"/>
  <c r="AS7" i="58"/>
  <c r="AT7" i="58"/>
  <c r="C8" i="58"/>
  <c r="D8" i="58"/>
  <c r="E8" i="58"/>
  <c r="F8" i="58"/>
  <c r="G8" i="58"/>
  <c r="H8" i="58"/>
  <c r="I8" i="58"/>
  <c r="K8" i="58"/>
  <c r="L8" i="58"/>
  <c r="M8" i="58"/>
  <c r="N8" i="58"/>
  <c r="O8" i="58"/>
  <c r="P8" i="58"/>
  <c r="Q8" i="58"/>
  <c r="S8" i="58"/>
  <c r="T8" i="58"/>
  <c r="U8" i="58"/>
  <c r="W8" i="58"/>
  <c r="Y8" i="58"/>
  <c r="AA8" i="58"/>
  <c r="AD8" i="58"/>
  <c r="AE8" i="58"/>
  <c r="AG8" i="58"/>
  <c r="AH8" i="58"/>
  <c r="AI8" i="58"/>
  <c r="AJ8" i="58"/>
  <c r="AN8" i="58"/>
  <c r="AO8" i="58"/>
  <c r="AQ8" i="58"/>
  <c r="AL8" i="58"/>
  <c r="AP8" i="58"/>
  <c r="AR8" i="58"/>
  <c r="AS8" i="58"/>
  <c r="AT8" i="58"/>
  <c r="B9" i="58"/>
  <c r="C9" i="58"/>
  <c r="D9" i="58"/>
  <c r="E9" i="58"/>
  <c r="F9" i="58"/>
  <c r="G9" i="58"/>
  <c r="H9" i="58"/>
  <c r="I9" i="58"/>
  <c r="K9" i="58"/>
  <c r="L9" i="58"/>
  <c r="M9" i="58"/>
  <c r="N9" i="58"/>
  <c r="O9" i="58"/>
  <c r="P9" i="58"/>
  <c r="Q9" i="58"/>
  <c r="S9" i="58"/>
  <c r="T9" i="58"/>
  <c r="U9" i="58"/>
  <c r="W9" i="58"/>
  <c r="Y9" i="58"/>
  <c r="AA9" i="58"/>
  <c r="AD9" i="58"/>
  <c r="AE9" i="58"/>
  <c r="AG9" i="58"/>
  <c r="AH9" i="58"/>
  <c r="AI9" i="58"/>
  <c r="AJ9" i="58"/>
  <c r="AN9" i="58"/>
  <c r="AO9" i="58"/>
  <c r="AQ9" i="58"/>
  <c r="AL9" i="58"/>
  <c r="AP9" i="58"/>
  <c r="AR9" i="58"/>
  <c r="AS9" i="58"/>
  <c r="AT9" i="58"/>
  <c r="C10" i="58"/>
  <c r="D11" i="58"/>
  <c r="E11" i="58"/>
  <c r="F11" i="58"/>
  <c r="G11" i="58"/>
  <c r="H11" i="58"/>
  <c r="I11" i="58"/>
  <c r="K11" i="58"/>
  <c r="L11" i="58"/>
  <c r="M11" i="58"/>
  <c r="N11" i="58"/>
  <c r="O11" i="58"/>
  <c r="P11" i="58"/>
  <c r="Q11" i="58"/>
  <c r="S11" i="58"/>
  <c r="T11" i="58"/>
  <c r="U11" i="58"/>
  <c r="W11" i="58"/>
  <c r="Y11" i="58"/>
  <c r="AA11" i="58"/>
  <c r="AD11" i="58"/>
  <c r="AE11" i="58"/>
  <c r="AG11" i="58"/>
  <c r="AH11" i="58"/>
  <c r="AI11" i="58"/>
  <c r="AJ11" i="58"/>
  <c r="AN11" i="58"/>
  <c r="AO11" i="58"/>
  <c r="AQ11" i="58"/>
  <c r="AL11" i="58"/>
  <c r="AP11" i="58"/>
  <c r="AR11" i="58"/>
  <c r="AS11" i="58"/>
  <c r="AT11" i="58"/>
  <c r="C12" i="58"/>
  <c r="D12" i="58"/>
  <c r="E12" i="58"/>
  <c r="F12" i="58"/>
  <c r="G12" i="58"/>
  <c r="H12" i="58"/>
  <c r="I12" i="58"/>
  <c r="K12" i="58"/>
  <c r="L12" i="58"/>
  <c r="M12" i="58"/>
  <c r="N12" i="58"/>
  <c r="O12" i="58"/>
  <c r="P12" i="58"/>
  <c r="Q12" i="58"/>
  <c r="S12" i="58"/>
  <c r="T12" i="58"/>
  <c r="U12" i="58"/>
  <c r="W12" i="58"/>
  <c r="Y12" i="58"/>
  <c r="AA12" i="58"/>
  <c r="AD12" i="58"/>
  <c r="AE12" i="58"/>
  <c r="AG12" i="58"/>
  <c r="AH12" i="58"/>
  <c r="AI12" i="58"/>
  <c r="AJ12" i="58"/>
  <c r="AN12" i="58"/>
  <c r="AO12" i="58"/>
  <c r="AQ12" i="58"/>
  <c r="AL12" i="58"/>
  <c r="AP12" i="58"/>
  <c r="AR12" i="58"/>
  <c r="AS12" i="58"/>
  <c r="AT12" i="58"/>
  <c r="C13" i="58"/>
  <c r="D13" i="58"/>
  <c r="E13" i="58"/>
  <c r="F13" i="58"/>
  <c r="G13" i="58"/>
  <c r="H13" i="58"/>
  <c r="I13" i="58"/>
  <c r="K13" i="58"/>
  <c r="L13" i="58"/>
  <c r="M13" i="58"/>
  <c r="N13" i="58"/>
  <c r="O13" i="58"/>
  <c r="P13" i="58"/>
  <c r="Q13" i="58"/>
  <c r="S13" i="58"/>
  <c r="T13" i="58"/>
  <c r="U13" i="58"/>
  <c r="W13" i="58"/>
  <c r="Y13" i="58"/>
  <c r="AA13" i="58"/>
  <c r="AD13" i="58"/>
  <c r="AE13" i="58"/>
  <c r="AG13" i="58"/>
  <c r="AH13" i="58"/>
  <c r="AI13" i="58"/>
  <c r="AJ13" i="58"/>
  <c r="AN13" i="58"/>
  <c r="AO13" i="58"/>
  <c r="AQ13" i="58"/>
  <c r="AL13" i="58"/>
  <c r="AP13" i="58"/>
  <c r="AR13" i="58"/>
  <c r="AS13" i="58"/>
  <c r="AT13" i="58"/>
  <c r="C14" i="58"/>
  <c r="D14" i="58"/>
  <c r="E14" i="58"/>
  <c r="F14" i="58"/>
  <c r="G14" i="58"/>
  <c r="H14" i="58"/>
  <c r="I14" i="58"/>
  <c r="K14" i="58"/>
  <c r="L14" i="58"/>
  <c r="M14" i="58"/>
  <c r="N14" i="58"/>
  <c r="O14" i="58"/>
  <c r="P14" i="58"/>
  <c r="Q14" i="58"/>
  <c r="S14" i="58"/>
  <c r="T14" i="58"/>
  <c r="U14" i="58"/>
  <c r="W14" i="58"/>
  <c r="Y14" i="58"/>
  <c r="AA14" i="58"/>
  <c r="AD14" i="58"/>
  <c r="AE14" i="58"/>
  <c r="AG14" i="58"/>
  <c r="AH14" i="58"/>
  <c r="AI14" i="58"/>
  <c r="AJ14" i="58"/>
  <c r="AN14" i="58"/>
  <c r="AO14" i="58"/>
  <c r="AQ14" i="58"/>
  <c r="AL14" i="58"/>
  <c r="AP14" i="58"/>
  <c r="AR14" i="58"/>
  <c r="AS14" i="58"/>
  <c r="AT14" i="58"/>
  <c r="C15" i="58"/>
  <c r="D15" i="58"/>
  <c r="E15" i="58"/>
  <c r="F15" i="58"/>
  <c r="G15" i="58"/>
  <c r="H15" i="58"/>
  <c r="I15" i="58"/>
  <c r="K15" i="58"/>
  <c r="L15" i="58"/>
  <c r="M15" i="58"/>
  <c r="N15" i="58"/>
  <c r="O15" i="58"/>
  <c r="P15" i="58"/>
  <c r="Q15" i="58"/>
  <c r="S15" i="58"/>
  <c r="T15" i="58"/>
  <c r="U15" i="58"/>
  <c r="W15" i="58"/>
  <c r="Y15" i="58"/>
  <c r="AA15" i="58"/>
  <c r="AD15" i="58"/>
  <c r="AE15" i="58"/>
  <c r="AG15" i="58"/>
  <c r="AH15" i="58"/>
  <c r="AI15" i="58"/>
  <c r="AJ15" i="58"/>
  <c r="AN15" i="58"/>
  <c r="AO15" i="58"/>
  <c r="AQ15" i="58"/>
  <c r="AL15" i="58"/>
  <c r="AP15" i="58"/>
  <c r="AR15" i="58"/>
  <c r="AS15" i="58"/>
  <c r="AT15" i="58"/>
  <c r="C16" i="58"/>
  <c r="D16" i="58"/>
  <c r="E16" i="58"/>
  <c r="F16" i="58"/>
  <c r="G16" i="58"/>
  <c r="H16" i="58"/>
  <c r="I16" i="58"/>
  <c r="K16" i="58"/>
  <c r="L16" i="58"/>
  <c r="M16" i="58"/>
  <c r="N16" i="58"/>
  <c r="O16" i="58"/>
  <c r="P16" i="58"/>
  <c r="Q16" i="58"/>
  <c r="S16" i="58"/>
  <c r="T16" i="58"/>
  <c r="U16" i="58"/>
  <c r="W16" i="58"/>
  <c r="Y16" i="58"/>
  <c r="AA16" i="58"/>
  <c r="AD16" i="58"/>
  <c r="AE16" i="58"/>
  <c r="AG16" i="58"/>
  <c r="AH16" i="58"/>
  <c r="AI16" i="58"/>
  <c r="AJ16" i="58"/>
  <c r="AN16" i="58"/>
  <c r="AO16" i="58"/>
  <c r="AQ16" i="58"/>
  <c r="AL16" i="58"/>
  <c r="AP16" i="58"/>
  <c r="AR16" i="58"/>
  <c r="AS16" i="58"/>
  <c r="AT16" i="58"/>
  <c r="C17" i="58"/>
  <c r="D17" i="58"/>
  <c r="E17" i="58"/>
  <c r="F17" i="58"/>
  <c r="G17" i="58"/>
  <c r="H17" i="58"/>
  <c r="I17" i="58"/>
  <c r="K17" i="58"/>
  <c r="L17" i="58"/>
  <c r="M17" i="58"/>
  <c r="N17" i="58"/>
  <c r="O17" i="58"/>
  <c r="P17" i="58"/>
  <c r="Q17" i="58"/>
  <c r="S17" i="58"/>
  <c r="T17" i="58"/>
  <c r="U17" i="58"/>
  <c r="W17" i="58"/>
  <c r="Y17" i="58"/>
  <c r="AA17" i="58"/>
  <c r="AD17" i="58"/>
  <c r="AE17" i="58"/>
  <c r="AG17" i="58"/>
  <c r="AH17" i="58"/>
  <c r="AI17" i="58"/>
  <c r="AJ17" i="58"/>
  <c r="AN17" i="58"/>
  <c r="AO17" i="58"/>
  <c r="AQ17" i="58"/>
  <c r="AL17" i="58"/>
  <c r="AP17" i="58"/>
  <c r="AR17" i="58"/>
  <c r="AS17" i="58"/>
  <c r="AT17" i="58"/>
  <c r="C18" i="58"/>
  <c r="D18" i="58"/>
  <c r="E18" i="58"/>
  <c r="F18" i="58"/>
  <c r="G18" i="58"/>
  <c r="H18" i="58"/>
  <c r="I18" i="58"/>
  <c r="K18" i="58"/>
  <c r="L18" i="58"/>
  <c r="M18" i="58"/>
  <c r="N18" i="58"/>
  <c r="O18" i="58"/>
  <c r="P18" i="58"/>
  <c r="Q18" i="58"/>
  <c r="S18" i="58"/>
  <c r="T18" i="58"/>
  <c r="U18" i="58"/>
  <c r="W18" i="58"/>
  <c r="Y18" i="58"/>
  <c r="AA18" i="58"/>
  <c r="AD18" i="58"/>
  <c r="AE18" i="58"/>
  <c r="AG18" i="58"/>
  <c r="AH18" i="58"/>
  <c r="AI18" i="58"/>
  <c r="AJ18" i="58"/>
  <c r="AN18" i="58"/>
  <c r="AO18" i="58"/>
  <c r="AQ18" i="58"/>
  <c r="AL18" i="58"/>
  <c r="AP18" i="58"/>
  <c r="AR18" i="58"/>
  <c r="AS18" i="58"/>
  <c r="AT18" i="58"/>
  <c r="C19" i="58"/>
  <c r="D19" i="58"/>
  <c r="E19" i="58"/>
  <c r="F19" i="58"/>
  <c r="G19" i="58"/>
  <c r="H19" i="58"/>
  <c r="I19" i="58"/>
  <c r="K19" i="58"/>
  <c r="L19" i="58"/>
  <c r="M19" i="58"/>
  <c r="N19" i="58"/>
  <c r="O19" i="58"/>
  <c r="P19" i="58"/>
  <c r="Q19" i="58"/>
  <c r="S19" i="58"/>
  <c r="T19" i="58"/>
  <c r="U19" i="58"/>
  <c r="W19" i="58"/>
  <c r="Y19" i="58"/>
  <c r="AA19" i="58"/>
  <c r="AD19" i="58"/>
  <c r="AE19" i="58"/>
  <c r="AG19" i="58"/>
  <c r="AH19" i="58"/>
  <c r="AI19" i="58"/>
  <c r="AJ19" i="58"/>
  <c r="AN19" i="58"/>
  <c r="AO19" i="58"/>
  <c r="AQ19" i="58"/>
  <c r="AL19" i="58"/>
  <c r="AP19" i="58"/>
  <c r="AR19" i="58"/>
  <c r="AS19" i="58"/>
  <c r="AT19" i="58"/>
  <c r="C20" i="58"/>
  <c r="D20" i="58"/>
  <c r="E20" i="58"/>
  <c r="F20" i="58"/>
  <c r="G20" i="58"/>
  <c r="H20" i="58"/>
  <c r="I20" i="58"/>
  <c r="K20" i="58"/>
  <c r="L20" i="58"/>
  <c r="M20" i="58"/>
  <c r="N20" i="58"/>
  <c r="O20" i="58"/>
  <c r="P20" i="58"/>
  <c r="Q20" i="58"/>
  <c r="S20" i="58"/>
  <c r="T20" i="58"/>
  <c r="U20" i="58"/>
  <c r="W20" i="58"/>
  <c r="Y20" i="58"/>
  <c r="AA20" i="58"/>
  <c r="AD20" i="58"/>
  <c r="AE20" i="58"/>
  <c r="AG20" i="58"/>
  <c r="AH20" i="58"/>
  <c r="AI20" i="58"/>
  <c r="AJ20" i="58"/>
  <c r="AN20" i="58"/>
  <c r="AO20" i="58"/>
  <c r="AQ20" i="58"/>
  <c r="AL20" i="58"/>
  <c r="AP20" i="58"/>
  <c r="AR20" i="58"/>
  <c r="AS20" i="58"/>
  <c r="AT20" i="58"/>
  <c r="C21" i="58"/>
  <c r="D21" i="58"/>
  <c r="E21" i="58"/>
  <c r="F21" i="58"/>
  <c r="G21" i="58"/>
  <c r="H21" i="58"/>
  <c r="I21" i="58"/>
  <c r="K21" i="58"/>
  <c r="L21" i="58"/>
  <c r="M21" i="58"/>
  <c r="N21" i="58"/>
  <c r="O21" i="58"/>
  <c r="P21" i="58"/>
  <c r="Q21" i="58"/>
  <c r="S21" i="58"/>
  <c r="T21" i="58"/>
  <c r="U21" i="58"/>
  <c r="W21" i="58"/>
  <c r="Y21" i="58"/>
  <c r="AA21" i="58"/>
  <c r="AD21" i="58"/>
  <c r="AE21" i="58"/>
  <c r="AG21" i="58"/>
  <c r="AH21" i="58"/>
  <c r="AI21" i="58"/>
  <c r="AJ21" i="58"/>
  <c r="AN21" i="58"/>
  <c r="AO21" i="58"/>
  <c r="AQ21" i="58"/>
  <c r="AL21" i="58"/>
  <c r="AP21" i="58"/>
  <c r="AR21" i="58"/>
  <c r="AS21" i="58"/>
  <c r="AT21" i="58"/>
  <c r="C22" i="58"/>
  <c r="C23" i="58"/>
  <c r="D23" i="58"/>
  <c r="E23" i="58"/>
  <c r="F23" i="58"/>
  <c r="G23" i="58"/>
  <c r="H23" i="58"/>
  <c r="I23" i="58"/>
  <c r="K23" i="58"/>
  <c r="L23" i="58"/>
  <c r="M23" i="58"/>
  <c r="N23" i="58"/>
  <c r="O23" i="58"/>
  <c r="P23" i="58"/>
  <c r="Q23" i="58"/>
  <c r="S23" i="58"/>
  <c r="T23" i="58"/>
  <c r="U23" i="58"/>
  <c r="W23" i="58"/>
  <c r="Y23" i="58"/>
  <c r="AA23" i="58"/>
  <c r="AD23" i="58"/>
  <c r="AE23" i="58"/>
  <c r="AG23" i="58"/>
  <c r="AH23" i="58"/>
  <c r="AI23" i="58"/>
  <c r="AJ23" i="58"/>
  <c r="AN23" i="58"/>
  <c r="AO23" i="58"/>
  <c r="AQ23" i="58"/>
  <c r="AL23" i="58"/>
  <c r="AP23" i="58"/>
  <c r="AR23" i="58"/>
  <c r="AS23" i="58"/>
  <c r="AT23" i="58"/>
  <c r="C25" i="58"/>
  <c r="D25" i="58"/>
  <c r="E25" i="58"/>
  <c r="F25" i="58"/>
  <c r="G25" i="58"/>
  <c r="H25" i="58"/>
  <c r="I25" i="58"/>
  <c r="K25" i="58"/>
  <c r="L25" i="58"/>
  <c r="M25" i="58"/>
  <c r="N25" i="58"/>
  <c r="O25" i="58"/>
  <c r="P25" i="58"/>
  <c r="Q25" i="58"/>
  <c r="S25" i="58"/>
  <c r="T25" i="58"/>
  <c r="U25" i="58"/>
  <c r="W25" i="58"/>
  <c r="Y25" i="58"/>
  <c r="AA25" i="58"/>
  <c r="AD25" i="58"/>
  <c r="AE25" i="58"/>
  <c r="AG25" i="58"/>
  <c r="AH25" i="58"/>
  <c r="AI25" i="58"/>
  <c r="AJ25" i="58"/>
  <c r="AN25" i="58"/>
  <c r="AO25" i="58"/>
  <c r="AQ25" i="58"/>
  <c r="AL25" i="58"/>
  <c r="AP25" i="58"/>
  <c r="AR25" i="58"/>
  <c r="AS25" i="58"/>
  <c r="AT25" i="58"/>
  <c r="C26" i="58"/>
  <c r="D26" i="58"/>
  <c r="E26" i="58"/>
  <c r="F26" i="58"/>
  <c r="G26" i="58"/>
  <c r="H26" i="58"/>
  <c r="I26" i="58"/>
  <c r="K26" i="58"/>
  <c r="L26" i="58"/>
  <c r="M26" i="58"/>
  <c r="N26" i="58"/>
  <c r="O26" i="58"/>
  <c r="P26" i="58"/>
  <c r="Q26" i="58"/>
  <c r="S26" i="58"/>
  <c r="T26" i="58"/>
  <c r="U26" i="58"/>
  <c r="W26" i="58"/>
  <c r="Y26" i="58"/>
  <c r="AA26" i="58"/>
  <c r="AD26" i="58"/>
  <c r="AE26" i="58"/>
  <c r="AG26" i="58"/>
  <c r="AH26" i="58"/>
  <c r="AI26" i="58"/>
  <c r="AJ26" i="58"/>
  <c r="AN26" i="58"/>
  <c r="AO26" i="58"/>
  <c r="AQ26" i="58"/>
  <c r="AL26" i="58"/>
  <c r="AP26" i="58"/>
  <c r="AR26" i="58"/>
  <c r="AS26" i="58"/>
  <c r="AT26" i="58"/>
  <c r="C27" i="58"/>
  <c r="D27" i="58"/>
  <c r="E27" i="58"/>
  <c r="F27" i="58"/>
  <c r="G27" i="58"/>
  <c r="H27" i="58"/>
  <c r="I27" i="58"/>
  <c r="K27" i="58"/>
  <c r="L27" i="58"/>
  <c r="M27" i="58"/>
  <c r="N27" i="58"/>
  <c r="O27" i="58"/>
  <c r="P27" i="58"/>
  <c r="Q27" i="58"/>
  <c r="S27" i="58"/>
  <c r="T27" i="58"/>
  <c r="U27" i="58"/>
  <c r="W27" i="58"/>
  <c r="Y27" i="58"/>
  <c r="AA27" i="58"/>
  <c r="AD27" i="58"/>
  <c r="AE27" i="58"/>
  <c r="AG27" i="58"/>
  <c r="AH27" i="58"/>
  <c r="AI27" i="58"/>
  <c r="AJ27" i="58"/>
  <c r="AN27" i="58"/>
  <c r="AO27" i="58"/>
  <c r="AQ27" i="58"/>
  <c r="AL27" i="58"/>
  <c r="AP27" i="58"/>
  <c r="AR27" i="58"/>
  <c r="AS27" i="58"/>
  <c r="AT27" i="58"/>
  <c r="C28" i="58"/>
  <c r="D28" i="58"/>
  <c r="E28" i="58"/>
  <c r="F28" i="58"/>
  <c r="G28" i="58"/>
  <c r="H28" i="58"/>
  <c r="I28" i="58"/>
  <c r="K28" i="58"/>
  <c r="L28" i="58"/>
  <c r="M28" i="58"/>
  <c r="N28" i="58"/>
  <c r="O28" i="58"/>
  <c r="P28" i="58"/>
  <c r="Q28" i="58"/>
  <c r="S28" i="58"/>
  <c r="T28" i="58"/>
  <c r="U28" i="58"/>
  <c r="W28" i="58"/>
  <c r="Y28" i="58"/>
  <c r="AA28" i="58"/>
  <c r="AD28" i="58"/>
  <c r="AE28" i="58"/>
  <c r="AG28" i="58"/>
  <c r="AH28" i="58"/>
  <c r="AI28" i="58"/>
  <c r="AJ28" i="58"/>
  <c r="AN28" i="58"/>
  <c r="AO28" i="58"/>
  <c r="AQ28" i="58"/>
  <c r="AL28" i="58"/>
  <c r="AP28" i="58"/>
  <c r="AR28" i="58"/>
  <c r="AS28" i="58"/>
  <c r="AT28" i="58"/>
  <c r="C29" i="58"/>
  <c r="D29" i="58"/>
  <c r="E29" i="58"/>
  <c r="F29" i="58"/>
  <c r="G29" i="58"/>
  <c r="H29" i="58"/>
  <c r="I29" i="58"/>
  <c r="K29" i="58"/>
  <c r="L29" i="58"/>
  <c r="M29" i="58"/>
  <c r="N29" i="58"/>
  <c r="O29" i="58"/>
  <c r="P29" i="58"/>
  <c r="Q29" i="58"/>
  <c r="S29" i="58"/>
  <c r="T29" i="58"/>
  <c r="U29" i="58"/>
  <c r="W29" i="58"/>
  <c r="Y29" i="58"/>
  <c r="AA29" i="58"/>
  <c r="AD29" i="58"/>
  <c r="AE29" i="58"/>
  <c r="AG29" i="58"/>
  <c r="AH29" i="58"/>
  <c r="AI29" i="58"/>
  <c r="AJ29" i="58"/>
  <c r="AN29" i="58"/>
  <c r="AO29" i="58"/>
  <c r="AQ29" i="58"/>
  <c r="AL29" i="58"/>
  <c r="AP29" i="58"/>
  <c r="AR29" i="58"/>
  <c r="AS29" i="58"/>
  <c r="AT29" i="58"/>
  <c r="C30" i="58"/>
  <c r="D30" i="58"/>
  <c r="E30" i="58"/>
  <c r="F30" i="58"/>
  <c r="G30" i="58"/>
  <c r="H30" i="58"/>
  <c r="I30" i="58"/>
  <c r="K30" i="58"/>
  <c r="L30" i="58"/>
  <c r="M30" i="58"/>
  <c r="N30" i="58"/>
  <c r="O30" i="58"/>
  <c r="P30" i="58"/>
  <c r="Q30" i="58"/>
  <c r="S30" i="58"/>
  <c r="T30" i="58"/>
  <c r="U30" i="58"/>
  <c r="W30" i="58"/>
  <c r="Y30" i="58"/>
  <c r="AA30" i="58"/>
  <c r="AD30" i="58"/>
  <c r="AE30" i="58"/>
  <c r="AG30" i="58"/>
  <c r="AH30" i="58"/>
  <c r="AI30" i="58"/>
  <c r="AJ30" i="58"/>
  <c r="AN30" i="58"/>
  <c r="AO30" i="58"/>
  <c r="AQ30" i="58"/>
  <c r="AL30" i="58"/>
  <c r="AP30" i="58"/>
  <c r="AR30" i="58"/>
  <c r="AS30" i="58"/>
  <c r="AT30" i="58"/>
  <c r="C31" i="58"/>
  <c r="D31" i="58"/>
  <c r="E31" i="58"/>
  <c r="F31" i="58"/>
  <c r="G31" i="58"/>
  <c r="H31" i="58"/>
  <c r="I31" i="58"/>
  <c r="K31" i="58"/>
  <c r="L31" i="58"/>
  <c r="M31" i="58"/>
  <c r="N31" i="58"/>
  <c r="O31" i="58"/>
  <c r="P31" i="58"/>
  <c r="Q31" i="58"/>
  <c r="S31" i="58"/>
  <c r="T31" i="58"/>
  <c r="U31" i="58"/>
  <c r="W31" i="58"/>
  <c r="Y31" i="58"/>
  <c r="AA31" i="58"/>
  <c r="AD31" i="58"/>
  <c r="AE31" i="58"/>
  <c r="AG31" i="58"/>
  <c r="AH31" i="58"/>
  <c r="AI31" i="58"/>
  <c r="AJ31" i="58"/>
  <c r="AN31" i="58"/>
  <c r="AO31" i="58"/>
  <c r="AQ31" i="58"/>
  <c r="AL31" i="58"/>
  <c r="AP31" i="58"/>
  <c r="AR31" i="58"/>
  <c r="AS31" i="58"/>
  <c r="AT31" i="58"/>
  <c r="C32" i="58"/>
  <c r="D32" i="58"/>
  <c r="E32" i="58"/>
  <c r="F32" i="58"/>
  <c r="G32" i="58"/>
  <c r="H32" i="58"/>
  <c r="I32" i="58"/>
  <c r="K32" i="58"/>
  <c r="L32" i="58"/>
  <c r="M32" i="58"/>
  <c r="N32" i="58"/>
  <c r="O32" i="58"/>
  <c r="P32" i="58"/>
  <c r="Q32" i="58"/>
  <c r="S32" i="58"/>
  <c r="T32" i="58"/>
  <c r="U32" i="58"/>
  <c r="W32" i="58"/>
  <c r="Y32" i="58"/>
  <c r="AA32" i="58"/>
  <c r="AD32" i="58"/>
  <c r="AE32" i="58"/>
  <c r="AG32" i="58"/>
  <c r="AH32" i="58"/>
  <c r="AI32" i="58"/>
  <c r="AJ32" i="58"/>
  <c r="AN32" i="58"/>
  <c r="AO32" i="58"/>
  <c r="AQ32" i="58"/>
  <c r="AL32" i="58"/>
  <c r="AP32" i="58"/>
  <c r="AR32" i="58"/>
  <c r="AS32" i="58"/>
  <c r="AT32" i="58"/>
  <c r="C33" i="58"/>
  <c r="C34" i="58"/>
  <c r="D34" i="58"/>
  <c r="E34" i="58"/>
  <c r="F34" i="58"/>
  <c r="G34" i="58"/>
  <c r="H34" i="58"/>
  <c r="I34" i="58"/>
  <c r="K34" i="58"/>
  <c r="L34" i="58"/>
  <c r="M34" i="58"/>
  <c r="N34" i="58"/>
  <c r="O34" i="58"/>
  <c r="P34" i="58"/>
  <c r="Q34" i="58"/>
  <c r="S34" i="58"/>
  <c r="T34" i="58"/>
  <c r="U34" i="58"/>
  <c r="W34" i="58"/>
  <c r="Y34" i="58"/>
  <c r="AA34" i="58"/>
  <c r="AD34" i="58"/>
  <c r="AE34" i="58"/>
  <c r="AG34" i="58"/>
  <c r="AH34" i="58"/>
  <c r="AI34" i="58"/>
  <c r="AJ34" i="58"/>
  <c r="AN34" i="58"/>
  <c r="AO34" i="58"/>
  <c r="AQ34" i="58"/>
  <c r="AL34" i="58"/>
  <c r="AP34" i="58"/>
  <c r="AR34" i="58"/>
  <c r="AS34" i="58"/>
  <c r="AT34" i="58"/>
  <c r="C35" i="58"/>
  <c r="D35" i="58"/>
  <c r="E35" i="58"/>
  <c r="F35" i="58"/>
  <c r="G35" i="58"/>
  <c r="H35" i="58"/>
  <c r="I35" i="58"/>
  <c r="K35" i="58"/>
  <c r="L35" i="58"/>
  <c r="M35" i="58"/>
  <c r="N35" i="58"/>
  <c r="O35" i="58"/>
  <c r="P35" i="58"/>
  <c r="Q35" i="58"/>
  <c r="S35" i="58"/>
  <c r="T35" i="58"/>
  <c r="U35" i="58"/>
  <c r="W35" i="58"/>
  <c r="Y35" i="58"/>
  <c r="AA35" i="58"/>
  <c r="AD35" i="58"/>
  <c r="AE35" i="58"/>
  <c r="AG35" i="58"/>
  <c r="AH35" i="58"/>
  <c r="AI35" i="58"/>
  <c r="AJ35" i="58"/>
  <c r="AN35" i="58"/>
  <c r="AO35" i="58"/>
  <c r="AQ35" i="58"/>
  <c r="AL35" i="58"/>
  <c r="AP35" i="58"/>
  <c r="AR35" i="58"/>
  <c r="AS35" i="58"/>
  <c r="AT35" i="58"/>
  <c r="C36" i="58"/>
  <c r="D36" i="58"/>
  <c r="E36" i="58"/>
  <c r="F36" i="58"/>
  <c r="G36" i="58"/>
  <c r="H36" i="58"/>
  <c r="I36" i="58"/>
  <c r="K36" i="58"/>
  <c r="L36" i="58"/>
  <c r="M36" i="58"/>
  <c r="N36" i="58"/>
  <c r="O36" i="58"/>
  <c r="P36" i="58"/>
  <c r="Q36" i="58"/>
  <c r="S36" i="58"/>
  <c r="T36" i="58"/>
  <c r="U36" i="58"/>
  <c r="W36" i="58"/>
  <c r="Y36" i="58"/>
  <c r="AA36" i="58"/>
  <c r="AD36" i="58"/>
  <c r="AE36" i="58"/>
  <c r="AG36" i="58"/>
  <c r="AH36" i="58"/>
  <c r="AI36" i="58"/>
  <c r="AJ36" i="58"/>
  <c r="AN36" i="58"/>
  <c r="AO36" i="58"/>
  <c r="AQ36" i="58"/>
  <c r="AL36" i="58"/>
  <c r="AP36" i="58"/>
  <c r="AR36" i="58"/>
  <c r="AS36" i="58"/>
  <c r="AT36" i="58"/>
  <c r="C37" i="58"/>
  <c r="D37" i="58"/>
  <c r="E37" i="58"/>
  <c r="F37" i="58"/>
  <c r="G37" i="58"/>
  <c r="H37" i="58"/>
  <c r="I37" i="58"/>
  <c r="K37" i="58"/>
  <c r="L37" i="58"/>
  <c r="M37" i="58"/>
  <c r="N37" i="58"/>
  <c r="O37" i="58"/>
  <c r="P37" i="58"/>
  <c r="Q37" i="58"/>
  <c r="S37" i="58"/>
  <c r="T37" i="58"/>
  <c r="U37" i="58"/>
  <c r="W37" i="58"/>
  <c r="Y37" i="58"/>
  <c r="AA37" i="58"/>
  <c r="AD37" i="58"/>
  <c r="AE37" i="58"/>
  <c r="AG37" i="58"/>
  <c r="AH37" i="58"/>
  <c r="AI37" i="58"/>
  <c r="AJ37" i="58"/>
  <c r="AN37" i="58"/>
  <c r="AO37" i="58"/>
  <c r="AQ37" i="58"/>
  <c r="AL37" i="58"/>
  <c r="AP37" i="58"/>
  <c r="AR37" i="58"/>
  <c r="AS37" i="58"/>
  <c r="AT37" i="58"/>
  <c r="C38" i="58"/>
  <c r="D38" i="58"/>
  <c r="E38" i="58"/>
  <c r="F38" i="58"/>
  <c r="G38" i="58"/>
  <c r="H38" i="58"/>
  <c r="I38" i="58"/>
  <c r="K38" i="58"/>
  <c r="L38" i="58"/>
  <c r="M38" i="58"/>
  <c r="N38" i="58"/>
  <c r="O38" i="58"/>
  <c r="P38" i="58"/>
  <c r="Q38" i="58"/>
  <c r="S38" i="58"/>
  <c r="T38" i="58"/>
  <c r="U38" i="58"/>
  <c r="W38" i="58"/>
  <c r="Y38" i="58"/>
  <c r="AA38" i="58"/>
  <c r="AD38" i="58"/>
  <c r="AE38" i="58"/>
  <c r="AG38" i="58"/>
  <c r="AH38" i="58"/>
  <c r="AI38" i="58"/>
  <c r="AJ38" i="58"/>
  <c r="AN38" i="58"/>
  <c r="AO38" i="58"/>
  <c r="AQ38" i="58"/>
  <c r="AL38" i="58"/>
  <c r="AP38" i="58"/>
  <c r="AR38" i="58"/>
  <c r="AS38" i="58"/>
  <c r="AT38" i="58"/>
  <c r="C39" i="58"/>
  <c r="D39" i="58"/>
  <c r="E39" i="58"/>
  <c r="F39" i="58"/>
  <c r="G39" i="58"/>
  <c r="H39" i="58"/>
  <c r="I39" i="58"/>
  <c r="K39" i="58"/>
  <c r="L39" i="58"/>
  <c r="M39" i="58"/>
  <c r="N39" i="58"/>
  <c r="O39" i="58"/>
  <c r="P39" i="58"/>
  <c r="Q39" i="58"/>
  <c r="S39" i="58"/>
  <c r="T39" i="58"/>
  <c r="U39" i="58"/>
  <c r="W39" i="58"/>
  <c r="Y39" i="58"/>
  <c r="AA39" i="58"/>
  <c r="AD39" i="58"/>
  <c r="AE39" i="58"/>
  <c r="AG39" i="58"/>
  <c r="AH39" i="58"/>
  <c r="AI39" i="58"/>
  <c r="AJ39" i="58"/>
  <c r="AN39" i="58"/>
  <c r="AO39" i="58"/>
  <c r="AQ39" i="58"/>
  <c r="AL39" i="58"/>
  <c r="AP39" i="58"/>
  <c r="AR39" i="58"/>
  <c r="AS39" i="58"/>
  <c r="AT39" i="58"/>
  <c r="C40" i="58"/>
  <c r="D40" i="58"/>
  <c r="E40" i="58"/>
  <c r="F40" i="58"/>
  <c r="G40" i="58"/>
  <c r="H40" i="58"/>
  <c r="I40" i="58"/>
  <c r="K40" i="58"/>
  <c r="L40" i="58"/>
  <c r="M40" i="58"/>
  <c r="N40" i="58"/>
  <c r="O40" i="58"/>
  <c r="P40" i="58"/>
  <c r="Q40" i="58"/>
  <c r="S40" i="58"/>
  <c r="T40" i="58"/>
  <c r="U40" i="58"/>
  <c r="W40" i="58"/>
  <c r="Y40" i="58"/>
  <c r="AA40" i="58"/>
  <c r="AD40" i="58"/>
  <c r="AE40" i="58"/>
  <c r="AG40" i="58"/>
  <c r="AH40" i="58"/>
  <c r="AI40" i="58"/>
  <c r="AJ40" i="58"/>
  <c r="AN40" i="58"/>
  <c r="AO40" i="58"/>
  <c r="AQ40" i="58"/>
  <c r="AL40" i="58"/>
  <c r="AP40" i="58"/>
  <c r="AR40" i="58"/>
  <c r="AS40" i="58"/>
  <c r="AT40" i="58"/>
  <c r="C41" i="58"/>
  <c r="D41" i="58"/>
  <c r="E41" i="58"/>
  <c r="F41" i="58"/>
  <c r="G41" i="58"/>
  <c r="H41" i="58"/>
  <c r="I41" i="58"/>
  <c r="K41" i="58"/>
  <c r="L41" i="58"/>
  <c r="M41" i="58"/>
  <c r="N41" i="58"/>
  <c r="O41" i="58"/>
  <c r="P41" i="58"/>
  <c r="Q41" i="58"/>
  <c r="S41" i="58"/>
  <c r="T41" i="58"/>
  <c r="U41" i="58"/>
  <c r="W41" i="58"/>
  <c r="Y41" i="58"/>
  <c r="AA41" i="58"/>
  <c r="AD41" i="58"/>
  <c r="AE41" i="58"/>
  <c r="AG41" i="58"/>
  <c r="AH41" i="58"/>
  <c r="AI41" i="58"/>
  <c r="AJ41" i="58"/>
  <c r="AN41" i="58"/>
  <c r="AO41" i="58"/>
  <c r="AQ41" i="58"/>
  <c r="AL41" i="58"/>
  <c r="AP41" i="58"/>
  <c r="AR41" i="58"/>
  <c r="AS41" i="58"/>
  <c r="AT41" i="58"/>
  <c r="C42" i="58"/>
  <c r="D42" i="58"/>
  <c r="E42" i="58"/>
  <c r="F42" i="58"/>
  <c r="G42" i="58"/>
  <c r="H42" i="58"/>
  <c r="I42" i="58"/>
  <c r="K42" i="58"/>
  <c r="L42" i="58"/>
  <c r="M42" i="58"/>
  <c r="N42" i="58"/>
  <c r="O42" i="58"/>
  <c r="P42" i="58"/>
  <c r="Q42" i="58"/>
  <c r="S42" i="58"/>
  <c r="T42" i="58"/>
  <c r="U42" i="58"/>
  <c r="W42" i="58"/>
  <c r="Y42" i="58"/>
  <c r="AA42" i="58"/>
  <c r="AD42" i="58"/>
  <c r="AE42" i="58"/>
  <c r="AG42" i="58"/>
  <c r="AH42" i="58"/>
  <c r="AI42" i="58"/>
  <c r="AJ42" i="58"/>
  <c r="AN42" i="58"/>
  <c r="AO42" i="58"/>
  <c r="AQ42" i="58"/>
  <c r="AL42" i="58"/>
  <c r="AP42" i="58"/>
  <c r="AR42" i="58"/>
  <c r="AS42" i="58"/>
  <c r="AT42" i="58"/>
  <c r="C43" i="58"/>
  <c r="D43" i="58"/>
  <c r="E43" i="58"/>
  <c r="F43" i="58"/>
  <c r="G43" i="58"/>
  <c r="H43" i="58"/>
  <c r="I43" i="58"/>
  <c r="K43" i="58"/>
  <c r="L43" i="58"/>
  <c r="M43" i="58"/>
  <c r="N43" i="58"/>
  <c r="O43" i="58"/>
  <c r="P43" i="58"/>
  <c r="Q43" i="58"/>
  <c r="S43" i="58"/>
  <c r="T43" i="58"/>
  <c r="U43" i="58"/>
  <c r="W43" i="58"/>
  <c r="Y43" i="58"/>
  <c r="AA43" i="58"/>
  <c r="AD43" i="58"/>
  <c r="AE43" i="58"/>
  <c r="AG43" i="58"/>
  <c r="AH43" i="58"/>
  <c r="AI43" i="58"/>
  <c r="AJ43" i="58"/>
  <c r="AN43" i="58"/>
  <c r="AO43" i="58"/>
  <c r="AQ43" i="58"/>
  <c r="AL43" i="58"/>
  <c r="AP43" i="58"/>
  <c r="AR43" i="58"/>
  <c r="AS43" i="58"/>
  <c r="AT43" i="58"/>
  <c r="C44" i="58"/>
  <c r="D44" i="58"/>
  <c r="E44" i="58"/>
  <c r="F44" i="58"/>
  <c r="G44" i="58"/>
  <c r="H44" i="58"/>
  <c r="I44" i="58"/>
  <c r="K44" i="58"/>
  <c r="L44" i="58"/>
  <c r="M44" i="58"/>
  <c r="N44" i="58"/>
  <c r="O44" i="58"/>
  <c r="P44" i="58"/>
  <c r="Q44" i="58"/>
  <c r="S44" i="58"/>
  <c r="T44" i="58"/>
  <c r="U44" i="58"/>
  <c r="W44" i="58"/>
  <c r="Y44" i="58"/>
  <c r="AA44" i="58"/>
  <c r="AD44" i="58"/>
  <c r="AE44" i="58"/>
  <c r="AG44" i="58"/>
  <c r="AH44" i="58"/>
  <c r="AI44" i="58"/>
  <c r="AJ44" i="58"/>
  <c r="AN44" i="58"/>
  <c r="AO44" i="58"/>
  <c r="AQ44" i="58"/>
  <c r="AL44" i="58"/>
  <c r="AP44" i="58"/>
  <c r="AR44" i="58"/>
  <c r="AS44" i="58"/>
  <c r="AT44" i="58"/>
  <c r="C45" i="58"/>
  <c r="D45" i="58"/>
  <c r="E45" i="58"/>
  <c r="F45" i="58"/>
  <c r="G45" i="58"/>
  <c r="H45" i="58"/>
  <c r="I45" i="58"/>
  <c r="K45" i="58"/>
  <c r="L45" i="58"/>
  <c r="M45" i="58"/>
  <c r="N45" i="58"/>
  <c r="O45" i="58"/>
  <c r="P45" i="58"/>
  <c r="Q45" i="58"/>
  <c r="S45" i="58"/>
  <c r="T45" i="58"/>
  <c r="U45" i="58"/>
  <c r="W45" i="58"/>
  <c r="Y45" i="58"/>
  <c r="AA45" i="58"/>
  <c r="AD45" i="58"/>
  <c r="AE45" i="58"/>
  <c r="AG45" i="58"/>
  <c r="AH45" i="58"/>
  <c r="AI45" i="58"/>
  <c r="AJ45" i="58"/>
  <c r="AN45" i="58"/>
  <c r="AO45" i="58"/>
  <c r="AQ45" i="58"/>
  <c r="AL45" i="58"/>
  <c r="AP45" i="58"/>
  <c r="AR45" i="58"/>
  <c r="AS45" i="58"/>
  <c r="AT45" i="58"/>
  <c r="C46" i="58"/>
  <c r="D46" i="58"/>
  <c r="E46" i="58"/>
  <c r="F46" i="58"/>
  <c r="G46" i="58"/>
  <c r="H46" i="58"/>
  <c r="I46" i="58"/>
  <c r="K46" i="58"/>
  <c r="L46" i="58"/>
  <c r="M46" i="58"/>
  <c r="N46" i="58"/>
  <c r="O46" i="58"/>
  <c r="P46" i="58"/>
  <c r="Q46" i="58"/>
  <c r="S46" i="58"/>
  <c r="T46" i="58"/>
  <c r="U46" i="58"/>
  <c r="W46" i="58"/>
  <c r="Y46" i="58"/>
  <c r="AA46" i="58"/>
  <c r="AD46" i="58"/>
  <c r="AE46" i="58"/>
  <c r="AG46" i="58"/>
  <c r="AH46" i="58"/>
  <c r="AI46" i="58"/>
  <c r="AJ46" i="58"/>
  <c r="AN46" i="58"/>
  <c r="AO46" i="58"/>
  <c r="AQ46" i="58"/>
  <c r="AL46" i="58"/>
  <c r="AP46" i="58"/>
  <c r="AR46" i="58"/>
  <c r="AS46" i="58"/>
  <c r="AT46" i="58"/>
  <c r="C47" i="58"/>
  <c r="D47" i="58"/>
  <c r="E47" i="58"/>
  <c r="F47" i="58"/>
  <c r="G47" i="58"/>
  <c r="H47" i="58"/>
  <c r="I47" i="58"/>
  <c r="K47" i="58"/>
  <c r="L47" i="58"/>
  <c r="M47" i="58"/>
  <c r="N47" i="58"/>
  <c r="O47" i="58"/>
  <c r="P47" i="58"/>
  <c r="Q47" i="58"/>
  <c r="S47" i="58"/>
  <c r="T47" i="58"/>
  <c r="U47" i="58"/>
  <c r="W47" i="58"/>
  <c r="Y47" i="58"/>
  <c r="AA47" i="58"/>
  <c r="AD47" i="58"/>
  <c r="AE47" i="58"/>
  <c r="AG47" i="58"/>
  <c r="AH47" i="58"/>
  <c r="AI47" i="58"/>
  <c r="AJ47" i="58"/>
  <c r="AN47" i="58"/>
  <c r="AO47" i="58"/>
  <c r="AQ47" i="58"/>
  <c r="AL47" i="58"/>
  <c r="AP47" i="58"/>
  <c r="AR47" i="58"/>
  <c r="AS47" i="58"/>
  <c r="AT47" i="58"/>
  <c r="C48" i="58"/>
  <c r="D48" i="58"/>
  <c r="E48" i="58"/>
  <c r="F48" i="58"/>
  <c r="G48" i="58"/>
  <c r="H48" i="58"/>
  <c r="I48" i="58"/>
  <c r="K48" i="58"/>
  <c r="L48" i="58"/>
  <c r="M48" i="58"/>
  <c r="N48" i="58"/>
  <c r="O48" i="58"/>
  <c r="P48" i="58"/>
  <c r="Q48" i="58"/>
  <c r="S48" i="58"/>
  <c r="T48" i="58"/>
  <c r="U48" i="58"/>
  <c r="W48" i="58"/>
  <c r="Y48" i="58"/>
  <c r="AA48" i="58"/>
  <c r="AD48" i="58"/>
  <c r="AE48" i="58"/>
  <c r="AG48" i="58"/>
  <c r="AH48" i="58"/>
  <c r="AI48" i="58"/>
  <c r="AJ48" i="58"/>
  <c r="AN48" i="58"/>
  <c r="AO48" i="58"/>
  <c r="AQ48" i="58"/>
  <c r="AL48" i="58"/>
  <c r="AP48" i="58"/>
  <c r="AR48" i="58"/>
  <c r="AS48" i="58"/>
  <c r="AT48" i="58"/>
  <c r="C49" i="58"/>
  <c r="D49" i="58"/>
  <c r="E49" i="58"/>
  <c r="F49" i="58"/>
  <c r="G49" i="58"/>
  <c r="H49" i="58"/>
  <c r="I49" i="58"/>
  <c r="K49" i="58"/>
  <c r="L49" i="58"/>
  <c r="M49" i="58"/>
  <c r="N49" i="58"/>
  <c r="O49" i="58"/>
  <c r="P49" i="58"/>
  <c r="Q49" i="58"/>
  <c r="S49" i="58"/>
  <c r="T49" i="58"/>
  <c r="U49" i="58"/>
  <c r="W49" i="58"/>
  <c r="Y49" i="58"/>
  <c r="AA49" i="58"/>
  <c r="AD49" i="58"/>
  <c r="AE49" i="58"/>
  <c r="AG49" i="58"/>
  <c r="AH49" i="58"/>
  <c r="AI49" i="58"/>
  <c r="AJ49" i="58"/>
  <c r="AN49" i="58"/>
  <c r="AO49" i="58"/>
  <c r="AQ49" i="58"/>
  <c r="AL49" i="58"/>
  <c r="AP49" i="58"/>
  <c r="AR49" i="58"/>
  <c r="AS49" i="58"/>
  <c r="AT49" i="58"/>
  <c r="C50" i="58"/>
  <c r="D50" i="58"/>
  <c r="E50" i="58"/>
  <c r="F50" i="58"/>
  <c r="G50" i="58"/>
  <c r="H50" i="58"/>
  <c r="I50" i="58"/>
  <c r="K50" i="58"/>
  <c r="L50" i="58"/>
  <c r="M50" i="58"/>
  <c r="N50" i="58"/>
  <c r="O50" i="58"/>
  <c r="P50" i="58"/>
  <c r="Q50" i="58"/>
  <c r="S50" i="58"/>
  <c r="T50" i="58"/>
  <c r="U50" i="58"/>
  <c r="W50" i="58"/>
  <c r="Y50" i="58"/>
  <c r="AA50" i="58"/>
  <c r="AD50" i="58"/>
  <c r="AE50" i="58"/>
  <c r="AG50" i="58"/>
  <c r="AH50" i="58"/>
  <c r="AI50" i="58"/>
  <c r="AJ50" i="58"/>
  <c r="AN50" i="58"/>
  <c r="AO50" i="58"/>
  <c r="AQ50" i="58"/>
  <c r="AL50" i="58"/>
  <c r="AP50" i="58"/>
  <c r="AR50" i="58"/>
  <c r="AS50" i="58"/>
  <c r="AT50" i="58"/>
  <c r="C51" i="58"/>
  <c r="D51" i="58"/>
  <c r="E51" i="58"/>
  <c r="F51" i="58"/>
  <c r="G51" i="58"/>
  <c r="H51" i="58"/>
  <c r="I51" i="58"/>
  <c r="K51" i="58"/>
  <c r="L51" i="58"/>
  <c r="M51" i="58"/>
  <c r="N51" i="58"/>
  <c r="O51" i="58"/>
  <c r="P51" i="58"/>
  <c r="Q51" i="58"/>
  <c r="S51" i="58"/>
  <c r="T51" i="58"/>
  <c r="U51" i="58"/>
  <c r="W51" i="58"/>
  <c r="Y51" i="58"/>
  <c r="AA51" i="58"/>
  <c r="AD51" i="58"/>
  <c r="AE51" i="58"/>
  <c r="AG51" i="58"/>
  <c r="AH51" i="58"/>
  <c r="AI51" i="58"/>
  <c r="AJ51" i="58"/>
  <c r="AN51" i="58"/>
  <c r="AO51" i="58"/>
  <c r="AQ51" i="58"/>
  <c r="AL51" i="58"/>
  <c r="AP51" i="58"/>
  <c r="AR51" i="58"/>
  <c r="AS51" i="58"/>
  <c r="AT51" i="58"/>
  <c r="C52" i="58"/>
  <c r="D52" i="58"/>
  <c r="E52" i="58"/>
  <c r="F52" i="58"/>
  <c r="G52" i="58"/>
  <c r="H52" i="58"/>
  <c r="I52" i="58"/>
  <c r="K52" i="58"/>
  <c r="L52" i="58"/>
  <c r="M52" i="58"/>
  <c r="N52" i="58"/>
  <c r="O52" i="58"/>
  <c r="P52" i="58"/>
  <c r="Q52" i="58"/>
  <c r="S52" i="58"/>
  <c r="T52" i="58"/>
  <c r="U52" i="58"/>
  <c r="W52" i="58"/>
  <c r="Y52" i="58"/>
  <c r="AA52" i="58"/>
  <c r="AD52" i="58"/>
  <c r="AE52" i="58"/>
  <c r="AG52" i="58"/>
  <c r="AH52" i="58"/>
  <c r="AI52" i="58"/>
  <c r="AJ52" i="58"/>
  <c r="AN52" i="58"/>
  <c r="AO52" i="58"/>
  <c r="AQ52" i="58"/>
  <c r="AL52" i="58"/>
  <c r="AP52" i="58"/>
  <c r="AR52" i="58"/>
  <c r="AS52" i="58"/>
  <c r="AT52" i="58"/>
  <c r="C53" i="58"/>
  <c r="D53" i="58"/>
  <c r="E53" i="58"/>
  <c r="F53" i="58"/>
  <c r="G53" i="58"/>
  <c r="H53" i="58"/>
  <c r="I53" i="58"/>
  <c r="K53" i="58"/>
  <c r="L53" i="58"/>
  <c r="M53" i="58"/>
  <c r="N53" i="58"/>
  <c r="O53" i="58"/>
  <c r="P53" i="58"/>
  <c r="Q53" i="58"/>
  <c r="S53" i="58"/>
  <c r="T53" i="58"/>
  <c r="U53" i="58"/>
  <c r="W53" i="58"/>
  <c r="Y53" i="58"/>
  <c r="AA53" i="58"/>
  <c r="AD53" i="58"/>
  <c r="AE53" i="58"/>
  <c r="AG53" i="58"/>
  <c r="AH53" i="58"/>
  <c r="AI53" i="58"/>
  <c r="AJ53" i="58"/>
  <c r="AN53" i="58"/>
  <c r="AO53" i="58"/>
  <c r="AQ53" i="58"/>
  <c r="AL53" i="58"/>
  <c r="AP53" i="58"/>
  <c r="AR53" i="58"/>
  <c r="AS53" i="58"/>
  <c r="AT53" i="58"/>
  <c r="C54" i="58"/>
  <c r="D54" i="58"/>
  <c r="E54" i="58"/>
  <c r="F54" i="58"/>
  <c r="G54" i="58"/>
  <c r="H54" i="58"/>
  <c r="I54" i="58"/>
  <c r="K54" i="58"/>
  <c r="L54" i="58"/>
  <c r="M54" i="58"/>
  <c r="N54" i="58"/>
  <c r="O54" i="58"/>
  <c r="P54" i="58"/>
  <c r="Q54" i="58"/>
  <c r="S54" i="58"/>
  <c r="T54" i="58"/>
  <c r="U54" i="58"/>
  <c r="W54" i="58"/>
  <c r="Y54" i="58"/>
  <c r="AA54" i="58"/>
  <c r="AD54" i="58"/>
  <c r="AE54" i="58"/>
  <c r="AG54" i="58"/>
  <c r="AH54" i="58"/>
  <c r="AI54" i="58"/>
  <c r="AJ54" i="58"/>
  <c r="AN54" i="58"/>
  <c r="AO54" i="58"/>
  <c r="AQ54" i="58"/>
  <c r="AL54" i="58"/>
  <c r="AP54" i="58"/>
  <c r="AR54" i="58"/>
  <c r="AS54" i="58"/>
  <c r="AT54" i="58"/>
  <c r="C55" i="58"/>
  <c r="D55" i="58"/>
  <c r="E55" i="58"/>
  <c r="F55" i="58"/>
  <c r="G55" i="58"/>
  <c r="H55" i="58"/>
  <c r="I55" i="58"/>
  <c r="K55" i="58"/>
  <c r="L55" i="58"/>
  <c r="M55" i="58"/>
  <c r="N55" i="58"/>
  <c r="O55" i="58"/>
  <c r="P55" i="58"/>
  <c r="Q55" i="58"/>
  <c r="S55" i="58"/>
  <c r="T55" i="58"/>
  <c r="U55" i="58"/>
  <c r="W55" i="58"/>
  <c r="Y55" i="58"/>
  <c r="AA55" i="58"/>
  <c r="AD55" i="58"/>
  <c r="AE55" i="58"/>
  <c r="AG55" i="58"/>
  <c r="AH55" i="58"/>
  <c r="AI55" i="58"/>
  <c r="AJ55" i="58"/>
  <c r="AN55" i="58"/>
  <c r="AO55" i="58"/>
  <c r="AQ55" i="58"/>
  <c r="AL55" i="58"/>
  <c r="AP55" i="58"/>
  <c r="AR55" i="58"/>
  <c r="AS55" i="58"/>
  <c r="AT55" i="58"/>
  <c r="C56" i="58"/>
  <c r="D56" i="58"/>
  <c r="E56" i="58"/>
  <c r="F56" i="58"/>
  <c r="G56" i="58"/>
  <c r="H56" i="58"/>
  <c r="I56" i="58"/>
  <c r="K56" i="58"/>
  <c r="L56" i="58"/>
  <c r="M56" i="58"/>
  <c r="N56" i="58"/>
  <c r="O56" i="58"/>
  <c r="P56" i="58"/>
  <c r="Q56" i="58"/>
  <c r="S56" i="58"/>
  <c r="T56" i="58"/>
  <c r="U56" i="58"/>
  <c r="W56" i="58"/>
  <c r="Y56" i="58"/>
  <c r="AA56" i="58"/>
  <c r="AD56" i="58"/>
  <c r="AE56" i="58"/>
  <c r="AG56" i="58"/>
  <c r="AH56" i="58"/>
  <c r="AI56" i="58"/>
  <c r="AJ56" i="58"/>
  <c r="AN56" i="58"/>
  <c r="AO56" i="58"/>
  <c r="AQ56" i="58"/>
  <c r="AL56" i="58"/>
  <c r="AP56" i="58"/>
  <c r="AR56" i="58"/>
  <c r="AS56" i="58"/>
  <c r="AT56" i="58"/>
  <c r="C57" i="58"/>
  <c r="D57" i="58"/>
  <c r="E57" i="58"/>
  <c r="F57" i="58"/>
  <c r="G57" i="58"/>
  <c r="H57" i="58"/>
  <c r="I57" i="58"/>
  <c r="K57" i="58"/>
  <c r="L57" i="58"/>
  <c r="M57" i="58"/>
  <c r="N57" i="58"/>
  <c r="O57" i="58"/>
  <c r="P57" i="58"/>
  <c r="Q57" i="58"/>
  <c r="S57" i="58"/>
  <c r="T57" i="58"/>
  <c r="U57" i="58"/>
  <c r="W57" i="58"/>
  <c r="Y57" i="58"/>
  <c r="AA57" i="58"/>
  <c r="AD57" i="58"/>
  <c r="AE57" i="58"/>
  <c r="AG57" i="58"/>
  <c r="AH57" i="58"/>
  <c r="AI57" i="58"/>
  <c r="AJ57" i="58"/>
  <c r="AN57" i="58"/>
  <c r="AO57" i="58"/>
  <c r="AQ57" i="58"/>
  <c r="AL57" i="58"/>
  <c r="AP57" i="58"/>
  <c r="AR57" i="58"/>
  <c r="AS57" i="58"/>
  <c r="AT57" i="58"/>
  <c r="C58" i="58"/>
  <c r="D58" i="58"/>
  <c r="E58" i="58"/>
  <c r="F58" i="58"/>
  <c r="G58" i="58"/>
  <c r="H58" i="58"/>
  <c r="I58" i="58"/>
  <c r="K58" i="58"/>
  <c r="L58" i="58"/>
  <c r="M58" i="58"/>
  <c r="N58" i="58"/>
  <c r="O58" i="58"/>
  <c r="P58" i="58"/>
  <c r="Q58" i="58"/>
  <c r="S58" i="58"/>
  <c r="T58" i="58"/>
  <c r="U58" i="58"/>
  <c r="W58" i="58"/>
  <c r="Y58" i="58"/>
  <c r="AA58" i="58"/>
  <c r="AD58" i="58"/>
  <c r="AE58" i="58"/>
  <c r="AG58" i="58"/>
  <c r="AH58" i="58"/>
  <c r="AI58" i="58"/>
  <c r="AJ58" i="58"/>
  <c r="AN58" i="58"/>
  <c r="AO58" i="58"/>
  <c r="AQ58" i="58"/>
  <c r="AL58" i="58"/>
  <c r="AP58" i="58"/>
  <c r="AR58" i="58"/>
  <c r="AS58" i="58"/>
  <c r="AT58" i="58"/>
  <c r="C59" i="58"/>
  <c r="D59" i="58"/>
  <c r="E59" i="58"/>
  <c r="F59" i="58"/>
  <c r="G59" i="58"/>
  <c r="H59" i="58"/>
  <c r="I59" i="58"/>
  <c r="K59" i="58"/>
  <c r="L59" i="58"/>
  <c r="M59" i="58"/>
  <c r="N59" i="58"/>
  <c r="O59" i="58"/>
  <c r="P59" i="58"/>
  <c r="Q59" i="58"/>
  <c r="S59" i="58"/>
  <c r="T59" i="58"/>
  <c r="U59" i="58"/>
  <c r="W59" i="58"/>
  <c r="Y59" i="58"/>
  <c r="AA59" i="58"/>
  <c r="AD59" i="58"/>
  <c r="AE59" i="58"/>
  <c r="AG59" i="58"/>
  <c r="AH59" i="58"/>
  <c r="AI59" i="58"/>
  <c r="AJ59" i="58"/>
  <c r="AN59" i="58"/>
  <c r="AO59" i="58"/>
  <c r="AQ59" i="58"/>
  <c r="AL59" i="58"/>
  <c r="AP59" i="58"/>
  <c r="AR59" i="58"/>
  <c r="AS59" i="58"/>
  <c r="AT59" i="58"/>
  <c r="C60" i="58"/>
  <c r="D60" i="58"/>
  <c r="E60" i="58"/>
  <c r="F60" i="58"/>
  <c r="G60" i="58"/>
  <c r="H60" i="58"/>
  <c r="I60" i="58"/>
  <c r="K60" i="58"/>
  <c r="L60" i="58"/>
  <c r="M60" i="58"/>
  <c r="N60" i="58"/>
  <c r="O60" i="58"/>
  <c r="P60" i="58"/>
  <c r="Q60" i="58"/>
  <c r="S60" i="58"/>
  <c r="T60" i="58"/>
  <c r="U60" i="58"/>
  <c r="W60" i="58"/>
  <c r="Y60" i="58"/>
  <c r="AA60" i="58"/>
  <c r="AD60" i="58"/>
  <c r="AE60" i="58"/>
  <c r="AG60" i="58"/>
  <c r="AH60" i="58"/>
  <c r="AI60" i="58"/>
  <c r="AJ60" i="58"/>
  <c r="AN60" i="58"/>
  <c r="AO60" i="58"/>
  <c r="AQ60" i="58"/>
  <c r="AL60" i="58"/>
  <c r="AP60" i="58"/>
  <c r="AR60" i="58"/>
  <c r="AS60" i="58"/>
  <c r="AT60" i="58"/>
  <c r="C61" i="58"/>
  <c r="D61" i="58"/>
  <c r="E61" i="58"/>
  <c r="F61" i="58"/>
  <c r="G61" i="58"/>
  <c r="H61" i="58"/>
  <c r="I61" i="58"/>
  <c r="K61" i="58"/>
  <c r="L61" i="58"/>
  <c r="M61" i="58"/>
  <c r="N61" i="58"/>
  <c r="O61" i="58"/>
  <c r="P61" i="58"/>
  <c r="Q61" i="58"/>
  <c r="S61" i="58"/>
  <c r="T61" i="58"/>
  <c r="U61" i="58"/>
  <c r="W61" i="58"/>
  <c r="Y61" i="58"/>
  <c r="AA61" i="58"/>
  <c r="AD61" i="58"/>
  <c r="AE61" i="58"/>
  <c r="AG61" i="58"/>
  <c r="AH61" i="58"/>
  <c r="AI61" i="58"/>
  <c r="AJ61" i="58"/>
  <c r="AN61" i="58"/>
  <c r="AO61" i="58"/>
  <c r="AQ61" i="58"/>
  <c r="AL61" i="58"/>
  <c r="AP61" i="58"/>
  <c r="AR61" i="58"/>
  <c r="AS61" i="58"/>
  <c r="AT61" i="58"/>
  <c r="C62" i="58"/>
  <c r="D62" i="58"/>
  <c r="E62" i="58"/>
  <c r="F62" i="58"/>
  <c r="G62" i="58"/>
  <c r="H62" i="58"/>
  <c r="I62" i="58"/>
  <c r="K62" i="58"/>
  <c r="L62" i="58"/>
  <c r="M62" i="58"/>
  <c r="N62" i="58"/>
  <c r="O62" i="58"/>
  <c r="P62" i="58"/>
  <c r="Q62" i="58"/>
  <c r="S62" i="58"/>
  <c r="T62" i="58"/>
  <c r="U62" i="58"/>
  <c r="W62" i="58"/>
  <c r="Y62" i="58"/>
  <c r="AA62" i="58"/>
  <c r="AD62" i="58"/>
  <c r="AE62" i="58"/>
  <c r="AG62" i="58"/>
  <c r="AH62" i="58"/>
  <c r="AI62" i="58"/>
  <c r="AJ62" i="58"/>
  <c r="AN62" i="58"/>
  <c r="AO62" i="58"/>
  <c r="AQ62" i="58"/>
  <c r="AL62" i="58"/>
  <c r="AP62" i="58"/>
  <c r="AR62" i="58"/>
  <c r="AS62" i="58"/>
  <c r="AT62" i="58"/>
  <c r="C63" i="58"/>
  <c r="D63" i="58"/>
  <c r="E63" i="58"/>
  <c r="F63" i="58"/>
  <c r="G63" i="58"/>
  <c r="H63" i="58"/>
  <c r="I63" i="58"/>
  <c r="K63" i="58"/>
  <c r="L63" i="58"/>
  <c r="M63" i="58"/>
  <c r="N63" i="58"/>
  <c r="O63" i="58"/>
  <c r="P63" i="58"/>
  <c r="Q63" i="58"/>
  <c r="S63" i="58"/>
  <c r="T63" i="58"/>
  <c r="U63" i="58"/>
  <c r="W63" i="58"/>
  <c r="Y63" i="58"/>
  <c r="AA63" i="58"/>
  <c r="AD63" i="58"/>
  <c r="AE63" i="58"/>
  <c r="AG63" i="58"/>
  <c r="AH63" i="58"/>
  <c r="AI63" i="58"/>
  <c r="AJ63" i="58"/>
  <c r="AN63" i="58"/>
  <c r="AO63" i="58"/>
  <c r="AQ63" i="58"/>
  <c r="AL63" i="58"/>
  <c r="AP63" i="58"/>
  <c r="AR63" i="58"/>
  <c r="AS63" i="58"/>
  <c r="AT63" i="58"/>
  <c r="C64" i="58"/>
  <c r="D64" i="58"/>
  <c r="E64" i="58"/>
  <c r="F64" i="58"/>
  <c r="G64" i="58"/>
  <c r="H64" i="58"/>
  <c r="I64" i="58"/>
  <c r="K64" i="58"/>
  <c r="L64" i="58"/>
  <c r="M64" i="58"/>
  <c r="N64" i="58"/>
  <c r="O64" i="58"/>
  <c r="P64" i="58"/>
  <c r="Q64" i="58"/>
  <c r="S64" i="58"/>
  <c r="T64" i="58"/>
  <c r="U64" i="58"/>
  <c r="W64" i="58"/>
  <c r="Y64" i="58"/>
  <c r="AA64" i="58"/>
  <c r="AD64" i="58"/>
  <c r="AE64" i="58"/>
  <c r="AG64" i="58"/>
  <c r="AH64" i="58"/>
  <c r="AI64" i="58"/>
  <c r="AJ64" i="58"/>
  <c r="AN64" i="58"/>
  <c r="AO64" i="58"/>
  <c r="AQ64" i="58"/>
  <c r="AL64" i="58"/>
  <c r="AP64" i="58"/>
  <c r="AR64" i="58"/>
  <c r="AS64" i="58"/>
  <c r="AT64" i="58"/>
  <c r="C65" i="58"/>
  <c r="D65" i="58"/>
  <c r="E65" i="58"/>
  <c r="F65" i="58"/>
  <c r="G65" i="58"/>
  <c r="H65" i="58"/>
  <c r="I65" i="58"/>
  <c r="K65" i="58"/>
  <c r="L65" i="58"/>
  <c r="M65" i="58"/>
  <c r="N65" i="58"/>
  <c r="O65" i="58"/>
  <c r="P65" i="58"/>
  <c r="Q65" i="58"/>
  <c r="S65" i="58"/>
  <c r="T65" i="58"/>
  <c r="U65" i="58"/>
  <c r="W65" i="58"/>
  <c r="Y65" i="58"/>
  <c r="AA65" i="58"/>
  <c r="AD65" i="58"/>
  <c r="AE65" i="58"/>
  <c r="AG65" i="58"/>
  <c r="AH65" i="58"/>
  <c r="AI65" i="58"/>
  <c r="AJ65" i="58"/>
  <c r="AN65" i="58"/>
  <c r="AO65" i="58"/>
  <c r="AQ65" i="58"/>
  <c r="AL65" i="58"/>
  <c r="AP65" i="58"/>
  <c r="AR65" i="58"/>
  <c r="AS65" i="58"/>
  <c r="AT65" i="58"/>
  <c r="C66" i="58"/>
  <c r="D66" i="58"/>
  <c r="E66" i="58"/>
  <c r="F66" i="58"/>
  <c r="G66" i="58"/>
  <c r="H66" i="58"/>
  <c r="I66" i="58"/>
  <c r="K66" i="58"/>
  <c r="L66" i="58"/>
  <c r="M66" i="58"/>
  <c r="N66" i="58"/>
  <c r="O66" i="58"/>
  <c r="P66" i="58"/>
  <c r="Q66" i="58"/>
  <c r="S66" i="58"/>
  <c r="T66" i="58"/>
  <c r="U66" i="58"/>
  <c r="W66" i="58"/>
  <c r="Y66" i="58"/>
  <c r="AA66" i="58"/>
  <c r="AD66" i="58"/>
  <c r="AE66" i="58"/>
  <c r="AG66" i="58"/>
  <c r="AH66" i="58"/>
  <c r="AI66" i="58"/>
  <c r="AJ66" i="58"/>
  <c r="AN66" i="58"/>
  <c r="AO66" i="58"/>
  <c r="AQ66" i="58"/>
  <c r="AL66" i="58"/>
  <c r="AP66" i="58"/>
  <c r="AR66" i="58"/>
  <c r="AS66" i="58"/>
  <c r="AT66" i="58"/>
  <c r="C67" i="58"/>
  <c r="D67" i="58"/>
  <c r="E67" i="58"/>
  <c r="F67" i="58"/>
  <c r="G67" i="58"/>
  <c r="H67" i="58"/>
  <c r="I67" i="58"/>
  <c r="K67" i="58"/>
  <c r="L67" i="58"/>
  <c r="M67" i="58"/>
  <c r="N67" i="58"/>
  <c r="O67" i="58"/>
  <c r="P67" i="58"/>
  <c r="Q67" i="58"/>
  <c r="S67" i="58"/>
  <c r="T67" i="58"/>
  <c r="U67" i="58"/>
  <c r="W67" i="58"/>
  <c r="Y67" i="58"/>
  <c r="AA67" i="58"/>
  <c r="AD67" i="58"/>
  <c r="AE67" i="58"/>
  <c r="AG67" i="58"/>
  <c r="AH67" i="58"/>
  <c r="AI67" i="58"/>
  <c r="AJ67" i="58"/>
  <c r="AN67" i="58"/>
  <c r="AO67" i="58"/>
  <c r="AQ67" i="58"/>
  <c r="AL67" i="58"/>
  <c r="AP67" i="58"/>
  <c r="AR67" i="58"/>
  <c r="AS67" i="58"/>
  <c r="AT67" i="58"/>
  <c r="C68" i="58"/>
  <c r="D68" i="58"/>
  <c r="E68" i="58"/>
  <c r="F68" i="58"/>
  <c r="G68" i="58"/>
  <c r="H68" i="58"/>
  <c r="I68" i="58"/>
  <c r="K68" i="58"/>
  <c r="L68" i="58"/>
  <c r="M68" i="58"/>
  <c r="N68" i="58"/>
  <c r="O68" i="58"/>
  <c r="P68" i="58"/>
  <c r="Q68" i="58"/>
  <c r="S68" i="58"/>
  <c r="T68" i="58"/>
  <c r="U68" i="58"/>
  <c r="W68" i="58"/>
  <c r="Y68" i="58"/>
  <c r="AA68" i="58"/>
  <c r="AD68" i="58"/>
  <c r="AE68" i="58"/>
  <c r="AG68" i="58"/>
  <c r="AH68" i="58"/>
  <c r="AI68" i="58"/>
  <c r="AJ68" i="58"/>
  <c r="AN68" i="58"/>
  <c r="AO68" i="58"/>
  <c r="AQ68" i="58"/>
  <c r="AL68" i="58"/>
  <c r="AP68" i="58"/>
  <c r="AR68" i="58"/>
  <c r="AS68" i="58"/>
  <c r="AT68" i="58"/>
  <c r="C69" i="58"/>
  <c r="D69" i="58"/>
  <c r="E69" i="58"/>
  <c r="F69" i="58"/>
  <c r="G69" i="58"/>
  <c r="H69" i="58"/>
  <c r="I69" i="58"/>
  <c r="K69" i="58"/>
  <c r="L69" i="58"/>
  <c r="M69" i="58"/>
  <c r="N69" i="58"/>
  <c r="O69" i="58"/>
  <c r="P69" i="58"/>
  <c r="Q69" i="58"/>
  <c r="S69" i="58"/>
  <c r="T69" i="58"/>
  <c r="U69" i="58"/>
  <c r="W69" i="58"/>
  <c r="Y69" i="58"/>
  <c r="AA69" i="58"/>
  <c r="AD69" i="58"/>
  <c r="AE69" i="58"/>
  <c r="AG69" i="58"/>
  <c r="AH69" i="58"/>
  <c r="AI69" i="58"/>
  <c r="AJ69" i="58"/>
  <c r="AN69" i="58"/>
  <c r="AO69" i="58"/>
  <c r="AQ69" i="58"/>
  <c r="AL69" i="58"/>
  <c r="AP69" i="58"/>
  <c r="AR69" i="58"/>
  <c r="AS69" i="58"/>
  <c r="AT69" i="58"/>
  <c r="C70" i="58"/>
  <c r="D70" i="58"/>
  <c r="E70" i="58"/>
  <c r="F70" i="58"/>
  <c r="G70" i="58"/>
  <c r="H70" i="58"/>
  <c r="I70" i="58"/>
  <c r="K70" i="58"/>
  <c r="L70" i="58"/>
  <c r="M70" i="58"/>
  <c r="N70" i="58"/>
  <c r="O70" i="58"/>
  <c r="P70" i="58"/>
  <c r="Q70" i="58"/>
  <c r="S70" i="58"/>
  <c r="T70" i="58"/>
  <c r="U70" i="58"/>
  <c r="W70" i="58"/>
  <c r="Y70" i="58"/>
  <c r="AA70" i="58"/>
  <c r="AD70" i="58"/>
  <c r="AE70" i="58"/>
  <c r="AG70" i="58"/>
  <c r="AH70" i="58"/>
  <c r="AI70" i="58"/>
  <c r="AJ70" i="58"/>
  <c r="AN70" i="58"/>
  <c r="AO70" i="58"/>
  <c r="AQ70" i="58"/>
  <c r="AL70" i="58"/>
  <c r="AP70" i="58"/>
  <c r="AR70" i="58"/>
  <c r="AS70" i="58"/>
  <c r="AT70" i="58"/>
  <c r="C71" i="58"/>
  <c r="D71" i="58"/>
  <c r="E71" i="58"/>
  <c r="F71" i="58"/>
  <c r="G71" i="58"/>
  <c r="H71" i="58"/>
  <c r="I71" i="58"/>
  <c r="K71" i="58"/>
  <c r="L71" i="58"/>
  <c r="M71" i="58"/>
  <c r="N71" i="58"/>
  <c r="O71" i="58"/>
  <c r="P71" i="58"/>
  <c r="Q71" i="58"/>
  <c r="S71" i="58"/>
  <c r="T71" i="58"/>
  <c r="U71" i="58"/>
  <c r="W71" i="58"/>
  <c r="Y71" i="58"/>
  <c r="AA71" i="58"/>
  <c r="AD71" i="58"/>
  <c r="AE71" i="58"/>
  <c r="AG71" i="58"/>
  <c r="AH71" i="58"/>
  <c r="AI71" i="58"/>
  <c r="AJ71" i="58"/>
  <c r="AN71" i="58"/>
  <c r="AO71" i="58"/>
  <c r="AQ71" i="58"/>
  <c r="AL71" i="58"/>
  <c r="AP71" i="58"/>
  <c r="AR71" i="58"/>
  <c r="AS71" i="58"/>
  <c r="AT71" i="58"/>
  <c r="C72" i="58"/>
  <c r="D72" i="58"/>
  <c r="E72" i="58"/>
  <c r="F72" i="58"/>
  <c r="G72" i="58"/>
  <c r="H72" i="58"/>
  <c r="I72" i="58"/>
  <c r="K72" i="58"/>
  <c r="L72" i="58"/>
  <c r="M72" i="58"/>
  <c r="N72" i="58"/>
  <c r="O72" i="58"/>
  <c r="P72" i="58"/>
  <c r="Q72" i="58"/>
  <c r="S72" i="58"/>
  <c r="T72" i="58"/>
  <c r="U72" i="58"/>
  <c r="W72" i="58"/>
  <c r="Y72" i="58"/>
  <c r="AA72" i="58"/>
  <c r="AD72" i="58"/>
  <c r="AE72" i="58"/>
  <c r="AG72" i="58"/>
  <c r="AH72" i="58"/>
  <c r="AI72" i="58"/>
  <c r="AJ72" i="58"/>
  <c r="AN72" i="58"/>
  <c r="AO72" i="58"/>
  <c r="AQ72" i="58"/>
  <c r="AL72" i="58"/>
  <c r="AP72" i="58"/>
  <c r="AR72" i="58"/>
  <c r="AS72" i="58"/>
  <c r="AT72" i="58"/>
  <c r="C73" i="58"/>
  <c r="D73" i="58"/>
  <c r="E73" i="58"/>
  <c r="F73" i="58"/>
  <c r="G73" i="58"/>
  <c r="H73" i="58"/>
  <c r="I73" i="58"/>
  <c r="K73" i="58"/>
  <c r="L73" i="58"/>
  <c r="M73" i="58"/>
  <c r="N73" i="58"/>
  <c r="O73" i="58"/>
  <c r="P73" i="58"/>
  <c r="Q73" i="58"/>
  <c r="S73" i="58"/>
  <c r="T73" i="58"/>
  <c r="U73" i="58"/>
  <c r="W73" i="58"/>
  <c r="Y73" i="58"/>
  <c r="AA73" i="58"/>
  <c r="AD73" i="58"/>
  <c r="AE73" i="58"/>
  <c r="AG73" i="58"/>
  <c r="AH73" i="58"/>
  <c r="AI73" i="58"/>
  <c r="AJ73" i="58"/>
  <c r="AN73" i="58"/>
  <c r="AO73" i="58"/>
  <c r="AQ73" i="58"/>
  <c r="AL73" i="58"/>
  <c r="AP73" i="58"/>
  <c r="AR73" i="58"/>
  <c r="AS73" i="58"/>
  <c r="AT73" i="58"/>
  <c r="C74" i="58"/>
  <c r="D74" i="58"/>
  <c r="E74" i="58"/>
  <c r="F74" i="58"/>
  <c r="G74" i="58"/>
  <c r="H74" i="58"/>
  <c r="I74" i="58"/>
  <c r="K74" i="58"/>
  <c r="L74" i="58"/>
  <c r="M74" i="58"/>
  <c r="N74" i="58"/>
  <c r="O74" i="58"/>
  <c r="P74" i="58"/>
  <c r="Q74" i="58"/>
  <c r="S74" i="58"/>
  <c r="T74" i="58"/>
  <c r="U74" i="58"/>
  <c r="W74" i="58"/>
  <c r="Y74" i="58"/>
  <c r="AA74" i="58"/>
  <c r="AD74" i="58"/>
  <c r="AE74" i="58"/>
  <c r="AG74" i="58"/>
  <c r="AH74" i="58"/>
  <c r="AI74" i="58"/>
  <c r="AJ74" i="58"/>
  <c r="AN74" i="58"/>
  <c r="AO74" i="58"/>
  <c r="AQ74" i="58"/>
  <c r="AL74" i="58"/>
  <c r="AP74" i="58"/>
  <c r="AR74" i="58"/>
  <c r="AS74" i="58"/>
  <c r="AT74" i="58"/>
  <c r="C75" i="58"/>
  <c r="D75" i="58"/>
  <c r="E75" i="58"/>
  <c r="F75" i="58"/>
  <c r="G75" i="58"/>
  <c r="H75" i="58"/>
  <c r="I75" i="58"/>
  <c r="K75" i="58"/>
  <c r="L75" i="58"/>
  <c r="M75" i="58"/>
  <c r="N75" i="58"/>
  <c r="O75" i="58"/>
  <c r="P75" i="58"/>
  <c r="Q75" i="58"/>
  <c r="S75" i="58"/>
  <c r="T75" i="58"/>
  <c r="U75" i="58"/>
  <c r="W75" i="58"/>
  <c r="Y75" i="58"/>
  <c r="AA75" i="58"/>
  <c r="AD75" i="58"/>
  <c r="AE75" i="58"/>
  <c r="AG75" i="58"/>
  <c r="AH75" i="58"/>
  <c r="AI75" i="58"/>
  <c r="AJ75" i="58"/>
  <c r="AN75" i="58"/>
  <c r="AO75" i="58"/>
  <c r="AQ75" i="58"/>
  <c r="AL75" i="58"/>
  <c r="AP75" i="58"/>
  <c r="AR75" i="58"/>
  <c r="AS75" i="58"/>
  <c r="AT75" i="58"/>
  <c r="C76" i="58"/>
  <c r="D76" i="58"/>
  <c r="E76" i="58"/>
  <c r="F76" i="58"/>
  <c r="G76" i="58"/>
  <c r="H76" i="58"/>
  <c r="I76" i="58"/>
  <c r="K76" i="58"/>
  <c r="L76" i="58"/>
  <c r="M76" i="58"/>
  <c r="N76" i="58"/>
  <c r="O76" i="58"/>
  <c r="P76" i="58"/>
  <c r="Q76" i="58"/>
  <c r="S76" i="58"/>
  <c r="T76" i="58"/>
  <c r="U76" i="58"/>
  <c r="W76" i="58"/>
  <c r="Y76" i="58"/>
  <c r="AA76" i="58"/>
  <c r="AD76" i="58"/>
  <c r="AE76" i="58"/>
  <c r="AG76" i="58"/>
  <c r="AH76" i="58"/>
  <c r="AI76" i="58"/>
  <c r="AJ76" i="58"/>
  <c r="AN76" i="58"/>
  <c r="AO76" i="58"/>
  <c r="AQ76" i="58"/>
  <c r="AL76" i="58"/>
  <c r="AP76" i="58"/>
  <c r="AR76" i="58"/>
  <c r="AS76" i="58"/>
  <c r="AT76" i="58"/>
  <c r="C77" i="58"/>
  <c r="D77" i="58"/>
  <c r="E77" i="58"/>
  <c r="F77" i="58"/>
  <c r="G77" i="58"/>
  <c r="H77" i="58"/>
  <c r="I77" i="58"/>
  <c r="K77" i="58"/>
  <c r="L77" i="58"/>
  <c r="M77" i="58"/>
  <c r="N77" i="58"/>
  <c r="O77" i="58"/>
  <c r="P77" i="58"/>
  <c r="Q77" i="58"/>
  <c r="S77" i="58"/>
  <c r="T77" i="58"/>
  <c r="U77" i="58"/>
  <c r="W77" i="58"/>
  <c r="Y77" i="58"/>
  <c r="AA77" i="58"/>
  <c r="AD77" i="58"/>
  <c r="AE77" i="58"/>
  <c r="AG77" i="58"/>
  <c r="AH77" i="58"/>
  <c r="AI77" i="58"/>
  <c r="AJ77" i="58"/>
  <c r="AN77" i="58"/>
  <c r="AO77" i="58"/>
  <c r="AQ77" i="58"/>
  <c r="AL77" i="58"/>
  <c r="AP77" i="58"/>
  <c r="AR77" i="58"/>
  <c r="AS77" i="58"/>
  <c r="AT77" i="58"/>
  <c r="C78" i="58"/>
  <c r="D78" i="58"/>
  <c r="E78" i="58"/>
  <c r="F78" i="58"/>
  <c r="G78" i="58"/>
  <c r="H78" i="58"/>
  <c r="I78" i="58"/>
  <c r="K78" i="58"/>
  <c r="L78" i="58"/>
  <c r="M78" i="58"/>
  <c r="N78" i="58"/>
  <c r="O78" i="58"/>
  <c r="P78" i="58"/>
  <c r="Q78" i="58"/>
  <c r="S78" i="58"/>
  <c r="T78" i="58"/>
  <c r="U78" i="58"/>
  <c r="W78" i="58"/>
  <c r="Y78" i="58"/>
  <c r="AA78" i="58"/>
  <c r="AD78" i="58"/>
  <c r="AE78" i="58"/>
  <c r="AG78" i="58"/>
  <c r="AH78" i="58"/>
  <c r="AI78" i="58"/>
  <c r="AJ78" i="58"/>
  <c r="AN78" i="58"/>
  <c r="AO78" i="58"/>
  <c r="AQ78" i="58"/>
  <c r="AL78" i="58"/>
  <c r="AP78" i="58"/>
  <c r="AR78" i="58"/>
  <c r="AS78" i="58"/>
  <c r="AT78" i="58"/>
  <c r="C79" i="58"/>
  <c r="D79" i="58"/>
  <c r="E79" i="58"/>
  <c r="F79" i="58"/>
  <c r="G79" i="58"/>
  <c r="H79" i="58"/>
  <c r="I79" i="58"/>
  <c r="K79" i="58"/>
  <c r="L79" i="58"/>
  <c r="M79" i="58"/>
  <c r="N79" i="58"/>
  <c r="O79" i="58"/>
  <c r="P79" i="58"/>
  <c r="Q79" i="58"/>
  <c r="S79" i="58"/>
  <c r="T79" i="58"/>
  <c r="U79" i="58"/>
  <c r="W79" i="58"/>
  <c r="Y79" i="58"/>
  <c r="AA79" i="58"/>
  <c r="AD79" i="58"/>
  <c r="AE79" i="58"/>
  <c r="AG79" i="58"/>
  <c r="AH79" i="58"/>
  <c r="AI79" i="58"/>
  <c r="AJ79" i="58"/>
  <c r="AN79" i="58"/>
  <c r="AO79" i="58"/>
  <c r="AQ79" i="58"/>
  <c r="AL79" i="58"/>
  <c r="AP79" i="58"/>
  <c r="AR79" i="58"/>
  <c r="AS79" i="58"/>
  <c r="AT79" i="58"/>
  <c r="C80" i="58"/>
  <c r="D80" i="58"/>
  <c r="E80" i="58"/>
  <c r="F80" i="58"/>
  <c r="G80" i="58"/>
  <c r="H80" i="58"/>
  <c r="I80" i="58"/>
  <c r="K80" i="58"/>
  <c r="L80" i="58"/>
  <c r="M80" i="58"/>
  <c r="N80" i="58"/>
  <c r="O80" i="58"/>
  <c r="P80" i="58"/>
  <c r="Q80" i="58"/>
  <c r="S80" i="58"/>
  <c r="T80" i="58"/>
  <c r="U80" i="58"/>
  <c r="W80" i="58"/>
  <c r="Y80" i="58"/>
  <c r="AA80" i="58"/>
  <c r="AD80" i="58"/>
  <c r="AE80" i="58"/>
  <c r="AG80" i="58"/>
  <c r="AH80" i="58"/>
  <c r="AI80" i="58"/>
  <c r="AJ80" i="58"/>
  <c r="AN80" i="58"/>
  <c r="AO80" i="58"/>
  <c r="AQ80" i="58"/>
  <c r="AL80" i="58"/>
  <c r="AP80" i="58"/>
  <c r="AR80" i="58"/>
  <c r="AS80" i="58"/>
  <c r="AT80" i="58"/>
  <c r="C81" i="58"/>
  <c r="D81" i="58"/>
  <c r="E81" i="58"/>
  <c r="F81" i="58"/>
  <c r="G81" i="58"/>
  <c r="H81" i="58"/>
  <c r="I81" i="58"/>
  <c r="K81" i="58"/>
  <c r="L81" i="58"/>
  <c r="M81" i="58"/>
  <c r="N81" i="58"/>
  <c r="O81" i="58"/>
  <c r="P81" i="58"/>
  <c r="Q81" i="58"/>
  <c r="S81" i="58"/>
  <c r="T81" i="58"/>
  <c r="U81" i="58"/>
  <c r="W81" i="58"/>
  <c r="Y81" i="58"/>
  <c r="AA81" i="58"/>
  <c r="AD81" i="58"/>
  <c r="AE81" i="58"/>
  <c r="AG81" i="58"/>
  <c r="AH81" i="58"/>
  <c r="AI81" i="58"/>
  <c r="AJ81" i="58"/>
  <c r="AN81" i="58"/>
  <c r="AO81" i="58"/>
  <c r="AQ81" i="58"/>
  <c r="AL81" i="58"/>
  <c r="AP81" i="58"/>
  <c r="AR81" i="58"/>
  <c r="AS81" i="58"/>
  <c r="AT81" i="58"/>
  <c r="C82" i="58"/>
  <c r="F65" i="23"/>
  <c r="K9" i="23"/>
  <c r="E68" i="23"/>
  <c r="F68" i="23"/>
  <c r="G68" i="23"/>
  <c r="E69" i="23"/>
  <c r="E70" i="23"/>
  <c r="F70" i="23"/>
  <c r="E71" i="23"/>
  <c r="F71" i="23"/>
  <c r="E72" i="23"/>
  <c r="F72" i="23"/>
  <c r="E73" i="23"/>
  <c r="I14" i="23"/>
  <c r="I15" i="23"/>
  <c r="I16" i="23"/>
  <c r="I17" i="23"/>
  <c r="I18" i="23"/>
  <c r="I19" i="23"/>
  <c r="I20" i="23"/>
  <c r="I21" i="23"/>
  <c r="I22" i="23"/>
  <c r="I23" i="23"/>
  <c r="J23" i="23"/>
  <c r="I24" i="23"/>
  <c r="J24" i="23"/>
  <c r="I25" i="23"/>
  <c r="J25" i="23"/>
  <c r="I26" i="23"/>
  <c r="J26" i="23"/>
  <c r="I27" i="23"/>
  <c r="J27" i="23"/>
  <c r="I28" i="23"/>
  <c r="J28" i="23"/>
  <c r="I29" i="23"/>
  <c r="J29" i="23"/>
  <c r="I30" i="23"/>
  <c r="J30" i="23"/>
  <c r="I31" i="23"/>
  <c r="J31" i="23"/>
  <c r="I32" i="23"/>
  <c r="J32" i="23"/>
  <c r="I33" i="23"/>
  <c r="J33" i="23"/>
  <c r="I34" i="23"/>
  <c r="J34" i="23"/>
  <c r="I35" i="23"/>
  <c r="J35" i="23"/>
  <c r="I36" i="23"/>
  <c r="J36" i="23"/>
  <c r="I37" i="23"/>
  <c r="J37" i="23"/>
  <c r="I38" i="23"/>
  <c r="J38" i="23"/>
  <c r="I39" i="23"/>
  <c r="J39" i="23"/>
  <c r="I40" i="23"/>
  <c r="J40" i="23"/>
  <c r="I41" i="23"/>
  <c r="J41" i="23"/>
  <c r="I42" i="23"/>
  <c r="J42" i="23"/>
  <c r="I43" i="23"/>
  <c r="J43" i="23"/>
  <c r="I44" i="23"/>
  <c r="J44" i="23"/>
  <c r="I45" i="23"/>
  <c r="J45" i="23"/>
  <c r="I46" i="23"/>
  <c r="J46" i="23"/>
  <c r="I47" i="23"/>
  <c r="J47" i="23"/>
  <c r="I48" i="23"/>
  <c r="J48" i="23"/>
  <c r="I49" i="23"/>
  <c r="J49" i="23"/>
  <c r="I50" i="23"/>
  <c r="J50" i="23"/>
  <c r="I51" i="23"/>
  <c r="J51" i="23"/>
  <c r="I52" i="23"/>
  <c r="J52" i="23"/>
  <c r="I53" i="23"/>
  <c r="J53" i="23"/>
  <c r="I54" i="23"/>
  <c r="J54" i="23"/>
  <c r="I55" i="23"/>
  <c r="J55" i="23"/>
  <c r="I56" i="23"/>
  <c r="J56" i="23"/>
  <c r="I57" i="23"/>
  <c r="J57" i="23"/>
  <c r="I58" i="23"/>
  <c r="J58" i="23"/>
  <c r="I59" i="23"/>
  <c r="J59" i="23"/>
  <c r="I60" i="23"/>
  <c r="J60" i="23"/>
  <c r="I61" i="23"/>
  <c r="J61" i="23"/>
  <c r="I62" i="23"/>
  <c r="J62" i="23"/>
  <c r="I63" i="23"/>
  <c r="J63" i="23"/>
  <c r="I64" i="23"/>
  <c r="J64" i="23"/>
  <c r="I65" i="23"/>
  <c r="J65" i="23"/>
  <c r="I66" i="23"/>
  <c r="J66" i="23"/>
  <c r="I67" i="23"/>
  <c r="J67" i="23"/>
  <c r="I68" i="23"/>
  <c r="J68" i="23"/>
  <c r="I69" i="23"/>
  <c r="J69" i="23"/>
  <c r="I70" i="23"/>
  <c r="J70" i="23"/>
  <c r="I71" i="23"/>
  <c r="E63" i="23"/>
  <c r="E65" i="23"/>
  <c r="E66" i="23"/>
  <c r="G66" i="23"/>
  <c r="E26" i="23"/>
  <c r="E30" i="23"/>
  <c r="F30" i="23"/>
  <c r="E31" i="23"/>
  <c r="F31" i="23"/>
  <c r="E32" i="23"/>
  <c r="E13" i="23"/>
  <c r="F13" i="23"/>
  <c r="E14" i="23"/>
  <c r="F14" i="23"/>
  <c r="E15" i="23"/>
  <c r="F15" i="23"/>
  <c r="E16" i="23"/>
  <c r="F16" i="23"/>
  <c r="E17" i="23"/>
  <c r="F17" i="23"/>
  <c r="E18" i="23"/>
  <c r="F18" i="23"/>
  <c r="E19" i="23"/>
  <c r="F19" i="23"/>
  <c r="E20" i="23"/>
  <c r="F20" i="23"/>
  <c r="E21" i="23"/>
  <c r="F21" i="23"/>
  <c r="E22" i="23"/>
  <c r="F22" i="23"/>
  <c r="E23" i="23"/>
  <c r="E24" i="23"/>
  <c r="F24" i="23"/>
  <c r="E25" i="23"/>
  <c r="F25" i="23"/>
  <c r="F26" i="23"/>
  <c r="E27" i="23"/>
  <c r="F27" i="23"/>
  <c r="E28" i="23"/>
  <c r="F28" i="23"/>
  <c r="E29" i="23"/>
  <c r="F29" i="23"/>
  <c r="B74" i="23"/>
  <c r="C74" i="23"/>
  <c r="B75" i="23"/>
  <c r="C75" i="23"/>
  <c r="B76" i="23"/>
  <c r="C76" i="23"/>
  <c r="B77" i="23"/>
  <c r="C77" i="23"/>
  <c r="B78" i="23"/>
  <c r="C78" i="23"/>
  <c r="B79" i="23"/>
  <c r="C79" i="23"/>
  <c r="B80" i="23"/>
  <c r="C80" i="23"/>
  <c r="B81" i="23"/>
  <c r="B88" i="23"/>
  <c r="C88" i="23"/>
  <c r="B90" i="23"/>
  <c r="C90" i="23"/>
  <c r="B93" i="23"/>
  <c r="C93" i="23"/>
  <c r="B9" i="23"/>
  <c r="B10" i="23"/>
  <c r="C10" i="23"/>
  <c r="B11" i="23"/>
  <c r="C11" i="23"/>
  <c r="B12" i="23"/>
  <c r="C12" i="23"/>
  <c r="B13" i="23"/>
  <c r="C13" i="23"/>
  <c r="B14" i="23"/>
  <c r="C14" i="23"/>
  <c r="B15" i="23"/>
  <c r="C15" i="23"/>
  <c r="B16" i="23"/>
  <c r="C16" i="23"/>
  <c r="B17" i="23"/>
  <c r="C17" i="23"/>
  <c r="B18" i="23"/>
  <c r="C18" i="23"/>
  <c r="B19" i="23"/>
  <c r="C19" i="23"/>
  <c r="B20" i="23"/>
  <c r="C20" i="23"/>
  <c r="B21" i="23"/>
  <c r="B22" i="23"/>
  <c r="C22" i="23"/>
  <c r="B24" i="23"/>
  <c r="C24" i="23"/>
  <c r="B25" i="23"/>
  <c r="C25" i="23"/>
  <c r="B26" i="23"/>
  <c r="C26" i="23"/>
  <c r="B27" i="23"/>
  <c r="C27" i="23"/>
  <c r="B28" i="23"/>
  <c r="C28" i="23"/>
  <c r="B29" i="23"/>
  <c r="C29" i="23"/>
  <c r="B30" i="23"/>
  <c r="C30" i="23"/>
  <c r="B31" i="23"/>
  <c r="C31" i="23"/>
  <c r="B32" i="23"/>
  <c r="C32" i="23"/>
  <c r="B33" i="23"/>
  <c r="C33" i="23"/>
  <c r="B34" i="23"/>
  <c r="C34" i="23"/>
  <c r="B35" i="23"/>
  <c r="C35" i="23"/>
  <c r="B36" i="23"/>
  <c r="C36" i="23"/>
  <c r="B37" i="23"/>
  <c r="C37" i="23"/>
  <c r="B38" i="23"/>
  <c r="C38" i="23"/>
  <c r="B39" i="23"/>
  <c r="C39" i="23"/>
  <c r="B40" i="23"/>
  <c r="C40" i="23"/>
  <c r="B41" i="23"/>
  <c r="C41" i="23"/>
  <c r="B42" i="23"/>
  <c r="C42" i="23"/>
  <c r="B43" i="23"/>
  <c r="C43" i="23"/>
  <c r="B44" i="23"/>
  <c r="C44" i="23"/>
  <c r="B45" i="23"/>
  <c r="C45" i="23"/>
  <c r="B46" i="23"/>
  <c r="C46" i="23"/>
  <c r="B47" i="23"/>
  <c r="C47" i="23"/>
  <c r="B48" i="23"/>
  <c r="C48" i="23"/>
  <c r="B49" i="23"/>
  <c r="C49" i="23"/>
  <c r="B50" i="23"/>
  <c r="C50" i="23"/>
  <c r="B51" i="23"/>
  <c r="C51" i="23"/>
  <c r="B52" i="23"/>
  <c r="C52" i="23"/>
  <c r="B53" i="23"/>
  <c r="C53" i="23"/>
  <c r="B54" i="23"/>
  <c r="C54" i="23"/>
  <c r="B55" i="23"/>
  <c r="C55" i="23"/>
  <c r="B56" i="23"/>
  <c r="C56" i="23"/>
  <c r="B57" i="23"/>
  <c r="C57" i="23"/>
  <c r="B58" i="23"/>
  <c r="C58" i="23"/>
  <c r="B59" i="23"/>
  <c r="C59" i="23"/>
  <c r="B60" i="23"/>
  <c r="C60" i="23"/>
  <c r="B61" i="23"/>
  <c r="C61" i="23"/>
  <c r="B62" i="23"/>
  <c r="C62" i="23"/>
  <c r="B63" i="23"/>
  <c r="C63" i="23"/>
  <c r="B64" i="23"/>
  <c r="C64" i="23"/>
  <c r="B65" i="23"/>
  <c r="C65" i="23"/>
  <c r="B66" i="23"/>
  <c r="C66" i="23"/>
  <c r="B67" i="23"/>
  <c r="C67" i="23"/>
  <c r="B68" i="23"/>
  <c r="C68" i="23"/>
  <c r="B69" i="23"/>
  <c r="C69" i="23"/>
  <c r="B70" i="23"/>
  <c r="C70" i="23"/>
  <c r="B71" i="23"/>
  <c r="C71" i="23"/>
  <c r="B72" i="23"/>
  <c r="C72" i="23"/>
  <c r="B73" i="23"/>
  <c r="C73" i="23"/>
  <c r="O74" i="48"/>
  <c r="M74" i="48"/>
  <c r="K74" i="48"/>
  <c r="I74" i="48"/>
  <c r="G74" i="48"/>
  <c r="E74" i="48"/>
  <c r="O92" i="48"/>
  <c r="M92" i="48"/>
  <c r="K92" i="48"/>
  <c r="I92" i="48"/>
  <c r="G92" i="48"/>
  <c r="E92" i="48"/>
  <c r="C74" i="48"/>
  <c r="C92" i="48"/>
  <c r="B91" i="48"/>
  <c r="B97" i="48"/>
  <c r="B73" i="48"/>
  <c r="L241" i="31"/>
  <c r="N241" i="31" s="1"/>
  <c r="L151" i="31"/>
  <c r="N151" i="31" s="1"/>
  <c r="L61" i="31"/>
  <c r="N61" i="31" s="1"/>
  <c r="V82" i="73" l="1"/>
  <c r="Z79" i="73"/>
  <c r="AA79" i="73"/>
  <c r="AF96" i="11"/>
  <c r="AM96" i="11" s="1"/>
  <c r="AA27" i="74"/>
  <c r="V96" i="11"/>
  <c r="L21" i="73"/>
  <c r="AA13" i="74"/>
  <c r="AX127" i="73"/>
  <c r="AX128" i="73"/>
  <c r="Z87" i="73"/>
  <c r="AA78" i="73"/>
  <c r="Z103" i="73"/>
  <c r="Z78" i="73"/>
  <c r="AA87" i="73"/>
  <c r="Z82" i="73"/>
  <c r="K86" i="60"/>
  <c r="K37" i="96"/>
  <c r="M37" i="96" s="1"/>
  <c r="K72" i="60"/>
  <c r="K23" i="96"/>
  <c r="M23" i="96" s="1"/>
  <c r="AA21" i="74"/>
  <c r="AD21" i="74" s="1"/>
  <c r="AF21" i="74" s="1"/>
  <c r="X27" i="74"/>
  <c r="AA34" i="74"/>
  <c r="BK200" i="11"/>
  <c r="Z96" i="11"/>
  <c r="T96" i="11"/>
  <c r="L154" i="73"/>
  <c r="AD18" i="74"/>
  <c r="AE18" i="74" s="1"/>
  <c r="X96" i="11"/>
  <c r="AX132" i="73"/>
  <c r="AX129" i="73"/>
  <c r="BJ213" i="73"/>
  <c r="BM213" i="73" s="1"/>
  <c r="AX131" i="73"/>
  <c r="X17" i="74"/>
  <c r="S96" i="11"/>
  <c r="U96" i="11" s="1"/>
  <c r="AD19" i="74"/>
  <c r="AI19" i="74" s="1"/>
  <c r="AL19" i="74" s="1"/>
  <c r="L103" i="73"/>
  <c r="L23" i="11"/>
  <c r="BQ35" i="45"/>
  <c r="AC21" i="45"/>
  <c r="AD39" i="74"/>
  <c r="AE39" i="74" s="1"/>
  <c r="AA14" i="74"/>
  <c r="AD14" i="74" s="1"/>
  <c r="AE14" i="74" s="1"/>
  <c r="X14" i="74"/>
  <c r="E514" i="8"/>
  <c r="F506" i="8" s="1"/>
  <c r="BS204" i="73"/>
  <c r="BT204" i="73"/>
  <c r="BS195" i="73"/>
  <c r="BT195" i="73"/>
  <c r="AF73" i="73"/>
  <c r="AM73" i="73" s="1"/>
  <c r="BS219" i="73"/>
  <c r="BT219" i="73"/>
  <c r="BS202" i="73"/>
  <c r="BT202" i="73"/>
  <c r="Q35" i="45"/>
  <c r="BS198" i="73"/>
  <c r="BT198" i="73"/>
  <c r="BS207" i="73"/>
  <c r="BT207" i="73"/>
  <c r="BS193" i="73"/>
  <c r="BT193" i="73"/>
  <c r="BS223" i="73"/>
  <c r="BT223" i="73"/>
  <c r="BS220" i="73"/>
  <c r="BT220" i="73"/>
  <c r="BS199" i="73"/>
  <c r="BT199" i="73"/>
  <c r="BS217" i="73"/>
  <c r="BT217" i="73"/>
  <c r="BM219" i="73"/>
  <c r="AD47" i="74"/>
  <c r="AE47" i="74" s="1"/>
  <c r="AD27" i="74"/>
  <c r="AE27" i="74" s="1"/>
  <c r="Q21" i="45"/>
  <c r="BS212" i="73"/>
  <c r="BT212" i="73"/>
  <c r="BS206" i="73"/>
  <c r="BT206" i="73"/>
  <c r="BS211" i="73"/>
  <c r="BT211" i="73"/>
  <c r="AD42" i="74"/>
  <c r="AE42" i="74" s="1"/>
  <c r="BS209" i="73"/>
  <c r="BT209" i="73"/>
  <c r="BS186" i="73"/>
  <c r="BT186" i="73"/>
  <c r="BS194" i="73"/>
  <c r="BT194" i="73"/>
  <c r="BS208" i="73"/>
  <c r="BT208" i="73"/>
  <c r="BS190" i="73"/>
  <c r="BT190" i="73"/>
  <c r="BS222" i="73"/>
  <c r="BT222" i="73"/>
  <c r="L139" i="11"/>
  <c r="BJ202" i="73"/>
  <c r="L101" i="73"/>
  <c r="BI35" i="45"/>
  <c r="AK21" i="45"/>
  <c r="L74" i="73"/>
  <c r="L155" i="11"/>
  <c r="L208" i="73"/>
  <c r="L23" i="73"/>
  <c r="AE41" i="74"/>
  <c r="W22" i="74"/>
  <c r="AE25" i="74"/>
  <c r="W24" i="74"/>
  <c r="W23" i="74"/>
  <c r="L73" i="11"/>
  <c r="L212" i="11"/>
  <c r="AA23" i="74"/>
  <c r="AD23" i="74" s="1"/>
  <c r="AI23" i="74" s="1"/>
  <c r="AL23" i="74" s="1"/>
  <c r="W19" i="74"/>
  <c r="W43" i="74"/>
  <c r="L76" i="11"/>
  <c r="L72" i="11"/>
  <c r="L133" i="73"/>
  <c r="BJ197" i="73"/>
  <c r="BM197" i="73" s="1"/>
  <c r="BI211" i="73"/>
  <c r="BL211" i="73" s="1"/>
  <c r="AS35" i="45"/>
  <c r="AD37" i="74"/>
  <c r="AI37" i="74" s="1"/>
  <c r="AL37" i="74" s="1"/>
  <c r="W36" i="74"/>
  <c r="W38" i="74"/>
  <c r="X23" i="74"/>
  <c r="AA43" i="74"/>
  <c r="AD43" i="74" s="1"/>
  <c r="AI43" i="74" s="1"/>
  <c r="AL43" i="74" s="1"/>
  <c r="W46" i="74"/>
  <c r="W13" i="74"/>
  <c r="W29" i="74"/>
  <c r="AE33" i="74"/>
  <c r="BI190" i="73"/>
  <c r="BL190" i="73" s="1"/>
  <c r="AA17" i="74"/>
  <c r="AD17" i="74" s="1"/>
  <c r="W16" i="74"/>
  <c r="W41" i="74"/>
  <c r="L128" i="73"/>
  <c r="U35" i="45"/>
  <c r="V35" i="45" s="1"/>
  <c r="AA35" i="45" s="1"/>
  <c r="X16" i="74"/>
  <c r="W28" i="74"/>
  <c r="W32" i="74"/>
  <c r="W40" i="74"/>
  <c r="X19" i="74"/>
  <c r="X43" i="74"/>
  <c r="W34" i="74"/>
  <c r="W21" i="74"/>
  <c r="AW25" i="11"/>
  <c r="AV25" i="11"/>
  <c r="AW139" i="11"/>
  <c r="AV139" i="11"/>
  <c r="AW132" i="73"/>
  <c r="AV132" i="73"/>
  <c r="AW18" i="73"/>
  <c r="AV18" i="73"/>
  <c r="AV130" i="73"/>
  <c r="AW130" i="73"/>
  <c r="AV16" i="73"/>
  <c r="AW16" i="73"/>
  <c r="AV128" i="73"/>
  <c r="AW128" i="73"/>
  <c r="AV14" i="73"/>
  <c r="AW14" i="73"/>
  <c r="AV129" i="73"/>
  <c r="AW129" i="73"/>
  <c r="AV15" i="73"/>
  <c r="AW15" i="73"/>
  <c r="AW131" i="73"/>
  <c r="AV131" i="73"/>
  <c r="AW17" i="73"/>
  <c r="AV17" i="73"/>
  <c r="AW153" i="11"/>
  <c r="AV153" i="11"/>
  <c r="AW96" i="11"/>
  <c r="AC96" i="11" s="1"/>
  <c r="AV96" i="11"/>
  <c r="AX16" i="73"/>
  <c r="AX17" i="73"/>
  <c r="AW135" i="73"/>
  <c r="AW137" i="73"/>
  <c r="AW134" i="73"/>
  <c r="AW136" i="73"/>
  <c r="AX25" i="11"/>
  <c r="AW82" i="11"/>
  <c r="AC82" i="11" s="1"/>
  <c r="AV82" i="11"/>
  <c r="BZ196" i="11"/>
  <c r="BY196" i="11"/>
  <c r="BZ189" i="73"/>
  <c r="BY189" i="73"/>
  <c r="AV75" i="73"/>
  <c r="AW75" i="73"/>
  <c r="BZ187" i="73"/>
  <c r="BY187" i="73"/>
  <c r="AW73" i="73"/>
  <c r="AV73" i="73"/>
  <c r="BY185" i="73"/>
  <c r="BZ185" i="73"/>
  <c r="AV71" i="73"/>
  <c r="AW71" i="73"/>
  <c r="BY186" i="73"/>
  <c r="BZ186" i="73"/>
  <c r="AW72" i="73"/>
  <c r="AC72" i="73" s="1"/>
  <c r="AV72" i="73"/>
  <c r="BZ188" i="73"/>
  <c r="BY188" i="73"/>
  <c r="AW74" i="73"/>
  <c r="AV74" i="73"/>
  <c r="AW39" i="11"/>
  <c r="AV39" i="11"/>
  <c r="BZ210" i="11"/>
  <c r="BY210" i="11"/>
  <c r="AX18" i="73"/>
  <c r="AX14" i="73"/>
  <c r="CA187" i="73"/>
  <c r="CA186" i="73"/>
  <c r="AX15" i="73"/>
  <c r="CA188" i="73"/>
  <c r="AX72" i="73"/>
  <c r="AX139" i="11"/>
  <c r="AX153" i="11"/>
  <c r="AV135" i="73"/>
  <c r="AV137" i="73"/>
  <c r="AV134" i="73"/>
  <c r="AV136" i="73"/>
  <c r="AX96" i="11"/>
  <c r="AW127" i="73"/>
  <c r="AV127" i="73"/>
  <c r="AW13" i="73"/>
  <c r="AV13" i="73"/>
  <c r="BZ184" i="73"/>
  <c r="BY184" i="73"/>
  <c r="AV70" i="73"/>
  <c r="AW70" i="73"/>
  <c r="L93" i="73"/>
  <c r="L17" i="11"/>
  <c r="L89" i="11"/>
  <c r="AX13" i="73"/>
  <c r="AX70" i="73"/>
  <c r="AA15" i="74"/>
  <c r="AD15" i="74" s="1"/>
  <c r="AE15" i="74" s="1"/>
  <c r="W15" i="74"/>
  <c r="AA35" i="74"/>
  <c r="AD35" i="74" s="1"/>
  <c r="W35" i="74"/>
  <c r="X25" i="74"/>
  <c r="W25" i="74"/>
  <c r="AA31" i="74"/>
  <c r="AD31" i="74" s="1"/>
  <c r="AI31" i="74" s="1"/>
  <c r="AL31" i="74" s="1"/>
  <c r="W31" i="74"/>
  <c r="X18" i="74"/>
  <c r="W18" i="74"/>
  <c r="X30" i="74"/>
  <c r="W30" i="74"/>
  <c r="AA45" i="74"/>
  <c r="AD45" i="74" s="1"/>
  <c r="AF45" i="74" s="1"/>
  <c r="W45" i="74"/>
  <c r="AA44" i="74"/>
  <c r="AD44" i="74" s="1"/>
  <c r="AF44" i="74" s="1"/>
  <c r="W44" i="74"/>
  <c r="L147" i="11"/>
  <c r="L74" i="11"/>
  <c r="BM206" i="73"/>
  <c r="BJ219" i="73"/>
  <c r="AK35" i="45"/>
  <c r="AC35" i="45"/>
  <c r="AD16" i="74"/>
  <c r="AF16" i="74" s="1"/>
  <c r="AA30" i="74"/>
  <c r="AD30" i="74" s="1"/>
  <c r="AF30" i="74" s="1"/>
  <c r="BQ21" i="45"/>
  <c r="BI21" i="45"/>
  <c r="AD13" i="74"/>
  <c r="AF13" i="74" s="1"/>
  <c r="AD29" i="74"/>
  <c r="AF29" i="74" s="1"/>
  <c r="X15" i="74"/>
  <c r="L14" i="11"/>
  <c r="L41" i="11"/>
  <c r="L33" i="11"/>
  <c r="L25" i="11"/>
  <c r="L43" i="73"/>
  <c r="L38" i="73"/>
  <c r="L202" i="73"/>
  <c r="L192" i="73"/>
  <c r="L89" i="73"/>
  <c r="L212" i="73"/>
  <c r="L47" i="73"/>
  <c r="L159" i="73"/>
  <c r="U21" i="45"/>
  <c r="V21" i="45" s="1"/>
  <c r="X21" i="45" s="1"/>
  <c r="AS21" i="45"/>
  <c r="L97" i="11"/>
  <c r="L81" i="11"/>
  <c r="L160" i="11"/>
  <c r="L196" i="11"/>
  <c r="L153" i="11"/>
  <c r="L184" i="73"/>
  <c r="L105" i="73"/>
  <c r="BM199" i="73"/>
  <c r="BJ217" i="73"/>
  <c r="BM217" i="73" s="1"/>
  <c r="BJ222" i="73"/>
  <c r="BM222" i="73" s="1"/>
  <c r="BJ190" i="73"/>
  <c r="BM190" i="73" s="1"/>
  <c r="L28" i="73"/>
  <c r="L31" i="73"/>
  <c r="L15" i="73"/>
  <c r="L20" i="11"/>
  <c r="L75" i="11"/>
  <c r="L79" i="11"/>
  <c r="L204" i="11"/>
  <c r="L80" i="11"/>
  <c r="L91" i="73"/>
  <c r="L24" i="73"/>
  <c r="L141" i="73"/>
  <c r="L160" i="73"/>
  <c r="L30" i="73"/>
  <c r="L98" i="73"/>
  <c r="L215" i="73"/>
  <c r="L85" i="73"/>
  <c r="L186" i="73"/>
  <c r="L206" i="73"/>
  <c r="L79" i="73"/>
  <c r="L90" i="73"/>
  <c r="L37" i="73"/>
  <c r="L157" i="11"/>
  <c r="L95" i="11"/>
  <c r="L39" i="11"/>
  <c r="L83" i="11"/>
  <c r="L70" i="11"/>
  <c r="L149" i="11"/>
  <c r="L98" i="11"/>
  <c r="L90" i="11"/>
  <c r="L188" i="11"/>
  <c r="L40" i="73"/>
  <c r="L17" i="73"/>
  <c r="L189" i="73"/>
  <c r="L84" i="73"/>
  <c r="L155" i="73"/>
  <c r="L88" i="11"/>
  <c r="L148" i="11"/>
  <c r="L211" i="11"/>
  <c r="L203" i="11"/>
  <c r="L195" i="11"/>
  <c r="L187" i="11"/>
  <c r="L217" i="11"/>
  <c r="L193" i="11"/>
  <c r="L71" i="11"/>
  <c r="L210" i="11"/>
  <c r="L145" i="11"/>
  <c r="L186" i="11"/>
  <c r="L162" i="73"/>
  <c r="L157" i="73"/>
  <c r="L149" i="73"/>
  <c r="L27" i="73"/>
  <c r="L19" i="73"/>
  <c r="L22" i="73"/>
  <c r="L14" i="73"/>
  <c r="L33" i="73"/>
  <c r="L218" i="73"/>
  <c r="L194" i="73"/>
  <c r="L213" i="73"/>
  <c r="L200" i="73"/>
  <c r="L187" i="73"/>
  <c r="L87" i="73"/>
  <c r="L71" i="73"/>
  <c r="L82" i="73"/>
  <c r="BJ199" i="73"/>
  <c r="L44" i="73"/>
  <c r="L20" i="73"/>
  <c r="L39" i="73"/>
  <c r="AD34" i="74"/>
  <c r="AF34" i="74" s="1"/>
  <c r="AA24" i="74"/>
  <c r="AD24" i="74" s="1"/>
  <c r="AF24" i="74" s="1"/>
  <c r="X24" i="74"/>
  <c r="AA46" i="74"/>
  <c r="AD46" i="74" s="1"/>
  <c r="AF46" i="74" s="1"/>
  <c r="X46" i="74"/>
  <c r="X35" i="74"/>
  <c r="L36" i="11"/>
  <c r="BI206" i="73"/>
  <c r="BL206" i="73" s="1"/>
  <c r="BM202" i="73"/>
  <c r="BI202" i="73"/>
  <c r="BL202" i="73" s="1"/>
  <c r="BJ211" i="73"/>
  <c r="BM211" i="73" s="1"/>
  <c r="BI219" i="73"/>
  <c r="BL219" i="73" s="1"/>
  <c r="BJ206" i="73"/>
  <c r="L103" i="11"/>
  <c r="L87" i="11"/>
  <c r="L31" i="11"/>
  <c r="L137" i="11"/>
  <c r="L129" i="11"/>
  <c r="L94" i="11"/>
  <c r="L32" i="73"/>
  <c r="L16" i="73"/>
  <c r="L35" i="73"/>
  <c r="L46" i="73"/>
  <c r="L144" i="73"/>
  <c r="L41" i="73"/>
  <c r="L25" i="73"/>
  <c r="L207" i="73"/>
  <c r="L199" i="73"/>
  <c r="L191" i="73"/>
  <c r="L210" i="73"/>
  <c r="L72" i="73"/>
  <c r="L216" i="73"/>
  <c r="L78" i="73"/>
  <c r="L97" i="73"/>
  <c r="L81" i="73"/>
  <c r="L100" i="73"/>
  <c r="L92" i="73"/>
  <c r="L76" i="73"/>
  <c r="L152" i="73"/>
  <c r="L193" i="73"/>
  <c r="L185" i="73"/>
  <c r="L77" i="73"/>
  <c r="L161" i="73"/>
  <c r="L153" i="73"/>
  <c r="L145" i="73"/>
  <c r="L137" i="73"/>
  <c r="L151" i="73"/>
  <c r="L143" i="73"/>
  <c r="Y225" i="8"/>
  <c r="F499" i="8"/>
  <c r="L102" i="11"/>
  <c r="L86" i="11"/>
  <c r="L48" i="73"/>
  <c r="L138" i="73"/>
  <c r="L205" i="73"/>
  <c r="L197" i="73"/>
  <c r="L211" i="73"/>
  <c r="L203" i="73"/>
  <c r="L73" i="73"/>
  <c r="L196" i="73"/>
  <c r="L188" i="73"/>
  <c r="L36" i="73"/>
  <c r="L45" i="73"/>
  <c r="O430" i="10"/>
  <c r="O431" i="10"/>
  <c r="M431" i="10"/>
  <c r="M430" i="10"/>
  <c r="Q430" i="10"/>
  <c r="Q431" i="10"/>
  <c r="G430" i="10"/>
  <c r="G431" i="10"/>
  <c r="D431" i="10"/>
  <c r="D430" i="10"/>
  <c r="F431" i="10"/>
  <c r="F430" i="10"/>
  <c r="K430" i="10"/>
  <c r="K431" i="10"/>
  <c r="E430" i="10"/>
  <c r="E431" i="10"/>
  <c r="I430" i="10"/>
  <c r="I431" i="10"/>
  <c r="H431" i="10"/>
  <c r="H430" i="10"/>
  <c r="AD430" i="10"/>
  <c r="AD431" i="10"/>
  <c r="J431" i="10"/>
  <c r="J430" i="10"/>
  <c r="Y229" i="8"/>
  <c r="BM217" i="11"/>
  <c r="BS217" i="11"/>
  <c r="BJ217" i="11"/>
  <c r="BI217" i="11"/>
  <c r="BL217" i="11" s="1"/>
  <c r="BS196" i="11"/>
  <c r="BM196" i="11"/>
  <c r="BJ196" i="11"/>
  <c r="BI196" i="11"/>
  <c r="BL196" i="11" s="1"/>
  <c r="BS202" i="11"/>
  <c r="BM202" i="11"/>
  <c r="BI202" i="11"/>
  <c r="BL202" i="11" s="1"/>
  <c r="BJ202" i="11"/>
  <c r="BS210" i="11"/>
  <c r="BM210" i="11"/>
  <c r="BI210" i="11"/>
  <c r="BL210" i="11" s="1"/>
  <c r="BJ210" i="11"/>
  <c r="AB72" i="73"/>
  <c r="BS200" i="11"/>
  <c r="BM200" i="11"/>
  <c r="BJ200" i="11"/>
  <c r="BI200" i="11"/>
  <c r="BL200" i="11" s="1"/>
  <c r="AB82" i="11"/>
  <c r="V82" i="11"/>
  <c r="S82" i="11"/>
  <c r="U82" i="11" s="1"/>
  <c r="T82" i="11"/>
  <c r="L32" i="11"/>
  <c r="L156" i="11"/>
  <c r="L185" i="11"/>
  <c r="AA10" i="74"/>
  <c r="X10" i="74"/>
  <c r="BQ204" i="73"/>
  <c r="BO204" i="73"/>
  <c r="BP204" i="73"/>
  <c r="BQ208" i="73"/>
  <c r="BO208" i="73"/>
  <c r="BP208" i="73"/>
  <c r="BQ212" i="73"/>
  <c r="BO212" i="73"/>
  <c r="BP212" i="73"/>
  <c r="BQ195" i="73"/>
  <c r="BO195" i="73"/>
  <c r="BP195" i="73"/>
  <c r="AA22" i="74"/>
  <c r="AD22" i="74" s="1"/>
  <c r="X22" i="74"/>
  <c r="AF25" i="74"/>
  <c r="AI25" i="74"/>
  <c r="AL25" i="74" s="1"/>
  <c r="AI33" i="74"/>
  <c r="AL33" i="74" s="1"/>
  <c r="AF33" i="74"/>
  <c r="AF37" i="74"/>
  <c r="AI41" i="74"/>
  <c r="AL41" i="74" s="1"/>
  <c r="AF41" i="74"/>
  <c r="BQ206" i="73"/>
  <c r="BO206" i="73"/>
  <c r="BP206" i="73"/>
  <c r="X28" i="74"/>
  <c r="AA28" i="74"/>
  <c r="AD28" i="74" s="1"/>
  <c r="X32" i="74"/>
  <c r="AA32" i="74"/>
  <c r="AD32" i="74" s="1"/>
  <c r="AA40" i="74"/>
  <c r="AD40" i="74" s="1"/>
  <c r="X40" i="74"/>
  <c r="AI35" i="74"/>
  <c r="AL35" i="74" s="1"/>
  <c r="BQ217" i="73"/>
  <c r="BO217" i="73"/>
  <c r="BP217" i="73"/>
  <c r="BQ219" i="73"/>
  <c r="BO219" i="73"/>
  <c r="BP219" i="73"/>
  <c r="BQ190" i="73"/>
  <c r="BO190" i="73"/>
  <c r="BP190" i="73"/>
  <c r="BQ222" i="73"/>
  <c r="BO222" i="73"/>
  <c r="BP222" i="73"/>
  <c r="Y221" i="8"/>
  <c r="AC12" i="74"/>
  <c r="U12" i="74"/>
  <c r="V12" i="74" s="1"/>
  <c r="AS12" i="74"/>
  <c r="BQ12" i="74"/>
  <c r="BA11" i="74"/>
  <c r="AK11" i="74"/>
  <c r="AC11" i="74"/>
  <c r="AS10" i="74"/>
  <c r="BQ10" i="74"/>
  <c r="BI10" i="74"/>
  <c r="BA10" i="74"/>
  <c r="BQ9" i="74"/>
  <c r="BI9" i="74"/>
  <c r="BA9" i="74"/>
  <c r="AC8" i="74"/>
  <c r="U8" i="74"/>
  <c r="V8" i="74" s="1"/>
  <c r="AS8" i="74"/>
  <c r="BQ8" i="74"/>
  <c r="BA7" i="74"/>
  <c r="AK7" i="74"/>
  <c r="AC7" i="74"/>
  <c r="BQ198" i="73"/>
  <c r="BO198" i="73"/>
  <c r="BP198" i="73"/>
  <c r="BQ207" i="73"/>
  <c r="BO207" i="73"/>
  <c r="BP207" i="73"/>
  <c r="BQ209" i="73"/>
  <c r="BO209" i="73"/>
  <c r="BP209" i="73"/>
  <c r="BQ193" i="73"/>
  <c r="BO193" i="73"/>
  <c r="BP193" i="73"/>
  <c r="BQ194" i="73"/>
  <c r="BO194" i="73"/>
  <c r="BP194" i="73"/>
  <c r="BQ223" i="73"/>
  <c r="BO223" i="73"/>
  <c r="BP223" i="73"/>
  <c r="BQ220" i="73"/>
  <c r="BO220" i="73"/>
  <c r="BP220" i="73"/>
  <c r="AA20" i="74"/>
  <c r="AD20" i="74" s="1"/>
  <c r="AE20" i="74" s="1"/>
  <c r="X20" i="74"/>
  <c r="X26" i="74"/>
  <c r="AA26" i="74"/>
  <c r="AD26" i="74" s="1"/>
  <c r="AI21" i="74"/>
  <c r="AL21" i="74" s="1"/>
  <c r="BQ211" i="73"/>
  <c r="BO211" i="73"/>
  <c r="BP211" i="73"/>
  <c r="BQ199" i="73"/>
  <c r="BO199" i="73"/>
  <c r="BP199" i="73"/>
  <c r="AA36" i="74"/>
  <c r="AD36" i="74" s="1"/>
  <c r="X36" i="74"/>
  <c r="AA38" i="74"/>
  <c r="AD38" i="74" s="1"/>
  <c r="X38" i="74"/>
  <c r="BQ202" i="73"/>
  <c r="BO202" i="73"/>
  <c r="BP202" i="73"/>
  <c r="BI12" i="74"/>
  <c r="BA12" i="74"/>
  <c r="U11" i="74"/>
  <c r="V11" i="74" s="1"/>
  <c r="AS11" i="74"/>
  <c r="BQ11" i="74"/>
  <c r="AK10" i="74"/>
  <c r="AC10" i="74"/>
  <c r="AK9" i="74"/>
  <c r="AC9" i="74"/>
  <c r="U9" i="74"/>
  <c r="V9" i="74" s="1"/>
  <c r="BI8" i="74"/>
  <c r="BA8" i="74"/>
  <c r="U7" i="74"/>
  <c r="V7" i="74" s="1"/>
  <c r="W7" i="74" s="1"/>
  <c r="AS7" i="74"/>
  <c r="BQ7" i="74"/>
  <c r="BP186" i="73"/>
  <c r="BQ186" i="73"/>
  <c r="BO186" i="73"/>
  <c r="Z96" i="73"/>
  <c r="AA96" i="73"/>
  <c r="L44" i="11"/>
  <c r="L28" i="11"/>
  <c r="L12" i="11"/>
  <c r="L205" i="11"/>
  <c r="L197" i="11"/>
  <c r="L189" i="11"/>
  <c r="L216" i="11"/>
  <c r="L208" i="11"/>
  <c r="L200" i="11"/>
  <c r="L78" i="11"/>
  <c r="L214" i="11"/>
  <c r="L206" i="11"/>
  <c r="L84" i="11"/>
  <c r="L40" i="11"/>
  <c r="L24" i="11"/>
  <c r="L18" i="73"/>
  <c r="L13" i="73"/>
  <c r="BI198" i="73"/>
  <c r="BL198" i="73" s="1"/>
  <c r="BJ198" i="73"/>
  <c r="BM198" i="73"/>
  <c r="BJ201" i="73"/>
  <c r="BM201" i="73" s="1"/>
  <c r="BI201" i="73"/>
  <c r="BL201" i="73" s="1"/>
  <c r="BI193" i="73"/>
  <c r="BL193" i="73" s="1"/>
  <c r="BJ193" i="73"/>
  <c r="BM193" i="73" s="1"/>
  <c r="BK188" i="73"/>
  <c r="BR188" i="73" s="1"/>
  <c r="BJ186" i="73"/>
  <c r="BM186" i="73" s="1"/>
  <c r="BI186" i="73"/>
  <c r="BL186" i="73" s="1"/>
  <c r="BI194" i="73"/>
  <c r="BL194" i="73" s="1"/>
  <c r="BJ194" i="73"/>
  <c r="BM194" i="73" s="1"/>
  <c r="BK192" i="73"/>
  <c r="BR192" i="73" s="1"/>
  <c r="BI191" i="73"/>
  <c r="BL191" i="73" s="1"/>
  <c r="BJ191" i="73"/>
  <c r="BM191" i="73" s="1"/>
  <c r="BK189" i="73"/>
  <c r="BR189" i="73" s="1"/>
  <c r="BK185" i="73"/>
  <c r="BR185" i="73" s="1"/>
  <c r="BK184" i="73"/>
  <c r="BR184" i="73" s="1"/>
  <c r="BJ223" i="73"/>
  <c r="BM223" i="73" s="1"/>
  <c r="BI223" i="73"/>
  <c r="BL223" i="73" s="1"/>
  <c r="T75" i="73"/>
  <c r="V75" i="73" s="1"/>
  <c r="S75" i="73"/>
  <c r="U75" i="73" s="1"/>
  <c r="X75" i="73"/>
  <c r="AA72" i="73"/>
  <c r="T72" i="73"/>
  <c r="V72" i="73" s="1"/>
  <c r="S72" i="73"/>
  <c r="U72" i="73" s="1"/>
  <c r="X72" i="73"/>
  <c r="Z72" i="73"/>
  <c r="BI200" i="73"/>
  <c r="BL200" i="73" s="1"/>
  <c r="BJ200" i="73"/>
  <c r="BM200" i="73" s="1"/>
  <c r="BJ207" i="73"/>
  <c r="BM207" i="73" s="1"/>
  <c r="BI207" i="73"/>
  <c r="BL207" i="73" s="1"/>
  <c r="BJ209" i="73"/>
  <c r="BI209" i="73"/>
  <c r="BL209" i="73" s="1"/>
  <c r="BM209" i="73"/>
  <c r="BI215" i="73"/>
  <c r="BL215" i="73" s="1"/>
  <c r="BJ215" i="73"/>
  <c r="BM215" i="73" s="1"/>
  <c r="BI210" i="73"/>
  <c r="BL210" i="73" s="1"/>
  <c r="BJ210" i="73"/>
  <c r="BM210" i="73" s="1"/>
  <c r="BK193" i="73"/>
  <c r="BR193" i="73" s="1"/>
  <c r="BI187" i="73"/>
  <c r="BL187" i="73" s="1"/>
  <c r="BJ187" i="73"/>
  <c r="BM187" i="73" s="1"/>
  <c r="BK187" i="73"/>
  <c r="BR187" i="73" s="1"/>
  <c r="BK186" i="73"/>
  <c r="BR186" i="73" s="1"/>
  <c r="AF127" i="73"/>
  <c r="AH127" i="73" s="1"/>
  <c r="AE127" i="73"/>
  <c r="AG127" i="73" s="1"/>
  <c r="T73" i="73"/>
  <c r="V73" i="73" s="1"/>
  <c r="X73" i="73"/>
  <c r="S73" i="73"/>
  <c r="U73" i="73" s="1"/>
  <c r="T71" i="73"/>
  <c r="V71" i="73" s="1"/>
  <c r="S71" i="73"/>
  <c r="U71" i="73" s="1"/>
  <c r="X71" i="73"/>
  <c r="BK194" i="73"/>
  <c r="BR194" i="73" s="1"/>
  <c r="BK191" i="73"/>
  <c r="BR191" i="73" s="1"/>
  <c r="BM204" i="73"/>
  <c r="BI204" i="73"/>
  <c r="BL204" i="73" s="1"/>
  <c r="BJ204" i="73"/>
  <c r="BM208" i="73"/>
  <c r="BI208" i="73"/>
  <c r="BL208" i="73" s="1"/>
  <c r="BJ208" i="73"/>
  <c r="BM212" i="73"/>
  <c r="BJ212" i="73"/>
  <c r="BI212" i="73"/>
  <c r="BL212" i="73" s="1"/>
  <c r="BI220" i="73"/>
  <c r="BL220" i="73" s="1"/>
  <c r="BJ220" i="73"/>
  <c r="BM220" i="73" s="1"/>
  <c r="BM195" i="73"/>
  <c r="BJ195" i="73"/>
  <c r="BI195" i="73"/>
  <c r="BL195" i="73" s="1"/>
  <c r="T70" i="73"/>
  <c r="V70" i="73" s="1"/>
  <c r="S70" i="73"/>
  <c r="U70" i="73" s="1"/>
  <c r="X70" i="73"/>
  <c r="T74" i="73"/>
  <c r="AA74" i="73" s="1"/>
  <c r="S74" i="73"/>
  <c r="U74" i="73" s="1"/>
  <c r="X74" i="73"/>
  <c r="L42" i="73"/>
  <c r="L34" i="73"/>
  <c r="L26" i="73"/>
  <c r="L38" i="11"/>
  <c r="L30" i="11"/>
  <c r="L22" i="11"/>
  <c r="L131" i="11"/>
  <c r="L96" i="11"/>
  <c r="L15" i="11"/>
  <c r="L192" i="11"/>
  <c r="L184" i="11"/>
  <c r="L194" i="11"/>
  <c r="L154" i="11"/>
  <c r="L146" i="11"/>
  <c r="L138" i="11"/>
  <c r="L16" i="11"/>
  <c r="L146" i="73"/>
  <c r="L130" i="73"/>
  <c r="L95" i="73"/>
  <c r="L136" i="73"/>
  <c r="L147" i="73"/>
  <c r="L139" i="73"/>
  <c r="L131" i="73"/>
  <c r="L158" i="73"/>
  <c r="L134" i="73"/>
  <c r="L104" i="73"/>
  <c r="L96" i="73"/>
  <c r="L88" i="73"/>
  <c r="L80" i="73"/>
  <c r="L99" i="73"/>
  <c r="L83" i="73"/>
  <c r="L75" i="73"/>
  <c r="L102" i="73"/>
  <c r="L94" i="73"/>
  <c r="L86" i="73"/>
  <c r="L70" i="73"/>
  <c r="L219" i="73"/>
  <c r="L195" i="73"/>
  <c r="L214" i="73"/>
  <c r="L198" i="73"/>
  <c r="L190" i="73"/>
  <c r="L217" i="73"/>
  <c r="L209" i="73"/>
  <c r="L201" i="73"/>
  <c r="L204" i="73"/>
  <c r="BH188" i="73"/>
  <c r="BH192" i="73"/>
  <c r="BH189" i="73"/>
  <c r="AF75" i="73"/>
  <c r="AM75" i="73" s="1"/>
  <c r="BH185" i="73"/>
  <c r="AF71" i="73"/>
  <c r="AM71" i="73" s="1"/>
  <c r="BH184" i="73"/>
  <c r="L150" i="73"/>
  <c r="L142" i="73"/>
  <c r="L129" i="73"/>
  <c r="L156" i="73"/>
  <c r="L148" i="73"/>
  <c r="L140" i="73"/>
  <c r="L132" i="73"/>
  <c r="L135" i="73"/>
  <c r="L127" i="73"/>
  <c r="BP196" i="11"/>
  <c r="BO196" i="11"/>
  <c r="BR196" i="11"/>
  <c r="BQ196" i="11"/>
  <c r="BK196" i="11"/>
  <c r="BK217" i="11"/>
  <c r="BK202" i="11"/>
  <c r="BO217" i="11"/>
  <c r="BP217" i="11"/>
  <c r="BR217" i="11"/>
  <c r="BQ217" i="11"/>
  <c r="BO200" i="11"/>
  <c r="BR200" i="11"/>
  <c r="BQ200" i="11"/>
  <c r="BP200" i="11"/>
  <c r="X82" i="11"/>
  <c r="Z82" i="11"/>
  <c r="AA82" i="11"/>
  <c r="AF82" i="11"/>
  <c r="AM82" i="11" s="1"/>
  <c r="BQ202" i="11"/>
  <c r="BP202" i="11"/>
  <c r="BO202" i="11"/>
  <c r="BR202" i="11"/>
  <c r="BK210" i="11"/>
  <c r="BQ210" i="11"/>
  <c r="BR210" i="11"/>
  <c r="BP210" i="11"/>
  <c r="BO210" i="11"/>
  <c r="L130" i="11"/>
  <c r="L46" i="11"/>
  <c r="L136" i="11"/>
  <c r="L128" i="11"/>
  <c r="L158" i="11"/>
  <c r="L150" i="11"/>
  <c r="L142" i="11"/>
  <c r="L134" i="11"/>
  <c r="L126" i="11"/>
  <c r="L213" i="11"/>
  <c r="L198" i="11"/>
  <c r="L190" i="11"/>
  <c r="L209" i="11"/>
  <c r="L152" i="11"/>
  <c r="L201" i="11"/>
  <c r="L144" i="11"/>
  <c r="L82" i="11"/>
  <c r="L202" i="11"/>
  <c r="L101" i="11"/>
  <c r="L207" i="11"/>
  <c r="L93" i="11"/>
  <c r="L85" i="11"/>
  <c r="L77" i="11"/>
  <c r="L69" i="11"/>
  <c r="L99" i="11"/>
  <c r="L91" i="11"/>
  <c r="L26" i="11"/>
  <c r="L18" i="11"/>
  <c r="L45" i="11"/>
  <c r="L37" i="11"/>
  <c r="L29" i="11"/>
  <c r="L21" i="11"/>
  <c r="L13" i="11"/>
  <c r="L100" i="11"/>
  <c r="L92" i="11"/>
  <c r="L27" i="11"/>
  <c r="L19" i="11"/>
  <c r="L215" i="11"/>
  <c r="L199" i="11"/>
  <c r="L191" i="11"/>
  <c r="L183" i="11"/>
  <c r="L42" i="11"/>
  <c r="L34" i="11"/>
  <c r="L140" i="11"/>
  <c r="L132" i="11"/>
  <c r="L159" i="11"/>
  <c r="L151" i="11"/>
  <c r="L143" i="11"/>
  <c r="L135" i="11"/>
  <c r="L127" i="11"/>
  <c r="L43" i="11"/>
  <c r="L35" i="11"/>
  <c r="L141" i="11"/>
  <c r="L133" i="11"/>
  <c r="AF429" i="10"/>
  <c r="AF431" i="10" s="1"/>
  <c r="AF428" i="10"/>
  <c r="AF430" i="10" s="1"/>
  <c r="C17" i="10"/>
  <c r="E17" i="10" s="1"/>
  <c r="C18" i="10"/>
  <c r="E18" i="10" s="1"/>
  <c r="C19" i="10"/>
  <c r="E19" i="10" s="1"/>
  <c r="C21" i="10"/>
  <c r="E21" i="10" s="1"/>
  <c r="C22" i="10"/>
  <c r="E22" i="10" s="1"/>
  <c r="C23" i="10"/>
  <c r="E23" i="10" s="1"/>
  <c r="C24" i="10"/>
  <c r="E24" i="10" s="1"/>
  <c r="C25" i="10"/>
  <c r="E25" i="10" s="1"/>
  <c r="C26" i="10"/>
  <c r="E26" i="10" s="1"/>
  <c r="C27" i="10"/>
  <c r="E27" i="10" s="1"/>
  <c r="C28" i="10"/>
  <c r="E28" i="10" s="1"/>
  <c r="C29" i="10"/>
  <c r="E29" i="10" s="1"/>
  <c r="C16" i="10"/>
  <c r="E16" i="10" s="1"/>
  <c r="C15" i="10"/>
  <c r="C9" i="10"/>
  <c r="C108" i="10" s="1"/>
  <c r="E108" i="10" s="1"/>
  <c r="C10" i="10"/>
  <c r="C109" i="10" s="1"/>
  <c r="E109" i="10" s="1"/>
  <c r="C11" i="10"/>
  <c r="C110" i="10" s="1"/>
  <c r="E110" i="10" s="1"/>
  <c r="C12" i="10"/>
  <c r="C111" i="10" s="1"/>
  <c r="E111" i="10" s="1"/>
  <c r="C13" i="10"/>
  <c r="C112" i="10" s="1"/>
  <c r="E112" i="10" s="1"/>
  <c r="E393" i="7"/>
  <c r="C32" i="26" s="1"/>
  <c r="D16" i="10"/>
  <c r="D13" i="10"/>
  <c r="E9" i="10"/>
  <c r="F421" i="7"/>
  <c r="D46" i="10" s="1"/>
  <c r="F425" i="7"/>
  <c r="F419" i="7"/>
  <c r="F417" i="7"/>
  <c r="D42" i="10" s="1"/>
  <c r="C59" i="10" s="1"/>
  <c r="F418" i="7"/>
  <c r="D43" i="10" s="1"/>
  <c r="C60" i="10" s="1"/>
  <c r="F415" i="7"/>
  <c r="AI14" i="74" l="1"/>
  <c r="AL14" i="74" s="1"/>
  <c r="AI17" i="74"/>
  <c r="AL17" i="74" s="1"/>
  <c r="AM17" i="74" s="1"/>
  <c r="AF17" i="74"/>
  <c r="AI29" i="74"/>
  <c r="AL29" i="74" s="1"/>
  <c r="AM29" i="74" s="1"/>
  <c r="AF42" i="74"/>
  <c r="AF15" i="74"/>
  <c r="AI39" i="74"/>
  <c r="AL39" i="74" s="1"/>
  <c r="AN39" i="74" s="1"/>
  <c r="AE21" i="74"/>
  <c r="AI16" i="74"/>
  <c r="AL16" i="74" s="1"/>
  <c r="AQ16" i="74" s="1"/>
  <c r="AT16" i="74" s="1"/>
  <c r="AF47" i="74"/>
  <c r="AF19" i="74"/>
  <c r="AE19" i="74"/>
  <c r="Z74" i="73"/>
  <c r="AI13" i="74"/>
  <c r="AL13" i="74" s="1"/>
  <c r="AQ13" i="74" s="1"/>
  <c r="AT13" i="74" s="1"/>
  <c r="AI27" i="74"/>
  <c r="AL27" i="74" s="1"/>
  <c r="AQ27" i="74" s="1"/>
  <c r="AT27" i="74" s="1"/>
  <c r="AF18" i="74"/>
  <c r="AA75" i="73"/>
  <c r="Z75" i="73"/>
  <c r="AA71" i="73"/>
  <c r="V74" i="73"/>
  <c r="Z71" i="73"/>
  <c r="Z73" i="73"/>
  <c r="AA73" i="73"/>
  <c r="AF14" i="74"/>
  <c r="AI34" i="74"/>
  <c r="AL34" i="74" s="1"/>
  <c r="AM34" i="74" s="1"/>
  <c r="AI18" i="74"/>
  <c r="AL18" i="74" s="1"/>
  <c r="AQ18" i="74" s="1"/>
  <c r="AT18" i="74" s="1"/>
  <c r="AI42" i="74"/>
  <c r="AL42" i="74" s="1"/>
  <c r="AM42" i="74" s="1"/>
  <c r="AF39" i="74"/>
  <c r="AF27" i="74"/>
  <c r="J20" i="26"/>
  <c r="D50" i="10"/>
  <c r="E450" i="7"/>
  <c r="F450" i="7" s="1"/>
  <c r="D44" i="10"/>
  <c r="C61" i="10" s="1"/>
  <c r="E446" i="7"/>
  <c r="F446" i="7" s="1"/>
  <c r="P446" i="7" s="1"/>
  <c r="D40" i="10"/>
  <c r="C57" i="10" s="1"/>
  <c r="J16" i="26"/>
  <c r="E449" i="7"/>
  <c r="F449" i="7" s="1"/>
  <c r="J15" i="26"/>
  <c r="E448" i="7"/>
  <c r="F448" i="7" s="1"/>
  <c r="W21" i="45"/>
  <c r="AD35" i="45"/>
  <c r="F82" i="48" s="1"/>
  <c r="W35" i="45"/>
  <c r="BS188" i="73"/>
  <c r="BT188" i="73"/>
  <c r="BS192" i="73"/>
  <c r="BT192" i="73"/>
  <c r="X35" i="45"/>
  <c r="D82" i="48"/>
  <c r="AF43" i="74"/>
  <c r="AI46" i="74"/>
  <c r="AL46" i="74" s="1"/>
  <c r="AM46" i="74" s="1"/>
  <c r="AA21" i="45"/>
  <c r="AD21" i="45" s="1"/>
  <c r="F54" i="48" s="1"/>
  <c r="D54" i="48"/>
  <c r="AI47" i="74"/>
  <c r="AL47" i="74" s="1"/>
  <c r="AM47" i="74" s="1"/>
  <c r="AM43" i="74"/>
  <c r="AM37" i="74"/>
  <c r="AM23" i="74"/>
  <c r="AE28" i="74"/>
  <c r="AM25" i="74"/>
  <c r="AE24" i="74"/>
  <c r="AE44" i="74"/>
  <c r="AE31" i="74"/>
  <c r="AE35" i="74"/>
  <c r="AE23" i="74"/>
  <c r="W11" i="74"/>
  <c r="AF23" i="74"/>
  <c r="AI24" i="74"/>
  <c r="AL24" i="74" s="1"/>
  <c r="AQ24" i="74" s="1"/>
  <c r="AT24" i="74" s="1"/>
  <c r="AE36" i="74"/>
  <c r="W8" i="74"/>
  <c r="AI44" i="74"/>
  <c r="AL44" i="74" s="1"/>
  <c r="AQ44" i="74" s="1"/>
  <c r="AT44" i="74" s="1"/>
  <c r="AM27" i="74"/>
  <c r="AE40" i="74"/>
  <c r="AE34" i="74"/>
  <c r="AE29" i="74"/>
  <c r="W9" i="74"/>
  <c r="AM31" i="74"/>
  <c r="AM13" i="74"/>
  <c r="AM35" i="74"/>
  <c r="AE32" i="74"/>
  <c r="AE22" i="74"/>
  <c r="AE46" i="74"/>
  <c r="AE17" i="74"/>
  <c r="AE30" i="74"/>
  <c r="AE45" i="74"/>
  <c r="AE43" i="74"/>
  <c r="AE37" i="74"/>
  <c r="AF31" i="74"/>
  <c r="AI15" i="74"/>
  <c r="AL15" i="74" s="1"/>
  <c r="AM15" i="74" s="1"/>
  <c r="AE38" i="74"/>
  <c r="AM39" i="74"/>
  <c r="AM21" i="74"/>
  <c r="AI30" i="74"/>
  <c r="AL30" i="74" s="1"/>
  <c r="AQ30" i="74" s="1"/>
  <c r="AT30" i="74" s="1"/>
  <c r="AE26" i="74"/>
  <c r="W12" i="74"/>
  <c r="AI45" i="74"/>
  <c r="AL45" i="74" s="1"/>
  <c r="AN45" i="74" s="1"/>
  <c r="AF35" i="74"/>
  <c r="AM19" i="74"/>
  <c r="AM14" i="74"/>
  <c r="AM41" i="74"/>
  <c r="AM33" i="74"/>
  <c r="AE13" i="74"/>
  <c r="AE16" i="74"/>
  <c r="AA70" i="73"/>
  <c r="Z70" i="73"/>
  <c r="X9" i="74"/>
  <c r="AA9" i="74"/>
  <c r="AD9" i="74" s="1"/>
  <c r="AQ31" i="74"/>
  <c r="AT31" i="74" s="1"/>
  <c r="AN31" i="74"/>
  <c r="AI38" i="74"/>
  <c r="AL38" i="74" s="1"/>
  <c r="AF38" i="74"/>
  <c r="AN29" i="74"/>
  <c r="AN17" i="74"/>
  <c r="AI26" i="74"/>
  <c r="AL26" i="74" s="1"/>
  <c r="AF26" i="74"/>
  <c r="AI20" i="74"/>
  <c r="AL20" i="74" s="1"/>
  <c r="AM20" i="74" s="1"/>
  <c r="AF20" i="74"/>
  <c r="AA8" i="74"/>
  <c r="AD8" i="74" s="1"/>
  <c r="X8" i="74"/>
  <c r="X12" i="74"/>
  <c r="AA12" i="74"/>
  <c r="AD12" i="74" s="1"/>
  <c r="AN35" i="74"/>
  <c r="AQ35" i="74"/>
  <c r="AT35" i="74" s="1"/>
  <c r="AQ19" i="74"/>
  <c r="AT19" i="74" s="1"/>
  <c r="AN19" i="74"/>
  <c r="AN47" i="74"/>
  <c r="AI40" i="74"/>
  <c r="AL40" i="74" s="1"/>
  <c r="AF40" i="74"/>
  <c r="AF28" i="74"/>
  <c r="AI28" i="74"/>
  <c r="AL28" i="74" s="1"/>
  <c r="AQ41" i="74"/>
  <c r="AT41" i="74" s="1"/>
  <c r="AN41" i="74"/>
  <c r="AQ33" i="74"/>
  <c r="AT33" i="74" s="1"/>
  <c r="AN33" i="74"/>
  <c r="AQ34" i="74"/>
  <c r="AT34" i="74" s="1"/>
  <c r="BQ192" i="73"/>
  <c r="BO192" i="73"/>
  <c r="BP192" i="73"/>
  <c r="BQ188" i="73"/>
  <c r="BO188" i="73"/>
  <c r="BP188" i="73"/>
  <c r="AA7" i="74"/>
  <c r="AD7" i="74" s="1"/>
  <c r="AE7" i="74" s="1"/>
  <c r="X7" i="74"/>
  <c r="AA11" i="74"/>
  <c r="AD11" i="74" s="1"/>
  <c r="X11" i="74"/>
  <c r="AQ43" i="74"/>
  <c r="AT43" i="74" s="1"/>
  <c r="AN43" i="74"/>
  <c r="AQ23" i="74"/>
  <c r="AT23" i="74" s="1"/>
  <c r="AN23" i="74"/>
  <c r="AN46" i="74"/>
  <c r="AF36" i="74"/>
  <c r="AI36" i="74"/>
  <c r="AL36" i="74" s="1"/>
  <c r="AQ39" i="74"/>
  <c r="AT39" i="74" s="1"/>
  <c r="AN21" i="74"/>
  <c r="AQ21" i="74"/>
  <c r="AT21" i="74" s="1"/>
  <c r="AN27" i="74"/>
  <c r="AQ14" i="74"/>
  <c r="AT14" i="74" s="1"/>
  <c r="AN14" i="74"/>
  <c r="AI32" i="74"/>
  <c r="AL32" i="74" s="1"/>
  <c r="AF32" i="74"/>
  <c r="AQ37" i="74"/>
  <c r="AT37" i="74" s="1"/>
  <c r="AN37" i="74"/>
  <c r="AN25" i="74"/>
  <c r="AQ25" i="74"/>
  <c r="AT25" i="74" s="1"/>
  <c r="AI22" i="74"/>
  <c r="AL22" i="74" s="1"/>
  <c r="AF22" i="74"/>
  <c r="AD10" i="74"/>
  <c r="BI185" i="73"/>
  <c r="BL185" i="73" s="1"/>
  <c r="BJ185" i="73"/>
  <c r="BM185" i="73" s="1"/>
  <c r="BI189" i="73"/>
  <c r="BL189" i="73" s="1"/>
  <c r="BJ189" i="73"/>
  <c r="BM189" i="73" s="1"/>
  <c r="BI184" i="73"/>
  <c r="BL184" i="73" s="1"/>
  <c r="BJ184" i="73"/>
  <c r="BM184" i="73" s="1"/>
  <c r="BI192" i="73"/>
  <c r="BL192" i="73" s="1"/>
  <c r="BJ192" i="73"/>
  <c r="BM192" i="73" s="1"/>
  <c r="BJ188" i="73"/>
  <c r="BM188" i="73" s="1"/>
  <c r="BI188" i="73"/>
  <c r="BL188" i="73" s="1"/>
  <c r="E13" i="10"/>
  <c r="J17" i="26"/>
  <c r="C63" i="10"/>
  <c r="D63" i="10" s="1"/>
  <c r="J19" i="26"/>
  <c r="J13" i="26"/>
  <c r="E11" i="10"/>
  <c r="E12" i="10"/>
  <c r="E10" i="10"/>
  <c r="C116" i="10"/>
  <c r="E116" i="10" s="1"/>
  <c r="C118" i="10"/>
  <c r="E118" i="10" s="1"/>
  <c r="C128" i="10"/>
  <c r="E128" i="10" s="1"/>
  <c r="C122" i="10"/>
  <c r="E122" i="10" s="1"/>
  <c r="C126" i="10"/>
  <c r="E126" i="10" s="1"/>
  <c r="C124" i="10"/>
  <c r="E124" i="10" s="1"/>
  <c r="C120" i="10"/>
  <c r="E120" i="10" s="1"/>
  <c r="C117" i="10"/>
  <c r="E117" i="10" s="1"/>
  <c r="C115" i="10"/>
  <c r="E115" i="10" s="1"/>
  <c r="C127" i="10"/>
  <c r="E127" i="10" s="1"/>
  <c r="C125" i="10"/>
  <c r="E125" i="10" s="1"/>
  <c r="C123" i="10"/>
  <c r="E123" i="10" s="1"/>
  <c r="AQ29" i="74" l="1"/>
  <c r="AT29" i="74" s="1"/>
  <c r="AN13" i="74"/>
  <c r="AN42" i="74"/>
  <c r="AN18" i="74"/>
  <c r="AQ17" i="74"/>
  <c r="AT17" i="74" s="1"/>
  <c r="AU17" i="74" s="1"/>
  <c r="AM18" i="74"/>
  <c r="E44" i="10"/>
  <c r="AN16" i="74"/>
  <c r="AM16" i="74"/>
  <c r="AN44" i="74"/>
  <c r="E40" i="10"/>
  <c r="AQ45" i="74"/>
  <c r="AT45" i="74" s="1"/>
  <c r="AV45" i="74" s="1"/>
  <c r="AQ42" i="74"/>
  <c r="AT42" i="74" s="1"/>
  <c r="AU42" i="74" s="1"/>
  <c r="AN34" i="74"/>
  <c r="AQ46" i="74"/>
  <c r="AT46" i="74" s="1"/>
  <c r="AV46" i="74" s="1"/>
  <c r="AN24" i="74"/>
  <c r="M446" i="7"/>
  <c r="J446" i="7"/>
  <c r="E50" i="10"/>
  <c r="C67" i="10"/>
  <c r="D67" i="10" s="1"/>
  <c r="P448" i="7"/>
  <c r="J448" i="7"/>
  <c r="M448" i="7"/>
  <c r="P450" i="7"/>
  <c r="J450" i="7"/>
  <c r="M450" i="7"/>
  <c r="M449" i="7"/>
  <c r="P449" i="7"/>
  <c r="J449" i="7"/>
  <c r="AF35" i="45"/>
  <c r="AQ15" i="74"/>
  <c r="AT15" i="74" s="1"/>
  <c r="AY15" i="74" s="1"/>
  <c r="BB15" i="74" s="1"/>
  <c r="AI35" i="45"/>
  <c r="AL35" i="45" s="1"/>
  <c r="H82" i="48" s="1"/>
  <c r="AE35" i="45"/>
  <c r="AQ47" i="74"/>
  <c r="AT47" i="74" s="1"/>
  <c r="AU47" i="74" s="1"/>
  <c r="AF21" i="45"/>
  <c r="AE21" i="45"/>
  <c r="AI21" i="45"/>
  <c r="AL21" i="45" s="1"/>
  <c r="H54" i="48" s="1"/>
  <c r="AN15" i="74"/>
  <c r="AU24" i="74"/>
  <c r="AU25" i="74"/>
  <c r="AU39" i="74"/>
  <c r="AU23" i="74"/>
  <c r="AE11" i="74"/>
  <c r="AM28" i="74"/>
  <c r="AU35" i="74"/>
  <c r="AM30" i="74"/>
  <c r="AE10" i="74"/>
  <c r="AU18" i="74"/>
  <c r="AU37" i="74"/>
  <c r="AU14" i="74"/>
  <c r="AU44" i="74"/>
  <c r="AU16" i="74"/>
  <c r="AU13" i="74"/>
  <c r="AU33" i="74"/>
  <c r="AE8" i="74"/>
  <c r="AM26" i="74"/>
  <c r="AM38" i="74"/>
  <c r="AU31" i="74"/>
  <c r="AU43" i="74"/>
  <c r="AE12" i="74"/>
  <c r="AU30" i="74"/>
  <c r="AU29" i="74"/>
  <c r="AE9" i="74"/>
  <c r="AM24" i="74"/>
  <c r="AM22" i="74"/>
  <c r="AM32" i="74"/>
  <c r="AU27" i="74"/>
  <c r="AU21" i="74"/>
  <c r="AM36" i="74"/>
  <c r="AU34" i="74"/>
  <c r="AU41" i="74"/>
  <c r="AM40" i="74"/>
  <c r="AU19" i="74"/>
  <c r="AN30" i="74"/>
  <c r="AM45" i="74"/>
  <c r="AM44" i="74"/>
  <c r="AY18" i="74"/>
  <c r="BB18" i="74" s="1"/>
  <c r="AV18" i="74"/>
  <c r="AY25" i="74"/>
  <c r="BB25" i="74" s="1"/>
  <c r="AV25" i="74"/>
  <c r="AY37" i="74"/>
  <c r="BB37" i="74" s="1"/>
  <c r="AV37" i="74"/>
  <c r="AN32" i="74"/>
  <c r="AQ32" i="74"/>
  <c r="AT32" i="74" s="1"/>
  <c r="AY44" i="74"/>
  <c r="BB44" i="74" s="1"/>
  <c r="AV44" i="74"/>
  <c r="AV21" i="74"/>
  <c r="AY21" i="74"/>
  <c r="BB21" i="74" s="1"/>
  <c r="AY39" i="74"/>
  <c r="BB39" i="74" s="1"/>
  <c r="AV39" i="74"/>
  <c r="AN36" i="74"/>
  <c r="AQ36" i="74"/>
  <c r="AT36" i="74" s="1"/>
  <c r="AY23" i="74"/>
  <c r="BB23" i="74" s="1"/>
  <c r="AV23" i="74"/>
  <c r="AF11" i="74"/>
  <c r="AI11" i="74"/>
  <c r="AL11" i="74" s="1"/>
  <c r="AV34" i="74"/>
  <c r="AY34" i="74"/>
  <c r="BB34" i="74" s="1"/>
  <c r="AY33" i="74"/>
  <c r="BB33" i="74" s="1"/>
  <c r="AV33" i="74"/>
  <c r="AY41" i="74"/>
  <c r="BB41" i="74" s="1"/>
  <c r="AV41" i="74"/>
  <c r="AQ28" i="74"/>
  <c r="AT28" i="74" s="1"/>
  <c r="AN28" i="74"/>
  <c r="AQ40" i="74"/>
  <c r="AT40" i="74" s="1"/>
  <c r="AN40" i="74"/>
  <c r="AY35" i="74"/>
  <c r="BB35" i="74" s="1"/>
  <c r="AV35" i="74"/>
  <c r="AF12" i="74"/>
  <c r="AI12" i="74"/>
  <c r="AL12" i="74" s="1"/>
  <c r="AI8" i="74"/>
  <c r="AL8" i="74" s="1"/>
  <c r="AF8" i="74"/>
  <c r="AQ20" i="74"/>
  <c r="AT20" i="74" s="1"/>
  <c r="AN20" i="74"/>
  <c r="AQ26" i="74"/>
  <c r="AT26" i="74" s="1"/>
  <c r="AN26" i="74"/>
  <c r="AQ38" i="74"/>
  <c r="AT38" i="74" s="1"/>
  <c r="AN38" i="74"/>
  <c r="AV31" i="74"/>
  <c r="AY31" i="74"/>
  <c r="BB31" i="74" s="1"/>
  <c r="AF10" i="74"/>
  <c r="AI10" i="74"/>
  <c r="AL10" i="74" s="1"/>
  <c r="AQ22" i="74"/>
  <c r="AT22" i="74" s="1"/>
  <c r="AN22" i="74"/>
  <c r="AV14" i="74"/>
  <c r="AY14" i="74"/>
  <c r="BB14" i="74" s="1"/>
  <c r="AV27" i="74"/>
  <c r="AY27" i="74"/>
  <c r="BB27" i="74" s="1"/>
  <c r="AY16" i="74"/>
  <c r="BB16" i="74" s="1"/>
  <c r="AV16" i="74"/>
  <c r="AV13" i="74"/>
  <c r="AY13" i="74"/>
  <c r="BB13" i="74" s="1"/>
  <c r="AV24" i="74"/>
  <c r="AY24" i="74"/>
  <c r="BB24" i="74" s="1"/>
  <c r="AY46" i="74"/>
  <c r="BB46" i="74" s="1"/>
  <c r="AY43" i="74"/>
  <c r="BB43" i="74" s="1"/>
  <c r="AV43" i="74"/>
  <c r="AI7" i="74"/>
  <c r="AL7" i="74" s="1"/>
  <c r="AM7" i="74" s="1"/>
  <c r="AF7" i="74"/>
  <c r="AY19" i="74"/>
  <c r="BB19" i="74" s="1"/>
  <c r="AV19" i="74"/>
  <c r="AV30" i="74"/>
  <c r="AY30" i="74"/>
  <c r="BB30" i="74" s="1"/>
  <c r="AY17" i="74"/>
  <c r="BB17" i="74" s="1"/>
  <c r="AV17" i="74"/>
  <c r="AY29" i="74"/>
  <c r="BB29" i="74" s="1"/>
  <c r="AV29" i="74"/>
  <c r="AI9" i="74"/>
  <c r="AL9" i="74" s="1"/>
  <c r="AF9" i="74"/>
  <c r="D61" i="10"/>
  <c r="D59" i="10"/>
  <c r="E46" i="10"/>
  <c r="N199" i="31"/>
  <c r="N109" i="31"/>
  <c r="N19" i="31"/>
  <c r="V153" i="8"/>
  <c r="E287" i="7"/>
  <c r="E286" i="7"/>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0" i="8"/>
  <c r="E29" i="8"/>
  <c r="E28" i="8"/>
  <c r="E27" i="8"/>
  <c r="E26" i="8"/>
  <c r="E25" i="8"/>
  <c r="E24" i="8"/>
  <c r="E23" i="8"/>
  <c r="E21" i="8"/>
  <c r="E19" i="8"/>
  <c r="E18" i="8"/>
  <c r="E17" i="8"/>
  <c r="E16" i="8"/>
  <c r="E15" i="8"/>
  <c r="E14" i="8"/>
  <c r="E13" i="8"/>
  <c r="E12" i="8"/>
  <c r="E11" i="8"/>
  <c r="E10" i="8"/>
  <c r="AV87" i="8"/>
  <c r="AV79" i="8"/>
  <c r="AV78" i="8"/>
  <c r="AV77" i="8"/>
  <c r="AV76" i="8"/>
  <c r="AV75" i="8"/>
  <c r="AV74" i="8"/>
  <c r="AV73" i="8"/>
  <c r="AV72" i="8"/>
  <c r="AV71" i="8"/>
  <c r="AV70" i="8"/>
  <c r="AV69" i="8"/>
  <c r="AV68" i="8"/>
  <c r="AV67" i="8"/>
  <c r="AV66" i="8"/>
  <c r="AV65" i="8"/>
  <c r="AV64" i="8"/>
  <c r="AV63" i="8"/>
  <c r="AV62" i="8"/>
  <c r="AV61" i="8"/>
  <c r="AV60" i="8"/>
  <c r="AV59" i="8"/>
  <c r="AV58" i="8"/>
  <c r="AV57" i="8"/>
  <c r="AV56" i="8"/>
  <c r="AV55" i="8"/>
  <c r="AV54" i="8"/>
  <c r="AV53" i="8"/>
  <c r="AV52" i="8"/>
  <c r="AV51" i="8"/>
  <c r="AV50" i="8"/>
  <c r="AV49" i="8"/>
  <c r="AV48" i="8"/>
  <c r="AV47" i="8"/>
  <c r="AV46" i="8"/>
  <c r="AV45" i="8"/>
  <c r="AV44" i="8"/>
  <c r="AV43" i="8"/>
  <c r="AV42" i="8"/>
  <c r="AV41" i="8"/>
  <c r="AV40" i="8"/>
  <c r="AV39" i="8"/>
  <c r="AV38" i="8"/>
  <c r="AV37" i="8"/>
  <c r="AV36" i="8"/>
  <c r="AV35" i="8"/>
  <c r="AV34" i="8"/>
  <c r="AV33" i="8"/>
  <c r="AV32" i="8"/>
  <c r="AV30" i="8"/>
  <c r="AV29" i="8"/>
  <c r="AV28" i="8"/>
  <c r="AV27" i="8"/>
  <c r="AV26" i="8"/>
  <c r="AV25" i="8"/>
  <c r="AV24" i="8"/>
  <c r="AV23" i="8"/>
  <c r="AV21" i="8"/>
  <c r="AV10" i="8"/>
  <c r="AV11" i="8"/>
  <c r="AV12" i="8"/>
  <c r="AV13" i="8"/>
  <c r="AV14" i="8"/>
  <c r="AV15" i="8"/>
  <c r="AV16" i="8"/>
  <c r="AV17" i="8"/>
  <c r="AV18" i="8"/>
  <c r="AV19" i="8"/>
  <c r="AV9" i="8"/>
  <c r="AV106" i="7"/>
  <c r="AV98" i="7"/>
  <c r="AV97" i="7"/>
  <c r="AV96" i="7"/>
  <c r="AV95" i="7"/>
  <c r="AV94" i="7"/>
  <c r="AV93" i="7"/>
  <c r="AV92" i="7"/>
  <c r="AV91" i="7"/>
  <c r="AV90" i="7"/>
  <c r="AV89" i="7"/>
  <c r="AV88" i="7"/>
  <c r="AV87" i="7"/>
  <c r="AV86" i="7"/>
  <c r="AV85" i="7"/>
  <c r="AV84" i="7"/>
  <c r="AV83" i="7"/>
  <c r="AV82" i="7"/>
  <c r="AV81" i="7"/>
  <c r="AV80" i="7"/>
  <c r="AV79" i="7"/>
  <c r="AV78" i="7"/>
  <c r="AV77" i="7"/>
  <c r="AV76" i="7"/>
  <c r="AV75" i="7"/>
  <c r="AV74" i="7"/>
  <c r="AV73" i="7"/>
  <c r="AV72" i="7"/>
  <c r="AV71" i="7"/>
  <c r="AV70" i="7"/>
  <c r="AV69" i="7"/>
  <c r="AV68" i="7"/>
  <c r="AV67" i="7"/>
  <c r="AV66" i="7"/>
  <c r="AV65" i="7"/>
  <c r="AV64" i="7"/>
  <c r="AV63" i="7"/>
  <c r="AV62" i="7"/>
  <c r="AV61" i="7"/>
  <c r="AV60" i="7"/>
  <c r="AV59" i="7"/>
  <c r="AV58" i="7"/>
  <c r="AV57" i="7"/>
  <c r="AV56" i="7"/>
  <c r="AV55" i="7"/>
  <c r="AV54" i="7"/>
  <c r="AV53" i="7"/>
  <c r="AV52" i="7"/>
  <c r="AV51" i="7"/>
  <c r="AV49" i="7"/>
  <c r="AV48" i="7"/>
  <c r="AV47" i="7"/>
  <c r="AV46" i="7"/>
  <c r="AV45" i="7"/>
  <c r="AV44" i="7"/>
  <c r="AV43" i="7"/>
  <c r="AV42" i="7"/>
  <c r="AV40" i="7"/>
  <c r="AV38" i="7"/>
  <c r="AV37" i="7"/>
  <c r="AV36" i="7"/>
  <c r="AV35" i="7"/>
  <c r="AV34" i="7"/>
  <c r="AV33" i="7"/>
  <c r="AV32" i="7"/>
  <c r="AV31" i="7"/>
  <c r="AV30" i="7"/>
  <c r="AV29" i="7"/>
  <c r="AV28" i="7"/>
  <c r="AY45" i="74" l="1"/>
  <c r="BB45" i="74" s="1"/>
  <c r="BG45" i="74" s="1"/>
  <c r="BJ45" i="74" s="1"/>
  <c r="AU46" i="74"/>
  <c r="AV15" i="74"/>
  <c r="AU15" i="74"/>
  <c r="AY42" i="74"/>
  <c r="BB42" i="74" s="1"/>
  <c r="BD42" i="74" s="1"/>
  <c r="AU45" i="74"/>
  <c r="AY47" i="74"/>
  <c r="BB47" i="74" s="1"/>
  <c r="BC47" i="74" s="1"/>
  <c r="AV42" i="74"/>
  <c r="D141" i="10"/>
  <c r="E141" i="10" s="1"/>
  <c r="D139" i="10"/>
  <c r="AQ35" i="45"/>
  <c r="AT35" i="45" s="1"/>
  <c r="J82" i="48" s="1"/>
  <c r="AM35" i="45"/>
  <c r="AN35" i="45"/>
  <c r="AV47" i="74"/>
  <c r="AM21" i="45"/>
  <c r="AQ21" i="45"/>
  <c r="AT21" i="45" s="1"/>
  <c r="J54" i="48" s="1"/>
  <c r="AN21" i="45"/>
  <c r="BC30" i="74"/>
  <c r="BC46" i="74"/>
  <c r="BC14" i="74"/>
  <c r="AM10" i="74"/>
  <c r="AM12" i="74"/>
  <c r="AM11" i="74"/>
  <c r="AU36" i="74"/>
  <c r="BC21" i="74"/>
  <c r="AU32" i="74"/>
  <c r="AM9" i="74"/>
  <c r="BC29" i="74"/>
  <c r="BC15" i="74"/>
  <c r="BC43" i="74"/>
  <c r="BC27" i="74"/>
  <c r="BC31" i="74"/>
  <c r="BC34" i="74"/>
  <c r="BC17" i="74"/>
  <c r="BC19" i="74"/>
  <c r="BC24" i="74"/>
  <c r="BC16" i="74"/>
  <c r="AU22" i="74"/>
  <c r="AU26" i="74"/>
  <c r="AM8" i="74"/>
  <c r="BC35" i="74"/>
  <c r="AU40" i="74"/>
  <c r="BC41" i="74"/>
  <c r="BC23" i="74"/>
  <c r="BC39" i="74"/>
  <c r="BC44" i="74"/>
  <c r="BC37" i="74"/>
  <c r="BC18" i="74"/>
  <c r="BC13" i="74"/>
  <c r="AU38" i="74"/>
  <c r="AU20" i="74"/>
  <c r="AU28" i="74"/>
  <c r="BC33" i="74"/>
  <c r="BC25" i="74"/>
  <c r="BD15" i="74"/>
  <c r="BG15" i="74"/>
  <c r="BJ15" i="74" s="1"/>
  <c r="BG17" i="74"/>
  <c r="BJ17" i="74" s="1"/>
  <c r="BD17" i="74"/>
  <c r="AQ7" i="74"/>
  <c r="AT7" i="74" s="1"/>
  <c r="AU7" i="74" s="1"/>
  <c r="AN7" i="74"/>
  <c r="BG46" i="74"/>
  <c r="BJ46" i="74" s="1"/>
  <c r="BD46" i="74"/>
  <c r="BG24" i="74"/>
  <c r="BJ24" i="74" s="1"/>
  <c r="BD24" i="74"/>
  <c r="BG16" i="74"/>
  <c r="BJ16" i="74" s="1"/>
  <c r="BD16" i="74"/>
  <c r="BG27" i="74"/>
  <c r="BJ27" i="74" s="1"/>
  <c r="BD27" i="74"/>
  <c r="AV22" i="74"/>
  <c r="AY22" i="74"/>
  <c r="BB22" i="74" s="1"/>
  <c r="BD31" i="74"/>
  <c r="BG31" i="74"/>
  <c r="BJ31" i="74" s="1"/>
  <c r="AY38" i="74"/>
  <c r="BB38" i="74" s="1"/>
  <c r="AV38" i="74"/>
  <c r="AY26" i="74"/>
  <c r="BB26" i="74" s="1"/>
  <c r="AV26" i="74"/>
  <c r="AN8" i="74"/>
  <c r="AQ8" i="74"/>
  <c r="AT8" i="74" s="1"/>
  <c r="BG35" i="74"/>
  <c r="BJ35" i="74" s="1"/>
  <c r="BD35" i="74"/>
  <c r="AY40" i="74"/>
  <c r="BB40" i="74" s="1"/>
  <c r="AV40" i="74"/>
  <c r="BD34" i="74"/>
  <c r="BG34" i="74"/>
  <c r="BJ34" i="74" s="1"/>
  <c r="BG23" i="74"/>
  <c r="BJ23" i="74" s="1"/>
  <c r="BD23" i="74"/>
  <c r="AY32" i="74"/>
  <c r="BB32" i="74" s="1"/>
  <c r="AV32" i="74"/>
  <c r="BG37" i="74"/>
  <c r="BJ37" i="74" s="1"/>
  <c r="BD37" i="74"/>
  <c r="BD25" i="74"/>
  <c r="BG25" i="74"/>
  <c r="BJ25" i="74" s="1"/>
  <c r="BG18" i="74"/>
  <c r="BJ18" i="74" s="1"/>
  <c r="BD18" i="74"/>
  <c r="AQ9" i="74"/>
  <c r="AT9" i="74" s="1"/>
  <c r="AN9" i="74"/>
  <c r="BG29" i="74"/>
  <c r="BJ29" i="74" s="1"/>
  <c r="BD29" i="74"/>
  <c r="BD30" i="74"/>
  <c r="BG30" i="74"/>
  <c r="BJ30" i="74" s="1"/>
  <c r="BG19" i="74"/>
  <c r="BJ19" i="74" s="1"/>
  <c r="BD19" i="74"/>
  <c r="BG43" i="74"/>
  <c r="BJ43" i="74" s="1"/>
  <c r="BD43" i="74"/>
  <c r="BD13" i="74"/>
  <c r="BG13" i="74"/>
  <c r="BJ13" i="74" s="1"/>
  <c r="BD14" i="74"/>
  <c r="BG14" i="74"/>
  <c r="BJ14" i="74" s="1"/>
  <c r="AQ10" i="74"/>
  <c r="AT10" i="74" s="1"/>
  <c r="AN10" i="74"/>
  <c r="AV20" i="74"/>
  <c r="AY20" i="74"/>
  <c r="BB20" i="74" s="1"/>
  <c r="AQ12" i="74"/>
  <c r="AT12" i="74" s="1"/>
  <c r="AN12" i="74"/>
  <c r="BD47" i="74"/>
  <c r="AY28" i="74"/>
  <c r="BB28" i="74" s="1"/>
  <c r="AV28" i="74"/>
  <c r="BG41" i="74"/>
  <c r="BJ41" i="74" s="1"/>
  <c r="BD41" i="74"/>
  <c r="BD33" i="74"/>
  <c r="BG33" i="74"/>
  <c r="BJ33" i="74" s="1"/>
  <c r="AQ11" i="74"/>
  <c r="AT11" i="74" s="1"/>
  <c r="AN11" i="74"/>
  <c r="AV36" i="74"/>
  <c r="AY36" i="74"/>
  <c r="BB36" i="74" s="1"/>
  <c r="BG39" i="74"/>
  <c r="BJ39" i="74" s="1"/>
  <c r="BD39" i="74"/>
  <c r="BG21" i="74"/>
  <c r="BJ21" i="74" s="1"/>
  <c r="BD21" i="74"/>
  <c r="BG44" i="74"/>
  <c r="BJ44" i="74" s="1"/>
  <c r="BD44" i="74"/>
  <c r="E93" i="8"/>
  <c r="P102" i="8" s="1"/>
  <c r="AE94" i="8"/>
  <c r="AE97" i="8" s="1"/>
  <c r="AE93" i="8"/>
  <c r="AE96" i="8" s="1"/>
  <c r="AF93" i="8"/>
  <c r="AF96" i="8" s="1"/>
  <c r="AM93" i="8"/>
  <c r="AM96" i="8" s="1"/>
  <c r="BV187" i="11"/>
  <c r="AS73" i="11"/>
  <c r="M73" i="11"/>
  <c r="V207" i="8"/>
  <c r="AX35" i="8"/>
  <c r="K26" i="23"/>
  <c r="AX36" i="8"/>
  <c r="K27" i="23"/>
  <c r="Q93" i="8"/>
  <c r="P114" i="8" s="1"/>
  <c r="O93" i="8"/>
  <c r="P112" i="8" s="1"/>
  <c r="R93" i="8"/>
  <c r="AJ93" i="8"/>
  <c r="AR93" i="8"/>
  <c r="AB94" i="8"/>
  <c r="Q125" i="8" s="1"/>
  <c r="AI94" i="8"/>
  <c r="Q132" i="8" s="1"/>
  <c r="AS93" i="8"/>
  <c r="AS94" i="8"/>
  <c r="AU93" i="8"/>
  <c r="P142" i="8" s="1"/>
  <c r="AU94" i="8"/>
  <c r="Q142" i="8" s="1"/>
  <c r="G93" i="8"/>
  <c r="P104" i="8" s="1"/>
  <c r="G94" i="8"/>
  <c r="Q104" i="8" s="1"/>
  <c r="I93" i="8"/>
  <c r="P106" i="8" s="1"/>
  <c r="I94" i="8"/>
  <c r="Q106" i="8" s="1"/>
  <c r="L95" i="8"/>
  <c r="U93" i="8"/>
  <c r="P118" i="8" s="1"/>
  <c r="U94" i="8"/>
  <c r="Q118" i="8" s="1"/>
  <c r="U95" i="8"/>
  <c r="F93" i="8"/>
  <c r="P103" i="8" s="1"/>
  <c r="F94" i="8"/>
  <c r="Q103" i="8" s="1"/>
  <c r="F95" i="8"/>
  <c r="M94" i="8"/>
  <c r="Q110" i="8" s="1"/>
  <c r="M95" i="8"/>
  <c r="M93" i="8"/>
  <c r="P110" i="8" s="1"/>
  <c r="T93" i="8"/>
  <c r="P117" i="8" s="1"/>
  <c r="T94" i="8"/>
  <c r="Q117" i="8" s="1"/>
  <c r="T95" i="8"/>
  <c r="AQ94" i="8"/>
  <c r="Q139" i="8" s="1"/>
  <c r="AQ93" i="8"/>
  <c r="P139" i="8" s="1"/>
  <c r="L93" i="8"/>
  <c r="P109" i="8" s="1"/>
  <c r="P93" i="8"/>
  <c r="AB93" i="8"/>
  <c r="P125" i="8" s="1"/>
  <c r="J93" i="8"/>
  <c r="AJ94" i="8"/>
  <c r="Q133" i="8" s="1"/>
  <c r="AK93" i="8"/>
  <c r="AO93" i="8"/>
  <c r="AI93" i="8"/>
  <c r="P132" i="8" s="1"/>
  <c r="AP93" i="8"/>
  <c r="AP96" i="8" s="1"/>
  <c r="AT93" i="8"/>
  <c r="AH93" i="8"/>
  <c r="P131" i="8" s="1"/>
  <c r="X93" i="8"/>
  <c r="P121" i="8" s="1"/>
  <c r="N93" i="8"/>
  <c r="P111" i="8" s="1"/>
  <c r="Z93" i="8"/>
  <c r="P123" i="8" s="1"/>
  <c r="H93" i="8"/>
  <c r="P105" i="8" s="1"/>
  <c r="V93" i="8"/>
  <c r="P119" i="8" s="1"/>
  <c r="AV93" i="8"/>
  <c r="BD45" i="74" l="1"/>
  <c r="BC45" i="74"/>
  <c r="BG42" i="74"/>
  <c r="BJ42" i="74" s="1"/>
  <c r="BO42" i="74" s="1"/>
  <c r="BR42" i="74" s="1"/>
  <c r="BU42" i="74" s="1"/>
  <c r="BC42" i="74"/>
  <c r="BG47" i="74"/>
  <c r="BJ47" i="74" s="1"/>
  <c r="BL47" i="74" s="1"/>
  <c r="Q128" i="8"/>
  <c r="AV35" i="45"/>
  <c r="AY35" i="45"/>
  <c r="BB35" i="45" s="1"/>
  <c r="L82" i="48" s="1"/>
  <c r="AU35" i="45"/>
  <c r="AU21" i="45"/>
  <c r="AV21" i="45"/>
  <c r="AY21" i="45"/>
  <c r="BB21" i="45" s="1"/>
  <c r="L54" i="48" s="1"/>
  <c r="BK44" i="74"/>
  <c r="AU11" i="74"/>
  <c r="BK43" i="74"/>
  <c r="BC32" i="74"/>
  <c r="BK35" i="74"/>
  <c r="BK16" i="74"/>
  <c r="BK33" i="74"/>
  <c r="AU8" i="74"/>
  <c r="BC22" i="74"/>
  <c r="BK46" i="74"/>
  <c r="BK15" i="74"/>
  <c r="BK21" i="74"/>
  <c r="BC28" i="74"/>
  <c r="AU12" i="74"/>
  <c r="AU10" i="74"/>
  <c r="BK19" i="74"/>
  <c r="BK29" i="74"/>
  <c r="BK18" i="74"/>
  <c r="BK37" i="74"/>
  <c r="BK23" i="74"/>
  <c r="BC40" i="74"/>
  <c r="BC38" i="74"/>
  <c r="BK45" i="74"/>
  <c r="BK39" i="74"/>
  <c r="BK41" i="74"/>
  <c r="AU9" i="74"/>
  <c r="BC26" i="74"/>
  <c r="BK27" i="74"/>
  <c r="BK17" i="74"/>
  <c r="BC36" i="74"/>
  <c r="BK13" i="74"/>
  <c r="BK24" i="74"/>
  <c r="BK47" i="74"/>
  <c r="BC20" i="74"/>
  <c r="BK14" i="74"/>
  <c r="BK30" i="74"/>
  <c r="BK25" i="74"/>
  <c r="BK34" i="74"/>
  <c r="BK31" i="74"/>
  <c r="BO44" i="74"/>
  <c r="BR44" i="74" s="1"/>
  <c r="BU44" i="74" s="1"/>
  <c r="BL44" i="74"/>
  <c r="BG36" i="74"/>
  <c r="BJ36" i="74" s="1"/>
  <c r="BD36" i="74"/>
  <c r="AV11" i="74"/>
  <c r="AY11" i="74"/>
  <c r="BB11" i="74" s="1"/>
  <c r="BG20" i="74"/>
  <c r="BJ20" i="74" s="1"/>
  <c r="BD20" i="74"/>
  <c r="BO14" i="74"/>
  <c r="BR14" i="74" s="1"/>
  <c r="BU14" i="74" s="1"/>
  <c r="BL14" i="74"/>
  <c r="BL29" i="74"/>
  <c r="BO29" i="74"/>
  <c r="BR29" i="74" s="1"/>
  <c r="BU29" i="74" s="1"/>
  <c r="BO18" i="74"/>
  <c r="BR18" i="74" s="1"/>
  <c r="BU18" i="74" s="1"/>
  <c r="BL18" i="74"/>
  <c r="BL25" i="74"/>
  <c r="BO25" i="74"/>
  <c r="BR25" i="74" s="1"/>
  <c r="BU25" i="74" s="1"/>
  <c r="BG32" i="74"/>
  <c r="BJ32" i="74" s="1"/>
  <c r="BD32" i="74"/>
  <c r="BO34" i="74"/>
  <c r="BR34" i="74" s="1"/>
  <c r="BU34" i="74" s="1"/>
  <c r="BL34" i="74"/>
  <c r="BO35" i="74"/>
  <c r="BR35" i="74" s="1"/>
  <c r="BU35" i="74" s="1"/>
  <c r="BL35" i="74"/>
  <c r="BG26" i="74"/>
  <c r="BJ26" i="74" s="1"/>
  <c r="BD26" i="74"/>
  <c r="BG38" i="74"/>
  <c r="BJ38" i="74" s="1"/>
  <c r="BD38" i="74"/>
  <c r="BL31" i="74"/>
  <c r="BO31" i="74"/>
  <c r="BR31" i="74" s="1"/>
  <c r="BU31" i="74" s="1"/>
  <c r="BL27" i="74"/>
  <c r="BO27" i="74"/>
  <c r="BR27" i="74" s="1"/>
  <c r="BU27" i="74" s="1"/>
  <c r="BO45" i="74"/>
  <c r="BR45" i="74" s="1"/>
  <c r="BU45" i="74" s="1"/>
  <c r="BL45" i="74"/>
  <c r="BO16" i="74"/>
  <c r="BR16" i="74" s="1"/>
  <c r="BU16" i="74" s="1"/>
  <c r="BL16" i="74"/>
  <c r="BL24" i="74"/>
  <c r="BO24" i="74"/>
  <c r="BR24" i="74" s="1"/>
  <c r="BU24" i="74" s="1"/>
  <c r="BL46" i="74"/>
  <c r="BO46" i="74"/>
  <c r="BR46" i="74" s="1"/>
  <c r="BU46" i="74" s="1"/>
  <c r="BL21" i="74"/>
  <c r="BO21" i="74"/>
  <c r="BR21" i="74" s="1"/>
  <c r="BU21" i="74" s="1"/>
  <c r="BO39" i="74"/>
  <c r="BR39" i="74" s="1"/>
  <c r="BU39" i="74" s="1"/>
  <c r="BL39" i="74"/>
  <c r="BO33" i="74"/>
  <c r="BR33" i="74" s="1"/>
  <c r="BU33" i="74" s="1"/>
  <c r="BL33" i="74"/>
  <c r="BO41" i="74"/>
  <c r="BR41" i="74" s="1"/>
  <c r="BU41" i="74" s="1"/>
  <c r="BL41" i="74"/>
  <c r="BG28" i="74"/>
  <c r="BJ28" i="74" s="1"/>
  <c r="BD28" i="74"/>
  <c r="AV12" i="74"/>
  <c r="AY12" i="74"/>
  <c r="BB12" i="74" s="1"/>
  <c r="AV10" i="74"/>
  <c r="AY10" i="74"/>
  <c r="BB10" i="74" s="1"/>
  <c r="BL13" i="74"/>
  <c r="BO13" i="74"/>
  <c r="BR13" i="74" s="1"/>
  <c r="BU13" i="74" s="1"/>
  <c r="BO43" i="74"/>
  <c r="BR43" i="74" s="1"/>
  <c r="BU43" i="74" s="1"/>
  <c r="BL43" i="74"/>
  <c r="BO19" i="74"/>
  <c r="BR19" i="74" s="1"/>
  <c r="BU19" i="74" s="1"/>
  <c r="BL19" i="74"/>
  <c r="BO30" i="74"/>
  <c r="BR30" i="74" s="1"/>
  <c r="BU30" i="74" s="1"/>
  <c r="BL30" i="74"/>
  <c r="AV9" i="74"/>
  <c r="AY9" i="74"/>
  <c r="BB9" i="74" s="1"/>
  <c r="BO37" i="74"/>
  <c r="BR37" i="74" s="1"/>
  <c r="BU37" i="74" s="1"/>
  <c r="BL37" i="74"/>
  <c r="BO23" i="74"/>
  <c r="BR23" i="74" s="1"/>
  <c r="BU23" i="74" s="1"/>
  <c r="BL23" i="74"/>
  <c r="BG40" i="74"/>
  <c r="BJ40" i="74" s="1"/>
  <c r="BD40" i="74"/>
  <c r="AV8" i="74"/>
  <c r="AY8" i="74"/>
  <c r="BB8" i="74" s="1"/>
  <c r="BD22" i="74"/>
  <c r="BG22" i="74"/>
  <c r="BJ22" i="74" s="1"/>
  <c r="AV7" i="74"/>
  <c r="AY7" i="74"/>
  <c r="BB7" i="74" s="1"/>
  <c r="BC7" i="74" s="1"/>
  <c r="BO17" i="74"/>
  <c r="BR17" i="74" s="1"/>
  <c r="BU17" i="74" s="1"/>
  <c r="BL17" i="74"/>
  <c r="BO15" i="74"/>
  <c r="BR15" i="74" s="1"/>
  <c r="BU15" i="74" s="1"/>
  <c r="BL15" i="74"/>
  <c r="P129" i="8"/>
  <c r="O96" i="8"/>
  <c r="L112" i="8" s="1"/>
  <c r="L163" i="8" s="1"/>
  <c r="O163" i="8" s="1"/>
  <c r="P128" i="8"/>
  <c r="P136" i="8"/>
  <c r="AB97" i="8"/>
  <c r="M125" i="8" s="1"/>
  <c r="AK96" i="8"/>
  <c r="L134" i="8" s="1"/>
  <c r="L185" i="8" s="1"/>
  <c r="P134" i="8"/>
  <c r="P96" i="8"/>
  <c r="L113" i="8" s="1"/>
  <c r="L164" i="8" s="1"/>
  <c r="O164" i="8" s="1"/>
  <c r="P113" i="8"/>
  <c r="AS96" i="8"/>
  <c r="P141" i="8"/>
  <c r="AJ96" i="8"/>
  <c r="L133" i="8" s="1"/>
  <c r="L184" i="8" s="1"/>
  <c r="O184" i="8" s="1"/>
  <c r="P133" i="8"/>
  <c r="AO96" i="8"/>
  <c r="L138" i="8" s="1"/>
  <c r="L189" i="8" s="1"/>
  <c r="O189" i="8" s="1"/>
  <c r="P138" i="8"/>
  <c r="J96" i="8"/>
  <c r="L107" i="8" s="1"/>
  <c r="L158" i="8" s="1"/>
  <c r="P107" i="8"/>
  <c r="AR96" i="8"/>
  <c r="L140" i="8" s="1"/>
  <c r="L191" i="8" s="1"/>
  <c r="O191" i="8" s="1"/>
  <c r="P140" i="8"/>
  <c r="R96" i="8"/>
  <c r="L115" i="8" s="1"/>
  <c r="L166" i="8" s="1"/>
  <c r="O166" i="8" s="1"/>
  <c r="P115" i="8"/>
  <c r="Q96" i="8"/>
  <c r="L114" i="8" s="1"/>
  <c r="L165" i="8" s="1"/>
  <c r="O165" i="8" s="1"/>
  <c r="AB96" i="8"/>
  <c r="L125" i="8" s="1"/>
  <c r="L176" i="8" s="1"/>
  <c r="O176" i="8" s="1"/>
  <c r="AS130" i="11"/>
  <c r="L96" i="8"/>
  <c r="L109" i="8" s="1"/>
  <c r="L160" i="8" s="1"/>
  <c r="E96" i="8"/>
  <c r="L102" i="8" s="1"/>
  <c r="L153" i="8" s="1"/>
  <c r="AI96" i="8"/>
  <c r="L132" i="8" s="1"/>
  <c r="L183" i="8" s="1"/>
  <c r="O183" i="8" s="1"/>
  <c r="L128" i="8"/>
  <c r="L179" i="8" s="1"/>
  <c r="O179" i="8" s="1"/>
  <c r="AI97" i="8"/>
  <c r="M132" i="8" s="1"/>
  <c r="AJ97" i="8"/>
  <c r="M133" i="8" s="1"/>
  <c r="M128" i="8"/>
  <c r="AQ96" i="8"/>
  <c r="L139" i="8" s="1"/>
  <c r="L190" i="8" s="1"/>
  <c r="O190" i="8" s="1"/>
  <c r="T98" i="8"/>
  <c r="N117" i="8" s="1"/>
  <c r="R117" i="8"/>
  <c r="T96" i="8"/>
  <c r="L117" i="8" s="1"/>
  <c r="L168" i="8" s="1"/>
  <c r="M98" i="8"/>
  <c r="N110" i="8" s="1"/>
  <c r="R110" i="8"/>
  <c r="F98" i="8"/>
  <c r="N103" i="8" s="1"/>
  <c r="R103" i="8"/>
  <c r="F96" i="8"/>
  <c r="L103" i="8" s="1"/>
  <c r="L154" i="8" s="1"/>
  <c r="U97" i="8"/>
  <c r="M118" i="8" s="1"/>
  <c r="R109" i="8"/>
  <c r="L98" i="8"/>
  <c r="N109" i="8" s="1"/>
  <c r="I97" i="8"/>
  <c r="M106" i="8" s="1"/>
  <c r="I96" i="8"/>
  <c r="L106" i="8" s="1"/>
  <c r="L157" i="8" s="1"/>
  <c r="G97" i="8"/>
  <c r="M104" i="8" s="1"/>
  <c r="AU96" i="8"/>
  <c r="L142" i="8" s="1"/>
  <c r="L193" i="8" s="1"/>
  <c r="O193" i="8" s="1"/>
  <c r="L136" i="8"/>
  <c r="L187" i="8" s="1"/>
  <c r="O187" i="8" s="1"/>
  <c r="AQ97" i="8"/>
  <c r="M139" i="8" s="1"/>
  <c r="T97" i="8"/>
  <c r="M117" i="8" s="1"/>
  <c r="M96" i="8"/>
  <c r="L110" i="8" s="1"/>
  <c r="L161" i="8" s="1"/>
  <c r="M97" i="8"/>
  <c r="M110" i="8" s="1"/>
  <c r="F97" i="8"/>
  <c r="M103" i="8" s="1"/>
  <c r="R118" i="8"/>
  <c r="U98" i="8"/>
  <c r="N118" i="8" s="1"/>
  <c r="U96" i="8"/>
  <c r="L118" i="8" s="1"/>
  <c r="L169" i="8" s="1"/>
  <c r="G96" i="8"/>
  <c r="L104" i="8" s="1"/>
  <c r="L155" i="8" s="1"/>
  <c r="AU97" i="8"/>
  <c r="M142" i="8" s="1"/>
  <c r="AS97" i="8"/>
  <c r="AH96" i="8"/>
  <c r="L131" i="8" s="1"/>
  <c r="L182" i="8" s="1"/>
  <c r="AT96" i="8"/>
  <c r="H96" i="8"/>
  <c r="L105" i="8" s="1"/>
  <c r="L156" i="8" s="1"/>
  <c r="N96" i="8"/>
  <c r="L111" i="8" s="1"/>
  <c r="L162" i="8" s="1"/>
  <c r="X96" i="8"/>
  <c r="L121" i="8" s="1"/>
  <c r="L172" i="8" s="1"/>
  <c r="V96" i="8"/>
  <c r="L119" i="8" s="1"/>
  <c r="L170" i="8" s="1"/>
  <c r="O170" i="8" s="1"/>
  <c r="Z96" i="8"/>
  <c r="L123" i="8" s="1"/>
  <c r="L174" i="8" s="1"/>
  <c r="L129" i="8"/>
  <c r="L180" i="8" s="1"/>
  <c r="BL42" i="74" l="1"/>
  <c r="BK42" i="74"/>
  <c r="BO47" i="74"/>
  <c r="BR47" i="74" s="1"/>
  <c r="BU47" i="74" s="1"/>
  <c r="M167" i="73" s="1"/>
  <c r="M141" i="73"/>
  <c r="M198" i="73"/>
  <c r="M143" i="73"/>
  <c r="M200" i="73"/>
  <c r="M159" i="73"/>
  <c r="M216" i="73"/>
  <c r="M138" i="73"/>
  <c r="M195" i="73"/>
  <c r="M190" i="73"/>
  <c r="M133" i="73"/>
  <c r="M192" i="73"/>
  <c r="M135" i="73"/>
  <c r="M157" i="73"/>
  <c r="M214" i="73"/>
  <c r="M150" i="73"/>
  <c r="M207" i="73"/>
  <c r="M163" i="73"/>
  <c r="M220" i="73"/>
  <c r="M153" i="73"/>
  <c r="M210" i="73"/>
  <c r="M165" i="73"/>
  <c r="M222" i="73"/>
  <c r="M211" i="73"/>
  <c r="M154" i="73"/>
  <c r="M221" i="73"/>
  <c r="M164" i="73"/>
  <c r="M201" i="73"/>
  <c r="M144" i="73"/>
  <c r="M208" i="73"/>
  <c r="M151" i="73"/>
  <c r="M145" i="73"/>
  <c r="M202" i="73"/>
  <c r="M149" i="73"/>
  <c r="M206" i="73"/>
  <c r="M194" i="73"/>
  <c r="M137" i="73"/>
  <c r="M161" i="73"/>
  <c r="M218" i="73"/>
  <c r="M155" i="73"/>
  <c r="M212" i="73"/>
  <c r="M134" i="73"/>
  <c r="M191" i="73"/>
  <c r="M162" i="73"/>
  <c r="M219" i="73"/>
  <c r="M196" i="73"/>
  <c r="M139" i="73"/>
  <c r="M136" i="73"/>
  <c r="M193" i="73"/>
  <c r="M166" i="73"/>
  <c r="M223" i="73"/>
  <c r="M204" i="73"/>
  <c r="M147" i="73"/>
  <c r="L223" i="8"/>
  <c r="BX46" i="74"/>
  <c r="M52" i="73"/>
  <c r="M30" i="73"/>
  <c r="M29" i="73"/>
  <c r="BX43" i="74"/>
  <c r="M49" i="73"/>
  <c r="M45" i="73"/>
  <c r="M40" i="73"/>
  <c r="L215" i="8"/>
  <c r="L222" i="8"/>
  <c r="L208" i="8"/>
  <c r="BG35" i="45"/>
  <c r="BJ35" i="45" s="1"/>
  <c r="N82" i="48" s="1"/>
  <c r="BC35" i="45"/>
  <c r="BD35" i="45"/>
  <c r="BG21" i="45"/>
  <c r="BJ21" i="45" s="1"/>
  <c r="N54" i="48" s="1"/>
  <c r="BC21" i="45"/>
  <c r="BD21" i="45"/>
  <c r="BX17" i="74"/>
  <c r="M23" i="73"/>
  <c r="M50" i="73"/>
  <c r="BX44" i="74"/>
  <c r="M48" i="73"/>
  <c r="BX42" i="74"/>
  <c r="M25" i="73"/>
  <c r="M47" i="73"/>
  <c r="M37" i="73"/>
  <c r="BX31" i="74"/>
  <c r="BX25" i="74"/>
  <c r="M31" i="73"/>
  <c r="M35" i="73"/>
  <c r="M27" i="73"/>
  <c r="BX21" i="74"/>
  <c r="M21" i="73"/>
  <c r="M19" i="73"/>
  <c r="M22" i="73"/>
  <c r="M41" i="73"/>
  <c r="BX35" i="74"/>
  <c r="BX18" i="74"/>
  <c r="M24" i="73"/>
  <c r="M20" i="73"/>
  <c r="BX14" i="74"/>
  <c r="BX45" i="74"/>
  <c r="M51" i="73"/>
  <c r="M43" i="73"/>
  <c r="M36" i="73"/>
  <c r="BX33" i="74"/>
  <c r="M39" i="73"/>
  <c r="M33" i="73"/>
  <c r="BX27" i="74"/>
  <c r="BS42" i="74"/>
  <c r="BS19" i="74"/>
  <c r="BS41" i="74"/>
  <c r="BS31" i="74"/>
  <c r="BS29" i="74"/>
  <c r="BC10" i="74"/>
  <c r="BS24" i="74"/>
  <c r="BS34" i="74"/>
  <c r="BK20" i="74"/>
  <c r="BS44" i="74"/>
  <c r="BS15" i="74"/>
  <c r="BC8" i="74"/>
  <c r="BC9" i="74"/>
  <c r="BS13" i="74"/>
  <c r="BC12" i="74"/>
  <c r="BS46" i="74"/>
  <c r="BS16" i="74"/>
  <c r="BK38" i="74"/>
  <c r="BS35" i="74"/>
  <c r="BK32" i="74"/>
  <c r="BS18" i="74"/>
  <c r="BS14" i="74"/>
  <c r="BK36" i="74"/>
  <c r="BS23" i="74"/>
  <c r="BS39" i="74"/>
  <c r="BS25" i="74"/>
  <c r="BC11" i="74"/>
  <c r="BS17" i="74"/>
  <c r="BK22" i="74"/>
  <c r="BS21" i="74"/>
  <c r="BS45" i="74"/>
  <c r="BK26" i="74"/>
  <c r="BK40" i="74"/>
  <c r="BS37" i="74"/>
  <c r="BS30" i="74"/>
  <c r="BS43" i="74"/>
  <c r="BK28" i="74"/>
  <c r="BS33" i="74"/>
  <c r="BS27" i="74"/>
  <c r="N45" i="11"/>
  <c r="N102" i="11"/>
  <c r="N216" i="11"/>
  <c r="N159" i="11"/>
  <c r="M41" i="45"/>
  <c r="N51" i="11"/>
  <c r="N108" i="11"/>
  <c r="N222" i="11"/>
  <c r="N165" i="11"/>
  <c r="M47" i="45"/>
  <c r="N41" i="11"/>
  <c r="N98" i="11"/>
  <c r="N212" i="11"/>
  <c r="N155" i="11"/>
  <c r="M37" i="45"/>
  <c r="BV15" i="74"/>
  <c r="BT15" i="74"/>
  <c r="BV17" i="74"/>
  <c r="BT17" i="74"/>
  <c r="BD7" i="74"/>
  <c r="BG7" i="74"/>
  <c r="BJ7" i="74" s="1"/>
  <c r="BK7" i="74" s="1"/>
  <c r="BV42" i="74"/>
  <c r="BT42" i="74"/>
  <c r="BO22" i="74"/>
  <c r="BR22" i="74" s="1"/>
  <c r="BU22" i="74" s="1"/>
  <c r="BL22" i="74"/>
  <c r="BD9" i="74"/>
  <c r="BG9" i="74"/>
  <c r="BJ9" i="74" s="1"/>
  <c r="BT30" i="74"/>
  <c r="BV30" i="74"/>
  <c r="BV13" i="74"/>
  <c r="BT13" i="74"/>
  <c r="BG12" i="74"/>
  <c r="BJ12" i="74" s="1"/>
  <c r="BD12" i="74"/>
  <c r="BV41" i="74"/>
  <c r="BT41" i="74"/>
  <c r="BT39" i="74"/>
  <c r="BV39" i="74"/>
  <c r="BV46" i="74"/>
  <c r="BT46" i="74"/>
  <c r="BV31" i="74"/>
  <c r="BT31" i="74"/>
  <c r="BO26" i="74"/>
  <c r="BR26" i="74" s="1"/>
  <c r="BU26" i="74" s="1"/>
  <c r="BL26" i="74"/>
  <c r="BV34" i="74"/>
  <c r="BT34" i="74"/>
  <c r="BT25" i="74"/>
  <c r="BV25" i="74"/>
  <c r="BT29" i="74"/>
  <c r="BV29" i="74"/>
  <c r="BO20" i="74"/>
  <c r="BR20" i="74" s="1"/>
  <c r="BU20" i="74" s="1"/>
  <c r="BL20" i="74"/>
  <c r="BD11" i="74"/>
  <c r="BG11" i="74"/>
  <c r="BJ11" i="74" s="1"/>
  <c r="N28" i="11"/>
  <c r="N85" i="11"/>
  <c r="N199" i="11"/>
  <c r="N142" i="11"/>
  <c r="M24" i="45"/>
  <c r="M44" i="45"/>
  <c r="N48" i="11"/>
  <c r="N105" i="11"/>
  <c r="N219" i="11"/>
  <c r="N162" i="11"/>
  <c r="N37" i="11"/>
  <c r="N94" i="11"/>
  <c r="N208" i="11"/>
  <c r="N151" i="11"/>
  <c r="M33" i="45"/>
  <c r="N34" i="11"/>
  <c r="N91" i="11"/>
  <c r="N205" i="11"/>
  <c r="N148" i="11"/>
  <c r="M30" i="45"/>
  <c r="N23" i="11"/>
  <c r="N80" i="11"/>
  <c r="N194" i="11"/>
  <c r="N137" i="11"/>
  <c r="M19" i="45"/>
  <c r="N24" i="11"/>
  <c r="N81" i="11"/>
  <c r="N195" i="11"/>
  <c r="N138" i="11"/>
  <c r="M20" i="45"/>
  <c r="N49" i="11"/>
  <c r="N106" i="11"/>
  <c r="N220" i="11"/>
  <c r="N163" i="11"/>
  <c r="M45" i="45"/>
  <c r="N47" i="11"/>
  <c r="N104" i="11"/>
  <c r="N218" i="11"/>
  <c r="N161" i="11"/>
  <c r="M43" i="45"/>
  <c r="M38" i="45"/>
  <c r="N42" i="11"/>
  <c r="N99" i="11"/>
  <c r="N213" i="11"/>
  <c r="N156" i="11"/>
  <c r="M18" i="45"/>
  <c r="N22" i="11"/>
  <c r="N79" i="11"/>
  <c r="N193" i="11"/>
  <c r="N136" i="11"/>
  <c r="N21" i="11"/>
  <c r="N78" i="11"/>
  <c r="N192" i="11"/>
  <c r="N135" i="11"/>
  <c r="M17" i="45"/>
  <c r="BG8" i="74"/>
  <c r="BJ8" i="74" s="1"/>
  <c r="BD8" i="74"/>
  <c r="BO40" i="74"/>
  <c r="BR40" i="74" s="1"/>
  <c r="BU40" i="74" s="1"/>
  <c r="BL40" i="74"/>
  <c r="BV23" i="74"/>
  <c r="BT23" i="74"/>
  <c r="BV37" i="74"/>
  <c r="BT37" i="74"/>
  <c r="BV19" i="74"/>
  <c r="BT19" i="74"/>
  <c r="BV43" i="74"/>
  <c r="BT43" i="74"/>
  <c r="BD10" i="74"/>
  <c r="BG10" i="74"/>
  <c r="BJ10" i="74" s="1"/>
  <c r="BL28" i="74"/>
  <c r="BO28" i="74"/>
  <c r="BR28" i="74" s="1"/>
  <c r="BU28" i="74" s="1"/>
  <c r="BV33" i="74"/>
  <c r="BT33" i="74"/>
  <c r="BV21" i="74"/>
  <c r="BT21" i="74"/>
  <c r="BT24" i="74"/>
  <c r="BV24" i="74"/>
  <c r="BV16" i="74"/>
  <c r="BT16" i="74"/>
  <c r="BT45" i="74"/>
  <c r="BV45" i="74"/>
  <c r="BT27" i="74"/>
  <c r="BV27" i="74"/>
  <c r="BO38" i="74"/>
  <c r="BR38" i="74" s="1"/>
  <c r="BU38" i="74" s="1"/>
  <c r="BL38" i="74"/>
  <c r="BV35" i="74"/>
  <c r="BT35" i="74"/>
  <c r="BL32" i="74"/>
  <c r="BO32" i="74"/>
  <c r="BR32" i="74" s="1"/>
  <c r="BU32" i="74" s="1"/>
  <c r="BV18" i="74"/>
  <c r="BT18" i="74"/>
  <c r="BV14" i="74"/>
  <c r="BT14" i="74"/>
  <c r="BL36" i="74"/>
  <c r="BO36" i="74"/>
  <c r="BR36" i="74" s="1"/>
  <c r="BU36" i="74" s="1"/>
  <c r="BV44" i="74"/>
  <c r="BT44" i="74"/>
  <c r="BW216" i="11"/>
  <c r="AT159" i="11"/>
  <c r="AT102" i="11"/>
  <c r="AV216" i="11"/>
  <c r="AE102" i="11"/>
  <c r="AQ102" i="11" s="1"/>
  <c r="AC159" i="11"/>
  <c r="BW219" i="11"/>
  <c r="AT162" i="11"/>
  <c r="AT105" i="11"/>
  <c r="AV219" i="11"/>
  <c r="BF219" i="11" s="1"/>
  <c r="AE105" i="11"/>
  <c r="AQ105" i="11" s="1"/>
  <c r="AC162" i="11"/>
  <c r="BW212" i="11"/>
  <c r="AT155" i="11"/>
  <c r="AT98" i="11"/>
  <c r="AV212" i="11"/>
  <c r="BF212" i="11" s="1"/>
  <c r="AE98" i="11"/>
  <c r="AQ98" i="11" s="1"/>
  <c r="AC155" i="11"/>
  <c r="BW194" i="11"/>
  <c r="AT137" i="11"/>
  <c r="AT80" i="11"/>
  <c r="AV194" i="11"/>
  <c r="AE80" i="11"/>
  <c r="AQ80" i="11" s="1"/>
  <c r="AC137" i="11"/>
  <c r="BW192" i="11"/>
  <c r="AT135" i="11"/>
  <c r="AT78" i="11"/>
  <c r="AV192" i="11"/>
  <c r="AE78" i="11"/>
  <c r="AQ78" i="11" s="1"/>
  <c r="AC135" i="11"/>
  <c r="BW199" i="11"/>
  <c r="AT142" i="11"/>
  <c r="AT85" i="11"/>
  <c r="AV199" i="11"/>
  <c r="AE85" i="11"/>
  <c r="AQ85" i="11" s="1"/>
  <c r="AC142" i="11"/>
  <c r="BW222" i="11"/>
  <c r="AT165" i="11"/>
  <c r="AT108" i="11"/>
  <c r="AV222" i="11"/>
  <c r="BF222" i="11" s="1"/>
  <c r="AE108" i="11"/>
  <c r="AQ108" i="11" s="1"/>
  <c r="AC165" i="11"/>
  <c r="BW208" i="11"/>
  <c r="AT94" i="11"/>
  <c r="AT151" i="11"/>
  <c r="AV208" i="11"/>
  <c r="BF208" i="11" s="1"/>
  <c r="AE94" i="11"/>
  <c r="AQ94" i="11" s="1"/>
  <c r="AC151" i="11"/>
  <c r="BW205" i="11"/>
  <c r="AT148" i="11"/>
  <c r="AT91" i="11"/>
  <c r="AV205" i="11"/>
  <c r="AE91" i="11"/>
  <c r="AQ91" i="11" s="1"/>
  <c r="AC148" i="11"/>
  <c r="BW195" i="11"/>
  <c r="AT138" i="11"/>
  <c r="AT81" i="11"/>
  <c r="AV195" i="11"/>
  <c r="AE81" i="11"/>
  <c r="AQ81" i="11" s="1"/>
  <c r="AC138" i="11"/>
  <c r="BW220" i="11"/>
  <c r="AT106" i="11"/>
  <c r="AT163" i="11"/>
  <c r="AV220" i="11"/>
  <c r="BF220" i="11" s="1"/>
  <c r="AE106" i="11"/>
  <c r="AQ106" i="11" s="1"/>
  <c r="AC163" i="11"/>
  <c r="BW218" i="11"/>
  <c r="AT104" i="11"/>
  <c r="AT161" i="11"/>
  <c r="AV218" i="11"/>
  <c r="AE104" i="11"/>
  <c r="AQ104" i="11" s="1"/>
  <c r="AC161" i="11"/>
  <c r="BW213" i="11"/>
  <c r="AT99" i="11"/>
  <c r="AT156" i="11"/>
  <c r="AV213" i="11"/>
  <c r="AE99" i="11"/>
  <c r="AQ99" i="11" s="1"/>
  <c r="AC156" i="11"/>
  <c r="AT136" i="11"/>
  <c r="BW193" i="11"/>
  <c r="AT79" i="11"/>
  <c r="AV193" i="11"/>
  <c r="BF193" i="11" s="1"/>
  <c r="AE79" i="11"/>
  <c r="AQ79" i="11" s="1"/>
  <c r="AC136" i="11"/>
  <c r="AT45" i="11"/>
  <c r="AE45" i="11"/>
  <c r="AT48" i="11"/>
  <c r="AE48" i="11"/>
  <c r="AQ48" i="11" s="1"/>
  <c r="AT41" i="11"/>
  <c r="AE41" i="11"/>
  <c r="AQ41" i="11" s="1"/>
  <c r="AT23" i="11"/>
  <c r="AE23" i="11"/>
  <c r="AQ23" i="11" s="1"/>
  <c r="AT21" i="11"/>
  <c r="AE21" i="11"/>
  <c r="AT28" i="11"/>
  <c r="AE28" i="11"/>
  <c r="AT51" i="11"/>
  <c r="AE51" i="11"/>
  <c r="AQ51" i="11" s="1"/>
  <c r="AT37" i="11"/>
  <c r="AE37" i="11"/>
  <c r="AQ37" i="11" s="1"/>
  <c r="AT34" i="11"/>
  <c r="AE34" i="11"/>
  <c r="AT24" i="11"/>
  <c r="AE24" i="11"/>
  <c r="AT49" i="11"/>
  <c r="AE49" i="11"/>
  <c r="AQ49" i="11" s="1"/>
  <c r="AT47" i="11"/>
  <c r="AE47" i="11"/>
  <c r="AT42" i="11"/>
  <c r="AE42" i="11"/>
  <c r="AT22" i="11"/>
  <c r="AE22" i="11"/>
  <c r="AQ22" i="11" s="1"/>
  <c r="R170" i="8"/>
  <c r="Y170" i="8" s="1"/>
  <c r="R193" i="8"/>
  <c r="R179" i="8"/>
  <c r="Y179" i="8" s="1"/>
  <c r="R176" i="8"/>
  <c r="Y176" i="8" s="1"/>
  <c r="R187" i="8"/>
  <c r="Y187" i="8" s="1"/>
  <c r="R190" i="8"/>
  <c r="Y190" i="8" s="1"/>
  <c r="R183" i="8"/>
  <c r="Y183" i="8" s="1"/>
  <c r="R165" i="8"/>
  <c r="Y165" i="8" s="1"/>
  <c r="R163" i="8"/>
  <c r="Y163" i="8" s="1"/>
  <c r="R166" i="8"/>
  <c r="Y166" i="8" s="1"/>
  <c r="R191" i="8"/>
  <c r="Y191" i="8" s="1"/>
  <c r="R189" i="8"/>
  <c r="Y189" i="8" s="1"/>
  <c r="R184" i="8"/>
  <c r="Y184" i="8" s="1"/>
  <c r="R164" i="8"/>
  <c r="Y164" i="8" s="1"/>
  <c r="L141" i="8"/>
  <c r="L192" i="8" s="1"/>
  <c r="O192" i="8" s="1"/>
  <c r="F221" i="7"/>
  <c r="E262" i="7" s="1"/>
  <c r="F262" i="7" s="1"/>
  <c r="AX15" i="8" s="1"/>
  <c r="F222" i="7"/>
  <c r="E263" i="7" s="1"/>
  <c r="F263" i="7" s="1"/>
  <c r="AX16" i="8" s="1"/>
  <c r="F223" i="7"/>
  <c r="E264" i="7" s="1"/>
  <c r="F264" i="7" s="1"/>
  <c r="AX17" i="8" s="1"/>
  <c r="AR255" i="31"/>
  <c r="AS255" i="31"/>
  <c r="AX255" i="31"/>
  <c r="AY255" i="31"/>
  <c r="BB255" i="31"/>
  <c r="BC255" i="31"/>
  <c r="BD255" i="31"/>
  <c r="BE255" i="31"/>
  <c r="BF255" i="31"/>
  <c r="BI255" i="31"/>
  <c r="BJ255" i="31"/>
  <c r="BK255" i="31"/>
  <c r="BL255" i="31"/>
  <c r="BM255" i="31"/>
  <c r="N270" i="31"/>
  <c r="M270" i="31"/>
  <c r="I270" i="31" s="1"/>
  <c r="N268" i="31"/>
  <c r="M268" i="31"/>
  <c r="I268" i="31" s="1"/>
  <c r="N266" i="31"/>
  <c r="M266" i="31"/>
  <c r="I266" i="31" s="1"/>
  <c r="N264" i="31"/>
  <c r="M264" i="31"/>
  <c r="I264" i="31" s="1"/>
  <c r="N262" i="31"/>
  <c r="M262" i="31"/>
  <c r="I262" i="31" s="1"/>
  <c r="N260" i="31"/>
  <c r="M260" i="31"/>
  <c r="I260" i="31" s="1"/>
  <c r="N258" i="31"/>
  <c r="M258" i="31"/>
  <c r="I258" i="31" s="1"/>
  <c r="N256" i="31"/>
  <c r="M256" i="31"/>
  <c r="I256" i="31" s="1"/>
  <c r="L253" i="31"/>
  <c r="N253" i="31" s="1"/>
  <c r="L251" i="31"/>
  <c r="N251" i="31" s="1"/>
  <c r="L249" i="31"/>
  <c r="N249" i="31" s="1"/>
  <c r="L247" i="31"/>
  <c r="N247" i="31" s="1"/>
  <c r="L245" i="31"/>
  <c r="N245" i="31" s="1"/>
  <c r="L243" i="31"/>
  <c r="N243" i="31" s="1"/>
  <c r="L239" i="31"/>
  <c r="N239" i="31" s="1"/>
  <c r="L237" i="31"/>
  <c r="N237" i="31" s="1"/>
  <c r="L235" i="31"/>
  <c r="N235" i="31" s="1"/>
  <c r="L233" i="31"/>
  <c r="N233" i="31" s="1"/>
  <c r="L231" i="31"/>
  <c r="N231" i="31" s="1"/>
  <c r="L229" i="31"/>
  <c r="N229" i="31" s="1"/>
  <c r="L225" i="31"/>
  <c r="N225" i="31" s="1"/>
  <c r="L223" i="31"/>
  <c r="N223" i="31" s="1"/>
  <c r="L221" i="31"/>
  <c r="N221" i="31" s="1"/>
  <c r="L219" i="31"/>
  <c r="N219" i="31" s="1"/>
  <c r="L213" i="31"/>
  <c r="N213" i="31" s="1"/>
  <c r="L211" i="31"/>
  <c r="N211" i="31" s="1"/>
  <c r="L209" i="31"/>
  <c r="N209" i="31" s="1"/>
  <c r="L207" i="31"/>
  <c r="N207" i="31" s="1"/>
  <c r="L205" i="31"/>
  <c r="N205" i="31" s="1"/>
  <c r="L203" i="31"/>
  <c r="N203" i="31" s="1"/>
  <c r="L201" i="31"/>
  <c r="N201" i="31" s="1"/>
  <c r="L197" i="31"/>
  <c r="N197" i="31" s="1"/>
  <c r="L195" i="31"/>
  <c r="N195" i="31" s="1"/>
  <c r="L193" i="31"/>
  <c r="N193" i="31" s="1"/>
  <c r="L191" i="31"/>
  <c r="N191" i="31" s="1"/>
  <c r="L189" i="31"/>
  <c r="N189" i="31" s="1"/>
  <c r="J488" i="8"/>
  <c r="F6" i="73" s="1"/>
  <c r="F490" i="8"/>
  <c r="E358" i="7"/>
  <c r="F73" i="23" s="1"/>
  <c r="E235" i="7"/>
  <c r="F32" i="23" s="1"/>
  <c r="E206" i="10"/>
  <c r="E193" i="10"/>
  <c r="BV47" i="74" l="1"/>
  <c r="BT47" i="74"/>
  <c r="BS47" i="74"/>
  <c r="BX47" i="74"/>
  <c r="M224" i="73"/>
  <c r="M53" i="73"/>
  <c r="M156" i="73"/>
  <c r="M213" i="73"/>
  <c r="M197" i="73"/>
  <c r="M140" i="73"/>
  <c r="M160" i="73"/>
  <c r="M217" i="73"/>
  <c r="M148" i="73"/>
  <c r="M205" i="73"/>
  <c r="M199" i="73"/>
  <c r="M142" i="73"/>
  <c r="M215" i="73"/>
  <c r="M158" i="73"/>
  <c r="M152" i="73"/>
  <c r="M209" i="73"/>
  <c r="M203" i="73"/>
  <c r="M146" i="73"/>
  <c r="J94" i="60"/>
  <c r="J45" i="96"/>
  <c r="I49" i="68"/>
  <c r="J32" i="96"/>
  <c r="J81" i="60"/>
  <c r="I36" i="68"/>
  <c r="J92" i="60"/>
  <c r="J43" i="96"/>
  <c r="I47" i="68"/>
  <c r="J70" i="60"/>
  <c r="J21" i="96"/>
  <c r="I25" i="68"/>
  <c r="J26" i="96"/>
  <c r="J75" i="60"/>
  <c r="I30" i="68"/>
  <c r="J49" i="96"/>
  <c r="J98" i="60"/>
  <c r="I53" i="68"/>
  <c r="J89" i="60"/>
  <c r="J40" i="96"/>
  <c r="I44" i="68"/>
  <c r="J22" i="96"/>
  <c r="J71" i="60"/>
  <c r="I26" i="68"/>
  <c r="J88" i="60"/>
  <c r="J39" i="96"/>
  <c r="I43" i="68"/>
  <c r="J68" i="60"/>
  <c r="J19" i="96"/>
  <c r="I23" i="68"/>
  <c r="J20" i="96"/>
  <c r="J69" i="60"/>
  <c r="I24" i="68"/>
  <c r="J96" i="60"/>
  <c r="J47" i="96"/>
  <c r="I51" i="68"/>
  <c r="J84" i="60"/>
  <c r="J35" i="96"/>
  <c r="I39" i="68"/>
  <c r="J46" i="96"/>
  <c r="J95" i="60"/>
  <c r="I50" i="68"/>
  <c r="BK35" i="45"/>
  <c r="M44" i="73"/>
  <c r="M34" i="73"/>
  <c r="P264" i="7"/>
  <c r="J264" i="7"/>
  <c r="M264" i="7"/>
  <c r="P262" i="7"/>
  <c r="J262" i="7"/>
  <c r="M262" i="7"/>
  <c r="M263" i="7"/>
  <c r="P263" i="7"/>
  <c r="J263" i="7"/>
  <c r="BO35" i="45"/>
  <c r="BR35" i="45" s="1"/>
  <c r="BV35" i="45" s="1"/>
  <c r="BK21" i="45"/>
  <c r="BL35" i="45"/>
  <c r="BL21" i="45"/>
  <c r="BO21" i="45"/>
  <c r="BR21" i="45" s="1"/>
  <c r="BV21" i="45" s="1"/>
  <c r="BX22" i="74"/>
  <c r="M28" i="73"/>
  <c r="M26" i="73"/>
  <c r="M32" i="73"/>
  <c r="M46" i="73"/>
  <c r="M42" i="73"/>
  <c r="M38" i="73"/>
  <c r="BX32" i="74"/>
  <c r="BS28" i="74"/>
  <c r="BK11" i="74"/>
  <c r="BK12" i="74"/>
  <c r="BS22" i="74"/>
  <c r="BS40" i="74"/>
  <c r="BK9" i="74"/>
  <c r="BS36" i="74"/>
  <c r="BS32" i="74"/>
  <c r="BK10" i="74"/>
  <c r="BS38" i="74"/>
  <c r="BK8" i="74"/>
  <c r="BS20" i="74"/>
  <c r="BS26" i="74"/>
  <c r="AP22" i="11"/>
  <c r="AG22" i="11"/>
  <c r="AI22" i="11" s="1"/>
  <c r="AH22" i="11"/>
  <c r="AJ22" i="11" s="1"/>
  <c r="AJ42" i="11"/>
  <c r="AG42" i="11"/>
  <c r="AI42" i="11" s="1"/>
  <c r="AH42" i="11"/>
  <c r="AH47" i="11"/>
  <c r="AJ47" i="11" s="1"/>
  <c r="AG47" i="11"/>
  <c r="AI47" i="11" s="1"/>
  <c r="AP49" i="11"/>
  <c r="AH49" i="11"/>
  <c r="AJ49" i="11" s="1"/>
  <c r="AG49" i="11"/>
  <c r="AI49" i="11" s="1"/>
  <c r="AH24" i="11"/>
  <c r="AJ24" i="11" s="1"/>
  <c r="AG24" i="11"/>
  <c r="AI24" i="11" s="1"/>
  <c r="AG34" i="11"/>
  <c r="AI34" i="11" s="1"/>
  <c r="AH34" i="11"/>
  <c r="AJ34" i="11" s="1"/>
  <c r="AP37" i="11"/>
  <c r="AG37" i="11"/>
  <c r="AI37" i="11" s="1"/>
  <c r="AH37" i="11"/>
  <c r="AJ37" i="11" s="1"/>
  <c r="AP51" i="11"/>
  <c r="AJ51" i="11"/>
  <c r="AG51" i="11"/>
  <c r="AI51" i="11" s="1"/>
  <c r="AH51" i="11"/>
  <c r="AG28" i="11"/>
  <c r="AI28" i="11" s="1"/>
  <c r="AH28" i="11"/>
  <c r="AJ28" i="11" s="1"/>
  <c r="AG21" i="11"/>
  <c r="AI21" i="11" s="1"/>
  <c r="AH21" i="11"/>
  <c r="AJ21" i="11" s="1"/>
  <c r="AP23" i="11"/>
  <c r="AG23" i="11"/>
  <c r="AI23" i="11" s="1"/>
  <c r="AH23" i="11"/>
  <c r="AJ23" i="11" s="1"/>
  <c r="AP41" i="11"/>
  <c r="AH41" i="11"/>
  <c r="AJ41" i="11" s="1"/>
  <c r="AG41" i="11"/>
  <c r="AI41" i="11" s="1"/>
  <c r="AP48" i="11"/>
  <c r="AJ48" i="11"/>
  <c r="AG48" i="11"/>
  <c r="AI48" i="11" s="1"/>
  <c r="AH48" i="11"/>
  <c r="AG45" i="11"/>
  <c r="AI45" i="11" s="1"/>
  <c r="AH45" i="11"/>
  <c r="AJ45" i="11" s="1"/>
  <c r="AP79" i="11"/>
  <c r="AH79" i="11"/>
  <c r="AJ79" i="11" s="1"/>
  <c r="AG79" i="11"/>
  <c r="AI79" i="11" s="1"/>
  <c r="AP99" i="11"/>
  <c r="AH99" i="11"/>
  <c r="AJ99" i="11" s="1"/>
  <c r="AG99" i="11"/>
  <c r="AI99" i="11" s="1"/>
  <c r="AP104" i="11"/>
  <c r="AH104" i="11"/>
  <c r="AJ104" i="11" s="1"/>
  <c r="AG104" i="11"/>
  <c r="AI104" i="11" s="1"/>
  <c r="AP106" i="11"/>
  <c r="AG106" i="11"/>
  <c r="AI106" i="11" s="1"/>
  <c r="AH106" i="11"/>
  <c r="AJ106" i="11" s="1"/>
  <c r="AP81" i="11"/>
  <c r="AG81" i="11"/>
  <c r="AI81" i="11" s="1"/>
  <c r="AH81" i="11"/>
  <c r="AJ81" i="11" s="1"/>
  <c r="AP91" i="11"/>
  <c r="AG91" i="11"/>
  <c r="AI91" i="11" s="1"/>
  <c r="AH91" i="11"/>
  <c r="AJ91" i="11" s="1"/>
  <c r="AP94" i="11"/>
  <c r="AG94" i="11"/>
  <c r="AI94" i="11" s="1"/>
  <c r="AH94" i="11"/>
  <c r="AJ94" i="11" s="1"/>
  <c r="AH108" i="11"/>
  <c r="AP108" i="11"/>
  <c r="AJ108" i="11"/>
  <c r="AG108" i="11"/>
  <c r="AI108" i="11" s="1"/>
  <c r="AP85" i="11"/>
  <c r="AH85" i="11"/>
  <c r="AJ85" i="11" s="1"/>
  <c r="AG85" i="11"/>
  <c r="AI85" i="11" s="1"/>
  <c r="AP78" i="11"/>
  <c r="AG78" i="11"/>
  <c r="AI78" i="11" s="1"/>
  <c r="AH78" i="11"/>
  <c r="AJ78" i="11" s="1"/>
  <c r="AP80" i="11"/>
  <c r="AG80" i="11"/>
  <c r="AI80" i="11" s="1"/>
  <c r="AH80" i="11"/>
  <c r="AJ80" i="11" s="1"/>
  <c r="AP98" i="11"/>
  <c r="AH98" i="11"/>
  <c r="AJ98" i="11" s="1"/>
  <c r="AG98" i="11"/>
  <c r="AI98" i="11" s="1"/>
  <c r="AP105" i="11"/>
  <c r="AG105" i="11"/>
  <c r="AI105" i="11" s="1"/>
  <c r="AJ105" i="11"/>
  <c r="AH105" i="11"/>
  <c r="AP102" i="11"/>
  <c r="AG102" i="11"/>
  <c r="AI102" i="11" s="1"/>
  <c r="AH102" i="11"/>
  <c r="AJ102" i="11" s="1"/>
  <c r="AF136" i="11"/>
  <c r="AH136" i="11" s="1"/>
  <c r="AE136" i="11"/>
  <c r="AG136" i="11" s="1"/>
  <c r="BE193" i="11"/>
  <c r="AW193" i="11"/>
  <c r="AY193" i="11" s="1"/>
  <c r="AX193" i="11"/>
  <c r="AZ193" i="11" s="1"/>
  <c r="AH156" i="11"/>
  <c r="AF156" i="11"/>
  <c r="AE156" i="11"/>
  <c r="AG156" i="11" s="1"/>
  <c r="AZ213" i="11"/>
  <c r="AW213" i="11"/>
  <c r="AY213" i="11" s="1"/>
  <c r="AX213" i="11"/>
  <c r="AF161" i="11"/>
  <c r="AH161" i="11" s="1"/>
  <c r="AE161" i="11"/>
  <c r="AG161" i="11" s="1"/>
  <c r="AX218" i="11"/>
  <c r="AZ218" i="11" s="1"/>
  <c r="AW218" i="11"/>
  <c r="AY218" i="11" s="1"/>
  <c r="AF163" i="11"/>
  <c r="AH163" i="11" s="1"/>
  <c r="AE163" i="11"/>
  <c r="AG163" i="11" s="1"/>
  <c r="BE220" i="11"/>
  <c r="AW220" i="11"/>
  <c r="AY220" i="11" s="1"/>
  <c r="AX220" i="11"/>
  <c r="AZ220" i="11" s="1"/>
  <c r="AF138" i="11"/>
  <c r="AH138" i="11" s="1"/>
  <c r="AE138" i="11"/>
  <c r="AG138" i="11" s="1"/>
  <c r="AW195" i="11"/>
  <c r="AY195" i="11" s="1"/>
  <c r="AX195" i="11"/>
  <c r="AZ195" i="11" s="1"/>
  <c r="AF148" i="11"/>
  <c r="AH148" i="11" s="1"/>
  <c r="AE148" i="11"/>
  <c r="AG148" i="11" s="1"/>
  <c r="AX205" i="11"/>
  <c r="AZ205" i="11" s="1"/>
  <c r="AW205" i="11"/>
  <c r="AY205" i="11" s="1"/>
  <c r="AF151" i="11"/>
  <c r="AH151" i="11" s="1"/>
  <c r="AE151" i="11"/>
  <c r="AG151" i="11" s="1"/>
  <c r="AX208" i="11"/>
  <c r="AZ208" i="11" s="1"/>
  <c r="AW208" i="11"/>
  <c r="AY208" i="11" s="1"/>
  <c r="AH165" i="11"/>
  <c r="AF165" i="11"/>
  <c r="AE165" i="11"/>
  <c r="AG165" i="11" s="1"/>
  <c r="BE222" i="11"/>
  <c r="AZ222" i="11"/>
  <c r="AX222" i="11"/>
  <c r="AW222" i="11"/>
  <c r="AY222" i="11" s="1"/>
  <c r="AF142" i="11"/>
  <c r="AH142" i="11" s="1"/>
  <c r="AE142" i="11"/>
  <c r="AG142" i="11" s="1"/>
  <c r="AZ199" i="11"/>
  <c r="AW199" i="11"/>
  <c r="AY199" i="11" s="1"/>
  <c r="AX199" i="11"/>
  <c r="AF135" i="11"/>
  <c r="AH135" i="11" s="1"/>
  <c r="AE135" i="11"/>
  <c r="AG135" i="11" s="1"/>
  <c r="AX192" i="11"/>
  <c r="AZ192" i="11" s="1"/>
  <c r="AW192" i="11"/>
  <c r="AY192" i="11" s="1"/>
  <c r="AF137" i="11"/>
  <c r="AH137" i="11" s="1"/>
  <c r="AE137" i="11"/>
  <c r="AG137" i="11" s="1"/>
  <c r="AX194" i="11"/>
  <c r="AZ194" i="11" s="1"/>
  <c r="AW194" i="11"/>
  <c r="AY194" i="11" s="1"/>
  <c r="AF155" i="11"/>
  <c r="AH155" i="11" s="1"/>
  <c r="AE155" i="11"/>
  <c r="AG155" i="11" s="1"/>
  <c r="BE212" i="11"/>
  <c r="AX212" i="11"/>
  <c r="AZ212" i="11" s="1"/>
  <c r="AW212" i="11"/>
  <c r="AY212" i="11" s="1"/>
  <c r="AH162" i="11"/>
  <c r="AF162" i="11"/>
  <c r="AE162" i="11"/>
  <c r="AG162" i="11" s="1"/>
  <c r="AZ219" i="11"/>
  <c r="BE219" i="11"/>
  <c r="AW219" i="11"/>
  <c r="AY219" i="11" s="1"/>
  <c r="AX219" i="11"/>
  <c r="AF159" i="11"/>
  <c r="AH159" i="11" s="1"/>
  <c r="AE159" i="11"/>
  <c r="AG159" i="11" s="1"/>
  <c r="AW216" i="11"/>
  <c r="AY216" i="11" s="1"/>
  <c r="AX216" i="11"/>
  <c r="AZ216" i="11" s="1"/>
  <c r="M46" i="45"/>
  <c r="N50" i="11"/>
  <c r="N107" i="11"/>
  <c r="N221" i="11"/>
  <c r="N164" i="11"/>
  <c r="BV28" i="74"/>
  <c r="BT28" i="74"/>
  <c r="BT20" i="74"/>
  <c r="BV20" i="74"/>
  <c r="BV26" i="74"/>
  <c r="BT26" i="74"/>
  <c r="BL12" i="74"/>
  <c r="BO12" i="74"/>
  <c r="BR12" i="74" s="1"/>
  <c r="BU12" i="74" s="1"/>
  <c r="BO9" i="74"/>
  <c r="BR9" i="74" s="1"/>
  <c r="BU9" i="74" s="1"/>
  <c r="BL9" i="74"/>
  <c r="BL7" i="74"/>
  <c r="BO7" i="74"/>
  <c r="BR7" i="74" s="1"/>
  <c r="BV36" i="74"/>
  <c r="BT36" i="74"/>
  <c r="BT32" i="74"/>
  <c r="BV32" i="74"/>
  <c r="BT38" i="74"/>
  <c r="BV38" i="74"/>
  <c r="BO10" i="74"/>
  <c r="BR10" i="74" s="1"/>
  <c r="BU10" i="74" s="1"/>
  <c r="BL10" i="74"/>
  <c r="BV40" i="74"/>
  <c r="BT40" i="74"/>
  <c r="BO8" i="74"/>
  <c r="BR8" i="74" s="1"/>
  <c r="BU8" i="74" s="1"/>
  <c r="BL8" i="74"/>
  <c r="BO11" i="74"/>
  <c r="BR11" i="74" s="1"/>
  <c r="BU11" i="74" s="1"/>
  <c r="BL11" i="74"/>
  <c r="BT22" i="74"/>
  <c r="BV22" i="74"/>
  <c r="AN79" i="11"/>
  <c r="AL79" i="11"/>
  <c r="AO79" i="11"/>
  <c r="AL99" i="11"/>
  <c r="AN99" i="11"/>
  <c r="AO99" i="11"/>
  <c r="AN104" i="11"/>
  <c r="AL104" i="11"/>
  <c r="AO104" i="11"/>
  <c r="AN106" i="11"/>
  <c r="AL106" i="11"/>
  <c r="AO106" i="11"/>
  <c r="AN81" i="11"/>
  <c r="AL81" i="11"/>
  <c r="AO81" i="11"/>
  <c r="AL91" i="11"/>
  <c r="AN91" i="11"/>
  <c r="AO91" i="11"/>
  <c r="AN94" i="11"/>
  <c r="AL94" i="11"/>
  <c r="AO94" i="11"/>
  <c r="AN108" i="11"/>
  <c r="AL108" i="11"/>
  <c r="AO108" i="11"/>
  <c r="AN85" i="11"/>
  <c r="AL85" i="11"/>
  <c r="AO85" i="11"/>
  <c r="AL78" i="11"/>
  <c r="AN78" i="11"/>
  <c r="AO78" i="11"/>
  <c r="AL80" i="11"/>
  <c r="AN80" i="11"/>
  <c r="AO80" i="11"/>
  <c r="AN98" i="11"/>
  <c r="AL98" i="11"/>
  <c r="AO98" i="11"/>
  <c r="AL105" i="11"/>
  <c r="AN105" i="11"/>
  <c r="AO105" i="11"/>
  <c r="AN102" i="11"/>
  <c r="AL102" i="11"/>
  <c r="AO102" i="11"/>
  <c r="BW221" i="11"/>
  <c r="AT164" i="11"/>
  <c r="AT107" i="11"/>
  <c r="AV221" i="11"/>
  <c r="AE107" i="11"/>
  <c r="AQ107" i="11" s="1"/>
  <c r="AC164" i="11"/>
  <c r="AJ136" i="11"/>
  <c r="AL136" i="11"/>
  <c r="AM136" i="11"/>
  <c r="BC193" i="11"/>
  <c r="BH193" i="11"/>
  <c r="BT193" i="11" s="1"/>
  <c r="BD193" i="11"/>
  <c r="BB193" i="11"/>
  <c r="BH213" i="11"/>
  <c r="BT213" i="11" s="1"/>
  <c r="BH218" i="11"/>
  <c r="BT218" i="11" s="1"/>
  <c r="AL163" i="11"/>
  <c r="AJ163" i="11"/>
  <c r="AM163" i="11"/>
  <c r="BB220" i="11"/>
  <c r="BH220" i="11"/>
  <c r="BT220" i="11" s="1"/>
  <c r="BD220" i="11"/>
  <c r="BC220" i="11"/>
  <c r="BH195" i="11"/>
  <c r="BH205" i="11"/>
  <c r="BT205" i="11" s="1"/>
  <c r="AM151" i="11"/>
  <c r="AJ151" i="11"/>
  <c r="BH208" i="11"/>
  <c r="BT208" i="11" s="1"/>
  <c r="AL165" i="11"/>
  <c r="AJ165" i="11"/>
  <c r="AM165" i="11"/>
  <c r="BC222" i="11"/>
  <c r="BH222" i="11"/>
  <c r="BT222" i="11" s="1"/>
  <c r="BD222" i="11"/>
  <c r="BB222" i="11"/>
  <c r="BH199" i="11"/>
  <c r="BH192" i="11"/>
  <c r="BT192" i="11" s="1"/>
  <c r="AJ137" i="11"/>
  <c r="AL137" i="11"/>
  <c r="AM137" i="11"/>
  <c r="BH194" i="11"/>
  <c r="BH212" i="11"/>
  <c r="BT212" i="11" s="1"/>
  <c r="AL155" i="11"/>
  <c r="AJ155" i="11"/>
  <c r="AM155" i="11"/>
  <c r="BC212" i="11"/>
  <c r="BD212" i="11"/>
  <c r="BB212" i="11"/>
  <c r="BH219" i="11"/>
  <c r="BT219" i="11" s="1"/>
  <c r="AL162" i="11"/>
  <c r="AJ162" i="11"/>
  <c r="AM162" i="11"/>
  <c r="BB219" i="11"/>
  <c r="BC219" i="11"/>
  <c r="BD219" i="11"/>
  <c r="BH216" i="11"/>
  <c r="BT216" i="11" s="1"/>
  <c r="AN22" i="11"/>
  <c r="AL22" i="11"/>
  <c r="AO22" i="11"/>
  <c r="AL49" i="11"/>
  <c r="AN49" i="11"/>
  <c r="AO49" i="11"/>
  <c r="AO37" i="11"/>
  <c r="AL37" i="11"/>
  <c r="AN37" i="11"/>
  <c r="AO51" i="11"/>
  <c r="AL51" i="11"/>
  <c r="AN51" i="11"/>
  <c r="AO23" i="11"/>
  <c r="AN23" i="11"/>
  <c r="AL23" i="11"/>
  <c r="AL41" i="11"/>
  <c r="AN41" i="11"/>
  <c r="AO41" i="11"/>
  <c r="AN48" i="11"/>
  <c r="AL48" i="11"/>
  <c r="AO48" i="11"/>
  <c r="AT50" i="11"/>
  <c r="AE50" i="11"/>
  <c r="R192" i="8"/>
  <c r="Y192" i="8" s="1"/>
  <c r="AW16" i="8"/>
  <c r="G19" i="23"/>
  <c r="AW17" i="8"/>
  <c r="G20" i="23"/>
  <c r="AW15" i="8"/>
  <c r="G18" i="23"/>
  <c r="O123" i="48"/>
  <c r="M123" i="48"/>
  <c r="K123" i="48"/>
  <c r="I123" i="48"/>
  <c r="G123" i="48"/>
  <c r="E123" i="48"/>
  <c r="C123" i="48"/>
  <c r="O121" i="48"/>
  <c r="M121" i="48"/>
  <c r="K121" i="48"/>
  <c r="I121" i="48"/>
  <c r="G121" i="48"/>
  <c r="E121" i="48"/>
  <c r="C121" i="48"/>
  <c r="O119" i="48"/>
  <c r="M119" i="48"/>
  <c r="K119" i="48"/>
  <c r="I119" i="48"/>
  <c r="G119" i="48"/>
  <c r="E119" i="48"/>
  <c r="C119" i="48"/>
  <c r="O117" i="48"/>
  <c r="M117" i="48"/>
  <c r="K117" i="48"/>
  <c r="I117" i="48"/>
  <c r="G117" i="48"/>
  <c r="E117" i="48"/>
  <c r="C117" i="48"/>
  <c r="O115" i="48"/>
  <c r="M115" i="48"/>
  <c r="K115" i="48"/>
  <c r="I115" i="48"/>
  <c r="G115" i="48"/>
  <c r="E115" i="48"/>
  <c r="C115" i="48"/>
  <c r="O113" i="48"/>
  <c r="M113" i="48"/>
  <c r="K113" i="48"/>
  <c r="I113" i="48"/>
  <c r="G113" i="48"/>
  <c r="E113" i="48"/>
  <c r="C113" i="48"/>
  <c r="O111" i="48"/>
  <c r="M111" i="48"/>
  <c r="K111" i="48"/>
  <c r="I111" i="48"/>
  <c r="G111" i="48"/>
  <c r="E111" i="48"/>
  <c r="C111" i="48"/>
  <c r="O109" i="48"/>
  <c r="M109" i="48"/>
  <c r="K109" i="48"/>
  <c r="I109" i="48"/>
  <c r="G109" i="48"/>
  <c r="E109" i="48"/>
  <c r="C109" i="48"/>
  <c r="O106" i="48"/>
  <c r="M106" i="48"/>
  <c r="K106" i="48"/>
  <c r="I106" i="48"/>
  <c r="G106" i="48"/>
  <c r="E106" i="48"/>
  <c r="C106" i="48"/>
  <c r="O104" i="48"/>
  <c r="M104" i="48"/>
  <c r="K104" i="48"/>
  <c r="I104" i="48"/>
  <c r="G104" i="48"/>
  <c r="E104" i="48"/>
  <c r="C104" i="48"/>
  <c r="O100" i="48"/>
  <c r="M100" i="48"/>
  <c r="K100" i="48"/>
  <c r="I100" i="48"/>
  <c r="G100" i="48"/>
  <c r="E100" i="48"/>
  <c r="C100" i="48"/>
  <c r="O94" i="48"/>
  <c r="M94" i="48"/>
  <c r="K94" i="48"/>
  <c r="I94" i="48"/>
  <c r="G94" i="48"/>
  <c r="E94" i="48"/>
  <c r="C94" i="48"/>
  <c r="O102" i="48"/>
  <c r="M102" i="48"/>
  <c r="K102" i="48"/>
  <c r="I102" i="48"/>
  <c r="G102" i="48"/>
  <c r="E102" i="48"/>
  <c r="C102" i="48"/>
  <c r="O98" i="48"/>
  <c r="M98" i="48"/>
  <c r="K98" i="48"/>
  <c r="I98" i="48"/>
  <c r="G98" i="48"/>
  <c r="E98" i="48"/>
  <c r="C98" i="48"/>
  <c r="O90" i="48"/>
  <c r="M90" i="48"/>
  <c r="K90" i="48"/>
  <c r="I90" i="48"/>
  <c r="G90" i="48"/>
  <c r="E90" i="48"/>
  <c r="C90" i="48"/>
  <c r="O88" i="48"/>
  <c r="M88" i="48"/>
  <c r="K88" i="48"/>
  <c r="I88" i="48"/>
  <c r="G88" i="48"/>
  <c r="E88" i="48"/>
  <c r="C88" i="48"/>
  <c r="O86" i="48"/>
  <c r="M86" i="48"/>
  <c r="K86" i="48"/>
  <c r="I86" i="48"/>
  <c r="G86" i="48"/>
  <c r="E86" i="48"/>
  <c r="C86" i="48"/>
  <c r="O84" i="48"/>
  <c r="M84" i="48"/>
  <c r="K84" i="48"/>
  <c r="I84" i="48"/>
  <c r="G84" i="48"/>
  <c r="E84" i="48"/>
  <c r="C84" i="48"/>
  <c r="O80" i="48"/>
  <c r="M80" i="48"/>
  <c r="K80" i="48"/>
  <c r="I80" i="48"/>
  <c r="G80" i="48"/>
  <c r="E80" i="48"/>
  <c r="C80" i="48"/>
  <c r="O78" i="48"/>
  <c r="M78" i="48"/>
  <c r="K78" i="48"/>
  <c r="I78" i="48"/>
  <c r="G78" i="48"/>
  <c r="E78" i="48"/>
  <c r="C78" i="48"/>
  <c r="O72" i="48"/>
  <c r="M72" i="48"/>
  <c r="K72" i="48"/>
  <c r="I72" i="48"/>
  <c r="G72" i="48"/>
  <c r="E72" i="48"/>
  <c r="C72" i="48"/>
  <c r="O68" i="48"/>
  <c r="M68" i="48"/>
  <c r="K68" i="48"/>
  <c r="I68" i="48"/>
  <c r="G68" i="48"/>
  <c r="E68" i="48"/>
  <c r="C68" i="48"/>
  <c r="O64" i="48"/>
  <c r="M64" i="48"/>
  <c r="K64" i="48"/>
  <c r="I64" i="48"/>
  <c r="G64" i="48"/>
  <c r="E64" i="48"/>
  <c r="C64" i="48"/>
  <c r="O60" i="48"/>
  <c r="M60" i="48"/>
  <c r="K60" i="48"/>
  <c r="I60" i="48"/>
  <c r="G60" i="48"/>
  <c r="E60" i="48"/>
  <c r="C60" i="48"/>
  <c r="O58" i="48"/>
  <c r="M58" i="48"/>
  <c r="K58" i="48"/>
  <c r="I58" i="48"/>
  <c r="G58" i="48"/>
  <c r="E58" i="48"/>
  <c r="C58" i="48"/>
  <c r="O56" i="48"/>
  <c r="M56" i="48"/>
  <c r="K56" i="48"/>
  <c r="I56" i="48"/>
  <c r="G56" i="48"/>
  <c r="E56" i="48"/>
  <c r="C56" i="48"/>
  <c r="O52" i="48"/>
  <c r="M52" i="48"/>
  <c r="K52" i="48"/>
  <c r="I52" i="48"/>
  <c r="G52" i="48"/>
  <c r="E52" i="48"/>
  <c r="C52" i="48"/>
  <c r="O50" i="48"/>
  <c r="M50" i="48"/>
  <c r="K50" i="48"/>
  <c r="I50" i="48"/>
  <c r="G50" i="48"/>
  <c r="E50" i="48"/>
  <c r="C50" i="48"/>
  <c r="O48" i="48"/>
  <c r="M48" i="48"/>
  <c r="K48" i="48"/>
  <c r="I48" i="48"/>
  <c r="G48" i="48"/>
  <c r="E48" i="48"/>
  <c r="C48" i="48"/>
  <c r="O46" i="48"/>
  <c r="M46" i="48"/>
  <c r="K46" i="48"/>
  <c r="I46" i="48"/>
  <c r="G46" i="48"/>
  <c r="E46" i="48"/>
  <c r="C46" i="48"/>
  <c r="O44" i="48"/>
  <c r="M44" i="48"/>
  <c r="K44" i="48"/>
  <c r="I44" i="48"/>
  <c r="G44" i="48"/>
  <c r="E44" i="48"/>
  <c r="C44" i="48"/>
  <c r="O42" i="48"/>
  <c r="M42" i="48"/>
  <c r="K42" i="48"/>
  <c r="I42" i="48"/>
  <c r="G42" i="48"/>
  <c r="E42" i="48"/>
  <c r="C42" i="48"/>
  <c r="O40" i="48"/>
  <c r="M40" i="48"/>
  <c r="K40" i="48"/>
  <c r="I40" i="48"/>
  <c r="G40" i="48"/>
  <c r="E40" i="48"/>
  <c r="C40" i="48"/>
  <c r="O34" i="48"/>
  <c r="M34" i="48"/>
  <c r="K34" i="48"/>
  <c r="I34" i="48"/>
  <c r="G34" i="48"/>
  <c r="E34" i="48"/>
  <c r="C34" i="48"/>
  <c r="O32" i="48"/>
  <c r="M32" i="48"/>
  <c r="K32" i="48"/>
  <c r="I32" i="48"/>
  <c r="G32" i="48"/>
  <c r="E32" i="48"/>
  <c r="C32" i="48"/>
  <c r="O30" i="48"/>
  <c r="M30" i="48"/>
  <c r="K30" i="48"/>
  <c r="I30" i="48"/>
  <c r="G30" i="48"/>
  <c r="E30" i="48"/>
  <c r="C30" i="48"/>
  <c r="O28" i="48"/>
  <c r="M28" i="48"/>
  <c r="K28" i="48"/>
  <c r="I28" i="48"/>
  <c r="G28" i="48"/>
  <c r="E28" i="48"/>
  <c r="C28" i="48"/>
  <c r="O26" i="48"/>
  <c r="M26" i="48"/>
  <c r="K26" i="48"/>
  <c r="I26" i="48"/>
  <c r="G26" i="48"/>
  <c r="E26" i="48"/>
  <c r="C26" i="48"/>
  <c r="AW7" i="45"/>
  <c r="AO7" i="45"/>
  <c r="AX7" i="45"/>
  <c r="B105" i="48"/>
  <c r="B27" i="48"/>
  <c r="B29" i="48"/>
  <c r="B31" i="48"/>
  <c r="B33" i="48"/>
  <c r="B39" i="48"/>
  <c r="B41" i="48"/>
  <c r="B43" i="48"/>
  <c r="B45" i="48"/>
  <c r="B47" i="48"/>
  <c r="B49" i="48"/>
  <c r="B51" i="48"/>
  <c r="B55" i="48"/>
  <c r="B57" i="48"/>
  <c r="B59" i="48"/>
  <c r="B63" i="48"/>
  <c r="B67" i="48"/>
  <c r="B71" i="48"/>
  <c r="B77" i="48"/>
  <c r="B79" i="48"/>
  <c r="B83" i="48"/>
  <c r="B85" i="48"/>
  <c r="B87" i="48"/>
  <c r="B89" i="48"/>
  <c r="B101" i="48"/>
  <c r="B93" i="48"/>
  <c r="B99" i="48"/>
  <c r="B103" i="48"/>
  <c r="B25" i="48"/>
  <c r="BN7" i="45"/>
  <c r="BM7" i="45"/>
  <c r="BF7" i="45"/>
  <c r="BE7" i="45"/>
  <c r="AP7" i="45"/>
  <c r="AG7" i="45"/>
  <c r="AH7" i="45"/>
  <c r="Z7" i="45"/>
  <c r="Y7" i="45"/>
  <c r="K73" i="46"/>
  <c r="M73" i="46" s="1"/>
  <c r="M72" i="46"/>
  <c r="L72" i="46"/>
  <c r="M71" i="46"/>
  <c r="L71" i="46"/>
  <c r="M68" i="46"/>
  <c r="L68" i="46"/>
  <c r="M67" i="46"/>
  <c r="L67" i="46"/>
  <c r="M128" i="73" l="1"/>
  <c r="M185" i="73"/>
  <c r="M130" i="73"/>
  <c r="M187" i="73"/>
  <c r="M132" i="73"/>
  <c r="M189" i="73"/>
  <c r="M188" i="73"/>
  <c r="M131" i="73"/>
  <c r="M129" i="73"/>
  <c r="M186" i="73"/>
  <c r="J97" i="60"/>
  <c r="J48" i="96"/>
  <c r="I52" i="68"/>
  <c r="M15" i="73"/>
  <c r="BT35" i="45"/>
  <c r="BU21" i="45"/>
  <c r="P82" i="48"/>
  <c r="BS35" i="45"/>
  <c r="BU35" i="45"/>
  <c r="BT21" i="45"/>
  <c r="BS21" i="45"/>
  <c r="P54" i="48"/>
  <c r="M16" i="73"/>
  <c r="M17" i="73"/>
  <c r="M14" i="73"/>
  <c r="BS7" i="74"/>
  <c r="BU7" i="74"/>
  <c r="M18" i="73"/>
  <c r="BS8" i="74"/>
  <c r="BS10" i="74"/>
  <c r="BS9" i="74"/>
  <c r="BS12" i="74"/>
  <c r="BS11" i="74"/>
  <c r="AJ7" i="45"/>
  <c r="BH7" i="45"/>
  <c r="BP7" i="45"/>
  <c r="AR7" i="45"/>
  <c r="AB7" i="45"/>
  <c r="AZ7" i="45"/>
  <c r="BE210" i="73"/>
  <c r="BS210" i="73"/>
  <c r="AJ50" i="11"/>
  <c r="AG50" i="11"/>
  <c r="AI50" i="11" s="1"/>
  <c r="AH50" i="11"/>
  <c r="BS216" i="11"/>
  <c r="BI216" i="11"/>
  <c r="BL216" i="11" s="1"/>
  <c r="BJ216" i="11"/>
  <c r="BM216" i="11" s="1"/>
  <c r="BS212" i="11"/>
  <c r="BJ212" i="11"/>
  <c r="BM212" i="11" s="1"/>
  <c r="BI212" i="11"/>
  <c r="BL212" i="11" s="1"/>
  <c r="BJ194" i="11"/>
  <c r="BM194" i="11" s="1"/>
  <c r="BI194" i="11"/>
  <c r="BL194" i="11" s="1"/>
  <c r="BI199" i="11"/>
  <c r="BL199" i="11" s="1"/>
  <c r="BJ199" i="11"/>
  <c r="BM199" i="11" s="1"/>
  <c r="BS222" i="11"/>
  <c r="BM222" i="11"/>
  <c r="BJ222" i="11"/>
  <c r="BI222" i="11"/>
  <c r="BL222" i="11" s="1"/>
  <c r="BI195" i="11"/>
  <c r="BL195" i="11" s="1"/>
  <c r="BJ195" i="11"/>
  <c r="BM195" i="11" s="1"/>
  <c r="BS193" i="11"/>
  <c r="BI193" i="11"/>
  <c r="BL193" i="11" s="1"/>
  <c r="BJ193" i="11"/>
  <c r="BM193" i="11" s="1"/>
  <c r="AP107" i="11"/>
  <c r="AG107" i="11"/>
  <c r="AI107" i="11" s="1"/>
  <c r="AH107" i="11"/>
  <c r="AJ107" i="11" s="1"/>
  <c r="BM219" i="11"/>
  <c r="BS219" i="11"/>
  <c r="BI219" i="11"/>
  <c r="BL219" i="11" s="1"/>
  <c r="BJ219" i="11"/>
  <c r="BS192" i="11"/>
  <c r="BJ192" i="11"/>
  <c r="BM192" i="11" s="1"/>
  <c r="BI192" i="11"/>
  <c r="BL192" i="11" s="1"/>
  <c r="BJ208" i="11"/>
  <c r="BM208" i="11" s="1"/>
  <c r="BI208" i="11"/>
  <c r="BL208" i="11" s="1"/>
  <c r="BS205" i="11"/>
  <c r="BJ205" i="11"/>
  <c r="BM205" i="11" s="1"/>
  <c r="BI205" i="11"/>
  <c r="BL205" i="11" s="1"/>
  <c r="BS220" i="11"/>
  <c r="BI220" i="11"/>
  <c r="BL220" i="11" s="1"/>
  <c r="BJ220" i="11"/>
  <c r="BM220" i="11" s="1"/>
  <c r="BS218" i="11"/>
  <c r="BJ218" i="11"/>
  <c r="BM218" i="11" s="1"/>
  <c r="BI218" i="11"/>
  <c r="BL218" i="11" s="1"/>
  <c r="BS213" i="11"/>
  <c r="BI213" i="11"/>
  <c r="BL213" i="11" s="1"/>
  <c r="BJ213" i="11"/>
  <c r="BM213" i="11" s="1"/>
  <c r="AH164" i="11"/>
  <c r="AF164" i="11"/>
  <c r="AE164" i="11"/>
  <c r="AG164" i="11" s="1"/>
  <c r="AZ221" i="11"/>
  <c r="AW221" i="11"/>
  <c r="AY221" i="11" s="1"/>
  <c r="AX221" i="11"/>
  <c r="BV11" i="74"/>
  <c r="BT11" i="74"/>
  <c r="BT10" i="74"/>
  <c r="BV10" i="74"/>
  <c r="BV9" i="74"/>
  <c r="BT9" i="74"/>
  <c r="BT8" i="74"/>
  <c r="BV8" i="74"/>
  <c r="BT7" i="74"/>
  <c r="BV7" i="74"/>
  <c r="BT12" i="74"/>
  <c r="BV12" i="74"/>
  <c r="AL151" i="11"/>
  <c r="BK216" i="11"/>
  <c r="BP216" i="11"/>
  <c r="BR216" i="11"/>
  <c r="BQ216" i="11"/>
  <c r="BO216" i="11"/>
  <c r="BK219" i="11"/>
  <c r="BO219" i="11"/>
  <c r="BR219" i="11"/>
  <c r="BP219" i="11"/>
  <c r="BQ219" i="11"/>
  <c r="BO212" i="11"/>
  <c r="BQ212" i="11"/>
  <c r="BR212" i="11"/>
  <c r="BP212" i="11"/>
  <c r="BQ192" i="11"/>
  <c r="BO192" i="11"/>
  <c r="BR192" i="11"/>
  <c r="BP192" i="11"/>
  <c r="BK192" i="11"/>
  <c r="BQ222" i="11"/>
  <c r="BR222" i="11"/>
  <c r="BO222" i="11"/>
  <c r="BP222" i="11"/>
  <c r="BK208" i="11"/>
  <c r="BR208" i="11" s="1"/>
  <c r="BK205" i="11"/>
  <c r="BK195" i="11"/>
  <c r="BR195" i="11" s="1"/>
  <c r="BK218" i="11"/>
  <c r="BQ213" i="11"/>
  <c r="BR213" i="11"/>
  <c r="BO213" i="11"/>
  <c r="BP213" i="11"/>
  <c r="BK213" i="11"/>
  <c r="BK193" i="11"/>
  <c r="AL107" i="11"/>
  <c r="AN107" i="11"/>
  <c r="AO107" i="11"/>
  <c r="BK212" i="11"/>
  <c r="BK194" i="11"/>
  <c r="BR194" i="11" s="1"/>
  <c r="BK199" i="11"/>
  <c r="BR199" i="11" s="1"/>
  <c r="BK222" i="11"/>
  <c r="BP205" i="11"/>
  <c r="BO205" i="11"/>
  <c r="BR205" i="11"/>
  <c r="BQ205" i="11"/>
  <c r="BK220" i="11"/>
  <c r="BR220" i="11"/>
  <c r="BQ220" i="11"/>
  <c r="BO220" i="11"/>
  <c r="BP220" i="11"/>
  <c r="BP218" i="11"/>
  <c r="BR218" i="11"/>
  <c r="BQ218" i="11"/>
  <c r="BO218" i="11"/>
  <c r="BO193" i="11"/>
  <c r="BQ193" i="11"/>
  <c r="BR193" i="11"/>
  <c r="BP193" i="11"/>
  <c r="BH221" i="11"/>
  <c r="BT221" i="11" s="1"/>
  <c r="M184" i="73" l="1"/>
  <c r="M127" i="73"/>
  <c r="M39" i="11"/>
  <c r="L460" i="8" s="1"/>
  <c r="M153" i="11"/>
  <c r="M210" i="11"/>
  <c r="M25" i="11"/>
  <c r="L446" i="8" s="1"/>
  <c r="M139" i="11"/>
  <c r="M196" i="11"/>
  <c r="K27" i="68"/>
  <c r="BX21" i="45"/>
  <c r="K41" i="68"/>
  <c r="BX35" i="45"/>
  <c r="M13" i="73"/>
  <c r="BS221" i="11"/>
  <c r="BI221" i="11"/>
  <c r="BL221" i="11" s="1"/>
  <c r="BJ221" i="11"/>
  <c r="BM221" i="11" s="1"/>
  <c r="BB210" i="73"/>
  <c r="BC210" i="73"/>
  <c r="BD210" i="73"/>
  <c r="BO210" i="73"/>
  <c r="BP210" i="73"/>
  <c r="BQ210" i="73"/>
  <c r="BO221" i="11"/>
  <c r="BQ221" i="11"/>
  <c r="BP221" i="11"/>
  <c r="BR221" i="11"/>
  <c r="BK221" i="11"/>
  <c r="O50" i="45"/>
  <c r="O51" i="45"/>
  <c r="O52" i="45"/>
  <c r="O53" i="45"/>
  <c r="O54" i="45"/>
  <c r="O55" i="45"/>
  <c r="O56" i="45"/>
  <c r="O49" i="45"/>
  <c r="H50" i="45"/>
  <c r="H51" i="45"/>
  <c r="H52" i="45"/>
  <c r="H53" i="45"/>
  <c r="H54" i="45"/>
  <c r="H55" i="45"/>
  <c r="H56" i="45"/>
  <c r="H49" i="45"/>
  <c r="N180" i="31"/>
  <c r="M180" i="31"/>
  <c r="I180" i="31" s="1"/>
  <c r="N178" i="31"/>
  <c r="M178" i="31"/>
  <c r="I178" i="31" s="1"/>
  <c r="N176" i="31"/>
  <c r="M176" i="31"/>
  <c r="I176" i="31" s="1"/>
  <c r="N174" i="31"/>
  <c r="M174" i="31"/>
  <c r="I174" i="31" s="1"/>
  <c r="N172" i="31"/>
  <c r="M172" i="31"/>
  <c r="I172" i="31" s="1"/>
  <c r="N170" i="31"/>
  <c r="M170" i="31"/>
  <c r="I170" i="31" s="1"/>
  <c r="N168" i="31"/>
  <c r="M168" i="31"/>
  <c r="I168" i="31" s="1"/>
  <c r="N166" i="31"/>
  <c r="M166" i="31"/>
  <c r="I166" i="31" s="1"/>
  <c r="L163" i="31"/>
  <c r="N163" i="31" s="1"/>
  <c r="L161" i="31"/>
  <c r="N161" i="31" s="1"/>
  <c r="L159" i="31"/>
  <c r="N159" i="31" s="1"/>
  <c r="L157" i="31"/>
  <c r="N157" i="31" s="1"/>
  <c r="L155" i="31"/>
  <c r="N155" i="31" s="1"/>
  <c r="L153" i="31"/>
  <c r="N153" i="31" s="1"/>
  <c r="L149" i="31"/>
  <c r="N149" i="31" s="1"/>
  <c r="L147" i="31"/>
  <c r="N147" i="31" s="1"/>
  <c r="L145" i="31"/>
  <c r="N145" i="31" s="1"/>
  <c r="L143" i="31"/>
  <c r="N143" i="31" s="1"/>
  <c r="L141" i="31"/>
  <c r="N141" i="31" s="1"/>
  <c r="L139" i="31"/>
  <c r="N139" i="31" s="1"/>
  <c r="L135" i="31"/>
  <c r="N135" i="31" s="1"/>
  <c r="L133" i="31"/>
  <c r="N133" i="31" s="1"/>
  <c r="L131" i="31"/>
  <c r="N131" i="31" s="1"/>
  <c r="L129" i="31"/>
  <c r="N129" i="31" s="1"/>
  <c r="L123" i="31"/>
  <c r="N123" i="31" s="1"/>
  <c r="L121" i="31"/>
  <c r="N121" i="31" s="1"/>
  <c r="L119" i="31"/>
  <c r="N119" i="31" s="1"/>
  <c r="L117" i="31"/>
  <c r="N117" i="31" s="1"/>
  <c r="L115" i="31"/>
  <c r="N115" i="31" s="1"/>
  <c r="L113" i="31"/>
  <c r="N113" i="31" s="1"/>
  <c r="L111" i="31"/>
  <c r="N111" i="31" s="1"/>
  <c r="L107" i="31"/>
  <c r="N107" i="31" s="1"/>
  <c r="L105" i="31"/>
  <c r="N105" i="31" s="1"/>
  <c r="L103" i="31"/>
  <c r="N103" i="31" s="1"/>
  <c r="L101" i="31"/>
  <c r="N101" i="31" s="1"/>
  <c r="L99" i="31"/>
  <c r="N99" i="31" s="1"/>
  <c r="P54" i="45" l="1"/>
  <c r="P50" i="45"/>
  <c r="P55" i="45"/>
  <c r="P51" i="45"/>
  <c r="P56" i="45"/>
  <c r="P52" i="45"/>
  <c r="P49" i="45"/>
  <c r="P53" i="45"/>
  <c r="B122" i="48"/>
  <c r="B118" i="48"/>
  <c r="B114" i="48"/>
  <c r="B110" i="48"/>
  <c r="B108" i="48"/>
  <c r="B120" i="48"/>
  <c r="B116" i="48"/>
  <c r="B112" i="48"/>
  <c r="L225" i="11"/>
  <c r="L226" i="11"/>
  <c r="L227" i="11"/>
  <c r="L228" i="11"/>
  <c r="L229" i="11"/>
  <c r="L230" i="11"/>
  <c r="L231" i="11"/>
  <c r="L224" i="11"/>
  <c r="L168" i="11"/>
  <c r="L169" i="11"/>
  <c r="L170" i="11"/>
  <c r="L171" i="11"/>
  <c r="L172" i="11"/>
  <c r="L173" i="11"/>
  <c r="L174" i="11"/>
  <c r="L167" i="11"/>
  <c r="L111" i="11"/>
  <c r="L112" i="11"/>
  <c r="L113" i="11"/>
  <c r="L114" i="11"/>
  <c r="L115" i="11"/>
  <c r="L116" i="11"/>
  <c r="L117" i="11"/>
  <c r="L110" i="11"/>
  <c r="L53" i="11"/>
  <c r="K225" i="11"/>
  <c r="H225" i="11" s="1"/>
  <c r="K226" i="11"/>
  <c r="H226" i="11" s="1"/>
  <c r="K227" i="11"/>
  <c r="H227" i="11" s="1"/>
  <c r="K228" i="11"/>
  <c r="H228" i="11" s="1"/>
  <c r="K229" i="11"/>
  <c r="H229" i="11" s="1"/>
  <c r="K230" i="11"/>
  <c r="H230" i="11" s="1"/>
  <c r="K231" i="11"/>
  <c r="H231" i="11" s="1"/>
  <c r="K224" i="11"/>
  <c r="H224" i="11" s="1"/>
  <c r="K168" i="11"/>
  <c r="H168" i="11" s="1"/>
  <c r="K169" i="11"/>
  <c r="H169" i="11" s="1"/>
  <c r="K170" i="11"/>
  <c r="H170" i="11" s="1"/>
  <c r="K171" i="11"/>
  <c r="H171" i="11" s="1"/>
  <c r="K172" i="11"/>
  <c r="H172" i="11" s="1"/>
  <c r="K173" i="11"/>
  <c r="H173" i="11" s="1"/>
  <c r="K174" i="11"/>
  <c r="H174" i="11" s="1"/>
  <c r="K167" i="11"/>
  <c r="H167" i="11" s="1"/>
  <c r="K111" i="11"/>
  <c r="H111" i="11" s="1"/>
  <c r="K112" i="11"/>
  <c r="H112" i="11" s="1"/>
  <c r="K113" i="11"/>
  <c r="H113" i="11" s="1"/>
  <c r="K114" i="11"/>
  <c r="H114" i="11" s="1"/>
  <c r="K115" i="11"/>
  <c r="H115" i="11" s="1"/>
  <c r="K116" i="11"/>
  <c r="H116" i="11" s="1"/>
  <c r="K117" i="11"/>
  <c r="H117" i="11" s="1"/>
  <c r="K110" i="11"/>
  <c r="H110" i="11" s="1"/>
  <c r="K53" i="11"/>
  <c r="H53" i="11" s="1"/>
  <c r="J182" i="11"/>
  <c r="L182" i="11" s="1"/>
  <c r="J68" i="11"/>
  <c r="L68" i="11" s="1"/>
  <c r="L360" i="8"/>
  <c r="M360" i="8"/>
  <c r="L361" i="8"/>
  <c r="M361" i="8"/>
  <c r="L362" i="8"/>
  <c r="M362" i="8"/>
  <c r="L363" i="8"/>
  <c r="M363" i="8"/>
  <c r="L364" i="8"/>
  <c r="M364" i="8"/>
  <c r="L365" i="8"/>
  <c r="M365" i="8"/>
  <c r="L366" i="8"/>
  <c r="M366" i="8"/>
  <c r="M359" i="8"/>
  <c r="L359" i="8"/>
  <c r="N90" i="31"/>
  <c r="M90" i="31"/>
  <c r="I90" i="31" s="1"/>
  <c r="N88" i="31"/>
  <c r="M88" i="31"/>
  <c r="I88" i="31" s="1"/>
  <c r="N86" i="31"/>
  <c r="M86" i="31"/>
  <c r="I86" i="31" s="1"/>
  <c r="N84" i="31"/>
  <c r="M84" i="31"/>
  <c r="I84" i="31" s="1"/>
  <c r="N82" i="31"/>
  <c r="M82" i="31"/>
  <c r="I82" i="31" s="1"/>
  <c r="N80" i="31"/>
  <c r="M80" i="31"/>
  <c r="I80" i="31" s="1"/>
  <c r="N78" i="31"/>
  <c r="M78" i="31"/>
  <c r="I78" i="31" s="1"/>
  <c r="N76" i="31"/>
  <c r="M76" i="31"/>
  <c r="I76" i="31" s="1"/>
  <c r="L73" i="31"/>
  <c r="N73" i="31" s="1"/>
  <c r="L71" i="31"/>
  <c r="N71" i="31" s="1"/>
  <c r="L69" i="31"/>
  <c r="N69" i="31" s="1"/>
  <c r="L67" i="31"/>
  <c r="N67" i="31" s="1"/>
  <c r="L65" i="31"/>
  <c r="N65" i="31" s="1"/>
  <c r="L63" i="31"/>
  <c r="N63" i="31" s="1"/>
  <c r="L59" i="31"/>
  <c r="N59" i="31" s="1"/>
  <c r="L57" i="31"/>
  <c r="N57" i="31" s="1"/>
  <c r="L55" i="31"/>
  <c r="N55" i="31" s="1"/>
  <c r="L53" i="31"/>
  <c r="N53" i="31" s="1"/>
  <c r="L51" i="31"/>
  <c r="N51" i="31" s="1"/>
  <c r="L49" i="31"/>
  <c r="N49" i="31" s="1"/>
  <c r="L45" i="31"/>
  <c r="N45" i="31" s="1"/>
  <c r="L43" i="31"/>
  <c r="N43" i="31" s="1"/>
  <c r="L41" i="31"/>
  <c r="N41" i="31" s="1"/>
  <c r="L39" i="31"/>
  <c r="N39" i="31" s="1"/>
  <c r="L33" i="31"/>
  <c r="N33" i="31" s="1"/>
  <c r="L31" i="31"/>
  <c r="N31" i="31" s="1"/>
  <c r="L29" i="31"/>
  <c r="N29" i="31" s="1"/>
  <c r="L27" i="31"/>
  <c r="N27" i="31" s="1"/>
  <c r="L25" i="31"/>
  <c r="N25" i="31" s="1"/>
  <c r="L23" i="31"/>
  <c r="N23" i="31" s="1"/>
  <c r="L21" i="31"/>
  <c r="N21" i="31" s="1"/>
  <c r="L17" i="31"/>
  <c r="N17" i="31" s="1"/>
  <c r="L15" i="31"/>
  <c r="N15" i="31" s="1"/>
  <c r="L13" i="31"/>
  <c r="N13" i="31" s="1"/>
  <c r="L11" i="31"/>
  <c r="N11" i="31" s="1"/>
  <c r="L9" i="31"/>
  <c r="N9" i="31" s="1"/>
  <c r="J125" i="11"/>
  <c r="L125" i="11" s="1"/>
  <c r="P67" i="65" l="1"/>
  <c r="P61" i="65"/>
  <c r="P68" i="65"/>
  <c r="P66" i="65"/>
  <c r="P63" i="65"/>
  <c r="P65" i="65"/>
  <c r="P64" i="65"/>
  <c r="P62" i="65"/>
  <c r="B111" i="48"/>
  <c r="B113" i="48"/>
  <c r="B115" i="48"/>
  <c r="B117" i="48"/>
  <c r="B121" i="48"/>
  <c r="B119" i="48"/>
  <c r="B109" i="48"/>
  <c r="B123" i="48"/>
  <c r="V195" i="8"/>
  <c r="Y195" i="8" s="1"/>
  <c r="Z195" i="8" s="1"/>
  <c r="V202" i="8"/>
  <c r="Y202" i="8" s="1"/>
  <c r="Z202" i="8" s="1"/>
  <c r="V201" i="8"/>
  <c r="Y201" i="8" s="1"/>
  <c r="Z201" i="8" s="1"/>
  <c r="V200" i="8"/>
  <c r="Y200" i="8" s="1"/>
  <c r="Z200" i="8" s="1"/>
  <c r="V199" i="8"/>
  <c r="Y199" i="8" s="1"/>
  <c r="Z199" i="8" s="1"/>
  <c r="V198" i="8"/>
  <c r="Y198" i="8" s="1"/>
  <c r="Z198" i="8" s="1"/>
  <c r="V197" i="8"/>
  <c r="Y197" i="8" s="1"/>
  <c r="Z197" i="8" s="1"/>
  <c r="V196" i="8"/>
  <c r="Y196" i="8" s="1"/>
  <c r="Z196" i="8" s="1"/>
  <c r="AT55" i="73"/>
  <c r="AT112" i="73"/>
  <c r="AT169" i="73"/>
  <c r="BW226" i="73"/>
  <c r="AT62" i="73"/>
  <c r="AT119" i="73"/>
  <c r="AT176" i="73"/>
  <c r="BW233" i="73"/>
  <c r="AT61" i="73"/>
  <c r="AT118" i="73"/>
  <c r="AT175" i="73"/>
  <c r="BW232" i="73"/>
  <c r="AT60" i="73"/>
  <c r="AT117" i="73"/>
  <c r="AT174" i="73"/>
  <c r="BW231" i="73"/>
  <c r="AT59" i="73"/>
  <c r="AT116" i="73"/>
  <c r="AT173" i="73"/>
  <c r="BW230" i="73"/>
  <c r="AT58" i="73"/>
  <c r="AT115" i="73"/>
  <c r="AT172" i="73"/>
  <c r="BW229" i="73"/>
  <c r="AT57" i="73"/>
  <c r="AT114" i="73"/>
  <c r="AT171" i="73"/>
  <c r="BW228" i="73"/>
  <c r="AT56" i="73"/>
  <c r="AT113" i="73"/>
  <c r="AT170" i="73"/>
  <c r="BW227" i="73"/>
  <c r="N233" i="73"/>
  <c r="N176" i="73"/>
  <c r="N119" i="73"/>
  <c r="N62" i="73"/>
  <c r="M56" i="74"/>
  <c r="N61" i="73"/>
  <c r="M55" i="74"/>
  <c r="N232" i="73"/>
  <c r="N175" i="73"/>
  <c r="N118" i="73"/>
  <c r="N231" i="73"/>
  <c r="N174" i="73"/>
  <c r="N117" i="73"/>
  <c r="N60" i="73"/>
  <c r="M54" i="74"/>
  <c r="N59" i="73"/>
  <c r="M53" i="74"/>
  <c r="N230" i="73"/>
  <c r="N173" i="73"/>
  <c r="N116" i="73"/>
  <c r="N229" i="73"/>
  <c r="N172" i="73"/>
  <c r="N115" i="73"/>
  <c r="N58" i="73"/>
  <c r="M52" i="74"/>
  <c r="N57" i="73"/>
  <c r="M51" i="74"/>
  <c r="N228" i="73"/>
  <c r="N171" i="73"/>
  <c r="N114" i="73"/>
  <c r="N227" i="73"/>
  <c r="N170" i="73"/>
  <c r="N113" i="73"/>
  <c r="N56" i="73"/>
  <c r="M50" i="74"/>
  <c r="N55" i="73"/>
  <c r="M49" i="74"/>
  <c r="N226" i="73"/>
  <c r="N169" i="73"/>
  <c r="N112" i="73"/>
  <c r="AS69" i="11"/>
  <c r="M69" i="11"/>
  <c r="AS72" i="11"/>
  <c r="M72" i="11"/>
  <c r="BV186" i="11"/>
  <c r="BV185" i="11"/>
  <c r="BV183" i="11"/>
  <c r="BV184" i="11"/>
  <c r="N366" i="8"/>
  <c r="V256" i="8" s="1"/>
  <c r="W256" i="8" s="1"/>
  <c r="N365" i="8"/>
  <c r="V255" i="8" s="1"/>
  <c r="W255" i="8" s="1"/>
  <c r="N364" i="8"/>
  <c r="V254" i="8" s="1"/>
  <c r="W254" i="8" s="1"/>
  <c r="N363" i="8"/>
  <c r="V253" i="8" s="1"/>
  <c r="W253" i="8" s="1"/>
  <c r="N362" i="8"/>
  <c r="V252" i="8" s="1"/>
  <c r="W252" i="8" s="1"/>
  <c r="N361" i="8"/>
  <c r="V251" i="8" s="1"/>
  <c r="W251" i="8" s="1"/>
  <c r="N360" i="8"/>
  <c r="V250" i="8" s="1"/>
  <c r="W250" i="8" s="1"/>
  <c r="N359" i="8"/>
  <c r="V249" i="8" s="1"/>
  <c r="W249" i="8" s="1"/>
  <c r="N303" i="8"/>
  <c r="N304" i="8"/>
  <c r="M474" i="8" s="1"/>
  <c r="N305" i="8"/>
  <c r="M475" i="8" s="1"/>
  <c r="N306" i="8"/>
  <c r="M476" i="8" s="1"/>
  <c r="N307" i="8"/>
  <c r="M477" i="8" s="1"/>
  <c r="N308" i="8"/>
  <c r="M478" i="8" s="1"/>
  <c r="N309" i="8"/>
  <c r="M479" i="8" s="1"/>
  <c r="N310" i="8"/>
  <c r="M480" i="8" s="1"/>
  <c r="N311" i="8"/>
  <c r="M481" i="8" s="1"/>
  <c r="E210" i="10"/>
  <c r="E211" i="10"/>
  <c r="E212" i="10"/>
  <c r="E209" i="10"/>
  <c r="E196" i="10"/>
  <c r="E518" i="8" l="1"/>
  <c r="F508" i="8" s="1"/>
  <c r="Q53" i="74"/>
  <c r="Q50" i="74"/>
  <c r="Q51" i="74"/>
  <c r="Q52" i="74"/>
  <c r="Q54" i="74"/>
  <c r="Q55" i="74"/>
  <c r="Q56" i="74"/>
  <c r="Q49" i="74"/>
  <c r="AU58" i="73"/>
  <c r="AU115" i="73"/>
  <c r="AU172" i="73"/>
  <c r="BX229" i="73"/>
  <c r="AU55" i="73"/>
  <c r="AU112" i="73"/>
  <c r="AU169" i="73"/>
  <c r="BX226" i="73"/>
  <c r="AU57" i="73"/>
  <c r="AU114" i="73"/>
  <c r="AU171" i="73"/>
  <c r="BX228" i="73"/>
  <c r="AU59" i="73"/>
  <c r="AU116" i="73"/>
  <c r="AU173" i="73"/>
  <c r="BX230" i="73"/>
  <c r="AU61" i="73"/>
  <c r="AU118" i="73"/>
  <c r="AU175" i="73"/>
  <c r="BX232" i="73"/>
  <c r="AU56" i="73"/>
  <c r="AU113" i="73"/>
  <c r="AU170" i="73"/>
  <c r="BX227" i="73"/>
  <c r="AU60" i="73"/>
  <c r="AU117" i="73"/>
  <c r="AU174" i="73"/>
  <c r="BX231" i="73"/>
  <c r="AU62" i="73"/>
  <c r="AU119" i="73"/>
  <c r="AU176" i="73"/>
  <c r="BX233" i="73"/>
  <c r="O227" i="73"/>
  <c r="O170" i="73"/>
  <c r="O113" i="73"/>
  <c r="O56" i="73"/>
  <c r="N50" i="74"/>
  <c r="AS50" i="74" s="1"/>
  <c r="O231" i="73"/>
  <c r="O174" i="73"/>
  <c r="O117" i="73"/>
  <c r="O60" i="73"/>
  <c r="N54" i="74"/>
  <c r="AC54" i="74" s="1"/>
  <c r="O233" i="73"/>
  <c r="O176" i="73"/>
  <c r="O119" i="73"/>
  <c r="O62" i="73"/>
  <c r="N56" i="74"/>
  <c r="AC56" i="74" s="1"/>
  <c r="O226" i="73"/>
  <c r="O169" i="73"/>
  <c r="O112" i="73"/>
  <c r="O55" i="73"/>
  <c r="N49" i="74"/>
  <c r="U49" i="74" s="1"/>
  <c r="V49" i="74" s="1"/>
  <c r="O228" i="73"/>
  <c r="O171" i="73"/>
  <c r="O114" i="73"/>
  <c r="O57" i="73"/>
  <c r="N51" i="74"/>
  <c r="U51" i="74" s="1"/>
  <c r="V51" i="74" s="1"/>
  <c r="O230" i="73"/>
  <c r="O173" i="73"/>
  <c r="O116" i="73"/>
  <c r="O59" i="73"/>
  <c r="N53" i="74"/>
  <c r="U53" i="74" s="1"/>
  <c r="V53" i="74" s="1"/>
  <c r="O232" i="73"/>
  <c r="O175" i="73"/>
  <c r="O118" i="73"/>
  <c r="O61" i="73"/>
  <c r="N55" i="74"/>
  <c r="AK55" i="74" s="1"/>
  <c r="O229" i="73"/>
  <c r="O172" i="73"/>
  <c r="O115" i="73"/>
  <c r="O58" i="73"/>
  <c r="N52" i="74"/>
  <c r="AS52" i="74" s="1"/>
  <c r="AC50" i="74"/>
  <c r="AS119" i="73"/>
  <c r="AE119" i="73"/>
  <c r="AQ119" i="73" s="1"/>
  <c r="M119" i="73"/>
  <c r="Q119" i="73" s="1"/>
  <c r="AS117" i="73"/>
  <c r="AE117" i="73"/>
  <c r="AQ117" i="73" s="1"/>
  <c r="M117" i="73"/>
  <c r="Q117" i="73" s="1"/>
  <c r="AS115" i="73"/>
  <c r="AE115" i="73"/>
  <c r="AQ115" i="73" s="1"/>
  <c r="M115" i="73"/>
  <c r="Q115" i="73" s="1"/>
  <c r="AS113" i="73"/>
  <c r="AE113" i="73"/>
  <c r="AQ113" i="73" s="1"/>
  <c r="M113" i="73"/>
  <c r="Q113" i="73" s="1"/>
  <c r="AS118" i="73"/>
  <c r="AE118" i="73"/>
  <c r="AQ118" i="73" s="1"/>
  <c r="M118" i="73"/>
  <c r="Q118" i="73" s="1"/>
  <c r="AS116" i="73"/>
  <c r="AE116" i="73"/>
  <c r="AQ116" i="73" s="1"/>
  <c r="M116" i="73"/>
  <c r="Q116" i="73" s="1"/>
  <c r="AS114" i="73"/>
  <c r="AE114" i="73"/>
  <c r="AQ114" i="73" s="1"/>
  <c r="M114" i="73"/>
  <c r="Q114" i="73" s="1"/>
  <c r="AS112" i="73"/>
  <c r="AE112" i="73"/>
  <c r="AQ112" i="73" s="1"/>
  <c r="M112" i="73"/>
  <c r="Q112" i="73" s="1"/>
  <c r="AS117" i="11"/>
  <c r="M117" i="11"/>
  <c r="AS115" i="11"/>
  <c r="M115" i="11"/>
  <c r="AS113" i="11"/>
  <c r="M113" i="11"/>
  <c r="AS111" i="11"/>
  <c r="M111" i="11"/>
  <c r="AS71" i="11"/>
  <c r="M71" i="11"/>
  <c r="AS129" i="11"/>
  <c r="AS68" i="11"/>
  <c r="AS116" i="11"/>
  <c r="M116" i="11"/>
  <c r="AS114" i="11"/>
  <c r="M114" i="11"/>
  <c r="AS112" i="11"/>
  <c r="M112" i="11"/>
  <c r="AS110" i="11"/>
  <c r="M110" i="11"/>
  <c r="AS126" i="11"/>
  <c r="AS70" i="11"/>
  <c r="M70" i="11"/>
  <c r="J26" i="26"/>
  <c r="H26" i="26"/>
  <c r="K25" i="26"/>
  <c r="H25" i="26"/>
  <c r="H23" i="26"/>
  <c r="K8" i="26"/>
  <c r="H8" i="26"/>
  <c r="H6" i="26"/>
  <c r="B35" i="26"/>
  <c r="B6" i="23"/>
  <c r="I6" i="23"/>
  <c r="I8" i="23"/>
  <c r="J8" i="23"/>
  <c r="I9" i="23"/>
  <c r="G8" i="23"/>
  <c r="I11" i="23"/>
  <c r="J11" i="23"/>
  <c r="K11" i="23"/>
  <c r="I12" i="23"/>
  <c r="I13" i="23"/>
  <c r="E6" i="23"/>
  <c r="E8" i="23"/>
  <c r="F8" i="23"/>
  <c r="E10" i="23"/>
  <c r="F10" i="23"/>
  <c r="G10" i="23"/>
  <c r="E11" i="23"/>
  <c r="E12" i="23"/>
  <c r="F12" i="23"/>
  <c r="B8" i="23"/>
  <c r="C8" i="23"/>
  <c r="P303" i="8"/>
  <c r="P304" i="8"/>
  <c r="N474" i="8" s="1"/>
  <c r="P305" i="8"/>
  <c r="N475" i="8" s="1"/>
  <c r="P306" i="8"/>
  <c r="N476" i="8" s="1"/>
  <c r="P307" i="8"/>
  <c r="N477" i="8" s="1"/>
  <c r="P308" i="8"/>
  <c r="N478" i="8" s="1"/>
  <c r="P309" i="8"/>
  <c r="N479" i="8" s="1"/>
  <c r="P310" i="8"/>
  <c r="N480" i="8" s="1"/>
  <c r="P311" i="8"/>
  <c r="N481" i="8" s="1"/>
  <c r="AS54" i="73"/>
  <c r="M304" i="8"/>
  <c r="AE55" i="73" s="1"/>
  <c r="M305" i="8"/>
  <c r="M306" i="8"/>
  <c r="AE57" i="73" s="1"/>
  <c r="M307" i="8"/>
  <c r="AE58" i="73" s="1"/>
  <c r="AQ58" i="73" s="1"/>
  <c r="M308" i="8"/>
  <c r="AE59" i="73" s="1"/>
  <c r="AQ59" i="73" s="1"/>
  <c r="M309" i="8"/>
  <c r="M310" i="8"/>
  <c r="AE61" i="73" s="1"/>
  <c r="AQ61" i="73" s="1"/>
  <c r="M311" i="8"/>
  <c r="AE62" i="73" s="1"/>
  <c r="AQ62" i="73" s="1"/>
  <c r="Q305" i="8"/>
  <c r="Q306" i="8"/>
  <c r="Q307" i="8"/>
  <c r="Q308" i="8"/>
  <c r="Q309" i="8"/>
  <c r="Q310" i="8"/>
  <c r="Q311" i="8"/>
  <c r="Q304" i="8"/>
  <c r="L308" i="8"/>
  <c r="L309" i="8"/>
  <c r="L310" i="8"/>
  <c r="L311" i="8"/>
  <c r="F220" i="7"/>
  <c r="N196" i="8"/>
  <c r="N197" i="8"/>
  <c r="N198" i="8"/>
  <c r="N199" i="8"/>
  <c r="N200" i="8"/>
  <c r="N201" i="8"/>
  <c r="N202" i="8"/>
  <c r="N195" i="8"/>
  <c r="F513" i="10"/>
  <c r="F515" i="10"/>
  <c r="L54" i="11"/>
  <c r="L55" i="11"/>
  <c r="L56" i="11"/>
  <c r="L57" i="11"/>
  <c r="L58" i="11"/>
  <c r="L59" i="11"/>
  <c r="L60" i="11"/>
  <c r="K54" i="11"/>
  <c r="H54" i="11" s="1"/>
  <c r="K55" i="11"/>
  <c r="H55" i="11" s="1"/>
  <c r="K56" i="11"/>
  <c r="H56" i="11" s="1"/>
  <c r="K57" i="11"/>
  <c r="H57" i="11" s="1"/>
  <c r="K58" i="11"/>
  <c r="H58" i="11" s="1"/>
  <c r="K59" i="11"/>
  <c r="H59" i="11" s="1"/>
  <c r="K60" i="11"/>
  <c r="H60" i="11" s="1"/>
  <c r="H180" i="10"/>
  <c r="H181" i="10"/>
  <c r="H182" i="10"/>
  <c r="H183" i="10"/>
  <c r="H184" i="10"/>
  <c r="H185" i="10"/>
  <c r="H186" i="10"/>
  <c r="H187" i="10"/>
  <c r="G212" i="10"/>
  <c r="G268" i="10" s="1"/>
  <c r="F510" i="10"/>
  <c r="F511" i="10"/>
  <c r="F514" i="10"/>
  <c r="F512" i="10"/>
  <c r="F516" i="10"/>
  <c r="F509" i="10"/>
  <c r="L11" i="11"/>
  <c r="D74" i="10"/>
  <c r="C39" i="10"/>
  <c r="C99" i="10"/>
  <c r="D99" i="10"/>
  <c r="E99" i="10"/>
  <c r="F99" i="10"/>
  <c r="C100" i="10"/>
  <c r="D100" i="10"/>
  <c r="E100" i="10"/>
  <c r="F100" i="10"/>
  <c r="C8" i="10"/>
  <c r="C121" i="10"/>
  <c r="E121" i="10" s="1"/>
  <c r="C114" i="10"/>
  <c r="E114" i="10" s="1"/>
  <c r="E208" i="10"/>
  <c r="E207" i="10"/>
  <c r="E205" i="10"/>
  <c r="E199" i="10"/>
  <c r="E198" i="10"/>
  <c r="E197" i="10"/>
  <c r="E195" i="10"/>
  <c r="E194" i="10"/>
  <c r="F416" i="7"/>
  <c r="F414" i="7"/>
  <c r="E445" i="7" s="1"/>
  <c r="F445" i="7" s="1"/>
  <c r="F228" i="7"/>
  <c r="G25" i="23" s="1"/>
  <c r="F229" i="7"/>
  <c r="F227" i="7"/>
  <c r="G24" i="23" s="1"/>
  <c r="F216" i="7"/>
  <c r="F217" i="7"/>
  <c r="F218" i="7"/>
  <c r="F219" i="7"/>
  <c r="F224" i="7"/>
  <c r="F225" i="7"/>
  <c r="F215" i="7"/>
  <c r="G210" i="10"/>
  <c r="G266" i="10" s="1"/>
  <c r="G211" i="10"/>
  <c r="G267" i="10" s="1"/>
  <c r="F230" i="7"/>
  <c r="G27" i="23" s="1"/>
  <c r="F231" i="7"/>
  <c r="G28" i="23" s="1"/>
  <c r="F232" i="7"/>
  <c r="G29" i="23" s="1"/>
  <c r="F234" i="7"/>
  <c r="G31" i="23" s="1"/>
  <c r="F233" i="7"/>
  <c r="G30" i="23" s="1"/>
  <c r="AX116" i="73" l="1"/>
  <c r="AX117" i="73"/>
  <c r="AC55" i="74"/>
  <c r="AX112" i="73"/>
  <c r="AX113" i="73"/>
  <c r="BQ51" i="74"/>
  <c r="U56" i="74"/>
  <c r="V56" i="74" s="1"/>
  <c r="W56" i="74" s="1"/>
  <c r="E447" i="7"/>
  <c r="F447" i="7" s="1"/>
  <c r="M447" i="7" s="1"/>
  <c r="D41" i="10"/>
  <c r="C58" i="10" s="1"/>
  <c r="D58" i="10" s="1"/>
  <c r="H141" i="10"/>
  <c r="AH376" i="10" s="1"/>
  <c r="F141" i="10"/>
  <c r="I141" i="10"/>
  <c r="AH411" i="10" s="1"/>
  <c r="G141" i="10"/>
  <c r="I121" i="10"/>
  <c r="I122" i="10"/>
  <c r="AG421" i="10" s="1"/>
  <c r="I123" i="10"/>
  <c r="AG422" i="10" s="1"/>
  <c r="I124" i="10"/>
  <c r="I125" i="10"/>
  <c r="AG424" i="10" s="1"/>
  <c r="I126" i="10"/>
  <c r="AG425" i="10" s="1"/>
  <c r="G121" i="10"/>
  <c r="G122" i="10"/>
  <c r="G123" i="10"/>
  <c r="AG352" i="10" s="1"/>
  <c r="G124" i="10"/>
  <c r="G125" i="10"/>
  <c r="AG354" i="10" s="1"/>
  <c r="G126" i="10"/>
  <c r="AG355" i="10" s="1"/>
  <c r="H121" i="10"/>
  <c r="H122" i="10"/>
  <c r="AG386" i="10" s="1"/>
  <c r="H123" i="10"/>
  <c r="AG387" i="10" s="1"/>
  <c r="H124" i="10"/>
  <c r="AG388" i="10" s="1"/>
  <c r="H125" i="10"/>
  <c r="AG389" i="10" s="1"/>
  <c r="AB393" i="10" s="1"/>
  <c r="H126" i="10"/>
  <c r="AG390" i="10" s="1"/>
  <c r="F121" i="10"/>
  <c r="F122" i="10"/>
  <c r="F123" i="10"/>
  <c r="AG317" i="10" s="1"/>
  <c r="F124" i="10"/>
  <c r="AG318" i="10" s="1"/>
  <c r="F125" i="10"/>
  <c r="F126" i="10"/>
  <c r="AG320" i="10" s="1"/>
  <c r="I115" i="10"/>
  <c r="AG414" i="10" s="1"/>
  <c r="I116" i="10"/>
  <c r="AG415" i="10" s="1"/>
  <c r="I117" i="10"/>
  <c r="I108" i="10"/>
  <c r="AG407" i="10" s="1"/>
  <c r="I109" i="10"/>
  <c r="I110" i="10"/>
  <c r="G115" i="10"/>
  <c r="AG344" i="10" s="1"/>
  <c r="G116" i="10"/>
  <c r="G117" i="10"/>
  <c r="AG346" i="10" s="1"/>
  <c r="G108" i="10"/>
  <c r="AG337" i="10" s="1"/>
  <c r="G109" i="10"/>
  <c r="G110" i="10"/>
  <c r="H115" i="10"/>
  <c r="AG379" i="10" s="1"/>
  <c r="H116" i="10"/>
  <c r="AG380" i="10" s="1"/>
  <c r="H117" i="10"/>
  <c r="AG381" i="10" s="1"/>
  <c r="H108" i="10"/>
  <c r="H109" i="10"/>
  <c r="H110" i="10"/>
  <c r="F115" i="10"/>
  <c r="AG309" i="10" s="1"/>
  <c r="F116" i="10"/>
  <c r="AG310" i="10" s="1"/>
  <c r="F117" i="10"/>
  <c r="AG311" i="10" s="1"/>
  <c r="F108" i="10"/>
  <c r="AG302" i="10" s="1"/>
  <c r="AD323" i="10" s="1"/>
  <c r="F109" i="10"/>
  <c r="F110" i="10"/>
  <c r="AG304" i="10" s="1"/>
  <c r="P445" i="7"/>
  <c r="M445" i="7"/>
  <c r="E459" i="7" s="1"/>
  <c r="J445" i="7"/>
  <c r="G21" i="23"/>
  <c r="E265" i="7"/>
  <c r="F265" i="7" s="1"/>
  <c r="AX18" i="8" s="1"/>
  <c r="G17" i="23"/>
  <c r="E261" i="7"/>
  <c r="F261" i="7" s="1"/>
  <c r="AX14" i="8" s="1"/>
  <c r="AW9" i="8"/>
  <c r="E256" i="7"/>
  <c r="F256" i="7" s="1"/>
  <c r="AX9" i="8" s="1"/>
  <c r="G13" i="23"/>
  <c r="E257" i="7"/>
  <c r="F257" i="7" s="1"/>
  <c r="AX10" i="8" s="1"/>
  <c r="G16" i="23"/>
  <c r="E260" i="7"/>
  <c r="F260" i="7" s="1"/>
  <c r="AX13" i="8" s="1"/>
  <c r="G15" i="23"/>
  <c r="E259" i="7"/>
  <c r="F259" i="7" s="1"/>
  <c r="AX12" i="8" s="1"/>
  <c r="G14" i="23"/>
  <c r="E258" i="7"/>
  <c r="F258" i="7" s="1"/>
  <c r="AX11" i="8" s="1"/>
  <c r="E95" i="8" s="1"/>
  <c r="G22" i="23"/>
  <c r="E266" i="7"/>
  <c r="F266" i="7" s="1"/>
  <c r="AX19" i="8" s="1"/>
  <c r="BA56" i="74"/>
  <c r="BI55" i="74"/>
  <c r="BA55" i="74"/>
  <c r="BI50" i="74"/>
  <c r="BQ50" i="74"/>
  <c r="AS54" i="74"/>
  <c r="F501" i="8"/>
  <c r="F502" i="8" s="1"/>
  <c r="U54" i="74"/>
  <c r="V54" i="74" s="1"/>
  <c r="AA54" i="74" s="1"/>
  <c r="AD54" i="74" s="1"/>
  <c r="AS56" i="74"/>
  <c r="U55" i="74"/>
  <c r="V55" i="74" s="1"/>
  <c r="W55" i="74" s="1"/>
  <c r="AK51" i="74"/>
  <c r="BA54" i="74"/>
  <c r="AS51" i="74"/>
  <c r="AK50" i="74"/>
  <c r="BI53" i="74"/>
  <c r="W54" i="74"/>
  <c r="W49" i="74"/>
  <c r="AX118" i="73"/>
  <c r="BQ54" i="74"/>
  <c r="BI54" i="74"/>
  <c r="W53" i="74"/>
  <c r="AX114" i="73"/>
  <c r="AX115" i="73"/>
  <c r="AK54" i="74"/>
  <c r="W51" i="74"/>
  <c r="AX119" i="73"/>
  <c r="AW119" i="73"/>
  <c r="AC119" i="73" s="1"/>
  <c r="AV119" i="73"/>
  <c r="AW117" i="73"/>
  <c r="AC117" i="73" s="1"/>
  <c r="AV117" i="73"/>
  <c r="AW113" i="73"/>
  <c r="AC113" i="73" s="1"/>
  <c r="AV113" i="73"/>
  <c r="AW118" i="73"/>
  <c r="AC118" i="73" s="1"/>
  <c r="AV118" i="73"/>
  <c r="AW116" i="73"/>
  <c r="AC116" i="73" s="1"/>
  <c r="AV116" i="73"/>
  <c r="AV114" i="73"/>
  <c r="AW114" i="73"/>
  <c r="AC114" i="73" s="1"/>
  <c r="AW115" i="73"/>
  <c r="AC115" i="73" s="1"/>
  <c r="AV115" i="73"/>
  <c r="AW112" i="73"/>
  <c r="AC112" i="73" s="1"/>
  <c r="AV112" i="73"/>
  <c r="D511" i="8"/>
  <c r="BQ56" i="74"/>
  <c r="AK56" i="74"/>
  <c r="BI56" i="74"/>
  <c r="AS55" i="74"/>
  <c r="BQ55" i="74"/>
  <c r="BI51" i="74"/>
  <c r="AC51" i="74"/>
  <c r="BA51" i="74"/>
  <c r="BA50" i="74"/>
  <c r="U50" i="74"/>
  <c r="V50" i="74" s="1"/>
  <c r="AA50" i="74" s="1"/>
  <c r="AD50" i="74" s="1"/>
  <c r="BQ53" i="74"/>
  <c r="AS53" i="74"/>
  <c r="AK53" i="74"/>
  <c r="BQ52" i="74"/>
  <c r="AC53" i="74"/>
  <c r="BA53" i="74"/>
  <c r="BI52" i="74"/>
  <c r="AK52" i="74"/>
  <c r="AC52" i="74"/>
  <c r="BA52" i="74"/>
  <c r="U52" i="74"/>
  <c r="V52" i="74" s="1"/>
  <c r="BQ49" i="74"/>
  <c r="AS49" i="74"/>
  <c r="AK49" i="74"/>
  <c r="BI49" i="74"/>
  <c r="AC49" i="74"/>
  <c r="BA49" i="74"/>
  <c r="G195" i="10"/>
  <c r="F264" i="10" s="1"/>
  <c r="AP62" i="73"/>
  <c r="AO62" i="73"/>
  <c r="AL62" i="73"/>
  <c r="AH62" i="73"/>
  <c r="AJ62" i="73" s="1"/>
  <c r="AG62" i="73"/>
  <c r="AI62" i="73" s="1"/>
  <c r="AN62" i="73"/>
  <c r="AE60" i="73"/>
  <c r="AP58" i="73"/>
  <c r="AH58" i="73"/>
  <c r="AJ58" i="73" s="1"/>
  <c r="AL58" i="73"/>
  <c r="AO58" i="73"/>
  <c r="AG58" i="73"/>
  <c r="AI58" i="73" s="1"/>
  <c r="AN58" i="73"/>
  <c r="AE56" i="73"/>
  <c r="AP61" i="73"/>
  <c r="AH61" i="73"/>
  <c r="AJ61" i="73" s="1"/>
  <c r="AG61" i="73"/>
  <c r="AI61" i="73" s="1"/>
  <c r="AN61" i="73"/>
  <c r="AO61" i="73"/>
  <c r="AL61" i="73"/>
  <c r="AP59" i="73"/>
  <c r="AO59" i="73"/>
  <c r="AG59" i="73"/>
  <c r="AI59" i="73" s="1"/>
  <c r="AN59" i="73"/>
  <c r="AH59" i="73"/>
  <c r="AJ59" i="73" s="1"/>
  <c r="AL59" i="73"/>
  <c r="AH57" i="73"/>
  <c r="AJ57" i="73" s="1"/>
  <c r="AG57" i="73"/>
  <c r="AI57" i="73" s="1"/>
  <c r="AH55" i="73"/>
  <c r="AG55" i="73"/>
  <c r="AI55" i="73" s="1"/>
  <c r="AJ55" i="73"/>
  <c r="AP112" i="73"/>
  <c r="AB114" i="73"/>
  <c r="AP116" i="73"/>
  <c r="AB118" i="73"/>
  <c r="AP113" i="73"/>
  <c r="AB115" i="73"/>
  <c r="AP117" i="73"/>
  <c r="AB119" i="73"/>
  <c r="AB112" i="73"/>
  <c r="AP114" i="73"/>
  <c r="AB116" i="73"/>
  <c r="AP118" i="73"/>
  <c r="AB113" i="73"/>
  <c r="AP115" i="73"/>
  <c r="AB117" i="73"/>
  <c r="AP119" i="73"/>
  <c r="AO114" i="73"/>
  <c r="AL114" i="73"/>
  <c r="AN114" i="73"/>
  <c r="AO118" i="73"/>
  <c r="AL118" i="73"/>
  <c r="AN118" i="73"/>
  <c r="AO115" i="73"/>
  <c r="AL115" i="73"/>
  <c r="AN115" i="73"/>
  <c r="AO119" i="73"/>
  <c r="AL119" i="73"/>
  <c r="AN119" i="73"/>
  <c r="X56" i="74"/>
  <c r="X53" i="74"/>
  <c r="AA53" i="74"/>
  <c r="AA51" i="74"/>
  <c r="X51" i="74"/>
  <c r="AA49" i="74"/>
  <c r="X49" i="74"/>
  <c r="AO112" i="73"/>
  <c r="AL112" i="73"/>
  <c r="AN112" i="73"/>
  <c r="AO116" i="73"/>
  <c r="AL116" i="73"/>
  <c r="AN116" i="73"/>
  <c r="AO113" i="73"/>
  <c r="AL113" i="73"/>
  <c r="AN113" i="73"/>
  <c r="AO117" i="73"/>
  <c r="AL117" i="73"/>
  <c r="AN117" i="73"/>
  <c r="AV233" i="73"/>
  <c r="BV233" i="73"/>
  <c r="CA233" i="73" s="1"/>
  <c r="BV231" i="73"/>
  <c r="CA231" i="73" s="1"/>
  <c r="AV231" i="73"/>
  <c r="AV229" i="73"/>
  <c r="BV229" i="73"/>
  <c r="CA229" i="73" s="1"/>
  <c r="BV227" i="73"/>
  <c r="CA227" i="73" s="1"/>
  <c r="AV227" i="73"/>
  <c r="AS61" i="73"/>
  <c r="AX61" i="73" s="1"/>
  <c r="AS59" i="73"/>
  <c r="AX59" i="73" s="1"/>
  <c r="AS57" i="73"/>
  <c r="AX57" i="73" s="1"/>
  <c r="AS55" i="73"/>
  <c r="AX55" i="73" s="1"/>
  <c r="T118" i="73"/>
  <c r="V118" i="73" s="1"/>
  <c r="X118" i="73"/>
  <c r="AA118" i="73"/>
  <c r="S118" i="73"/>
  <c r="U118" i="73" s="1"/>
  <c r="Z118" i="73"/>
  <c r="T114" i="73"/>
  <c r="V114" i="73" s="1"/>
  <c r="X114" i="73"/>
  <c r="AA114" i="73"/>
  <c r="S114" i="73"/>
  <c r="U114" i="73" s="1"/>
  <c r="Z114" i="73"/>
  <c r="AH112" i="73"/>
  <c r="AJ112" i="73" s="1"/>
  <c r="AF112" i="73"/>
  <c r="AM112" i="73" s="1"/>
  <c r="AG112" i="73"/>
  <c r="AI112" i="73" s="1"/>
  <c r="AH116" i="73"/>
  <c r="AJ116" i="73" s="1"/>
  <c r="AF116" i="73"/>
  <c r="AM116" i="73" s="1"/>
  <c r="AG116" i="73"/>
  <c r="AI116" i="73" s="1"/>
  <c r="AA119" i="73"/>
  <c r="Z119" i="73"/>
  <c r="T119" i="73"/>
  <c r="V119" i="73" s="1"/>
  <c r="S119" i="73"/>
  <c r="U119" i="73" s="1"/>
  <c r="X119" i="73"/>
  <c r="AA115" i="73"/>
  <c r="Z115" i="73"/>
  <c r="T115" i="73"/>
  <c r="V115" i="73" s="1"/>
  <c r="S115" i="73"/>
  <c r="U115" i="73" s="1"/>
  <c r="X115" i="73"/>
  <c r="AA113" i="73"/>
  <c r="S113" i="73"/>
  <c r="U113" i="73" s="1"/>
  <c r="X113" i="73"/>
  <c r="T113" i="73"/>
  <c r="V113" i="73" s="1"/>
  <c r="Z113" i="73"/>
  <c r="AF113" i="73"/>
  <c r="AM113" i="73" s="1"/>
  <c r="AG113" i="73"/>
  <c r="AI113" i="73" s="1"/>
  <c r="AH113" i="73"/>
  <c r="AJ113" i="73" s="1"/>
  <c r="AF117" i="73"/>
  <c r="AM117" i="73" s="1"/>
  <c r="AG117" i="73"/>
  <c r="AI117" i="73" s="1"/>
  <c r="AH117" i="73"/>
  <c r="AJ117" i="73" s="1"/>
  <c r="BV226" i="73"/>
  <c r="CA226" i="73" s="1"/>
  <c r="AV226" i="73"/>
  <c r="BV232" i="73"/>
  <c r="CA232" i="73" s="1"/>
  <c r="AV232" i="73"/>
  <c r="BF232" i="73" s="1"/>
  <c r="BV230" i="73"/>
  <c r="CA230" i="73" s="1"/>
  <c r="AV230" i="73"/>
  <c r="BF230" i="73" s="1"/>
  <c r="BV228" i="73"/>
  <c r="CA228" i="73" s="1"/>
  <c r="AV228" i="73"/>
  <c r="AS62" i="73"/>
  <c r="AX62" i="73" s="1"/>
  <c r="AS60" i="73"/>
  <c r="AX60" i="73" s="1"/>
  <c r="AS58" i="73"/>
  <c r="AX58" i="73" s="1"/>
  <c r="AS56" i="73"/>
  <c r="AX56" i="73" s="1"/>
  <c r="T116" i="73"/>
  <c r="V116" i="73" s="1"/>
  <c r="S116" i="73"/>
  <c r="U116" i="73" s="1"/>
  <c r="Z116" i="73"/>
  <c r="AA116" i="73"/>
  <c r="X116" i="73"/>
  <c r="T112" i="73"/>
  <c r="V112" i="73" s="1"/>
  <c r="S112" i="73"/>
  <c r="U112" i="73" s="1"/>
  <c r="Z112" i="73"/>
  <c r="AA112" i="73"/>
  <c r="X112" i="73"/>
  <c r="AH114" i="73"/>
  <c r="AJ114" i="73" s="1"/>
  <c r="AG114" i="73"/>
  <c r="AI114" i="73" s="1"/>
  <c r="AF114" i="73"/>
  <c r="AM114" i="73" s="1"/>
  <c r="AH118" i="73"/>
  <c r="AJ118" i="73" s="1"/>
  <c r="AG118" i="73"/>
  <c r="AI118" i="73" s="1"/>
  <c r="AF118" i="73"/>
  <c r="AM118" i="73" s="1"/>
  <c r="AA117" i="73"/>
  <c r="S117" i="73"/>
  <c r="U117" i="73" s="1"/>
  <c r="X117" i="73"/>
  <c r="T117" i="73"/>
  <c r="V117" i="73" s="1"/>
  <c r="Z117" i="73"/>
  <c r="AF115" i="73"/>
  <c r="AM115" i="73" s="1"/>
  <c r="AH115" i="73"/>
  <c r="AJ115" i="73" s="1"/>
  <c r="AG115" i="73"/>
  <c r="AI115" i="73" s="1"/>
  <c r="AF119" i="73"/>
  <c r="AM119" i="73" s="1"/>
  <c r="AH119" i="73"/>
  <c r="AJ119" i="73" s="1"/>
  <c r="AG119" i="73"/>
  <c r="AI119" i="73" s="1"/>
  <c r="BV231" i="11"/>
  <c r="BV229" i="11"/>
  <c r="BV227" i="11"/>
  <c r="BV225" i="11"/>
  <c r="BV224" i="11"/>
  <c r="BV230" i="11"/>
  <c r="BV228" i="11"/>
  <c r="BV226" i="11"/>
  <c r="H61" i="68"/>
  <c r="H60" i="68"/>
  <c r="H59" i="68"/>
  <c r="H58" i="68"/>
  <c r="BV182" i="11"/>
  <c r="AS59" i="11"/>
  <c r="AS55" i="11"/>
  <c r="AS60" i="11"/>
  <c r="AS58" i="11"/>
  <c r="AS56" i="11"/>
  <c r="AS54" i="11"/>
  <c r="AS57" i="11"/>
  <c r="AS53" i="11"/>
  <c r="J14" i="26"/>
  <c r="AW34" i="8"/>
  <c r="G26" i="23"/>
  <c r="D39" i="10"/>
  <c r="J12" i="26"/>
  <c r="H194" i="10"/>
  <c r="I194" i="10" s="1"/>
  <c r="AH341" i="10"/>
  <c r="AG372" i="10"/>
  <c r="AG416" i="10"/>
  <c r="AG345" i="10"/>
  <c r="I127" i="10"/>
  <c r="AG426" i="10" s="1"/>
  <c r="I128" i="10"/>
  <c r="AG427" i="10" s="1"/>
  <c r="I120" i="10"/>
  <c r="AG419" i="10" s="1"/>
  <c r="I118" i="10"/>
  <c r="AG417" i="10" s="1"/>
  <c r="I112" i="10"/>
  <c r="AG411" i="10" s="1"/>
  <c r="AG423" i="10"/>
  <c r="AG351" i="10"/>
  <c r="G127" i="10"/>
  <c r="AG356" i="10" s="1"/>
  <c r="G128" i="10"/>
  <c r="AG357" i="10" s="1"/>
  <c r="G120" i="10"/>
  <c r="AG349" i="10" s="1"/>
  <c r="G118" i="10"/>
  <c r="AG347" i="10" s="1"/>
  <c r="G112" i="10"/>
  <c r="AG341" i="10" s="1"/>
  <c r="AG353" i="10"/>
  <c r="H112" i="10"/>
  <c r="AG376" i="10" s="1"/>
  <c r="H127" i="10"/>
  <c r="AG391" i="10" s="1"/>
  <c r="H128" i="10"/>
  <c r="AG392" i="10" s="1"/>
  <c r="H120" i="10"/>
  <c r="AG384" i="10" s="1"/>
  <c r="H118" i="10"/>
  <c r="AG382" i="10" s="1"/>
  <c r="AG319" i="10"/>
  <c r="AG316" i="10"/>
  <c r="F120" i="10"/>
  <c r="AG314" i="10" s="1"/>
  <c r="E323" i="10" s="1"/>
  <c r="F118" i="10"/>
  <c r="AG312" i="10" s="1"/>
  <c r="F127" i="10"/>
  <c r="AG321" i="10" s="1"/>
  <c r="F128" i="10"/>
  <c r="AG322" i="10" s="1"/>
  <c r="F114" i="10"/>
  <c r="F112" i="10"/>
  <c r="C107" i="10"/>
  <c r="C30" i="10"/>
  <c r="F372" i="7"/>
  <c r="F374" i="7"/>
  <c r="F376" i="7"/>
  <c r="F378" i="7"/>
  <c r="F373" i="7"/>
  <c r="F375" i="7"/>
  <c r="D14" i="26" s="1"/>
  <c r="F371" i="7"/>
  <c r="F382" i="7"/>
  <c r="F387" i="7"/>
  <c r="F391" i="7"/>
  <c r="F381" i="7"/>
  <c r="F386" i="7"/>
  <c r="F390" i="7"/>
  <c r="F380" i="7"/>
  <c r="F385" i="7"/>
  <c r="F389" i="7"/>
  <c r="F379" i="7"/>
  <c r="F384" i="7"/>
  <c r="F388" i="7"/>
  <c r="F392" i="7"/>
  <c r="D31" i="26" s="1"/>
  <c r="AW38" i="8"/>
  <c r="AW37" i="8"/>
  <c r="AW35" i="8"/>
  <c r="AR94" i="8" s="1"/>
  <c r="Q140" i="8" s="1"/>
  <c r="AW18" i="8"/>
  <c r="AW12" i="8"/>
  <c r="L94" i="8" s="1"/>
  <c r="Q109" i="8" s="1"/>
  <c r="AW10" i="8"/>
  <c r="AW39" i="8"/>
  <c r="AP94" i="8" s="1"/>
  <c r="AP97" i="8" s="1"/>
  <c r="AW36" i="8"/>
  <c r="AW19" i="8"/>
  <c r="AW13" i="8"/>
  <c r="AW11" i="8"/>
  <c r="AW32" i="8"/>
  <c r="AW33" i="8"/>
  <c r="AW14" i="8"/>
  <c r="E15" i="10"/>
  <c r="G12" i="23"/>
  <c r="E8" i="10"/>
  <c r="E43" i="10"/>
  <c r="G198" i="10"/>
  <c r="F267" i="10" s="1"/>
  <c r="D57" i="10"/>
  <c r="E42" i="10"/>
  <c r="C64" i="10"/>
  <c r="D64" i="10" s="1"/>
  <c r="E47" i="10"/>
  <c r="H205" i="10"/>
  <c r="I205" i="10" s="1"/>
  <c r="H192" i="10"/>
  <c r="I192" i="10" s="1"/>
  <c r="H208" i="10"/>
  <c r="I208" i="10" s="1"/>
  <c r="H197" i="10"/>
  <c r="I197" i="10" s="1"/>
  <c r="G197" i="10"/>
  <c r="F266" i="10" s="1"/>
  <c r="O304" i="8"/>
  <c r="AC169" i="73" s="1"/>
  <c r="H211" i="10"/>
  <c r="I211" i="10" s="1"/>
  <c r="L307" i="8"/>
  <c r="L306" i="8"/>
  <c r="L305" i="8"/>
  <c r="L304" i="8"/>
  <c r="H195" i="10"/>
  <c r="I195" i="10" s="1"/>
  <c r="F426" i="7"/>
  <c r="G208" i="10"/>
  <c r="E437" i="7"/>
  <c r="F66" i="23" s="1"/>
  <c r="H210" i="10"/>
  <c r="I210" i="10" s="1"/>
  <c r="H207" i="10"/>
  <c r="I207" i="10" s="1"/>
  <c r="G207" i="10"/>
  <c r="O306" i="8"/>
  <c r="AC171" i="73" s="1"/>
  <c r="O309" i="8"/>
  <c r="O307" i="8"/>
  <c r="AC172" i="73" s="1"/>
  <c r="AO172" i="73" s="1"/>
  <c r="O308" i="8"/>
  <c r="AC173" i="73" s="1"/>
  <c r="AO173" i="73" s="1"/>
  <c r="O311" i="8"/>
  <c r="AC176" i="73" s="1"/>
  <c r="AO176" i="73" s="1"/>
  <c r="O310" i="8"/>
  <c r="AC175" i="73" s="1"/>
  <c r="AO175" i="73" s="1"/>
  <c r="O305" i="8"/>
  <c r="AC170" i="73" s="1"/>
  <c r="H212" i="10"/>
  <c r="I212" i="10" s="1"/>
  <c r="H198" i="10"/>
  <c r="I198" i="10" s="1"/>
  <c r="H114" i="10"/>
  <c r="I114" i="10"/>
  <c r="G114" i="10"/>
  <c r="F111" i="10"/>
  <c r="I111" i="10"/>
  <c r="G111" i="10"/>
  <c r="H111" i="10"/>
  <c r="X50" i="74" l="1"/>
  <c r="AA56" i="74"/>
  <c r="AD56" i="74" s="1"/>
  <c r="AE56" i="74" s="1"/>
  <c r="X55" i="74"/>
  <c r="J447" i="7"/>
  <c r="E460" i="7" s="1"/>
  <c r="E41" i="10"/>
  <c r="P447" i="7"/>
  <c r="J94" i="8"/>
  <c r="AM94" i="8"/>
  <c r="E94" i="8"/>
  <c r="Q102" i="8" s="1"/>
  <c r="P94" i="8"/>
  <c r="Q95" i="8"/>
  <c r="R114" i="8" s="1"/>
  <c r="O95" i="8"/>
  <c r="X54" i="74"/>
  <c r="E139" i="10"/>
  <c r="F139" i="10" s="1"/>
  <c r="AH304" i="10" s="1"/>
  <c r="D137" i="10"/>
  <c r="E137" i="10" s="1"/>
  <c r="D138" i="10"/>
  <c r="E458" i="7"/>
  <c r="E457" i="7"/>
  <c r="E98" i="8"/>
  <c r="N102" i="8" s="1"/>
  <c r="R102" i="8"/>
  <c r="E39" i="10"/>
  <c r="D167" i="10" s="1"/>
  <c r="C56" i="10"/>
  <c r="D56" i="10" s="1"/>
  <c r="D136" i="10" s="1"/>
  <c r="E461" i="7"/>
  <c r="E467" i="7"/>
  <c r="AH94" i="8"/>
  <c r="AF94" i="8"/>
  <c r="M261" i="7"/>
  <c r="P261" i="7"/>
  <c r="J261" i="7"/>
  <c r="M265" i="7"/>
  <c r="P265" i="7"/>
  <c r="J265" i="7"/>
  <c r="P256" i="7"/>
  <c r="E274" i="7" s="1"/>
  <c r="M256" i="7"/>
  <c r="J256" i="7"/>
  <c r="X94" i="8"/>
  <c r="R94" i="8"/>
  <c r="P257" i="7"/>
  <c r="M257" i="7"/>
  <c r="J257" i="7"/>
  <c r="P260" i="7"/>
  <c r="M260" i="7"/>
  <c r="J260" i="7"/>
  <c r="M259" i="7"/>
  <c r="J259" i="7"/>
  <c r="P259" i="7"/>
  <c r="P258" i="7"/>
  <c r="M258" i="7"/>
  <c r="J258" i="7"/>
  <c r="M266" i="7"/>
  <c r="J266" i="7"/>
  <c r="P266" i="7"/>
  <c r="AA55" i="74"/>
  <c r="AD55" i="74" s="1"/>
  <c r="AE55" i="74" s="1"/>
  <c r="AK94" i="8"/>
  <c r="Q134" i="8" s="1"/>
  <c r="AD49" i="74"/>
  <c r="AE49" i="74" s="1"/>
  <c r="W50" i="74"/>
  <c r="AE50" i="74"/>
  <c r="Z358" i="10"/>
  <c r="AE54" i="74"/>
  <c r="W52" i="74"/>
  <c r="BY229" i="73"/>
  <c r="BZ228" i="73"/>
  <c r="BZ230" i="73"/>
  <c r="BZ232" i="73"/>
  <c r="BZ227" i="73"/>
  <c r="BZ231" i="73"/>
  <c r="BZ233" i="73"/>
  <c r="AW58" i="73"/>
  <c r="AV57" i="73"/>
  <c r="AW59" i="73"/>
  <c r="AW61" i="73"/>
  <c r="AV56" i="73"/>
  <c r="AV60" i="73"/>
  <c r="AW62" i="73"/>
  <c r="BZ229" i="73"/>
  <c r="BY228" i="73"/>
  <c r="BY230" i="73"/>
  <c r="BY232" i="73"/>
  <c r="BY227" i="73"/>
  <c r="BY231" i="73"/>
  <c r="BY233" i="73"/>
  <c r="AV58" i="73"/>
  <c r="AW57" i="73"/>
  <c r="AV59" i="73"/>
  <c r="AV61" i="73"/>
  <c r="AW56" i="73"/>
  <c r="AW60" i="73"/>
  <c r="AV62" i="73"/>
  <c r="BY226" i="73"/>
  <c r="AV55" i="73"/>
  <c r="BZ226" i="73"/>
  <c r="AW55" i="73"/>
  <c r="AD51" i="74"/>
  <c r="AI51" i="74" s="1"/>
  <c r="AL51" i="74" s="1"/>
  <c r="AA52" i="74"/>
  <c r="AD52" i="74" s="1"/>
  <c r="AI52" i="74" s="1"/>
  <c r="AL52" i="74" s="1"/>
  <c r="I393" i="10"/>
  <c r="U393" i="10"/>
  <c r="U358" i="10"/>
  <c r="I358" i="10"/>
  <c r="E393" i="10"/>
  <c r="S196" i="8" s="1"/>
  <c r="R358" i="10"/>
  <c r="I323" i="10"/>
  <c r="AB428" i="10"/>
  <c r="AB430" i="10" s="1"/>
  <c r="R428" i="10"/>
  <c r="R430" i="10" s="1"/>
  <c r="Z323" i="10"/>
  <c r="Z393" i="10"/>
  <c r="Y428" i="10"/>
  <c r="Y430" i="10" s="1"/>
  <c r="X52" i="74"/>
  <c r="AD53" i="74"/>
  <c r="G263" i="10"/>
  <c r="G264" i="10"/>
  <c r="G222" i="10"/>
  <c r="H265" i="10" s="1"/>
  <c r="H222" i="10"/>
  <c r="I222" i="10" s="1"/>
  <c r="H223" i="10"/>
  <c r="I223" i="10" s="1"/>
  <c r="G223" i="10"/>
  <c r="H266" i="10" s="1"/>
  <c r="AE175" i="73"/>
  <c r="AG175" i="73" s="1"/>
  <c r="AJ175" i="73"/>
  <c r="AN175" i="73"/>
  <c r="AL175" i="73"/>
  <c r="AM175" i="73"/>
  <c r="AF175" i="73"/>
  <c r="AH175" i="73"/>
  <c r="AL172" i="73"/>
  <c r="AE172" i="73"/>
  <c r="AG172" i="73" s="1"/>
  <c r="AJ172" i="73"/>
  <c r="AN172" i="73"/>
  <c r="AM172" i="73"/>
  <c r="AF172" i="73"/>
  <c r="AH172" i="73" s="1"/>
  <c r="AE171" i="73"/>
  <c r="AG171" i="73" s="1"/>
  <c r="AF171" i="73"/>
  <c r="AH171" i="73" s="1"/>
  <c r="AE170" i="73"/>
  <c r="AG170" i="73" s="1"/>
  <c r="AF170" i="73"/>
  <c r="AH170" i="73" s="1"/>
  <c r="AE176" i="73"/>
  <c r="AG176" i="73" s="1"/>
  <c r="AJ176" i="73"/>
  <c r="AN176" i="73"/>
  <c r="AL176" i="73"/>
  <c r="AM176" i="73"/>
  <c r="AF176" i="73"/>
  <c r="AH176" i="73" s="1"/>
  <c r="AS172" i="11"/>
  <c r="AC174" i="73"/>
  <c r="AH60" i="73"/>
  <c r="AJ60" i="73" s="1"/>
  <c r="AG60" i="73"/>
  <c r="AI60" i="73" s="1"/>
  <c r="AL173" i="73"/>
  <c r="AE173" i="73"/>
  <c r="AG173" i="73" s="1"/>
  <c r="AJ173" i="73"/>
  <c r="AN173" i="73"/>
  <c r="AM173" i="73"/>
  <c r="AF173" i="73"/>
  <c r="AH173" i="73"/>
  <c r="AH169" i="73"/>
  <c r="AF169" i="73"/>
  <c r="AE169" i="73"/>
  <c r="AG169" i="73" s="1"/>
  <c r="AH56" i="73"/>
  <c r="AJ56" i="73" s="1"/>
  <c r="AG56" i="73"/>
  <c r="AI56" i="73" s="1"/>
  <c r="AI50" i="74"/>
  <c r="AL50" i="74" s="1"/>
  <c r="AF50" i="74"/>
  <c r="AI54" i="74"/>
  <c r="AL54" i="74" s="1"/>
  <c r="AF54" i="74"/>
  <c r="BE230" i="73"/>
  <c r="BC230" i="73"/>
  <c r="BD230" i="73"/>
  <c r="BB230" i="73"/>
  <c r="BE232" i="73"/>
  <c r="BC232" i="73"/>
  <c r="BD232" i="73"/>
  <c r="BB232" i="73"/>
  <c r="AS173" i="73"/>
  <c r="AS171" i="73"/>
  <c r="AW230" i="73"/>
  <c r="AY230" i="73" s="1"/>
  <c r="BH230" i="73"/>
  <c r="AX230" i="73"/>
  <c r="AZ230" i="73" s="1"/>
  <c r="AW232" i="73"/>
  <c r="AY232" i="73" s="1"/>
  <c r="AX232" i="73"/>
  <c r="AZ232" i="73" s="1"/>
  <c r="AX231" i="73"/>
  <c r="AZ231" i="73" s="1"/>
  <c r="AW231" i="73"/>
  <c r="AY231" i="73" s="1"/>
  <c r="AS175" i="73"/>
  <c r="AS172" i="73"/>
  <c r="AS169" i="73"/>
  <c r="AS170" i="73"/>
  <c r="AS176" i="73"/>
  <c r="AS174" i="73"/>
  <c r="AW228" i="73"/>
  <c r="AY228" i="73" s="1"/>
  <c r="BH228" i="73"/>
  <c r="AX228" i="73"/>
  <c r="AZ228" i="73" s="1"/>
  <c r="AW226" i="73"/>
  <c r="AY226" i="73" s="1"/>
  <c r="BH226" i="73"/>
  <c r="AX226" i="73"/>
  <c r="AZ226" i="73" s="1"/>
  <c r="AW227" i="73"/>
  <c r="AY227" i="73" s="1"/>
  <c r="AX227" i="73"/>
  <c r="AZ227" i="73" s="1"/>
  <c r="BH227" i="73"/>
  <c r="AW229" i="73"/>
  <c r="AY229" i="73" s="1"/>
  <c r="AX229" i="73"/>
  <c r="AZ229" i="73" s="1"/>
  <c r="BH229" i="73"/>
  <c r="AX233" i="73"/>
  <c r="AZ233" i="73" s="1"/>
  <c r="BH233" i="73"/>
  <c r="AW233" i="73"/>
  <c r="AY233" i="73" s="1"/>
  <c r="H56" i="68"/>
  <c r="H55" i="68"/>
  <c r="H57" i="68"/>
  <c r="H54" i="68"/>
  <c r="G194" i="10"/>
  <c r="F263" i="10" s="1"/>
  <c r="AG306" i="10"/>
  <c r="AS127" i="11"/>
  <c r="AH306" i="10"/>
  <c r="AS168" i="11"/>
  <c r="AS174" i="11"/>
  <c r="AS128" i="11"/>
  <c r="AS167" i="11"/>
  <c r="AS125" i="11"/>
  <c r="AS173" i="11"/>
  <c r="AS171" i="11"/>
  <c r="AS170" i="11"/>
  <c r="AS169" i="11"/>
  <c r="AO94" i="8"/>
  <c r="AT94" i="8"/>
  <c r="D26" i="10"/>
  <c r="D27" i="26"/>
  <c r="D17" i="10"/>
  <c r="D19" i="26"/>
  <c r="D23" i="10"/>
  <c r="D24" i="26"/>
  <c r="D28" i="10"/>
  <c r="D29" i="26"/>
  <c r="D19" i="10"/>
  <c r="D21" i="26"/>
  <c r="D25" i="10"/>
  <c r="D26" i="26"/>
  <c r="F393" i="7"/>
  <c r="D32" i="26" s="1"/>
  <c r="D10" i="26"/>
  <c r="D10" i="10"/>
  <c r="D12" i="26"/>
  <c r="D12" i="10"/>
  <c r="D15" i="26"/>
  <c r="D9" i="10"/>
  <c r="D11" i="26"/>
  <c r="D51" i="10"/>
  <c r="J21" i="26"/>
  <c r="D22" i="10"/>
  <c r="D23" i="26"/>
  <c r="D27" i="10"/>
  <c r="D28" i="26"/>
  <c r="D18" i="10"/>
  <c r="D20" i="26"/>
  <c r="D24" i="10"/>
  <c r="D25" i="26"/>
  <c r="D29" i="10"/>
  <c r="D30" i="26"/>
  <c r="D21" i="10"/>
  <c r="D22" i="26"/>
  <c r="D15" i="10"/>
  <c r="D17" i="26"/>
  <c r="D11" i="10"/>
  <c r="D13" i="26"/>
  <c r="AG340" i="10"/>
  <c r="AG385" i="10"/>
  <c r="AG315" i="10"/>
  <c r="AG303" i="10"/>
  <c r="S323" i="10" s="1"/>
  <c r="AG338" i="10"/>
  <c r="F358" i="10" s="1"/>
  <c r="AG374" i="10"/>
  <c r="AG409" i="10"/>
  <c r="AG305" i="10"/>
  <c r="AG375" i="10"/>
  <c r="AG410" i="10"/>
  <c r="AG350" i="10"/>
  <c r="AG420" i="10"/>
  <c r="AG308" i="10"/>
  <c r="AG339" i="10"/>
  <c r="E30" i="10"/>
  <c r="D323" i="10"/>
  <c r="S195" i="8" s="1"/>
  <c r="AG373" i="10"/>
  <c r="AG343" i="10"/>
  <c r="G358" i="10" s="1"/>
  <c r="AG378" i="10"/>
  <c r="AG408" i="10"/>
  <c r="AG413" i="10"/>
  <c r="E107" i="10"/>
  <c r="F107" i="10" s="1"/>
  <c r="AR97" i="8"/>
  <c r="M140" i="8" s="1"/>
  <c r="O94" i="8"/>
  <c r="Q112" i="8" s="1"/>
  <c r="H94" i="8"/>
  <c r="Q105" i="8" s="1"/>
  <c r="V94" i="8"/>
  <c r="Q119" i="8" s="1"/>
  <c r="L97" i="8"/>
  <c r="M109" i="8" s="1"/>
  <c r="L214" i="8" s="1"/>
  <c r="Q94" i="8"/>
  <c r="Q114" i="8" s="1"/>
  <c r="Z94" i="8"/>
  <c r="Q123" i="8" s="1"/>
  <c r="N94" i="8"/>
  <c r="Q111" i="8" s="1"/>
  <c r="AW93" i="8"/>
  <c r="G205" i="10"/>
  <c r="G192" i="10"/>
  <c r="F261" i="10" s="1"/>
  <c r="I74" i="10"/>
  <c r="H206" i="10"/>
  <c r="I206" i="10" s="1"/>
  <c r="G206" i="10"/>
  <c r="H193" i="10"/>
  <c r="I193" i="10" s="1"/>
  <c r="G193" i="10"/>
  <c r="F262" i="10" s="1"/>
  <c r="G199" i="10"/>
  <c r="F268" i="10" s="1"/>
  <c r="H199" i="10"/>
  <c r="I199" i="10" s="1"/>
  <c r="I26" i="26"/>
  <c r="G209" i="10"/>
  <c r="H209" i="10"/>
  <c r="I209" i="10" s="1"/>
  <c r="G196" i="10"/>
  <c r="F265" i="10" s="1"/>
  <c r="H196" i="10"/>
  <c r="I196" i="10" s="1"/>
  <c r="D8" i="10"/>
  <c r="E97" i="8" l="1"/>
  <c r="M102" i="8" s="1"/>
  <c r="AI56" i="74"/>
  <c r="AL56" i="74" s="1"/>
  <c r="AQ56" i="74" s="1"/>
  <c r="AT56" i="74" s="1"/>
  <c r="AF55" i="74"/>
  <c r="H139" i="10"/>
  <c r="AH374" i="10" s="1"/>
  <c r="AF56" i="74"/>
  <c r="I139" i="10"/>
  <c r="AH409" i="10" s="1"/>
  <c r="G139" i="10"/>
  <c r="AH339" i="10" s="1"/>
  <c r="AI49" i="74"/>
  <c r="AL49" i="74" s="1"/>
  <c r="AM49" i="74" s="1"/>
  <c r="E51" i="10"/>
  <c r="E273" i="7"/>
  <c r="E272" i="7"/>
  <c r="Q98" i="8"/>
  <c r="N114" i="8" s="1"/>
  <c r="Q107" i="8"/>
  <c r="J97" i="8"/>
  <c r="M107" i="8" s="1"/>
  <c r="Q113" i="8"/>
  <c r="P97" i="8"/>
  <c r="M113" i="8" s="1"/>
  <c r="AM97" i="8"/>
  <c r="M136" i="8" s="1"/>
  <c r="Q136" i="8"/>
  <c r="R112" i="8"/>
  <c r="O98" i="8"/>
  <c r="N112" i="8" s="1"/>
  <c r="AI55" i="74"/>
  <c r="AL55" i="74" s="1"/>
  <c r="AQ55" i="74" s="1"/>
  <c r="AT55" i="74" s="1"/>
  <c r="AF49" i="74"/>
  <c r="H137" i="10"/>
  <c r="AH372" i="10" s="1"/>
  <c r="F137" i="10"/>
  <c r="AH302" i="10" s="1"/>
  <c r="AD324" i="10" s="1"/>
  <c r="I137" i="10"/>
  <c r="AH407" i="10" s="1"/>
  <c r="G137" i="10"/>
  <c r="AH337" i="10" s="1"/>
  <c r="AF51" i="74"/>
  <c r="L207" i="8"/>
  <c r="G393" i="10"/>
  <c r="K323" i="10"/>
  <c r="G323" i="10"/>
  <c r="F323" i="10"/>
  <c r="V428" i="10"/>
  <c r="V430" i="10" s="1"/>
  <c r="F393" i="10"/>
  <c r="K393" i="10"/>
  <c r="D166" i="10"/>
  <c r="G172" i="10" s="1"/>
  <c r="J473" i="10" s="1"/>
  <c r="E472" i="7"/>
  <c r="F461" i="7" s="1"/>
  <c r="G171" i="10"/>
  <c r="G175" i="10"/>
  <c r="J486" i="10" s="1"/>
  <c r="E275" i="7"/>
  <c r="J30" i="26"/>
  <c r="Q131" i="8"/>
  <c r="AH97" i="8"/>
  <c r="M131" i="8" s="1"/>
  <c r="AF97" i="8"/>
  <c r="M129" i="8" s="1"/>
  <c r="Q129" i="8"/>
  <c r="Q121" i="8"/>
  <c r="X97" i="8"/>
  <c r="M121" i="8" s="1"/>
  <c r="R97" i="8"/>
  <c r="M115" i="8" s="1"/>
  <c r="Q115" i="8"/>
  <c r="AK97" i="8"/>
  <c r="M134" i="8" s="1"/>
  <c r="BS228" i="73"/>
  <c r="BT228" i="73"/>
  <c r="BS230" i="73"/>
  <c r="BT230" i="73"/>
  <c r="BS227" i="73"/>
  <c r="BT227" i="73"/>
  <c r="BS226" i="73"/>
  <c r="BT226" i="73"/>
  <c r="AM54" i="74"/>
  <c r="AE53" i="74"/>
  <c r="AF53" i="74"/>
  <c r="AM50" i="74"/>
  <c r="AM51" i="74"/>
  <c r="AM52" i="74"/>
  <c r="AE52" i="74"/>
  <c r="AF52" i="74"/>
  <c r="AE51" i="74"/>
  <c r="AX171" i="73"/>
  <c r="AW171" i="73"/>
  <c r="AV171" i="73"/>
  <c r="AX173" i="73"/>
  <c r="AV173" i="73"/>
  <c r="AW173" i="73"/>
  <c r="AX174" i="73"/>
  <c r="AW174" i="73"/>
  <c r="AV174" i="73"/>
  <c r="AX176" i="73"/>
  <c r="AV176" i="73"/>
  <c r="AW176" i="73"/>
  <c r="AX170" i="73"/>
  <c r="AW170" i="73"/>
  <c r="AV170" i="73"/>
  <c r="AX172" i="73"/>
  <c r="AV172" i="73"/>
  <c r="AW172" i="73"/>
  <c r="AX175" i="73"/>
  <c r="AV175" i="73"/>
  <c r="AW175" i="73"/>
  <c r="AW169" i="73"/>
  <c r="AV169" i="73"/>
  <c r="S200" i="8"/>
  <c r="AI53" i="74"/>
  <c r="AL53" i="74" s="1"/>
  <c r="AN53" i="74" s="1"/>
  <c r="J482" i="10"/>
  <c r="J484" i="10"/>
  <c r="D299" i="10" a="1"/>
  <c r="AE428" i="10"/>
  <c r="AE430" i="10" s="1"/>
  <c r="AF393" i="10"/>
  <c r="N428" i="10"/>
  <c r="N430" i="10" s="1"/>
  <c r="X358" i="10"/>
  <c r="X323" i="10"/>
  <c r="O323" i="10"/>
  <c r="X393" i="10"/>
  <c r="H323" i="10"/>
  <c r="H393" i="10"/>
  <c r="AA428" i="10"/>
  <c r="AA430" i="10" s="1"/>
  <c r="AC428" i="10"/>
  <c r="AC430" i="10" s="1"/>
  <c r="K358" i="10"/>
  <c r="O358" i="10"/>
  <c r="W428" i="10"/>
  <c r="W430" i="10" s="1"/>
  <c r="O393" i="10"/>
  <c r="H358" i="10"/>
  <c r="AD358" i="10"/>
  <c r="AC393" i="10"/>
  <c r="G262" i="10"/>
  <c r="G265" i="10"/>
  <c r="G261" i="10"/>
  <c r="H221" i="10"/>
  <c r="I221" i="10" s="1"/>
  <c r="G221" i="10"/>
  <c r="H264" i="10" s="1"/>
  <c r="G220" i="10"/>
  <c r="H263" i="10" s="1"/>
  <c r="H220" i="10"/>
  <c r="I220" i="10" s="1"/>
  <c r="AE174" i="73"/>
  <c r="AG174" i="73" s="1"/>
  <c r="AF174" i="73"/>
  <c r="AH174" i="73"/>
  <c r="BQ227" i="73"/>
  <c r="BO227" i="73"/>
  <c r="BP227" i="73"/>
  <c r="BQ230" i="73"/>
  <c r="BO230" i="73"/>
  <c r="BP230" i="73"/>
  <c r="AN54" i="74"/>
  <c r="AQ54" i="74"/>
  <c r="AT54" i="74" s="1"/>
  <c r="AQ52" i="74"/>
  <c r="AT52" i="74" s="1"/>
  <c r="AN52" i="74"/>
  <c r="BQ226" i="73"/>
  <c r="BO226" i="73"/>
  <c r="BP226" i="73"/>
  <c r="BQ228" i="73"/>
  <c r="BO228" i="73"/>
  <c r="BP228" i="73"/>
  <c r="AN51" i="74"/>
  <c r="AQ51" i="74"/>
  <c r="AT51" i="74" s="1"/>
  <c r="AN50" i="74"/>
  <c r="AQ50" i="74"/>
  <c r="AT50" i="74" s="1"/>
  <c r="BI233" i="73"/>
  <c r="BL233" i="73" s="1"/>
  <c r="BJ233" i="73"/>
  <c r="BM233" i="73" s="1"/>
  <c r="BK229" i="73"/>
  <c r="BR229" i="73" s="1"/>
  <c r="BK227" i="73"/>
  <c r="BR227" i="73" s="1"/>
  <c r="BI226" i="73"/>
  <c r="BL226" i="73" s="1"/>
  <c r="BJ226" i="73"/>
  <c r="BM226" i="73" s="1"/>
  <c r="BK226" i="73"/>
  <c r="BR226" i="73" s="1"/>
  <c r="BK231" i="73"/>
  <c r="BR231" i="73" s="1"/>
  <c r="BK230" i="73"/>
  <c r="BR230" i="73" s="1"/>
  <c r="BK233" i="73"/>
  <c r="BR233" i="73" s="1"/>
  <c r="BM229" i="73"/>
  <c r="BJ229" i="73"/>
  <c r="BI229" i="73"/>
  <c r="BL229" i="73" s="1"/>
  <c r="BI227" i="73"/>
  <c r="BL227" i="73" s="1"/>
  <c r="BJ227" i="73"/>
  <c r="BM227" i="73" s="1"/>
  <c r="BJ228" i="73"/>
  <c r="BM228" i="73" s="1"/>
  <c r="BI228" i="73"/>
  <c r="BL228" i="73" s="1"/>
  <c r="BK228" i="73"/>
  <c r="BR228" i="73" s="1"/>
  <c r="BK232" i="73"/>
  <c r="BR232" i="73" s="1"/>
  <c r="BI230" i="73"/>
  <c r="BL230" i="73" s="1"/>
  <c r="BJ230" i="73"/>
  <c r="BM230" i="73" s="1"/>
  <c r="C68" i="10"/>
  <c r="BH231" i="73"/>
  <c r="BH232" i="73"/>
  <c r="AO97" i="8"/>
  <c r="M138" i="8" s="1"/>
  <c r="Q138" i="8"/>
  <c r="AT97" i="8"/>
  <c r="M141" i="8" s="1"/>
  <c r="Q141" i="8"/>
  <c r="D60" i="10"/>
  <c r="D140" i="10" s="1"/>
  <c r="E140" i="10" s="1"/>
  <c r="D83" i="10"/>
  <c r="F83" i="10" s="1"/>
  <c r="D147" i="10" s="1"/>
  <c r="E147" i="10" s="1"/>
  <c r="J35" i="26"/>
  <c r="D88" i="10"/>
  <c r="F88" i="10" s="1"/>
  <c r="D152" i="10" s="1"/>
  <c r="E152" i="10" s="1"/>
  <c r="J39" i="26"/>
  <c r="D92" i="10"/>
  <c r="F92" i="10" s="1"/>
  <c r="D156" i="10" s="1"/>
  <c r="E156" i="10" s="1"/>
  <c r="J43" i="26"/>
  <c r="D82" i="10"/>
  <c r="E82" i="10" s="1"/>
  <c r="J34" i="26"/>
  <c r="D87" i="10"/>
  <c r="F87" i="10" s="1"/>
  <c r="D151" i="10" s="1"/>
  <c r="E151" i="10" s="1"/>
  <c r="J38" i="26"/>
  <c r="D91" i="10"/>
  <c r="F91" i="10" s="1"/>
  <c r="D155" i="10" s="1"/>
  <c r="E155" i="10" s="1"/>
  <c r="J42" i="26"/>
  <c r="D81" i="10"/>
  <c r="F81" i="10" s="1"/>
  <c r="D145" i="10" s="1"/>
  <c r="E145" i="10" s="1"/>
  <c r="J33" i="26"/>
  <c r="D86" i="10"/>
  <c r="E86" i="10" s="1"/>
  <c r="J37" i="26"/>
  <c r="D90" i="10"/>
  <c r="E90" i="10" s="1"/>
  <c r="J41" i="26"/>
  <c r="D80" i="10"/>
  <c r="E80" i="10" s="1"/>
  <c r="J32" i="26"/>
  <c r="D85" i="10"/>
  <c r="E85" i="10" s="1"/>
  <c r="J36" i="26"/>
  <c r="D89" i="10"/>
  <c r="F89" i="10" s="1"/>
  <c r="D153" i="10" s="1"/>
  <c r="E153" i="10" s="1"/>
  <c r="J40" i="26"/>
  <c r="D93" i="10"/>
  <c r="F93" i="10" s="1"/>
  <c r="D157" i="10" s="1"/>
  <c r="E157" i="10" s="1"/>
  <c r="J44" i="26"/>
  <c r="AF358" i="10"/>
  <c r="E138" i="10"/>
  <c r="AG301" i="10"/>
  <c r="H107" i="10"/>
  <c r="I107" i="10"/>
  <c r="G107" i="10"/>
  <c r="D79" i="10"/>
  <c r="D94" i="10" s="1"/>
  <c r="N97" i="8"/>
  <c r="M111" i="8" s="1"/>
  <c r="Q97" i="8"/>
  <c r="V97" i="8"/>
  <c r="M119" i="8" s="1"/>
  <c r="O97" i="8"/>
  <c r="Z97" i="8"/>
  <c r="M123" i="8" s="1"/>
  <c r="H97" i="8"/>
  <c r="M105" i="8" s="1"/>
  <c r="AQ49" i="74" l="1"/>
  <c r="AT49" i="74" s="1"/>
  <c r="AN56" i="74"/>
  <c r="AM56" i="74"/>
  <c r="AN49" i="74"/>
  <c r="AM55" i="74"/>
  <c r="AN55" i="74"/>
  <c r="Q323" i="10"/>
  <c r="AF323" i="10"/>
  <c r="U323" i="10"/>
  <c r="S197" i="8"/>
  <c r="J45" i="26"/>
  <c r="H140" i="10"/>
  <c r="AH375" i="10" s="1"/>
  <c r="G140" i="10"/>
  <c r="AH340" i="10" s="1"/>
  <c r="F140" i="10"/>
  <c r="AH305" i="10" s="1"/>
  <c r="I140" i="10"/>
  <c r="AH410" i="10" s="1"/>
  <c r="S202" i="8"/>
  <c r="S198" i="8"/>
  <c r="M323" i="10"/>
  <c r="G174" i="10"/>
  <c r="J478" i="10" s="1"/>
  <c r="G173" i="10"/>
  <c r="J475" i="10" s="1"/>
  <c r="I35" i="26"/>
  <c r="C83" i="10"/>
  <c r="F457" i="7"/>
  <c r="F464" i="7"/>
  <c r="F466" i="7"/>
  <c r="F468" i="7"/>
  <c r="F470" i="7"/>
  <c r="F471" i="7"/>
  <c r="F465" i="7"/>
  <c r="F467" i="7"/>
  <c r="F469" i="7"/>
  <c r="F463" i="7"/>
  <c r="F460" i="7"/>
  <c r="F458" i="7"/>
  <c r="F459" i="7"/>
  <c r="H138" i="10"/>
  <c r="AH373" i="10" s="1"/>
  <c r="I138" i="10"/>
  <c r="F138" i="10"/>
  <c r="G138" i="10"/>
  <c r="AH338" i="10" s="1"/>
  <c r="H153" i="10"/>
  <c r="AH388" i="10" s="1"/>
  <c r="I153" i="10"/>
  <c r="AH423" i="10" s="1"/>
  <c r="F153" i="10"/>
  <c r="AH318" i="10" s="1"/>
  <c r="G153" i="10"/>
  <c r="AH353" i="10" s="1"/>
  <c r="F145" i="10"/>
  <c r="AH310" i="10" s="1"/>
  <c r="G145" i="10"/>
  <c r="AH345" i="10" s="1"/>
  <c r="H145" i="10"/>
  <c r="AH380" i="10" s="1"/>
  <c r="I145" i="10"/>
  <c r="AH415" i="10" s="1"/>
  <c r="H155" i="10"/>
  <c r="AH390" i="10" s="1"/>
  <c r="I155" i="10"/>
  <c r="AH425" i="10" s="1"/>
  <c r="F155" i="10"/>
  <c r="AH320" i="10" s="1"/>
  <c r="G155" i="10"/>
  <c r="AH355" i="10" s="1"/>
  <c r="F152" i="10"/>
  <c r="AH317" i="10" s="1"/>
  <c r="G152" i="10"/>
  <c r="AH352" i="10" s="1"/>
  <c r="H152" i="10"/>
  <c r="AH387" i="10" s="1"/>
  <c r="I152" i="10"/>
  <c r="AH422" i="10" s="1"/>
  <c r="G147" i="10"/>
  <c r="AH347" i="10" s="1"/>
  <c r="I147" i="10"/>
  <c r="AH417" i="10" s="1"/>
  <c r="F147" i="10"/>
  <c r="AH312" i="10" s="1"/>
  <c r="H147" i="10"/>
  <c r="AH382" i="10" s="1"/>
  <c r="BS231" i="73"/>
  <c r="BT231" i="73"/>
  <c r="BS232" i="73"/>
  <c r="BT232" i="73"/>
  <c r="AM53" i="74"/>
  <c r="AU56" i="74"/>
  <c r="AU50" i="74"/>
  <c r="AU52" i="74"/>
  <c r="AU49" i="74"/>
  <c r="AU51" i="74"/>
  <c r="AU54" i="74"/>
  <c r="AU55" i="74"/>
  <c r="AQ53" i="74"/>
  <c r="AT53" i="74" s="1"/>
  <c r="S199" i="8"/>
  <c r="J474" i="10"/>
  <c r="D299" i="10"/>
  <c r="D325" i="10" s="1"/>
  <c r="AC299" i="10"/>
  <c r="Y299" i="10"/>
  <c r="U299" i="10"/>
  <c r="Q299" i="10"/>
  <c r="M299" i="10"/>
  <c r="I299" i="10"/>
  <c r="E299" i="10"/>
  <c r="AD299" i="10"/>
  <c r="Z299" i="10"/>
  <c r="V299" i="10"/>
  <c r="R299" i="10"/>
  <c r="N299" i="10"/>
  <c r="J299" i="10"/>
  <c r="J326" i="10" s="1"/>
  <c r="F299" i="10"/>
  <c r="AE299" i="10"/>
  <c r="AA299" i="10"/>
  <c r="W299" i="10"/>
  <c r="S299" i="10"/>
  <c r="O299" i="10"/>
  <c r="K299" i="10"/>
  <c r="G299" i="10"/>
  <c r="AF299" i="10"/>
  <c r="AB299" i="10"/>
  <c r="X299" i="10"/>
  <c r="T299" i="10"/>
  <c r="P299" i="10"/>
  <c r="L299" i="10"/>
  <c r="H299" i="10"/>
  <c r="D334" i="10" a="1"/>
  <c r="H219" i="10"/>
  <c r="I219" i="10" s="1"/>
  <c r="G219" i="10"/>
  <c r="H262" i="10" s="1"/>
  <c r="G218" i="10"/>
  <c r="H261" i="10" s="1"/>
  <c r="H218" i="10"/>
  <c r="I218" i="10" s="1"/>
  <c r="G224" i="10"/>
  <c r="H267" i="10" s="1"/>
  <c r="H224" i="10"/>
  <c r="I224" i="10" s="1"/>
  <c r="BQ231" i="73"/>
  <c r="BO231" i="73"/>
  <c r="BP231" i="73"/>
  <c r="AV51" i="74"/>
  <c r="AY51" i="74"/>
  <c r="BB51" i="74" s="1"/>
  <c r="AV52" i="74"/>
  <c r="AY52" i="74"/>
  <c r="BB52" i="74" s="1"/>
  <c r="AY49" i="74"/>
  <c r="BB49" i="74" s="1"/>
  <c r="AV49" i="74"/>
  <c r="BQ232" i="73"/>
  <c r="BO232" i="73"/>
  <c r="BP232" i="73"/>
  <c r="AV50" i="74"/>
  <c r="AY50" i="74"/>
  <c r="BB50" i="74" s="1"/>
  <c r="AV56" i="74"/>
  <c r="AY56" i="74"/>
  <c r="BB56" i="74" s="1"/>
  <c r="AY54" i="74"/>
  <c r="BB54" i="74" s="1"/>
  <c r="AV54" i="74"/>
  <c r="AV55" i="74"/>
  <c r="AY55" i="74"/>
  <c r="BB55" i="74" s="1"/>
  <c r="BI231" i="73"/>
  <c r="BL231" i="73" s="1"/>
  <c r="BJ231" i="73"/>
  <c r="BM231" i="73" s="1"/>
  <c r="BJ232" i="73"/>
  <c r="BM232" i="73" s="1"/>
  <c r="BI232" i="73"/>
  <c r="BL232" i="73" s="1"/>
  <c r="M112" i="8"/>
  <c r="M114" i="8"/>
  <c r="E92" i="10"/>
  <c r="E136" i="10"/>
  <c r="F82" i="10"/>
  <c r="D146" i="10" s="1"/>
  <c r="E146" i="10" s="1"/>
  <c r="AH408" i="10"/>
  <c r="F86" i="10"/>
  <c r="D150" i="10" s="1"/>
  <c r="E150" i="10" s="1"/>
  <c r="H150" i="10" s="1"/>
  <c r="E88" i="10"/>
  <c r="E83" i="10"/>
  <c r="E91" i="10"/>
  <c r="F85" i="10"/>
  <c r="D149" i="10" s="1"/>
  <c r="E149" i="10" s="1"/>
  <c r="I149" i="10" s="1"/>
  <c r="AH419" i="10" s="1"/>
  <c r="R429" i="10" s="1"/>
  <c r="R431" i="10" s="1"/>
  <c r="E93" i="10"/>
  <c r="F90" i="10"/>
  <c r="D154" i="10" s="1"/>
  <c r="E154" i="10" s="1"/>
  <c r="E87" i="10"/>
  <c r="E89" i="10"/>
  <c r="F80" i="10"/>
  <c r="D144" i="10" s="1"/>
  <c r="E144" i="10" s="1"/>
  <c r="E81" i="10"/>
  <c r="AH303" i="10"/>
  <c r="S324" i="10" s="1"/>
  <c r="I151" i="10"/>
  <c r="AH421" i="10" s="1"/>
  <c r="G151" i="10"/>
  <c r="AH351" i="10" s="1"/>
  <c r="H151" i="10"/>
  <c r="AH386" i="10" s="1"/>
  <c r="F151" i="10"/>
  <c r="AH316" i="10" s="1"/>
  <c r="G157" i="10"/>
  <c r="AH357" i="10" s="1"/>
  <c r="F157" i="10"/>
  <c r="AH322" i="10" s="1"/>
  <c r="I157" i="10"/>
  <c r="AH427" i="10" s="1"/>
  <c r="H157" i="10"/>
  <c r="AH392" i="10" s="1"/>
  <c r="AG336" i="10"/>
  <c r="AG371" i="10"/>
  <c r="AG406" i="10"/>
  <c r="H156" i="10"/>
  <c r="AH391" i="10" s="1"/>
  <c r="F156" i="10"/>
  <c r="AH321" i="10" s="1"/>
  <c r="I156" i="10"/>
  <c r="AH426" i="10" s="1"/>
  <c r="G156" i="10"/>
  <c r="AH356" i="10" s="1"/>
  <c r="E79" i="10"/>
  <c r="F79" i="10"/>
  <c r="D143" i="10" s="1"/>
  <c r="E143" i="10" s="1"/>
  <c r="Q358" i="10" l="1"/>
  <c r="M358" i="10"/>
  <c r="Q393" i="10"/>
  <c r="M393" i="10"/>
  <c r="P428" i="10"/>
  <c r="P430" i="10" s="1"/>
  <c r="L428" i="10"/>
  <c r="L430" i="10" s="1"/>
  <c r="L217" i="8"/>
  <c r="N217" i="8" s="1"/>
  <c r="P442" i="8" s="1"/>
  <c r="L219" i="8"/>
  <c r="N219" i="8" s="1"/>
  <c r="P444" i="8" s="1"/>
  <c r="I33" i="26"/>
  <c r="C81" i="10"/>
  <c r="I34" i="26"/>
  <c r="C82" i="10"/>
  <c r="I42" i="26"/>
  <c r="C91" i="10"/>
  <c r="I38" i="26"/>
  <c r="C87" i="10"/>
  <c r="I43" i="26"/>
  <c r="C92" i="10"/>
  <c r="I39" i="26"/>
  <c r="C88" i="10"/>
  <c r="F472" i="7"/>
  <c r="I45" i="26" s="1"/>
  <c r="I30" i="26"/>
  <c r="C79" i="10"/>
  <c r="I32" i="26"/>
  <c r="C80" i="10"/>
  <c r="I36" i="26"/>
  <c r="C85" i="10"/>
  <c r="I40" i="26"/>
  <c r="C89" i="10"/>
  <c r="I44" i="26"/>
  <c r="C93" i="10"/>
  <c r="I41" i="26"/>
  <c r="C90" i="10"/>
  <c r="I37" i="26"/>
  <c r="C86" i="10"/>
  <c r="F154" i="10"/>
  <c r="AH319" i="10" s="1"/>
  <c r="D324" i="10" s="1"/>
  <c r="G154" i="10"/>
  <c r="AH354" i="10" s="1"/>
  <c r="Z359" i="10" s="1"/>
  <c r="H154" i="10"/>
  <c r="AH389" i="10" s="1"/>
  <c r="AB394" i="10" s="1"/>
  <c r="I154" i="10"/>
  <c r="AH424" i="10" s="1"/>
  <c r="Y429" i="10" s="1"/>
  <c r="Y431" i="10" s="1"/>
  <c r="H146" i="10"/>
  <c r="AH381" i="10" s="1"/>
  <c r="I146" i="10"/>
  <c r="AH416" i="10" s="1"/>
  <c r="AC429" i="10" s="1"/>
  <c r="AC431" i="10" s="1"/>
  <c r="F146" i="10"/>
  <c r="AH311" i="10" s="1"/>
  <c r="G146" i="10"/>
  <c r="AH346" i="10" s="1"/>
  <c r="G144" i="10"/>
  <c r="AH344" i="10" s="1"/>
  <c r="I144" i="10"/>
  <c r="AH414" i="10" s="1"/>
  <c r="F144" i="10"/>
  <c r="AH309" i="10" s="1"/>
  <c r="H144" i="10"/>
  <c r="AH379" i="10" s="1"/>
  <c r="BC49" i="74"/>
  <c r="BC50" i="74"/>
  <c r="BC52" i="74"/>
  <c r="BC54" i="74"/>
  <c r="BC55" i="74"/>
  <c r="BC56" i="74"/>
  <c r="BC51" i="74"/>
  <c r="J325" i="10"/>
  <c r="AU53" i="74"/>
  <c r="AY53" i="74"/>
  <c r="BB53" i="74" s="1"/>
  <c r="BG53" i="74" s="1"/>
  <c r="BJ53" i="74" s="1"/>
  <c r="AV53" i="74"/>
  <c r="D334" i="10"/>
  <c r="AC334" i="10"/>
  <c r="Y334" i="10"/>
  <c r="U334" i="10"/>
  <c r="Q334" i="10"/>
  <c r="M334" i="10"/>
  <c r="I334" i="10"/>
  <c r="E334" i="10"/>
  <c r="AD334" i="10"/>
  <c r="Z334" i="10"/>
  <c r="V334" i="10"/>
  <c r="R334" i="10"/>
  <c r="N334" i="10"/>
  <c r="J334" i="10"/>
  <c r="F334" i="10"/>
  <c r="AE334" i="10"/>
  <c r="AA334" i="10"/>
  <c r="W334" i="10"/>
  <c r="S334" i="10"/>
  <c r="O334" i="10"/>
  <c r="K334" i="10"/>
  <c r="G334" i="10"/>
  <c r="AF334" i="10"/>
  <c r="AF360" i="10" s="1"/>
  <c r="AB334" i="10"/>
  <c r="X334" i="10"/>
  <c r="T334" i="10"/>
  <c r="P334" i="10"/>
  <c r="L334" i="10"/>
  <c r="H334" i="10"/>
  <c r="D369" i="10" a="1"/>
  <c r="R325" i="10"/>
  <c r="R326" i="10"/>
  <c r="Y325" i="10"/>
  <c r="Y326" i="10"/>
  <c r="E325" i="10"/>
  <c r="T326" i="10"/>
  <c r="T325" i="10"/>
  <c r="G325" i="10"/>
  <c r="H325" i="10"/>
  <c r="P326" i="10"/>
  <c r="P325" i="10"/>
  <c r="W325" i="10"/>
  <c r="W326" i="10"/>
  <c r="AE325" i="10"/>
  <c r="AE326" i="10"/>
  <c r="Q325" i="10"/>
  <c r="AF325" i="10"/>
  <c r="AD326" i="10"/>
  <c r="AD325" i="10"/>
  <c r="Z325" i="10"/>
  <c r="F325" i="10"/>
  <c r="N325" i="10"/>
  <c r="N326" i="10"/>
  <c r="U325" i="10"/>
  <c r="AC325" i="10"/>
  <c r="AC326" i="10"/>
  <c r="M325" i="10"/>
  <c r="AB326" i="10"/>
  <c r="AB325" i="10"/>
  <c r="V325" i="10"/>
  <c r="V326" i="10"/>
  <c r="L325" i="10"/>
  <c r="L326" i="10"/>
  <c r="AA326" i="10"/>
  <c r="AA325" i="10"/>
  <c r="I325" i="10"/>
  <c r="X325" i="10"/>
  <c r="O325" i="10"/>
  <c r="S326" i="10"/>
  <c r="S325" i="10"/>
  <c r="K325" i="10"/>
  <c r="BG54" i="74"/>
  <c r="BJ54" i="74" s="1"/>
  <c r="BD54" i="74"/>
  <c r="BG50" i="74"/>
  <c r="BJ50" i="74" s="1"/>
  <c r="BD50" i="74"/>
  <c r="BG49" i="74"/>
  <c r="BJ49" i="74" s="1"/>
  <c r="BD49" i="74"/>
  <c r="BG55" i="74"/>
  <c r="BJ55" i="74" s="1"/>
  <c r="BD55" i="74"/>
  <c r="BD56" i="74"/>
  <c r="BG56" i="74"/>
  <c r="BJ56" i="74" s="1"/>
  <c r="BD52" i="74"/>
  <c r="BG52" i="74"/>
  <c r="BJ52" i="74" s="1"/>
  <c r="BG51" i="74"/>
  <c r="BJ51" i="74" s="1"/>
  <c r="BD51" i="74"/>
  <c r="F94" i="10"/>
  <c r="H136" i="10"/>
  <c r="AH371" i="10" s="1"/>
  <c r="Q394" i="10" s="1"/>
  <c r="G149" i="10"/>
  <c r="AH349" i="10" s="1"/>
  <c r="R359" i="10" s="1"/>
  <c r="F150" i="10"/>
  <c r="AH315" i="10" s="1"/>
  <c r="G150" i="10"/>
  <c r="AH350" i="10" s="1"/>
  <c r="O359" i="10" s="1"/>
  <c r="F136" i="10"/>
  <c r="AH301" i="10" s="1"/>
  <c r="G136" i="10"/>
  <c r="AH336" i="10" s="1"/>
  <c r="Q359" i="10" s="1"/>
  <c r="I150" i="10"/>
  <c r="AH420" i="10" s="1"/>
  <c r="N429" i="10" s="1"/>
  <c r="N431" i="10" s="1"/>
  <c r="F149" i="10"/>
  <c r="AH314" i="10" s="1"/>
  <c r="E324" i="10" s="1"/>
  <c r="E326" i="10" s="1"/>
  <c r="I136" i="10"/>
  <c r="AH406" i="10" s="1"/>
  <c r="P429" i="10" s="1"/>
  <c r="P431" i="10" s="1"/>
  <c r="H149" i="10"/>
  <c r="AH384" i="10" s="1"/>
  <c r="E394" i="10" s="1"/>
  <c r="AH385" i="10"/>
  <c r="O394" i="10" s="1"/>
  <c r="E94" i="10"/>
  <c r="G143" i="10"/>
  <c r="F143" i="10"/>
  <c r="I143" i="10"/>
  <c r="H143" i="10"/>
  <c r="BD53" i="74" l="1"/>
  <c r="Q324" i="10"/>
  <c r="Q326" i="10" s="1"/>
  <c r="M359" i="10"/>
  <c r="M361" i="10" s="1"/>
  <c r="L429" i="10"/>
  <c r="L431" i="10" s="1"/>
  <c r="M324" i="10"/>
  <c r="M326" i="10" s="1"/>
  <c r="M394" i="10"/>
  <c r="H438" i="10" a="1"/>
  <c r="O21" i="11"/>
  <c r="O192" i="11"/>
  <c r="N17" i="45"/>
  <c r="Q17" i="45" s="1"/>
  <c r="BX192" i="11"/>
  <c r="BY192" i="11" s="1"/>
  <c r="O78" i="11"/>
  <c r="O135" i="11"/>
  <c r="Q78" i="11"/>
  <c r="AB78" i="11" s="1"/>
  <c r="AU135" i="11"/>
  <c r="AV135" i="11" s="1"/>
  <c r="AU78" i="11"/>
  <c r="AW78" i="11" s="1"/>
  <c r="AU21" i="11"/>
  <c r="AW21" i="11" s="1"/>
  <c r="R217" i="8"/>
  <c r="Y217" i="8" s="1"/>
  <c r="O23" i="11"/>
  <c r="O194" i="11"/>
  <c r="N19" i="45"/>
  <c r="Q19" i="45" s="1"/>
  <c r="BX194" i="11"/>
  <c r="BY194" i="11" s="1"/>
  <c r="AU80" i="11"/>
  <c r="AW80" i="11" s="1"/>
  <c r="AU23" i="11"/>
  <c r="AV23" i="11" s="1"/>
  <c r="R219" i="8"/>
  <c r="Y219" i="8" s="1"/>
  <c r="O80" i="11"/>
  <c r="O137" i="11"/>
  <c r="Q80" i="11"/>
  <c r="T80" i="11" s="1"/>
  <c r="V80" i="11" s="1"/>
  <c r="AU137" i="11"/>
  <c r="AV137" i="11" s="1"/>
  <c r="AD359" i="10"/>
  <c r="AD361" i="10" s="1"/>
  <c r="F359" i="10"/>
  <c r="F361" i="10" s="1"/>
  <c r="AB429" i="10"/>
  <c r="AB431" i="10" s="1"/>
  <c r="BK53" i="74"/>
  <c r="BK55" i="74"/>
  <c r="BK49" i="74"/>
  <c r="BK54" i="74"/>
  <c r="BK56" i="74"/>
  <c r="BK51" i="74"/>
  <c r="BK50" i="74"/>
  <c r="BC53" i="74"/>
  <c r="BK52" i="74"/>
  <c r="BZ192" i="11"/>
  <c r="S250" i="8"/>
  <c r="S252" i="8"/>
  <c r="S254" i="8"/>
  <c r="S256" i="8"/>
  <c r="S251" i="8"/>
  <c r="S253" i="8"/>
  <c r="S255" i="8"/>
  <c r="S249" i="8"/>
  <c r="D326" i="10"/>
  <c r="E438" i="10" a="1"/>
  <c r="E438" i="10" s="1"/>
  <c r="D369" i="10"/>
  <c r="AC369" i="10"/>
  <c r="Y369" i="10"/>
  <c r="U369" i="10"/>
  <c r="Q369" i="10"/>
  <c r="M369" i="10"/>
  <c r="I369" i="10"/>
  <c r="E369" i="10"/>
  <c r="AD369" i="10"/>
  <c r="Z369" i="10"/>
  <c r="V369" i="10"/>
  <c r="R369" i="10"/>
  <c r="N369" i="10"/>
  <c r="J369" i="10"/>
  <c r="F369" i="10"/>
  <c r="AE369" i="10"/>
  <c r="AA369" i="10"/>
  <c r="W369" i="10"/>
  <c r="S369" i="10"/>
  <c r="O369" i="10"/>
  <c r="K369" i="10"/>
  <c r="G369" i="10"/>
  <c r="AF369" i="10"/>
  <c r="AB369" i="10"/>
  <c r="X369" i="10"/>
  <c r="T369" i="10"/>
  <c r="P369" i="10"/>
  <c r="L369" i="10"/>
  <c r="H369" i="10"/>
  <c r="I359" i="10"/>
  <c r="I361" i="10" s="1"/>
  <c r="U359" i="10"/>
  <c r="U361" i="10" s="1"/>
  <c r="I324" i="10"/>
  <c r="I326" i="10" s="1"/>
  <c r="U324" i="10"/>
  <c r="U326" i="10" s="1"/>
  <c r="U394" i="10"/>
  <c r="I394" i="10"/>
  <c r="F394" i="10"/>
  <c r="F324" i="10"/>
  <c r="F326" i="10" s="1"/>
  <c r="Z324" i="10"/>
  <c r="Z326" i="10" s="1"/>
  <c r="V429" i="10"/>
  <c r="V431" i="10" s="1"/>
  <c r="AC394" i="10"/>
  <c r="Z394" i="10"/>
  <c r="F360" i="10"/>
  <c r="N361" i="10"/>
  <c r="N360" i="10"/>
  <c r="U360" i="10"/>
  <c r="AC360" i="10"/>
  <c r="AC361" i="10"/>
  <c r="M360" i="10"/>
  <c r="AB360" i="10"/>
  <c r="AB361" i="10"/>
  <c r="V361" i="10"/>
  <c r="V360" i="10"/>
  <c r="L360" i="10"/>
  <c r="L361" i="10"/>
  <c r="AA361" i="10"/>
  <c r="AA360" i="10"/>
  <c r="I360" i="10"/>
  <c r="X360" i="10"/>
  <c r="O360" i="10"/>
  <c r="O361" i="10"/>
  <c r="S360" i="10"/>
  <c r="S361" i="10"/>
  <c r="K360" i="10"/>
  <c r="J360" i="10"/>
  <c r="J361" i="10"/>
  <c r="R361" i="10"/>
  <c r="R360" i="10"/>
  <c r="Y361" i="10"/>
  <c r="Y360" i="10"/>
  <c r="E360" i="10"/>
  <c r="E361" i="10"/>
  <c r="T360" i="10"/>
  <c r="T361" i="10"/>
  <c r="G360" i="10"/>
  <c r="H360" i="10"/>
  <c r="P361" i="10"/>
  <c r="P360" i="10"/>
  <c r="W360" i="10"/>
  <c r="W361" i="10"/>
  <c r="AE360" i="10"/>
  <c r="AE361" i="10"/>
  <c r="Q360" i="10"/>
  <c r="Q361" i="10"/>
  <c r="AD360" i="10"/>
  <c r="Z361" i="10"/>
  <c r="Z360" i="10"/>
  <c r="D361" i="10"/>
  <c r="D360" i="10"/>
  <c r="BL52" i="74"/>
  <c r="BO52" i="74"/>
  <c r="BR52" i="74" s="1"/>
  <c r="BU52" i="74" s="1"/>
  <c r="BL55" i="74"/>
  <c r="BO55" i="74"/>
  <c r="BR55" i="74" s="1"/>
  <c r="BU55" i="74" s="1"/>
  <c r="BL49" i="74"/>
  <c r="BO49" i="74"/>
  <c r="BR49" i="74" s="1"/>
  <c r="BU49" i="74" s="1"/>
  <c r="BL54" i="74"/>
  <c r="BO54" i="74"/>
  <c r="BR54" i="74" s="1"/>
  <c r="BU54" i="74" s="1"/>
  <c r="BO51" i="74"/>
  <c r="BR51" i="74" s="1"/>
  <c r="BU51" i="74" s="1"/>
  <c r="BL51" i="74"/>
  <c r="BO56" i="74"/>
  <c r="BR56" i="74" s="1"/>
  <c r="BU56" i="74" s="1"/>
  <c r="BL56" i="74"/>
  <c r="BO53" i="74"/>
  <c r="BR53" i="74" s="1"/>
  <c r="BU53" i="74" s="1"/>
  <c r="BL53" i="74"/>
  <c r="BL50" i="74"/>
  <c r="BO50" i="74"/>
  <c r="BR50" i="74" s="1"/>
  <c r="BU50" i="74" s="1"/>
  <c r="AH378" i="10"/>
  <c r="AH308" i="10"/>
  <c r="G324" i="10" s="1"/>
  <c r="G326" i="10" s="1"/>
  <c r="AH413" i="10"/>
  <c r="AH343" i="10"/>
  <c r="G359" i="10" s="1"/>
  <c r="G361" i="10" s="1"/>
  <c r="AV78" i="11" l="1"/>
  <c r="M174" i="73"/>
  <c r="M231" i="73"/>
  <c r="M232" i="73"/>
  <c r="M175" i="73"/>
  <c r="M173" i="73"/>
  <c r="M230" i="73"/>
  <c r="M228" i="73"/>
  <c r="M171" i="73"/>
  <c r="M227" i="73"/>
  <c r="M170" i="73"/>
  <c r="M226" i="73"/>
  <c r="M169" i="73"/>
  <c r="M229" i="73"/>
  <c r="M172" i="73"/>
  <c r="M233" i="73"/>
  <c r="M176" i="73"/>
  <c r="BA19" i="45"/>
  <c r="K68" i="60"/>
  <c r="K19" i="96"/>
  <c r="M19" i="96" s="1"/>
  <c r="K70" i="60"/>
  <c r="K21" i="96"/>
  <c r="M21" i="96" s="1"/>
  <c r="AF324" i="10"/>
  <c r="AF326" i="10" s="1"/>
  <c r="O324" i="10"/>
  <c r="O326" i="10" s="1"/>
  <c r="CA194" i="11"/>
  <c r="AW23" i="11"/>
  <c r="AW137" i="11"/>
  <c r="AC78" i="11"/>
  <c r="X80" i="11"/>
  <c r="AC17" i="45"/>
  <c r="S80" i="11"/>
  <c r="U80" i="11" s="1"/>
  <c r="AF80" i="11"/>
  <c r="AM80" i="11" s="1"/>
  <c r="U17" i="45"/>
  <c r="V17" i="45" s="1"/>
  <c r="W17" i="45" s="1"/>
  <c r="AB80" i="11"/>
  <c r="BZ194" i="11"/>
  <c r="AX23" i="11"/>
  <c r="BA17" i="45"/>
  <c r="BI17" i="45"/>
  <c r="AK17" i="45"/>
  <c r="BQ17" i="45"/>
  <c r="AS17" i="45"/>
  <c r="AX78" i="11"/>
  <c r="AF78" i="11"/>
  <c r="AM78" i="11" s="1"/>
  <c r="Z78" i="11"/>
  <c r="S78" i="11"/>
  <c r="U78" i="11" s="1"/>
  <c r="AA80" i="11"/>
  <c r="Z80" i="11"/>
  <c r="AA78" i="11"/>
  <c r="X78" i="11"/>
  <c r="T78" i="11"/>
  <c r="V78" i="11" s="1"/>
  <c r="BQ19" i="45"/>
  <c r="AV80" i="11"/>
  <c r="U19" i="45"/>
  <c r="V19" i="45" s="1"/>
  <c r="AC19" i="45"/>
  <c r="CA192" i="11"/>
  <c r="AW135" i="11"/>
  <c r="AV21" i="11"/>
  <c r="AX137" i="11"/>
  <c r="AC80" i="11"/>
  <c r="AK19" i="45"/>
  <c r="BI19" i="45"/>
  <c r="AS19" i="45"/>
  <c r="AX80" i="11"/>
  <c r="AX135" i="11"/>
  <c r="AX21" i="11"/>
  <c r="M60" i="73"/>
  <c r="M55" i="73"/>
  <c r="M56" i="73"/>
  <c r="BX50" i="74"/>
  <c r="K394" i="10"/>
  <c r="K396" i="10" s="1"/>
  <c r="G394" i="10"/>
  <c r="G396" i="10" s="1"/>
  <c r="H438" i="10"/>
  <c r="H445" i="10"/>
  <c r="H439" i="10"/>
  <c r="H447" i="10"/>
  <c r="H463" i="10"/>
  <c r="H455" i="10"/>
  <c r="H462" i="10"/>
  <c r="H454" i="10"/>
  <c r="H446" i="10"/>
  <c r="H465" i="10"/>
  <c r="H457" i="10"/>
  <c r="H464" i="10"/>
  <c r="H456" i="10"/>
  <c r="H448" i="10"/>
  <c r="H440" i="10"/>
  <c r="H441" i="10"/>
  <c r="H449" i="10"/>
  <c r="H443" i="10"/>
  <c r="H451" i="10"/>
  <c r="H459" i="10"/>
  <c r="H466" i="10"/>
  <c r="H458" i="10"/>
  <c r="H450" i="10"/>
  <c r="H442" i="10"/>
  <c r="H461" i="10"/>
  <c r="H453" i="10"/>
  <c r="H460" i="10"/>
  <c r="H452" i="10"/>
  <c r="H444" i="10"/>
  <c r="M59" i="73"/>
  <c r="BX53" i="74"/>
  <c r="M57" i="73"/>
  <c r="M61" i="73"/>
  <c r="BX55" i="74"/>
  <c r="M62" i="73"/>
  <c r="M58" i="73"/>
  <c r="BX52" i="74"/>
  <c r="BS56" i="74"/>
  <c r="BS54" i="74"/>
  <c r="BS55" i="74"/>
  <c r="BS53" i="74"/>
  <c r="BS51" i="74"/>
  <c r="BS49" i="74"/>
  <c r="BS52" i="74"/>
  <c r="BS50" i="74"/>
  <c r="E465" i="10"/>
  <c r="E462" i="10"/>
  <c r="E439" i="10"/>
  <c r="E446" i="10"/>
  <c r="E449" i="10"/>
  <c r="E452" i="10"/>
  <c r="E455" i="10"/>
  <c r="E454" i="10"/>
  <c r="E441" i="10"/>
  <c r="E457" i="10"/>
  <c r="E444" i="10"/>
  <c r="E460" i="10"/>
  <c r="E447" i="10"/>
  <c r="E463" i="10"/>
  <c r="F438" i="10" a="1"/>
  <c r="F438" i="10" s="1"/>
  <c r="E442" i="10"/>
  <c r="E450" i="10"/>
  <c r="E458" i="10"/>
  <c r="E466" i="10"/>
  <c r="E445" i="10"/>
  <c r="E453" i="10"/>
  <c r="E461" i="10"/>
  <c r="E440" i="10"/>
  <c r="E448" i="10"/>
  <c r="E456" i="10"/>
  <c r="E464" i="10"/>
  <c r="E443" i="10"/>
  <c r="E451" i="10"/>
  <c r="E459" i="10"/>
  <c r="AE429" i="10"/>
  <c r="AE431" i="10" s="1"/>
  <c r="AA429" i="10"/>
  <c r="AA431" i="10" s="1"/>
  <c r="W429" i="10"/>
  <c r="W431" i="10" s="1"/>
  <c r="AF394" i="10"/>
  <c r="AF396" i="10" s="1"/>
  <c r="H394" i="10"/>
  <c r="H396" i="10" s="1"/>
  <c r="X394" i="10"/>
  <c r="X396" i="10" s="1"/>
  <c r="AF359" i="10"/>
  <c r="AF361" i="10" s="1"/>
  <c r="K359" i="10"/>
  <c r="K361" i="10" s="1"/>
  <c r="H359" i="10"/>
  <c r="H361" i="10" s="1"/>
  <c r="X359" i="10"/>
  <c r="X361" i="10" s="1"/>
  <c r="K324" i="10"/>
  <c r="K326" i="10" s="1"/>
  <c r="X324" i="10"/>
  <c r="X326" i="10" s="1"/>
  <c r="H324" i="10"/>
  <c r="H326" i="10" s="1"/>
  <c r="J396" i="10"/>
  <c r="J395" i="10"/>
  <c r="R395" i="10"/>
  <c r="R396" i="10"/>
  <c r="Y395" i="10"/>
  <c r="Y396" i="10"/>
  <c r="E396" i="10"/>
  <c r="E395" i="10"/>
  <c r="T396" i="10"/>
  <c r="T395" i="10"/>
  <c r="G395" i="10"/>
  <c r="H395" i="10"/>
  <c r="P396" i="10"/>
  <c r="P395" i="10"/>
  <c r="W396" i="10"/>
  <c r="W395" i="10"/>
  <c r="AE396" i="10"/>
  <c r="AE395" i="10"/>
  <c r="Q395" i="10"/>
  <c r="Q396" i="10"/>
  <c r="AF395" i="10"/>
  <c r="AD396" i="10"/>
  <c r="AD395" i="10"/>
  <c r="Z396" i="10"/>
  <c r="Z395" i="10"/>
  <c r="D395" i="10"/>
  <c r="D396" i="10"/>
  <c r="F396" i="10"/>
  <c r="F395" i="10"/>
  <c r="N395" i="10"/>
  <c r="N396" i="10"/>
  <c r="U396" i="10"/>
  <c r="U395" i="10"/>
  <c r="AC395" i="10"/>
  <c r="AC396" i="10"/>
  <c r="M395" i="10"/>
  <c r="M396" i="10"/>
  <c r="AB395" i="10"/>
  <c r="AB396" i="10"/>
  <c r="V396" i="10"/>
  <c r="V395" i="10"/>
  <c r="L396" i="10"/>
  <c r="L395" i="10"/>
  <c r="AA396" i="10"/>
  <c r="AA395" i="10"/>
  <c r="I395" i="10"/>
  <c r="I396" i="10"/>
  <c r="X395" i="10"/>
  <c r="O395" i="10"/>
  <c r="O396" i="10"/>
  <c r="S396" i="10"/>
  <c r="S395" i="10"/>
  <c r="K395" i="10"/>
  <c r="BT53" i="74"/>
  <c r="BV53" i="74"/>
  <c r="BV51" i="74"/>
  <c r="BT51" i="74"/>
  <c r="BT49" i="74"/>
  <c r="BV49" i="74"/>
  <c r="BT52" i="74"/>
  <c r="BV52" i="74"/>
  <c r="BV50" i="74"/>
  <c r="BT50" i="74"/>
  <c r="BV56" i="74"/>
  <c r="BT56" i="74"/>
  <c r="BT54" i="74"/>
  <c r="BV54" i="74"/>
  <c r="BV55" i="74"/>
  <c r="BT55" i="74"/>
  <c r="X17" i="45" l="1"/>
  <c r="AA19" i="45"/>
  <c r="AD19" i="45" s="1"/>
  <c r="AA17" i="45"/>
  <c r="AD17" i="45" s="1"/>
  <c r="F46" i="48" s="1"/>
  <c r="W19" i="45"/>
  <c r="D50" i="48" s="1"/>
  <c r="X19" i="45"/>
  <c r="D46" i="48"/>
  <c r="E473" i="10" a="1"/>
  <c r="E474" i="10" s="1"/>
  <c r="F444" i="10"/>
  <c r="F462" i="10"/>
  <c r="F455" i="10"/>
  <c r="F446" i="10"/>
  <c r="F457" i="10"/>
  <c r="F460" i="10"/>
  <c r="F441" i="10"/>
  <c r="F473" i="10" a="1"/>
  <c r="F473" i="10" s="1"/>
  <c r="F454" i="10"/>
  <c r="F449" i="10"/>
  <c r="F465" i="10"/>
  <c r="F452" i="10"/>
  <c r="F445" i="10"/>
  <c r="F463" i="10"/>
  <c r="F439" i="10"/>
  <c r="F442" i="10"/>
  <c r="F450" i="10"/>
  <c r="F458" i="10"/>
  <c r="F466" i="10"/>
  <c r="F453" i="10"/>
  <c r="F461" i="10"/>
  <c r="F440" i="10"/>
  <c r="F448" i="10"/>
  <c r="F456" i="10"/>
  <c r="F464" i="10"/>
  <c r="F451" i="10"/>
  <c r="F459" i="10"/>
  <c r="F447" i="10"/>
  <c r="F443" i="10"/>
  <c r="G438" i="10" a="1"/>
  <c r="G473" i="10" a="1"/>
  <c r="H473" i="10" a="1"/>
  <c r="AF17" i="45" l="1"/>
  <c r="F50" i="48"/>
  <c r="AI19" i="45"/>
  <c r="AL19" i="45" s="1"/>
  <c r="H50" i="48" s="1"/>
  <c r="AE19" i="45"/>
  <c r="AI17" i="45"/>
  <c r="AL17" i="45" s="1"/>
  <c r="H46" i="48" s="1"/>
  <c r="AE17" i="45"/>
  <c r="AF19" i="45"/>
  <c r="E473" i="10"/>
  <c r="E477" i="10"/>
  <c r="E487" i="10"/>
  <c r="E497" i="10"/>
  <c r="E484" i="10"/>
  <c r="E485" i="10"/>
  <c r="E475" i="10"/>
  <c r="E496" i="10"/>
  <c r="E490" i="10"/>
  <c r="E481" i="10"/>
  <c r="E489" i="10"/>
  <c r="E498" i="10"/>
  <c r="E479" i="10"/>
  <c r="E495" i="10"/>
  <c r="E492" i="10"/>
  <c r="E476" i="10"/>
  <c r="E482" i="10"/>
  <c r="E493" i="10"/>
  <c r="E501" i="10"/>
  <c r="E483" i="10"/>
  <c r="E491" i="10"/>
  <c r="E499" i="10"/>
  <c r="E500" i="10"/>
  <c r="E488" i="10"/>
  <c r="E480" i="10"/>
  <c r="E494" i="10"/>
  <c r="E486" i="10"/>
  <c r="E478" i="10"/>
  <c r="F499" i="10"/>
  <c r="F497" i="10"/>
  <c r="F500" i="10"/>
  <c r="F481" i="10"/>
  <c r="F483" i="10"/>
  <c r="F486" i="10"/>
  <c r="F484" i="10"/>
  <c r="F489" i="10"/>
  <c r="F475" i="10"/>
  <c r="F491" i="10"/>
  <c r="F494" i="10"/>
  <c r="F478" i="10"/>
  <c r="F492" i="10"/>
  <c r="F476" i="10"/>
  <c r="F477" i="10"/>
  <c r="F485" i="10"/>
  <c r="F493" i="10"/>
  <c r="F501" i="10"/>
  <c r="F479" i="10"/>
  <c r="F487" i="10"/>
  <c r="F495" i="10"/>
  <c r="F498" i="10"/>
  <c r="F490" i="10"/>
  <c r="F482" i="10"/>
  <c r="F474" i="10"/>
  <c r="F496" i="10"/>
  <c r="F488" i="10"/>
  <c r="F480" i="10"/>
  <c r="H473" i="10"/>
  <c r="H476" i="10"/>
  <c r="H480" i="10"/>
  <c r="H484" i="10"/>
  <c r="H488" i="10"/>
  <c r="H492" i="10"/>
  <c r="H496" i="10"/>
  <c r="H500" i="10"/>
  <c r="H474" i="10"/>
  <c r="H478" i="10"/>
  <c r="H482" i="10"/>
  <c r="H486" i="10"/>
  <c r="H490" i="10"/>
  <c r="H494" i="10"/>
  <c r="H498" i="10"/>
  <c r="H501" i="10"/>
  <c r="H497" i="10"/>
  <c r="H493" i="10"/>
  <c r="H489" i="10"/>
  <c r="H485" i="10"/>
  <c r="H481" i="10"/>
  <c r="H477" i="10"/>
  <c r="H499" i="10"/>
  <c r="H495" i="10"/>
  <c r="H491" i="10"/>
  <c r="H487" i="10"/>
  <c r="H483" i="10"/>
  <c r="H479" i="10"/>
  <c r="H475" i="10"/>
  <c r="G438" i="10"/>
  <c r="I438" i="10" s="1"/>
  <c r="G439" i="10"/>
  <c r="I439" i="10" s="1"/>
  <c r="M196" i="8" s="1"/>
  <c r="G443" i="10"/>
  <c r="I443" i="10" s="1"/>
  <c r="M200" i="8" s="1"/>
  <c r="G447" i="10"/>
  <c r="I447" i="10" s="1"/>
  <c r="M154" i="8" s="1"/>
  <c r="G451" i="10"/>
  <c r="I451" i="10" s="1"/>
  <c r="M161" i="8" s="1"/>
  <c r="G455" i="10"/>
  <c r="I455" i="10" s="1"/>
  <c r="M159" i="8" s="1"/>
  <c r="O159" i="8" s="1"/>
  <c r="G459" i="10"/>
  <c r="I459" i="10" s="1"/>
  <c r="M177" i="8" s="1"/>
  <c r="G463" i="10"/>
  <c r="I463" i="10" s="1"/>
  <c r="G441" i="10"/>
  <c r="I441" i="10" s="1"/>
  <c r="G512" i="10" s="1"/>
  <c r="G445" i="10"/>
  <c r="I445" i="10" s="1"/>
  <c r="M202" i="8" s="1"/>
  <c r="G449" i="10"/>
  <c r="I449" i="10" s="1"/>
  <c r="M157" i="8" s="1"/>
  <c r="G453" i="10"/>
  <c r="I453" i="10" s="1"/>
  <c r="M155" i="8" s="1"/>
  <c r="O155" i="8" s="1"/>
  <c r="G457" i="10"/>
  <c r="I457" i="10" s="1"/>
  <c r="M174" i="8" s="1"/>
  <c r="G461" i="10"/>
  <c r="I461" i="10" s="1"/>
  <c r="G465" i="10"/>
  <c r="I465" i="10" s="1"/>
  <c r="G464" i="10"/>
  <c r="I464" i="10" s="1"/>
  <c r="G460" i="10"/>
  <c r="I460" i="10" s="1"/>
  <c r="G456" i="10"/>
  <c r="I456" i="10" s="1"/>
  <c r="M180" i="8" s="1"/>
  <c r="O180" i="8" s="1"/>
  <c r="G452" i="10"/>
  <c r="I452" i="10" s="1"/>
  <c r="M162" i="8" s="1"/>
  <c r="O162" i="8" s="1"/>
  <c r="G448" i="10"/>
  <c r="I448" i="10" s="1"/>
  <c r="M156" i="8" s="1"/>
  <c r="O156" i="8" s="1"/>
  <c r="G444" i="10"/>
  <c r="I444" i="10" s="1"/>
  <c r="G440" i="10"/>
  <c r="I440" i="10" s="1"/>
  <c r="M197" i="8" s="1"/>
  <c r="G466" i="10"/>
  <c r="I466" i="10" s="1"/>
  <c r="M186" i="8" s="1"/>
  <c r="O186" i="8" s="1"/>
  <c r="G462" i="10"/>
  <c r="I462" i="10" s="1"/>
  <c r="G458" i="10"/>
  <c r="I458" i="10" s="1"/>
  <c r="M175" i="8" s="1"/>
  <c r="O175" i="8" s="1"/>
  <c r="G454" i="10"/>
  <c r="I454" i="10" s="1"/>
  <c r="M158" i="8" s="1"/>
  <c r="O158" i="8" s="1"/>
  <c r="G450" i="10"/>
  <c r="I450" i="10" s="1"/>
  <c r="G446" i="10"/>
  <c r="I446" i="10" s="1"/>
  <c r="M153" i="8" s="1"/>
  <c r="G442" i="10"/>
  <c r="I442" i="10" s="1"/>
  <c r="G513" i="10" s="1"/>
  <c r="G473" i="10"/>
  <c r="I473" i="10" s="1"/>
  <c r="G476" i="10"/>
  <c r="G480" i="10"/>
  <c r="G484" i="10"/>
  <c r="G488" i="10"/>
  <c r="G492" i="10"/>
  <c r="G496" i="10"/>
  <c r="G500" i="10"/>
  <c r="G474" i="10"/>
  <c r="G478" i="10"/>
  <c r="G482" i="10"/>
  <c r="G486" i="10"/>
  <c r="G490" i="10"/>
  <c r="G494" i="10"/>
  <c r="G498" i="10"/>
  <c r="G499" i="10"/>
  <c r="G495" i="10"/>
  <c r="G491" i="10"/>
  <c r="G487" i="10"/>
  <c r="G483" i="10"/>
  <c r="G479" i="10"/>
  <c r="G475" i="10"/>
  <c r="G501" i="10"/>
  <c r="G497" i="10"/>
  <c r="G493" i="10"/>
  <c r="G489" i="10"/>
  <c r="G485" i="10"/>
  <c r="G481" i="10"/>
  <c r="G477" i="10"/>
  <c r="AQ19" i="45" l="1"/>
  <c r="AT19" i="45" s="1"/>
  <c r="J50" i="48" s="1"/>
  <c r="AM19" i="45"/>
  <c r="AN19" i="45"/>
  <c r="AN17" i="45"/>
  <c r="AQ17" i="45"/>
  <c r="AT17" i="45" s="1"/>
  <c r="J46" i="48" s="1"/>
  <c r="AM17" i="45"/>
  <c r="G527" i="10"/>
  <c r="I474" i="10"/>
  <c r="K474" i="10" s="1"/>
  <c r="H510" i="10" s="1"/>
  <c r="K473" i="10"/>
  <c r="H509" i="10" s="1"/>
  <c r="M249" i="8"/>
  <c r="N249" i="8" s="1"/>
  <c r="M199" i="8"/>
  <c r="O199" i="8" s="1"/>
  <c r="G515" i="10"/>
  <c r="M201" i="8"/>
  <c r="O201" i="8" s="1"/>
  <c r="M198" i="8"/>
  <c r="O198" i="8" s="1"/>
  <c r="G509" i="10"/>
  <c r="M195" i="8"/>
  <c r="O195" i="8" s="1"/>
  <c r="N224" i="11" s="1"/>
  <c r="I486" i="10"/>
  <c r="I480" i="10"/>
  <c r="I500" i="10"/>
  <c r="I491" i="10"/>
  <c r="I501" i="10"/>
  <c r="I482" i="10"/>
  <c r="I492" i="10"/>
  <c r="I479" i="10"/>
  <c r="I489" i="10"/>
  <c r="I490" i="10"/>
  <c r="I475" i="10"/>
  <c r="I484" i="10"/>
  <c r="I487" i="10"/>
  <c r="I478" i="10"/>
  <c r="I494" i="10"/>
  <c r="I488" i="10"/>
  <c r="I499" i="10"/>
  <c r="K499" i="10" s="1"/>
  <c r="M222" i="8" s="1"/>
  <c r="N222" i="8" s="1"/>
  <c r="I483" i="10"/>
  <c r="I493" i="10"/>
  <c r="I476" i="10"/>
  <c r="I495" i="10"/>
  <c r="I498" i="10"/>
  <c r="K498" i="10" s="1"/>
  <c r="H534" i="10" s="1"/>
  <c r="I481" i="10"/>
  <c r="I496" i="10"/>
  <c r="K496" i="10" s="1"/>
  <c r="H532" i="10" s="1"/>
  <c r="I485" i="10"/>
  <c r="I497" i="10"/>
  <c r="I477" i="10"/>
  <c r="G523" i="10"/>
  <c r="G520" i="10"/>
  <c r="G528" i="10"/>
  <c r="G530" i="10"/>
  <c r="N33" i="11"/>
  <c r="N204" i="11"/>
  <c r="AT33" i="11"/>
  <c r="AT147" i="11"/>
  <c r="AV204" i="11"/>
  <c r="AE33" i="11"/>
  <c r="M29" i="45"/>
  <c r="N90" i="11"/>
  <c r="N147" i="11"/>
  <c r="AE90" i="11"/>
  <c r="AQ90" i="11" s="1"/>
  <c r="AC147" i="11"/>
  <c r="BW204" i="11"/>
  <c r="AT90" i="11"/>
  <c r="R175" i="8"/>
  <c r="G533" i="10"/>
  <c r="M172" i="8"/>
  <c r="O172" i="8" s="1"/>
  <c r="N13" i="11"/>
  <c r="N184" i="11"/>
  <c r="M9" i="45"/>
  <c r="AT13" i="11"/>
  <c r="N70" i="11"/>
  <c r="N127" i="11"/>
  <c r="R155" i="8"/>
  <c r="Y155" i="8" s="1"/>
  <c r="AE13" i="11"/>
  <c r="AT127" i="11"/>
  <c r="AT70" i="11"/>
  <c r="BW184" i="11"/>
  <c r="AV184" i="11"/>
  <c r="AE70" i="11"/>
  <c r="AQ70" i="11" s="1"/>
  <c r="AC127" i="11"/>
  <c r="G531" i="10"/>
  <c r="M178" i="8"/>
  <c r="O178" i="8" s="1"/>
  <c r="O161" i="8"/>
  <c r="M160" i="8"/>
  <c r="O160" i="8" s="1"/>
  <c r="AT132" i="11" s="1"/>
  <c r="G536" i="10"/>
  <c r="M185" i="8"/>
  <c r="O185" i="8" s="1"/>
  <c r="N73" i="11"/>
  <c r="N130" i="11"/>
  <c r="AT16" i="11"/>
  <c r="AV187" i="11"/>
  <c r="R158" i="8"/>
  <c r="Y158" i="8" s="1"/>
  <c r="AC130" i="11"/>
  <c r="AT130" i="11"/>
  <c r="BW187" i="11"/>
  <c r="AE73" i="11"/>
  <c r="N16" i="11"/>
  <c r="N187" i="11"/>
  <c r="M12" i="45"/>
  <c r="AE16" i="11"/>
  <c r="AT73" i="11"/>
  <c r="G534" i="10"/>
  <c r="M169" i="8"/>
  <c r="N17" i="11"/>
  <c r="N188" i="11"/>
  <c r="AC131" i="11"/>
  <c r="BW188" i="11"/>
  <c r="AT74" i="11"/>
  <c r="AE17" i="11"/>
  <c r="M13" i="45"/>
  <c r="N74" i="11"/>
  <c r="N131" i="11"/>
  <c r="AV188" i="11"/>
  <c r="AT17" i="11"/>
  <c r="AT131" i="11"/>
  <c r="AE74" i="11"/>
  <c r="AQ74" i="11" s="1"/>
  <c r="R159" i="8"/>
  <c r="G532" i="10"/>
  <c r="M182" i="8"/>
  <c r="O182" i="8" s="1"/>
  <c r="AC154" i="11" s="1"/>
  <c r="G535" i="10"/>
  <c r="M168" i="8"/>
  <c r="O168" i="8" s="1"/>
  <c r="G521" i="10"/>
  <c r="G510" i="10"/>
  <c r="G522" i="10"/>
  <c r="G511" i="10"/>
  <c r="G519" i="10"/>
  <c r="O157" i="8"/>
  <c r="AT15" i="11" s="1"/>
  <c r="G517" i="10"/>
  <c r="O154" i="8"/>
  <c r="O196" i="8"/>
  <c r="AC168" i="11" s="1"/>
  <c r="G514" i="10"/>
  <c r="G524" i="10"/>
  <c r="O174" i="8"/>
  <c r="G526" i="10"/>
  <c r="G516" i="10"/>
  <c r="G518" i="10"/>
  <c r="G537" i="10"/>
  <c r="G529" i="10"/>
  <c r="G525" i="10"/>
  <c r="O200" i="8"/>
  <c r="N191" i="11"/>
  <c r="BW191" i="11"/>
  <c r="AE77" i="11"/>
  <c r="AQ77" i="11" s="1"/>
  <c r="N77" i="11"/>
  <c r="AT134" i="11"/>
  <c r="AC134" i="11"/>
  <c r="R162" i="8"/>
  <c r="Y162" i="8" s="1"/>
  <c r="N20" i="11"/>
  <c r="M16" i="45"/>
  <c r="AT77" i="11"/>
  <c r="AT20" i="11"/>
  <c r="N134" i="11"/>
  <c r="AV191" i="11"/>
  <c r="BF191" i="11" s="1"/>
  <c r="AE20" i="11"/>
  <c r="AQ20" i="11" s="1"/>
  <c r="N128" i="11"/>
  <c r="AT71" i="11"/>
  <c r="AC128" i="11"/>
  <c r="N185" i="11"/>
  <c r="R156" i="8"/>
  <c r="Y156" i="8" s="1"/>
  <c r="AT128" i="11"/>
  <c r="AE71" i="11"/>
  <c r="N71" i="11"/>
  <c r="AT14" i="11"/>
  <c r="AV185" i="11"/>
  <c r="N14" i="11"/>
  <c r="M10" i="45"/>
  <c r="AE14" i="11"/>
  <c r="BW185" i="11"/>
  <c r="N209" i="11"/>
  <c r="BW209" i="11"/>
  <c r="AE95" i="11"/>
  <c r="AQ95" i="11" s="1"/>
  <c r="R180" i="8"/>
  <c r="Y180" i="8" s="1"/>
  <c r="N152" i="11"/>
  <c r="AV209" i="11"/>
  <c r="AE38" i="11"/>
  <c r="N38" i="11"/>
  <c r="M34" i="45"/>
  <c r="AT95" i="11"/>
  <c r="AT38" i="11"/>
  <c r="N95" i="11"/>
  <c r="AT152" i="11"/>
  <c r="AC152" i="11"/>
  <c r="O177" i="8"/>
  <c r="N44" i="11"/>
  <c r="M40" i="45"/>
  <c r="AT101" i="11"/>
  <c r="AT44" i="11"/>
  <c r="N158" i="11"/>
  <c r="AV215" i="11"/>
  <c r="BF215" i="11" s="1"/>
  <c r="AE44" i="11"/>
  <c r="AQ44" i="11" s="1"/>
  <c r="N215" i="11"/>
  <c r="BW215" i="11"/>
  <c r="AE101" i="11"/>
  <c r="AQ101" i="11" s="1"/>
  <c r="N101" i="11"/>
  <c r="AT158" i="11"/>
  <c r="AC158" i="11"/>
  <c r="R186" i="8"/>
  <c r="Y186" i="8" s="1"/>
  <c r="AY19" i="45" l="1"/>
  <c r="BB19" i="45" s="1"/>
  <c r="L50" i="48" s="1"/>
  <c r="AV19" i="45"/>
  <c r="AU19" i="45"/>
  <c r="J12" i="96"/>
  <c r="J61" i="60"/>
  <c r="I16" i="68"/>
  <c r="J91" i="60"/>
  <c r="J42" i="96"/>
  <c r="I46" i="68"/>
  <c r="J18" i="96"/>
  <c r="J67" i="60"/>
  <c r="I22" i="68"/>
  <c r="J64" i="60"/>
  <c r="J15" i="96"/>
  <c r="I19" i="68"/>
  <c r="J80" i="60"/>
  <c r="J31" i="96"/>
  <c r="I35" i="68"/>
  <c r="J36" i="96"/>
  <c r="J85" i="60"/>
  <c r="I40" i="68"/>
  <c r="J14" i="96"/>
  <c r="J63" i="60"/>
  <c r="I18" i="68"/>
  <c r="J11" i="96"/>
  <c r="J60" i="60"/>
  <c r="I15" i="68"/>
  <c r="AU17" i="45"/>
  <c r="AY17" i="45"/>
  <c r="BB17" i="45" s="1"/>
  <c r="L46" i="48" s="1"/>
  <c r="AV17" i="45"/>
  <c r="M236" i="8"/>
  <c r="M223" i="8"/>
  <c r="N223" i="8" s="1"/>
  <c r="AU141" i="11" s="1"/>
  <c r="BW189" i="11"/>
  <c r="O53" i="11"/>
  <c r="R249" i="8"/>
  <c r="N189" i="11"/>
  <c r="I509" i="10"/>
  <c r="AE18" i="11"/>
  <c r="AG18" i="11" s="1"/>
  <c r="AI18" i="11" s="1"/>
  <c r="H535" i="10"/>
  <c r="I535" i="10" s="1"/>
  <c r="O167" i="11"/>
  <c r="AU167" i="11"/>
  <c r="AE110" i="11"/>
  <c r="AN110" i="11" s="1"/>
  <c r="AC167" i="11"/>
  <c r="AE167" i="11" s="1"/>
  <c r="AG167" i="11" s="1"/>
  <c r="N167" i="11"/>
  <c r="M49" i="45"/>
  <c r="N110" i="11"/>
  <c r="N53" i="11"/>
  <c r="BW224" i="11"/>
  <c r="AT53" i="11"/>
  <c r="AT167" i="11"/>
  <c r="R195" i="8"/>
  <c r="Q110" i="11"/>
  <c r="S110" i="11" s="1"/>
  <c r="U110" i="11" s="1"/>
  <c r="AV224" i="11"/>
  <c r="N49" i="45"/>
  <c r="AU110" i="11"/>
  <c r="O110" i="11"/>
  <c r="Y249" i="8"/>
  <c r="Z249" i="8" s="1"/>
  <c r="AU53" i="11"/>
  <c r="BX224" i="11"/>
  <c r="M250" i="8"/>
  <c r="N250" i="8" s="1"/>
  <c r="Q111" i="11" s="1"/>
  <c r="I510" i="10"/>
  <c r="O224" i="11"/>
  <c r="AT57" i="11"/>
  <c r="AC171" i="11"/>
  <c r="N228" i="11"/>
  <c r="N114" i="11"/>
  <c r="R199" i="8"/>
  <c r="N57" i="11"/>
  <c r="BW228" i="11"/>
  <c r="AE57" i="11"/>
  <c r="AQ57" i="11" s="1"/>
  <c r="AT171" i="11"/>
  <c r="AV228" i="11"/>
  <c r="BF228" i="11" s="1"/>
  <c r="N171" i="11"/>
  <c r="M53" i="45"/>
  <c r="AT114" i="11"/>
  <c r="AE114" i="11"/>
  <c r="AN114" i="11" s="1"/>
  <c r="AC170" i="11"/>
  <c r="M52" i="45"/>
  <c r="N113" i="11"/>
  <c r="N170" i="11"/>
  <c r="AT113" i="11"/>
  <c r="N227" i="11"/>
  <c r="BW227" i="11"/>
  <c r="AT170" i="11"/>
  <c r="AT56" i="11"/>
  <c r="N56" i="11"/>
  <c r="AE113" i="11"/>
  <c r="AQ113" i="11" s="1"/>
  <c r="AE56" i="11"/>
  <c r="AQ56" i="11" s="1"/>
  <c r="R198" i="8"/>
  <c r="AV227" i="11"/>
  <c r="M226" i="8"/>
  <c r="K497" i="10"/>
  <c r="H533" i="10" s="1"/>
  <c r="I533" i="10" s="1"/>
  <c r="K476" i="10"/>
  <c r="H512" i="10" s="1"/>
  <c r="I512" i="10" s="1"/>
  <c r="M252" i="8"/>
  <c r="N252" i="8" s="1"/>
  <c r="M210" i="8"/>
  <c r="K483" i="10"/>
  <c r="H519" i="10" s="1"/>
  <c r="I519" i="10" s="1"/>
  <c r="K488" i="10"/>
  <c r="H524" i="10" s="1"/>
  <c r="I524" i="10" s="1"/>
  <c r="M209" i="8"/>
  <c r="K478" i="10"/>
  <c r="H514" i="10" s="1"/>
  <c r="I514" i="10" s="1"/>
  <c r="M254" i="8"/>
  <c r="N254" i="8" s="1"/>
  <c r="Q115" i="11" s="1"/>
  <c r="M216" i="8"/>
  <c r="K487" i="10"/>
  <c r="H523" i="10" s="1"/>
  <c r="I523" i="10" s="1"/>
  <c r="M251" i="8"/>
  <c r="N251" i="8" s="1"/>
  <c r="O226" i="11" s="1"/>
  <c r="K475" i="10"/>
  <c r="H511" i="10" s="1"/>
  <c r="I511" i="10" s="1"/>
  <c r="M212" i="8"/>
  <c r="K489" i="10"/>
  <c r="H525" i="10" s="1"/>
  <c r="I525" i="10" s="1"/>
  <c r="M228" i="8"/>
  <c r="K492" i="10"/>
  <c r="H528" i="10" s="1"/>
  <c r="I528" i="10" s="1"/>
  <c r="M240" i="8"/>
  <c r="N240" i="8" s="1"/>
  <c r="K501" i="10"/>
  <c r="H537" i="10" s="1"/>
  <c r="I537" i="10" s="1"/>
  <c r="K500" i="10"/>
  <c r="H536" i="10" s="1"/>
  <c r="I536" i="10" s="1"/>
  <c r="M239" i="8"/>
  <c r="K486" i="10"/>
  <c r="H522" i="10" s="1"/>
  <c r="I522" i="10" s="1"/>
  <c r="M215" i="8"/>
  <c r="N215" i="8" s="1"/>
  <c r="M253" i="8"/>
  <c r="N253" i="8" s="1"/>
  <c r="K477" i="10"/>
  <c r="H513" i="10" s="1"/>
  <c r="I513" i="10" s="1"/>
  <c r="M214" i="8"/>
  <c r="N214" i="8" s="1"/>
  <c r="P439" i="8" s="1"/>
  <c r="K485" i="10"/>
  <c r="H521" i="10" s="1"/>
  <c r="I521" i="10" s="1"/>
  <c r="M207" i="8"/>
  <c r="N207" i="8" s="1"/>
  <c r="O68" i="11" s="1"/>
  <c r="K481" i="10"/>
  <c r="H517" i="10" s="1"/>
  <c r="I517" i="10" s="1"/>
  <c r="M232" i="8"/>
  <c r="N232" i="8" s="1"/>
  <c r="AU150" i="11" s="1"/>
  <c r="K495" i="10"/>
  <c r="H531" i="10" s="1"/>
  <c r="I531" i="10" s="1"/>
  <c r="M229" i="8"/>
  <c r="N229" i="8" s="1"/>
  <c r="O33" i="11" s="1"/>
  <c r="K493" i="10"/>
  <c r="H529" i="10" s="1"/>
  <c r="I529" i="10" s="1"/>
  <c r="M231" i="8"/>
  <c r="N231" i="8" s="1"/>
  <c r="BX206" i="11" s="1"/>
  <c r="K494" i="10"/>
  <c r="H530" i="10" s="1"/>
  <c r="I530" i="10" s="1"/>
  <c r="K484" i="10"/>
  <c r="H520" i="10" s="1"/>
  <c r="I520" i="10" s="1"/>
  <c r="M211" i="8"/>
  <c r="K490" i="10"/>
  <c r="H526" i="10" s="1"/>
  <c r="I526" i="10" s="1"/>
  <c r="M213" i="8"/>
  <c r="N213" i="8" s="1"/>
  <c r="P438" i="8" s="1"/>
  <c r="M255" i="8"/>
  <c r="N255" i="8" s="1"/>
  <c r="Q116" i="11" s="1"/>
  <c r="K479" i="10"/>
  <c r="H515" i="10" s="1"/>
  <c r="I515" i="10" s="1"/>
  <c r="M208" i="8"/>
  <c r="N208" i="8" s="1"/>
  <c r="O183" i="11" s="1"/>
  <c r="K482" i="10"/>
  <c r="H518" i="10" s="1"/>
  <c r="I518" i="10" s="1"/>
  <c r="M234" i="8"/>
  <c r="K491" i="10"/>
  <c r="H527" i="10" s="1"/>
  <c r="I527" i="10" s="1"/>
  <c r="K480" i="10"/>
  <c r="H516" i="10" s="1"/>
  <c r="I516" i="10" s="1"/>
  <c r="M256" i="8"/>
  <c r="N256" i="8" s="1"/>
  <c r="AT111" i="11"/>
  <c r="P474" i="8"/>
  <c r="AT54" i="11"/>
  <c r="AE111" i="11"/>
  <c r="BW225" i="11"/>
  <c r="AE53" i="11"/>
  <c r="AT110" i="11"/>
  <c r="AH168" i="11"/>
  <c r="AC132" i="11"/>
  <c r="AE132" i="11" s="1"/>
  <c r="AG132" i="11" s="1"/>
  <c r="AV189" i="11"/>
  <c r="AW189" i="11" s="1"/>
  <c r="M14" i="45"/>
  <c r="R196" i="8"/>
  <c r="N111" i="11"/>
  <c r="AE54" i="11"/>
  <c r="AG54" i="11" s="1"/>
  <c r="AI54" i="11" s="1"/>
  <c r="N168" i="11"/>
  <c r="AE12" i="11"/>
  <c r="R157" i="8"/>
  <c r="Y157" i="8" s="1"/>
  <c r="M36" i="45"/>
  <c r="P447" i="8"/>
  <c r="N75" i="11"/>
  <c r="P457" i="8"/>
  <c r="AF168" i="11"/>
  <c r="AE168" i="11"/>
  <c r="AG168" i="11" s="1"/>
  <c r="AV211" i="11"/>
  <c r="BH211" i="11" s="1"/>
  <c r="R182" i="8"/>
  <c r="Y182" i="8" s="1"/>
  <c r="AT97" i="11"/>
  <c r="AE75" i="11"/>
  <c r="AP75" i="11" s="1"/>
  <c r="AT18" i="11"/>
  <c r="N132" i="11"/>
  <c r="AT75" i="11"/>
  <c r="N18" i="11"/>
  <c r="R160" i="8"/>
  <c r="Y160" i="8" s="1"/>
  <c r="AE72" i="11"/>
  <c r="AH74" i="11"/>
  <c r="AJ74" i="11" s="1"/>
  <c r="AN74" i="11"/>
  <c r="AP74" i="11"/>
  <c r="AG74" i="11"/>
  <c r="AI74" i="11" s="1"/>
  <c r="AO74" i="11"/>
  <c r="AL74" i="11"/>
  <c r="AF131" i="11"/>
  <c r="AH131" i="11" s="1"/>
  <c r="AE131" i="11"/>
  <c r="AG131" i="11" s="1"/>
  <c r="AH16" i="11"/>
  <c r="AJ16" i="11" s="1"/>
  <c r="AG16" i="11"/>
  <c r="AI16" i="11" s="1"/>
  <c r="AG73" i="11"/>
  <c r="AI73" i="11" s="1"/>
  <c r="AH73" i="11"/>
  <c r="AJ73" i="11" s="1"/>
  <c r="AV190" i="11"/>
  <c r="N190" i="11"/>
  <c r="AE76" i="11"/>
  <c r="AQ76" i="11" s="1"/>
  <c r="N76" i="11"/>
  <c r="AC133" i="11"/>
  <c r="M15" i="45"/>
  <c r="AT19" i="11"/>
  <c r="N133" i="11"/>
  <c r="AE19" i="11"/>
  <c r="BW190" i="11"/>
  <c r="R161" i="8"/>
  <c r="Y161" i="8" s="1"/>
  <c r="AT133" i="11"/>
  <c r="N19" i="11"/>
  <c r="AT76" i="11"/>
  <c r="AH70" i="11"/>
  <c r="AJ70" i="11" s="1"/>
  <c r="AO70" i="11"/>
  <c r="AL70" i="11"/>
  <c r="AN70" i="11"/>
  <c r="AP70" i="11"/>
  <c r="AG70" i="11"/>
  <c r="AI70" i="11" s="1"/>
  <c r="AE147" i="11"/>
  <c r="AG147" i="11" s="1"/>
  <c r="AF147" i="11"/>
  <c r="AH147" i="11" s="1"/>
  <c r="AW204" i="11"/>
  <c r="AX204" i="11"/>
  <c r="AZ204" i="11" s="1"/>
  <c r="BH204" i="11"/>
  <c r="BT204" i="11" s="1"/>
  <c r="I532" i="10"/>
  <c r="I534" i="10"/>
  <c r="AW188" i="11"/>
  <c r="AX188" i="11"/>
  <c r="AZ188" i="11" s="1"/>
  <c r="BH188" i="11"/>
  <c r="BT188" i="11" s="1"/>
  <c r="AG17" i="11"/>
  <c r="AI17" i="11" s="1"/>
  <c r="AH17" i="11"/>
  <c r="AJ17" i="11" s="1"/>
  <c r="AE130" i="11"/>
  <c r="AG130" i="11" s="1"/>
  <c r="AF130" i="11"/>
  <c r="AH130" i="11" s="1"/>
  <c r="AX187" i="11"/>
  <c r="AZ187" i="11" s="1"/>
  <c r="AW187" i="11"/>
  <c r="BH187" i="11"/>
  <c r="BT187" i="11" s="1"/>
  <c r="R178" i="8"/>
  <c r="M32" i="45"/>
  <c r="N93" i="11"/>
  <c r="N150" i="11"/>
  <c r="AV207" i="11"/>
  <c r="BF207" i="11" s="1"/>
  <c r="BW207" i="11"/>
  <c r="AT93" i="11"/>
  <c r="AE36" i="11"/>
  <c r="AQ36" i="11" s="1"/>
  <c r="N36" i="11"/>
  <c r="N207" i="11"/>
  <c r="AC150" i="11"/>
  <c r="AE93" i="11"/>
  <c r="AQ93" i="11" s="1"/>
  <c r="AT36" i="11"/>
  <c r="AT150" i="11"/>
  <c r="AE127" i="11"/>
  <c r="AG127" i="11" s="1"/>
  <c r="AF127" i="11"/>
  <c r="AH127" i="11" s="1"/>
  <c r="AW184" i="11"/>
  <c r="AX184" i="11"/>
  <c r="AZ184" i="11" s="1"/>
  <c r="BH184" i="11"/>
  <c r="BT184" i="11" s="1"/>
  <c r="AG13" i="11"/>
  <c r="AI13" i="11" s="1"/>
  <c r="AH13" i="11"/>
  <c r="AJ13" i="11" s="1"/>
  <c r="AL90" i="11"/>
  <c r="AO90" i="11"/>
  <c r="AH90" i="11"/>
  <c r="AJ90" i="11" s="1"/>
  <c r="AN90" i="11"/>
  <c r="AP90" i="11"/>
  <c r="AG90" i="11"/>
  <c r="AI90" i="11" s="1"/>
  <c r="AG33" i="11"/>
  <c r="AI33" i="11" s="1"/>
  <c r="AH33" i="11"/>
  <c r="AJ33" i="11" s="1"/>
  <c r="BW211" i="11"/>
  <c r="N97" i="11"/>
  <c r="N40" i="11"/>
  <c r="AT72" i="11"/>
  <c r="N186" i="11"/>
  <c r="AE69" i="11"/>
  <c r="N69" i="11"/>
  <c r="AC126" i="11"/>
  <c r="BW186" i="11"/>
  <c r="AE40" i="11"/>
  <c r="AH40" i="11" s="1"/>
  <c r="AJ40" i="11" s="1"/>
  <c r="N154" i="11"/>
  <c r="AE97" i="11"/>
  <c r="AO97" i="11" s="1"/>
  <c r="N211" i="11"/>
  <c r="AT154" i="11"/>
  <c r="AT40" i="11"/>
  <c r="N129" i="11"/>
  <c r="N15" i="11"/>
  <c r="R154" i="8"/>
  <c r="Y154" i="8" s="1"/>
  <c r="N12" i="11"/>
  <c r="AV186" i="11"/>
  <c r="AT12" i="11"/>
  <c r="N126" i="11"/>
  <c r="AT126" i="11"/>
  <c r="N183" i="11"/>
  <c r="M8" i="45"/>
  <c r="BW183" i="11"/>
  <c r="AV183" i="11"/>
  <c r="AT69" i="11"/>
  <c r="AE15" i="11"/>
  <c r="AT129" i="11"/>
  <c r="M11" i="45"/>
  <c r="AC129" i="11"/>
  <c r="N72" i="11"/>
  <c r="N54" i="11"/>
  <c r="N225" i="11"/>
  <c r="M50" i="45"/>
  <c r="AT168" i="11"/>
  <c r="AV225" i="11"/>
  <c r="O197" i="8"/>
  <c r="O169" i="8"/>
  <c r="N32" i="11"/>
  <c r="AC146" i="11"/>
  <c r="N203" i="11"/>
  <c r="R174" i="8"/>
  <c r="Y174" i="8" s="1"/>
  <c r="AE89" i="11"/>
  <c r="AQ89" i="11" s="1"/>
  <c r="N89" i="11"/>
  <c r="AV203" i="11"/>
  <c r="AT32" i="11"/>
  <c r="N146" i="11"/>
  <c r="AT89" i="11"/>
  <c r="AT146" i="11"/>
  <c r="BW203" i="11"/>
  <c r="AE32" i="11"/>
  <c r="M28" i="45"/>
  <c r="N83" i="11"/>
  <c r="AT83" i="11"/>
  <c r="AC140" i="11"/>
  <c r="R168" i="8"/>
  <c r="Y168" i="8" s="1"/>
  <c r="AT26" i="11"/>
  <c r="AE26" i="11"/>
  <c r="AQ26" i="11" s="1"/>
  <c r="M22" i="45"/>
  <c r="AE83" i="11"/>
  <c r="AQ83" i="11" s="1"/>
  <c r="N197" i="11"/>
  <c r="BW197" i="11"/>
  <c r="N140" i="11"/>
  <c r="AV197" i="11"/>
  <c r="BF197" i="11" s="1"/>
  <c r="N26" i="11"/>
  <c r="AT140" i="11"/>
  <c r="O202" i="8"/>
  <c r="AC157" i="11"/>
  <c r="N43" i="11"/>
  <c r="AV214" i="11"/>
  <c r="N157" i="11"/>
  <c r="AT43" i="11"/>
  <c r="AT100" i="11"/>
  <c r="BW214" i="11"/>
  <c r="AE100" i="11"/>
  <c r="AQ100" i="11" s="1"/>
  <c r="M39" i="45"/>
  <c r="AE43" i="11"/>
  <c r="AT157" i="11"/>
  <c r="N214" i="11"/>
  <c r="N100" i="11"/>
  <c r="R185" i="8"/>
  <c r="Y185" i="8" s="1"/>
  <c r="O153" i="8"/>
  <c r="AE87" i="11"/>
  <c r="AQ87" i="11" s="1"/>
  <c r="N87" i="11"/>
  <c r="AT144" i="11"/>
  <c r="BW201" i="11"/>
  <c r="AE30" i="11"/>
  <c r="M26" i="45"/>
  <c r="AT30" i="11"/>
  <c r="N144" i="11"/>
  <c r="AC144" i="11"/>
  <c r="N201" i="11"/>
  <c r="R172" i="8"/>
  <c r="Y172" i="8" s="1"/>
  <c r="AV201" i="11"/>
  <c r="N30" i="11"/>
  <c r="AT87" i="11"/>
  <c r="O83" i="11"/>
  <c r="O197" i="11"/>
  <c r="N22" i="45"/>
  <c r="AU140" i="11"/>
  <c r="AU26" i="11"/>
  <c r="R222" i="8"/>
  <c r="Y222" i="8" s="1"/>
  <c r="O26" i="11"/>
  <c r="O140" i="11"/>
  <c r="BX197" i="11"/>
  <c r="AU83" i="11"/>
  <c r="Q83" i="11"/>
  <c r="AE154" i="11"/>
  <c r="AG154" i="11" s="1"/>
  <c r="AF154" i="11"/>
  <c r="AH154" i="11" s="1"/>
  <c r="N115" i="11"/>
  <c r="AT172" i="11"/>
  <c r="AE115" i="11"/>
  <c r="AQ115" i="11" s="1"/>
  <c r="N172" i="11"/>
  <c r="N229" i="11"/>
  <c r="R200" i="8"/>
  <c r="M54" i="45"/>
  <c r="AV229" i="11"/>
  <c r="AT58" i="11"/>
  <c r="AC172" i="11"/>
  <c r="N58" i="11"/>
  <c r="BW229" i="11"/>
  <c r="AT115" i="11"/>
  <c r="AE58" i="11"/>
  <c r="N206" i="11"/>
  <c r="BW206" i="11"/>
  <c r="AE92" i="11"/>
  <c r="AQ92" i="11" s="1"/>
  <c r="N92" i="11"/>
  <c r="AT149" i="11"/>
  <c r="AC149" i="11"/>
  <c r="R177" i="8"/>
  <c r="Y177" i="8" s="1"/>
  <c r="N35" i="11"/>
  <c r="M31" i="45"/>
  <c r="AT92" i="11"/>
  <c r="AT35" i="11"/>
  <c r="N149" i="11"/>
  <c r="AV206" i="11"/>
  <c r="BF206" i="11" s="1"/>
  <c r="AE35" i="11"/>
  <c r="AQ35" i="11" s="1"/>
  <c r="M55" i="45"/>
  <c r="N173" i="11"/>
  <c r="N230" i="11"/>
  <c r="AE116" i="11"/>
  <c r="AQ116" i="11" s="1"/>
  <c r="R201" i="8"/>
  <c r="AT173" i="11"/>
  <c r="N59" i="11"/>
  <c r="AV230" i="11"/>
  <c r="BF230" i="11" s="1"/>
  <c r="AC173" i="11"/>
  <c r="AT116" i="11"/>
  <c r="AT59" i="11"/>
  <c r="AE59" i="11"/>
  <c r="AQ59" i="11" s="1"/>
  <c r="BW230" i="11"/>
  <c r="N116" i="11"/>
  <c r="AG38" i="11"/>
  <c r="AI38" i="11" s="1"/>
  <c r="AH38" i="11"/>
  <c r="AJ38" i="11" s="1"/>
  <c r="AG95" i="11"/>
  <c r="AI95" i="11" s="1"/>
  <c r="AO95" i="11"/>
  <c r="AH95" i="11"/>
  <c r="AJ95" i="11" s="1"/>
  <c r="AP95" i="11"/>
  <c r="AN95" i="11"/>
  <c r="AL95" i="11"/>
  <c r="AH14" i="11"/>
  <c r="AJ14" i="11"/>
  <c r="AG14" i="11"/>
  <c r="AI14" i="11" s="1"/>
  <c r="AH71" i="11"/>
  <c r="AJ71" i="11" s="1"/>
  <c r="AG71" i="11"/>
  <c r="AI71" i="11" s="1"/>
  <c r="AH128" i="11"/>
  <c r="AF128" i="11"/>
  <c r="AE128" i="11"/>
  <c r="AG128" i="11" s="1"/>
  <c r="AW191" i="11"/>
  <c r="BC191" i="11"/>
  <c r="BB191" i="11"/>
  <c r="BE191" i="11"/>
  <c r="BH191" i="11"/>
  <c r="BT191" i="11" s="1"/>
  <c r="AX191" i="11"/>
  <c r="AZ191" i="11" s="1"/>
  <c r="BD191" i="11"/>
  <c r="AG77" i="11"/>
  <c r="AI77" i="11" s="1"/>
  <c r="AH77" i="11"/>
  <c r="AJ77" i="11" s="1"/>
  <c r="AO77" i="11"/>
  <c r="AL77" i="11"/>
  <c r="AP77" i="11"/>
  <c r="AN77" i="11"/>
  <c r="AF152" i="11"/>
  <c r="AH152" i="11" s="1"/>
  <c r="AE152" i="11"/>
  <c r="AG152" i="11" s="1"/>
  <c r="BH209" i="11"/>
  <c r="BT209" i="11" s="1"/>
  <c r="AX209" i="11"/>
  <c r="AZ209" i="11" s="1"/>
  <c r="AW209" i="11"/>
  <c r="AW185" i="11"/>
  <c r="AX185" i="11"/>
  <c r="AZ185" i="11"/>
  <c r="BH185" i="11"/>
  <c r="AH20" i="11"/>
  <c r="AJ20" i="11" s="1"/>
  <c r="AN20" i="11"/>
  <c r="AP20" i="11"/>
  <c r="AL20" i="11"/>
  <c r="AG20" i="11"/>
  <c r="AI20" i="11" s="1"/>
  <c r="AO20" i="11"/>
  <c r="AJ134" i="11"/>
  <c r="AL134" i="11"/>
  <c r="AF134" i="11"/>
  <c r="AH134" i="11" s="1"/>
  <c r="AE134" i="11"/>
  <c r="AG134" i="11" s="1"/>
  <c r="AM134" i="11"/>
  <c r="AH101" i="11"/>
  <c r="AN101" i="11"/>
  <c r="AP101" i="11"/>
  <c r="AL101" i="11"/>
  <c r="AG101" i="11"/>
  <c r="AI101" i="11" s="1"/>
  <c r="AO101" i="11"/>
  <c r="AJ101" i="11"/>
  <c r="AX215" i="11"/>
  <c r="BC215" i="11"/>
  <c r="BE215" i="11"/>
  <c r="AZ215" i="11"/>
  <c r="BH215" i="11"/>
  <c r="BT215" i="11" s="1"/>
  <c r="BB215" i="11"/>
  <c r="AW215" i="11"/>
  <c r="BD215" i="11"/>
  <c r="AF158" i="11"/>
  <c r="AH158" i="11"/>
  <c r="AJ158" i="11"/>
  <c r="AM158" i="11"/>
  <c r="AE158" i="11"/>
  <c r="AG158" i="11" s="1"/>
  <c r="AL158" i="11"/>
  <c r="AO44" i="11"/>
  <c r="AG44" i="11"/>
  <c r="AI44" i="11" s="1"/>
  <c r="AN44" i="11"/>
  <c r="AJ44" i="11"/>
  <c r="AL44" i="11"/>
  <c r="AP44" i="11"/>
  <c r="AH44" i="11"/>
  <c r="BC19" i="45"/>
  <c r="BD19" i="45"/>
  <c r="BG19" i="45"/>
  <c r="BJ19" i="45" s="1"/>
  <c r="N50" i="48" s="1"/>
  <c r="N23" i="45" l="1"/>
  <c r="O198" i="11"/>
  <c r="P456" i="8"/>
  <c r="K51" i="96"/>
  <c r="K100" i="60"/>
  <c r="P479" i="8"/>
  <c r="J55" i="96"/>
  <c r="J104" i="60"/>
  <c r="I58" i="68"/>
  <c r="J57" i="96"/>
  <c r="J106" i="60"/>
  <c r="I60" i="68"/>
  <c r="J103" i="60"/>
  <c r="J54" i="96"/>
  <c r="I57" i="68"/>
  <c r="P475" i="8"/>
  <c r="J82" i="60"/>
  <c r="J33" i="96"/>
  <c r="I37" i="68"/>
  <c r="J90" i="60"/>
  <c r="J41" i="96"/>
  <c r="I45" i="68"/>
  <c r="J24" i="96"/>
  <c r="J73" i="60"/>
  <c r="I28" i="68"/>
  <c r="J30" i="96"/>
  <c r="J79" i="60"/>
  <c r="I34" i="68"/>
  <c r="J65" i="60"/>
  <c r="J16" i="96"/>
  <c r="I20" i="68"/>
  <c r="K24" i="96"/>
  <c r="K73" i="60"/>
  <c r="J38" i="96"/>
  <c r="J87" i="60"/>
  <c r="I42" i="68"/>
  <c r="J77" i="60"/>
  <c r="J28" i="96"/>
  <c r="I32" i="68"/>
  <c r="J34" i="96"/>
  <c r="J83" i="60"/>
  <c r="I38" i="68"/>
  <c r="P433" i="8"/>
  <c r="J59" i="60"/>
  <c r="J10" i="96"/>
  <c r="I14" i="68"/>
  <c r="J51" i="96"/>
  <c r="J100" i="60"/>
  <c r="I54" i="68"/>
  <c r="J105" i="60"/>
  <c r="J56" i="96"/>
  <c r="I59" i="68"/>
  <c r="J62" i="60"/>
  <c r="J13" i="96"/>
  <c r="I17" i="68"/>
  <c r="J66" i="60"/>
  <c r="J17" i="96"/>
  <c r="I21" i="68"/>
  <c r="J101" i="60"/>
  <c r="J52" i="96"/>
  <c r="I55" i="68"/>
  <c r="BG17" i="45"/>
  <c r="BJ17" i="45" s="1"/>
  <c r="N46" i="48" s="1"/>
  <c r="BC17" i="45"/>
  <c r="BD17" i="45"/>
  <c r="AJ54" i="11"/>
  <c r="O168" i="11"/>
  <c r="AU54" i="11"/>
  <c r="AV54" i="11" s="1"/>
  <c r="AB110" i="11"/>
  <c r="R223" i="8"/>
  <c r="Y223" i="8" s="1"/>
  <c r="O69" i="11"/>
  <c r="AU84" i="11"/>
  <c r="O54" i="11"/>
  <c r="O141" i="11"/>
  <c r="BX198" i="11"/>
  <c r="O84" i="11"/>
  <c r="AU27" i="11"/>
  <c r="O27" i="11"/>
  <c r="N7" i="45"/>
  <c r="O55" i="11"/>
  <c r="AH18" i="11"/>
  <c r="AJ18" i="11" s="1"/>
  <c r="AG110" i="11"/>
  <c r="AI110" i="11" s="1"/>
  <c r="AU149" i="11"/>
  <c r="AW149" i="11" s="1"/>
  <c r="Y250" i="8"/>
  <c r="Z250" i="8" s="1"/>
  <c r="O225" i="11"/>
  <c r="O182" i="11"/>
  <c r="AU112" i="11"/>
  <c r="O169" i="11"/>
  <c r="AO114" i="11"/>
  <c r="O206" i="11"/>
  <c r="BX182" i="11"/>
  <c r="O126" i="11"/>
  <c r="AX189" i="11"/>
  <c r="AZ189" i="11" s="1"/>
  <c r="BA49" i="45"/>
  <c r="AH54" i="11"/>
  <c r="BD228" i="11"/>
  <c r="AF132" i="11"/>
  <c r="AH132" i="11" s="1"/>
  <c r="AH110" i="11"/>
  <c r="R250" i="8"/>
  <c r="N50" i="45"/>
  <c r="Q50" i="45" s="1"/>
  <c r="AU111" i="11"/>
  <c r="AV111" i="11" s="1"/>
  <c r="AU168" i="11"/>
  <c r="AX168" i="11" s="1"/>
  <c r="BX225" i="11"/>
  <c r="BZ225" i="11" s="1"/>
  <c r="AG12" i="11"/>
  <c r="AI12" i="11" s="1"/>
  <c r="O125" i="11"/>
  <c r="O112" i="11"/>
  <c r="Y251" i="8"/>
  <c r="Z251" i="8" s="1"/>
  <c r="AA110" i="11"/>
  <c r="O92" i="11"/>
  <c r="P454" i="8"/>
  <c r="O36" i="11"/>
  <c r="AU68" i="11"/>
  <c r="Q75" i="11"/>
  <c r="S75" i="11" s="1"/>
  <c r="U75" i="11" s="1"/>
  <c r="O111" i="11"/>
  <c r="N29" i="45"/>
  <c r="AK29" i="45" s="1"/>
  <c r="O90" i="11"/>
  <c r="R229" i="8"/>
  <c r="BX204" i="11"/>
  <c r="CA204" i="11" s="1"/>
  <c r="AN113" i="11"/>
  <c r="AH167" i="11"/>
  <c r="AX167" i="11"/>
  <c r="BX207" i="11"/>
  <c r="BZ207" i="11" s="1"/>
  <c r="R214" i="8"/>
  <c r="Y214" i="8" s="1"/>
  <c r="AS49" i="45"/>
  <c r="AG75" i="11"/>
  <c r="AI75" i="11" s="1"/>
  <c r="AQ75" i="11"/>
  <c r="Z110" i="11"/>
  <c r="AF126" i="11"/>
  <c r="AL111" i="11"/>
  <c r="AQ111" i="11"/>
  <c r="AP114" i="11"/>
  <c r="AQ114" i="11"/>
  <c r="Q49" i="45"/>
  <c r="AG97" i="11"/>
  <c r="AI97" i="11" s="1"/>
  <c r="AQ97" i="11"/>
  <c r="AP110" i="11"/>
  <c r="AQ110" i="11"/>
  <c r="Q22" i="45"/>
  <c r="BH227" i="11"/>
  <c r="CA206" i="11"/>
  <c r="AW211" i="11"/>
  <c r="BK211" i="11" s="1"/>
  <c r="BR211" i="11" s="1"/>
  <c r="AF167" i="11"/>
  <c r="AL110" i="11"/>
  <c r="AO110" i="11"/>
  <c r="AC49" i="45"/>
  <c r="AU35" i="11"/>
  <c r="AV35" i="11" s="1"/>
  <c r="U49" i="45"/>
  <c r="V49" i="45" s="1"/>
  <c r="AU126" i="11"/>
  <c r="AV126" i="11" s="1"/>
  <c r="BQ49" i="45"/>
  <c r="AU36" i="11"/>
  <c r="AX36" i="11" s="1"/>
  <c r="O207" i="11"/>
  <c r="O18" i="11"/>
  <c r="AX110" i="11"/>
  <c r="AX35" i="11"/>
  <c r="AH75" i="11"/>
  <c r="AJ75" i="11" s="1"/>
  <c r="AJ110" i="11"/>
  <c r="AK49" i="45"/>
  <c r="R231" i="8"/>
  <c r="Y231" i="8" s="1"/>
  <c r="AU69" i="11"/>
  <c r="AW69" i="11" s="1"/>
  <c r="O12" i="11"/>
  <c r="O150" i="11"/>
  <c r="Q93" i="11"/>
  <c r="CA224" i="11"/>
  <c r="AW83" i="11"/>
  <c r="AC83" i="11" s="1"/>
  <c r="AV83" i="11"/>
  <c r="AV140" i="11"/>
  <c r="AW140" i="11"/>
  <c r="BZ206" i="11"/>
  <c r="BY206" i="11"/>
  <c r="AV150" i="11"/>
  <c r="AW150" i="11"/>
  <c r="AX26" i="11"/>
  <c r="BZ197" i="11"/>
  <c r="BY197" i="11"/>
  <c r="AV26" i="11"/>
  <c r="AW26" i="11"/>
  <c r="AX140" i="11"/>
  <c r="CA197" i="11"/>
  <c r="AX83" i="11"/>
  <c r="AX150" i="11"/>
  <c r="BY224" i="11"/>
  <c r="BZ224" i="11"/>
  <c r="AW110" i="11"/>
  <c r="AC110" i="11" s="1"/>
  <c r="AV110" i="11"/>
  <c r="AV167" i="11"/>
  <c r="AW167" i="11"/>
  <c r="AX53" i="11"/>
  <c r="AV53" i="11"/>
  <c r="AW53" i="11"/>
  <c r="AF110" i="11"/>
  <c r="AM110" i="11" s="1"/>
  <c r="T110" i="11"/>
  <c r="V110" i="11" s="1"/>
  <c r="AZ224" i="11"/>
  <c r="BI49" i="45"/>
  <c r="BC228" i="11"/>
  <c r="X110" i="11"/>
  <c r="BH189" i="11"/>
  <c r="BI189" i="11" s="1"/>
  <c r="BL189" i="11" s="1"/>
  <c r="AU132" i="11"/>
  <c r="AU75" i="11"/>
  <c r="O189" i="11"/>
  <c r="AX224" i="11"/>
  <c r="AW224" i="11"/>
  <c r="BH224" i="11"/>
  <c r="BT224" i="11" s="1"/>
  <c r="AN75" i="11"/>
  <c r="AL114" i="11"/>
  <c r="Q92" i="11"/>
  <c r="O149" i="11"/>
  <c r="O35" i="11"/>
  <c r="AU92" i="11"/>
  <c r="N31" i="45"/>
  <c r="Q31" i="45" s="1"/>
  <c r="R207" i="8"/>
  <c r="Y207" i="8" s="1"/>
  <c r="AU11" i="11"/>
  <c r="AU125" i="11"/>
  <c r="O11" i="11"/>
  <c r="Q69" i="11"/>
  <c r="T69" i="11" s="1"/>
  <c r="V69" i="11" s="1"/>
  <c r="AU12" i="11"/>
  <c r="BX183" i="11"/>
  <c r="R208" i="8"/>
  <c r="Y208" i="8" s="1"/>
  <c r="N8" i="45"/>
  <c r="BA8" i="45" s="1"/>
  <c r="AU93" i="11"/>
  <c r="O93" i="11"/>
  <c r="R232" i="8"/>
  <c r="N32" i="45"/>
  <c r="BI32" i="45" s="1"/>
  <c r="AU33" i="11"/>
  <c r="O204" i="11"/>
  <c r="AU90" i="11"/>
  <c r="AU147" i="11"/>
  <c r="O147" i="11"/>
  <c r="Q90" i="11"/>
  <c r="T90" i="11" s="1"/>
  <c r="V90" i="11" s="1"/>
  <c r="AU18" i="11"/>
  <c r="O132" i="11"/>
  <c r="O75" i="11"/>
  <c r="N14" i="45"/>
  <c r="U14" i="45" s="1"/>
  <c r="V14" i="45" s="1"/>
  <c r="BX189" i="11"/>
  <c r="O56" i="11"/>
  <c r="AU56" i="11"/>
  <c r="AH97" i="11"/>
  <c r="AJ97" i="11" s="1"/>
  <c r="AH12" i="11"/>
  <c r="AJ12" i="11" s="1"/>
  <c r="AG114" i="11"/>
  <c r="AI114" i="11" s="1"/>
  <c r="AH114" i="11"/>
  <c r="AJ114" i="11" s="1"/>
  <c r="AX228" i="11"/>
  <c r="AZ228" i="11" s="1"/>
  <c r="AX227" i="11"/>
  <c r="O117" i="11"/>
  <c r="O231" i="11"/>
  <c r="N56" i="45"/>
  <c r="Y256" i="8"/>
  <c r="Z256" i="8" s="1"/>
  <c r="R256" i="8"/>
  <c r="AU60" i="11"/>
  <c r="O60" i="11"/>
  <c r="O174" i="11"/>
  <c r="BX231" i="11"/>
  <c r="AU174" i="11"/>
  <c r="AU117" i="11"/>
  <c r="O131" i="11"/>
  <c r="O74" i="11"/>
  <c r="N13" i="45"/>
  <c r="Q13" i="45" s="1"/>
  <c r="AU131" i="11"/>
  <c r="O188" i="11"/>
  <c r="R213" i="8"/>
  <c r="Y213" i="8" s="1"/>
  <c r="AU74" i="11"/>
  <c r="Q74" i="11"/>
  <c r="O17" i="11"/>
  <c r="AU17" i="11"/>
  <c r="BX188" i="11"/>
  <c r="AU169" i="11"/>
  <c r="R251" i="8"/>
  <c r="N51" i="45"/>
  <c r="AU55" i="11"/>
  <c r="BX226" i="11"/>
  <c r="AP113" i="11"/>
  <c r="AO113" i="11"/>
  <c r="AH113" i="11"/>
  <c r="AJ113" i="11" s="1"/>
  <c r="AL113" i="11"/>
  <c r="AG113" i="11"/>
  <c r="AI113" i="11" s="1"/>
  <c r="AF170" i="11"/>
  <c r="AJ170" i="11"/>
  <c r="AM170" i="11"/>
  <c r="AL170" i="11"/>
  <c r="AH170" i="11"/>
  <c r="AE170" i="11"/>
  <c r="AG170" i="11" s="1"/>
  <c r="O229" i="11"/>
  <c r="O115" i="11"/>
  <c r="R254" i="8"/>
  <c r="AU115" i="11"/>
  <c r="BX229" i="11"/>
  <c r="O172" i="11"/>
  <c r="O58" i="11"/>
  <c r="AU58" i="11"/>
  <c r="AX58" i="11" s="1"/>
  <c r="N54" i="45"/>
  <c r="AC54" i="45" s="1"/>
  <c r="Y254" i="8"/>
  <c r="Z254" i="8" s="1"/>
  <c r="AU172" i="11"/>
  <c r="AZ227" i="11"/>
  <c r="AW227" i="11"/>
  <c r="AN56" i="11"/>
  <c r="AG56" i="11"/>
  <c r="AI56" i="11" s="1"/>
  <c r="AH56" i="11"/>
  <c r="AJ56" i="11" s="1"/>
  <c r="AP56" i="11"/>
  <c r="AO56" i="11"/>
  <c r="AL56" i="11"/>
  <c r="AW228" i="11"/>
  <c r="BB228" i="11"/>
  <c r="BH228" i="11"/>
  <c r="BT228" i="11" s="1"/>
  <c r="BE228" i="11"/>
  <c r="AL57" i="11"/>
  <c r="AN57" i="11"/>
  <c r="AO57" i="11"/>
  <c r="AP57" i="11"/>
  <c r="AH57" i="11"/>
  <c r="AJ57" i="11" s="1"/>
  <c r="AG57" i="11"/>
  <c r="AI57" i="11" s="1"/>
  <c r="AL171" i="11"/>
  <c r="AJ171" i="11"/>
  <c r="AF171" i="11"/>
  <c r="AH171" i="11" s="1"/>
  <c r="AM171" i="11"/>
  <c r="AE171" i="11"/>
  <c r="AG171" i="11" s="1"/>
  <c r="AP111" i="11"/>
  <c r="AN111" i="11"/>
  <c r="AH111" i="11"/>
  <c r="AJ111" i="11" s="1"/>
  <c r="AO111" i="11"/>
  <c r="AG111" i="11"/>
  <c r="AI111" i="11" s="1"/>
  <c r="AG53" i="11"/>
  <c r="AI53" i="11" s="1"/>
  <c r="AJ53" i="11"/>
  <c r="AH53" i="11"/>
  <c r="P481" i="8"/>
  <c r="P448" i="8"/>
  <c r="P476" i="8"/>
  <c r="P440" i="8"/>
  <c r="P432" i="8"/>
  <c r="P465" i="8"/>
  <c r="P478" i="8"/>
  <c r="O113" i="11"/>
  <c r="P477" i="8"/>
  <c r="P480" i="8"/>
  <c r="Y252" i="8"/>
  <c r="Z252" i="8" s="1"/>
  <c r="AU170" i="11"/>
  <c r="BX227" i="11"/>
  <c r="CA227" i="11" s="1"/>
  <c r="O170" i="11"/>
  <c r="AU113" i="11"/>
  <c r="R252" i="8"/>
  <c r="Q113" i="11"/>
  <c r="AF113" i="11" s="1"/>
  <c r="AM113" i="11" s="1"/>
  <c r="N52" i="45"/>
  <c r="Q52" i="45" s="1"/>
  <c r="O227" i="11"/>
  <c r="AP97" i="11"/>
  <c r="AG40" i="11"/>
  <c r="AI40" i="11" s="1"/>
  <c r="AO75" i="11"/>
  <c r="AL75" i="11"/>
  <c r="AG72" i="11"/>
  <c r="AI72" i="11" s="1"/>
  <c r="AH72" i="11"/>
  <c r="AJ72" i="11" s="1"/>
  <c r="AG69" i="11"/>
  <c r="AI69" i="11" s="1"/>
  <c r="BH183" i="11"/>
  <c r="BI183" i="11" s="1"/>
  <c r="BL183" i="11" s="1"/>
  <c r="AX211" i="11"/>
  <c r="AZ211" i="11" s="1"/>
  <c r="AN97" i="11"/>
  <c r="AL97" i="11"/>
  <c r="AX186" i="11"/>
  <c r="AZ186" i="11" s="1"/>
  <c r="AE126" i="11"/>
  <c r="AG126" i="11" s="1"/>
  <c r="AH126" i="11"/>
  <c r="AH69" i="11"/>
  <c r="AJ69" i="11" s="1"/>
  <c r="BI184" i="11"/>
  <c r="BL184" i="11" s="1"/>
  <c r="BS184" i="11"/>
  <c r="BJ184" i="11"/>
  <c r="BM184" i="11" s="1"/>
  <c r="BR184" i="11"/>
  <c r="BO184" i="11"/>
  <c r="BQ184" i="11"/>
  <c r="BP184" i="11"/>
  <c r="AJ93" i="11"/>
  <c r="AH93" i="11"/>
  <c r="AL93" i="11"/>
  <c r="AP93" i="11"/>
  <c r="AG93" i="11"/>
  <c r="AI93" i="11" s="1"/>
  <c r="AN93" i="11"/>
  <c r="AO93" i="11"/>
  <c r="AP36" i="11"/>
  <c r="AJ36" i="11"/>
  <c r="AN36" i="11"/>
  <c r="AL36" i="11"/>
  <c r="AH36" i="11"/>
  <c r="AG36" i="11"/>
  <c r="AI36" i="11" s="1"/>
  <c r="AO36" i="11"/>
  <c r="BS187" i="11"/>
  <c r="BJ187" i="11"/>
  <c r="BM187" i="11" s="1"/>
  <c r="BI187" i="11"/>
  <c r="BL187" i="11" s="1"/>
  <c r="BR187" i="11"/>
  <c r="BO187" i="11"/>
  <c r="BP187" i="11"/>
  <c r="BQ187" i="11"/>
  <c r="AY187" i="11"/>
  <c r="BK187" i="11"/>
  <c r="AY204" i="11"/>
  <c r="BK204" i="11"/>
  <c r="AG19" i="11"/>
  <c r="AI19" i="11" s="1"/>
  <c r="AH19" i="11"/>
  <c r="AJ19" i="11" s="1"/>
  <c r="AF133" i="11"/>
  <c r="AH133" i="11" s="1"/>
  <c r="AE133" i="11"/>
  <c r="AG133" i="11" s="1"/>
  <c r="AG76" i="11"/>
  <c r="AI76" i="11" s="1"/>
  <c r="AH76" i="11"/>
  <c r="AJ76" i="11" s="1"/>
  <c r="AN76" i="11"/>
  <c r="AL76" i="11"/>
  <c r="AP76" i="11"/>
  <c r="AO76" i="11"/>
  <c r="AX190" i="11"/>
  <c r="AZ190" i="11" s="1"/>
  <c r="BH190" i="11"/>
  <c r="BT190" i="11" s="1"/>
  <c r="AW190" i="11"/>
  <c r="AY184" i="11"/>
  <c r="BK184" i="11"/>
  <c r="AE150" i="11"/>
  <c r="AG150" i="11" s="1"/>
  <c r="AM150" i="11"/>
  <c r="AJ150" i="11"/>
  <c r="AF150" i="11"/>
  <c r="AH150" i="11" s="1"/>
  <c r="AL150" i="11"/>
  <c r="BD207" i="11"/>
  <c r="BE207" i="11"/>
  <c r="AW207" i="11"/>
  <c r="BC207" i="11"/>
  <c r="BH207" i="11"/>
  <c r="BT207" i="11" s="1"/>
  <c r="AX207" i="11"/>
  <c r="AZ207" i="11" s="1"/>
  <c r="BB207" i="11"/>
  <c r="BS188" i="11"/>
  <c r="BJ188" i="11"/>
  <c r="BM188" i="11" s="1"/>
  <c r="BO188" i="11"/>
  <c r="BI188" i="11"/>
  <c r="BL188" i="11" s="1"/>
  <c r="BR188" i="11"/>
  <c r="BP188" i="11"/>
  <c r="BQ188" i="11"/>
  <c r="AY188" i="11"/>
  <c r="BK188" i="11"/>
  <c r="BS204" i="11"/>
  <c r="BJ204" i="11"/>
  <c r="BM204" i="11" s="1"/>
  <c r="BO204" i="11"/>
  <c r="BQ204" i="11"/>
  <c r="BI204" i="11"/>
  <c r="BL204" i="11" s="1"/>
  <c r="BR204" i="11"/>
  <c r="BP204" i="11"/>
  <c r="AW186" i="11"/>
  <c r="BK186" i="11" s="1"/>
  <c r="AF111" i="11"/>
  <c r="AM111" i="11" s="1"/>
  <c r="AB111" i="11"/>
  <c r="T111" i="11"/>
  <c r="V111" i="11" s="1"/>
  <c r="Z111" i="11"/>
  <c r="AA111" i="11"/>
  <c r="X111" i="11"/>
  <c r="S111" i="11"/>
  <c r="U111" i="11" s="1"/>
  <c r="AE55" i="11"/>
  <c r="R197" i="8"/>
  <c r="AT112" i="11"/>
  <c r="BW226" i="11"/>
  <c r="AT55" i="11"/>
  <c r="N55" i="11"/>
  <c r="N226" i="11"/>
  <c r="N169" i="11"/>
  <c r="N112" i="11"/>
  <c r="AC169" i="11"/>
  <c r="Q112" i="11"/>
  <c r="AT169" i="11"/>
  <c r="M51" i="45"/>
  <c r="AV226" i="11"/>
  <c r="AE112" i="11"/>
  <c r="AQ112" i="11" s="1"/>
  <c r="AF129" i="11"/>
  <c r="AH129" i="11" s="1"/>
  <c r="AE129" i="11"/>
  <c r="AG129" i="11" s="1"/>
  <c r="BH186" i="11"/>
  <c r="BT186" i="11" s="1"/>
  <c r="BH225" i="11"/>
  <c r="BT225" i="11" s="1"/>
  <c r="AW225" i="11"/>
  <c r="AX225" i="11"/>
  <c r="AZ225" i="11"/>
  <c r="O133" i="11"/>
  <c r="AU76" i="11"/>
  <c r="O76" i="11"/>
  <c r="N15" i="45"/>
  <c r="Q15" i="45" s="1"/>
  <c r="AU19" i="11"/>
  <c r="O19" i="11"/>
  <c r="BX190" i="11"/>
  <c r="R215" i="8"/>
  <c r="Y215" i="8" s="1"/>
  <c r="O190" i="11"/>
  <c r="AU133" i="11"/>
  <c r="Q76" i="11"/>
  <c r="AH15" i="11"/>
  <c r="AJ15" i="11" s="1"/>
  <c r="AG15" i="11"/>
  <c r="AI15" i="11" s="1"/>
  <c r="AW183" i="11"/>
  <c r="AX183" i="11"/>
  <c r="AZ183" i="11" s="1"/>
  <c r="O173" i="11"/>
  <c r="AU116" i="11"/>
  <c r="AX116" i="11" s="1"/>
  <c r="BX230" i="11"/>
  <c r="O59" i="11"/>
  <c r="Y255" i="8"/>
  <c r="Z255" i="8" s="1"/>
  <c r="N55" i="45"/>
  <c r="BQ55" i="45" s="1"/>
  <c r="R255" i="8"/>
  <c r="AU173" i="11"/>
  <c r="O116" i="11"/>
  <c r="AU59" i="11"/>
  <c r="AX59" i="11" s="1"/>
  <c r="AL140" i="11"/>
  <c r="AM140" i="11"/>
  <c r="AF140" i="11"/>
  <c r="AE140" i="11"/>
  <c r="AG140" i="11" s="1"/>
  <c r="AH140" i="11"/>
  <c r="AJ140" i="11"/>
  <c r="AH32" i="11"/>
  <c r="AJ32" i="11" s="1"/>
  <c r="AG32" i="11"/>
  <c r="AI32" i="11" s="1"/>
  <c r="AX203" i="11"/>
  <c r="BH203" i="11"/>
  <c r="AZ203" i="11"/>
  <c r="AW203" i="11"/>
  <c r="AH89" i="11"/>
  <c r="AJ89" i="11" s="1"/>
  <c r="AN89" i="11"/>
  <c r="AL89" i="11"/>
  <c r="AP89" i="11"/>
  <c r="AG89" i="11"/>
  <c r="AI89" i="11" s="1"/>
  <c r="AO89" i="11"/>
  <c r="Q84" i="11"/>
  <c r="N84" i="11"/>
  <c r="AV198" i="11"/>
  <c r="BF198" i="11" s="1"/>
  <c r="M23" i="45"/>
  <c r="Q23" i="45" s="1"/>
  <c r="AE27" i="11"/>
  <c r="AQ27" i="11" s="1"/>
  <c r="AT84" i="11"/>
  <c r="N198" i="11"/>
  <c r="AC141" i="11"/>
  <c r="BW198" i="11"/>
  <c r="N27" i="11"/>
  <c r="AE84" i="11"/>
  <c r="AQ84" i="11" s="1"/>
  <c r="N141" i="11"/>
  <c r="AT27" i="11"/>
  <c r="AT141" i="11"/>
  <c r="R169" i="8"/>
  <c r="Y169" i="8" s="1"/>
  <c r="O44" i="11"/>
  <c r="BX215" i="11"/>
  <c r="R240" i="8"/>
  <c r="Y240" i="8" s="1"/>
  <c r="O215" i="11"/>
  <c r="AU158" i="11"/>
  <c r="O158" i="11"/>
  <c r="AU101" i="11"/>
  <c r="O101" i="11"/>
  <c r="N40" i="45"/>
  <c r="Q40" i="45" s="1"/>
  <c r="AU44" i="11"/>
  <c r="Q101" i="11"/>
  <c r="O228" i="11"/>
  <c r="N53" i="45"/>
  <c r="Q53" i="45" s="1"/>
  <c r="R253" i="8"/>
  <c r="AU114" i="11"/>
  <c r="Y253" i="8"/>
  <c r="Z253" i="8" s="1"/>
  <c r="O57" i="11"/>
  <c r="O114" i="11"/>
  <c r="BX228" i="11"/>
  <c r="AU171" i="11"/>
  <c r="O171" i="11"/>
  <c r="Q114" i="11"/>
  <c r="AU57" i="11"/>
  <c r="N117" i="11"/>
  <c r="AV231" i="11"/>
  <c r="AC174" i="11"/>
  <c r="M56" i="45"/>
  <c r="N231" i="11"/>
  <c r="BW231" i="11"/>
  <c r="AE60" i="11"/>
  <c r="AT60" i="11"/>
  <c r="N174" i="11"/>
  <c r="AT117" i="11"/>
  <c r="AT174" i="11"/>
  <c r="AE117" i="11"/>
  <c r="AQ117" i="11" s="1"/>
  <c r="N60" i="11"/>
  <c r="R202" i="8"/>
  <c r="Q117" i="11"/>
  <c r="AZ197" i="11"/>
  <c r="BE197" i="11"/>
  <c r="BC197" i="11"/>
  <c r="BD197" i="11"/>
  <c r="AW197" i="11"/>
  <c r="BH197" i="11"/>
  <c r="BT197" i="11" s="1"/>
  <c r="AX197" i="11"/>
  <c r="BB197" i="11"/>
  <c r="AG83" i="11"/>
  <c r="AI83" i="11" s="1"/>
  <c r="AL83" i="11"/>
  <c r="AN83" i="11"/>
  <c r="AP83" i="11"/>
  <c r="AJ83" i="11"/>
  <c r="AO83" i="11"/>
  <c r="AH83" i="11"/>
  <c r="AP26" i="11"/>
  <c r="AJ26" i="11"/>
  <c r="AH26" i="11"/>
  <c r="AN26" i="11"/>
  <c r="AL26" i="11"/>
  <c r="AO26" i="11"/>
  <c r="AG26" i="11"/>
  <c r="AI26" i="11" s="1"/>
  <c r="AE146" i="11"/>
  <c r="AG146" i="11" s="1"/>
  <c r="AF146" i="11"/>
  <c r="AH146" i="11" s="1"/>
  <c r="O230" i="11"/>
  <c r="BW182" i="11"/>
  <c r="Q68" i="11"/>
  <c r="AE11" i="11"/>
  <c r="R153" i="8"/>
  <c r="Y153" i="8" s="1"/>
  <c r="AT125" i="11"/>
  <c r="N125" i="11"/>
  <c r="AT11" i="11"/>
  <c r="AT68" i="11"/>
  <c r="AC125" i="11"/>
  <c r="AE68" i="11"/>
  <c r="N68" i="11"/>
  <c r="M7" i="45"/>
  <c r="AV182" i="11"/>
  <c r="N11" i="11"/>
  <c r="N182" i="11"/>
  <c r="AX214" i="11"/>
  <c r="AZ214" i="11" s="1"/>
  <c r="BH214" i="11"/>
  <c r="BT214" i="11" s="1"/>
  <c r="AW214" i="11"/>
  <c r="AF157" i="11"/>
  <c r="AH157" i="11" s="1"/>
  <c r="AE157" i="11"/>
  <c r="AG157" i="11" s="1"/>
  <c r="AG43" i="11"/>
  <c r="AI43" i="11" s="1"/>
  <c r="AH43" i="11"/>
  <c r="AJ43" i="11" s="1"/>
  <c r="AG100" i="11"/>
  <c r="AI100" i="11" s="1"/>
  <c r="AL100" i="11"/>
  <c r="AO100" i="11"/>
  <c r="AP100" i="11"/>
  <c r="AH100" i="11"/>
  <c r="AJ100" i="11" s="1"/>
  <c r="AN100" i="11"/>
  <c r="AF144" i="11"/>
  <c r="AE144" i="11"/>
  <c r="AG144" i="11" s="1"/>
  <c r="AH144" i="11"/>
  <c r="AG30" i="11"/>
  <c r="AI30" i="11" s="1"/>
  <c r="AH30" i="11"/>
  <c r="AJ30" i="11" s="1"/>
  <c r="AP87" i="11"/>
  <c r="AN87" i="11"/>
  <c r="AL87" i="11"/>
  <c r="AG87" i="11"/>
  <c r="AI87" i="11" s="1"/>
  <c r="AH87" i="11"/>
  <c r="AJ87" i="11" s="1"/>
  <c r="AO87" i="11"/>
  <c r="AW201" i="11"/>
  <c r="AX201" i="11"/>
  <c r="AZ201" i="11" s="1"/>
  <c r="BH201" i="11"/>
  <c r="BT201" i="11" s="1"/>
  <c r="AB83" i="11"/>
  <c r="S83" i="11"/>
  <c r="U83" i="11" s="1"/>
  <c r="T83" i="11"/>
  <c r="V83" i="11" s="1"/>
  <c r="Z83" i="11"/>
  <c r="AA83" i="11"/>
  <c r="X83" i="11"/>
  <c r="AF83" i="11"/>
  <c r="AM83" i="11" s="1"/>
  <c r="U22" i="45"/>
  <c r="V22" i="45" s="1"/>
  <c r="D56" i="48" s="1"/>
  <c r="BA22" i="45"/>
  <c r="AC22" i="45"/>
  <c r="BQ22" i="45"/>
  <c r="BI22" i="45"/>
  <c r="AS22" i="45"/>
  <c r="AK22" i="45"/>
  <c r="BK189" i="11"/>
  <c r="AY189" i="11"/>
  <c r="AB115" i="11"/>
  <c r="AA115" i="11"/>
  <c r="T115" i="11"/>
  <c r="V115" i="11" s="1"/>
  <c r="S115" i="11"/>
  <c r="U115" i="11" s="1"/>
  <c r="Z115" i="11"/>
  <c r="X115" i="11"/>
  <c r="BI211" i="11"/>
  <c r="BL211" i="11" s="1"/>
  <c r="BJ211" i="11"/>
  <c r="BM211" i="11" s="1"/>
  <c r="AH58" i="11"/>
  <c r="AJ58" i="11"/>
  <c r="AG58" i="11"/>
  <c r="AI58" i="11" s="1"/>
  <c r="AE172" i="11"/>
  <c r="AG172" i="11" s="1"/>
  <c r="AF172" i="11"/>
  <c r="AH172" i="11"/>
  <c r="AX229" i="11"/>
  <c r="AW229" i="11"/>
  <c r="AZ229" i="11"/>
  <c r="BH229" i="11"/>
  <c r="BT229" i="11" s="1"/>
  <c r="AP115" i="11"/>
  <c r="AO115" i="11"/>
  <c r="AG115" i="11"/>
  <c r="AI115" i="11" s="1"/>
  <c r="AH115" i="11"/>
  <c r="AJ115" i="11" s="1"/>
  <c r="AL115" i="11"/>
  <c r="AN115" i="11"/>
  <c r="AF115" i="11"/>
  <c r="AM115" i="11" s="1"/>
  <c r="AY185" i="11"/>
  <c r="BK185" i="11"/>
  <c r="BR185" i="11" s="1"/>
  <c r="AY209" i="11"/>
  <c r="BK209" i="11"/>
  <c r="BK191" i="11"/>
  <c r="AY191" i="11"/>
  <c r="X116" i="11"/>
  <c r="AA116" i="11"/>
  <c r="AB116" i="11"/>
  <c r="Z116" i="11"/>
  <c r="T116" i="11"/>
  <c r="V116" i="11" s="1"/>
  <c r="S116" i="11"/>
  <c r="U116" i="11" s="1"/>
  <c r="AH173" i="11"/>
  <c r="AE173" i="11"/>
  <c r="AG173" i="11" s="1"/>
  <c r="AJ173" i="11"/>
  <c r="AF173" i="11"/>
  <c r="AM173" i="11"/>
  <c r="AL173" i="11"/>
  <c r="AX206" i="11"/>
  <c r="BH206" i="11"/>
  <c r="BT206" i="11" s="1"/>
  <c r="BE206" i="11"/>
  <c r="BD206" i="11"/>
  <c r="AZ206" i="11"/>
  <c r="BC206" i="11"/>
  <c r="BB206" i="11"/>
  <c r="AW206" i="11"/>
  <c r="AG92" i="11"/>
  <c r="AI92" i="11" s="1"/>
  <c r="AO92" i="11"/>
  <c r="AH92" i="11"/>
  <c r="AJ92" i="11"/>
  <c r="AL92" i="11"/>
  <c r="AP92" i="11"/>
  <c r="AN92" i="11"/>
  <c r="BI185" i="11"/>
  <c r="BL185" i="11" s="1"/>
  <c r="BJ185" i="11"/>
  <c r="BM185" i="11" s="1"/>
  <c r="BJ209" i="11"/>
  <c r="BQ209" i="11"/>
  <c r="BI209" i="11"/>
  <c r="BL209" i="11" s="1"/>
  <c r="BP209" i="11"/>
  <c r="BM209" i="11"/>
  <c r="BR209" i="11"/>
  <c r="BS209" i="11"/>
  <c r="BO209" i="11"/>
  <c r="BJ191" i="11"/>
  <c r="BM191" i="11" s="1"/>
  <c r="BP191" i="11"/>
  <c r="BI191" i="11"/>
  <c r="BL191" i="11" s="1"/>
  <c r="BQ191" i="11"/>
  <c r="BS191" i="11"/>
  <c r="BR191" i="11"/>
  <c r="BO191" i="11"/>
  <c r="AP59" i="11"/>
  <c r="AJ59" i="11"/>
  <c r="AG59" i="11"/>
  <c r="AI59" i="11" s="1"/>
  <c r="AO59" i="11"/>
  <c r="AL59" i="11"/>
  <c r="AH59" i="11"/>
  <c r="AN59" i="11"/>
  <c r="BE230" i="11"/>
  <c r="AW230" i="11"/>
  <c r="BD230" i="11"/>
  <c r="BH230" i="11"/>
  <c r="BT230" i="11" s="1"/>
  <c r="AZ230" i="11"/>
  <c r="AX230" i="11"/>
  <c r="BC230" i="11"/>
  <c r="BB230" i="11"/>
  <c r="AP116" i="11"/>
  <c r="AH116" i="11"/>
  <c r="AO116" i="11"/>
  <c r="AL116" i="11"/>
  <c r="AJ116" i="11"/>
  <c r="AG116" i="11"/>
  <c r="AI116" i="11" s="1"/>
  <c r="AN116" i="11"/>
  <c r="AF116" i="11"/>
  <c r="AM116" i="11" s="1"/>
  <c r="AN35" i="11"/>
  <c r="AG35" i="11"/>
  <c r="AI35" i="11" s="1"/>
  <c r="AL35" i="11"/>
  <c r="AH35" i="11"/>
  <c r="AO35" i="11"/>
  <c r="AP35" i="11"/>
  <c r="AJ35" i="11"/>
  <c r="AE149" i="11"/>
  <c r="AG149" i="11" s="1"/>
  <c r="AF149" i="11"/>
  <c r="AJ149" i="11"/>
  <c r="AH149" i="11"/>
  <c r="AM149" i="11"/>
  <c r="AL149" i="11"/>
  <c r="BK215" i="11"/>
  <c r="AY215" i="11"/>
  <c r="BI215" i="11"/>
  <c r="BL215" i="11" s="1"/>
  <c r="BR215" i="11"/>
  <c r="BJ215" i="11"/>
  <c r="BO215" i="11"/>
  <c r="BS215" i="11"/>
  <c r="BM215" i="11"/>
  <c r="BP215" i="11"/>
  <c r="BQ215" i="11"/>
  <c r="BO19" i="45"/>
  <c r="BR19" i="45" s="1"/>
  <c r="BL19" i="45"/>
  <c r="BK19" i="45"/>
  <c r="M51" i="96" l="1"/>
  <c r="BL17" i="45"/>
  <c r="K55" i="96"/>
  <c r="M55" i="96" s="1"/>
  <c r="K104" i="60"/>
  <c r="K105" i="60"/>
  <c r="K56" i="96"/>
  <c r="M56" i="96" s="1"/>
  <c r="K107" i="60"/>
  <c r="K58" i="96"/>
  <c r="K54" i="96"/>
  <c r="K103" i="60"/>
  <c r="K52" i="96"/>
  <c r="M52" i="96" s="1"/>
  <c r="K101" i="60"/>
  <c r="M54" i="96"/>
  <c r="K57" i="96"/>
  <c r="M57" i="96" s="1"/>
  <c r="K106" i="60"/>
  <c r="J58" i="96"/>
  <c r="J107" i="60"/>
  <c r="I61" i="68"/>
  <c r="K53" i="96"/>
  <c r="K102" i="60"/>
  <c r="K42" i="96"/>
  <c r="M42" i="96" s="1"/>
  <c r="K91" i="60"/>
  <c r="J9" i="96"/>
  <c r="J58" i="60"/>
  <c r="I13" i="68"/>
  <c r="J74" i="60"/>
  <c r="J25" i="96"/>
  <c r="I29" i="68"/>
  <c r="K80" i="60"/>
  <c r="K31" i="96"/>
  <c r="M31" i="96" s="1"/>
  <c r="K83" i="60"/>
  <c r="K34" i="96"/>
  <c r="M34" i="96" s="1"/>
  <c r="K74" i="60"/>
  <c r="K25" i="96"/>
  <c r="K66" i="60"/>
  <c r="K17" i="96"/>
  <c r="M17" i="96" s="1"/>
  <c r="K59" i="60"/>
  <c r="K10" i="96"/>
  <c r="M10" i="96" s="1"/>
  <c r="M24" i="96"/>
  <c r="K15" i="96"/>
  <c r="M15" i="96" s="1"/>
  <c r="K64" i="60"/>
  <c r="K65" i="60"/>
  <c r="K16" i="96"/>
  <c r="M16" i="96" s="1"/>
  <c r="K82" i="60"/>
  <c r="K33" i="96"/>
  <c r="M33" i="96" s="1"/>
  <c r="K9" i="96"/>
  <c r="K58" i="60"/>
  <c r="BK17" i="45"/>
  <c r="BO17" i="45"/>
  <c r="BR17" i="45" s="1"/>
  <c r="P46" i="48" s="1"/>
  <c r="J53" i="96"/>
  <c r="J102" i="60"/>
  <c r="I56" i="68"/>
  <c r="AX27" i="11"/>
  <c r="CA198" i="11"/>
  <c r="AX54" i="11"/>
  <c r="AW54" i="11"/>
  <c r="X113" i="11"/>
  <c r="Q7" i="45"/>
  <c r="AV149" i="11"/>
  <c r="AX149" i="11"/>
  <c r="AX112" i="11"/>
  <c r="AX84" i="11"/>
  <c r="AX126" i="11"/>
  <c r="BY207" i="11"/>
  <c r="U31" i="45"/>
  <c r="V31" i="45" s="1"/>
  <c r="D74" i="48" s="1"/>
  <c r="AX111" i="11"/>
  <c r="CA225" i="11"/>
  <c r="BJ189" i="11"/>
  <c r="BM189" i="11" s="1"/>
  <c r="AX69" i="11"/>
  <c r="AW168" i="11"/>
  <c r="AY211" i="11"/>
  <c r="AX60" i="11"/>
  <c r="BJ227" i="11"/>
  <c r="BM227" i="11" s="1"/>
  <c r="X75" i="11"/>
  <c r="AA75" i="11"/>
  <c r="Q29" i="45"/>
  <c r="Z75" i="11"/>
  <c r="AC52" i="45"/>
  <c r="AK54" i="45"/>
  <c r="U29" i="45"/>
  <c r="V29" i="45" s="1"/>
  <c r="AA29" i="45" s="1"/>
  <c r="AS52" i="45"/>
  <c r="BQ31" i="45"/>
  <c r="BQ54" i="45"/>
  <c r="BA54" i="45"/>
  <c r="AS50" i="45"/>
  <c r="AS29" i="45"/>
  <c r="AC50" i="45"/>
  <c r="BI50" i="45"/>
  <c r="BQ29" i="45"/>
  <c r="T75" i="11"/>
  <c r="V75" i="11" s="1"/>
  <c r="W49" i="45"/>
  <c r="BY225" i="11"/>
  <c r="AW111" i="11"/>
  <c r="AC111" i="11" s="1"/>
  <c r="AB93" i="11"/>
  <c r="CA182" i="11"/>
  <c r="BQ8" i="45"/>
  <c r="AF69" i="11"/>
  <c r="BA14" i="45"/>
  <c r="AC32" i="45"/>
  <c r="AK31" i="45"/>
  <c r="AS31" i="45"/>
  <c r="AX68" i="11"/>
  <c r="AA93" i="11"/>
  <c r="T93" i="11"/>
  <c r="V93" i="11" s="1"/>
  <c r="BY204" i="11"/>
  <c r="BI31" i="45"/>
  <c r="AC31" i="45"/>
  <c r="BA31" i="45"/>
  <c r="AB92" i="11"/>
  <c r="AK50" i="45"/>
  <c r="BA50" i="45"/>
  <c r="BQ50" i="45"/>
  <c r="U50" i="45"/>
  <c r="V50" i="45" s="1"/>
  <c r="D111" i="48" s="1"/>
  <c r="Q51" i="45"/>
  <c r="AC29" i="45"/>
  <c r="BI29" i="45"/>
  <c r="BA29" i="45"/>
  <c r="AF75" i="11"/>
  <c r="AM75" i="11" s="1"/>
  <c r="AB75" i="11"/>
  <c r="AW126" i="11"/>
  <c r="AV69" i="11"/>
  <c r="AV168" i="11"/>
  <c r="BA52" i="45"/>
  <c r="AK52" i="45"/>
  <c r="AS8" i="45"/>
  <c r="X93" i="11"/>
  <c r="Z93" i="11"/>
  <c r="S93" i="11"/>
  <c r="U93" i="11" s="1"/>
  <c r="S90" i="11"/>
  <c r="U90" i="11" s="1"/>
  <c r="AK32" i="45"/>
  <c r="AF93" i="11"/>
  <c r="AM93" i="11" s="1"/>
  <c r="X49" i="45"/>
  <c r="AA49" i="45"/>
  <c r="AD49" i="45" s="1"/>
  <c r="AF49" i="45" s="1"/>
  <c r="CA207" i="11"/>
  <c r="BZ204" i="11"/>
  <c r="BI227" i="11"/>
  <c r="BL227" i="11" s="1"/>
  <c r="U52" i="45"/>
  <c r="V52" i="45" s="1"/>
  <c r="D115" i="48" s="1"/>
  <c r="BQ52" i="45"/>
  <c r="BI52" i="45"/>
  <c r="AX117" i="11"/>
  <c r="CA231" i="11"/>
  <c r="Q56" i="45"/>
  <c r="U8" i="45"/>
  <c r="V8" i="45" s="1"/>
  <c r="AA8" i="45" s="1"/>
  <c r="AK8" i="45"/>
  <c r="AX169" i="11"/>
  <c r="CA226" i="11"/>
  <c r="AA90" i="11"/>
  <c r="BQ32" i="45"/>
  <c r="U32" i="45"/>
  <c r="V32" i="45" s="1"/>
  <c r="D76" i="48" s="1"/>
  <c r="AA92" i="11"/>
  <c r="AX174" i="11"/>
  <c r="AX55" i="11"/>
  <c r="AF92" i="11"/>
  <c r="AM92" i="11" s="1"/>
  <c r="S92" i="11"/>
  <c r="U92" i="11" s="1"/>
  <c r="T92" i="11"/>
  <c r="V92" i="11" s="1"/>
  <c r="BI55" i="45"/>
  <c r="X92" i="11"/>
  <c r="Z92" i="11"/>
  <c r="BR189" i="11"/>
  <c r="AW36" i="11"/>
  <c r="AW35" i="11"/>
  <c r="U55" i="45"/>
  <c r="V55" i="45" s="1"/>
  <c r="D121" i="48" s="1"/>
  <c r="AK55" i="45"/>
  <c r="Z113" i="11"/>
  <c r="AA14" i="45"/>
  <c r="AF90" i="11"/>
  <c r="AM90" i="11" s="1"/>
  <c r="Q14" i="45"/>
  <c r="Q54" i="45"/>
  <c r="P50" i="48"/>
  <c r="BU19" i="45"/>
  <c r="S69" i="11"/>
  <c r="U69" i="11" s="1"/>
  <c r="Q55" i="45"/>
  <c r="Q8" i="45"/>
  <c r="Q32" i="45"/>
  <c r="AB113" i="11"/>
  <c r="BA55" i="45"/>
  <c r="AS55" i="45"/>
  <c r="AC55" i="45"/>
  <c r="BQ14" i="45"/>
  <c r="AA113" i="11"/>
  <c r="S113" i="11"/>
  <c r="U113" i="11" s="1"/>
  <c r="U54" i="45"/>
  <c r="V54" i="45" s="1"/>
  <c r="AS54" i="45"/>
  <c r="AX125" i="11"/>
  <c r="AC8" i="45"/>
  <c r="Z90" i="11"/>
  <c r="AB90" i="11"/>
  <c r="BA32" i="45"/>
  <c r="AS32" i="45"/>
  <c r="BI14" i="45"/>
  <c r="AV36" i="11"/>
  <c r="T113" i="11"/>
  <c r="V113" i="11" s="1"/>
  <c r="BI54" i="45"/>
  <c r="BI8" i="45"/>
  <c r="X90" i="11"/>
  <c r="AW57" i="11"/>
  <c r="AV57" i="11"/>
  <c r="BY228" i="11"/>
  <c r="BZ228" i="11"/>
  <c r="AV114" i="11"/>
  <c r="AW114" i="11"/>
  <c r="AC114" i="11" s="1"/>
  <c r="AV101" i="11"/>
  <c r="AW101" i="11"/>
  <c r="AC101" i="11" s="1"/>
  <c r="AX101" i="11"/>
  <c r="AW158" i="11"/>
  <c r="AV158" i="11"/>
  <c r="AX158" i="11"/>
  <c r="AX141" i="11"/>
  <c r="AV141" i="11"/>
  <c r="AW141" i="11"/>
  <c r="BZ230" i="11"/>
  <c r="BY230" i="11"/>
  <c r="AW113" i="11"/>
  <c r="AC113" i="11" s="1"/>
  <c r="AV113" i="11"/>
  <c r="AW170" i="11"/>
  <c r="AV170" i="11"/>
  <c r="AV172" i="11"/>
  <c r="AW172" i="11"/>
  <c r="BZ229" i="11"/>
  <c r="BY229" i="11"/>
  <c r="AV55" i="11"/>
  <c r="AW55" i="11"/>
  <c r="AV117" i="11"/>
  <c r="AW117" i="11"/>
  <c r="AC117" i="11" s="1"/>
  <c r="BZ231" i="11"/>
  <c r="BY231" i="11"/>
  <c r="AV147" i="11"/>
  <c r="AW147" i="11"/>
  <c r="AX147" i="11"/>
  <c r="AV92" i="11"/>
  <c r="AW92" i="11"/>
  <c r="AC92" i="11" s="1"/>
  <c r="CA228" i="11"/>
  <c r="AX114" i="11"/>
  <c r="AX92" i="11"/>
  <c r="AV84" i="11"/>
  <c r="AX172" i="11"/>
  <c r="AW27" i="11"/>
  <c r="BY198" i="11"/>
  <c r="AW112" i="11"/>
  <c r="AC112" i="11" s="1"/>
  <c r="AW171" i="11"/>
  <c r="AV171" i="11"/>
  <c r="AV44" i="11"/>
  <c r="AW44" i="11"/>
  <c r="AX44" i="11"/>
  <c r="BZ215" i="11"/>
  <c r="BY215" i="11"/>
  <c r="CA215" i="11"/>
  <c r="AW59" i="11"/>
  <c r="AV59" i="11"/>
  <c r="AW173" i="11"/>
  <c r="AV173" i="11"/>
  <c r="AW116" i="11"/>
  <c r="AC116" i="11" s="1"/>
  <c r="AV116" i="11"/>
  <c r="BY227" i="11"/>
  <c r="BZ227" i="11"/>
  <c r="AV58" i="11"/>
  <c r="AW58" i="11"/>
  <c r="AW115" i="11"/>
  <c r="AC115" i="11" s="1"/>
  <c r="AV115" i="11"/>
  <c r="BZ226" i="11"/>
  <c r="BY226" i="11"/>
  <c r="AW169" i="11"/>
  <c r="AV169" i="11"/>
  <c r="AW174" i="11"/>
  <c r="AV174" i="11"/>
  <c r="AV60" i="11"/>
  <c r="AW60" i="11"/>
  <c r="AW56" i="11"/>
  <c r="AV56" i="11"/>
  <c r="AV90" i="11"/>
  <c r="AW90" i="11"/>
  <c r="AC90" i="11" s="1"/>
  <c r="AX90" i="11"/>
  <c r="AV33" i="11"/>
  <c r="AW33" i="11"/>
  <c r="AX33" i="11"/>
  <c r="AW93" i="11"/>
  <c r="AC93" i="11" s="1"/>
  <c r="AV93" i="11"/>
  <c r="AX57" i="11"/>
  <c r="AX171" i="11"/>
  <c r="AX113" i="11"/>
  <c r="AX56" i="11"/>
  <c r="AX115" i="11"/>
  <c r="AX173" i="11"/>
  <c r="AW84" i="11"/>
  <c r="AC84" i="11" s="1"/>
  <c r="AX170" i="11"/>
  <c r="AX93" i="11"/>
  <c r="CA229" i="11"/>
  <c r="CA230" i="11"/>
  <c r="AV27" i="11"/>
  <c r="BZ198" i="11"/>
  <c r="AV112" i="11"/>
  <c r="AX133" i="11"/>
  <c r="AV133" i="11"/>
  <c r="AW133" i="11"/>
  <c r="AV76" i="11"/>
  <c r="AW76" i="11"/>
  <c r="AC76" i="11" s="1"/>
  <c r="AX76" i="11"/>
  <c r="BZ188" i="11"/>
  <c r="CA188" i="11"/>
  <c r="BY188" i="11"/>
  <c r="AW74" i="11"/>
  <c r="AC74" i="11" s="1"/>
  <c r="AX74" i="11"/>
  <c r="AV74" i="11"/>
  <c r="CA183" i="11"/>
  <c r="BZ183" i="11"/>
  <c r="BY183" i="11"/>
  <c r="AV125" i="11"/>
  <c r="AW125" i="11"/>
  <c r="AW75" i="11"/>
  <c r="AC75" i="11" s="1"/>
  <c r="AX75" i="11"/>
  <c r="AV75" i="11"/>
  <c r="AV68" i="11"/>
  <c r="BY182" i="11"/>
  <c r="BZ190" i="11"/>
  <c r="BY190" i="11"/>
  <c r="CA190" i="11"/>
  <c r="AX19" i="11"/>
  <c r="AV19" i="11"/>
  <c r="AW19" i="11"/>
  <c r="AX17" i="11"/>
  <c r="AW17" i="11"/>
  <c r="AV17" i="11"/>
  <c r="AX131" i="11"/>
  <c r="AW131" i="11"/>
  <c r="AV131" i="11"/>
  <c r="CA189" i="11"/>
  <c r="BZ189" i="11"/>
  <c r="BY189" i="11"/>
  <c r="AX18" i="11"/>
  <c r="AV18" i="11"/>
  <c r="AW18" i="11"/>
  <c r="AX12" i="11"/>
  <c r="AV12" i="11"/>
  <c r="AW12" i="11"/>
  <c r="AW132" i="11"/>
  <c r="AX132" i="11"/>
  <c r="AV132" i="11"/>
  <c r="AW68" i="11"/>
  <c r="BZ182" i="11"/>
  <c r="BK224" i="11"/>
  <c r="AY224" i="11"/>
  <c r="BO224" i="11"/>
  <c r="BJ224" i="11"/>
  <c r="BM224" i="11" s="1"/>
  <c r="BR224" i="11"/>
  <c r="BI224" i="11"/>
  <c r="BL224" i="11" s="1"/>
  <c r="BP224" i="11"/>
  <c r="BS224" i="11"/>
  <c r="BQ224" i="11"/>
  <c r="AC14" i="45"/>
  <c r="AS14" i="45"/>
  <c r="AK14" i="45"/>
  <c r="BO228" i="11"/>
  <c r="BI228" i="11"/>
  <c r="BL228" i="11" s="1"/>
  <c r="BQ228" i="11"/>
  <c r="BS228" i="11"/>
  <c r="BJ228" i="11"/>
  <c r="BM228" i="11" s="1"/>
  <c r="BR228" i="11"/>
  <c r="BP228" i="11"/>
  <c r="BK228" i="11"/>
  <c r="AY228" i="11"/>
  <c r="BI13" i="45"/>
  <c r="U13" i="45"/>
  <c r="V13" i="45" s="1"/>
  <c r="AS13" i="45"/>
  <c r="AK13" i="45"/>
  <c r="AC13" i="45"/>
  <c r="BQ13" i="45"/>
  <c r="BA13" i="45"/>
  <c r="BK227" i="11"/>
  <c r="BR227" i="11" s="1"/>
  <c r="AY227" i="11"/>
  <c r="S74" i="11"/>
  <c r="U74" i="11" s="1"/>
  <c r="X74" i="11"/>
  <c r="AA74" i="11"/>
  <c r="AB74" i="11"/>
  <c r="AF74" i="11"/>
  <c r="AM74" i="11" s="1"/>
  <c r="Z74" i="11"/>
  <c r="T74" i="11"/>
  <c r="V74" i="11" s="1"/>
  <c r="BV19" i="45"/>
  <c r="AY186" i="11"/>
  <c r="BJ183" i="11"/>
  <c r="BM183" i="11" s="1"/>
  <c r="W14" i="45"/>
  <c r="X14" i="45"/>
  <c r="BM207" i="11"/>
  <c r="BJ207" i="11"/>
  <c r="BR207" i="11"/>
  <c r="BP207" i="11"/>
  <c r="BQ207" i="11"/>
  <c r="BS207" i="11"/>
  <c r="BI207" i="11"/>
  <c r="BL207" i="11" s="1"/>
  <c r="BO207" i="11"/>
  <c r="AY207" i="11"/>
  <c r="BK207" i="11"/>
  <c r="BS190" i="11"/>
  <c r="BJ190" i="11"/>
  <c r="BM190" i="11" s="1"/>
  <c r="BQ190" i="11"/>
  <c r="BI190" i="11"/>
  <c r="BL190" i="11" s="1"/>
  <c r="BR190" i="11"/>
  <c r="BO190" i="11"/>
  <c r="BP190" i="11"/>
  <c r="BK190" i="11"/>
  <c r="AY190" i="11"/>
  <c r="AB76" i="11"/>
  <c r="X76" i="11"/>
  <c r="S76" i="11"/>
  <c r="U76" i="11" s="1"/>
  <c r="AA76" i="11"/>
  <c r="T76" i="11"/>
  <c r="V76" i="11" s="1"/>
  <c r="AF76" i="11"/>
  <c r="AM76" i="11" s="1"/>
  <c r="Z76" i="11"/>
  <c r="BK225" i="11"/>
  <c r="AY225" i="11"/>
  <c r="BS186" i="11"/>
  <c r="BR186" i="11"/>
  <c r="BJ186" i="11"/>
  <c r="BM186" i="11" s="1"/>
  <c r="BQ186" i="11"/>
  <c r="BP186" i="11"/>
  <c r="BO186" i="11"/>
  <c r="BI186" i="11"/>
  <c r="BL186" i="11" s="1"/>
  <c r="AH112" i="11"/>
  <c r="AJ112" i="11" s="1"/>
  <c r="AG112" i="11"/>
  <c r="AI112" i="11" s="1"/>
  <c r="AP112" i="11"/>
  <c r="AF112" i="11"/>
  <c r="AM112" i="11" s="1"/>
  <c r="AL112" i="11"/>
  <c r="AN112" i="11"/>
  <c r="AO112" i="11"/>
  <c r="BI51" i="45"/>
  <c r="AC51" i="45"/>
  <c r="AS51" i="45"/>
  <c r="BQ51" i="45"/>
  <c r="BA51" i="45"/>
  <c r="AK51" i="45"/>
  <c r="U51" i="45"/>
  <c r="V51" i="45" s="1"/>
  <c r="X112" i="11"/>
  <c r="S112" i="11"/>
  <c r="U112" i="11" s="1"/>
  <c r="Z112" i="11"/>
  <c r="T112" i="11"/>
  <c r="V112" i="11" s="1"/>
  <c r="AA112" i="11"/>
  <c r="AB112" i="11"/>
  <c r="AY183" i="11"/>
  <c r="BK183" i="11"/>
  <c r="BR183" i="11" s="1"/>
  <c r="AC15" i="45"/>
  <c r="U15" i="45"/>
  <c r="V15" i="45" s="1"/>
  <c r="AK15" i="45"/>
  <c r="AS15" i="45"/>
  <c r="BA15" i="45"/>
  <c r="BQ15" i="45"/>
  <c r="BI15" i="45"/>
  <c r="BP225" i="11"/>
  <c r="BS225" i="11"/>
  <c r="BO225" i="11"/>
  <c r="BR225" i="11"/>
  <c r="BQ225" i="11"/>
  <c r="BJ225" i="11"/>
  <c r="BM225" i="11" s="1"/>
  <c r="BI225" i="11"/>
  <c r="BL225" i="11" s="1"/>
  <c r="AX226" i="11"/>
  <c r="AZ226" i="11" s="1"/>
  <c r="AW226" i="11"/>
  <c r="BH226" i="11"/>
  <c r="BT226" i="11" s="1"/>
  <c r="AE169" i="11"/>
  <c r="AG169" i="11" s="1"/>
  <c r="AF169" i="11"/>
  <c r="AH169" i="11" s="1"/>
  <c r="AG55" i="11"/>
  <c r="AI55" i="11" s="1"/>
  <c r="AH55" i="11"/>
  <c r="AJ55" i="11" s="1"/>
  <c r="BS197" i="11"/>
  <c r="BP197" i="11"/>
  <c r="BM197" i="11"/>
  <c r="BQ197" i="11"/>
  <c r="BJ197" i="11"/>
  <c r="BO197" i="11"/>
  <c r="BI197" i="11"/>
  <c r="BL197" i="11" s="1"/>
  <c r="BR197" i="11"/>
  <c r="AG117" i="11"/>
  <c r="AI117" i="11" s="1"/>
  <c r="AO117" i="11"/>
  <c r="AP117" i="11"/>
  <c r="AN117" i="11"/>
  <c r="AL117" i="11"/>
  <c r="AH117" i="11"/>
  <c r="AJ117" i="11" s="1"/>
  <c r="AF117" i="11"/>
  <c r="AM117" i="11" s="1"/>
  <c r="AG60" i="11"/>
  <c r="AI60" i="11" s="1"/>
  <c r="AH60" i="11"/>
  <c r="AJ60" i="11" s="1"/>
  <c r="AF174" i="11"/>
  <c r="AH174" i="11" s="1"/>
  <c r="AE174" i="11"/>
  <c r="AG174" i="11" s="1"/>
  <c r="T114" i="11"/>
  <c r="V114" i="11" s="1"/>
  <c r="S114" i="11"/>
  <c r="U114" i="11" s="1"/>
  <c r="X114" i="11"/>
  <c r="AF114" i="11"/>
  <c r="AM114" i="11" s="1"/>
  <c r="AB114" i="11"/>
  <c r="Z114" i="11"/>
  <c r="AA114" i="11"/>
  <c r="AF84" i="11"/>
  <c r="AM84" i="11" s="1"/>
  <c r="AN84" i="11"/>
  <c r="AL84" i="11"/>
  <c r="AO84" i="11"/>
  <c r="AJ84" i="11"/>
  <c r="AP84" i="11"/>
  <c r="AG84" i="11"/>
  <c r="AI84" i="11" s="1"/>
  <c r="AH84" i="11"/>
  <c r="AH27" i="11"/>
  <c r="AP27" i="11"/>
  <c r="AJ27" i="11"/>
  <c r="AG27" i="11"/>
  <c r="AI27" i="11" s="1"/>
  <c r="AO27" i="11"/>
  <c r="AN27" i="11"/>
  <c r="AL27" i="11"/>
  <c r="BE198" i="11"/>
  <c r="AZ198" i="11"/>
  <c r="BH198" i="11"/>
  <c r="BT198" i="11" s="1"/>
  <c r="BB198" i="11"/>
  <c r="BD198" i="11"/>
  <c r="BC198" i="11"/>
  <c r="AX198" i="11"/>
  <c r="AW198" i="11"/>
  <c r="T84" i="11"/>
  <c r="V84" i="11" s="1"/>
  <c r="AB84" i="11"/>
  <c r="Z84" i="11"/>
  <c r="X84" i="11"/>
  <c r="S84" i="11"/>
  <c r="U84" i="11" s="1"/>
  <c r="AA84" i="11"/>
  <c r="AY203" i="11"/>
  <c r="BK203" i="11"/>
  <c r="BR203" i="11" s="1"/>
  <c r="BJ203" i="11"/>
  <c r="BM203" i="11" s="1"/>
  <c r="BI203" i="11"/>
  <c r="BL203" i="11" s="1"/>
  <c r="BK197" i="11"/>
  <c r="AY197" i="11"/>
  <c r="AB117" i="11"/>
  <c r="AA117" i="11"/>
  <c r="Z117" i="11"/>
  <c r="X117" i="11"/>
  <c r="T117" i="11"/>
  <c r="V117" i="11" s="1"/>
  <c r="S117" i="11"/>
  <c r="U117" i="11" s="1"/>
  <c r="AS56" i="45"/>
  <c r="BA56" i="45"/>
  <c r="AC56" i="45"/>
  <c r="AK56" i="45"/>
  <c r="U56" i="45"/>
  <c r="V56" i="45" s="1"/>
  <c r="BI56" i="45"/>
  <c r="BQ56" i="45"/>
  <c r="BH231" i="11"/>
  <c r="BT231" i="11" s="1"/>
  <c r="AX231" i="11"/>
  <c r="AZ231" i="11" s="1"/>
  <c r="AW231" i="11"/>
  <c r="AK53" i="45"/>
  <c r="AS53" i="45"/>
  <c r="U53" i="45"/>
  <c r="V53" i="45" s="1"/>
  <c r="D117" i="48" s="1"/>
  <c r="AC53" i="45"/>
  <c r="BQ53" i="45"/>
  <c r="BA53" i="45"/>
  <c r="BI53" i="45"/>
  <c r="AF101" i="11"/>
  <c r="AM101" i="11" s="1"/>
  <c r="T101" i="11"/>
  <c r="V101" i="11" s="1"/>
  <c r="AB101" i="11"/>
  <c r="X101" i="11"/>
  <c r="Z101" i="11"/>
  <c r="S101" i="11"/>
  <c r="U101" i="11" s="1"/>
  <c r="AA101" i="11"/>
  <c r="AS40" i="45"/>
  <c r="AK40" i="45"/>
  <c r="BI40" i="45"/>
  <c r="BQ40" i="45"/>
  <c r="AC40" i="45"/>
  <c r="BA40" i="45"/>
  <c r="U40" i="45"/>
  <c r="V40" i="45" s="1"/>
  <c r="AE141" i="11"/>
  <c r="AG141" i="11" s="1"/>
  <c r="AJ141" i="11"/>
  <c r="AL141" i="11"/>
  <c r="AM141" i="11"/>
  <c r="AH141" i="11"/>
  <c r="AF141" i="11"/>
  <c r="AK23" i="45"/>
  <c r="BQ23" i="45"/>
  <c r="BI23" i="45"/>
  <c r="AC23" i="45"/>
  <c r="U23" i="45"/>
  <c r="V23" i="45" s="1"/>
  <c r="BA23" i="45"/>
  <c r="AS23" i="45"/>
  <c r="AY214" i="11"/>
  <c r="BK214" i="11"/>
  <c r="AW182" i="11"/>
  <c r="AZ182" i="11"/>
  <c r="BH182" i="11"/>
  <c r="AX182" i="11"/>
  <c r="AF125" i="11"/>
  <c r="AH125" i="11" s="1"/>
  <c r="AE125" i="11"/>
  <c r="AG125" i="11" s="1"/>
  <c r="AH11" i="11"/>
  <c r="AG11" i="11"/>
  <c r="AI11" i="11" s="1"/>
  <c r="AJ11" i="11"/>
  <c r="BS214" i="11"/>
  <c r="BQ214" i="11"/>
  <c r="BI214" i="11"/>
  <c r="BL214" i="11" s="1"/>
  <c r="BR214" i="11"/>
  <c r="BJ214" i="11"/>
  <c r="BM214" i="11" s="1"/>
  <c r="BO214" i="11"/>
  <c r="BP214" i="11"/>
  <c r="BQ7" i="45"/>
  <c r="BI7" i="45"/>
  <c r="AC7" i="45"/>
  <c r="AK7" i="45"/>
  <c r="AS7" i="45"/>
  <c r="U7" i="45"/>
  <c r="BA7" i="45"/>
  <c r="AG68" i="11"/>
  <c r="AI68" i="11" s="1"/>
  <c r="AF68" i="11"/>
  <c r="AH68" i="11"/>
  <c r="AJ68" i="11" s="1"/>
  <c r="S68" i="11"/>
  <c r="U68" i="11" s="1"/>
  <c r="T68" i="11"/>
  <c r="V68" i="11" s="1"/>
  <c r="BI201" i="11"/>
  <c r="BL201" i="11" s="1"/>
  <c r="BP201" i="11"/>
  <c r="BS201" i="11"/>
  <c r="BQ201" i="11"/>
  <c r="BO201" i="11"/>
  <c r="BJ201" i="11"/>
  <c r="BM201" i="11" s="1"/>
  <c r="BR201" i="11"/>
  <c r="BK201" i="11"/>
  <c r="AY201" i="11"/>
  <c r="AA22" i="45"/>
  <c r="AD22" i="45" s="1"/>
  <c r="F56" i="48" s="1"/>
  <c r="X22" i="45"/>
  <c r="W22" i="45"/>
  <c r="BS229" i="11"/>
  <c r="BQ229" i="11"/>
  <c r="BR229" i="11"/>
  <c r="BJ229" i="11"/>
  <c r="BM229" i="11" s="1"/>
  <c r="BI229" i="11"/>
  <c r="BL229" i="11" s="1"/>
  <c r="BP229" i="11"/>
  <c r="BO229" i="11"/>
  <c r="BK229" i="11"/>
  <c r="AY229" i="11"/>
  <c r="AY230" i="11"/>
  <c r="BK230" i="11"/>
  <c r="AY206" i="11"/>
  <c r="BK206" i="11"/>
  <c r="BS206" i="11"/>
  <c r="BM206" i="11"/>
  <c r="BR206" i="11"/>
  <c r="BQ206" i="11"/>
  <c r="BI206" i="11"/>
  <c r="BL206" i="11" s="1"/>
  <c r="BO206" i="11"/>
  <c r="BJ206" i="11"/>
  <c r="BP206" i="11"/>
  <c r="BM230" i="11"/>
  <c r="BJ230" i="11"/>
  <c r="BO230" i="11"/>
  <c r="BS230" i="11"/>
  <c r="BI230" i="11"/>
  <c r="BL230" i="11" s="1"/>
  <c r="BP230" i="11"/>
  <c r="BR230" i="11"/>
  <c r="BQ230" i="11"/>
  <c r="BS19" i="45"/>
  <c r="BT19" i="45"/>
  <c r="AA50" i="45" l="1"/>
  <c r="AD50" i="45" s="1"/>
  <c r="F111" i="48" s="1"/>
  <c r="BV17" i="45"/>
  <c r="M137" i="11"/>
  <c r="M194" i="11"/>
  <c r="BS17" i="45"/>
  <c r="BU17" i="45"/>
  <c r="BT17" i="45"/>
  <c r="M53" i="96"/>
  <c r="M25" i="96"/>
  <c r="M58" i="96"/>
  <c r="AD14" i="45"/>
  <c r="F40" i="48" s="1"/>
  <c r="M9" i="96"/>
  <c r="X52" i="45"/>
  <c r="AI49" i="45"/>
  <c r="AL49" i="45" s="1"/>
  <c r="H109" i="48" s="1"/>
  <c r="W52" i="45"/>
  <c r="AE49" i="45"/>
  <c r="AA52" i="45"/>
  <c r="AD52" i="45" s="1"/>
  <c r="F115" i="48" s="1"/>
  <c r="AA55" i="45"/>
  <c r="AD55" i="45" s="1"/>
  <c r="F121" i="48" s="1"/>
  <c r="X31" i="45"/>
  <c r="AD29" i="45"/>
  <c r="AE29" i="45" s="1"/>
  <c r="D109" i="48"/>
  <c r="F109" i="48"/>
  <c r="AA31" i="45"/>
  <c r="AD31" i="45" s="1"/>
  <c r="F74" i="48" s="1"/>
  <c r="W31" i="45"/>
  <c r="X50" i="45"/>
  <c r="W32" i="45"/>
  <c r="X29" i="45"/>
  <c r="W29" i="45"/>
  <c r="W50" i="45"/>
  <c r="AD8" i="45"/>
  <c r="F28" i="48" s="1"/>
  <c r="D40" i="48"/>
  <c r="X32" i="45"/>
  <c r="W54" i="45"/>
  <c r="X8" i="45"/>
  <c r="W8" i="45"/>
  <c r="AA32" i="45"/>
  <c r="AD32" i="45" s="1"/>
  <c r="F76" i="48" s="1"/>
  <c r="W55" i="45"/>
  <c r="AA54" i="45"/>
  <c r="AD54" i="45" s="1"/>
  <c r="X54" i="45"/>
  <c r="X55" i="45"/>
  <c r="M23" i="11"/>
  <c r="L444" i="8" s="1"/>
  <c r="K25" i="68"/>
  <c r="X13" i="45"/>
  <c r="W13" i="45"/>
  <c r="D38" i="48" s="1"/>
  <c r="AA13" i="45"/>
  <c r="AD13" i="45" s="1"/>
  <c r="F38" i="48" s="1"/>
  <c r="BQ226" i="11"/>
  <c r="BR226" i="11"/>
  <c r="BO226" i="11"/>
  <c r="BP226" i="11"/>
  <c r="BJ226" i="11"/>
  <c r="BM226" i="11" s="1"/>
  <c r="BI226" i="11"/>
  <c r="BL226" i="11" s="1"/>
  <c r="BS226" i="11"/>
  <c r="AA15" i="45"/>
  <c r="AD15" i="45" s="1"/>
  <c r="W15" i="45"/>
  <c r="X15" i="45"/>
  <c r="BK226" i="11"/>
  <c r="AY226" i="11"/>
  <c r="X51" i="45"/>
  <c r="W51" i="45"/>
  <c r="AA51" i="45"/>
  <c r="AD51" i="45" s="1"/>
  <c r="F113" i="48" s="1"/>
  <c r="AE50" i="45"/>
  <c r="AA23" i="45"/>
  <c r="AD23" i="45" s="1"/>
  <c r="F58" i="48" s="1"/>
  <c r="X23" i="45"/>
  <c r="W23" i="45"/>
  <c r="D58" i="48" s="1"/>
  <c r="X40" i="45"/>
  <c r="W40" i="45"/>
  <c r="D92" i="48" s="1"/>
  <c r="AA40" i="45"/>
  <c r="AD40" i="45" s="1"/>
  <c r="F92" i="48" s="1"/>
  <c r="X53" i="45"/>
  <c r="W53" i="45"/>
  <c r="AA53" i="45"/>
  <c r="AD53" i="45" s="1"/>
  <c r="F117" i="48" s="1"/>
  <c r="BK231" i="11"/>
  <c r="AY231" i="11"/>
  <c r="BP231" i="11"/>
  <c r="BS231" i="11"/>
  <c r="BR231" i="11"/>
  <c r="BJ231" i="11"/>
  <c r="BM231" i="11" s="1"/>
  <c r="BQ231" i="11"/>
  <c r="BI231" i="11"/>
  <c r="BL231" i="11" s="1"/>
  <c r="BO231" i="11"/>
  <c r="X56" i="45"/>
  <c r="W56" i="45"/>
  <c r="AA56" i="45"/>
  <c r="AD56" i="45" s="1"/>
  <c r="BK198" i="11"/>
  <c r="AY198" i="11"/>
  <c r="BR198" i="11"/>
  <c r="BO198" i="11"/>
  <c r="BJ198" i="11"/>
  <c r="BI198" i="11"/>
  <c r="BL198" i="11" s="1"/>
  <c r="BS198" i="11"/>
  <c r="BM198" i="11"/>
  <c r="BP198" i="11"/>
  <c r="BQ198" i="11"/>
  <c r="BJ182" i="11"/>
  <c r="BM182" i="11" s="1"/>
  <c r="BI182" i="11"/>
  <c r="BL182" i="11" s="1"/>
  <c r="BK182" i="11"/>
  <c r="BR182" i="11" s="1"/>
  <c r="AY182" i="11"/>
  <c r="AI22" i="45"/>
  <c r="AL22" i="45" s="1"/>
  <c r="H56" i="48" s="1"/>
  <c r="AE22" i="45"/>
  <c r="AF22" i="45"/>
  <c r="AF50" i="45" l="1"/>
  <c r="AI50" i="45"/>
  <c r="AL50" i="45" s="1"/>
  <c r="H111" i="48" s="1"/>
  <c r="M135" i="11"/>
  <c r="M192" i="11"/>
  <c r="K23" i="68"/>
  <c r="M21" i="11"/>
  <c r="L442" i="8" s="1"/>
  <c r="AF14" i="45"/>
  <c r="AI14" i="45"/>
  <c r="AL14" i="45" s="1"/>
  <c r="AM14" i="45" s="1"/>
  <c r="AE14" i="45"/>
  <c r="AF29" i="45"/>
  <c r="AM49" i="45"/>
  <c r="AN49" i="45"/>
  <c r="AQ49" i="45"/>
  <c r="AT49" i="45" s="1"/>
  <c r="J109" i="48" s="1"/>
  <c r="AE55" i="45"/>
  <c r="AF55" i="45"/>
  <c r="D123" i="48"/>
  <c r="AI55" i="45"/>
  <c r="AL55" i="45" s="1"/>
  <c r="H121" i="48" s="1"/>
  <c r="AE31" i="45"/>
  <c r="AI29" i="45"/>
  <c r="AL29" i="45" s="1"/>
  <c r="H70" i="48" s="1"/>
  <c r="D70" i="48"/>
  <c r="AF8" i="45"/>
  <c r="F70" i="48"/>
  <c r="AF31" i="45"/>
  <c r="AI31" i="45"/>
  <c r="AL31" i="45" s="1"/>
  <c r="H74" i="48" s="1"/>
  <c r="D28" i="48"/>
  <c r="D113" i="48"/>
  <c r="D119" i="48"/>
  <c r="AE52" i="45"/>
  <c r="AF52" i="45"/>
  <c r="AI52" i="45"/>
  <c r="AL52" i="45" s="1"/>
  <c r="H115" i="48" s="1"/>
  <c r="D42" i="48"/>
  <c r="AI8" i="45"/>
  <c r="AL8" i="45" s="1"/>
  <c r="H28" i="48" s="1"/>
  <c r="AY49" i="45"/>
  <c r="BB49" i="45" s="1"/>
  <c r="L109" i="48" s="1"/>
  <c r="AE8" i="45"/>
  <c r="AF32" i="45"/>
  <c r="AI32" i="45"/>
  <c r="AL32" i="45" s="1"/>
  <c r="H76" i="48" s="1"/>
  <c r="AE54" i="45"/>
  <c r="F119" i="48" s="1"/>
  <c r="AE32" i="45"/>
  <c r="AI54" i="45"/>
  <c r="AL54" i="45" s="1"/>
  <c r="AF54" i="45"/>
  <c r="H40" i="48"/>
  <c r="AI13" i="45"/>
  <c r="AL13" i="45" s="1"/>
  <c r="H38" i="48" s="1"/>
  <c r="AF13" i="45"/>
  <c r="AE13" i="45"/>
  <c r="AF51" i="45"/>
  <c r="AE51" i="45"/>
  <c r="AI51" i="45"/>
  <c r="AL51" i="45" s="1"/>
  <c r="H113" i="48" s="1"/>
  <c r="AE15" i="45"/>
  <c r="AI15" i="45"/>
  <c r="AL15" i="45" s="1"/>
  <c r="AF15" i="45"/>
  <c r="AE56" i="45"/>
  <c r="AI56" i="45"/>
  <c r="AL56" i="45" s="1"/>
  <c r="H123" i="48" s="1"/>
  <c r="AF56" i="45"/>
  <c r="AF53" i="45"/>
  <c r="AE53" i="45"/>
  <c r="AI53" i="45"/>
  <c r="AL53" i="45" s="1"/>
  <c r="H117" i="48" s="1"/>
  <c r="AI40" i="45"/>
  <c r="AL40" i="45" s="1"/>
  <c r="H92" i="48" s="1"/>
  <c r="AE40" i="45"/>
  <c r="AF40" i="45"/>
  <c r="AF23" i="45"/>
  <c r="AI23" i="45"/>
  <c r="AL23" i="45" s="1"/>
  <c r="H58" i="48" s="1"/>
  <c r="AE23" i="45"/>
  <c r="AN50" i="45"/>
  <c r="AM50" i="45"/>
  <c r="AQ50" i="45"/>
  <c r="AT50" i="45" s="1"/>
  <c r="J111" i="48" s="1"/>
  <c r="AQ22" i="45"/>
  <c r="AT22" i="45" s="1"/>
  <c r="J56" i="48" s="1"/>
  <c r="AM22" i="45"/>
  <c r="AN22" i="45"/>
  <c r="AQ14" i="45" l="1"/>
  <c r="AT14" i="45" s="1"/>
  <c r="AU14" i="45" s="1"/>
  <c r="AN14" i="45"/>
  <c r="AQ55" i="45"/>
  <c r="AT55" i="45" s="1"/>
  <c r="J121" i="48" s="1"/>
  <c r="AV49" i="45"/>
  <c r="AM55" i="45"/>
  <c r="AU49" i="45"/>
  <c r="AN55" i="45"/>
  <c r="AN29" i="45"/>
  <c r="AM29" i="45"/>
  <c r="AQ29" i="45"/>
  <c r="AT29" i="45" s="1"/>
  <c r="J70" i="48" s="1"/>
  <c r="AQ31" i="45"/>
  <c r="AT31" i="45" s="1"/>
  <c r="J74" i="48" s="1"/>
  <c r="F123" i="48"/>
  <c r="AM31" i="45"/>
  <c r="AN31" i="45"/>
  <c r="AQ54" i="45"/>
  <c r="AT54" i="45" s="1"/>
  <c r="J119" i="48" s="1"/>
  <c r="AN52" i="45"/>
  <c r="AQ52" i="45"/>
  <c r="AT52" i="45" s="1"/>
  <c r="J115" i="48" s="1"/>
  <c r="AM52" i="45"/>
  <c r="AQ8" i="45"/>
  <c r="AT8" i="45" s="1"/>
  <c r="J28" i="48" s="1"/>
  <c r="F42" i="48"/>
  <c r="AM8" i="45"/>
  <c r="AN8" i="45"/>
  <c r="BC49" i="45"/>
  <c r="BD49" i="45"/>
  <c r="BG49" i="45"/>
  <c r="BJ49" i="45" s="1"/>
  <c r="N109" i="48" s="1"/>
  <c r="AQ32" i="45"/>
  <c r="AT32" i="45" s="1"/>
  <c r="J76" i="48" s="1"/>
  <c r="AN32" i="45"/>
  <c r="AM32" i="45"/>
  <c r="AM54" i="45"/>
  <c r="H119" i="48" s="1"/>
  <c r="AN54" i="45"/>
  <c r="AV14" i="45"/>
  <c r="J40" i="48"/>
  <c r="AY14" i="45"/>
  <c r="BB14" i="45" s="1"/>
  <c r="AQ13" i="45"/>
  <c r="AT13" i="45" s="1"/>
  <c r="J38" i="48" s="1"/>
  <c r="AM13" i="45"/>
  <c r="AN13" i="45"/>
  <c r="AN15" i="45"/>
  <c r="AQ15" i="45"/>
  <c r="AT15" i="45" s="1"/>
  <c r="J42" i="48" s="1"/>
  <c r="AM15" i="45"/>
  <c r="H42" i="48" s="1"/>
  <c r="AN51" i="45"/>
  <c r="AM51" i="45"/>
  <c r="AQ51" i="45"/>
  <c r="AT51" i="45" s="1"/>
  <c r="J113" i="48" s="1"/>
  <c r="AQ53" i="45"/>
  <c r="AT53" i="45" s="1"/>
  <c r="J117" i="48" s="1"/>
  <c r="AM53" i="45"/>
  <c r="AN53" i="45"/>
  <c r="AQ56" i="45"/>
  <c r="AT56" i="45" s="1"/>
  <c r="J123" i="48" s="1"/>
  <c r="AN56" i="45"/>
  <c r="AM56" i="45"/>
  <c r="AU50" i="45"/>
  <c r="AY50" i="45"/>
  <c r="BB50" i="45" s="1"/>
  <c r="L111" i="48" s="1"/>
  <c r="AV50" i="45"/>
  <c r="AN23" i="45"/>
  <c r="AM23" i="45"/>
  <c r="AQ23" i="45"/>
  <c r="AT23" i="45" s="1"/>
  <c r="J58" i="48" s="1"/>
  <c r="AQ40" i="45"/>
  <c r="AT40" i="45" s="1"/>
  <c r="J92" i="48" s="1"/>
  <c r="AN40" i="45"/>
  <c r="AM40" i="45"/>
  <c r="AY22" i="45"/>
  <c r="BB22" i="45" s="1"/>
  <c r="L56" i="48" s="1"/>
  <c r="AU22" i="45"/>
  <c r="AV22" i="45"/>
  <c r="F235" i="7"/>
  <c r="G32" i="23" s="1"/>
  <c r="E245" i="7"/>
  <c r="AY55" i="45" l="1"/>
  <c r="BB55" i="45" s="1"/>
  <c r="L121" i="48" s="1"/>
  <c r="AV31" i="45"/>
  <c r="AY32" i="45"/>
  <c r="BB32" i="45" s="1"/>
  <c r="L76" i="48" s="1"/>
  <c r="AU55" i="45"/>
  <c r="AV55" i="45"/>
  <c r="AU29" i="45"/>
  <c r="AY29" i="45"/>
  <c r="BB29" i="45" s="1"/>
  <c r="L70" i="48" s="1"/>
  <c r="AV29" i="45"/>
  <c r="AY31" i="45"/>
  <c r="BB31" i="45" s="1"/>
  <c r="L74" i="48" s="1"/>
  <c r="AU31" i="45"/>
  <c r="AU8" i="45"/>
  <c r="AY54" i="45"/>
  <c r="BB54" i="45" s="1"/>
  <c r="L119" i="48" s="1"/>
  <c r="AV52" i="45"/>
  <c r="AV54" i="45"/>
  <c r="AY52" i="45"/>
  <c r="BB52" i="45" s="1"/>
  <c r="L115" i="48" s="1"/>
  <c r="AU52" i="45"/>
  <c r="AU54" i="45"/>
  <c r="AV8" i="45"/>
  <c r="AY8" i="45"/>
  <c r="BB8" i="45" s="1"/>
  <c r="L28" i="48" s="1"/>
  <c r="BO49" i="45"/>
  <c r="BR49" i="45" s="1"/>
  <c r="BK49" i="45"/>
  <c r="BL49" i="45"/>
  <c r="AU32" i="45"/>
  <c r="AV32" i="45"/>
  <c r="BD14" i="45"/>
  <c r="L40" i="48"/>
  <c r="BC14" i="45"/>
  <c r="BG14" i="45"/>
  <c r="BJ14" i="45" s="1"/>
  <c r="N40" i="48" s="1"/>
  <c r="AU13" i="45"/>
  <c r="AY13" i="45"/>
  <c r="BB13" i="45" s="1"/>
  <c r="L38" i="48" s="1"/>
  <c r="AV13" i="45"/>
  <c r="AV51" i="45"/>
  <c r="AU51" i="45"/>
  <c r="AY51" i="45"/>
  <c r="BB51" i="45" s="1"/>
  <c r="L113" i="48" s="1"/>
  <c r="AV15" i="45"/>
  <c r="AU15" i="45"/>
  <c r="AY15" i="45"/>
  <c r="BB15" i="45" s="1"/>
  <c r="L42" i="48" s="1"/>
  <c r="AU40" i="45"/>
  <c r="AV40" i="45"/>
  <c r="AY40" i="45"/>
  <c r="BB40" i="45" s="1"/>
  <c r="L92" i="48" s="1"/>
  <c r="AU23" i="45"/>
  <c r="AY23" i="45"/>
  <c r="BB23" i="45" s="1"/>
  <c r="L58" i="48" s="1"/>
  <c r="AV23" i="45"/>
  <c r="BD50" i="45"/>
  <c r="BC50" i="45"/>
  <c r="BG50" i="45"/>
  <c r="BJ50" i="45" s="1"/>
  <c r="N111" i="48" s="1"/>
  <c r="AU56" i="45"/>
  <c r="AY56" i="45"/>
  <c r="BB56" i="45" s="1"/>
  <c r="L123" i="48" s="1"/>
  <c r="AV56" i="45"/>
  <c r="AY53" i="45"/>
  <c r="BB53" i="45" s="1"/>
  <c r="L117" i="48" s="1"/>
  <c r="AU53" i="45"/>
  <c r="AV53" i="45"/>
  <c r="BC22" i="45"/>
  <c r="BD22" i="45"/>
  <c r="BG22" i="45"/>
  <c r="BJ22" i="45" s="1"/>
  <c r="N56" i="48" s="1"/>
  <c r="BD55" i="45"/>
  <c r="BG55" i="45"/>
  <c r="BJ55" i="45" s="1"/>
  <c r="N121" i="48" s="1"/>
  <c r="BC55" i="45"/>
  <c r="E327" i="7"/>
  <c r="J9" i="23"/>
  <c r="E312" i="7"/>
  <c r="E311" i="7"/>
  <c r="E314" i="7"/>
  <c r="E326" i="7"/>
  <c r="E316" i="7"/>
  <c r="E315" i="7"/>
  <c r="E318" i="7"/>
  <c r="E313" i="7"/>
  <c r="E308" i="7"/>
  <c r="K48" i="23" s="1"/>
  <c r="E285" i="7"/>
  <c r="K25" i="23" s="1"/>
  <c r="E297" i="7"/>
  <c r="K37" i="23" s="1"/>
  <c r="E289" i="7"/>
  <c r="K29" i="23" s="1"/>
  <c r="E320" i="7"/>
  <c r="E319" i="7"/>
  <c r="E322" i="7"/>
  <c r="E317" i="7"/>
  <c r="E323" i="7"/>
  <c r="E324" i="7"/>
  <c r="E325" i="7"/>
  <c r="E321" i="7"/>
  <c r="E328" i="7"/>
  <c r="E329" i="7"/>
  <c r="E300" i="7"/>
  <c r="K40" i="23" s="1"/>
  <c r="E293" i="7"/>
  <c r="K33" i="23" s="1"/>
  <c r="E310" i="7"/>
  <c r="K50" i="23" s="1"/>
  <c r="E284" i="7"/>
  <c r="K24" i="23" s="1"/>
  <c r="E304" i="7"/>
  <c r="K44" i="23" s="1"/>
  <c r="E309" i="7"/>
  <c r="K49" i="23" s="1"/>
  <c r="E295" i="7"/>
  <c r="K35" i="23" s="1"/>
  <c r="E294" i="7"/>
  <c r="K34" i="23" s="1"/>
  <c r="E298" i="7"/>
  <c r="K38" i="23" s="1"/>
  <c r="E330" i="7"/>
  <c r="K70" i="23" s="1"/>
  <c r="E290" i="7"/>
  <c r="K30" i="23" s="1"/>
  <c r="E292" i="7"/>
  <c r="K32" i="23" s="1"/>
  <c r="E305" i="7"/>
  <c r="K45" i="23" s="1"/>
  <c r="E283" i="7"/>
  <c r="K23" i="23" s="1"/>
  <c r="E306" i="7"/>
  <c r="K46" i="23" s="1"/>
  <c r="E296" i="7"/>
  <c r="K36" i="23" s="1"/>
  <c r="E307" i="7"/>
  <c r="K47" i="23" s="1"/>
  <c r="E288" i="7"/>
  <c r="K28" i="23" s="1"/>
  <c r="E302" i="7"/>
  <c r="K42" i="23" s="1"/>
  <c r="E301" i="7"/>
  <c r="K41" i="23" s="1"/>
  <c r="E291" i="7"/>
  <c r="AX21" i="8"/>
  <c r="E299" i="7"/>
  <c r="E303" i="7"/>
  <c r="BG31" i="45" l="1"/>
  <c r="BJ31" i="45" s="1"/>
  <c r="N74" i="48" s="1"/>
  <c r="BG32" i="45"/>
  <c r="BJ32" i="45" s="1"/>
  <c r="N76" i="48" s="1"/>
  <c r="BD32" i="45"/>
  <c r="BC32" i="45"/>
  <c r="BD54" i="45"/>
  <c r="BC54" i="45"/>
  <c r="BG29" i="45"/>
  <c r="BJ29" i="45" s="1"/>
  <c r="N70" i="48" s="1"/>
  <c r="BC52" i="45"/>
  <c r="BD29" i="45"/>
  <c r="BC29" i="45"/>
  <c r="BG54" i="45"/>
  <c r="BJ54" i="45" s="1"/>
  <c r="N119" i="48" s="1"/>
  <c r="BC31" i="45"/>
  <c r="BD31" i="45"/>
  <c r="BD52" i="45"/>
  <c r="BG52" i="45"/>
  <c r="BJ52" i="45" s="1"/>
  <c r="N115" i="48" s="1"/>
  <c r="BC8" i="45"/>
  <c r="BG8" i="45"/>
  <c r="BJ8" i="45" s="1"/>
  <c r="N28" i="48" s="1"/>
  <c r="BD8" i="45"/>
  <c r="P109" i="48"/>
  <c r="BU49" i="45"/>
  <c r="BT49" i="45"/>
  <c r="BS49" i="45"/>
  <c r="BV49" i="45"/>
  <c r="BK14" i="45"/>
  <c r="BL14" i="45"/>
  <c r="BO14" i="45"/>
  <c r="BR14" i="45" s="1"/>
  <c r="BC13" i="45"/>
  <c r="BD13" i="45"/>
  <c r="BG13" i="45"/>
  <c r="BJ13" i="45" s="1"/>
  <c r="N38" i="48" s="1"/>
  <c r="BK32" i="45"/>
  <c r="BC15" i="45"/>
  <c r="BG15" i="45"/>
  <c r="BJ15" i="45" s="1"/>
  <c r="N42" i="48" s="1"/>
  <c r="BD15" i="45"/>
  <c r="BD51" i="45"/>
  <c r="BC51" i="45"/>
  <c r="BG51" i="45"/>
  <c r="BJ51" i="45" s="1"/>
  <c r="N113" i="48" s="1"/>
  <c r="BD56" i="45"/>
  <c r="BC56" i="45"/>
  <c r="BG56" i="45"/>
  <c r="BJ56" i="45" s="1"/>
  <c r="N123" i="48" s="1"/>
  <c r="BG53" i="45"/>
  <c r="BJ53" i="45" s="1"/>
  <c r="N117" i="48" s="1"/>
  <c r="BD53" i="45"/>
  <c r="BC53" i="45"/>
  <c r="BK50" i="45"/>
  <c r="BL50" i="45"/>
  <c r="BO50" i="45"/>
  <c r="BR50" i="45" s="1"/>
  <c r="BC23" i="45"/>
  <c r="BD23" i="45"/>
  <c r="BG23" i="45"/>
  <c r="BJ23" i="45" s="1"/>
  <c r="N58" i="48" s="1"/>
  <c r="BD40" i="45"/>
  <c r="BG40" i="45"/>
  <c r="BJ40" i="45" s="1"/>
  <c r="N92" i="48" s="1"/>
  <c r="BC40" i="45"/>
  <c r="BO22" i="45"/>
  <c r="BR22" i="45" s="1"/>
  <c r="BK22" i="45"/>
  <c r="BL22" i="45"/>
  <c r="BL55" i="45"/>
  <c r="BO55" i="45"/>
  <c r="BR55" i="45" s="1"/>
  <c r="BK55" i="45"/>
  <c r="AX40" i="8"/>
  <c r="K31" i="23"/>
  <c r="AX77" i="8"/>
  <c r="K68" i="23"/>
  <c r="AX74" i="8"/>
  <c r="K65" i="23"/>
  <c r="AX72" i="8"/>
  <c r="K63" i="23"/>
  <c r="AX71" i="8"/>
  <c r="K62" i="23"/>
  <c r="AX69" i="8"/>
  <c r="K60" i="23"/>
  <c r="AX67" i="8"/>
  <c r="K58" i="23"/>
  <c r="AX65" i="8"/>
  <c r="K56" i="23"/>
  <c r="AX63" i="8"/>
  <c r="K54" i="23"/>
  <c r="AX61" i="8"/>
  <c r="K52" i="23"/>
  <c r="AX76" i="8"/>
  <c r="K67" i="23"/>
  <c r="AX52" i="8"/>
  <c r="K43" i="23"/>
  <c r="AX48" i="8"/>
  <c r="K39" i="23"/>
  <c r="AX78" i="8"/>
  <c r="K69" i="23"/>
  <c r="AX70" i="8"/>
  <c r="K61" i="23"/>
  <c r="AX73" i="8"/>
  <c r="K64" i="23"/>
  <c r="AX66" i="8"/>
  <c r="K57" i="23"/>
  <c r="AX68" i="8"/>
  <c r="K59" i="23"/>
  <c r="AX62" i="8"/>
  <c r="K53" i="23"/>
  <c r="AX64" i="8"/>
  <c r="K55" i="23"/>
  <c r="AX75" i="8"/>
  <c r="K66" i="23"/>
  <c r="AX60" i="8"/>
  <c r="K51" i="23"/>
  <c r="AX37" i="8"/>
  <c r="AX43" i="8"/>
  <c r="AX33" i="8"/>
  <c r="AX38" i="8"/>
  <c r="AX34" i="8"/>
  <c r="AX51" i="8"/>
  <c r="AX56" i="8"/>
  <c r="AX55" i="8"/>
  <c r="AX54" i="8"/>
  <c r="AX39" i="8"/>
  <c r="AX47" i="8"/>
  <c r="AX44" i="8"/>
  <c r="AX53" i="8"/>
  <c r="AX59" i="8"/>
  <c r="AX49" i="8"/>
  <c r="AX46" i="8"/>
  <c r="AX57" i="8"/>
  <c r="AX50" i="8"/>
  <c r="AX45" i="8"/>
  <c r="AX41" i="8"/>
  <c r="AX79" i="8"/>
  <c r="AX58" i="8"/>
  <c r="AX42" i="8"/>
  <c r="AX32" i="8"/>
  <c r="K13" i="23"/>
  <c r="BO31" i="45" l="1"/>
  <c r="BR31" i="45" s="1"/>
  <c r="BV31" i="45" s="1"/>
  <c r="M224" i="11"/>
  <c r="M167" i="11"/>
  <c r="BK31" i="45"/>
  <c r="BL31" i="45"/>
  <c r="BL32" i="45"/>
  <c r="BO32" i="45"/>
  <c r="BR32" i="45" s="1"/>
  <c r="BU32" i="45" s="1"/>
  <c r="BK29" i="45"/>
  <c r="BL52" i="45"/>
  <c r="BL29" i="45"/>
  <c r="BK54" i="45"/>
  <c r="BO29" i="45"/>
  <c r="BR29" i="45" s="1"/>
  <c r="P70" i="48" s="1"/>
  <c r="BK52" i="45"/>
  <c r="BO54" i="45"/>
  <c r="BR54" i="45" s="1"/>
  <c r="BU54" i="45" s="1"/>
  <c r="BL54" i="45"/>
  <c r="BK8" i="45"/>
  <c r="BO52" i="45"/>
  <c r="BR52" i="45" s="1"/>
  <c r="BU52" i="45" s="1"/>
  <c r="BO8" i="45"/>
  <c r="BR8" i="45" s="1"/>
  <c r="P28" i="48" s="1"/>
  <c r="BL8" i="45"/>
  <c r="P111" i="48"/>
  <c r="BU50" i="45"/>
  <c r="M53" i="11"/>
  <c r="L474" i="8" s="1"/>
  <c r="K54" i="68"/>
  <c r="P74" i="48"/>
  <c r="BU31" i="45"/>
  <c r="P121" i="48"/>
  <c r="BU55" i="45"/>
  <c r="P40" i="48"/>
  <c r="BU14" i="45"/>
  <c r="P56" i="48"/>
  <c r="BU22" i="45"/>
  <c r="P76" i="48"/>
  <c r="BV14" i="45"/>
  <c r="BS14" i="45"/>
  <c r="BT14" i="45"/>
  <c r="J95" i="8"/>
  <c r="J98" i="8" s="1"/>
  <c r="I95" i="8"/>
  <c r="BO13" i="45"/>
  <c r="BR13" i="45" s="1"/>
  <c r="BL13" i="45"/>
  <c r="BK13" i="45"/>
  <c r="BK15" i="45"/>
  <c r="BO15" i="45"/>
  <c r="BR15" i="45" s="1"/>
  <c r="BL15" i="45"/>
  <c r="BK51" i="45"/>
  <c r="BO51" i="45"/>
  <c r="BR51" i="45" s="1"/>
  <c r="BL51" i="45"/>
  <c r="BV22" i="45"/>
  <c r="BO23" i="45"/>
  <c r="BR23" i="45" s="1"/>
  <c r="BL23" i="45"/>
  <c r="BK23" i="45"/>
  <c r="BV50" i="45"/>
  <c r="BS50" i="45"/>
  <c r="BT50" i="45"/>
  <c r="BO40" i="45"/>
  <c r="BR40" i="45" s="1"/>
  <c r="BK40" i="45"/>
  <c r="BL40" i="45"/>
  <c r="BO53" i="45"/>
  <c r="BR53" i="45" s="1"/>
  <c r="BL53" i="45"/>
  <c r="BK53" i="45"/>
  <c r="BK56" i="45"/>
  <c r="BO56" i="45"/>
  <c r="BR56" i="45" s="1"/>
  <c r="BL56" i="45"/>
  <c r="BV55" i="45"/>
  <c r="BS22" i="45"/>
  <c r="BT22" i="45"/>
  <c r="BT55" i="45"/>
  <c r="BS55" i="45"/>
  <c r="AE95" i="8"/>
  <c r="AE98" i="8" s="1"/>
  <c r="X95" i="8"/>
  <c r="X98" i="8" s="1"/>
  <c r="N95" i="8"/>
  <c r="R111" i="8" s="1"/>
  <c r="V95" i="8"/>
  <c r="AR95" i="8"/>
  <c r="BS32" i="45" l="1"/>
  <c r="BS31" i="45"/>
  <c r="BT31" i="45"/>
  <c r="M229" i="11"/>
  <c r="M172" i="11"/>
  <c r="M173" i="11"/>
  <c r="M230" i="11"/>
  <c r="M225" i="11"/>
  <c r="M168" i="11"/>
  <c r="M227" i="11"/>
  <c r="M170" i="11"/>
  <c r="M132" i="11"/>
  <c r="M189" i="11"/>
  <c r="M149" i="11"/>
  <c r="M206" i="11"/>
  <c r="M140" i="11"/>
  <c r="M197" i="11"/>
  <c r="M207" i="11"/>
  <c r="M150" i="11"/>
  <c r="BV32" i="45"/>
  <c r="BT32" i="45"/>
  <c r="BU29" i="45"/>
  <c r="BT29" i="45"/>
  <c r="P119" i="48"/>
  <c r="BS52" i="45"/>
  <c r="BV52" i="45"/>
  <c r="P115" i="48"/>
  <c r="BS54" i="45"/>
  <c r="BS29" i="45"/>
  <c r="BV29" i="45"/>
  <c r="BV54" i="45"/>
  <c r="BT54" i="45"/>
  <c r="BT52" i="45"/>
  <c r="BS8" i="45"/>
  <c r="BT8" i="45"/>
  <c r="BU8" i="45"/>
  <c r="BV8" i="45"/>
  <c r="BX50" i="45"/>
  <c r="K55" i="68"/>
  <c r="M54" i="11"/>
  <c r="L475" i="8" s="1"/>
  <c r="K59" i="68"/>
  <c r="M58" i="11"/>
  <c r="L479" i="8" s="1"/>
  <c r="P58" i="48"/>
  <c r="BU23" i="45"/>
  <c r="R107" i="8"/>
  <c r="P42" i="48"/>
  <c r="BU15" i="45"/>
  <c r="P113" i="48"/>
  <c r="BU51" i="45"/>
  <c r="P38" i="48"/>
  <c r="BU13" i="45"/>
  <c r="M18" i="11"/>
  <c r="L439" i="8" s="1"/>
  <c r="K20" i="68"/>
  <c r="K60" i="68"/>
  <c r="M59" i="11"/>
  <c r="L480" i="8" s="1"/>
  <c r="BX55" i="45"/>
  <c r="M56" i="11"/>
  <c r="L477" i="8" s="1"/>
  <c r="K57" i="68"/>
  <c r="BX52" i="45"/>
  <c r="P123" i="48"/>
  <c r="BU56" i="45"/>
  <c r="P117" i="48"/>
  <c r="BU53" i="45"/>
  <c r="P92" i="48"/>
  <c r="BU40" i="45"/>
  <c r="M36" i="11"/>
  <c r="L457" i="8" s="1"/>
  <c r="K38" i="68"/>
  <c r="BX32" i="45"/>
  <c r="M26" i="11"/>
  <c r="L447" i="8" s="1"/>
  <c r="K28" i="68"/>
  <c r="BX22" i="45"/>
  <c r="M35" i="11"/>
  <c r="L456" i="8" s="1"/>
  <c r="K37" i="68"/>
  <c r="BX31" i="45"/>
  <c r="R128" i="8"/>
  <c r="R106" i="8"/>
  <c r="I98" i="8"/>
  <c r="N106" i="8" s="1"/>
  <c r="BS13" i="45"/>
  <c r="BT13" i="45"/>
  <c r="BV13" i="45"/>
  <c r="BV51" i="45"/>
  <c r="BS51" i="45"/>
  <c r="BT51" i="45"/>
  <c r="BT15" i="45"/>
  <c r="BV15" i="45"/>
  <c r="BS15" i="45"/>
  <c r="BV23" i="45"/>
  <c r="BS23" i="45"/>
  <c r="BT23" i="45"/>
  <c r="BV56" i="45"/>
  <c r="BS56" i="45"/>
  <c r="BT56" i="45"/>
  <c r="BV53" i="45"/>
  <c r="BS53" i="45"/>
  <c r="BT53" i="45"/>
  <c r="BV40" i="45"/>
  <c r="BS40" i="45"/>
  <c r="BT40" i="45"/>
  <c r="N107" i="8"/>
  <c r="N121" i="8"/>
  <c r="L226" i="8" s="1"/>
  <c r="R121" i="8"/>
  <c r="N98" i="8"/>
  <c r="R140" i="8"/>
  <c r="AR98" i="8"/>
  <c r="V98" i="8"/>
  <c r="R119" i="8"/>
  <c r="M231" i="11" l="1"/>
  <c r="M174" i="11"/>
  <c r="M226" i="11"/>
  <c r="M169" i="11"/>
  <c r="M228" i="11"/>
  <c r="M171" i="11"/>
  <c r="M141" i="11"/>
  <c r="M198" i="11"/>
  <c r="K14" i="68"/>
  <c r="M183" i="11"/>
  <c r="M126" i="11"/>
  <c r="M215" i="11"/>
  <c r="M158" i="11"/>
  <c r="M147" i="11"/>
  <c r="M204" i="11"/>
  <c r="M131" i="11"/>
  <c r="M188" i="11"/>
  <c r="M133" i="11"/>
  <c r="M190" i="11"/>
  <c r="K35" i="68"/>
  <c r="M33" i="11"/>
  <c r="L454" i="8" s="1"/>
  <c r="M12" i="11"/>
  <c r="L433" i="8" s="1"/>
  <c r="M27" i="11"/>
  <c r="L448" i="8" s="1"/>
  <c r="K29" i="68"/>
  <c r="L212" i="8"/>
  <c r="N212" i="8" s="1"/>
  <c r="P437" i="8" s="1"/>
  <c r="L211" i="8"/>
  <c r="N211" i="8" s="1"/>
  <c r="P436" i="8" s="1"/>
  <c r="K58" i="68"/>
  <c r="M57" i="11"/>
  <c r="L478" i="8" s="1"/>
  <c r="BX53" i="45"/>
  <c r="M17" i="11"/>
  <c r="L438" i="8" s="1"/>
  <c r="M19" i="11"/>
  <c r="L440" i="8" s="1"/>
  <c r="K21" i="68"/>
  <c r="M44" i="11"/>
  <c r="L465" i="8" s="1"/>
  <c r="K46" i="68"/>
  <c r="M60" i="11"/>
  <c r="L481" i="8" s="1"/>
  <c r="K61" i="68"/>
  <c r="M55" i="11"/>
  <c r="L476" i="8" s="1"/>
  <c r="K56" i="68"/>
  <c r="N140" i="8"/>
  <c r="N119" i="8"/>
  <c r="N111" i="8"/>
  <c r="N128" i="8"/>
  <c r="AS95" i="8"/>
  <c r="K19" i="68" l="1"/>
  <c r="Q131" i="11"/>
  <c r="O73" i="11"/>
  <c r="O130" i="11"/>
  <c r="Q73" i="11"/>
  <c r="T73" i="11" s="1"/>
  <c r="V73" i="11" s="1"/>
  <c r="R212" i="8"/>
  <c r="Y212" i="8" s="1"/>
  <c r="BX187" i="11"/>
  <c r="CA187" i="11" s="1"/>
  <c r="O16" i="11"/>
  <c r="O187" i="11"/>
  <c r="N12" i="45"/>
  <c r="Q12" i="45" s="1"/>
  <c r="AU16" i="11"/>
  <c r="AW16" i="11" s="1"/>
  <c r="AU130" i="11"/>
  <c r="AX130" i="11" s="1"/>
  <c r="AU73" i="11"/>
  <c r="AX73" i="11" s="1"/>
  <c r="AU72" i="11"/>
  <c r="AV72" i="11" s="1"/>
  <c r="N11" i="45"/>
  <c r="Q11" i="45" s="1"/>
  <c r="BX186" i="11"/>
  <c r="BY186" i="11" s="1"/>
  <c r="O129" i="11"/>
  <c r="O72" i="11"/>
  <c r="Q72" i="11"/>
  <c r="R211" i="8"/>
  <c r="Y211" i="8" s="1"/>
  <c r="AU15" i="11"/>
  <c r="AV15" i="11" s="1"/>
  <c r="O15" i="11"/>
  <c r="AU129" i="11"/>
  <c r="AX129" i="11" s="1"/>
  <c r="O186" i="11"/>
  <c r="L216" i="8"/>
  <c r="N216" i="8" s="1"/>
  <c r="P441" i="8" s="1"/>
  <c r="L245" i="8"/>
  <c r="N245" i="8" s="1"/>
  <c r="P470" i="8" s="1"/>
  <c r="L233" i="8"/>
  <c r="N233" i="8" s="1"/>
  <c r="P458" i="8" s="1"/>
  <c r="L224" i="8"/>
  <c r="N224" i="8" s="1"/>
  <c r="P449" i="8" s="1"/>
  <c r="AW73" i="11"/>
  <c r="N226" i="8"/>
  <c r="AS98" i="8"/>
  <c r="AV16" i="11" l="1"/>
  <c r="CA186" i="11"/>
  <c r="K13" i="96"/>
  <c r="M13" i="96" s="1"/>
  <c r="K62" i="60"/>
  <c r="K63" i="60"/>
  <c r="K14" i="96"/>
  <c r="M14" i="96" s="1"/>
  <c r="AW130" i="11"/>
  <c r="AK12" i="45"/>
  <c r="BQ12" i="45"/>
  <c r="U12" i="45"/>
  <c r="V12" i="45" s="1"/>
  <c r="BI12" i="45"/>
  <c r="AW72" i="11"/>
  <c r="BZ186" i="11"/>
  <c r="AV130" i="11"/>
  <c r="AS12" i="45"/>
  <c r="AC12" i="45"/>
  <c r="BA12" i="45"/>
  <c r="AX72" i="11"/>
  <c r="S72" i="11"/>
  <c r="U72" i="11" s="1"/>
  <c r="S73" i="11"/>
  <c r="U73" i="11" s="1"/>
  <c r="BA11" i="45"/>
  <c r="BZ187" i="11"/>
  <c r="BI11" i="45"/>
  <c r="AS11" i="45"/>
  <c r="AF72" i="11"/>
  <c r="AX15" i="11"/>
  <c r="AF73" i="11"/>
  <c r="BQ11" i="45"/>
  <c r="AK11" i="45"/>
  <c r="U11" i="45"/>
  <c r="V11" i="45" s="1"/>
  <c r="W11" i="45" s="1"/>
  <c r="AW15" i="11"/>
  <c r="AV129" i="11"/>
  <c r="AX16" i="11"/>
  <c r="AV73" i="11"/>
  <c r="AC11" i="45"/>
  <c r="T72" i="11"/>
  <c r="V72" i="11" s="1"/>
  <c r="BY187" i="11"/>
  <c r="AW129" i="11"/>
  <c r="O94" i="11"/>
  <c r="O151" i="11"/>
  <c r="Q94" i="11"/>
  <c r="S94" i="11" s="1"/>
  <c r="U94" i="11" s="1"/>
  <c r="O37" i="11"/>
  <c r="O208" i="11"/>
  <c r="N33" i="45"/>
  <c r="Q33" i="45" s="1"/>
  <c r="AU151" i="11"/>
  <c r="AV151" i="11" s="1"/>
  <c r="AU94" i="11"/>
  <c r="AV94" i="11" s="1"/>
  <c r="AU37" i="11"/>
  <c r="AW37" i="11" s="1"/>
  <c r="R233" i="8"/>
  <c r="Y233" i="8" s="1"/>
  <c r="BX208" i="11"/>
  <c r="BY208" i="11" s="1"/>
  <c r="O191" i="11"/>
  <c r="Q77" i="11"/>
  <c r="AB77" i="11" s="1"/>
  <c r="AU134" i="11"/>
  <c r="AX134" i="11" s="1"/>
  <c r="O20" i="11"/>
  <c r="O134" i="11"/>
  <c r="O77" i="11"/>
  <c r="BX191" i="11"/>
  <c r="CA191" i="11" s="1"/>
  <c r="N16" i="45"/>
  <c r="Q16" i="45" s="1"/>
  <c r="AU77" i="11"/>
  <c r="AX77" i="11" s="1"/>
  <c r="AU20" i="11"/>
  <c r="AV20" i="11" s="1"/>
  <c r="R216" i="8"/>
  <c r="Y216" i="8" s="1"/>
  <c r="O85" i="11"/>
  <c r="O142" i="11"/>
  <c r="Q85" i="11"/>
  <c r="AB85" i="11" s="1"/>
  <c r="BX199" i="11"/>
  <c r="BZ199" i="11" s="1"/>
  <c r="O28" i="11"/>
  <c r="O199" i="11"/>
  <c r="N24" i="45"/>
  <c r="Q24" i="45" s="1"/>
  <c r="AU142" i="11"/>
  <c r="AW142" i="11" s="1"/>
  <c r="AU85" i="11"/>
  <c r="AV85" i="11" s="1"/>
  <c r="AU28" i="11"/>
  <c r="AW28" i="11" s="1"/>
  <c r="R224" i="8"/>
  <c r="Y224" i="8" s="1"/>
  <c r="O106" i="11"/>
  <c r="O163" i="11"/>
  <c r="Q106" i="11"/>
  <c r="S106" i="11" s="1"/>
  <c r="U106" i="11" s="1"/>
  <c r="AU106" i="11"/>
  <c r="AW106" i="11" s="1"/>
  <c r="AU49" i="11"/>
  <c r="AW49" i="11" s="1"/>
  <c r="R245" i="8"/>
  <c r="Y245" i="8" s="1"/>
  <c r="O49" i="11"/>
  <c r="O220" i="11"/>
  <c r="N45" i="45"/>
  <c r="Q45" i="45" s="1"/>
  <c r="AU163" i="11"/>
  <c r="AV163" i="11" s="1"/>
  <c r="BX220" i="11"/>
  <c r="BZ220" i="11" s="1"/>
  <c r="R226" i="8"/>
  <c r="Y226" i="8" s="1"/>
  <c r="AV49" i="11"/>
  <c r="O87" i="11"/>
  <c r="P451" i="8"/>
  <c r="AU87" i="11"/>
  <c r="BX201" i="11"/>
  <c r="O144" i="11"/>
  <c r="AU30" i="11"/>
  <c r="AU144" i="11"/>
  <c r="Q87" i="11"/>
  <c r="O30" i="11"/>
  <c r="N26" i="45"/>
  <c r="O201" i="11"/>
  <c r="BY220" i="11" l="1"/>
  <c r="K77" i="60"/>
  <c r="K28" i="96"/>
  <c r="M28" i="96" s="1"/>
  <c r="K84" i="60"/>
  <c r="K35" i="96"/>
  <c r="M35" i="96" s="1"/>
  <c r="K96" i="60"/>
  <c r="K47" i="96"/>
  <c r="M47" i="96" s="1"/>
  <c r="K26" i="96"/>
  <c r="M26" i="96" s="1"/>
  <c r="K75" i="60"/>
  <c r="K18" i="96"/>
  <c r="M18" i="96" s="1"/>
  <c r="K67" i="60"/>
  <c r="AW163" i="11"/>
  <c r="AW94" i="11"/>
  <c r="AV106" i="11"/>
  <c r="BA33" i="45"/>
  <c r="AF106" i="11"/>
  <c r="AM106" i="11" s="1"/>
  <c r="AS33" i="45"/>
  <c r="BA45" i="45"/>
  <c r="Z94" i="11"/>
  <c r="AK24" i="45"/>
  <c r="BQ33" i="45"/>
  <c r="AK33" i="45"/>
  <c r="AB106" i="11"/>
  <c r="BI45" i="45"/>
  <c r="Z106" i="11"/>
  <c r="BQ45" i="45"/>
  <c r="U45" i="45"/>
  <c r="V45" i="45" s="1"/>
  <c r="D102" i="48" s="1"/>
  <c r="T106" i="11"/>
  <c r="V106" i="11" s="1"/>
  <c r="AW77" i="11"/>
  <c r="AC77" i="11" s="1"/>
  <c r="AX142" i="11"/>
  <c r="AV28" i="11"/>
  <c r="AA106" i="11"/>
  <c r="X106" i="11"/>
  <c r="BI33" i="45"/>
  <c r="U33" i="45"/>
  <c r="V33" i="45" s="1"/>
  <c r="D78" i="48" s="1"/>
  <c r="AC33" i="45"/>
  <c r="AS45" i="45"/>
  <c r="AC45" i="45"/>
  <c r="AK45" i="45"/>
  <c r="X12" i="45"/>
  <c r="AV134" i="11"/>
  <c r="AX94" i="11"/>
  <c r="AV142" i="11"/>
  <c r="AX28" i="11"/>
  <c r="BY199" i="11"/>
  <c r="BZ191" i="11"/>
  <c r="AA12" i="45"/>
  <c r="AD12" i="45" s="1"/>
  <c r="F36" i="48" s="1"/>
  <c r="W12" i="45"/>
  <c r="D36" i="48" s="1"/>
  <c r="AW134" i="11"/>
  <c r="AV77" i="11"/>
  <c r="CA199" i="11"/>
  <c r="Z85" i="11"/>
  <c r="BI24" i="45"/>
  <c r="AB94" i="11"/>
  <c r="AX85" i="11"/>
  <c r="AV37" i="11"/>
  <c r="CA208" i="11"/>
  <c r="AF94" i="11"/>
  <c r="AM94" i="11" s="1"/>
  <c r="AF85" i="11"/>
  <c r="AM85" i="11" s="1"/>
  <c r="AS24" i="45"/>
  <c r="T94" i="11"/>
  <c r="V94" i="11" s="1"/>
  <c r="T85" i="11"/>
  <c r="V85" i="11" s="1"/>
  <c r="AW151" i="11"/>
  <c r="AW85" i="11"/>
  <c r="AC85" i="11" s="1"/>
  <c r="AX37" i="11"/>
  <c r="BZ208" i="11"/>
  <c r="AA94" i="11"/>
  <c r="X94" i="11"/>
  <c r="AA85" i="11"/>
  <c r="X85" i="11"/>
  <c r="BA24" i="45"/>
  <c r="BQ24" i="45"/>
  <c r="AC24" i="45"/>
  <c r="U24" i="45"/>
  <c r="V24" i="45" s="1"/>
  <c r="AA24" i="45" s="1"/>
  <c r="S85" i="11"/>
  <c r="U85" i="11" s="1"/>
  <c r="AX151" i="11"/>
  <c r="AC94" i="11"/>
  <c r="AX163" i="11"/>
  <c r="AX106" i="11"/>
  <c r="AX49" i="11"/>
  <c r="AK16" i="45"/>
  <c r="AX20" i="11"/>
  <c r="CA220" i="11"/>
  <c r="AA77" i="11"/>
  <c r="BI16" i="45"/>
  <c r="S77" i="11"/>
  <c r="U77" i="11" s="1"/>
  <c r="X77" i="11"/>
  <c r="AS16" i="45"/>
  <c r="AW20" i="11"/>
  <c r="AF77" i="11"/>
  <c r="AM77" i="11" s="1"/>
  <c r="Z77" i="11"/>
  <c r="AC16" i="45"/>
  <c r="BA16" i="45"/>
  <c r="U16" i="45"/>
  <c r="V16" i="45" s="1"/>
  <c r="BQ16" i="45"/>
  <c r="T77" i="11"/>
  <c r="V77" i="11" s="1"/>
  <c r="X11" i="45"/>
  <c r="D34" i="48" s="1"/>
  <c r="AA11" i="45"/>
  <c r="AD11" i="45" s="1"/>
  <c r="F34" i="48" s="1"/>
  <c r="BY191" i="11"/>
  <c r="AC106" i="11"/>
  <c r="AB87" i="11"/>
  <c r="BQ26" i="45"/>
  <c r="Q26" i="45"/>
  <c r="AW144" i="11"/>
  <c r="AV144" i="11"/>
  <c r="AX144" i="11"/>
  <c r="BZ201" i="11"/>
  <c r="BY201" i="11"/>
  <c r="CA201" i="11"/>
  <c r="AV87" i="11"/>
  <c r="AW87" i="11"/>
  <c r="AC87" i="11" s="1"/>
  <c r="AX87" i="11"/>
  <c r="AV30" i="11"/>
  <c r="AW30" i="11"/>
  <c r="AX30" i="11"/>
  <c r="AA87" i="11"/>
  <c r="AK26" i="45"/>
  <c r="Z87" i="11"/>
  <c r="AC26" i="45"/>
  <c r="AF87" i="11"/>
  <c r="AM87" i="11" s="1"/>
  <c r="X87" i="11"/>
  <c r="BA26" i="45"/>
  <c r="T87" i="11"/>
  <c r="V87" i="11" s="1"/>
  <c r="BI26" i="45"/>
  <c r="AS26" i="45"/>
  <c r="U26" i="45"/>
  <c r="V26" i="45" s="1"/>
  <c r="S87" i="11"/>
  <c r="U87" i="11" s="1"/>
  <c r="X45" i="45" l="1"/>
  <c r="W33" i="45"/>
  <c r="AA45" i="45"/>
  <c r="AD45" i="45" s="1"/>
  <c r="F102" i="48" s="1"/>
  <c r="AE12" i="45"/>
  <c r="X33" i="45"/>
  <c r="W45" i="45"/>
  <c r="AF12" i="45"/>
  <c r="AI12" i="45"/>
  <c r="AL12" i="45" s="1"/>
  <c r="H36" i="48" s="1"/>
  <c r="AA33" i="45"/>
  <c r="AD33" i="45" s="1"/>
  <c r="F78" i="48" s="1"/>
  <c r="W24" i="45"/>
  <c r="X16" i="45"/>
  <c r="W16" i="45"/>
  <c r="D44" i="48" s="1"/>
  <c r="AD24" i="45"/>
  <c r="AI24" i="45" s="1"/>
  <c r="AL24" i="45" s="1"/>
  <c r="X24" i="45"/>
  <c r="D60" i="48" s="1"/>
  <c r="AI11" i="45"/>
  <c r="AL11" i="45" s="1"/>
  <c r="H34" i="48" s="1"/>
  <c r="AA16" i="45"/>
  <c r="AD16" i="45" s="1"/>
  <c r="F44" i="48" s="1"/>
  <c r="AE11" i="45"/>
  <c r="AF11" i="45"/>
  <c r="W26" i="45"/>
  <c r="X26" i="45"/>
  <c r="AA26" i="45"/>
  <c r="AD26" i="45" s="1"/>
  <c r="F64" i="48" s="1"/>
  <c r="AF45" i="45" l="1"/>
  <c r="AE45" i="45"/>
  <c r="AM12" i="45"/>
  <c r="AQ11" i="45"/>
  <c r="AT11" i="45" s="1"/>
  <c r="J34" i="48" s="1"/>
  <c r="AI16" i="45"/>
  <c r="AL16" i="45" s="1"/>
  <c r="H44" i="48" s="1"/>
  <c r="AQ12" i="45"/>
  <c r="AT12" i="45" s="1"/>
  <c r="J36" i="48" s="1"/>
  <c r="AI45" i="45"/>
  <c r="AL45" i="45" s="1"/>
  <c r="H102" i="48" s="1"/>
  <c r="AE33" i="45"/>
  <c r="AF33" i="45"/>
  <c r="AI33" i="45"/>
  <c r="AL33" i="45" s="1"/>
  <c r="H78" i="48" s="1"/>
  <c r="AE24" i="45"/>
  <c r="AN12" i="45"/>
  <c r="AF24" i="45"/>
  <c r="AN11" i="45"/>
  <c r="AM11" i="45"/>
  <c r="AE16" i="45"/>
  <c r="AF16" i="45"/>
  <c r="D64" i="48"/>
  <c r="AF26" i="45"/>
  <c r="AI26" i="45"/>
  <c r="AL26" i="45" s="1"/>
  <c r="H64" i="48" s="1"/>
  <c r="AE26" i="45"/>
  <c r="AQ45" i="45"/>
  <c r="AT45" i="45" s="1"/>
  <c r="J102" i="48" s="1"/>
  <c r="AN45" i="45"/>
  <c r="AQ24" i="45"/>
  <c r="AT24" i="45" s="1"/>
  <c r="J60" i="48" s="1"/>
  <c r="AM24" i="45"/>
  <c r="H60" i="48" s="1"/>
  <c r="AN24" i="45"/>
  <c r="AQ16" i="45" l="1"/>
  <c r="AT16" i="45" s="1"/>
  <c r="J44" i="48" s="1"/>
  <c r="AN16" i="45"/>
  <c r="AM45" i="45"/>
  <c r="AU11" i="45"/>
  <c r="AM33" i="45"/>
  <c r="AV11" i="45"/>
  <c r="F60" i="48"/>
  <c r="AM16" i="45"/>
  <c r="AY11" i="45"/>
  <c r="BB11" i="45" s="1"/>
  <c r="L34" i="48" s="1"/>
  <c r="AV12" i="45"/>
  <c r="AY12" i="45"/>
  <c r="BB12" i="45" s="1"/>
  <c r="L36" i="48" s="1"/>
  <c r="AU12" i="45"/>
  <c r="AQ33" i="45"/>
  <c r="AT33" i="45" s="1"/>
  <c r="J78" i="48" s="1"/>
  <c r="AN33" i="45"/>
  <c r="AQ26" i="45"/>
  <c r="AT26" i="45" s="1"/>
  <c r="AM26" i="45"/>
  <c r="AN26" i="45"/>
  <c r="AY24" i="45"/>
  <c r="BB24" i="45" s="1"/>
  <c r="L60" i="48" s="1"/>
  <c r="AU24" i="45"/>
  <c r="AV24" i="45"/>
  <c r="AV45" i="45"/>
  <c r="AY45" i="45"/>
  <c r="BB45" i="45" s="1"/>
  <c r="L102" i="48" s="1"/>
  <c r="AU45" i="45"/>
  <c r="AY16" i="45" l="1"/>
  <c r="BB16" i="45" s="1"/>
  <c r="L44" i="48" s="1"/>
  <c r="AU16" i="45"/>
  <c r="AV16" i="45"/>
  <c r="BG11" i="45"/>
  <c r="BJ11" i="45" s="1"/>
  <c r="N34" i="48" s="1"/>
  <c r="AU33" i="45"/>
  <c r="BD11" i="45"/>
  <c r="BC12" i="45"/>
  <c r="AV33" i="45"/>
  <c r="AY33" i="45"/>
  <c r="BB33" i="45" s="1"/>
  <c r="L78" i="48" s="1"/>
  <c r="BC11" i="45"/>
  <c r="BG12" i="45"/>
  <c r="BJ12" i="45" s="1"/>
  <c r="N36" i="48" s="1"/>
  <c r="BD12" i="45"/>
  <c r="AY26" i="45"/>
  <c r="BB26" i="45" s="1"/>
  <c r="L64" i="48" s="1"/>
  <c r="J64" i="48"/>
  <c r="AU26" i="45"/>
  <c r="AV26" i="45"/>
  <c r="BG24" i="45"/>
  <c r="BJ24" i="45" s="1"/>
  <c r="N60" i="48" s="1"/>
  <c r="BC24" i="45"/>
  <c r="BD24" i="45"/>
  <c r="BD45" i="45"/>
  <c r="BC45" i="45"/>
  <c r="BG45" i="45"/>
  <c r="BJ45" i="45" s="1"/>
  <c r="N102" i="48" s="1"/>
  <c r="BG16" i="45" l="1"/>
  <c r="BJ16" i="45" s="1"/>
  <c r="N44" i="48" s="1"/>
  <c r="BD16" i="45"/>
  <c r="BC16" i="45"/>
  <c r="BL11" i="45"/>
  <c r="BK11" i="45"/>
  <c r="BO11" i="45"/>
  <c r="BR11" i="45" s="1"/>
  <c r="BU11" i="45" s="1"/>
  <c r="BD33" i="45"/>
  <c r="BK12" i="45"/>
  <c r="BC33" i="45"/>
  <c r="BG33" i="45"/>
  <c r="BJ33" i="45" s="1"/>
  <c r="N78" i="48" s="1"/>
  <c r="BO12" i="45"/>
  <c r="BR12" i="45" s="1"/>
  <c r="P36" i="48" s="1"/>
  <c r="BL12" i="45"/>
  <c r="BD26" i="45"/>
  <c r="BC26" i="45"/>
  <c r="BG26" i="45"/>
  <c r="BJ26" i="45" s="1"/>
  <c r="N64" i="48" s="1"/>
  <c r="P34" i="48"/>
  <c r="BL45" i="45"/>
  <c r="BO45" i="45"/>
  <c r="BR45" i="45" s="1"/>
  <c r="BK45" i="45"/>
  <c r="BO24" i="45"/>
  <c r="BR24" i="45" s="1"/>
  <c r="BK24" i="45"/>
  <c r="BL24" i="45"/>
  <c r="BO16" i="45"/>
  <c r="BR16" i="45" s="1"/>
  <c r="BL16" i="45"/>
  <c r="BK16" i="45" l="1"/>
  <c r="BS11" i="45"/>
  <c r="BV11" i="45"/>
  <c r="BT11" i="45"/>
  <c r="M129" i="11"/>
  <c r="M186" i="11"/>
  <c r="BO33" i="45"/>
  <c r="BR33" i="45" s="1"/>
  <c r="P78" i="48" s="1"/>
  <c r="BS12" i="45"/>
  <c r="BV12" i="45"/>
  <c r="BK33" i="45"/>
  <c r="BT12" i="45"/>
  <c r="BL33" i="45"/>
  <c r="BU12" i="45"/>
  <c r="BK26" i="45"/>
  <c r="P60" i="48"/>
  <c r="BU24" i="45"/>
  <c r="BL26" i="45"/>
  <c r="BO26" i="45"/>
  <c r="BR26" i="45" s="1"/>
  <c r="P64" i="48" s="1"/>
  <c r="P44" i="48"/>
  <c r="BU16" i="45"/>
  <c r="K17" i="68"/>
  <c r="M15" i="11"/>
  <c r="L436" i="8" s="1"/>
  <c r="BU33" i="45"/>
  <c r="P102" i="48"/>
  <c r="BU45" i="45"/>
  <c r="BV16" i="45"/>
  <c r="BV45" i="45"/>
  <c r="BV24" i="45"/>
  <c r="BS24" i="45"/>
  <c r="BT24" i="45"/>
  <c r="BS45" i="45"/>
  <c r="BT45" i="45"/>
  <c r="BS16" i="45"/>
  <c r="BT16" i="45"/>
  <c r="K18" i="68" l="1"/>
  <c r="M187" i="11"/>
  <c r="M130" i="11"/>
  <c r="M163" i="11"/>
  <c r="M220" i="11"/>
  <c r="M16" i="11"/>
  <c r="L437" i="8" s="1"/>
  <c r="M151" i="11"/>
  <c r="M208" i="11"/>
  <c r="M191" i="11"/>
  <c r="M134" i="11"/>
  <c r="M199" i="11"/>
  <c r="M142" i="11"/>
  <c r="BT33" i="45"/>
  <c r="BV33" i="45"/>
  <c r="BS33" i="45"/>
  <c r="M28" i="11"/>
  <c r="L449" i="8" s="1"/>
  <c r="K30" i="68"/>
  <c r="BS26" i="45"/>
  <c r="BT26" i="45"/>
  <c r="BV26" i="45"/>
  <c r="BU26" i="45"/>
  <c r="M20" i="11"/>
  <c r="L441" i="8" s="1"/>
  <c r="K22" i="68"/>
  <c r="K39" i="68"/>
  <c r="M37" i="11"/>
  <c r="L458" i="8" s="1"/>
  <c r="BX33" i="45"/>
  <c r="M49" i="11"/>
  <c r="L470" i="8" s="1"/>
  <c r="K51" i="68"/>
  <c r="BX45" i="45"/>
  <c r="M30" i="11" l="1"/>
  <c r="L451" i="8" s="1"/>
  <c r="M144" i="11"/>
  <c r="M201" i="11"/>
  <c r="K32" i="68"/>
  <c r="BE208" i="11"/>
  <c r="BS208" i="11"/>
  <c r="BB208" i="11" l="1"/>
  <c r="BC208" i="11"/>
  <c r="BO208" i="11"/>
  <c r="BD208" i="11"/>
  <c r="BQ208" i="11"/>
  <c r="BP208" i="11"/>
  <c r="V7" i="45" l="1"/>
  <c r="W7" i="45" l="1"/>
  <c r="X7" i="45"/>
  <c r="AA7" i="45"/>
  <c r="AD7" i="45" s="1"/>
  <c r="D26" i="48" l="1"/>
  <c r="AE7" i="45"/>
  <c r="AI7" i="45"/>
  <c r="AL7" i="45" s="1"/>
  <c r="AF7" i="45"/>
  <c r="F26" i="48" l="1"/>
  <c r="AN7" i="45"/>
  <c r="AQ7" i="45"/>
  <c r="AT7" i="45" s="1"/>
  <c r="AM7" i="45"/>
  <c r="H26" i="48" l="1"/>
  <c r="AU7" i="45"/>
  <c r="AV7" i="45"/>
  <c r="AY7" i="45"/>
  <c r="BB7" i="45" s="1"/>
  <c r="J26" i="48" l="1"/>
  <c r="BC7" i="45"/>
  <c r="BG7" i="45"/>
  <c r="BJ7" i="45" s="1"/>
  <c r="BD7" i="45"/>
  <c r="L26" i="48" l="1"/>
  <c r="BK7" i="45"/>
  <c r="BL7" i="45"/>
  <c r="BO7" i="45"/>
  <c r="BR7" i="45" s="1"/>
  <c r="N26" i="48" l="1"/>
  <c r="BS7" i="45"/>
  <c r="BU7" i="45"/>
  <c r="BV7" i="45"/>
  <c r="BT7" i="45"/>
  <c r="M125" i="11" l="1"/>
  <c r="M182" i="11"/>
  <c r="M11" i="11"/>
  <c r="L432" i="8" s="1"/>
  <c r="AS11" i="11"/>
  <c r="P26" i="48"/>
  <c r="BW11" i="45"/>
  <c r="BX11" i="45" s="1"/>
  <c r="BY50" i="45"/>
  <c r="BW12" i="45"/>
  <c r="BX12" i="45" s="1"/>
  <c r="BW33" i="45"/>
  <c r="BW24" i="45"/>
  <c r="BX24" i="45" s="1"/>
  <c r="CB24" i="45" s="1"/>
  <c r="O458" i="8"/>
  <c r="L35" i="96" s="1"/>
  <c r="N35" i="96" s="1"/>
  <c r="BW26" i="45"/>
  <c r="BX26" i="45" s="1"/>
  <c r="Q130" i="11"/>
  <c r="BW52" i="45"/>
  <c r="Q208" i="11"/>
  <c r="Q187" i="11"/>
  <c r="Q151" i="11"/>
  <c r="AA151" i="11" s="1"/>
  <c r="AO151" i="11" s="1"/>
  <c r="Q191" i="11"/>
  <c r="CB33" i="45"/>
  <c r="CC33" i="45" s="1"/>
  <c r="Q220" i="11"/>
  <c r="Q16" i="11"/>
  <c r="BW13" i="45"/>
  <c r="BX13" i="45" s="1"/>
  <c r="CB13" i="45" s="1"/>
  <c r="CA50" i="74"/>
  <c r="BW55" i="74"/>
  <c r="BW53" i="74"/>
  <c r="BW54" i="45"/>
  <c r="BX54" i="45" s="1"/>
  <c r="CB54" i="45" s="1"/>
  <c r="CB53" i="74"/>
  <c r="CC53" i="74" s="1"/>
  <c r="BW51" i="74"/>
  <c r="BX51" i="74" s="1"/>
  <c r="Q58" i="73"/>
  <c r="AC58" i="73" s="1"/>
  <c r="Q62" i="73"/>
  <c r="AC62" i="73" s="1"/>
  <c r="Q190" i="11"/>
  <c r="BW49" i="45"/>
  <c r="BX49" i="45" s="1"/>
  <c r="CB49" i="45" s="1"/>
  <c r="Q129" i="11"/>
  <c r="BW12" i="74"/>
  <c r="BX12" i="74" s="1"/>
  <c r="Q188" i="11"/>
  <c r="Q175" i="73"/>
  <c r="AA175" i="73" s="1"/>
  <c r="BY43" i="74"/>
  <c r="BY46" i="74"/>
  <c r="BW29" i="74"/>
  <c r="BX29" i="74" s="1"/>
  <c r="CB29" i="74" s="1"/>
  <c r="BW33" i="74"/>
  <c r="BW37" i="74"/>
  <c r="BX37" i="74" s="1"/>
  <c r="BY37" i="74" s="1"/>
  <c r="BW27" i="74"/>
  <c r="Q55" i="73"/>
  <c r="BW8" i="45"/>
  <c r="BX8" i="45" s="1"/>
  <c r="CB27" i="74"/>
  <c r="CC27" i="74" s="1"/>
  <c r="Q172" i="11"/>
  <c r="BW19" i="74"/>
  <c r="BX19" i="74" s="1"/>
  <c r="CB19" i="74" s="1"/>
  <c r="BW23" i="45"/>
  <c r="BX23" i="45" s="1"/>
  <c r="CB23" i="45" s="1"/>
  <c r="BW29" i="45"/>
  <c r="BX29" i="45" s="1"/>
  <c r="BW34" i="74"/>
  <c r="BX34" i="74" s="1"/>
  <c r="CB34" i="74" s="1"/>
  <c r="BW43" i="74"/>
  <c r="BW50" i="74"/>
  <c r="BW9" i="74"/>
  <c r="BX9" i="74" s="1"/>
  <c r="BW28" i="74"/>
  <c r="BX28" i="74" s="1"/>
  <c r="CA28" i="74" s="1"/>
  <c r="BW46" i="74"/>
  <c r="O448" i="8"/>
  <c r="L25" i="96" s="1"/>
  <c r="N25" i="96" s="1"/>
  <c r="CB55" i="74"/>
  <c r="CC55" i="74" s="1"/>
  <c r="Q56" i="73"/>
  <c r="Q15" i="73"/>
  <c r="BW40" i="74"/>
  <c r="BX40" i="74" s="1"/>
  <c r="CB40" i="74" s="1"/>
  <c r="Q186" i="11"/>
  <c r="Q133" i="11"/>
  <c r="BW44" i="74"/>
  <c r="Q34" i="73"/>
  <c r="BW10" i="74"/>
  <c r="BX10" i="74" s="1"/>
  <c r="CB52" i="45"/>
  <c r="Q40" i="73"/>
  <c r="Q140" i="11"/>
  <c r="AA140" i="11" s="1"/>
  <c r="AO140" i="11" s="1"/>
  <c r="Q170" i="11"/>
  <c r="AA170" i="11" s="1"/>
  <c r="AO170" i="11" s="1"/>
  <c r="Q26" i="11"/>
  <c r="AC26" i="11" s="1"/>
  <c r="Q21" i="11"/>
  <c r="Q21" i="73"/>
  <c r="Q49" i="73"/>
  <c r="Q206" i="73"/>
  <c r="R206" i="73" s="1"/>
  <c r="Q183" i="11"/>
  <c r="Q226" i="73"/>
  <c r="BW56" i="45"/>
  <c r="BX56" i="45" s="1"/>
  <c r="Q48" i="73"/>
  <c r="AC48" i="73" s="1"/>
  <c r="BW31" i="74"/>
  <c r="BW23" i="74"/>
  <c r="BX23" i="74" s="1"/>
  <c r="BZ23" i="74" s="1"/>
  <c r="BW21" i="74"/>
  <c r="BW20" i="74"/>
  <c r="BX20" i="74" s="1"/>
  <c r="Q38" i="73"/>
  <c r="AC38" i="73" s="1"/>
  <c r="Q50" i="73"/>
  <c r="AC50" i="73" s="1"/>
  <c r="Q232" i="73"/>
  <c r="O441" i="8"/>
  <c r="L18" i="96" s="1"/>
  <c r="N18" i="96" s="1"/>
  <c r="Q169" i="11"/>
  <c r="Q135" i="11"/>
  <c r="Q137" i="11"/>
  <c r="AA137" i="11" s="1"/>
  <c r="AO137" i="11" s="1"/>
  <c r="Q196" i="11"/>
  <c r="Q211" i="73"/>
  <c r="Q13" i="73"/>
  <c r="Q226" i="11"/>
  <c r="Q58" i="11"/>
  <c r="Q57" i="11"/>
  <c r="AC57" i="11" s="1"/>
  <c r="Q194" i="11"/>
  <c r="Q168" i="11"/>
  <c r="Q153" i="11"/>
  <c r="AA153" i="11" s="1"/>
  <c r="AO153" i="11" s="1"/>
  <c r="Q53" i="73"/>
  <c r="AC53" i="73" s="1"/>
  <c r="Q202" i="73"/>
  <c r="Q47" i="73"/>
  <c r="AC47" i="73" s="1"/>
  <c r="Q51" i="73"/>
  <c r="AC51" i="73" s="1"/>
  <c r="Q139" i="11"/>
  <c r="AA139" i="11" s="1"/>
  <c r="AO139" i="11" s="1"/>
  <c r="Q229" i="11"/>
  <c r="O456" i="8"/>
  <c r="L33" i="96" s="1"/>
  <c r="N33" i="96" s="1"/>
  <c r="Q24" i="73"/>
  <c r="AC24" i="73" s="1"/>
  <c r="Q43" i="73"/>
  <c r="Q39" i="73"/>
  <c r="Q22" i="73"/>
  <c r="Q35" i="73"/>
  <c r="Q23" i="73"/>
  <c r="Q205" i="73"/>
  <c r="W205" i="73" s="1"/>
  <c r="Q214" i="73"/>
  <c r="Q228" i="73"/>
  <c r="S228" i="73" s="1"/>
  <c r="Q204" i="73"/>
  <c r="Q25" i="11"/>
  <c r="AC25" i="11" s="1"/>
  <c r="Q189" i="73"/>
  <c r="Q199" i="11"/>
  <c r="Q15" i="11"/>
  <c r="Q60" i="11"/>
  <c r="Q171" i="11"/>
  <c r="AA171" i="11" s="1"/>
  <c r="AO171" i="11" s="1"/>
  <c r="Q197" i="11"/>
  <c r="Q55" i="11"/>
  <c r="Q44" i="11"/>
  <c r="AC44" i="11" s="1"/>
  <c r="Q215" i="11"/>
  <c r="Q19" i="11"/>
  <c r="Q56" i="11"/>
  <c r="AC56" i="11" s="1"/>
  <c r="Q227" i="11"/>
  <c r="Q228" i="11"/>
  <c r="Q207" i="11"/>
  <c r="Q222" i="73"/>
  <c r="Q188" i="73"/>
  <c r="Q230" i="73"/>
  <c r="Q233" i="73"/>
  <c r="Q225" i="11"/>
  <c r="Q23" i="11"/>
  <c r="AC23" i="11" s="1"/>
  <c r="Q208" i="73"/>
  <c r="Y208" i="73" s="1"/>
  <c r="Q193" i="73"/>
  <c r="Q198" i="73"/>
  <c r="Q199" i="73"/>
  <c r="Q210" i="73"/>
  <c r="Q184" i="73"/>
  <c r="Q194" i="73"/>
  <c r="Q197" i="73"/>
  <c r="S197" i="73" s="1"/>
  <c r="Q29" i="73"/>
  <c r="Q45" i="73"/>
  <c r="Q60" i="73"/>
  <c r="Q203" i="73"/>
  <c r="Q201" i="73"/>
  <c r="Q210" i="11"/>
  <c r="Q221" i="73"/>
  <c r="Q217" i="73"/>
  <c r="Q213" i="73"/>
  <c r="Q227" i="73"/>
  <c r="Q209" i="73"/>
  <c r="AJ133" i="73" l="1"/>
  <c r="AP19" i="73"/>
  <c r="AJ143" i="73"/>
  <c r="AP29" i="73"/>
  <c r="AL139" i="73"/>
  <c r="AO25" i="73"/>
  <c r="BB196" i="73"/>
  <c r="AL82" i="73"/>
  <c r="BE196" i="73"/>
  <c r="AP82" i="73"/>
  <c r="BD196" i="73"/>
  <c r="AO82" i="73"/>
  <c r="AQ82" i="73"/>
  <c r="AN139" i="73"/>
  <c r="AN25" i="73"/>
  <c r="AL25" i="73"/>
  <c r="BC196" i="73"/>
  <c r="AM139" i="73"/>
  <c r="AN82" i="73"/>
  <c r="AB82" i="73"/>
  <c r="AC82" i="73"/>
  <c r="BE217" i="73"/>
  <c r="AN46" i="73"/>
  <c r="BB217" i="73"/>
  <c r="AN103" i="73"/>
  <c r="AL160" i="73"/>
  <c r="AP103" i="73"/>
  <c r="BD217" i="73"/>
  <c r="AL103" i="73"/>
  <c r="AN160" i="73"/>
  <c r="AL46" i="73"/>
  <c r="BC217" i="73"/>
  <c r="AO103" i="73"/>
  <c r="AM160" i="73"/>
  <c r="AO46" i="73"/>
  <c r="AB103" i="73"/>
  <c r="BD188" i="11"/>
  <c r="AO17" i="11"/>
  <c r="AM131" i="11"/>
  <c r="BB188" i="11"/>
  <c r="AL131" i="11"/>
  <c r="AP17" i="11"/>
  <c r="AJ131" i="11"/>
  <c r="BC188" i="11"/>
  <c r="BE188" i="11"/>
  <c r="AN17" i="11"/>
  <c r="AL17" i="11"/>
  <c r="Q125" i="11"/>
  <c r="S125" i="11" s="1"/>
  <c r="Q9" i="31" s="1"/>
  <c r="K13" i="68"/>
  <c r="Q441" i="8"/>
  <c r="L67" i="60" s="1"/>
  <c r="Q448" i="8"/>
  <c r="L74" i="60" s="1"/>
  <c r="Q458" i="8"/>
  <c r="L84" i="60" s="1"/>
  <c r="Q456" i="8"/>
  <c r="L82" i="60" s="1"/>
  <c r="CC52" i="45"/>
  <c r="BB227" i="11"/>
  <c r="BD227" i="11"/>
  <c r="BF227" i="11"/>
  <c r="BC227" i="11"/>
  <c r="BE227" i="11"/>
  <c r="BO227" i="11"/>
  <c r="BQ227" i="11"/>
  <c r="BT227" i="11"/>
  <c r="BP227" i="11"/>
  <c r="BS227" i="11"/>
  <c r="AJ167" i="11"/>
  <c r="AL167" i="11"/>
  <c r="BB224" i="11"/>
  <c r="AL53" i="11"/>
  <c r="AM167" i="11"/>
  <c r="BC224" i="11"/>
  <c r="BE224" i="11"/>
  <c r="BD224" i="11"/>
  <c r="AN53" i="11"/>
  <c r="AP53" i="11"/>
  <c r="AO53" i="11"/>
  <c r="Q11" i="11"/>
  <c r="AF11" i="11" s="1"/>
  <c r="Z35" i="73"/>
  <c r="AC35" i="73"/>
  <c r="Z39" i="73"/>
  <c r="AC39" i="73"/>
  <c r="S13" i="73"/>
  <c r="U13" i="73" s="1"/>
  <c r="AF56" i="73"/>
  <c r="AM56" i="73" s="1"/>
  <c r="AO154" i="73"/>
  <c r="AQ40" i="73"/>
  <c r="BF211" i="73"/>
  <c r="AF23" i="73"/>
  <c r="AF21" i="73"/>
  <c r="BT199" i="11"/>
  <c r="R133" i="11"/>
  <c r="T133" i="11" s="1"/>
  <c r="R23" i="31" s="1"/>
  <c r="Q196" i="73"/>
  <c r="AA122" i="31" s="1"/>
  <c r="Q187" i="73"/>
  <c r="AO196" i="31" s="1"/>
  <c r="Q224" i="73"/>
  <c r="U224" i="73" s="1"/>
  <c r="AS254" i="31" s="1"/>
  <c r="O460" i="8"/>
  <c r="L37" i="96" s="1"/>
  <c r="N37" i="96" s="1"/>
  <c r="Q195" i="73"/>
  <c r="AA195" i="73" s="1"/>
  <c r="Q220" i="73"/>
  <c r="AO244" i="31" s="1"/>
  <c r="Q198" i="11"/>
  <c r="AJ198" i="11" s="1"/>
  <c r="Q54" i="11"/>
  <c r="T54" i="11" s="1"/>
  <c r="Q207" i="73"/>
  <c r="W207" i="73" s="1"/>
  <c r="AG136" i="31" s="1"/>
  <c r="Q27" i="73"/>
  <c r="S27" i="73" s="1"/>
  <c r="U27" i="73" s="1"/>
  <c r="Q36" i="73"/>
  <c r="AF36" i="73" s="1"/>
  <c r="AM36" i="73" s="1"/>
  <c r="CA21" i="74"/>
  <c r="Q53" i="11"/>
  <c r="Q167" i="11"/>
  <c r="Q231" i="11"/>
  <c r="O270" i="31" s="1"/>
  <c r="CB33" i="74"/>
  <c r="CC33" i="74" s="1"/>
  <c r="CB31" i="74"/>
  <c r="CC31" i="74" s="1"/>
  <c r="Q12" i="11"/>
  <c r="Q37" i="73"/>
  <c r="AC37" i="73" s="1"/>
  <c r="Q147" i="11"/>
  <c r="G7" i="68"/>
  <c r="AX11" i="11"/>
  <c r="AV11" i="11"/>
  <c r="AW11" i="11"/>
  <c r="Q61" i="73"/>
  <c r="AC61" i="73" s="1"/>
  <c r="Q30" i="11"/>
  <c r="Q190" i="73"/>
  <c r="AO200" i="31" s="1"/>
  <c r="Q223" i="73"/>
  <c r="AO252" i="31" s="1"/>
  <c r="Q186" i="73"/>
  <c r="AJ186" i="73" s="1"/>
  <c r="Q18" i="11"/>
  <c r="S18" i="11" s="1"/>
  <c r="U18" i="11" s="1"/>
  <c r="Q224" i="11"/>
  <c r="Q192" i="73"/>
  <c r="AJ192" i="73" s="1"/>
  <c r="Q17" i="11"/>
  <c r="Q36" i="11"/>
  <c r="AB36" i="11" s="1"/>
  <c r="Q59" i="11"/>
  <c r="Q141" i="11"/>
  <c r="Q49" i="11"/>
  <c r="AC49" i="11" s="1"/>
  <c r="Q142" i="11"/>
  <c r="Q163" i="11"/>
  <c r="AA163" i="11" s="1"/>
  <c r="AO163" i="11" s="1"/>
  <c r="Q19" i="73"/>
  <c r="Q25" i="73"/>
  <c r="Q229" i="73"/>
  <c r="R229" i="73" s="1"/>
  <c r="AB173" i="31" s="1"/>
  <c r="AC226" i="11"/>
  <c r="Q200" i="73"/>
  <c r="AA128" i="31" s="1"/>
  <c r="Q192" i="11"/>
  <c r="AC192" i="11" s="1"/>
  <c r="AR192" i="11" s="1"/>
  <c r="AK207" i="31" s="1"/>
  <c r="Q189" i="11"/>
  <c r="O111" i="31" s="1"/>
  <c r="Q230" i="11"/>
  <c r="AJ230" i="11" s="1"/>
  <c r="Q173" i="11"/>
  <c r="AA173" i="11" s="1"/>
  <c r="AO173" i="11" s="1"/>
  <c r="Q33" i="73"/>
  <c r="CA42" i="74"/>
  <c r="Q52" i="73"/>
  <c r="T52" i="73" s="1"/>
  <c r="Q18" i="73"/>
  <c r="Q150" i="11"/>
  <c r="AA150" i="11" s="1"/>
  <c r="AO150" i="11" s="1"/>
  <c r="O454" i="8"/>
  <c r="L31" i="96" s="1"/>
  <c r="N31" i="96" s="1"/>
  <c r="CB12" i="74"/>
  <c r="Q57" i="73"/>
  <c r="AF57" i="73" s="1"/>
  <c r="BY51" i="74"/>
  <c r="Q59" i="73"/>
  <c r="AC59" i="73" s="1"/>
  <c r="Q28" i="11"/>
  <c r="Q182" i="11"/>
  <c r="O189" i="31" s="1"/>
  <c r="Q130" i="73"/>
  <c r="R16" i="73" s="1"/>
  <c r="CB23" i="74"/>
  <c r="Q160" i="73"/>
  <c r="O478" i="8"/>
  <c r="L55" i="96" s="1"/>
  <c r="N55" i="96" s="1"/>
  <c r="O432" i="8"/>
  <c r="BY28" i="74"/>
  <c r="BZ28" i="74"/>
  <c r="BW15" i="45"/>
  <c r="BX15" i="45" s="1"/>
  <c r="BZ15" i="45" s="1"/>
  <c r="BW8" i="74"/>
  <c r="BX8" i="74" s="1"/>
  <c r="CA8" i="74" s="1"/>
  <c r="Q163" i="73"/>
  <c r="Q136" i="73"/>
  <c r="Q142" i="73"/>
  <c r="AA142" i="73" s="1"/>
  <c r="Q150" i="73"/>
  <c r="AA150" i="73" s="1"/>
  <c r="Q129" i="73"/>
  <c r="Q157" i="73"/>
  <c r="Q149" i="73"/>
  <c r="AA149" i="73" s="1"/>
  <c r="Q20" i="11"/>
  <c r="CA46" i="74"/>
  <c r="BZ46" i="74"/>
  <c r="CB28" i="74"/>
  <c r="BW16" i="45"/>
  <c r="BX16" i="45" s="1"/>
  <c r="CB16" i="45" s="1"/>
  <c r="CA24" i="45"/>
  <c r="O444" i="8"/>
  <c r="L21" i="96" s="1"/>
  <c r="N21" i="96" s="1"/>
  <c r="O477" i="8"/>
  <c r="L54" i="96" s="1"/>
  <c r="N54" i="96" s="1"/>
  <c r="O476" i="8"/>
  <c r="L53" i="96" s="1"/>
  <c r="N53" i="96" s="1"/>
  <c r="O436" i="8"/>
  <c r="L13" i="96" s="1"/>
  <c r="N13" i="96" s="1"/>
  <c r="Q218" i="73"/>
  <c r="X218" i="73" s="1"/>
  <c r="AH158" i="31" s="1"/>
  <c r="Q147" i="73"/>
  <c r="AA147" i="73" s="1"/>
  <c r="Q135" i="73"/>
  <c r="Q138" i="73"/>
  <c r="AA138" i="73" s="1"/>
  <c r="Q161" i="73"/>
  <c r="AA161" i="73" s="1"/>
  <c r="Q167" i="73"/>
  <c r="AA167" i="73" s="1"/>
  <c r="Q164" i="73"/>
  <c r="AA164" i="73" s="1"/>
  <c r="Q127" i="73"/>
  <c r="Q156" i="73"/>
  <c r="Q154" i="73"/>
  <c r="O442" i="8"/>
  <c r="L19" i="96" s="1"/>
  <c r="N19" i="96" s="1"/>
  <c r="O447" i="8"/>
  <c r="L24" i="96" s="1"/>
  <c r="N24" i="96" s="1"/>
  <c r="CB37" i="74"/>
  <c r="X43" i="73" s="1"/>
  <c r="BY24" i="45"/>
  <c r="BZ24" i="45"/>
  <c r="AO259" i="31"/>
  <c r="AA169" i="31"/>
  <c r="AJ227" i="73"/>
  <c r="R227" i="73"/>
  <c r="X227" i="73" s="1"/>
  <c r="W227" i="73"/>
  <c r="S227" i="73"/>
  <c r="Y227" i="73" s="1"/>
  <c r="AO220" i="31"/>
  <c r="AA130" i="31"/>
  <c r="W201" i="73"/>
  <c r="S201" i="73"/>
  <c r="Y201" i="73" s="1"/>
  <c r="R201" i="73"/>
  <c r="AJ209" i="73"/>
  <c r="Z209" i="73"/>
  <c r="W209" i="73"/>
  <c r="AA209" i="73"/>
  <c r="AM209" i="73" s="1"/>
  <c r="S209" i="73"/>
  <c r="Y209" i="73"/>
  <c r="X209" i="73"/>
  <c r="U209" i="73"/>
  <c r="R209" i="73"/>
  <c r="AO234" i="31"/>
  <c r="AA144" i="31"/>
  <c r="U213" i="73"/>
  <c r="AA213" i="73" s="1"/>
  <c r="S213" i="73"/>
  <c r="Y213" i="73" s="1"/>
  <c r="R213" i="73"/>
  <c r="X213" i="73" s="1"/>
  <c r="W213" i="73"/>
  <c r="AO242" i="31"/>
  <c r="AA152" i="31"/>
  <c r="AJ217" i="73"/>
  <c r="U217" i="73"/>
  <c r="AA217" i="73" s="1"/>
  <c r="W217" i="73"/>
  <c r="R217" i="73"/>
  <c r="X217" i="73" s="1"/>
  <c r="S217" i="73"/>
  <c r="Y217" i="73" s="1"/>
  <c r="X210" i="11"/>
  <c r="U210" i="11"/>
  <c r="Z210" i="11"/>
  <c r="R210" i="11"/>
  <c r="Y210" i="11"/>
  <c r="AJ210" i="11"/>
  <c r="W210" i="11"/>
  <c r="S210" i="11"/>
  <c r="AA210" i="11"/>
  <c r="AM210" i="11" s="1"/>
  <c r="AC210" i="11"/>
  <c r="AT210" i="11" s="1"/>
  <c r="AA132" i="31"/>
  <c r="AO222" i="31"/>
  <c r="AJ203" i="73"/>
  <c r="W203" i="73"/>
  <c r="R203" i="73"/>
  <c r="S203" i="73"/>
  <c r="U203" i="73" s="1"/>
  <c r="AA203" i="73" s="1"/>
  <c r="T45" i="73"/>
  <c r="V45" i="73" s="1"/>
  <c r="S45" i="73"/>
  <c r="U45" i="73" s="1"/>
  <c r="AF45" i="73"/>
  <c r="T29" i="73"/>
  <c r="V29" i="73" s="1"/>
  <c r="AF29" i="73"/>
  <c r="AM29" i="73" s="1"/>
  <c r="S29" i="73"/>
  <c r="U29" i="73" s="1"/>
  <c r="AA140" i="31"/>
  <c r="AO230" i="31"/>
  <c r="AJ210" i="73"/>
  <c r="AA210" i="73"/>
  <c r="W210" i="73"/>
  <c r="R210" i="73"/>
  <c r="S210" i="73"/>
  <c r="U210" i="73" s="1"/>
  <c r="Y210" i="73"/>
  <c r="Z210" i="73"/>
  <c r="X210" i="73"/>
  <c r="AA116" i="31"/>
  <c r="AJ193" i="73"/>
  <c r="AO206" i="31"/>
  <c r="S193" i="73"/>
  <c r="U193" i="73" s="1"/>
  <c r="AA193" i="73" s="1"/>
  <c r="W193" i="73"/>
  <c r="R193" i="73"/>
  <c r="X193" i="73" s="1"/>
  <c r="O258" i="31"/>
  <c r="AJ225" i="11"/>
  <c r="O168" i="31"/>
  <c r="R225" i="11"/>
  <c r="X225" i="11" s="1"/>
  <c r="W225" i="11"/>
  <c r="S225" i="11"/>
  <c r="AC225" i="11"/>
  <c r="AT225" i="11" s="1"/>
  <c r="U225" i="11"/>
  <c r="AA175" i="31"/>
  <c r="AA230" i="73"/>
  <c r="AO265" i="31"/>
  <c r="AJ230" i="73"/>
  <c r="Z230" i="73"/>
  <c r="Y230" i="73"/>
  <c r="T230" i="73"/>
  <c r="W230" i="73"/>
  <c r="U230" i="73"/>
  <c r="X230" i="73"/>
  <c r="R230" i="73"/>
  <c r="S230" i="73"/>
  <c r="AJ222" i="73"/>
  <c r="AA156" i="31"/>
  <c r="AA222" i="73"/>
  <c r="AO246" i="31"/>
  <c r="Z222" i="73"/>
  <c r="R222" i="73"/>
  <c r="X222" i="73"/>
  <c r="W222" i="73"/>
  <c r="Y222" i="73"/>
  <c r="S222" i="73"/>
  <c r="U222" i="73" s="1"/>
  <c r="O172" i="31"/>
  <c r="O262" i="31"/>
  <c r="R227" i="11"/>
  <c r="X227" i="11" s="1"/>
  <c r="W227" i="11"/>
  <c r="S227" i="11"/>
  <c r="Y227" i="11" s="1"/>
  <c r="AC227" i="11"/>
  <c r="Z56" i="11"/>
  <c r="T56" i="11"/>
  <c r="V56" i="11" s="1"/>
  <c r="X56" i="11"/>
  <c r="AA56" i="11"/>
  <c r="AB56" i="11"/>
  <c r="AF56" i="11"/>
  <c r="AM56" i="11" s="1"/>
  <c r="S56" i="11"/>
  <c r="U56" i="11" s="1"/>
  <c r="AA44" i="11"/>
  <c r="AB44" i="11"/>
  <c r="Z44" i="11"/>
  <c r="T44" i="11"/>
  <c r="V44" i="11" s="1"/>
  <c r="X44" i="11"/>
  <c r="AF44" i="11"/>
  <c r="AM44" i="11" s="1"/>
  <c r="S44" i="11"/>
  <c r="U44" i="11" s="1"/>
  <c r="AJ197" i="11"/>
  <c r="O125" i="31"/>
  <c r="O215" i="31"/>
  <c r="R197" i="11"/>
  <c r="W197" i="11"/>
  <c r="AA197" i="11"/>
  <c r="AM197" i="11" s="1"/>
  <c r="Z197" i="11"/>
  <c r="X197" i="11"/>
  <c r="S197" i="11"/>
  <c r="Y197" i="11"/>
  <c r="AC197" i="11"/>
  <c r="AT197" i="11" s="1"/>
  <c r="U204" i="73"/>
  <c r="Z204" i="73"/>
  <c r="AJ204" i="73"/>
  <c r="X204" i="73"/>
  <c r="W204" i="73"/>
  <c r="Y204" i="73"/>
  <c r="AA204" i="73"/>
  <c r="AM204" i="73" s="1"/>
  <c r="S204" i="73"/>
  <c r="R204" i="73"/>
  <c r="AG134" i="31"/>
  <c r="AU224" i="31"/>
  <c r="O176" i="31"/>
  <c r="O266" i="31"/>
  <c r="AJ229" i="11"/>
  <c r="R229" i="11"/>
  <c r="X229" i="11" s="1"/>
  <c r="U229" i="11"/>
  <c r="AA229" i="11" s="1"/>
  <c r="W229" i="11"/>
  <c r="AC229" i="11"/>
  <c r="AT229" i="11" s="1"/>
  <c r="S229" i="11"/>
  <c r="Y229" i="11" s="1"/>
  <c r="X51" i="73"/>
  <c r="AA51" i="73"/>
  <c r="Z51" i="73"/>
  <c r="S51" i="73"/>
  <c r="U51" i="73" s="1"/>
  <c r="AF51" i="73"/>
  <c r="AM51" i="73" s="1"/>
  <c r="T51" i="73"/>
  <c r="V51" i="73" s="1"/>
  <c r="AB51" i="73"/>
  <c r="Z47" i="73"/>
  <c r="T47" i="73"/>
  <c r="AA47" i="73"/>
  <c r="S47" i="73"/>
  <c r="U47" i="73" s="1"/>
  <c r="AF47" i="73"/>
  <c r="AM47" i="73" s="1"/>
  <c r="AB47" i="73"/>
  <c r="X47" i="73"/>
  <c r="V47" i="73"/>
  <c r="X53" i="73"/>
  <c r="V53" i="73"/>
  <c r="Z53" i="73"/>
  <c r="S53" i="73"/>
  <c r="U53" i="73" s="1"/>
  <c r="AF53" i="73"/>
  <c r="AM53" i="73" s="1"/>
  <c r="T53" i="73"/>
  <c r="AA53" i="73"/>
  <c r="AB53" i="73"/>
  <c r="U153" i="11"/>
  <c r="W153" i="11"/>
  <c r="AK210" i="11"/>
  <c r="X153" i="11"/>
  <c r="S153" i="11"/>
  <c r="Y153" i="11"/>
  <c r="AD153" i="11"/>
  <c r="AK153" i="11" s="1"/>
  <c r="R153" i="11"/>
  <c r="T153" i="11" s="1"/>
  <c r="Z153" i="11"/>
  <c r="AN153" i="11" s="1"/>
  <c r="R39" i="11"/>
  <c r="Y39" i="11" s="1"/>
  <c r="O78" i="31"/>
  <c r="R54" i="11"/>
  <c r="Y54" i="11" s="1"/>
  <c r="S168" i="11"/>
  <c r="Q78" i="31" s="1"/>
  <c r="AD168" i="11"/>
  <c r="AK168" i="11" s="1"/>
  <c r="R168" i="11"/>
  <c r="U168" i="11"/>
  <c r="S78" i="31" s="1"/>
  <c r="X58" i="11"/>
  <c r="V58" i="11"/>
  <c r="T58" i="11"/>
  <c r="AA58" i="11" s="1"/>
  <c r="AF58" i="11"/>
  <c r="AM58" i="11" s="1"/>
  <c r="S58" i="11"/>
  <c r="U58" i="11" s="1"/>
  <c r="AB58" i="11" s="1"/>
  <c r="AA196" i="11"/>
  <c r="AM196" i="11" s="1"/>
  <c r="U196" i="11"/>
  <c r="X196" i="11"/>
  <c r="Y196" i="11"/>
  <c r="W196" i="11"/>
  <c r="Z196" i="11"/>
  <c r="S196" i="11"/>
  <c r="AJ196" i="11"/>
  <c r="AC196" i="11"/>
  <c r="AT196" i="11" s="1"/>
  <c r="R196" i="11"/>
  <c r="O80" i="31"/>
  <c r="AD169" i="11"/>
  <c r="R55" i="11"/>
  <c r="Y55" i="11" s="1"/>
  <c r="R112" i="11"/>
  <c r="Y112" i="11" s="1"/>
  <c r="S169" i="11"/>
  <c r="Q80" i="31" s="1"/>
  <c r="R169" i="11"/>
  <c r="T50" i="73"/>
  <c r="V50" i="73"/>
  <c r="Z50" i="73"/>
  <c r="AF50" i="73"/>
  <c r="AM50" i="73" s="1"/>
  <c r="S50" i="73"/>
  <c r="U50" i="73" s="1"/>
  <c r="AA50" i="73"/>
  <c r="AB50" i="73"/>
  <c r="X50" i="73"/>
  <c r="BY17" i="74"/>
  <c r="BZ17" i="74"/>
  <c r="CB17" i="74"/>
  <c r="CA17" i="74"/>
  <c r="T48" i="73"/>
  <c r="AA48" i="73"/>
  <c r="AB48" i="73"/>
  <c r="S48" i="73"/>
  <c r="U48" i="73" s="1"/>
  <c r="AF48" i="73"/>
  <c r="AM48" i="73" s="1"/>
  <c r="X48" i="73"/>
  <c r="V48" i="73"/>
  <c r="Z48" i="73"/>
  <c r="T21" i="11"/>
  <c r="V21" i="11" s="1"/>
  <c r="AF21" i="11"/>
  <c r="S21" i="11"/>
  <c r="U21" i="11" s="1"/>
  <c r="V40" i="73"/>
  <c r="AC40" i="73" s="1"/>
  <c r="X40" i="73"/>
  <c r="T40" i="73"/>
  <c r="AA40" i="73" s="1"/>
  <c r="S40" i="73"/>
  <c r="U40" i="73" s="1"/>
  <c r="AB40" i="73" s="1"/>
  <c r="AF40" i="73"/>
  <c r="AF34" i="73"/>
  <c r="T34" i="73"/>
  <c r="V34" i="73" s="1"/>
  <c r="S34" i="73"/>
  <c r="U34" i="73" s="1"/>
  <c r="O197" i="31"/>
  <c r="AJ186" i="11"/>
  <c r="O107" i="31"/>
  <c r="R186" i="11"/>
  <c r="X186" i="11" s="1"/>
  <c r="S186" i="11"/>
  <c r="Y186" i="11" s="1"/>
  <c r="W186" i="11"/>
  <c r="AC186" i="11"/>
  <c r="AT186" i="11" s="1"/>
  <c r="T15" i="73"/>
  <c r="V15" i="73" s="1"/>
  <c r="S15" i="73"/>
  <c r="U15" i="73" s="1"/>
  <c r="AF15" i="73"/>
  <c r="AK229" i="11"/>
  <c r="O86" i="31"/>
  <c r="AD172" i="11"/>
  <c r="W172" i="11"/>
  <c r="U86" i="31" s="1"/>
  <c r="U172" i="11"/>
  <c r="S86" i="31" s="1"/>
  <c r="R58" i="11"/>
  <c r="Y58" i="11" s="1"/>
  <c r="S172" i="11"/>
  <c r="Q86" i="31" s="1"/>
  <c r="R172" i="11"/>
  <c r="X172" i="11" s="1"/>
  <c r="V86" i="31" s="1"/>
  <c r="R115" i="11"/>
  <c r="Y115" i="11" s="1"/>
  <c r="AM154" i="73"/>
  <c r="BD211" i="73"/>
  <c r="BB211" i="73"/>
  <c r="AL154" i="73"/>
  <c r="BC211" i="73"/>
  <c r="AL40" i="73"/>
  <c r="AN40" i="73"/>
  <c r="BE211" i="73"/>
  <c r="AN154" i="73"/>
  <c r="AO40" i="73"/>
  <c r="AC228" i="11"/>
  <c r="AT228" i="11" s="1"/>
  <c r="BY14" i="74"/>
  <c r="BZ14" i="74"/>
  <c r="CA14" i="74"/>
  <c r="CB14" i="74"/>
  <c r="Q158" i="73"/>
  <c r="AQ214" i="31"/>
  <c r="AC124" i="31"/>
  <c r="AJ194" i="73"/>
  <c r="AO208" i="31"/>
  <c r="AA118" i="31"/>
  <c r="S194" i="73"/>
  <c r="Y194" i="73" s="1"/>
  <c r="R194" i="73"/>
  <c r="X194" i="73" s="1"/>
  <c r="W194" i="73"/>
  <c r="AO216" i="31"/>
  <c r="AJ199" i="73"/>
  <c r="AA199" i="73"/>
  <c r="AM199" i="73" s="1"/>
  <c r="AA126" i="31"/>
  <c r="Z199" i="73"/>
  <c r="W199" i="73"/>
  <c r="S199" i="73"/>
  <c r="R199" i="73"/>
  <c r="X199" i="73"/>
  <c r="U199" i="73"/>
  <c r="Y199" i="73"/>
  <c r="AW228" i="31"/>
  <c r="AI138" i="31"/>
  <c r="AA181" i="31"/>
  <c r="R233" i="73"/>
  <c r="T233" i="73" s="1"/>
  <c r="Z233" i="73" s="1"/>
  <c r="AO271" i="31"/>
  <c r="S233" i="73"/>
  <c r="U233" i="73" s="1"/>
  <c r="AA233" i="73" s="1"/>
  <c r="W233" i="73"/>
  <c r="T19" i="11"/>
  <c r="V19" i="11" s="1"/>
  <c r="S19" i="11"/>
  <c r="U19" i="11" s="1"/>
  <c r="AF19" i="11"/>
  <c r="O84" i="31"/>
  <c r="AK228" i="11"/>
  <c r="S171" i="11"/>
  <c r="Q84" i="31" s="1"/>
  <c r="R171" i="11"/>
  <c r="R57" i="11"/>
  <c r="Y57" i="11" s="1"/>
  <c r="Y171" i="11"/>
  <c r="W84" i="31" s="1"/>
  <c r="R114" i="11"/>
  <c r="Y114" i="11" s="1"/>
  <c r="W171" i="11"/>
  <c r="U84" i="31" s="1"/>
  <c r="Z171" i="11"/>
  <c r="AD171" i="11"/>
  <c r="AK171" i="11" s="1"/>
  <c r="X171" i="11"/>
  <c r="V84" i="31" s="1"/>
  <c r="O129" i="31"/>
  <c r="O219" i="31"/>
  <c r="W199" i="11"/>
  <c r="R199" i="11"/>
  <c r="U199" i="11"/>
  <c r="S199" i="11"/>
  <c r="Y199" i="11" s="1"/>
  <c r="T25" i="11"/>
  <c r="X25" i="11"/>
  <c r="Z25" i="11"/>
  <c r="V25" i="11"/>
  <c r="AB25" i="11"/>
  <c r="AA25" i="11"/>
  <c r="S25" i="11"/>
  <c r="U25" i="11" s="1"/>
  <c r="AF25" i="11"/>
  <c r="AM25" i="11" s="1"/>
  <c r="AC171" i="31"/>
  <c r="AQ261" i="31"/>
  <c r="AO236" i="31"/>
  <c r="AJ214" i="73"/>
  <c r="AA146" i="31"/>
  <c r="W214" i="73"/>
  <c r="R214" i="73"/>
  <c r="X214" i="73" s="1"/>
  <c r="S214" i="73"/>
  <c r="U214" i="73" s="1"/>
  <c r="AA214" i="73" s="1"/>
  <c r="X139" i="11"/>
  <c r="S139" i="11"/>
  <c r="U139" i="11"/>
  <c r="W139" i="11"/>
  <c r="Y139" i="11"/>
  <c r="AK196" i="11"/>
  <c r="R82" i="11"/>
  <c r="Y82" i="11" s="1"/>
  <c r="Z139" i="11"/>
  <c r="AN139" i="11" s="1"/>
  <c r="R25" i="11"/>
  <c r="Y25" i="11" s="1"/>
  <c r="R139" i="11"/>
  <c r="T139" i="11" s="1"/>
  <c r="AD139" i="11"/>
  <c r="AK139" i="11" s="1"/>
  <c r="CA35" i="74"/>
  <c r="BZ35" i="74"/>
  <c r="BY35" i="74"/>
  <c r="CB35" i="74"/>
  <c r="CC35" i="74" s="1"/>
  <c r="X202" i="73"/>
  <c r="Y202" i="73"/>
  <c r="W202" i="73"/>
  <c r="AA202" i="73"/>
  <c r="AM202" i="73" s="1"/>
  <c r="U202" i="73"/>
  <c r="S202" i="73"/>
  <c r="Z202" i="73"/>
  <c r="AJ202" i="73"/>
  <c r="R202" i="73"/>
  <c r="AA142" i="31"/>
  <c r="AO232" i="31"/>
  <c r="AJ211" i="73"/>
  <c r="U211" i="73"/>
  <c r="AA211" i="73" s="1"/>
  <c r="W211" i="73"/>
  <c r="S211" i="73"/>
  <c r="R211" i="73"/>
  <c r="O31" i="31"/>
  <c r="Y137" i="11"/>
  <c r="W31" i="31" s="1"/>
  <c r="R23" i="11"/>
  <c r="Y23" i="11" s="1"/>
  <c r="R80" i="11"/>
  <c r="Y80" i="11" s="1"/>
  <c r="S137" i="11"/>
  <c r="Q31" i="31" s="1"/>
  <c r="W137" i="11"/>
  <c r="U31" i="31" s="1"/>
  <c r="AD137" i="11"/>
  <c r="AK137" i="11" s="1"/>
  <c r="AK194" i="11"/>
  <c r="X137" i="11"/>
  <c r="V31" i="31" s="1"/>
  <c r="Z137" i="11"/>
  <c r="R137" i="11"/>
  <c r="AA179" i="31"/>
  <c r="AO269" i="31"/>
  <c r="T232" i="73"/>
  <c r="AJ232" i="73"/>
  <c r="S232" i="73"/>
  <c r="X232" i="73"/>
  <c r="R232" i="73"/>
  <c r="W232" i="73"/>
  <c r="Z232" i="73"/>
  <c r="AC232" i="73"/>
  <c r="AT232" i="73" s="1"/>
  <c r="U232" i="73"/>
  <c r="Y232" i="73"/>
  <c r="AA232" i="73"/>
  <c r="T38" i="73"/>
  <c r="Z38" i="73"/>
  <c r="X38" i="73"/>
  <c r="AA38" i="73"/>
  <c r="AB38" i="73"/>
  <c r="V38" i="73"/>
  <c r="S38" i="73"/>
  <c r="U38" i="73" s="1"/>
  <c r="AF38" i="73"/>
  <c r="AM38" i="73" s="1"/>
  <c r="CA22" i="74"/>
  <c r="BZ22" i="74"/>
  <c r="BY22" i="74"/>
  <c r="CB22" i="74"/>
  <c r="CC22" i="74" s="1"/>
  <c r="CA18" i="74"/>
  <c r="BZ18" i="74"/>
  <c r="BY18" i="74"/>
  <c r="CB18" i="74"/>
  <c r="CC18" i="74" s="1"/>
  <c r="AO257" i="31"/>
  <c r="AA167" i="31"/>
  <c r="AJ226" i="73"/>
  <c r="U226" i="73"/>
  <c r="AA226" i="73" s="1"/>
  <c r="S226" i="73"/>
  <c r="Y226" i="73" s="1"/>
  <c r="W226" i="73"/>
  <c r="R226" i="73"/>
  <c r="T226" i="73" s="1"/>
  <c r="Z226" i="73" s="1"/>
  <c r="T206" i="73"/>
  <c r="T49" i="73"/>
  <c r="V49" i="73" s="1"/>
  <c r="S49" i="73"/>
  <c r="U49" i="73" s="1"/>
  <c r="AF49" i="73"/>
  <c r="O35" i="31"/>
  <c r="AK197" i="11"/>
  <c r="R26" i="11"/>
  <c r="Y26" i="11" s="1"/>
  <c r="Z140" i="11"/>
  <c r="W140" i="11"/>
  <c r="U35" i="31" s="1"/>
  <c r="Y140" i="11"/>
  <c r="W35" i="31" s="1"/>
  <c r="X140" i="11"/>
  <c r="V35" i="31" s="1"/>
  <c r="R83" i="11"/>
  <c r="Y83" i="11" s="1"/>
  <c r="AD140" i="11"/>
  <c r="AK140" i="11" s="1"/>
  <c r="S140" i="11"/>
  <c r="Q35" i="31" s="1"/>
  <c r="R140" i="11"/>
  <c r="BZ21" i="45"/>
  <c r="CA21" i="45"/>
  <c r="BY21" i="45"/>
  <c r="CB21" i="45"/>
  <c r="CC21" i="45" s="1"/>
  <c r="Q133" i="73"/>
  <c r="AA221" i="73"/>
  <c r="AO250" i="31"/>
  <c r="AJ221" i="73"/>
  <c r="AA160" i="31"/>
  <c r="AM221" i="73"/>
  <c r="AA100" i="31"/>
  <c r="AO190" i="31"/>
  <c r="X23" i="11"/>
  <c r="T23" i="11"/>
  <c r="AA23" i="11"/>
  <c r="Z23" i="11"/>
  <c r="AB23" i="11"/>
  <c r="V23" i="11"/>
  <c r="AF23" i="11"/>
  <c r="AM23" i="11" s="1"/>
  <c r="S23" i="11"/>
  <c r="U23" i="11" s="1"/>
  <c r="T55" i="11"/>
  <c r="V55" i="11" s="1"/>
  <c r="AF55" i="11"/>
  <c r="AM55" i="11" s="1"/>
  <c r="S55" i="11"/>
  <c r="U55" i="11" s="1"/>
  <c r="T15" i="11"/>
  <c r="V15" i="11" s="1"/>
  <c r="AF15" i="11"/>
  <c r="S15" i="11"/>
  <c r="U15" i="11" s="1"/>
  <c r="AB57" i="11"/>
  <c r="AA57" i="11"/>
  <c r="X57" i="11"/>
  <c r="Z57" i="11"/>
  <c r="T57" i="11"/>
  <c r="V57" i="11" s="1"/>
  <c r="S57" i="11"/>
  <c r="U57" i="11" s="1"/>
  <c r="AF57" i="11"/>
  <c r="AM57" i="11" s="1"/>
  <c r="BZ33" i="74"/>
  <c r="BY33" i="74"/>
  <c r="CA33" i="74"/>
  <c r="BY31" i="74"/>
  <c r="CA31" i="74"/>
  <c r="BZ31" i="74"/>
  <c r="CA19" i="74"/>
  <c r="BY19" i="74"/>
  <c r="X26" i="11"/>
  <c r="AB26" i="11"/>
  <c r="T26" i="11"/>
  <c r="AF26" i="11"/>
  <c r="AM26" i="11" s="1"/>
  <c r="AA26" i="11"/>
  <c r="Z26" i="11"/>
  <c r="V26" i="11"/>
  <c r="S26" i="11"/>
  <c r="U26" i="11" s="1"/>
  <c r="BY52" i="45"/>
  <c r="CA52" i="45"/>
  <c r="BZ52" i="45"/>
  <c r="CA12" i="74"/>
  <c r="BY12" i="74"/>
  <c r="BZ29" i="74"/>
  <c r="BY29" i="74"/>
  <c r="CA29" i="74"/>
  <c r="BZ55" i="74"/>
  <c r="BY55" i="74"/>
  <c r="CA55" i="74"/>
  <c r="BZ9" i="74"/>
  <c r="BY9" i="74"/>
  <c r="CA9" i="74"/>
  <c r="Q158" i="11"/>
  <c r="AA158" i="11" s="1"/>
  <c r="AO158" i="11" s="1"/>
  <c r="V55" i="73"/>
  <c r="T55" i="73"/>
  <c r="AF55" i="73"/>
  <c r="S55" i="73"/>
  <c r="U55" i="73" s="1"/>
  <c r="AJ188" i="11"/>
  <c r="S188" i="11"/>
  <c r="U188" i="11" s="1"/>
  <c r="AA188" i="11" s="1"/>
  <c r="W188" i="11"/>
  <c r="R188" i="11"/>
  <c r="X188" i="11" s="1"/>
  <c r="Z62" i="73"/>
  <c r="T62" i="73"/>
  <c r="V62" i="73" s="1"/>
  <c r="X62" i="73"/>
  <c r="AA62" i="73"/>
  <c r="AB62" i="73"/>
  <c r="AF62" i="73"/>
  <c r="AM62" i="73" s="1"/>
  <c r="S62" i="73"/>
  <c r="U62" i="73" s="1"/>
  <c r="CA55" i="45"/>
  <c r="BY55" i="45"/>
  <c r="BZ55" i="45"/>
  <c r="CB55" i="45"/>
  <c r="CC55" i="45" s="1"/>
  <c r="BW24" i="74"/>
  <c r="BX24" i="74" s="1"/>
  <c r="BY24" i="74" s="1"/>
  <c r="BW26" i="74"/>
  <c r="BX26" i="74" s="1"/>
  <c r="BW54" i="74"/>
  <c r="BX54" i="74" s="1"/>
  <c r="CB54" i="74" s="1"/>
  <c r="X60" i="73" s="1"/>
  <c r="BW39" i="74"/>
  <c r="BX39" i="74" s="1"/>
  <c r="CB39" i="74" s="1"/>
  <c r="BD216" i="73" s="1"/>
  <c r="BW14" i="74"/>
  <c r="Q143" i="73"/>
  <c r="BW38" i="74"/>
  <c r="BX38" i="74" s="1"/>
  <c r="CA38" i="74" s="1"/>
  <c r="S184" i="73"/>
  <c r="Y184" i="73" s="1"/>
  <c r="Q39" i="11"/>
  <c r="R198" i="73"/>
  <c r="Q185" i="73"/>
  <c r="AA208" i="73"/>
  <c r="AM208" i="73" s="1"/>
  <c r="O440" i="8"/>
  <c r="L17" i="96" s="1"/>
  <c r="N17" i="96" s="1"/>
  <c r="O465" i="8"/>
  <c r="L42" i="96" s="1"/>
  <c r="N42" i="96" s="1"/>
  <c r="O475" i="8"/>
  <c r="L52" i="96" s="1"/>
  <c r="N52" i="96" s="1"/>
  <c r="O481" i="8"/>
  <c r="L58" i="96" s="1"/>
  <c r="N58" i="96" s="1"/>
  <c r="O446" i="8"/>
  <c r="L23" i="96" s="1"/>
  <c r="N23" i="96" s="1"/>
  <c r="Q231" i="73"/>
  <c r="Y221" i="73"/>
  <c r="X208" i="73"/>
  <c r="W197" i="73"/>
  <c r="Q32" i="73"/>
  <c r="Q41" i="73"/>
  <c r="AC41" i="73" s="1"/>
  <c r="S23" i="73"/>
  <c r="U23" i="73" s="1"/>
  <c r="Q31" i="73"/>
  <c r="AC31" i="73" s="1"/>
  <c r="AF35" i="73"/>
  <c r="AM35" i="73" s="1"/>
  <c r="S35" i="73"/>
  <c r="U35" i="73" s="1"/>
  <c r="AF22" i="73"/>
  <c r="AM22" i="73" s="1"/>
  <c r="S22" i="73"/>
  <c r="U22" i="73" s="1"/>
  <c r="AF39" i="73"/>
  <c r="AM39" i="73" s="1"/>
  <c r="S39" i="73"/>
  <c r="U39" i="73" s="1"/>
  <c r="AF43" i="73"/>
  <c r="S43" i="73"/>
  <c r="U43" i="73" s="1"/>
  <c r="S24" i="73"/>
  <c r="U24" i="73" s="1"/>
  <c r="AF24" i="73"/>
  <c r="AM24" i="73" s="1"/>
  <c r="CB21" i="74"/>
  <c r="CC21" i="74" s="1"/>
  <c r="Q35" i="11"/>
  <c r="AC35" i="11" s="1"/>
  <c r="O474" i="8"/>
  <c r="L51" i="96" s="1"/>
  <c r="N51" i="96" s="1"/>
  <c r="BW45" i="74"/>
  <c r="BW35" i="74"/>
  <c r="BW41" i="74"/>
  <c r="BX41" i="74" s="1"/>
  <c r="BW25" i="74"/>
  <c r="BW47" i="74"/>
  <c r="BW31" i="45"/>
  <c r="BW35" i="45"/>
  <c r="R184" i="73"/>
  <c r="X184" i="73" s="1"/>
  <c r="BW50" i="45"/>
  <c r="Q169" i="73"/>
  <c r="O479" i="8"/>
  <c r="L56" i="96" s="1"/>
  <c r="N56" i="96" s="1"/>
  <c r="Q162" i="73"/>
  <c r="AA162" i="73" s="1"/>
  <c r="Q141" i="73"/>
  <c r="AA141" i="73" s="1"/>
  <c r="W221" i="73"/>
  <c r="W188" i="73"/>
  <c r="Q148" i="73"/>
  <c r="Q152" i="73"/>
  <c r="AA152" i="73" s="1"/>
  <c r="R208" i="73"/>
  <c r="Q137" i="73"/>
  <c r="Q170" i="73"/>
  <c r="R135" i="11"/>
  <c r="W228" i="73"/>
  <c r="O433" i="8"/>
  <c r="L10" i="96" s="1"/>
  <c r="N10" i="96" s="1"/>
  <c r="BW32" i="74"/>
  <c r="Q219" i="73"/>
  <c r="BW22" i="74"/>
  <c r="BW36" i="74"/>
  <c r="BX36" i="74" s="1"/>
  <c r="CA36" i="74" s="1"/>
  <c r="Q151" i="73"/>
  <c r="AA151" i="73" s="1"/>
  <c r="BW18" i="74"/>
  <c r="BW17" i="74"/>
  <c r="BW42" i="74"/>
  <c r="U208" i="73"/>
  <c r="BW7" i="74"/>
  <c r="BX7" i="74" s="1"/>
  <c r="S208" i="73"/>
  <c r="Q44" i="73"/>
  <c r="Q16" i="73"/>
  <c r="BW21" i="45"/>
  <c r="BW11" i="74"/>
  <c r="BX11" i="74" s="1"/>
  <c r="BZ11" i="74" s="1"/>
  <c r="BW16" i="74"/>
  <c r="BX16" i="74" s="1"/>
  <c r="BZ16" i="74" s="1"/>
  <c r="BW15" i="74"/>
  <c r="BX15" i="74" s="1"/>
  <c r="BW30" i="74"/>
  <c r="BX30" i="74" s="1"/>
  <c r="BY30" i="74" s="1"/>
  <c r="BW13" i="74"/>
  <c r="BX13" i="74" s="1"/>
  <c r="CB13" i="74" s="1"/>
  <c r="S205" i="73"/>
  <c r="Y205" i="73" s="1"/>
  <c r="Q46" i="73"/>
  <c r="Z208" i="73"/>
  <c r="S56" i="73"/>
  <c r="U56" i="73" s="1"/>
  <c r="Q27" i="11"/>
  <c r="Q30" i="73"/>
  <c r="R205" i="73"/>
  <c r="X205" i="73" s="1"/>
  <c r="BW32" i="45"/>
  <c r="BW22" i="45"/>
  <c r="BW14" i="45"/>
  <c r="BX14" i="45" s="1"/>
  <c r="BY14" i="45" s="1"/>
  <c r="BW51" i="45"/>
  <c r="BX51" i="45" s="1"/>
  <c r="CB51" i="45" s="1"/>
  <c r="BW53" i="45"/>
  <c r="Q28" i="73"/>
  <c r="AC28" i="73" s="1"/>
  <c r="Q42" i="73"/>
  <c r="Z221" i="73"/>
  <c r="CB46" i="74"/>
  <c r="CB43" i="74"/>
  <c r="CA43" i="74"/>
  <c r="BZ43" i="74"/>
  <c r="CA23" i="74"/>
  <c r="BY34" i="74"/>
  <c r="BZ34" i="74"/>
  <c r="CA34" i="74"/>
  <c r="Q132" i="11"/>
  <c r="X35" i="73"/>
  <c r="V35" i="73"/>
  <c r="AA39" i="73"/>
  <c r="AB39" i="73"/>
  <c r="X24" i="73"/>
  <c r="AB24" i="73"/>
  <c r="AA24" i="73"/>
  <c r="Z24" i="73"/>
  <c r="BZ21" i="74"/>
  <c r="BZ37" i="74"/>
  <c r="AF60" i="73"/>
  <c r="S60" i="73"/>
  <c r="U60" i="73" s="1"/>
  <c r="T60" i="73"/>
  <c r="V60" i="73"/>
  <c r="AA124" i="31"/>
  <c r="AO214" i="31"/>
  <c r="AA198" i="73"/>
  <c r="AM198" i="73" s="1"/>
  <c r="Z198" i="73"/>
  <c r="S198" i="73"/>
  <c r="U198" i="73"/>
  <c r="X198" i="73"/>
  <c r="AJ198" i="73"/>
  <c r="Y198" i="73"/>
  <c r="W198" i="73"/>
  <c r="AA138" i="31"/>
  <c r="AJ208" i="73"/>
  <c r="AO228" i="31"/>
  <c r="AA108" i="31"/>
  <c r="AJ188" i="73"/>
  <c r="AO198" i="31"/>
  <c r="AA207" i="11"/>
  <c r="X207" i="11"/>
  <c r="Z207" i="11"/>
  <c r="S207" i="11"/>
  <c r="U207" i="11" s="1"/>
  <c r="Y207" i="11"/>
  <c r="W207" i="11"/>
  <c r="AJ207" i="11"/>
  <c r="R207" i="11"/>
  <c r="AJ228" i="11"/>
  <c r="W228" i="11"/>
  <c r="O174" i="31"/>
  <c r="O264" i="31"/>
  <c r="AA228" i="11"/>
  <c r="AM228" i="11" s="1"/>
  <c r="R228" i="11"/>
  <c r="Y228" i="11"/>
  <c r="Z228" i="11"/>
  <c r="X228" i="11"/>
  <c r="S228" i="11"/>
  <c r="U228" i="11" s="1"/>
  <c r="O241" i="31"/>
  <c r="AJ215" i="11"/>
  <c r="O151" i="31"/>
  <c r="Y215" i="11"/>
  <c r="X215" i="11"/>
  <c r="AA215" i="11"/>
  <c r="Z215" i="11"/>
  <c r="R215" i="11"/>
  <c r="T60" i="11"/>
  <c r="V60" i="11" s="1"/>
  <c r="S60" i="11"/>
  <c r="U60" i="11" s="1"/>
  <c r="AF60" i="11"/>
  <c r="AM60" i="11" s="1"/>
  <c r="W189" i="73"/>
  <c r="S189" i="73"/>
  <c r="U189" i="73" s="1"/>
  <c r="AA189" i="73" s="1"/>
  <c r="AJ228" i="73"/>
  <c r="AA171" i="31"/>
  <c r="AO261" i="31"/>
  <c r="U228" i="73"/>
  <c r="R228" i="73"/>
  <c r="T228" i="73" s="1"/>
  <c r="Y228" i="73"/>
  <c r="Z228" i="73"/>
  <c r="AO224" i="31"/>
  <c r="AA134" i="31"/>
  <c r="T23" i="73"/>
  <c r="V23" i="73" s="1"/>
  <c r="BY31" i="45"/>
  <c r="BZ31" i="45"/>
  <c r="CA31" i="45"/>
  <c r="CB31" i="45"/>
  <c r="CC31" i="45" s="1"/>
  <c r="O121" i="31"/>
  <c r="W194" i="11"/>
  <c r="O211" i="31"/>
  <c r="S194" i="11"/>
  <c r="U194" i="11" s="1"/>
  <c r="AA194" i="11" s="1"/>
  <c r="R194" i="11"/>
  <c r="X194" i="11" s="1"/>
  <c r="O170" i="31"/>
  <c r="AJ226" i="11"/>
  <c r="O260" i="31"/>
  <c r="W226" i="11"/>
  <c r="R226" i="11"/>
  <c r="X226" i="11" s="1"/>
  <c r="S226" i="11"/>
  <c r="Y226" i="11" s="1"/>
  <c r="AF13" i="73"/>
  <c r="T13" i="73"/>
  <c r="V13" i="73" s="1"/>
  <c r="S135" i="11"/>
  <c r="Q27" i="31" s="1"/>
  <c r="R78" i="11"/>
  <c r="Y78" i="11" s="1"/>
  <c r="O27" i="31"/>
  <c r="R21" i="11"/>
  <c r="Y21" i="11" s="1"/>
  <c r="U135" i="11"/>
  <c r="S27" i="31" s="1"/>
  <c r="AD135" i="11"/>
  <c r="Q174" i="11"/>
  <c r="O101" i="31"/>
  <c r="O191" i="31"/>
  <c r="W183" i="11"/>
  <c r="S183" i="11"/>
  <c r="U183" i="11" s="1"/>
  <c r="R183" i="11"/>
  <c r="X183" i="11" s="1"/>
  <c r="Y206" i="73"/>
  <c r="X206" i="73"/>
  <c r="S206" i="73"/>
  <c r="W206" i="73"/>
  <c r="AA206" i="73"/>
  <c r="AM206" i="73" s="1"/>
  <c r="U206" i="73"/>
  <c r="AJ206" i="73"/>
  <c r="Z206" i="73"/>
  <c r="T21" i="73"/>
  <c r="V21" i="73" s="1"/>
  <c r="O82" i="31"/>
  <c r="AK227" i="11"/>
  <c r="R170" i="11"/>
  <c r="W170" i="11"/>
  <c r="U82" i="31" s="1"/>
  <c r="Z170" i="11"/>
  <c r="S170" i="11"/>
  <c r="Q82" i="31" s="1"/>
  <c r="CA40" i="74"/>
  <c r="BY40" i="74"/>
  <c r="AQ103" i="73" s="1"/>
  <c r="BZ40" i="74"/>
  <c r="O23" i="31"/>
  <c r="S133" i="11"/>
  <c r="Q23" i="31" s="1"/>
  <c r="R76" i="11"/>
  <c r="Y76" i="11" s="1"/>
  <c r="U133" i="11"/>
  <c r="S23" i="31" s="1"/>
  <c r="R19" i="11"/>
  <c r="Y19" i="11" s="1"/>
  <c r="T56" i="73"/>
  <c r="V56" i="73" s="1"/>
  <c r="CA32" i="45"/>
  <c r="BY32" i="45"/>
  <c r="BZ32" i="45"/>
  <c r="CB32" i="45"/>
  <c r="CC32" i="45" s="1"/>
  <c r="CA22" i="45"/>
  <c r="BY22" i="45"/>
  <c r="BZ22" i="45"/>
  <c r="CB22" i="45"/>
  <c r="CC22" i="45" s="1"/>
  <c r="Q204" i="11"/>
  <c r="BY53" i="45"/>
  <c r="CA53" i="45"/>
  <c r="BZ53" i="45"/>
  <c r="CB53" i="45"/>
  <c r="CC53" i="45" s="1"/>
  <c r="BZ27" i="74"/>
  <c r="BY27" i="74"/>
  <c r="CA27" i="74"/>
  <c r="Q126" i="11"/>
  <c r="BY13" i="45"/>
  <c r="BZ13" i="45"/>
  <c r="CA13" i="45"/>
  <c r="AK232" i="73"/>
  <c r="AA89" i="31"/>
  <c r="U175" i="73"/>
  <c r="AE89" i="31" s="1"/>
  <c r="AD175" i="73"/>
  <c r="AK175" i="73" s="1"/>
  <c r="X175" i="73"/>
  <c r="AH89" i="31" s="1"/>
  <c r="Z175" i="73"/>
  <c r="AJ89" i="31" s="1"/>
  <c r="Y175" i="73"/>
  <c r="AI89" i="31" s="1"/>
  <c r="R61" i="73"/>
  <c r="Y61" i="73" s="1"/>
  <c r="W175" i="73"/>
  <c r="R175" i="73"/>
  <c r="AB89" i="31" s="1"/>
  <c r="T175" i="73"/>
  <c r="AD89" i="31" s="1"/>
  <c r="S175" i="73"/>
  <c r="AC89" i="31" s="1"/>
  <c r="AK89" i="31"/>
  <c r="AJ190" i="11"/>
  <c r="O203" i="31"/>
  <c r="O113" i="31"/>
  <c r="W190" i="11"/>
  <c r="R190" i="11"/>
  <c r="X190" i="11" s="1"/>
  <c r="S190" i="11"/>
  <c r="Y190" i="11" s="1"/>
  <c r="AC190" i="11"/>
  <c r="AT190" i="11" s="1"/>
  <c r="T58" i="73"/>
  <c r="V58" i="73" s="1"/>
  <c r="X58" i="73"/>
  <c r="AA58" i="73"/>
  <c r="Z58" i="73"/>
  <c r="AB58" i="73"/>
  <c r="AF58" i="73"/>
  <c r="AM58" i="73" s="1"/>
  <c r="S58" i="73"/>
  <c r="U58" i="73" s="1"/>
  <c r="Q216" i="73"/>
  <c r="Q191" i="73"/>
  <c r="U197" i="73"/>
  <c r="Q215" i="73"/>
  <c r="S215" i="11"/>
  <c r="U221" i="73"/>
  <c r="Y197" i="73"/>
  <c r="R189" i="73"/>
  <c r="X189" i="73" s="1"/>
  <c r="S221" i="73"/>
  <c r="Q212" i="73"/>
  <c r="Q149" i="11"/>
  <c r="AA149" i="11" s="1"/>
  <c r="AO149" i="11" s="1"/>
  <c r="Q20" i="73"/>
  <c r="Q14" i="73"/>
  <c r="Q206" i="11"/>
  <c r="S188" i="73"/>
  <c r="Y188" i="73" s="1"/>
  <c r="X170" i="11"/>
  <c r="V82" i="31" s="1"/>
  <c r="R113" i="11"/>
  <c r="Y113" i="11" s="1"/>
  <c r="Y170" i="11"/>
  <c r="W82" i="31" s="1"/>
  <c r="AD170" i="11"/>
  <c r="AK170" i="11" s="1"/>
  <c r="R56" i="11"/>
  <c r="Y56" i="11" s="1"/>
  <c r="Q26" i="73"/>
  <c r="Q17" i="73"/>
  <c r="AA228" i="73"/>
  <c r="X221" i="73"/>
  <c r="R221" i="73"/>
  <c r="W184" i="73"/>
  <c r="AD133" i="11"/>
  <c r="W215" i="11"/>
  <c r="CB9" i="74"/>
  <c r="R188" i="73"/>
  <c r="X188" i="73" s="1"/>
  <c r="R197" i="73"/>
  <c r="S21" i="73"/>
  <c r="U21" i="73" s="1"/>
  <c r="BW40" i="45"/>
  <c r="BX40" i="45" s="1"/>
  <c r="BW49" i="74"/>
  <c r="BX49" i="74" s="1"/>
  <c r="CA49" i="74" s="1"/>
  <c r="BY23" i="74"/>
  <c r="W208" i="73"/>
  <c r="AC194" i="11"/>
  <c r="T35" i="73"/>
  <c r="AB35" i="73"/>
  <c r="AA35" i="73"/>
  <c r="T22" i="73"/>
  <c r="V22" i="73" s="1"/>
  <c r="T39" i="73"/>
  <c r="V39" i="73" s="1"/>
  <c r="X39" i="73"/>
  <c r="T43" i="73"/>
  <c r="V43" i="73" s="1"/>
  <c r="V24" i="73"/>
  <c r="T24" i="73"/>
  <c r="BY21" i="74"/>
  <c r="CA37" i="74"/>
  <c r="BZ19" i="74"/>
  <c r="O17" i="31"/>
  <c r="R129" i="11"/>
  <c r="BY11" i="45"/>
  <c r="BZ11" i="45"/>
  <c r="CA11" i="45"/>
  <c r="T16" i="11"/>
  <c r="V16" i="11" s="1"/>
  <c r="S16" i="11"/>
  <c r="U16" i="11" s="1"/>
  <c r="AF16" i="11"/>
  <c r="AK208" i="11"/>
  <c r="S151" i="11"/>
  <c r="Q49" i="31" s="1"/>
  <c r="O49" i="31"/>
  <c r="Y49" i="31"/>
  <c r="R151" i="11"/>
  <c r="Z151" i="11"/>
  <c r="X151" i="11"/>
  <c r="V49" i="31" s="1"/>
  <c r="R37" i="11"/>
  <c r="Y37" i="11" s="1"/>
  <c r="AD151" i="11"/>
  <c r="AK151" i="11" s="1"/>
  <c r="W151" i="11"/>
  <c r="U49" i="31" s="1"/>
  <c r="Y151" i="11"/>
  <c r="W49" i="31" s="1"/>
  <c r="AJ208" i="11"/>
  <c r="O139" i="31"/>
  <c r="O229" i="31"/>
  <c r="X208" i="11"/>
  <c r="Y208" i="11"/>
  <c r="S208" i="11"/>
  <c r="U208" i="11" s="1"/>
  <c r="W208" i="11"/>
  <c r="AA208" i="11"/>
  <c r="Z208" i="11"/>
  <c r="R208" i="11"/>
  <c r="AC208" i="11"/>
  <c r="AT208" i="11" s="1"/>
  <c r="AP55" i="73"/>
  <c r="AJ169" i="73"/>
  <c r="AM172" i="11"/>
  <c r="BC229" i="11"/>
  <c r="BE229" i="11"/>
  <c r="BB229" i="11"/>
  <c r="AL58" i="11"/>
  <c r="AP58" i="11"/>
  <c r="AN58" i="11"/>
  <c r="BD229" i="11"/>
  <c r="AO58" i="11"/>
  <c r="AP60" i="73"/>
  <c r="AJ174" i="73"/>
  <c r="AL172" i="11"/>
  <c r="AJ172" i="11"/>
  <c r="BY50" i="74"/>
  <c r="BZ50" i="74"/>
  <c r="CB50" i="74"/>
  <c r="CA53" i="74"/>
  <c r="BY53" i="74"/>
  <c r="BZ53" i="74"/>
  <c r="BY23" i="45"/>
  <c r="CA23" i="45"/>
  <c r="BZ23" i="45"/>
  <c r="AJ220" i="11"/>
  <c r="AA220" i="11"/>
  <c r="O245" i="31"/>
  <c r="O155" i="31"/>
  <c r="Z220" i="11"/>
  <c r="S220" i="11"/>
  <c r="Y220" i="11"/>
  <c r="R220" i="11"/>
  <c r="X220" i="11"/>
  <c r="W220" i="11"/>
  <c r="O205" i="31"/>
  <c r="AJ191" i="11"/>
  <c r="O115" i="31"/>
  <c r="R191" i="11"/>
  <c r="Z191" i="11"/>
  <c r="Y191" i="11"/>
  <c r="W191" i="11"/>
  <c r="AA191" i="11"/>
  <c r="S191" i="11"/>
  <c r="X191" i="11"/>
  <c r="O109" i="31"/>
  <c r="O199" i="31"/>
  <c r="S187" i="11"/>
  <c r="U187" i="11" s="1"/>
  <c r="AA187" i="11" s="1"/>
  <c r="R187" i="11"/>
  <c r="X187" i="11" s="1"/>
  <c r="AJ187" i="11"/>
  <c r="AC187" i="11"/>
  <c r="AT187" i="11" s="1"/>
  <c r="W187" i="11"/>
  <c r="BZ45" i="45"/>
  <c r="BY45" i="45"/>
  <c r="CA45" i="45"/>
  <c r="CB45" i="45"/>
  <c r="CC45" i="45" s="1"/>
  <c r="R15" i="11"/>
  <c r="Y15" i="11" s="1"/>
  <c r="S129" i="11"/>
  <c r="Q17" i="31" s="1"/>
  <c r="AD129" i="11"/>
  <c r="R72" i="11"/>
  <c r="Y72" i="11" s="1"/>
  <c r="CB11" i="45"/>
  <c r="BW56" i="74"/>
  <c r="BX56" i="74" s="1"/>
  <c r="BW52" i="74"/>
  <c r="BW17" i="45"/>
  <c r="BX17" i="45" s="1"/>
  <c r="BZ17" i="45" s="1"/>
  <c r="BW19" i="45"/>
  <c r="BX19" i="45" s="1"/>
  <c r="CA19" i="45" s="1"/>
  <c r="BW55" i="45"/>
  <c r="CA33" i="45"/>
  <c r="BZ33" i="45"/>
  <c r="BY33" i="45"/>
  <c r="BZ12" i="45"/>
  <c r="CA12" i="45"/>
  <c r="BY12" i="45"/>
  <c r="AJ144" i="73"/>
  <c r="AN28" i="11"/>
  <c r="AM142" i="11"/>
  <c r="BE199" i="11"/>
  <c r="AP28" i="11"/>
  <c r="AP30" i="73"/>
  <c r="BB199" i="11"/>
  <c r="AO28" i="11"/>
  <c r="AL142" i="11"/>
  <c r="BD199" i="11"/>
  <c r="BO199" i="11"/>
  <c r="AL28" i="11"/>
  <c r="BQ199" i="11"/>
  <c r="AJ142" i="11"/>
  <c r="BP199" i="11"/>
  <c r="BC199" i="11"/>
  <c r="BS199" i="11"/>
  <c r="O437" i="8"/>
  <c r="L14" i="96" s="1"/>
  <c r="N14" i="96" s="1"/>
  <c r="Q37" i="11"/>
  <c r="BW45" i="45"/>
  <c r="Q134" i="11"/>
  <c r="AA134" i="11" s="1"/>
  <c r="AO134" i="11" s="1"/>
  <c r="BY49" i="45"/>
  <c r="BZ49" i="45"/>
  <c r="CA49" i="45"/>
  <c r="BZ50" i="45"/>
  <c r="CB50" i="45"/>
  <c r="CA50" i="45"/>
  <c r="BY54" i="45"/>
  <c r="BZ54" i="45"/>
  <c r="CA54" i="45"/>
  <c r="S130" i="11"/>
  <c r="Q19" i="31" s="1"/>
  <c r="O19" i="31"/>
  <c r="R73" i="11"/>
  <c r="Y73" i="11" s="1"/>
  <c r="R130" i="11"/>
  <c r="Q144" i="11"/>
  <c r="Y130" i="11"/>
  <c r="W19" i="31" s="1"/>
  <c r="R16" i="11"/>
  <c r="Y16" i="11" s="1"/>
  <c r="AD130" i="11"/>
  <c r="Q201" i="11"/>
  <c r="CB12" i="45"/>
  <c r="BW7" i="45"/>
  <c r="BX7" i="45" s="1"/>
  <c r="AN60" i="73" l="1"/>
  <c r="Z43" i="73"/>
  <c r="AB43" i="73"/>
  <c r="AA15" i="73"/>
  <c r="X36" i="73"/>
  <c r="X233" i="73"/>
  <c r="AH181" i="31" s="1"/>
  <c r="Y233" i="73"/>
  <c r="AI181" i="31" s="1"/>
  <c r="AJ136" i="73"/>
  <c r="AP22" i="73"/>
  <c r="AA43" i="73"/>
  <c r="Y193" i="73"/>
  <c r="AI116" i="31" s="1"/>
  <c r="X29" i="73"/>
  <c r="BO200" i="73"/>
  <c r="BT200" i="73"/>
  <c r="BP200" i="73"/>
  <c r="BS200" i="73"/>
  <c r="BQ200" i="73"/>
  <c r="BO189" i="73"/>
  <c r="BT189" i="73"/>
  <c r="BP189" i="73"/>
  <c r="BS189" i="73"/>
  <c r="BQ189" i="73"/>
  <c r="U188" i="73"/>
  <c r="AA188" i="73" s="1"/>
  <c r="AK108" i="31" s="1"/>
  <c r="U184" i="73"/>
  <c r="AA184" i="73" s="1"/>
  <c r="AK100" i="31" s="1"/>
  <c r="U205" i="73"/>
  <c r="AA205" i="73" s="1"/>
  <c r="AK134" i="31" s="1"/>
  <c r="BZ16" i="45"/>
  <c r="AO60" i="73"/>
  <c r="BB231" i="73"/>
  <c r="AM174" i="73"/>
  <c r="AL174" i="73"/>
  <c r="BY16" i="45"/>
  <c r="BY36" i="74"/>
  <c r="CA16" i="45"/>
  <c r="T61" i="73"/>
  <c r="BE231" i="73"/>
  <c r="BC231" i="73"/>
  <c r="BD231" i="73"/>
  <c r="AN174" i="73"/>
  <c r="AL60" i="73"/>
  <c r="AB29" i="73"/>
  <c r="AA29" i="73"/>
  <c r="CC40" i="74"/>
  <c r="AC103" i="73" s="1"/>
  <c r="CC23" i="45"/>
  <c r="AJ132" i="73"/>
  <c r="AP18" i="73"/>
  <c r="AP17" i="73"/>
  <c r="AJ131" i="73"/>
  <c r="AQ17" i="11"/>
  <c r="AB60" i="73"/>
  <c r="Z60" i="73"/>
  <c r="AA60" i="73"/>
  <c r="Y189" i="73"/>
  <c r="BF196" i="73"/>
  <c r="AN159" i="73"/>
  <c r="AL159" i="73"/>
  <c r="AB15" i="73"/>
  <c r="X45" i="73"/>
  <c r="AQ25" i="73"/>
  <c r="AL45" i="73"/>
  <c r="BC216" i="73"/>
  <c r="AN45" i="73"/>
  <c r="Y214" i="73"/>
  <c r="AI146" i="31" s="1"/>
  <c r="AB45" i="73"/>
  <c r="AO160" i="73"/>
  <c r="CC9" i="74"/>
  <c r="AQ15" i="73"/>
  <c r="AL129" i="73"/>
  <c r="AM129" i="73"/>
  <c r="BC186" i="73"/>
  <c r="BF186" i="73"/>
  <c r="AN129" i="73"/>
  <c r="AO15" i="73"/>
  <c r="BB186" i="73"/>
  <c r="AO129" i="73"/>
  <c r="BD186" i="73"/>
  <c r="BE186" i="73"/>
  <c r="AN15" i="73"/>
  <c r="AL15" i="73"/>
  <c r="BF200" i="73"/>
  <c r="AQ29" i="73"/>
  <c r="BC200" i="73"/>
  <c r="AM143" i="73"/>
  <c r="AN29" i="73"/>
  <c r="AL29" i="73"/>
  <c r="AO143" i="73"/>
  <c r="AN143" i="73"/>
  <c r="BE200" i="73"/>
  <c r="BB200" i="73"/>
  <c r="AL143" i="73"/>
  <c r="AO29" i="73"/>
  <c r="BD200" i="73"/>
  <c r="CC19" i="74"/>
  <c r="AM159" i="73"/>
  <c r="AO45" i="73"/>
  <c r="BB216" i="73"/>
  <c r="X15" i="73"/>
  <c r="AC15" i="73"/>
  <c r="BF217" i="73"/>
  <c r="AM133" i="73"/>
  <c r="BC190" i="73"/>
  <c r="AN19" i="73"/>
  <c r="AO19" i="73"/>
  <c r="AL133" i="73"/>
  <c r="AL19" i="73"/>
  <c r="BE190" i="73"/>
  <c r="BB190" i="73"/>
  <c r="AN133" i="73"/>
  <c r="BD190" i="73"/>
  <c r="AO157" i="73"/>
  <c r="AM157" i="73"/>
  <c r="BC214" i="73"/>
  <c r="BF214" i="73"/>
  <c r="AL157" i="73"/>
  <c r="BE214" i="73"/>
  <c r="AO43" i="73"/>
  <c r="AL43" i="73"/>
  <c r="AM43" i="73" s="1"/>
  <c r="AN157" i="73"/>
  <c r="AN43" i="73"/>
  <c r="BB214" i="73"/>
  <c r="AQ43" i="73"/>
  <c r="BD214" i="73"/>
  <c r="AM132" i="73"/>
  <c r="BE189" i="73"/>
  <c r="AO18" i="73"/>
  <c r="AO75" i="73"/>
  <c r="AN18" i="73"/>
  <c r="AP75" i="73"/>
  <c r="BB189" i="73"/>
  <c r="AO132" i="73"/>
  <c r="AQ18" i="73"/>
  <c r="AL132" i="73"/>
  <c r="BD189" i="73"/>
  <c r="AN75" i="73"/>
  <c r="AQ75" i="73"/>
  <c r="AN132" i="73"/>
  <c r="AL18" i="73"/>
  <c r="BC189" i="73"/>
  <c r="AL75" i="73"/>
  <c r="AB75" i="73"/>
  <c r="AC75" i="73"/>
  <c r="BE216" i="73"/>
  <c r="Z15" i="73"/>
  <c r="Z29" i="73"/>
  <c r="AA45" i="73"/>
  <c r="AQ46" i="73"/>
  <c r="AO139" i="73"/>
  <c r="CB19" i="45"/>
  <c r="CA30" i="74"/>
  <c r="BY16" i="74"/>
  <c r="BY19" i="45"/>
  <c r="CB30" i="74"/>
  <c r="CA16" i="74"/>
  <c r="CC23" i="74"/>
  <c r="AC29" i="73" s="1"/>
  <c r="BZ19" i="45"/>
  <c r="BZ30" i="74"/>
  <c r="CB16" i="74"/>
  <c r="CC37" i="74"/>
  <c r="AC43" i="73" s="1"/>
  <c r="AA131" i="11"/>
  <c r="AO131" i="11" s="1"/>
  <c r="CC13" i="45"/>
  <c r="X130" i="11"/>
  <c r="V19" i="31" s="1"/>
  <c r="Y187" i="11"/>
  <c r="W199" i="31" s="1"/>
  <c r="CC12" i="45"/>
  <c r="BF187" i="11"/>
  <c r="AQ73" i="11"/>
  <c r="AP16" i="11"/>
  <c r="AM130" i="11"/>
  <c r="BC187" i="11"/>
  <c r="BB187" i="11"/>
  <c r="AQ16" i="11"/>
  <c r="AL16" i="11"/>
  <c r="AO16" i="11"/>
  <c r="AP73" i="11"/>
  <c r="AJ130" i="11"/>
  <c r="BD187" i="11"/>
  <c r="AN16" i="11"/>
  <c r="AL73" i="11"/>
  <c r="AL130" i="11"/>
  <c r="AO73" i="11"/>
  <c r="AN73" i="11"/>
  <c r="BE187" i="11"/>
  <c r="AA73" i="11"/>
  <c r="AB73" i="11"/>
  <c r="AC73" i="11"/>
  <c r="Z73" i="11"/>
  <c r="X73" i="11"/>
  <c r="W130" i="11"/>
  <c r="U19" i="31" s="1"/>
  <c r="AK187" i="11"/>
  <c r="AB16" i="11"/>
  <c r="Y188" i="11"/>
  <c r="AP72" i="11"/>
  <c r="AL72" i="11"/>
  <c r="AO72" i="11"/>
  <c r="AQ72" i="11"/>
  <c r="AN72" i="11"/>
  <c r="AA72" i="11"/>
  <c r="Z72" i="11"/>
  <c r="X72" i="11"/>
  <c r="AB72" i="11"/>
  <c r="Z16" i="11"/>
  <c r="AA16" i="11"/>
  <c r="AC16" i="11"/>
  <c r="BF188" i="11"/>
  <c r="X16" i="11"/>
  <c r="S187" i="73"/>
  <c r="AC106" i="31" s="1"/>
  <c r="R11" i="11"/>
  <c r="Y11" i="11" s="1"/>
  <c r="R125" i="11"/>
  <c r="T125" i="11" s="1"/>
  <c r="R9" i="31" s="1"/>
  <c r="O9" i="31"/>
  <c r="X195" i="73"/>
  <c r="AH120" i="31" s="1"/>
  <c r="U125" i="11"/>
  <c r="S9" i="31" s="1"/>
  <c r="AD125" i="11"/>
  <c r="S61" i="73"/>
  <c r="U61" i="73" s="1"/>
  <c r="CB24" i="74"/>
  <c r="BC201" i="73" s="1"/>
  <c r="AA106" i="31"/>
  <c r="V27" i="73"/>
  <c r="L9" i="96"/>
  <c r="N9" i="96" s="1"/>
  <c r="Q481" i="8"/>
  <c r="L107" i="60" s="1"/>
  <c r="Q442" i="8"/>
  <c r="L68" i="60" s="1"/>
  <c r="Q476" i="8"/>
  <c r="L102" i="60" s="1"/>
  <c r="Q432" i="8"/>
  <c r="L58" i="60" s="1"/>
  <c r="Q454" i="8"/>
  <c r="L80" i="60" s="1"/>
  <c r="Q437" i="8"/>
  <c r="L63" i="60" s="1"/>
  <c r="Q479" i="8"/>
  <c r="L105" i="60" s="1"/>
  <c r="Q446" i="8"/>
  <c r="L72" i="60" s="1"/>
  <c r="Q440" i="8"/>
  <c r="L66" i="60" s="1"/>
  <c r="Q447" i="8"/>
  <c r="L73" i="60" s="1"/>
  <c r="Q436" i="8"/>
  <c r="L62" i="60" s="1"/>
  <c r="Q460" i="8"/>
  <c r="L86" i="60" s="1"/>
  <c r="Q444" i="8"/>
  <c r="L70" i="60" s="1"/>
  <c r="Q433" i="8"/>
  <c r="L59" i="60" s="1"/>
  <c r="Q474" i="8"/>
  <c r="L100" i="60" s="1"/>
  <c r="Q465" i="8"/>
  <c r="L91" i="60" s="1"/>
  <c r="Q475" i="8"/>
  <c r="L101" i="60" s="1"/>
  <c r="Q477" i="8"/>
  <c r="L103" i="60" s="1"/>
  <c r="Q478" i="8"/>
  <c r="L104" i="60" s="1"/>
  <c r="U186" i="11"/>
  <c r="AA186" i="11" s="1"/>
  <c r="Y107" i="31" s="1"/>
  <c r="CB49" i="74"/>
  <c r="AJ207" i="73"/>
  <c r="R224" i="73"/>
  <c r="AP254" i="31" s="1"/>
  <c r="AM188" i="11"/>
  <c r="AJ195" i="73"/>
  <c r="Z37" i="73"/>
  <c r="U130" i="11"/>
  <c r="X61" i="73"/>
  <c r="AA36" i="73"/>
  <c r="Z36" i="73"/>
  <c r="Z195" i="73"/>
  <c r="AX210" i="31" s="1"/>
  <c r="R196" i="73"/>
  <c r="X196" i="73" s="1"/>
  <c r="AH122" i="31" s="1"/>
  <c r="AF37" i="73"/>
  <c r="AM37" i="73" s="1"/>
  <c r="BZ8" i="74"/>
  <c r="BF199" i="11"/>
  <c r="AQ28" i="11"/>
  <c r="CA51" i="45"/>
  <c r="BZ36" i="74"/>
  <c r="AB27" i="73"/>
  <c r="W187" i="73"/>
  <c r="AG106" i="31" s="1"/>
  <c r="R230" i="11"/>
  <c r="P268" i="31" s="1"/>
  <c r="BZ24" i="74"/>
  <c r="AF27" i="73"/>
  <c r="AM27" i="73" s="1"/>
  <c r="CB36" i="74"/>
  <c r="CA24" i="74"/>
  <c r="S36" i="73"/>
  <c r="U36" i="73" s="1"/>
  <c r="CB8" i="74"/>
  <c r="AM128" i="73" s="1"/>
  <c r="R195" i="73"/>
  <c r="AF195" i="73" s="1"/>
  <c r="U195" i="73"/>
  <c r="AE120" i="31" s="1"/>
  <c r="AO210" i="31"/>
  <c r="S196" i="73"/>
  <c r="AQ212" i="31" s="1"/>
  <c r="AJ196" i="73"/>
  <c r="X37" i="73"/>
  <c r="AA37" i="73"/>
  <c r="AB61" i="73"/>
  <c r="Y224" i="73"/>
  <c r="AI164" i="31" s="1"/>
  <c r="AO263" i="31"/>
  <c r="AO254" i="31"/>
  <c r="AB36" i="73"/>
  <c r="S224" i="73"/>
  <c r="AC164" i="31" s="1"/>
  <c r="BY8" i="74"/>
  <c r="Y195" i="73"/>
  <c r="AI120" i="31" s="1"/>
  <c r="S195" i="73"/>
  <c r="AC120" i="31" s="1"/>
  <c r="W195" i="73"/>
  <c r="AG120" i="31" s="1"/>
  <c r="AA120" i="31"/>
  <c r="U196" i="73"/>
  <c r="W196" i="73"/>
  <c r="AG122" i="31" s="1"/>
  <c r="AO212" i="31"/>
  <c r="V37" i="73"/>
  <c r="AB37" i="73"/>
  <c r="S37" i="73"/>
  <c r="U37" i="73" s="1"/>
  <c r="T37" i="73"/>
  <c r="BY49" i="74"/>
  <c r="BZ39" i="74"/>
  <c r="AA154" i="31"/>
  <c r="BZ49" i="74"/>
  <c r="CA39" i="74"/>
  <c r="BY39" i="74"/>
  <c r="BY51" i="45"/>
  <c r="BZ51" i="45"/>
  <c r="AL34" i="73"/>
  <c r="BO205" i="73"/>
  <c r="BT205" i="73"/>
  <c r="BQ205" i="73"/>
  <c r="BS205" i="73"/>
  <c r="BP205" i="73"/>
  <c r="BZ54" i="74"/>
  <c r="BY54" i="74"/>
  <c r="CC54" i="45"/>
  <c r="AA172" i="11" s="1"/>
  <c r="AO172" i="11" s="1"/>
  <c r="AM60" i="73"/>
  <c r="U201" i="73"/>
  <c r="AS220" i="31" s="1"/>
  <c r="CA54" i="74"/>
  <c r="CC24" i="45"/>
  <c r="BC194" i="11"/>
  <c r="BB194" i="11"/>
  <c r="BD194" i="11"/>
  <c r="BE194" i="11"/>
  <c r="BO194" i="11"/>
  <c r="BP194" i="11"/>
  <c r="BF194" i="11"/>
  <c r="BQ194" i="11"/>
  <c r="BS194" i="11"/>
  <c r="BT194" i="11"/>
  <c r="V211" i="31"/>
  <c r="V121" i="31"/>
  <c r="Y194" i="11"/>
  <c r="W211" i="31" s="1"/>
  <c r="CC49" i="45"/>
  <c r="BD226" i="11"/>
  <c r="AL169" i="11"/>
  <c r="AJ169" i="11"/>
  <c r="AO55" i="11"/>
  <c r="AL55" i="11"/>
  <c r="BE226" i="11"/>
  <c r="BB226" i="11"/>
  <c r="BC226" i="11"/>
  <c r="AM169" i="11"/>
  <c r="AP55" i="11"/>
  <c r="AN55" i="11"/>
  <c r="AJ171" i="73"/>
  <c r="AP57" i="73"/>
  <c r="AA55" i="11"/>
  <c r="AB55" i="11"/>
  <c r="W169" i="11"/>
  <c r="U80" i="31" s="1"/>
  <c r="U227" i="73"/>
  <c r="AA227" i="73" s="1"/>
  <c r="AY259" i="31" s="1"/>
  <c r="X228" i="73"/>
  <c r="AH171" i="31" s="1"/>
  <c r="Z55" i="11"/>
  <c r="X55" i="11"/>
  <c r="Y169" i="11"/>
  <c r="W80" i="31" s="1"/>
  <c r="X169" i="11"/>
  <c r="V80" i="31" s="1"/>
  <c r="AK226" i="11"/>
  <c r="CC34" i="74"/>
  <c r="CC29" i="74"/>
  <c r="U194" i="73"/>
  <c r="AA194" i="73" s="1"/>
  <c r="AK118" i="31" s="1"/>
  <c r="CA11" i="74"/>
  <c r="BY11" i="74"/>
  <c r="BZ38" i="74"/>
  <c r="CB11" i="74"/>
  <c r="X17" i="73" s="1"/>
  <c r="BY38" i="74"/>
  <c r="CB38" i="74"/>
  <c r="CC11" i="45"/>
  <c r="AC72" i="11" s="1"/>
  <c r="BF186" i="11"/>
  <c r="BB186" i="11"/>
  <c r="BD186" i="11"/>
  <c r="AL129" i="11"/>
  <c r="AL15" i="11"/>
  <c r="AO15" i="11"/>
  <c r="AQ15" i="11"/>
  <c r="BC186" i="11"/>
  <c r="BE186" i="11"/>
  <c r="AJ129" i="11"/>
  <c r="AM129" i="11"/>
  <c r="AN15" i="11"/>
  <c r="AP15" i="11"/>
  <c r="W129" i="11"/>
  <c r="U17" i="31" s="1"/>
  <c r="X129" i="11"/>
  <c r="V17" i="31" s="1"/>
  <c r="Y129" i="11"/>
  <c r="W17" i="31" s="1"/>
  <c r="AK186" i="11"/>
  <c r="AB15" i="11"/>
  <c r="AA15" i="11"/>
  <c r="AC15" i="11"/>
  <c r="AQ42" i="73"/>
  <c r="AN156" i="73"/>
  <c r="AN42" i="73"/>
  <c r="AL42" i="73"/>
  <c r="AO156" i="73"/>
  <c r="AL156" i="73"/>
  <c r="AM156" i="73"/>
  <c r="AO42" i="73"/>
  <c r="Z15" i="11"/>
  <c r="X15" i="11"/>
  <c r="U227" i="11"/>
  <c r="AA227" i="11" s="1"/>
  <c r="Y262" i="31" s="1"/>
  <c r="BY15" i="45"/>
  <c r="CB15" i="45"/>
  <c r="AP21" i="73" s="1"/>
  <c r="U170" i="11"/>
  <c r="CA15" i="45"/>
  <c r="Z230" i="11"/>
  <c r="X178" i="31" s="1"/>
  <c r="AM229" i="11"/>
  <c r="W231" i="11"/>
  <c r="U180" i="31" s="1"/>
  <c r="O180" i="31"/>
  <c r="AQ53" i="11"/>
  <c r="BF224" i="11"/>
  <c r="S11" i="11"/>
  <c r="U11" i="11" s="1"/>
  <c r="AA230" i="11"/>
  <c r="Y268" i="31" s="1"/>
  <c r="U190" i="11"/>
  <c r="AA190" i="11" s="1"/>
  <c r="Y203" i="31" s="1"/>
  <c r="R231" i="11"/>
  <c r="X231" i="11" s="1"/>
  <c r="S231" i="11"/>
  <c r="U231" i="11" s="1"/>
  <c r="S180" i="31" s="1"/>
  <c r="AJ231" i="11"/>
  <c r="Z58" i="11"/>
  <c r="BZ14" i="45"/>
  <c r="CA14" i="45"/>
  <c r="CB14" i="45"/>
  <c r="X49" i="31"/>
  <c r="AN151" i="11"/>
  <c r="U137" i="11"/>
  <c r="CB17" i="45"/>
  <c r="AC21" i="11" s="1"/>
  <c r="CA17" i="45"/>
  <c r="BY17" i="45"/>
  <c r="AA135" i="11" s="1"/>
  <c r="Y27" i="31" s="1"/>
  <c r="S12" i="11"/>
  <c r="U12" i="11" s="1"/>
  <c r="S167" i="11"/>
  <c r="Q76" i="31" s="1"/>
  <c r="S223" i="73"/>
  <c r="Y223" i="73" s="1"/>
  <c r="AI162" i="31" s="1"/>
  <c r="R147" i="11"/>
  <c r="T147" i="11" s="1"/>
  <c r="R220" i="73"/>
  <c r="X220" i="73" s="1"/>
  <c r="AV244" i="31" s="1"/>
  <c r="AF61" i="73"/>
  <c r="AM61" i="73" s="1"/>
  <c r="Z61" i="73"/>
  <c r="AA61" i="73"/>
  <c r="V61" i="73"/>
  <c r="AA27" i="73"/>
  <c r="X27" i="73"/>
  <c r="R187" i="73"/>
  <c r="AP196" i="31" s="1"/>
  <c r="R118" i="73"/>
  <c r="Y118" i="73" s="1"/>
  <c r="S229" i="73"/>
  <c r="U229" i="73" s="1"/>
  <c r="Z27" i="73"/>
  <c r="W167" i="11"/>
  <c r="U76" i="31" s="1"/>
  <c r="O76" i="31"/>
  <c r="V54" i="11"/>
  <c r="R223" i="73"/>
  <c r="X223" i="73" s="1"/>
  <c r="AV252" i="31" s="1"/>
  <c r="R111" i="11"/>
  <c r="Y111" i="11" s="1"/>
  <c r="S220" i="73"/>
  <c r="Y220" i="73" s="1"/>
  <c r="AI154" i="31" s="1"/>
  <c r="AA162" i="31"/>
  <c r="W220" i="73"/>
  <c r="AU244" i="31" s="1"/>
  <c r="AJ220" i="73"/>
  <c r="AU226" i="31"/>
  <c r="AD147" i="73"/>
  <c r="AK147" i="73" s="1"/>
  <c r="R198" i="11"/>
  <c r="X198" i="11" s="1"/>
  <c r="V127" i="31" s="1"/>
  <c r="P23" i="31"/>
  <c r="R68" i="11"/>
  <c r="Y68" i="11" s="1"/>
  <c r="V11" i="11"/>
  <c r="S147" i="11"/>
  <c r="U147" i="11" s="1"/>
  <c r="T11" i="11"/>
  <c r="AD147" i="11"/>
  <c r="R33" i="11"/>
  <c r="Y33" i="11" s="1"/>
  <c r="S53" i="11"/>
  <c r="U53" i="11" s="1"/>
  <c r="O117" i="31"/>
  <c r="AQ192" i="11"/>
  <c r="AJ207" i="31" s="1"/>
  <c r="Y167" i="11"/>
  <c r="W76" i="31" s="1"/>
  <c r="AF54" i="11"/>
  <c r="AM54" i="11" s="1"/>
  <c r="U167" i="11"/>
  <c r="S76" i="31" s="1"/>
  <c r="R53" i="11"/>
  <c r="Y53" i="11" s="1"/>
  <c r="AK224" i="11"/>
  <c r="S54" i="11"/>
  <c r="U54" i="11" s="1"/>
  <c r="AF12" i="11"/>
  <c r="T12" i="11"/>
  <c r="V12" i="11" s="1"/>
  <c r="R167" i="11"/>
  <c r="T167" i="11" s="1"/>
  <c r="R76" i="31" s="1"/>
  <c r="R110" i="11"/>
  <c r="Y110" i="11" s="1"/>
  <c r="AD167" i="11"/>
  <c r="AK167" i="11" s="1"/>
  <c r="S36" i="11"/>
  <c r="U36" i="11" s="1"/>
  <c r="AE192" i="11"/>
  <c r="AC207" i="31" s="1"/>
  <c r="W198" i="11"/>
  <c r="U217" i="31" s="1"/>
  <c r="O217" i="31"/>
  <c r="W192" i="11"/>
  <c r="U117" i="31" s="1"/>
  <c r="AA36" i="11"/>
  <c r="AS192" i="11"/>
  <c r="AL207" i="31" s="1"/>
  <c r="S198" i="11"/>
  <c r="Q217" i="31" s="1"/>
  <c r="O127" i="31"/>
  <c r="R192" i="11"/>
  <c r="P117" i="31" s="1"/>
  <c r="S192" i="11"/>
  <c r="Y192" i="11" s="1"/>
  <c r="W117" i="31" s="1"/>
  <c r="U198" i="11"/>
  <c r="S127" i="31" s="1"/>
  <c r="Z224" i="73"/>
  <c r="AX254" i="31" s="1"/>
  <c r="S207" i="73"/>
  <c r="AC136" i="31" s="1"/>
  <c r="X224" i="73"/>
  <c r="AH164" i="31" s="1"/>
  <c r="R100" i="73"/>
  <c r="Y100" i="73" s="1"/>
  <c r="AO226" i="31"/>
  <c r="AA224" i="73"/>
  <c r="AY254" i="31" s="1"/>
  <c r="X207" i="73"/>
  <c r="AV226" i="31" s="1"/>
  <c r="AC187" i="73"/>
  <c r="AL187" i="73" s="1"/>
  <c r="X167" i="73"/>
  <c r="AH74" i="31" s="1"/>
  <c r="AA207" i="73"/>
  <c r="AK136" i="31" s="1"/>
  <c r="AA164" i="31"/>
  <c r="AE164" i="31"/>
  <c r="Y207" i="73"/>
  <c r="AI136" i="31" s="1"/>
  <c r="R207" i="73"/>
  <c r="AB136" i="31" s="1"/>
  <c r="Z207" i="73"/>
  <c r="AX226" i="31" s="1"/>
  <c r="AA136" i="31"/>
  <c r="AJ224" i="73"/>
  <c r="W224" i="73"/>
  <c r="AU254" i="31" s="1"/>
  <c r="Y125" i="11"/>
  <c r="W9" i="31" s="1"/>
  <c r="AC49" i="73"/>
  <c r="BF231" i="73"/>
  <c r="BF225" i="11"/>
  <c r="AQ54" i="11"/>
  <c r="R94" i="11"/>
  <c r="Y94" i="11" s="1"/>
  <c r="AC37" i="11"/>
  <c r="BF227" i="73"/>
  <c r="AO170" i="73"/>
  <c r="AQ56" i="73"/>
  <c r="BF190" i="11"/>
  <c r="AQ19" i="11"/>
  <c r="BT213" i="73"/>
  <c r="BF213" i="73"/>
  <c r="BT201" i="73"/>
  <c r="AO166" i="73"/>
  <c r="AQ52" i="73"/>
  <c r="BF223" i="73"/>
  <c r="R96" i="11"/>
  <c r="Y96" i="11" s="1"/>
  <c r="AC39" i="11"/>
  <c r="BT185" i="73"/>
  <c r="X34" i="73"/>
  <c r="AO148" i="73"/>
  <c r="AQ34" i="73"/>
  <c r="BF205" i="73"/>
  <c r="BT215" i="73"/>
  <c r="AO158" i="73"/>
  <c r="AQ44" i="73"/>
  <c r="BF215" i="73"/>
  <c r="V52" i="73"/>
  <c r="T33" i="73"/>
  <c r="AC33" i="73"/>
  <c r="S230" i="11"/>
  <c r="Q178" i="31" s="1"/>
  <c r="AL192" i="11"/>
  <c r="AT192" i="11"/>
  <c r="AM207" i="31" s="1"/>
  <c r="AO226" i="11"/>
  <c r="AH260" i="31" s="1"/>
  <c r="AT226" i="11"/>
  <c r="AM260" i="31" s="1"/>
  <c r="X36" i="11"/>
  <c r="AC36" i="11"/>
  <c r="T18" i="11"/>
  <c r="V18" i="11" s="1"/>
  <c r="AC18" i="11" s="1"/>
  <c r="T30" i="11"/>
  <c r="V30" i="11" s="1"/>
  <c r="T53" i="11"/>
  <c r="AA53" i="11" s="1"/>
  <c r="T36" i="73"/>
  <c r="V36" i="73" s="1"/>
  <c r="AC36" i="73"/>
  <c r="AC19" i="11"/>
  <c r="AA133" i="11"/>
  <c r="Y23" i="31" s="1"/>
  <c r="AC58" i="11"/>
  <c r="AQ58" i="11"/>
  <c r="BF229" i="11"/>
  <c r="AO174" i="73"/>
  <c r="BF218" i="11"/>
  <c r="AQ47" i="11"/>
  <c r="BF221" i="11"/>
  <c r="AQ50" i="11"/>
  <c r="AO169" i="73"/>
  <c r="AQ55" i="73"/>
  <c r="BF226" i="73"/>
  <c r="BF192" i="11"/>
  <c r="AQ21" i="11"/>
  <c r="BF220" i="73"/>
  <c r="AO163" i="73"/>
  <c r="AQ49" i="73"/>
  <c r="BT191" i="73"/>
  <c r="AO134" i="73"/>
  <c r="AQ20" i="73"/>
  <c r="BF191" i="73"/>
  <c r="X23" i="73"/>
  <c r="BF194" i="73"/>
  <c r="AO137" i="73"/>
  <c r="AQ23" i="73"/>
  <c r="S20" i="11"/>
  <c r="U20" i="11" s="1"/>
  <c r="AC20" i="11"/>
  <c r="T28" i="11"/>
  <c r="AA28" i="11" s="1"/>
  <c r="T19" i="73"/>
  <c r="AA19" i="73" s="1"/>
  <c r="V59" i="11"/>
  <c r="AC59" i="11"/>
  <c r="O256" i="31"/>
  <c r="T27" i="73"/>
  <c r="AC27" i="73"/>
  <c r="AC23" i="73"/>
  <c r="AQ60" i="73"/>
  <c r="AF53" i="11"/>
  <c r="AM53" i="11" s="1"/>
  <c r="X53" i="11"/>
  <c r="V53" i="11"/>
  <c r="AC53" i="11" s="1"/>
  <c r="AB53" i="11"/>
  <c r="AC209" i="73"/>
  <c r="AT209" i="73" s="1"/>
  <c r="R97" i="73"/>
  <c r="Y97" i="73" s="1"/>
  <c r="R70" i="73"/>
  <c r="Y70" i="73" s="1"/>
  <c r="R167" i="73"/>
  <c r="AB74" i="31" s="1"/>
  <c r="AK30" i="31"/>
  <c r="S147" i="73"/>
  <c r="R35" i="73"/>
  <c r="Y35" i="73" s="1"/>
  <c r="AD157" i="73"/>
  <c r="R93" i="73"/>
  <c r="Y93" i="73" s="1"/>
  <c r="AD136" i="73"/>
  <c r="AK136" i="73" s="1"/>
  <c r="R46" i="73"/>
  <c r="Y46" i="73" s="1"/>
  <c r="R130" i="73"/>
  <c r="AC208" i="73"/>
  <c r="AT208" i="73" s="1"/>
  <c r="BM228" i="31" s="1"/>
  <c r="AC213" i="73"/>
  <c r="BA234" i="31" s="1"/>
  <c r="T164" i="73"/>
  <c r="AD70" i="31" s="1"/>
  <c r="R161" i="73"/>
  <c r="AB68" i="31" s="1"/>
  <c r="R135" i="73"/>
  <c r="AB24" i="31" s="1"/>
  <c r="R129" i="73"/>
  <c r="AB14" i="31" s="1"/>
  <c r="W142" i="73"/>
  <c r="AC220" i="73"/>
  <c r="AT220" i="73" s="1"/>
  <c r="BM244" i="31" s="1"/>
  <c r="AC215" i="11"/>
  <c r="AT215" i="11" s="1"/>
  <c r="AM241" i="31" s="1"/>
  <c r="AK230" i="11"/>
  <c r="O39" i="31"/>
  <c r="AC231" i="11"/>
  <c r="AT231" i="11" s="1"/>
  <c r="AM270" i="31" s="1"/>
  <c r="AC188" i="11"/>
  <c r="AT188" i="11" s="1"/>
  <c r="AC207" i="11"/>
  <c r="AT207" i="11" s="1"/>
  <c r="S163" i="11"/>
  <c r="Q65" i="31" s="1"/>
  <c r="AK198" i="11"/>
  <c r="W142" i="11"/>
  <c r="U39" i="31" s="1"/>
  <c r="T20" i="11"/>
  <c r="V20" i="11" s="1"/>
  <c r="AA70" i="31"/>
  <c r="R186" i="73"/>
  <c r="T186" i="73" s="1"/>
  <c r="Z186" i="73" s="1"/>
  <c r="AJ104" i="31" s="1"/>
  <c r="AF52" i="73"/>
  <c r="AP192" i="11"/>
  <c r="AI207" i="31" s="1"/>
  <c r="AP263" i="31"/>
  <c r="AB23" i="73"/>
  <c r="R50" i="73"/>
  <c r="Y50" i="73" s="1"/>
  <c r="X150" i="73"/>
  <c r="AH46" i="31" s="1"/>
  <c r="AD142" i="73"/>
  <c r="AK142" i="73" s="1"/>
  <c r="X142" i="73"/>
  <c r="AH36" i="31" s="1"/>
  <c r="AC184" i="73"/>
  <c r="R13" i="73"/>
  <c r="AF59" i="73"/>
  <c r="AM59" i="73" s="1"/>
  <c r="R149" i="73"/>
  <c r="U160" i="73"/>
  <c r="AE62" i="31" s="1"/>
  <c r="AQ226" i="11"/>
  <c r="AJ260" i="31" s="1"/>
  <c r="T18" i="73"/>
  <c r="V18" i="73" s="1"/>
  <c r="AC18" i="73" s="1"/>
  <c r="AK218" i="73"/>
  <c r="Z33" i="73"/>
  <c r="R192" i="73"/>
  <c r="AP204" i="31" s="1"/>
  <c r="X161" i="73"/>
  <c r="AH68" i="31" s="1"/>
  <c r="Z161" i="73"/>
  <c r="AJ68" i="31" s="1"/>
  <c r="R24" i="73"/>
  <c r="Y24" i="73" s="1"/>
  <c r="R72" i="73"/>
  <c r="Y72" i="73" s="1"/>
  <c r="Y138" i="73"/>
  <c r="AI30" i="31" s="1"/>
  <c r="AA64" i="31"/>
  <c r="R15" i="73"/>
  <c r="Y15" i="73" s="1"/>
  <c r="Z59" i="73"/>
  <c r="R49" i="73"/>
  <c r="Y49" i="73" s="1"/>
  <c r="R92" i="73"/>
  <c r="Y92" i="73" s="1"/>
  <c r="AD129" i="73"/>
  <c r="R17" i="11"/>
  <c r="Y17" i="11" s="1"/>
  <c r="AA20" i="11"/>
  <c r="AA158" i="31"/>
  <c r="Z49" i="11"/>
  <c r="T17" i="11"/>
  <c r="AK207" i="11"/>
  <c r="R163" i="11"/>
  <c r="P65" i="31" s="1"/>
  <c r="AC192" i="73"/>
  <c r="R42" i="73"/>
  <c r="Y42" i="73" s="1"/>
  <c r="R106" i="73"/>
  <c r="Y106" i="73" s="1"/>
  <c r="R47" i="73"/>
  <c r="Y47" i="73" s="1"/>
  <c r="W129" i="73"/>
  <c r="S218" i="73"/>
  <c r="AC158" i="31" s="1"/>
  <c r="AD156" i="73"/>
  <c r="S156" i="73"/>
  <c r="AC54" i="31" s="1"/>
  <c r="W161" i="73"/>
  <c r="AJ218" i="73"/>
  <c r="R163" i="73"/>
  <c r="AB64" i="31" s="1"/>
  <c r="S161" i="73"/>
  <c r="AC68" i="31" s="1"/>
  <c r="W218" i="73"/>
  <c r="AU248" i="31" s="1"/>
  <c r="W141" i="11"/>
  <c r="U37" i="31" s="1"/>
  <c r="X59" i="73"/>
  <c r="S19" i="73"/>
  <c r="U19" i="73" s="1"/>
  <c r="AB19" i="73" s="1"/>
  <c r="AK188" i="11"/>
  <c r="AK199" i="73"/>
  <c r="AD150" i="11"/>
  <c r="AK150" i="11" s="1"/>
  <c r="R27" i="11"/>
  <c r="Y27" i="11" s="1"/>
  <c r="AC220" i="11"/>
  <c r="AB59" i="73"/>
  <c r="AA59" i="73"/>
  <c r="Z147" i="73"/>
  <c r="Y142" i="73"/>
  <c r="AI36" i="31" s="1"/>
  <c r="AK36" i="31"/>
  <c r="R28" i="73"/>
  <c r="Y28" i="73" s="1"/>
  <c r="R131" i="11"/>
  <c r="T131" i="11" s="1"/>
  <c r="S131" i="11"/>
  <c r="U131" i="11" s="1"/>
  <c r="BS215" i="73"/>
  <c r="AD154" i="73"/>
  <c r="R142" i="73"/>
  <c r="AB36" i="31" s="1"/>
  <c r="AD160" i="73"/>
  <c r="Z142" i="73"/>
  <c r="AJ36" i="31" s="1"/>
  <c r="CA13" i="74"/>
  <c r="AF33" i="73"/>
  <c r="AM33" i="73" s="1"/>
  <c r="S173" i="11"/>
  <c r="Q88" i="31" s="1"/>
  <c r="S192" i="73"/>
  <c r="Y192" i="73" s="1"/>
  <c r="AI114" i="31" s="1"/>
  <c r="R150" i="11"/>
  <c r="T150" i="11" s="1"/>
  <c r="R93" i="11"/>
  <c r="Y93" i="11" s="1"/>
  <c r="W200" i="73"/>
  <c r="AG128" i="31" s="1"/>
  <c r="AD163" i="11"/>
  <c r="AK163" i="11" s="1"/>
  <c r="AK220" i="11"/>
  <c r="O480" i="8"/>
  <c r="L57" i="96" s="1"/>
  <c r="N57" i="96" s="1"/>
  <c r="V59" i="73"/>
  <c r="AD131" i="11"/>
  <c r="W131" i="11"/>
  <c r="AA23" i="73"/>
  <c r="AD135" i="73"/>
  <c r="R78" i="73"/>
  <c r="Y78" i="73" s="1"/>
  <c r="AA114" i="31"/>
  <c r="Y65" i="31"/>
  <c r="S59" i="73"/>
  <c r="U59" i="73" s="1"/>
  <c r="X28" i="11"/>
  <c r="U151" i="11"/>
  <c r="S49" i="31" s="1"/>
  <c r="T59" i="73"/>
  <c r="X19" i="73"/>
  <c r="W160" i="73"/>
  <c r="Z131" i="11"/>
  <c r="AN131" i="11" s="1"/>
  <c r="X131" i="11"/>
  <c r="AN158" i="73"/>
  <c r="AA62" i="31"/>
  <c r="AA24" i="31"/>
  <c r="R85" i="73"/>
  <c r="Y85" i="73" s="1"/>
  <c r="R160" i="73"/>
  <c r="AB62" i="31" s="1"/>
  <c r="X164" i="73"/>
  <c r="AH70" i="31" s="1"/>
  <c r="AF19" i="73"/>
  <c r="AC200" i="73"/>
  <c r="AB33" i="73"/>
  <c r="AB59" i="11"/>
  <c r="AC199" i="73"/>
  <c r="Y150" i="11"/>
  <c r="S189" i="11"/>
  <c r="Y189" i="11" s="1"/>
  <c r="W111" i="31" s="1"/>
  <c r="R200" i="73"/>
  <c r="AP218" i="31" s="1"/>
  <c r="AO218" i="31"/>
  <c r="Y163" i="11"/>
  <c r="W65" i="31" s="1"/>
  <c r="O65" i="31"/>
  <c r="O37" i="31"/>
  <c r="Z138" i="73"/>
  <c r="AJ30" i="31" s="1"/>
  <c r="BC215" i="73"/>
  <c r="BY42" i="74"/>
  <c r="W138" i="73"/>
  <c r="AA56" i="31"/>
  <c r="Y150" i="73"/>
  <c r="AI46" i="31" s="1"/>
  <c r="U167" i="73"/>
  <c r="AE74" i="31" s="1"/>
  <c r="S127" i="73"/>
  <c r="AC10" i="31" s="1"/>
  <c r="O88" i="31"/>
  <c r="AA260" i="31"/>
  <c r="O201" i="31"/>
  <c r="W190" i="73"/>
  <c r="AU200" i="31" s="1"/>
  <c r="S182" i="11"/>
  <c r="Q189" i="31" s="1"/>
  <c r="R147" i="73"/>
  <c r="R90" i="73"/>
  <c r="Y90" i="73" s="1"/>
  <c r="W147" i="73"/>
  <c r="W157" i="73"/>
  <c r="AN148" i="73"/>
  <c r="AL44" i="73"/>
  <c r="R127" i="73"/>
  <c r="AB10" i="31" s="1"/>
  <c r="AK206" i="73"/>
  <c r="X49" i="11"/>
  <c r="X17" i="11"/>
  <c r="R224" i="11"/>
  <c r="T224" i="11" s="1"/>
  <c r="Z224" i="11" s="1"/>
  <c r="X256" i="31" s="1"/>
  <c r="U147" i="73"/>
  <c r="U127" i="73"/>
  <c r="AE10" i="31" s="1"/>
  <c r="AO194" i="31"/>
  <c r="Y173" i="11"/>
  <c r="W88" i="31" s="1"/>
  <c r="AP226" i="11"/>
  <c r="AI260" i="31" s="1"/>
  <c r="AA59" i="11"/>
  <c r="X18" i="73"/>
  <c r="S142" i="11"/>
  <c r="Q39" i="31" s="1"/>
  <c r="U182" i="11"/>
  <c r="S189" i="31" s="1"/>
  <c r="O99" i="31"/>
  <c r="AF30" i="11"/>
  <c r="AF28" i="11"/>
  <c r="CA51" i="74"/>
  <c r="AD161" i="73"/>
  <c r="AK161" i="73" s="1"/>
  <c r="U218" i="73"/>
  <c r="AS248" i="31" s="1"/>
  <c r="R22" i="73"/>
  <c r="R79" i="73"/>
  <c r="Y79" i="73" s="1"/>
  <c r="W164" i="73"/>
  <c r="R218" i="73"/>
  <c r="AP248" i="31" s="1"/>
  <c r="AC224" i="11"/>
  <c r="Y218" i="73"/>
  <c r="AW248" i="31" s="1"/>
  <c r="BE205" i="73"/>
  <c r="CC28" i="74"/>
  <c r="AO34" i="73"/>
  <c r="BE215" i="73"/>
  <c r="BD215" i="73"/>
  <c r="BO215" i="73"/>
  <c r="AN44" i="73"/>
  <c r="Y164" i="73"/>
  <c r="AI70" i="31" s="1"/>
  <c r="AK68" i="31"/>
  <c r="AA68" i="31"/>
  <c r="S135" i="73"/>
  <c r="AC24" i="31" s="1"/>
  <c r="AA218" i="73"/>
  <c r="AK158" i="31" s="1"/>
  <c r="AO248" i="31"/>
  <c r="U149" i="73"/>
  <c r="S149" i="73"/>
  <c r="Z149" i="73"/>
  <c r="AF49" i="11"/>
  <c r="AM49" i="11" s="1"/>
  <c r="AA49" i="11"/>
  <c r="S17" i="11"/>
  <c r="U17" i="11" s="1"/>
  <c r="AA17" i="11"/>
  <c r="S157" i="73"/>
  <c r="AC56" i="31" s="1"/>
  <c r="AK207" i="73"/>
  <c r="S136" i="73"/>
  <c r="AC26" i="31" s="1"/>
  <c r="AK193" i="73"/>
  <c r="O166" i="31"/>
  <c r="U164" i="73"/>
  <c r="AE70" i="31" s="1"/>
  <c r="U161" i="73"/>
  <c r="AE68" i="31" s="1"/>
  <c r="Y161" i="73"/>
  <c r="AI68" i="31" s="1"/>
  <c r="R99" i="73"/>
  <c r="Y99" i="73" s="1"/>
  <c r="W136" i="73"/>
  <c r="T161" i="73"/>
  <c r="AD68" i="31" s="1"/>
  <c r="R36" i="73"/>
  <c r="Y36" i="73" s="1"/>
  <c r="Q33" i="11"/>
  <c r="Z150" i="73"/>
  <c r="AJ46" i="31" s="1"/>
  <c r="R156" i="73"/>
  <c r="AB54" i="31" s="1"/>
  <c r="CB42" i="74"/>
  <c r="CC42" i="74" s="1"/>
  <c r="AC218" i="73"/>
  <c r="AF25" i="73"/>
  <c r="R104" i="73"/>
  <c r="Y104" i="73" s="1"/>
  <c r="R21" i="73"/>
  <c r="Z218" i="73"/>
  <c r="AJ158" i="31" s="1"/>
  <c r="AD149" i="73"/>
  <c r="AK149" i="73" s="1"/>
  <c r="O470" i="8"/>
  <c r="L47" i="96" s="1"/>
  <c r="N47" i="96" s="1"/>
  <c r="O438" i="8"/>
  <c r="L15" i="96" s="1"/>
  <c r="N15" i="96" s="1"/>
  <c r="Q166" i="73"/>
  <c r="AC221" i="73"/>
  <c r="AA104" i="31"/>
  <c r="AF206" i="73"/>
  <c r="AR206" i="73" s="1"/>
  <c r="X173" i="11"/>
  <c r="V88" i="31" s="1"/>
  <c r="U173" i="11"/>
  <c r="S88" i="31" s="1"/>
  <c r="Y88" i="31"/>
  <c r="AS226" i="11"/>
  <c r="AL260" i="31" s="1"/>
  <c r="AD226" i="11"/>
  <c r="AG226" i="11" s="1"/>
  <c r="AE260" i="31" s="1"/>
  <c r="AL226" i="11"/>
  <c r="AC199" i="11"/>
  <c r="AF59" i="11"/>
  <c r="AM59" i="11" s="1"/>
  <c r="AB34" i="73"/>
  <c r="S18" i="73"/>
  <c r="U18" i="73" s="1"/>
  <c r="AB18" i="73" s="1"/>
  <c r="U189" i="11"/>
  <c r="AA189" i="11" s="1"/>
  <c r="Y201" i="31" s="1"/>
  <c r="W189" i="11"/>
  <c r="U201" i="31" s="1"/>
  <c r="AV248" i="31"/>
  <c r="R142" i="11"/>
  <c r="X142" i="11" s="1"/>
  <c r="V39" i="31" s="1"/>
  <c r="S190" i="73"/>
  <c r="AQ200" i="31" s="1"/>
  <c r="AJ190" i="73"/>
  <c r="AC182" i="11"/>
  <c r="AC193" i="73"/>
  <c r="BB205" i="73"/>
  <c r="AL148" i="73"/>
  <c r="BD205" i="73"/>
  <c r="AN34" i="73"/>
  <c r="AM148" i="73"/>
  <c r="BC205" i="73"/>
  <c r="AM158" i="73"/>
  <c r="BP215" i="73"/>
  <c r="AL158" i="73"/>
  <c r="BQ215" i="73"/>
  <c r="BB215" i="73"/>
  <c r="AO44" i="73"/>
  <c r="S154" i="73"/>
  <c r="AC52" i="31" s="1"/>
  <c r="AA52" i="31"/>
  <c r="Y230" i="11"/>
  <c r="W178" i="31" s="1"/>
  <c r="W230" i="11"/>
  <c r="U268" i="31" s="1"/>
  <c r="O268" i="31"/>
  <c r="U230" i="11"/>
  <c r="S178" i="31" s="1"/>
  <c r="O178" i="31"/>
  <c r="O207" i="31"/>
  <c r="AJ192" i="11"/>
  <c r="AD130" i="73"/>
  <c r="AA16" i="31"/>
  <c r="AD127" i="73"/>
  <c r="AA10" i="31"/>
  <c r="X229" i="73"/>
  <c r="AF229" i="73" s="1"/>
  <c r="W229" i="73"/>
  <c r="AU263" i="31" s="1"/>
  <c r="Y229" i="73"/>
  <c r="AW263" i="31" s="1"/>
  <c r="AA173" i="31"/>
  <c r="T229" i="73"/>
  <c r="AR263" i="31" s="1"/>
  <c r="AA74" i="31"/>
  <c r="U138" i="73"/>
  <c r="AE30" i="31" s="1"/>
  <c r="AK195" i="73"/>
  <c r="W149" i="73"/>
  <c r="T149" i="73"/>
  <c r="Y149" i="73"/>
  <c r="X149" i="73"/>
  <c r="AA14" i="31"/>
  <c r="T142" i="73"/>
  <c r="AD36" i="31" s="1"/>
  <c r="S142" i="73"/>
  <c r="AC36" i="31" s="1"/>
  <c r="AA36" i="31"/>
  <c r="AD163" i="73"/>
  <c r="AF18" i="11"/>
  <c r="V19" i="73"/>
  <c r="X147" i="73"/>
  <c r="Z167" i="73"/>
  <c r="AJ74" i="31" s="1"/>
  <c r="R103" i="73"/>
  <c r="Y103" i="73" s="1"/>
  <c r="Z160" i="73"/>
  <c r="AJ62" i="31" s="1"/>
  <c r="S160" i="73"/>
  <c r="AC62" i="31" s="1"/>
  <c r="S130" i="73"/>
  <c r="U130" i="73" s="1"/>
  <c r="AE16" i="31" s="1"/>
  <c r="AC206" i="73"/>
  <c r="W154" i="73"/>
  <c r="X230" i="11"/>
  <c r="V268" i="31" s="1"/>
  <c r="R53" i="73"/>
  <c r="Y53" i="73" s="1"/>
  <c r="R33" i="73"/>
  <c r="Y33" i="73" s="1"/>
  <c r="Q132" i="73"/>
  <c r="S163" i="73"/>
  <c r="Y163" i="73" s="1"/>
  <c r="AI64" i="31" s="1"/>
  <c r="S129" i="73"/>
  <c r="AC14" i="31" s="1"/>
  <c r="U142" i="73"/>
  <c r="AE36" i="31" s="1"/>
  <c r="O439" i="8"/>
  <c r="L16" i="96" s="1"/>
  <c r="N16" i="96" s="1"/>
  <c r="S57" i="73"/>
  <c r="U57" i="73" s="1"/>
  <c r="T57" i="73"/>
  <c r="V57" i="73" s="1"/>
  <c r="BZ12" i="74"/>
  <c r="CC12" i="74" s="1"/>
  <c r="AF36" i="11"/>
  <c r="AM36" i="11" s="1"/>
  <c r="T36" i="11"/>
  <c r="V36" i="11" s="1"/>
  <c r="Z36" i="11"/>
  <c r="BZ13" i="74"/>
  <c r="BY13" i="74"/>
  <c r="S52" i="73"/>
  <c r="U52" i="73" s="1"/>
  <c r="X33" i="73"/>
  <c r="AA33" i="73"/>
  <c r="S33" i="73"/>
  <c r="U33" i="73" s="1"/>
  <c r="V33" i="73"/>
  <c r="AO192" i="11"/>
  <c r="AH207" i="31" s="1"/>
  <c r="AD192" i="11"/>
  <c r="AB207" i="31" s="1"/>
  <c r="AA207" i="31"/>
  <c r="AC211" i="73"/>
  <c r="AC198" i="11"/>
  <c r="W192" i="73"/>
  <c r="AU204" i="31" s="1"/>
  <c r="AO204" i="31"/>
  <c r="U223" i="73"/>
  <c r="AA223" i="73" s="1"/>
  <c r="AY252" i="31" s="1"/>
  <c r="W223" i="73"/>
  <c r="AG162" i="31" s="1"/>
  <c r="AJ223" i="73"/>
  <c r="Z34" i="73"/>
  <c r="AA34" i="73"/>
  <c r="Z150" i="11"/>
  <c r="AN150" i="11" s="1"/>
  <c r="R36" i="11"/>
  <c r="Y36" i="11" s="1"/>
  <c r="W150" i="11"/>
  <c r="X150" i="11"/>
  <c r="S150" i="11"/>
  <c r="U150" i="11" s="1"/>
  <c r="S200" i="73"/>
  <c r="AC128" i="31" s="1"/>
  <c r="AC204" i="73"/>
  <c r="W163" i="11"/>
  <c r="U65" i="31" s="1"/>
  <c r="R49" i="11"/>
  <c r="Y49" i="11" s="1"/>
  <c r="X163" i="11"/>
  <c r="V65" i="31" s="1"/>
  <c r="Z163" i="11"/>
  <c r="AD141" i="11"/>
  <c r="AK141" i="11" s="1"/>
  <c r="R141" i="11"/>
  <c r="X141" i="11" s="1"/>
  <c r="V37" i="31" s="1"/>
  <c r="S141" i="11"/>
  <c r="Q37" i="31" s="1"/>
  <c r="AC217" i="73"/>
  <c r="Q173" i="73"/>
  <c r="AA173" i="73" s="1"/>
  <c r="O457" i="8"/>
  <c r="L34" i="96" s="1"/>
  <c r="N34" i="96" s="1"/>
  <c r="R106" i="11"/>
  <c r="Y106" i="11" s="1"/>
  <c r="W182" i="11"/>
  <c r="U99" i="31" s="1"/>
  <c r="R182" i="11"/>
  <c r="P189" i="31" s="1"/>
  <c r="CB51" i="74"/>
  <c r="S30" i="11"/>
  <c r="U30" i="11" s="1"/>
  <c r="S28" i="11"/>
  <c r="U28" i="11" s="1"/>
  <c r="AB28" i="11" s="1"/>
  <c r="BZ51" i="74"/>
  <c r="T25" i="73"/>
  <c r="V25" i="73" s="1"/>
  <c r="AC25" i="73" s="1"/>
  <c r="AK204" i="73"/>
  <c r="R40" i="73"/>
  <c r="Y40" i="73" s="1"/>
  <c r="AD164" i="73"/>
  <c r="AK164" i="73" s="1"/>
  <c r="AD167" i="73"/>
  <c r="AK167" i="73" s="1"/>
  <c r="R81" i="73"/>
  <c r="Y81" i="73" s="1"/>
  <c r="W224" i="11"/>
  <c r="U256" i="31" s="1"/>
  <c r="Y156" i="73"/>
  <c r="AI54" i="31" s="1"/>
  <c r="X138" i="73"/>
  <c r="AH30" i="31" s="1"/>
  <c r="W167" i="73"/>
  <c r="S186" i="73"/>
  <c r="AC104" i="31" s="1"/>
  <c r="W156" i="73"/>
  <c r="R43" i="73"/>
  <c r="Y43" i="73" s="1"/>
  <c r="S224" i="11"/>
  <c r="Q256" i="31" s="1"/>
  <c r="AC224" i="73"/>
  <c r="AC207" i="73"/>
  <c r="R74" i="11"/>
  <c r="Y74" i="11" s="1"/>
  <c r="R154" i="73"/>
  <c r="AB52" i="31" s="1"/>
  <c r="U154" i="73"/>
  <c r="AA154" i="73" s="1"/>
  <c r="BZ42" i="74"/>
  <c r="AF20" i="11"/>
  <c r="AM20" i="11" s="1"/>
  <c r="X20" i="11"/>
  <c r="Z20" i="11"/>
  <c r="AB20" i="11"/>
  <c r="AC230" i="11"/>
  <c r="AA54" i="31"/>
  <c r="Z23" i="73"/>
  <c r="Z164" i="73"/>
  <c r="AJ70" i="31" s="1"/>
  <c r="AK221" i="73"/>
  <c r="AK74" i="31"/>
  <c r="AK224" i="73"/>
  <c r="R138" i="73"/>
  <c r="AB30" i="31" s="1"/>
  <c r="T138" i="73"/>
  <c r="AD30" i="31" s="1"/>
  <c r="AA30" i="31"/>
  <c r="S49" i="11"/>
  <c r="U49" i="11" s="1"/>
  <c r="AB49" i="11"/>
  <c r="T49" i="11"/>
  <c r="V49" i="11" s="1"/>
  <c r="AF17" i="11"/>
  <c r="AB17" i="11"/>
  <c r="Z17" i="11"/>
  <c r="V17" i="11"/>
  <c r="AC17" i="11" s="1"/>
  <c r="S150" i="73"/>
  <c r="AC46" i="31" s="1"/>
  <c r="AK46" i="31"/>
  <c r="AA46" i="31"/>
  <c r="AA26" i="31"/>
  <c r="X224" i="11"/>
  <c r="V166" i="31" s="1"/>
  <c r="AJ224" i="11"/>
  <c r="U224" i="11"/>
  <c r="S256" i="31" s="1"/>
  <c r="AA25" i="73"/>
  <c r="X25" i="73"/>
  <c r="T147" i="73"/>
  <c r="Y147" i="73"/>
  <c r="AD150" i="73"/>
  <c r="AK150" i="73" s="1"/>
  <c r="W186" i="73"/>
  <c r="AU194" i="31" s="1"/>
  <c r="S167" i="73"/>
  <c r="AC74" i="31" s="1"/>
  <c r="S164" i="73"/>
  <c r="AC70" i="31" s="1"/>
  <c r="Y167" i="73"/>
  <c r="AI74" i="31" s="1"/>
  <c r="AK70" i="31"/>
  <c r="T167" i="73"/>
  <c r="AD74" i="31" s="1"/>
  <c r="R164" i="73"/>
  <c r="AB70" i="31" s="1"/>
  <c r="R150" i="73"/>
  <c r="AB46" i="31" s="1"/>
  <c r="S138" i="73"/>
  <c r="AC30" i="31" s="1"/>
  <c r="R157" i="73"/>
  <c r="AB56" i="31" s="1"/>
  <c r="Q153" i="73"/>
  <c r="AA153" i="73" s="1"/>
  <c r="AC186" i="73"/>
  <c r="W150" i="73"/>
  <c r="S25" i="73"/>
  <c r="U25" i="73" s="1"/>
  <c r="AB25" i="73" s="1"/>
  <c r="R107" i="73"/>
  <c r="Y107" i="73" s="1"/>
  <c r="R110" i="73"/>
  <c r="Y110" i="73" s="1"/>
  <c r="AD138" i="73"/>
  <c r="AK138" i="73" s="1"/>
  <c r="R136" i="73"/>
  <c r="R59" i="11"/>
  <c r="Y59" i="11" s="1"/>
  <c r="R173" i="11"/>
  <c r="P88" i="31" s="1"/>
  <c r="AD173" i="11"/>
  <c r="AK173" i="11" s="1"/>
  <c r="R116" i="11"/>
  <c r="Y116" i="11" s="1"/>
  <c r="W173" i="11"/>
  <c r="U88" i="31" s="1"/>
  <c r="Z173" i="11"/>
  <c r="AN173" i="11" s="1"/>
  <c r="AR226" i="11"/>
  <c r="AK260" i="31" s="1"/>
  <c r="AE226" i="11"/>
  <c r="AC260" i="31" s="1"/>
  <c r="AC214" i="73"/>
  <c r="S59" i="11"/>
  <c r="U59" i="11" s="1"/>
  <c r="T59" i="11"/>
  <c r="Z59" i="11"/>
  <c r="X59" i="11"/>
  <c r="AC195" i="73"/>
  <c r="AF18" i="73"/>
  <c r="AM18" i="73" s="1"/>
  <c r="R189" i="11"/>
  <c r="X189" i="11" s="1"/>
  <c r="R28" i="11"/>
  <c r="Y28" i="11" s="1"/>
  <c r="R85" i="11"/>
  <c r="Y85" i="11" s="1"/>
  <c r="AD142" i="11"/>
  <c r="AK199" i="11"/>
  <c r="R190" i="73"/>
  <c r="AF190" i="73" s="1"/>
  <c r="AR190" i="73" s="1"/>
  <c r="BK200" i="31" s="1"/>
  <c r="Q171" i="73"/>
  <c r="Q139" i="73"/>
  <c r="O451" i="8"/>
  <c r="L28" i="96" s="1"/>
  <c r="N28" i="96" s="1"/>
  <c r="O449" i="8"/>
  <c r="L26" i="96" s="1"/>
  <c r="N26" i="96" s="1"/>
  <c r="Q145" i="73"/>
  <c r="AA145" i="73" s="1"/>
  <c r="AJ182" i="11"/>
  <c r="Q131" i="73"/>
  <c r="Y172" i="11"/>
  <c r="W86" i="31" s="1"/>
  <c r="U129" i="11"/>
  <c r="Z45" i="73"/>
  <c r="AM208" i="11"/>
  <c r="Y183" i="11"/>
  <c r="W101" i="31" s="1"/>
  <c r="U169" i="11"/>
  <c r="S80" i="31" s="1"/>
  <c r="S139" i="31"/>
  <c r="S229" i="31"/>
  <c r="AP47" i="11"/>
  <c r="AN47" i="11"/>
  <c r="BB218" i="11"/>
  <c r="AM161" i="11"/>
  <c r="AL161" i="11"/>
  <c r="AJ163" i="73"/>
  <c r="AO47" i="11"/>
  <c r="BC218" i="11"/>
  <c r="AJ161" i="11"/>
  <c r="AP49" i="73"/>
  <c r="BE218" i="11"/>
  <c r="AL47" i="11"/>
  <c r="BD218" i="11"/>
  <c r="AK220" i="73"/>
  <c r="O221" i="31"/>
  <c r="AJ201" i="11"/>
  <c r="O131" i="31"/>
  <c r="S201" i="11"/>
  <c r="Y201" i="11" s="1"/>
  <c r="R201" i="11"/>
  <c r="X201" i="11" s="1"/>
  <c r="U201" i="11"/>
  <c r="AA201" i="11" s="1"/>
  <c r="AC201" i="11"/>
  <c r="AT201" i="11" s="1"/>
  <c r="W201" i="11"/>
  <c r="P19" i="31"/>
  <c r="T130" i="11"/>
  <c r="R19" i="31" s="1"/>
  <c r="BD226" i="73"/>
  <c r="AN55" i="73"/>
  <c r="BE226" i="73"/>
  <c r="BC226" i="73"/>
  <c r="AL55" i="73"/>
  <c r="AM55" i="73" s="1"/>
  <c r="AM169" i="73"/>
  <c r="AO55" i="73"/>
  <c r="BB226" i="73"/>
  <c r="AN169" i="73"/>
  <c r="AL169" i="73"/>
  <c r="Z55" i="73"/>
  <c r="AA55" i="73"/>
  <c r="X55" i="73"/>
  <c r="AB55" i="73"/>
  <c r="O25" i="31"/>
  <c r="AK191" i="11"/>
  <c r="S134" i="11"/>
  <c r="Q25" i="31" s="1"/>
  <c r="R134" i="11"/>
  <c r="Z134" i="11"/>
  <c r="R77" i="11"/>
  <c r="Y77" i="11" s="1"/>
  <c r="Y134" i="11"/>
  <c r="W25" i="31" s="1"/>
  <c r="X134" i="11"/>
  <c r="V25" i="31" s="1"/>
  <c r="W134" i="11"/>
  <c r="U25" i="31" s="1"/>
  <c r="AD134" i="11"/>
  <c r="AK134" i="11" s="1"/>
  <c r="R20" i="11"/>
  <c r="Y20" i="11" s="1"/>
  <c r="AL187" i="11"/>
  <c r="AE187" i="11"/>
  <c r="AC199" i="31" s="1"/>
  <c r="AD187" i="11"/>
  <c r="AA199" i="31"/>
  <c r="AO187" i="11"/>
  <c r="AH199" i="31" s="1"/>
  <c r="AM199" i="31"/>
  <c r="AR187" i="11"/>
  <c r="AK199" i="31" s="1"/>
  <c r="AP187" i="11"/>
  <c r="AI199" i="31" s="1"/>
  <c r="AS187" i="11"/>
  <c r="AL199" i="31" s="1"/>
  <c r="AQ187" i="11"/>
  <c r="AJ199" i="31" s="1"/>
  <c r="S199" i="31"/>
  <c r="S109" i="31"/>
  <c r="V199" i="31"/>
  <c r="V109" i="31"/>
  <c r="Q109" i="31"/>
  <c r="Q199" i="31"/>
  <c r="V115" i="31"/>
  <c r="V205" i="31"/>
  <c r="Y115" i="31"/>
  <c r="Y205" i="31"/>
  <c r="W205" i="31"/>
  <c r="W115" i="31"/>
  <c r="P205" i="31"/>
  <c r="T191" i="11"/>
  <c r="P115" i="31"/>
  <c r="AF191" i="11"/>
  <c r="AD205" i="31" s="1"/>
  <c r="P245" i="31"/>
  <c r="P155" i="31"/>
  <c r="T220" i="11"/>
  <c r="AF220" i="11"/>
  <c r="AD245" i="31" s="1"/>
  <c r="Q245" i="31"/>
  <c r="Q155" i="31"/>
  <c r="BY56" i="74"/>
  <c r="CA56" i="74"/>
  <c r="BZ56" i="74"/>
  <c r="CB56" i="74"/>
  <c r="BY52" i="74"/>
  <c r="CA52" i="74"/>
  <c r="BZ52" i="74"/>
  <c r="CB52" i="74"/>
  <c r="Q172" i="73"/>
  <c r="AA172" i="73" s="1"/>
  <c r="AL208" i="11"/>
  <c r="AA229" i="31"/>
  <c r="AS208" i="11"/>
  <c r="AL229" i="31" s="1"/>
  <c r="AD208" i="11"/>
  <c r="AM229" i="31"/>
  <c r="AP208" i="11"/>
  <c r="AI229" i="31" s="1"/>
  <c r="AQ208" i="11"/>
  <c r="AJ229" i="31" s="1"/>
  <c r="AR208" i="11"/>
  <c r="AK229" i="31" s="1"/>
  <c r="AO208" i="11"/>
  <c r="AH229" i="31" s="1"/>
  <c r="AE208" i="11"/>
  <c r="AC229" i="31" s="1"/>
  <c r="X139" i="31"/>
  <c r="X229" i="31"/>
  <c r="U229" i="31"/>
  <c r="U139" i="31"/>
  <c r="W139" i="31"/>
  <c r="W229" i="31"/>
  <c r="P49" i="31"/>
  <c r="T151" i="11"/>
  <c r="R49" i="31" s="1"/>
  <c r="AO21" i="11"/>
  <c r="BC192" i="11"/>
  <c r="AL21" i="11"/>
  <c r="AM135" i="11"/>
  <c r="BD192" i="11"/>
  <c r="AP21" i="11"/>
  <c r="AL135" i="11"/>
  <c r="BB192" i="11"/>
  <c r="BE192" i="11"/>
  <c r="AJ137" i="73"/>
  <c r="AN21" i="11"/>
  <c r="AJ135" i="11"/>
  <c r="Z21" i="11"/>
  <c r="W135" i="11"/>
  <c r="U27" i="31" s="1"/>
  <c r="AA211" i="31"/>
  <c r="AL194" i="11"/>
  <c r="AD194" i="11"/>
  <c r="AP194" i="11" s="1"/>
  <c r="AI211" i="31" s="1"/>
  <c r="AO194" i="11"/>
  <c r="AH211" i="31" s="1"/>
  <c r="AE194" i="11"/>
  <c r="AC211" i="31" s="1"/>
  <c r="AB108" i="31"/>
  <c r="AP198" i="31"/>
  <c r="T188" i="73"/>
  <c r="Z188" i="73" s="1"/>
  <c r="AX198" i="31" s="1"/>
  <c r="U151" i="31"/>
  <c r="U241" i="31"/>
  <c r="V170" i="31"/>
  <c r="V260" i="31"/>
  <c r="AF226" i="11"/>
  <c r="AD260" i="31" s="1"/>
  <c r="AG100" i="31"/>
  <c r="AU190" i="31"/>
  <c r="AH108" i="31"/>
  <c r="AV198" i="31"/>
  <c r="AB160" i="31"/>
  <c r="T221" i="73"/>
  <c r="AP250" i="31"/>
  <c r="AF221" i="73"/>
  <c r="AK171" i="31"/>
  <c r="AY261" i="31"/>
  <c r="AW190" i="31"/>
  <c r="AI100" i="31"/>
  <c r="BZ10" i="74"/>
  <c r="CB10" i="74"/>
  <c r="CA10" i="74"/>
  <c r="BY10" i="74"/>
  <c r="CA32" i="74"/>
  <c r="BZ32" i="74"/>
  <c r="BY32" i="74"/>
  <c r="CB32" i="74"/>
  <c r="CC32" i="74" s="1"/>
  <c r="Q155" i="73"/>
  <c r="AA155" i="73" s="1"/>
  <c r="AQ198" i="31"/>
  <c r="AC108" i="31"/>
  <c r="O227" i="31"/>
  <c r="S206" i="11"/>
  <c r="U206" i="11" s="1"/>
  <c r="AJ206" i="11"/>
  <c r="O137" i="31"/>
  <c r="R206" i="11"/>
  <c r="Y206" i="11"/>
  <c r="X206" i="11"/>
  <c r="Z206" i="11"/>
  <c r="W206" i="11"/>
  <c r="AC206" i="11"/>
  <c r="AT206" i="11" s="1"/>
  <c r="AA206" i="11"/>
  <c r="V203" i="31"/>
  <c r="V113" i="31"/>
  <c r="AY190" i="31"/>
  <c r="BY15" i="74"/>
  <c r="CA15" i="74"/>
  <c r="BZ15" i="74"/>
  <c r="CB15" i="74"/>
  <c r="BZ7" i="74"/>
  <c r="BY7" i="74"/>
  <c r="CA7" i="74"/>
  <c r="CB7" i="74"/>
  <c r="BY26" i="74"/>
  <c r="BZ26" i="74"/>
  <c r="CB26" i="74"/>
  <c r="CA26" i="74"/>
  <c r="AK167" i="31"/>
  <c r="AY257" i="31"/>
  <c r="W129" i="31"/>
  <c r="W219" i="31"/>
  <c r="W176" i="31"/>
  <c r="W266" i="31"/>
  <c r="AE140" i="31"/>
  <c r="AS230" i="31"/>
  <c r="AH144" i="31"/>
  <c r="AV234" i="31"/>
  <c r="AY234" i="31"/>
  <c r="AK144" i="31"/>
  <c r="AW220" i="31"/>
  <c r="AI130" i="31"/>
  <c r="U220" i="11"/>
  <c r="AL164" i="11"/>
  <c r="AL50" i="11"/>
  <c r="BE221" i="11"/>
  <c r="AP50" i="11"/>
  <c r="BC221" i="11"/>
  <c r="BB221" i="11"/>
  <c r="AN50" i="11"/>
  <c r="AJ166" i="73"/>
  <c r="AM164" i="11"/>
  <c r="AP52" i="73"/>
  <c r="AJ164" i="11"/>
  <c r="BD221" i="11"/>
  <c r="AO50" i="11"/>
  <c r="BY7" i="45"/>
  <c r="CA7" i="45"/>
  <c r="BZ7" i="45"/>
  <c r="CB7" i="45"/>
  <c r="O41" i="31"/>
  <c r="AD144" i="11"/>
  <c r="S144" i="11"/>
  <c r="Q41" i="31" s="1"/>
  <c r="R30" i="11"/>
  <c r="Y30" i="11" s="1"/>
  <c r="R87" i="11"/>
  <c r="Y87" i="11" s="1"/>
  <c r="R144" i="11"/>
  <c r="CA26" i="45"/>
  <c r="CB26" i="45"/>
  <c r="BZ26" i="45"/>
  <c r="BY26" i="45"/>
  <c r="BB225" i="11"/>
  <c r="BD225" i="11"/>
  <c r="BC225" i="11"/>
  <c r="AP54" i="11"/>
  <c r="AL168" i="11"/>
  <c r="AM168" i="11"/>
  <c r="CC50" i="45"/>
  <c r="AA168" i="11" s="1"/>
  <c r="AO168" i="11" s="1"/>
  <c r="AP56" i="73"/>
  <c r="BE225" i="11"/>
  <c r="AJ168" i="11"/>
  <c r="AO54" i="11"/>
  <c r="AJ170" i="73"/>
  <c r="AN54" i="11"/>
  <c r="AL54" i="11"/>
  <c r="AK225" i="11"/>
  <c r="W168" i="11"/>
  <c r="U78" i="31" s="1"/>
  <c r="AB54" i="11"/>
  <c r="X168" i="11"/>
  <c r="V78" i="31" s="1"/>
  <c r="Z168" i="11"/>
  <c r="X78" i="31" s="1"/>
  <c r="Z54" i="11"/>
  <c r="AA54" i="11"/>
  <c r="X54" i="11"/>
  <c r="Z37" i="11"/>
  <c r="AB37" i="11"/>
  <c r="AA37" i="11"/>
  <c r="T37" i="11"/>
  <c r="V37" i="11" s="1"/>
  <c r="X37" i="11"/>
  <c r="S37" i="11"/>
  <c r="U37" i="11" s="1"/>
  <c r="AF37" i="11"/>
  <c r="AM37" i="11" s="1"/>
  <c r="U109" i="31"/>
  <c r="U199" i="31"/>
  <c r="Y109" i="31"/>
  <c r="Y199" i="31"/>
  <c r="P199" i="31"/>
  <c r="T187" i="11"/>
  <c r="Z187" i="11" s="1"/>
  <c r="X109" i="31" s="1"/>
  <c r="P109" i="31"/>
  <c r="AF187" i="11"/>
  <c r="AD199" i="31" s="1"/>
  <c r="Q205" i="31"/>
  <c r="Q115" i="31"/>
  <c r="U205" i="31"/>
  <c r="U115" i="31"/>
  <c r="X205" i="31"/>
  <c r="X115" i="31"/>
  <c r="U155" i="31"/>
  <c r="U245" i="31"/>
  <c r="V245" i="31"/>
  <c r="V155" i="31"/>
  <c r="W245" i="31"/>
  <c r="W155" i="31"/>
  <c r="X155" i="31"/>
  <c r="X245" i="31"/>
  <c r="Y245" i="31"/>
  <c r="Y155" i="31"/>
  <c r="BE227" i="73"/>
  <c r="CC50" i="74"/>
  <c r="AA170" i="73" s="1"/>
  <c r="AO56" i="73"/>
  <c r="BC227" i="73"/>
  <c r="AN56" i="73"/>
  <c r="BD227" i="73"/>
  <c r="AN170" i="73"/>
  <c r="AM170" i="73"/>
  <c r="AL56" i="73"/>
  <c r="AL170" i="73"/>
  <c r="BB227" i="73"/>
  <c r="AA56" i="73"/>
  <c r="X56" i="73"/>
  <c r="Z56" i="73"/>
  <c r="AB56" i="73"/>
  <c r="Q176" i="73"/>
  <c r="AA176" i="73" s="1"/>
  <c r="P139" i="31"/>
  <c r="T208" i="11"/>
  <c r="P229" i="31"/>
  <c r="AF208" i="11"/>
  <c r="AD229" i="31" s="1"/>
  <c r="Y229" i="31"/>
  <c r="Y139" i="31"/>
  <c r="Q229" i="31"/>
  <c r="Q139" i="31"/>
  <c r="V139" i="31"/>
  <c r="V229" i="31"/>
  <c r="BB190" i="11"/>
  <c r="BC190" i="11"/>
  <c r="BD190" i="11"/>
  <c r="BE190" i="11"/>
  <c r="AM133" i="11"/>
  <c r="AL133" i="11"/>
  <c r="AP19" i="11"/>
  <c r="AL19" i="11"/>
  <c r="AJ133" i="11"/>
  <c r="AO19" i="11"/>
  <c r="AN19" i="11"/>
  <c r="X19" i="11"/>
  <c r="AB19" i="11"/>
  <c r="AK190" i="11"/>
  <c r="Z19" i="11"/>
  <c r="AA19" i="11"/>
  <c r="Z133" i="11"/>
  <c r="X23" i="31" s="1"/>
  <c r="X133" i="11"/>
  <c r="V23" i="31" s="1"/>
  <c r="W133" i="11"/>
  <c r="U23" i="31" s="1"/>
  <c r="P17" i="31"/>
  <c r="T129" i="11"/>
  <c r="R17" i="31" s="1"/>
  <c r="AG138" i="31"/>
  <c r="AU228" i="31"/>
  <c r="AB124" i="31"/>
  <c r="AP214" i="31"/>
  <c r="T197" i="73"/>
  <c r="AI134" i="31"/>
  <c r="AW224" i="31"/>
  <c r="Q140" i="73"/>
  <c r="AH160" i="31"/>
  <c r="AV250" i="31"/>
  <c r="T17" i="73"/>
  <c r="V17" i="73" s="1"/>
  <c r="AF17" i="73"/>
  <c r="AM17" i="73" s="1"/>
  <c r="S17" i="73"/>
  <c r="U17" i="73" s="1"/>
  <c r="T26" i="73"/>
  <c r="V26" i="73" s="1"/>
  <c r="AF26" i="73"/>
  <c r="S26" i="73"/>
  <c r="U26" i="73" s="1"/>
  <c r="AY224" i="31"/>
  <c r="T14" i="73"/>
  <c r="V14" i="73" s="1"/>
  <c r="S14" i="73"/>
  <c r="U14" i="73" s="1"/>
  <c r="AF14" i="73"/>
  <c r="AM14" i="73" s="1"/>
  <c r="AF20" i="73"/>
  <c r="S20" i="73"/>
  <c r="U20" i="73" s="1"/>
  <c r="AB20" i="73" s="1"/>
  <c r="X20" i="73"/>
  <c r="T20" i="73"/>
  <c r="AA20" i="73" s="1"/>
  <c r="Z149" i="11"/>
  <c r="O47" i="31"/>
  <c r="AK206" i="11"/>
  <c r="R92" i="11"/>
  <c r="Y92" i="11" s="1"/>
  <c r="R35" i="11"/>
  <c r="Y35" i="11" s="1"/>
  <c r="W149" i="11"/>
  <c r="U47" i="31" s="1"/>
  <c r="Y149" i="11"/>
  <c r="W47" i="31" s="1"/>
  <c r="X149" i="11"/>
  <c r="V47" i="31" s="1"/>
  <c r="AD149" i="11"/>
  <c r="AK149" i="11" s="1"/>
  <c r="R149" i="11"/>
  <c r="S149" i="11"/>
  <c r="Q47" i="31" s="1"/>
  <c r="W203" i="31"/>
  <c r="W113" i="31"/>
  <c r="AX257" i="31"/>
  <c r="AJ167" i="31"/>
  <c r="AW208" i="31"/>
  <c r="AI118" i="31"/>
  <c r="AK132" i="31"/>
  <c r="AY222" i="31"/>
  <c r="AI169" i="31"/>
  <c r="AW259" i="31"/>
  <c r="AC191" i="11"/>
  <c r="AT191" i="11" s="1"/>
  <c r="U191" i="11"/>
  <c r="X197" i="73"/>
  <c r="U187" i="73"/>
  <c r="CA20" i="74"/>
  <c r="CB20" i="74"/>
  <c r="BZ20" i="74"/>
  <c r="BY20" i="74"/>
  <c r="AJ212" i="73"/>
  <c r="AA212" i="73"/>
  <c r="AM212" i="73" s="1"/>
  <c r="X212" i="73"/>
  <c r="Y212" i="73"/>
  <c r="U212" i="73"/>
  <c r="W212" i="73"/>
  <c r="Z212" i="73"/>
  <c r="S212" i="73"/>
  <c r="R212" i="73"/>
  <c r="AI124" i="31"/>
  <c r="AW214" i="31"/>
  <c r="Q128" i="73"/>
  <c r="Q151" i="31"/>
  <c r="Q241" i="31"/>
  <c r="AS214" i="31"/>
  <c r="AE124" i="31"/>
  <c r="AA150" i="31"/>
  <c r="AO240" i="31"/>
  <c r="AJ216" i="73"/>
  <c r="W216" i="73"/>
  <c r="S216" i="73"/>
  <c r="U216" i="73" s="1"/>
  <c r="R216" i="73"/>
  <c r="X216" i="73" s="1"/>
  <c r="U203" i="31"/>
  <c r="U113" i="31"/>
  <c r="AG89" i="31"/>
  <c r="O11" i="31"/>
  <c r="R69" i="11"/>
  <c r="Y69" i="11" s="1"/>
  <c r="AD126" i="11"/>
  <c r="R12" i="11"/>
  <c r="Y12" i="11" s="1"/>
  <c r="S126" i="11"/>
  <c r="Q11" i="31" s="1"/>
  <c r="R126" i="11"/>
  <c r="S204" i="11"/>
  <c r="Y204" i="11" s="1"/>
  <c r="W204" i="11"/>
  <c r="AC204" i="11"/>
  <c r="AT204" i="11" s="1"/>
  <c r="R204" i="11"/>
  <c r="X204" i="11" s="1"/>
  <c r="AJ204" i="11"/>
  <c r="AP18" i="11"/>
  <c r="AJ134" i="73"/>
  <c r="AL132" i="11"/>
  <c r="BQ189" i="11"/>
  <c r="AO18" i="11"/>
  <c r="P101" i="31"/>
  <c r="P191" i="31"/>
  <c r="T183" i="11"/>
  <c r="AF183" i="11"/>
  <c r="AD191" i="31" s="1"/>
  <c r="Q191" i="31"/>
  <c r="Q101" i="31"/>
  <c r="U101" i="31"/>
  <c r="U191" i="31"/>
  <c r="BZ56" i="45"/>
  <c r="BY56" i="45"/>
  <c r="CA56" i="45"/>
  <c r="CB56" i="45"/>
  <c r="AK231" i="11" s="1"/>
  <c r="P260" i="31"/>
  <c r="P170" i="31"/>
  <c r="T226" i="11"/>
  <c r="Z226" i="11" s="1"/>
  <c r="X260" i="31" s="1"/>
  <c r="T194" i="11"/>
  <c r="Z194" i="11" s="1"/>
  <c r="X211" i="31" s="1"/>
  <c r="P211" i="31"/>
  <c r="P121" i="31"/>
  <c r="AF194" i="11"/>
  <c r="AD211" i="31" s="1"/>
  <c r="Y121" i="31"/>
  <c r="Y211" i="31"/>
  <c r="Q211" i="31"/>
  <c r="Q121" i="31"/>
  <c r="U211" i="31"/>
  <c r="U121" i="31"/>
  <c r="AJ171" i="31"/>
  <c r="AX261" i="31"/>
  <c r="AB171" i="31"/>
  <c r="AP261" i="31"/>
  <c r="P151" i="31"/>
  <c r="P241" i="31"/>
  <c r="T215" i="11"/>
  <c r="AF215" i="11"/>
  <c r="AD241" i="31" s="1"/>
  <c r="Y151" i="31"/>
  <c r="Y241" i="31"/>
  <c r="Q264" i="31"/>
  <c r="Q174" i="31"/>
  <c r="X174" i="31"/>
  <c r="X264" i="31"/>
  <c r="P174" i="31"/>
  <c r="P264" i="31"/>
  <c r="T228" i="11"/>
  <c r="U264" i="31"/>
  <c r="U174" i="31"/>
  <c r="T207" i="11"/>
  <c r="AF207" i="11"/>
  <c r="O21" i="31"/>
  <c r="S132" i="11"/>
  <c r="Q21" i="31" s="1"/>
  <c r="R75" i="11"/>
  <c r="Y75" i="11" s="1"/>
  <c r="AD132" i="11"/>
  <c r="R18" i="11"/>
  <c r="Y18" i="11" s="1"/>
  <c r="R132" i="11"/>
  <c r="BS201" i="73"/>
  <c r="BQ201" i="73"/>
  <c r="AN30" i="73"/>
  <c r="BP201" i="73"/>
  <c r="BO201" i="73"/>
  <c r="CC46" i="74"/>
  <c r="AC52" i="73" s="1"/>
  <c r="AO52" i="73"/>
  <c r="AL166" i="73"/>
  <c r="AN166" i="73"/>
  <c r="AL52" i="73"/>
  <c r="BC223" i="73"/>
  <c r="AN52" i="73"/>
  <c r="AM166" i="73"/>
  <c r="BD223" i="73"/>
  <c r="BB223" i="73"/>
  <c r="BE223" i="73"/>
  <c r="T28" i="73"/>
  <c r="AA28" i="73"/>
  <c r="AB28" i="73"/>
  <c r="X28" i="73"/>
  <c r="V28" i="73"/>
  <c r="Z28" i="73"/>
  <c r="S28" i="73"/>
  <c r="U28" i="73" s="1"/>
  <c r="AF28" i="73"/>
  <c r="AM28" i="73" s="1"/>
  <c r="T30" i="73"/>
  <c r="V30" i="73" s="1"/>
  <c r="AF30" i="73"/>
  <c r="S30" i="73"/>
  <c r="U30" i="73" s="1"/>
  <c r="AX228" i="31"/>
  <c r="AJ138" i="31"/>
  <c r="AC134" i="31"/>
  <c r="AQ224" i="31"/>
  <c r="BY44" i="74"/>
  <c r="BZ44" i="74"/>
  <c r="CA44" i="74"/>
  <c r="CB44" i="74"/>
  <c r="CC44" i="74" s="1"/>
  <c r="T16" i="73"/>
  <c r="V16" i="73" s="1"/>
  <c r="S16" i="73"/>
  <c r="U16" i="73" s="1"/>
  <c r="AF16" i="73"/>
  <c r="X44" i="73"/>
  <c r="T44" i="73"/>
  <c r="AA44" i="73" s="1"/>
  <c r="V44" i="73"/>
  <c r="S44" i="73"/>
  <c r="U44" i="73" s="1"/>
  <c r="AB44" i="73" s="1"/>
  <c r="AF44" i="73"/>
  <c r="AQ228" i="31"/>
  <c r="AC138" i="31"/>
  <c r="AS228" i="31"/>
  <c r="AE138" i="31"/>
  <c r="AK208" i="73"/>
  <c r="AA48" i="31"/>
  <c r="AK48" i="31"/>
  <c r="R94" i="73"/>
  <c r="Y94" i="73" s="1"/>
  <c r="R37" i="73"/>
  <c r="Y37" i="73" s="1"/>
  <c r="AD151" i="73"/>
  <c r="AK151" i="73" s="1"/>
  <c r="Z151" i="73"/>
  <c r="AJ48" i="31" s="1"/>
  <c r="S151" i="73"/>
  <c r="AC48" i="31" s="1"/>
  <c r="R151" i="73"/>
  <c r="AB48" i="31" s="1"/>
  <c r="T151" i="73"/>
  <c r="AD48" i="31" s="1"/>
  <c r="X151" i="73"/>
  <c r="AH48" i="31" s="1"/>
  <c r="Y151" i="73"/>
  <c r="AI48" i="31" s="1"/>
  <c r="U151" i="73"/>
  <c r="AE48" i="31" s="1"/>
  <c r="W151" i="73"/>
  <c r="X219" i="73"/>
  <c r="Z219" i="73"/>
  <c r="W219" i="73"/>
  <c r="Y219" i="73"/>
  <c r="AA219" i="73"/>
  <c r="AM219" i="73" s="1"/>
  <c r="U219" i="73"/>
  <c r="S219" i="73"/>
  <c r="AJ219" i="73"/>
  <c r="AC219" i="73"/>
  <c r="AT219" i="73" s="1"/>
  <c r="R219" i="73"/>
  <c r="AK227" i="73"/>
  <c r="AA79" i="31"/>
  <c r="S170" i="73"/>
  <c r="AC79" i="31" s="1"/>
  <c r="R113" i="73"/>
  <c r="Y113" i="73" s="1"/>
  <c r="R56" i="73"/>
  <c r="Y56" i="73" s="1"/>
  <c r="AD170" i="73"/>
  <c r="AK170" i="73" s="1"/>
  <c r="X170" i="73"/>
  <c r="AH79" i="31" s="1"/>
  <c r="Z170" i="73"/>
  <c r="AJ79" i="31" s="1"/>
  <c r="W170" i="73"/>
  <c r="L55" i="68" s="1"/>
  <c r="R170" i="73"/>
  <c r="AB79" i="31" s="1"/>
  <c r="AA28" i="31"/>
  <c r="R23" i="73"/>
  <c r="Y23" i="73" s="1"/>
  <c r="R80" i="73"/>
  <c r="Y80" i="73" s="1"/>
  <c r="AD137" i="73"/>
  <c r="W137" i="73"/>
  <c r="R137" i="73"/>
  <c r="AB28" i="31" s="1"/>
  <c r="S137" i="73"/>
  <c r="AC28" i="31" s="1"/>
  <c r="AP228" i="31"/>
  <c r="AB138" i="31"/>
  <c r="T208" i="73"/>
  <c r="AF208" i="73"/>
  <c r="AA44" i="31"/>
  <c r="AD148" i="73"/>
  <c r="R148" i="73"/>
  <c r="AB44" i="31" s="1"/>
  <c r="S148" i="73"/>
  <c r="AC44" i="31" s="1"/>
  <c r="W148" i="73"/>
  <c r="R91" i="73"/>
  <c r="Y91" i="73" s="1"/>
  <c r="R34" i="73"/>
  <c r="Y34" i="73" s="1"/>
  <c r="S141" i="73"/>
  <c r="U141" i="73"/>
  <c r="X141" i="73"/>
  <c r="R141" i="73"/>
  <c r="W141" i="73"/>
  <c r="L27" i="68" s="1"/>
  <c r="AD141" i="73"/>
  <c r="AK141" i="73" s="1"/>
  <c r="Z141" i="73"/>
  <c r="T141" i="73"/>
  <c r="AK198" i="73"/>
  <c r="Y141" i="73"/>
  <c r="R27" i="73"/>
  <c r="Y27" i="73" s="1"/>
  <c r="R84" i="73"/>
  <c r="Y84" i="73" s="1"/>
  <c r="U162" i="73"/>
  <c r="X162" i="73"/>
  <c r="T162" i="73"/>
  <c r="Y162" i="73"/>
  <c r="R162" i="73"/>
  <c r="Z162" i="73"/>
  <c r="S162" i="73"/>
  <c r="AK219" i="73"/>
  <c r="W162" i="73"/>
  <c r="R105" i="73"/>
  <c r="Y105" i="73" s="1"/>
  <c r="AD162" i="73"/>
  <c r="AK162" i="73" s="1"/>
  <c r="R48" i="73"/>
  <c r="Y48" i="73" s="1"/>
  <c r="AA77" i="31"/>
  <c r="AK226" i="73"/>
  <c r="S169" i="73"/>
  <c r="AC77" i="31" s="1"/>
  <c r="R112" i="73"/>
  <c r="Y112" i="73" s="1"/>
  <c r="R169" i="73"/>
  <c r="AB77" i="31" s="1"/>
  <c r="U169" i="73"/>
  <c r="AE77" i="31" s="1"/>
  <c r="R55" i="73"/>
  <c r="Y55" i="73" s="1"/>
  <c r="W169" i="73"/>
  <c r="L54" i="68" s="1"/>
  <c r="AD169" i="73"/>
  <c r="CA45" i="74"/>
  <c r="BY45" i="74"/>
  <c r="CB45" i="74"/>
  <c r="CC45" i="74" s="1"/>
  <c r="BZ45" i="74"/>
  <c r="BY47" i="74"/>
  <c r="CA47" i="74"/>
  <c r="BZ47" i="74"/>
  <c r="CB47" i="74"/>
  <c r="CC47" i="74" s="1"/>
  <c r="BY25" i="74"/>
  <c r="CA25" i="74"/>
  <c r="CB25" i="74"/>
  <c r="CC25" i="74" s="1"/>
  <c r="BZ25" i="74"/>
  <c r="Z35" i="11"/>
  <c r="AF35" i="11"/>
  <c r="AM35" i="11" s="1"/>
  <c r="X35" i="11"/>
  <c r="AA35" i="11"/>
  <c r="AB35" i="11"/>
  <c r="T35" i="11"/>
  <c r="V35" i="11" s="1"/>
  <c r="S35" i="11"/>
  <c r="U35" i="11" s="1"/>
  <c r="T32" i="73"/>
  <c r="V32" i="73" s="1"/>
  <c r="AF32" i="73"/>
  <c r="S32" i="73"/>
  <c r="U32" i="73" s="1"/>
  <c r="AV228" i="31"/>
  <c r="AH138" i="31"/>
  <c r="AA177" i="31"/>
  <c r="AO267" i="31"/>
  <c r="AJ231" i="73"/>
  <c r="R231" i="73"/>
  <c r="X231" i="73" s="1"/>
  <c r="S231" i="73"/>
  <c r="Y231" i="73" s="1"/>
  <c r="W231" i="73"/>
  <c r="AO192" i="31"/>
  <c r="AA102" i="31"/>
  <c r="W185" i="73"/>
  <c r="R185" i="73"/>
  <c r="S185" i="73"/>
  <c r="Y185" i="73" s="1"/>
  <c r="AF198" i="73"/>
  <c r="AR198" i="73" s="1"/>
  <c r="T198" i="73"/>
  <c r="AF188" i="11"/>
  <c r="T188" i="11"/>
  <c r="Z188" i="11" s="1"/>
  <c r="BY40" i="45"/>
  <c r="CA40" i="45"/>
  <c r="BZ40" i="45"/>
  <c r="CB40" i="45"/>
  <c r="BS185" i="73"/>
  <c r="BO185" i="73"/>
  <c r="BQ185" i="73"/>
  <c r="BP185" i="73"/>
  <c r="S133" i="73"/>
  <c r="Y133" i="73" s="1"/>
  <c r="R133" i="73"/>
  <c r="T133" i="73" s="1"/>
  <c r="Z133" i="73" s="1"/>
  <c r="AK190" i="73"/>
  <c r="W133" i="73"/>
  <c r="AD133" i="73"/>
  <c r="R19" i="73"/>
  <c r="Y19" i="73" s="1"/>
  <c r="R76" i="73"/>
  <c r="Y76" i="73" s="1"/>
  <c r="P35" i="31"/>
  <c r="T140" i="11"/>
  <c r="R35" i="31" s="1"/>
  <c r="AP257" i="31"/>
  <c r="AB167" i="31"/>
  <c r="AC167" i="31"/>
  <c r="AQ257" i="31"/>
  <c r="AK179" i="31"/>
  <c r="AY269" i="31"/>
  <c r="AS269" i="31"/>
  <c r="AE179" i="31"/>
  <c r="AJ179" i="31"/>
  <c r="AX269" i="31"/>
  <c r="AP269" i="31"/>
  <c r="AB179" i="31"/>
  <c r="Y31" i="31"/>
  <c r="AK142" i="31"/>
  <c r="AY232" i="31"/>
  <c r="AG142" i="31"/>
  <c r="AU232" i="31"/>
  <c r="AE142" i="31"/>
  <c r="AS232" i="31"/>
  <c r="T202" i="73"/>
  <c r="AH146" i="31"/>
  <c r="AV236" i="31"/>
  <c r="AC146" i="31"/>
  <c r="AQ236" i="31"/>
  <c r="AG146" i="31"/>
  <c r="AU236" i="31"/>
  <c r="AK146" i="31"/>
  <c r="AY236" i="31"/>
  <c r="S219" i="31"/>
  <c r="S129" i="31"/>
  <c r="AN171" i="11"/>
  <c r="X84" i="31"/>
  <c r="P84" i="31"/>
  <c r="T171" i="11"/>
  <c r="R84" i="31" s="1"/>
  <c r="Y84" i="31"/>
  <c r="AR271" i="31"/>
  <c r="AD181" i="31"/>
  <c r="AX271" i="31"/>
  <c r="AJ181" i="31"/>
  <c r="AB181" i="31"/>
  <c r="AP271" i="31"/>
  <c r="AI126" i="31"/>
  <c r="AW216" i="31"/>
  <c r="AH126" i="31"/>
  <c r="AV216" i="31"/>
  <c r="AB126" i="31"/>
  <c r="AP216" i="31"/>
  <c r="AF199" i="73"/>
  <c r="T199" i="73"/>
  <c r="AG126" i="31"/>
  <c r="AU216" i="31"/>
  <c r="AK126" i="31"/>
  <c r="AY216" i="31"/>
  <c r="AG118" i="31"/>
  <c r="AU208" i="31"/>
  <c r="AP208" i="31"/>
  <c r="T194" i="73"/>
  <c r="AB118" i="31"/>
  <c r="AF194" i="73"/>
  <c r="AA58" i="31"/>
  <c r="AD158" i="73"/>
  <c r="R158" i="73"/>
  <c r="AB58" i="31" s="1"/>
  <c r="U158" i="73"/>
  <c r="AE58" i="31" s="1"/>
  <c r="R101" i="73"/>
  <c r="Y101" i="73" s="1"/>
  <c r="W158" i="73"/>
  <c r="R44" i="73"/>
  <c r="Y44" i="73" s="1"/>
  <c r="S158" i="73"/>
  <c r="AC58" i="31" s="1"/>
  <c r="AN134" i="73"/>
  <c r="BS191" i="73"/>
  <c r="BB191" i="73"/>
  <c r="AO20" i="73"/>
  <c r="AL134" i="73"/>
  <c r="BQ191" i="73"/>
  <c r="BO191" i="73"/>
  <c r="AL20" i="73"/>
  <c r="BD191" i="73"/>
  <c r="BC191" i="73"/>
  <c r="AM134" i="73"/>
  <c r="CC14" i="74"/>
  <c r="BE191" i="73"/>
  <c r="AN20" i="73"/>
  <c r="BP191" i="73"/>
  <c r="AB122" i="31"/>
  <c r="AA264" i="31"/>
  <c r="AO228" i="11"/>
  <c r="AH264" i="31" s="1"/>
  <c r="AL228" i="11"/>
  <c r="AS228" i="11"/>
  <c r="AL264" i="31" s="1"/>
  <c r="AD228" i="11"/>
  <c r="AE228" i="11"/>
  <c r="AC264" i="31" s="1"/>
  <c r="AQ228" i="11"/>
  <c r="AJ264" i="31" s="1"/>
  <c r="AR228" i="11"/>
  <c r="AK264" i="31" s="1"/>
  <c r="AM264" i="31"/>
  <c r="AP228" i="11"/>
  <c r="AI264" i="31" s="1"/>
  <c r="V197" i="31"/>
  <c r="V107" i="31"/>
  <c r="W107" i="31"/>
  <c r="W197" i="31"/>
  <c r="Q107" i="31"/>
  <c r="Q197" i="31"/>
  <c r="T196" i="11"/>
  <c r="AF196" i="11"/>
  <c r="AL229" i="11"/>
  <c r="AA266" i="31"/>
  <c r="AD229" i="11"/>
  <c r="AS229" i="11"/>
  <c r="AL266" i="31" s="1"/>
  <c r="AQ229" i="11"/>
  <c r="AJ266" i="31" s="1"/>
  <c r="AO229" i="11"/>
  <c r="AH266" i="31" s="1"/>
  <c r="AR229" i="11"/>
  <c r="AK266" i="31" s="1"/>
  <c r="AP229" i="11"/>
  <c r="AI266" i="31" s="1"/>
  <c r="AM266" i="31"/>
  <c r="AE229" i="11"/>
  <c r="AC266" i="31" s="1"/>
  <c r="S176" i="31"/>
  <c r="S266" i="31"/>
  <c r="P266" i="31"/>
  <c r="P176" i="31"/>
  <c r="T229" i="11"/>
  <c r="W215" i="31"/>
  <c r="W125" i="31"/>
  <c r="V215" i="31"/>
  <c r="V125" i="31"/>
  <c r="Y125" i="31"/>
  <c r="Y215" i="31"/>
  <c r="P125" i="31"/>
  <c r="P215" i="31"/>
  <c r="AF197" i="11"/>
  <c r="AD215" i="31" s="1"/>
  <c r="T197" i="11"/>
  <c r="Q262" i="31"/>
  <c r="Q172" i="31"/>
  <c r="U172" i="31"/>
  <c r="U262" i="31"/>
  <c r="T227" i="11"/>
  <c r="Z227" i="11" s="1"/>
  <c r="X172" i="31" s="1"/>
  <c r="P262" i="31"/>
  <c r="P172" i="31"/>
  <c r="AQ246" i="31"/>
  <c r="AC156" i="31"/>
  <c r="AG156" i="31"/>
  <c r="AU246" i="31"/>
  <c r="AV246" i="31"/>
  <c r="AH156" i="31"/>
  <c r="AP246" i="31"/>
  <c r="AB156" i="31"/>
  <c r="T222" i="73"/>
  <c r="AQ265" i="31"/>
  <c r="AC175" i="31"/>
  <c r="AV265" i="31"/>
  <c r="AH175" i="31"/>
  <c r="AF230" i="73"/>
  <c r="AU265" i="31"/>
  <c r="AG175" i="31"/>
  <c r="AI175" i="31"/>
  <c r="AW265" i="31"/>
  <c r="AY265" i="31"/>
  <c r="AK175" i="31"/>
  <c r="S168" i="31"/>
  <c r="S258" i="31"/>
  <c r="U258" i="31"/>
  <c r="U168" i="31"/>
  <c r="AP206" i="31"/>
  <c r="AB116" i="31"/>
  <c r="AF193" i="73"/>
  <c r="T193" i="73"/>
  <c r="Z193" i="73" s="1"/>
  <c r="AX206" i="31" s="1"/>
  <c r="AS206" i="31"/>
  <c r="AE116" i="31"/>
  <c r="AQ206" i="31"/>
  <c r="AC116" i="31"/>
  <c r="AH140" i="31"/>
  <c r="AV230" i="31"/>
  <c r="AW230" i="31"/>
  <c r="AI140" i="31"/>
  <c r="AB140" i="31"/>
  <c r="AP230" i="31"/>
  <c r="T210" i="73"/>
  <c r="AY230" i="31"/>
  <c r="AK140" i="31"/>
  <c r="AC132" i="31"/>
  <c r="AQ222" i="31"/>
  <c r="AH210" i="11"/>
  <c r="AQ210" i="11"/>
  <c r="AL210" i="11"/>
  <c r="AP210" i="11"/>
  <c r="AR210" i="11"/>
  <c r="AO210" i="11"/>
  <c r="AE210" i="11"/>
  <c r="AS210" i="11"/>
  <c r="AD210" i="11"/>
  <c r="AG210" i="11" s="1"/>
  <c r="AU242" i="31"/>
  <c r="AG152" i="31"/>
  <c r="AI152" i="31"/>
  <c r="AW242" i="31"/>
  <c r="AV242" i="31"/>
  <c r="AH152" i="31"/>
  <c r="AU234" i="31"/>
  <c r="AG144" i="31"/>
  <c r="AI144" i="31"/>
  <c r="AW234" i="31"/>
  <c r="AC144" i="31"/>
  <c r="AQ234" i="31"/>
  <c r="AB130" i="31"/>
  <c r="AP220" i="31"/>
  <c r="T201" i="73"/>
  <c r="AG130" i="31"/>
  <c r="AU220" i="31"/>
  <c r="AU259" i="31"/>
  <c r="AG169" i="31"/>
  <c r="AP259" i="31"/>
  <c r="AB169" i="31"/>
  <c r="U215" i="11"/>
  <c r="AA197" i="73"/>
  <c r="W163" i="73"/>
  <c r="Y135" i="11"/>
  <c r="W27" i="31" s="1"/>
  <c r="AC205" i="73"/>
  <c r="U140" i="11"/>
  <c r="S35" i="31" s="1"/>
  <c r="AB49" i="73"/>
  <c r="X226" i="73"/>
  <c r="AC226" i="73"/>
  <c r="AT226" i="73" s="1"/>
  <c r="X52" i="73"/>
  <c r="AM232" i="73"/>
  <c r="AA199" i="11"/>
  <c r="U171" i="11"/>
  <c r="S84" i="31" s="1"/>
  <c r="AK172" i="11"/>
  <c r="AM40" i="73"/>
  <c r="Y168" i="11"/>
  <c r="W78" i="31" s="1"/>
  <c r="AM230" i="73"/>
  <c r="AA225" i="11"/>
  <c r="Y203" i="73"/>
  <c r="X201" i="73"/>
  <c r="T227" i="73"/>
  <c r="AQ250" i="31"/>
  <c r="AC160" i="31"/>
  <c r="T189" i="73"/>
  <c r="Z189" i="73" s="1"/>
  <c r="AE160" i="31"/>
  <c r="AS250" i="31"/>
  <c r="Q165" i="73"/>
  <c r="AA165" i="73" s="1"/>
  <c r="AV224" i="31"/>
  <c r="AH134" i="31"/>
  <c r="AA148" i="31"/>
  <c r="AO238" i="31"/>
  <c r="W215" i="73"/>
  <c r="S215" i="73"/>
  <c r="R215" i="73"/>
  <c r="U215" i="73"/>
  <c r="AC215" i="73"/>
  <c r="AT215" i="73" s="1"/>
  <c r="AO202" i="31"/>
  <c r="AA112" i="31"/>
  <c r="S191" i="73"/>
  <c r="U191" i="73" s="1"/>
  <c r="AA191" i="73" s="1"/>
  <c r="R191" i="73"/>
  <c r="X191" i="73" s="1"/>
  <c r="W191" i="73"/>
  <c r="AL190" i="11"/>
  <c r="AA203" i="31"/>
  <c r="AQ190" i="11"/>
  <c r="AJ203" i="31" s="1"/>
  <c r="AP190" i="11"/>
  <c r="AI203" i="31" s="1"/>
  <c r="AO190" i="11"/>
  <c r="AH203" i="31" s="1"/>
  <c r="AE190" i="11"/>
  <c r="AC203" i="31" s="1"/>
  <c r="AM203" i="31"/>
  <c r="AR190" i="11"/>
  <c r="AK203" i="31" s="1"/>
  <c r="AS190" i="11"/>
  <c r="AL203" i="31" s="1"/>
  <c r="AD190" i="11"/>
  <c r="Q113" i="31"/>
  <c r="Q203" i="31"/>
  <c r="P203" i="31"/>
  <c r="P113" i="31"/>
  <c r="AF190" i="11"/>
  <c r="AD203" i="31" s="1"/>
  <c r="T190" i="11"/>
  <c r="BY8" i="45"/>
  <c r="CA8" i="45"/>
  <c r="BZ8" i="45"/>
  <c r="CB8" i="45"/>
  <c r="CA29" i="45"/>
  <c r="BY29" i="45"/>
  <c r="CB29" i="45"/>
  <c r="W147" i="11" s="1"/>
  <c r="BZ29" i="45"/>
  <c r="Y82" i="31"/>
  <c r="X82" i="31"/>
  <c r="AN170" i="11"/>
  <c r="P82" i="31"/>
  <c r="T170" i="11"/>
  <c r="R82" i="31" s="1"/>
  <c r="V191" i="31"/>
  <c r="V101" i="31"/>
  <c r="S191" i="31"/>
  <c r="S101" i="31"/>
  <c r="O90" i="31"/>
  <c r="S174" i="11"/>
  <c r="Q90" i="31" s="1"/>
  <c r="R174" i="11"/>
  <c r="AD174" i="11"/>
  <c r="R117" i="11"/>
  <c r="Y117" i="11" s="1"/>
  <c r="R60" i="11"/>
  <c r="Y60" i="11" s="1"/>
  <c r="BS213" i="73"/>
  <c r="BC213" i="73"/>
  <c r="BE213" i="73"/>
  <c r="BP213" i="73"/>
  <c r="BD213" i="73"/>
  <c r="BQ213" i="73"/>
  <c r="BO213" i="73"/>
  <c r="BB213" i="73"/>
  <c r="W260" i="31"/>
  <c r="W170" i="31"/>
  <c r="Q170" i="31"/>
  <c r="Q260" i="31"/>
  <c r="U170" i="31"/>
  <c r="U260" i="31"/>
  <c r="S211" i="31"/>
  <c r="S121" i="31"/>
  <c r="AR261" i="31"/>
  <c r="AD171" i="31"/>
  <c r="AW261" i="31"/>
  <c r="AI171" i="31"/>
  <c r="AE171" i="31"/>
  <c r="AS261" i="31"/>
  <c r="X241" i="31"/>
  <c r="X151" i="31"/>
  <c r="V151" i="31"/>
  <c r="V241" i="31"/>
  <c r="W241" i="31"/>
  <c r="W151" i="31"/>
  <c r="V264" i="31"/>
  <c r="V174" i="31"/>
  <c r="AF228" i="11"/>
  <c r="AD264" i="31" s="1"/>
  <c r="W174" i="31"/>
  <c r="W264" i="31"/>
  <c r="Y264" i="31"/>
  <c r="Y174" i="31"/>
  <c r="S264" i="31"/>
  <c r="S174" i="31"/>
  <c r="CC43" i="74"/>
  <c r="AM163" i="73"/>
  <c r="AN163" i="73"/>
  <c r="AO49" i="73"/>
  <c r="AL163" i="73"/>
  <c r="BC220" i="73"/>
  <c r="AL49" i="73"/>
  <c r="BE220" i="73"/>
  <c r="BB220" i="73"/>
  <c r="AN49" i="73"/>
  <c r="BD220" i="73"/>
  <c r="BZ41" i="74"/>
  <c r="BY41" i="74"/>
  <c r="CB41" i="74"/>
  <c r="CA41" i="74"/>
  <c r="AJ160" i="31"/>
  <c r="AX250" i="31"/>
  <c r="BY35" i="45"/>
  <c r="BZ35" i="45"/>
  <c r="CA35" i="45"/>
  <c r="CB35" i="45"/>
  <c r="CC35" i="45" s="1"/>
  <c r="X42" i="73"/>
  <c r="T42" i="73"/>
  <c r="V42" i="73" s="1"/>
  <c r="AC42" i="73" s="1"/>
  <c r="S42" i="73"/>
  <c r="U42" i="73" s="1"/>
  <c r="AB42" i="73" s="1"/>
  <c r="AF42" i="73"/>
  <c r="AP224" i="31"/>
  <c r="AB134" i="31"/>
  <c r="T205" i="73"/>
  <c r="AF205" i="73"/>
  <c r="AI108" i="31"/>
  <c r="AW198" i="31"/>
  <c r="X27" i="11"/>
  <c r="T27" i="11"/>
  <c r="AA27" i="11" s="1"/>
  <c r="AF27" i="11"/>
  <c r="AM27" i="11" s="1"/>
  <c r="S27" i="11"/>
  <c r="U27" i="11" s="1"/>
  <c r="AB27" i="11" s="1"/>
  <c r="AE100" i="31"/>
  <c r="T46" i="73"/>
  <c r="AA46" i="73" s="1"/>
  <c r="X46" i="73"/>
  <c r="V46" i="73"/>
  <c r="AC46" i="73" s="1"/>
  <c r="S46" i="73"/>
  <c r="U46" i="73" s="1"/>
  <c r="AB46" i="73" s="1"/>
  <c r="AF46" i="73"/>
  <c r="AH100" i="31"/>
  <c r="AV190" i="31"/>
  <c r="AU261" i="31"/>
  <c r="AG171" i="31"/>
  <c r="P27" i="31"/>
  <c r="T135" i="11"/>
  <c r="R27" i="31" s="1"/>
  <c r="Q134" i="73"/>
  <c r="X152" i="73"/>
  <c r="AK209" i="73"/>
  <c r="R152" i="73"/>
  <c r="S152" i="73"/>
  <c r="U152" i="73"/>
  <c r="W152" i="73"/>
  <c r="Z152" i="73"/>
  <c r="T152" i="73"/>
  <c r="Y152" i="73"/>
  <c r="R95" i="73"/>
  <c r="Y95" i="73" s="1"/>
  <c r="AD152" i="73"/>
  <c r="AK152" i="73" s="1"/>
  <c r="R38" i="73"/>
  <c r="Y38" i="73" s="1"/>
  <c r="AS224" i="31"/>
  <c r="AE134" i="31"/>
  <c r="AU198" i="31"/>
  <c r="AG108" i="31"/>
  <c r="AU250" i="31"/>
  <c r="AG160" i="31"/>
  <c r="Q159" i="73"/>
  <c r="AB100" i="31"/>
  <c r="AP190" i="31"/>
  <c r="T184" i="73"/>
  <c r="AF184" i="73"/>
  <c r="AA31" i="73"/>
  <c r="AB31" i="73"/>
  <c r="X31" i="73"/>
  <c r="V31" i="73"/>
  <c r="Z31" i="73"/>
  <c r="T31" i="73"/>
  <c r="S31" i="73"/>
  <c r="U31" i="73" s="1"/>
  <c r="AF31" i="73"/>
  <c r="AM31" i="73" s="1"/>
  <c r="T41" i="73"/>
  <c r="AB41" i="73"/>
  <c r="AF41" i="73"/>
  <c r="AM41" i="73" s="1"/>
  <c r="V41" i="73"/>
  <c r="Z41" i="73"/>
  <c r="X41" i="73"/>
  <c r="AA41" i="73"/>
  <c r="S41" i="73"/>
  <c r="U41" i="73" s="1"/>
  <c r="Q146" i="73"/>
  <c r="AG124" i="31"/>
  <c r="AU214" i="31"/>
  <c r="AW250" i="31"/>
  <c r="AI160" i="31"/>
  <c r="Q174" i="73"/>
  <c r="Q144" i="73"/>
  <c r="AK138" i="31"/>
  <c r="AY228" i="31"/>
  <c r="Z39" i="11"/>
  <c r="V39" i="11"/>
  <c r="AB39" i="11"/>
  <c r="X39" i="11"/>
  <c r="AA39" i="11"/>
  <c r="T39" i="11"/>
  <c r="S39" i="11"/>
  <c r="U39" i="11" s="1"/>
  <c r="AF39" i="11"/>
  <c r="AM39" i="11" s="1"/>
  <c r="AC100" i="31"/>
  <c r="AQ190" i="31"/>
  <c r="AK200" i="73"/>
  <c r="AA38" i="31"/>
  <c r="R143" i="73"/>
  <c r="AB38" i="31" s="1"/>
  <c r="W143" i="73"/>
  <c r="AD143" i="73"/>
  <c r="AK143" i="73" s="1"/>
  <c r="R29" i="73"/>
  <c r="Y29" i="73" s="1"/>
  <c r="R86" i="73"/>
  <c r="Y86" i="73" s="1"/>
  <c r="S143" i="73"/>
  <c r="AC38" i="31" s="1"/>
  <c r="AK215" i="11"/>
  <c r="Y158" i="11"/>
  <c r="W61" i="31" s="1"/>
  <c r="O61" i="31"/>
  <c r="Z158" i="11"/>
  <c r="R158" i="11"/>
  <c r="S158" i="11"/>
  <c r="Q61" i="31" s="1"/>
  <c r="X158" i="11"/>
  <c r="V61" i="31" s="1"/>
  <c r="R101" i="11"/>
  <c r="Y101" i="11" s="1"/>
  <c r="W158" i="11"/>
  <c r="U61" i="31" s="1"/>
  <c r="R44" i="11"/>
  <c r="Y44" i="11" s="1"/>
  <c r="AD158" i="11"/>
  <c r="AK158" i="11" s="1"/>
  <c r="AK160" i="31"/>
  <c r="AY250" i="31"/>
  <c r="Y35" i="31"/>
  <c r="X35" i="31"/>
  <c r="AN140" i="11"/>
  <c r="AI167" i="31"/>
  <c r="AW257" i="31"/>
  <c r="AR257" i="31"/>
  <c r="AD167" i="31"/>
  <c r="AG167" i="31"/>
  <c r="AU257" i="31"/>
  <c r="AS257" i="31"/>
  <c r="AE167" i="31"/>
  <c r="AI179" i="31"/>
  <c r="AW269" i="31"/>
  <c r="BA269" i="31"/>
  <c r="AL232" i="73"/>
  <c r="AS232" i="73"/>
  <c r="BL269" i="31" s="1"/>
  <c r="BM269" i="31"/>
  <c r="AO232" i="73"/>
  <c r="AH232" i="73"/>
  <c r="BF269" i="31" s="1"/>
  <c r="AQ232" i="73"/>
  <c r="BJ269" i="31" s="1"/>
  <c r="AP232" i="73"/>
  <c r="BI269" i="31" s="1"/>
  <c r="AD232" i="73"/>
  <c r="AE232" i="73"/>
  <c r="BC269" i="31" s="1"/>
  <c r="AU269" i="31"/>
  <c r="AG179" i="31"/>
  <c r="AV269" i="31"/>
  <c r="AF232" i="73"/>
  <c r="AH179" i="31"/>
  <c r="AQ269" i="31"/>
  <c r="AC179" i="31"/>
  <c r="AD179" i="31"/>
  <c r="AR269" i="31"/>
  <c r="P31" i="31"/>
  <c r="T137" i="11"/>
  <c r="R31" i="31" s="1"/>
  <c r="X31" i="31"/>
  <c r="AN137" i="11"/>
  <c r="AB142" i="31"/>
  <c r="AP232" i="31"/>
  <c r="AF211" i="73"/>
  <c r="T211" i="73"/>
  <c r="AC142" i="31"/>
  <c r="AQ232" i="31"/>
  <c r="AB146" i="31"/>
  <c r="AP236" i="31"/>
  <c r="T214" i="73"/>
  <c r="Z214" i="73" s="1"/>
  <c r="AJ146" i="31" s="1"/>
  <c r="AF214" i="73"/>
  <c r="AE146" i="31"/>
  <c r="AS236" i="31"/>
  <c r="Q129" i="31"/>
  <c r="Q219" i="31"/>
  <c r="P129" i="31"/>
  <c r="P219" i="31"/>
  <c r="T199" i="11"/>
  <c r="AF199" i="11"/>
  <c r="AD219" i="31" s="1"/>
  <c r="U129" i="31"/>
  <c r="U219" i="31"/>
  <c r="AS271" i="31"/>
  <c r="AE181" i="31"/>
  <c r="AK181" i="31"/>
  <c r="AY271" i="31"/>
  <c r="AU271" i="31"/>
  <c r="AG181" i="31"/>
  <c r="AQ271" i="31"/>
  <c r="AC181" i="31"/>
  <c r="AY210" i="31"/>
  <c r="AK120" i="31"/>
  <c r="AS216" i="31"/>
  <c r="AE126" i="31"/>
  <c r="AQ216" i="31"/>
  <c r="AC126" i="31"/>
  <c r="AJ126" i="31"/>
  <c r="AX216" i="31"/>
  <c r="AH118" i="31"/>
  <c r="AV208" i="31"/>
  <c r="AQ208" i="31"/>
  <c r="AC118" i="31"/>
  <c r="P86" i="31"/>
  <c r="T172" i="11"/>
  <c r="AA197" i="31"/>
  <c r="AL186" i="11"/>
  <c r="AD186" i="11"/>
  <c r="AE186" i="11"/>
  <c r="AC197" i="31" s="1"/>
  <c r="AM197" i="31"/>
  <c r="AS186" i="11"/>
  <c r="AL197" i="31" s="1"/>
  <c r="AQ186" i="11"/>
  <c r="AJ197" i="31" s="1"/>
  <c r="AO186" i="11"/>
  <c r="AH197" i="31" s="1"/>
  <c r="AP186" i="11"/>
  <c r="AI197" i="31" s="1"/>
  <c r="AR186" i="11"/>
  <c r="AK197" i="31" s="1"/>
  <c r="U197" i="31"/>
  <c r="U107" i="31"/>
  <c r="P197" i="31"/>
  <c r="P107" i="31"/>
  <c r="T186" i="11"/>
  <c r="Z186" i="11" s="1"/>
  <c r="X197" i="31" s="1"/>
  <c r="AF186" i="11"/>
  <c r="AD197" i="31" s="1"/>
  <c r="BD194" i="73"/>
  <c r="AO23" i="73"/>
  <c r="AN23" i="73"/>
  <c r="BC194" i="73"/>
  <c r="CC17" i="74"/>
  <c r="BB194" i="73"/>
  <c r="AM137" i="73"/>
  <c r="AL23" i="73"/>
  <c r="AM23" i="73" s="1"/>
  <c r="AN137" i="73"/>
  <c r="BE194" i="73"/>
  <c r="AL137" i="73"/>
  <c r="P80" i="31"/>
  <c r="T169" i="11"/>
  <c r="R80" i="31" s="1"/>
  <c r="AH196" i="11"/>
  <c r="AR196" i="11"/>
  <c r="AL196" i="11"/>
  <c r="AE196" i="11"/>
  <c r="AP196" i="11"/>
  <c r="AS196" i="11"/>
  <c r="AQ196" i="11"/>
  <c r="AO196" i="11"/>
  <c r="AD196" i="11"/>
  <c r="AG196" i="11" s="1"/>
  <c r="T168" i="11"/>
  <c r="R78" i="31" s="1"/>
  <c r="P78" i="31"/>
  <c r="Q176" i="31"/>
  <c r="Q266" i="31"/>
  <c r="Y176" i="31"/>
  <c r="Y266" i="31"/>
  <c r="U176" i="31"/>
  <c r="U266" i="31"/>
  <c r="AF229" i="11"/>
  <c r="AD266" i="31" s="1"/>
  <c r="V176" i="31"/>
  <c r="V266" i="31"/>
  <c r="T204" i="73"/>
  <c r="AF204" i="73"/>
  <c r="AR204" i="73" s="1"/>
  <c r="AL197" i="11"/>
  <c r="AA215" i="31"/>
  <c r="AR197" i="11"/>
  <c r="AK215" i="31" s="1"/>
  <c r="AE197" i="11"/>
  <c r="AC215" i="31" s="1"/>
  <c r="AD197" i="11"/>
  <c r="AO197" i="11"/>
  <c r="AH215" i="31" s="1"/>
  <c r="AM215" i="31"/>
  <c r="AQ197" i="11"/>
  <c r="AJ215" i="31" s="1"/>
  <c r="AP197" i="11"/>
  <c r="AI215" i="31" s="1"/>
  <c r="AS197" i="11"/>
  <c r="AL215" i="31" s="1"/>
  <c r="Q125" i="31"/>
  <c r="Q215" i="31"/>
  <c r="X215" i="31"/>
  <c r="X125" i="31"/>
  <c r="U215" i="31"/>
  <c r="U125" i="31"/>
  <c r="AA262" i="31"/>
  <c r="AL227" i="11"/>
  <c r="AD227" i="11"/>
  <c r="AP227" i="11" s="1"/>
  <c r="AI262" i="31" s="1"/>
  <c r="AO227" i="11"/>
  <c r="AH262" i="31" s="1"/>
  <c r="AE227" i="11"/>
  <c r="AC262" i="31" s="1"/>
  <c r="W262" i="31"/>
  <c r="W172" i="31"/>
  <c r="V262" i="31"/>
  <c r="V172" i="31"/>
  <c r="AF227" i="11"/>
  <c r="AD262" i="31" s="1"/>
  <c r="AW246" i="31"/>
  <c r="AI156" i="31"/>
  <c r="AE156" i="31"/>
  <c r="AS246" i="31"/>
  <c r="AX246" i="31"/>
  <c r="AJ156" i="31"/>
  <c r="AK156" i="31"/>
  <c r="AY246" i="31"/>
  <c r="AB175" i="31"/>
  <c r="AP265" i="31"/>
  <c r="AS265" i="31"/>
  <c r="AE175" i="31"/>
  <c r="AR265" i="31"/>
  <c r="AD175" i="31"/>
  <c r="AJ175" i="31"/>
  <c r="AX265" i="31"/>
  <c r="V258" i="31"/>
  <c r="V168" i="31"/>
  <c r="AF225" i="11"/>
  <c r="AD258" i="31" s="1"/>
  <c r="AA258" i="31"/>
  <c r="AL225" i="11"/>
  <c r="AS225" i="11"/>
  <c r="AL258" i="31" s="1"/>
  <c r="AM258" i="31"/>
  <c r="AR225" i="11"/>
  <c r="AK258" i="31" s="1"/>
  <c r="AE225" i="11"/>
  <c r="AC258" i="31" s="1"/>
  <c r="AP225" i="11"/>
  <c r="AI258" i="31" s="1"/>
  <c r="AO225" i="11"/>
  <c r="AH258" i="31" s="1"/>
  <c r="AQ225" i="11"/>
  <c r="AJ258" i="31" s="1"/>
  <c r="AD225" i="11"/>
  <c r="Q168" i="31"/>
  <c r="Q258" i="31"/>
  <c r="P168" i="31"/>
  <c r="P258" i="31"/>
  <c r="T225" i="11"/>
  <c r="AH116" i="31"/>
  <c r="AV206" i="31"/>
  <c r="AG116" i="31"/>
  <c r="AU206" i="31"/>
  <c r="AY206" i="31"/>
  <c r="AK116" i="31"/>
  <c r="AX230" i="31"/>
  <c r="AJ140" i="31"/>
  <c r="AC140" i="31"/>
  <c r="AQ230" i="31"/>
  <c r="AG140" i="31"/>
  <c r="AU230" i="31"/>
  <c r="AE132" i="31"/>
  <c r="AS222" i="31"/>
  <c r="AB132" i="31"/>
  <c r="AP222" i="31"/>
  <c r="T203" i="73"/>
  <c r="AG132" i="31"/>
  <c r="AU222" i="31"/>
  <c r="AF210" i="11"/>
  <c r="T210" i="11"/>
  <c r="AQ242" i="31"/>
  <c r="AC152" i="31"/>
  <c r="AB152" i="31"/>
  <c r="AP242" i="31"/>
  <c r="AF217" i="73"/>
  <c r="T217" i="73"/>
  <c r="Z217" i="73" s="1"/>
  <c r="AX242" i="31" s="1"/>
  <c r="AE152" i="31"/>
  <c r="AS242" i="31"/>
  <c r="AK152" i="31"/>
  <c r="AY242" i="31"/>
  <c r="AP234" i="31"/>
  <c r="AF213" i="73"/>
  <c r="AB144" i="31"/>
  <c r="T213" i="73"/>
  <c r="AE144" i="31"/>
  <c r="AS234" i="31"/>
  <c r="AF209" i="73"/>
  <c r="AR209" i="73" s="1"/>
  <c r="T209" i="73"/>
  <c r="AC130" i="31"/>
  <c r="AQ220" i="31"/>
  <c r="AQ259" i="31"/>
  <c r="AC169" i="31"/>
  <c r="AH169" i="31"/>
  <c r="AV259" i="31"/>
  <c r="AF227" i="73"/>
  <c r="Y133" i="11"/>
  <c r="W23" i="31" s="1"/>
  <c r="AA183" i="11"/>
  <c r="U226" i="11"/>
  <c r="AA226" i="11" s="1"/>
  <c r="Y170" i="31" s="1"/>
  <c r="AB18" i="11"/>
  <c r="R73" i="73"/>
  <c r="Y73" i="73" s="1"/>
  <c r="AC183" i="11"/>
  <c r="AC198" i="73"/>
  <c r="AT198" i="73" s="1"/>
  <c r="Z49" i="73"/>
  <c r="X49" i="73"/>
  <c r="AA49" i="73"/>
  <c r="AA52" i="73"/>
  <c r="AB52" i="73"/>
  <c r="Z52" i="73"/>
  <c r="Y211" i="73"/>
  <c r="X211" i="73"/>
  <c r="X199" i="11"/>
  <c r="AM195" i="73"/>
  <c r="AC194" i="73"/>
  <c r="AT194" i="73" s="1"/>
  <c r="Z40" i="73"/>
  <c r="AC189" i="11"/>
  <c r="U197" i="11"/>
  <c r="R84" i="11"/>
  <c r="Y84" i="11" s="1"/>
  <c r="Y225" i="11"/>
  <c r="AM45" i="73"/>
  <c r="X203" i="73"/>
  <c r="AC190" i="73"/>
  <c r="AT190" i="73" s="1"/>
  <c r="AC227" i="73"/>
  <c r="AT227" i="73" s="1"/>
  <c r="Y187" i="73" l="1"/>
  <c r="AJ135" i="73"/>
  <c r="AS190" i="31"/>
  <c r="P178" i="31"/>
  <c r="AQ196" i="31"/>
  <c r="U192" i="73"/>
  <c r="AS204" i="31" s="1"/>
  <c r="W109" i="31"/>
  <c r="AF233" i="73"/>
  <c r="BD271" i="31" s="1"/>
  <c r="AO128" i="73"/>
  <c r="AV271" i="31"/>
  <c r="T129" i="73"/>
  <c r="AD14" i="31" s="1"/>
  <c r="X129" i="73"/>
  <c r="AH14" i="31" s="1"/>
  <c r="AA201" i="73"/>
  <c r="AY220" i="31" s="1"/>
  <c r="BB185" i="73"/>
  <c r="AY198" i="31"/>
  <c r="AW206" i="31"/>
  <c r="AB120" i="31"/>
  <c r="S197" i="31"/>
  <c r="AQ254" i="31"/>
  <c r="T231" i="73"/>
  <c r="Z231" i="73" s="1"/>
  <c r="AP212" i="31"/>
  <c r="AW271" i="31"/>
  <c r="AW254" i="31"/>
  <c r="AU196" i="31"/>
  <c r="AS198" i="31"/>
  <c r="Y197" i="31"/>
  <c r="AP210" i="31"/>
  <c r="S107" i="31"/>
  <c r="AE108" i="31"/>
  <c r="X136" i="73"/>
  <c r="AH26" i="31" s="1"/>
  <c r="AO144" i="73"/>
  <c r="Y186" i="73"/>
  <c r="AW194" i="31" s="1"/>
  <c r="T160" i="73"/>
  <c r="AD62" i="31" s="1"/>
  <c r="Y22" i="73"/>
  <c r="AO159" i="73"/>
  <c r="BF189" i="73"/>
  <c r="BF216" i="73"/>
  <c r="AQ45" i="73"/>
  <c r="AJ116" i="31"/>
  <c r="X187" i="73"/>
  <c r="AH106" i="31" s="1"/>
  <c r="Y190" i="73"/>
  <c r="AW200" i="31" s="1"/>
  <c r="AK192" i="73"/>
  <c r="AQ14" i="73"/>
  <c r="Y136" i="73"/>
  <c r="AI26" i="31" s="1"/>
  <c r="AO136" i="73"/>
  <c r="AQ22" i="73"/>
  <c r="AB79" i="73"/>
  <c r="BC193" i="73"/>
  <c r="BB193" i="73"/>
  <c r="AO79" i="73"/>
  <c r="AN79" i="73"/>
  <c r="AQ79" i="73"/>
  <c r="BF193" i="73"/>
  <c r="AL136" i="73"/>
  <c r="AN136" i="73"/>
  <c r="AM136" i="73"/>
  <c r="BE193" i="73"/>
  <c r="AN22" i="73"/>
  <c r="AO22" i="73"/>
  <c r="AL22" i="73"/>
  <c r="AP79" i="73"/>
  <c r="BD193" i="73"/>
  <c r="AL79" i="73"/>
  <c r="AC79" i="73"/>
  <c r="AB22" i="73"/>
  <c r="Z22" i="73"/>
  <c r="X22" i="73"/>
  <c r="AC22" i="73"/>
  <c r="AA22" i="73"/>
  <c r="BF233" i="73"/>
  <c r="BE233" i="73"/>
  <c r="BD233" i="73"/>
  <c r="BC233" i="73"/>
  <c r="BB233" i="73"/>
  <c r="BT233" i="73"/>
  <c r="BO233" i="73"/>
  <c r="BS233" i="73"/>
  <c r="BQ233" i="73"/>
  <c r="BP233" i="73"/>
  <c r="CC15" i="45"/>
  <c r="AM34" i="73"/>
  <c r="X157" i="73"/>
  <c r="AH56" i="31" s="1"/>
  <c r="U133" i="73"/>
  <c r="AA160" i="73"/>
  <c r="CC16" i="45"/>
  <c r="U186" i="73"/>
  <c r="AE104" i="31" s="1"/>
  <c r="U185" i="73"/>
  <c r="AE102" i="31" s="1"/>
  <c r="U231" i="73"/>
  <c r="AS267" i="31" s="1"/>
  <c r="U148" i="73"/>
  <c r="AE44" i="31" s="1"/>
  <c r="U190" i="73"/>
  <c r="AS200" i="31" s="1"/>
  <c r="U129" i="73"/>
  <c r="AL30" i="73"/>
  <c r="AL144" i="73"/>
  <c r="AA190" i="73"/>
  <c r="AY200" i="31" s="1"/>
  <c r="AQ30" i="73"/>
  <c r="Y172" i="31"/>
  <c r="AV210" i="31"/>
  <c r="X30" i="73"/>
  <c r="AM144" i="73"/>
  <c r="AN144" i="73"/>
  <c r="BE201" i="73"/>
  <c r="X186" i="73"/>
  <c r="AH104" i="31" s="1"/>
  <c r="BF201" i="73"/>
  <c r="CC19" i="45"/>
  <c r="AB30" i="73"/>
  <c r="BD201" i="73"/>
  <c r="BB201" i="73"/>
  <c r="AO30" i="73"/>
  <c r="AB17" i="73"/>
  <c r="CC16" i="74"/>
  <c r="BE185" i="73"/>
  <c r="BC185" i="73"/>
  <c r="X14" i="73"/>
  <c r="AO14" i="73"/>
  <c r="AL14" i="73"/>
  <c r="AW236" i="31"/>
  <c r="AB14" i="73"/>
  <c r="AJ108" i="31"/>
  <c r="Z18" i="73"/>
  <c r="AM19" i="73"/>
  <c r="AN128" i="73"/>
  <c r="AL128" i="73"/>
  <c r="T224" i="73"/>
  <c r="AR254" i="31" s="1"/>
  <c r="X121" i="31"/>
  <c r="T196" i="73"/>
  <c r="Z196" i="73" s="1"/>
  <c r="AX212" i="31" s="1"/>
  <c r="BD185" i="73"/>
  <c r="AK164" i="31"/>
  <c r="AA17" i="73"/>
  <c r="BF185" i="73"/>
  <c r="AN14" i="73"/>
  <c r="X143" i="73"/>
  <c r="AH38" i="31" s="1"/>
  <c r="AM15" i="73"/>
  <c r="AM46" i="73"/>
  <c r="CC40" i="45"/>
  <c r="AJ160" i="73"/>
  <c r="AK160" i="73" s="1"/>
  <c r="AP46" i="73"/>
  <c r="AJ139" i="73"/>
  <c r="AP25" i="73"/>
  <c r="AK217" i="73"/>
  <c r="X133" i="73"/>
  <c r="Y200" i="73"/>
  <c r="AW218" i="31" s="1"/>
  <c r="Y143" i="73"/>
  <c r="AI38" i="31" s="1"/>
  <c r="Z17" i="73"/>
  <c r="X160" i="73"/>
  <c r="AH62" i="31" s="1"/>
  <c r="X200" i="73"/>
  <c r="AH128" i="31" s="1"/>
  <c r="Z19" i="73"/>
  <c r="U200" i="73"/>
  <c r="Y196" i="73"/>
  <c r="AW212" i="31" s="1"/>
  <c r="AQ78" i="73"/>
  <c r="AO78" i="73"/>
  <c r="AP78" i="73"/>
  <c r="AN78" i="73"/>
  <c r="AB78" i="73"/>
  <c r="AL78" i="73"/>
  <c r="AC78" i="73"/>
  <c r="AQ74" i="73"/>
  <c r="AN131" i="73"/>
  <c r="AP74" i="73"/>
  <c r="AN74" i="73"/>
  <c r="AN17" i="73"/>
  <c r="AO17" i="73"/>
  <c r="AL74" i="73"/>
  <c r="BB188" i="73"/>
  <c r="AM131" i="73"/>
  <c r="AL17" i="73"/>
  <c r="AO74" i="73"/>
  <c r="BD188" i="73"/>
  <c r="AO131" i="73"/>
  <c r="AQ17" i="73"/>
  <c r="BF188" i="73"/>
  <c r="AL131" i="73"/>
  <c r="BE188" i="73"/>
  <c r="BC188" i="73"/>
  <c r="AB74" i="73"/>
  <c r="AC74" i="73"/>
  <c r="AN87" i="73"/>
  <c r="AQ87" i="73"/>
  <c r="AL87" i="73"/>
  <c r="AP87" i="73"/>
  <c r="AO87" i="73"/>
  <c r="AB87" i="73"/>
  <c r="AC87" i="73"/>
  <c r="T143" i="73"/>
  <c r="Z46" i="73"/>
  <c r="Y129" i="73"/>
  <c r="AI14" i="31" s="1"/>
  <c r="AM25" i="73"/>
  <c r="Y157" i="73"/>
  <c r="AI56" i="31" s="1"/>
  <c r="AC17" i="73"/>
  <c r="U143" i="73"/>
  <c r="AJ200" i="73" s="1"/>
  <c r="AJ152" i="31"/>
  <c r="AX236" i="31"/>
  <c r="CC13" i="74"/>
  <c r="AC19" i="73" s="1"/>
  <c r="X190" i="73"/>
  <c r="AV200" i="31" s="1"/>
  <c r="AA18" i="73"/>
  <c r="AQ19" i="73"/>
  <c r="AL73" i="73"/>
  <c r="AQ73" i="73"/>
  <c r="AO73" i="73"/>
  <c r="AP73" i="73"/>
  <c r="AN73" i="73"/>
  <c r="AB73" i="73"/>
  <c r="AC73" i="73"/>
  <c r="AS212" i="31"/>
  <c r="AA196" i="73"/>
  <c r="AN71" i="73"/>
  <c r="AP71" i="73"/>
  <c r="AQ71" i="73"/>
  <c r="AL71" i="73"/>
  <c r="AO71" i="73"/>
  <c r="AB71" i="73"/>
  <c r="AC71" i="73"/>
  <c r="CC41" i="74"/>
  <c r="AK133" i="73"/>
  <c r="Y160" i="73"/>
  <c r="AI62" i="31" s="1"/>
  <c r="Z129" i="73"/>
  <c r="AJ14" i="31" s="1"/>
  <c r="Z25" i="73"/>
  <c r="AO133" i="73"/>
  <c r="BF190" i="73"/>
  <c r="CC30" i="74"/>
  <c r="BA244" i="31"/>
  <c r="L37" i="68"/>
  <c r="L29" i="68"/>
  <c r="AU210" i="31"/>
  <c r="AG154" i="31"/>
  <c r="AS210" i="31"/>
  <c r="AM16" i="11"/>
  <c r="AM72" i="11"/>
  <c r="AK130" i="11"/>
  <c r="AQ69" i="11"/>
  <c r="AN69" i="11"/>
  <c r="AL69" i="11"/>
  <c r="AO69" i="11"/>
  <c r="AP69" i="11"/>
  <c r="AA69" i="11"/>
  <c r="Z69" i="11"/>
  <c r="AB69" i="11"/>
  <c r="X69" i="11"/>
  <c r="X199" i="31"/>
  <c r="AU212" i="31"/>
  <c r="AM224" i="73"/>
  <c r="AE130" i="31"/>
  <c r="AK169" i="31"/>
  <c r="AK131" i="11"/>
  <c r="S19" i="31"/>
  <c r="AA130" i="11"/>
  <c r="AQ210" i="31"/>
  <c r="AM17" i="11"/>
  <c r="Y131" i="11"/>
  <c r="AM73" i="11"/>
  <c r="Z130" i="11"/>
  <c r="P9" i="31"/>
  <c r="AH154" i="31"/>
  <c r="S172" i="31"/>
  <c r="AJ120" i="31"/>
  <c r="AC122" i="31"/>
  <c r="AH228" i="11"/>
  <c r="AF264" i="31" s="1"/>
  <c r="AO213" i="73"/>
  <c r="BH234" i="31" s="1"/>
  <c r="AB164" i="31"/>
  <c r="AE122" i="31"/>
  <c r="AW210" i="31"/>
  <c r="L19" i="68"/>
  <c r="L23" i="68"/>
  <c r="CC36" i="74"/>
  <c r="AY208" i="31"/>
  <c r="L38" i="68"/>
  <c r="AV212" i="31"/>
  <c r="L60" i="68"/>
  <c r="L35" i="68"/>
  <c r="Q439" i="8"/>
  <c r="L65" i="60" s="1"/>
  <c r="Q470" i="8"/>
  <c r="L96" i="60" s="1"/>
  <c r="Q438" i="8"/>
  <c r="L64" i="60" s="1"/>
  <c r="Q451" i="8"/>
  <c r="L77" i="60" s="1"/>
  <c r="Q457" i="8"/>
  <c r="L83" i="60" s="1"/>
  <c r="Q449" i="8"/>
  <c r="L75" i="60" s="1"/>
  <c r="Q480" i="8"/>
  <c r="L106" i="60" s="1"/>
  <c r="CC8" i="74"/>
  <c r="AC14" i="73" s="1"/>
  <c r="CC24" i="74"/>
  <c r="AC30" i="73" s="1"/>
  <c r="AD220" i="73"/>
  <c r="AG220" i="73" s="1"/>
  <c r="BE244" i="31" s="1"/>
  <c r="AB162" i="31"/>
  <c r="AE118" i="31"/>
  <c r="AF224" i="73"/>
  <c r="AR224" i="73" s="1"/>
  <c r="BK254" i="31" s="1"/>
  <c r="AP244" i="31"/>
  <c r="AC162" i="31"/>
  <c r="AH136" i="31"/>
  <c r="AJ136" i="31"/>
  <c r="T230" i="11"/>
  <c r="R178" i="31" s="1"/>
  <c r="AJ164" i="31"/>
  <c r="CC49" i="74"/>
  <c r="AC55" i="73" s="1"/>
  <c r="X268" i="31"/>
  <c r="Y86" i="31"/>
  <c r="AH187" i="11"/>
  <c r="AF199" i="31" s="1"/>
  <c r="W121" i="31"/>
  <c r="U192" i="11"/>
  <c r="AA192" i="11" s="1"/>
  <c r="Y117" i="31" s="1"/>
  <c r="U204" i="11"/>
  <c r="AA204" i="11" s="1"/>
  <c r="AE169" i="31"/>
  <c r="T195" i="73"/>
  <c r="AR210" i="31" s="1"/>
  <c r="AQ263" i="31"/>
  <c r="T231" i="11"/>
  <c r="Z231" i="11" s="1"/>
  <c r="X180" i="31" s="1"/>
  <c r="AG164" i="31"/>
  <c r="U270" i="31"/>
  <c r="BA196" i="31"/>
  <c r="AP226" i="31"/>
  <c r="AE208" i="73"/>
  <c r="BC228" i="31" s="1"/>
  <c r="AH209" i="73"/>
  <c r="AB106" i="31"/>
  <c r="AM230" i="11"/>
  <c r="AS259" i="31"/>
  <c r="AD213" i="73"/>
  <c r="AG213" i="73" s="1"/>
  <c r="AL213" i="73"/>
  <c r="AC154" i="31"/>
  <c r="AP220" i="73"/>
  <c r="BI244" i="31" s="1"/>
  <c r="AO220" i="73"/>
  <c r="AW252" i="31"/>
  <c r="AS208" i="31"/>
  <c r="AB154" i="31"/>
  <c r="S262" i="31"/>
  <c r="AV261" i="31"/>
  <c r="AV254" i="31"/>
  <c r="AH162" i="31"/>
  <c r="AW226" i="31"/>
  <c r="CC38" i="74"/>
  <c r="AA158" i="73" s="1"/>
  <c r="AK58" i="31" s="1"/>
  <c r="AQ55" i="11"/>
  <c r="CC39" i="74"/>
  <c r="AC45" i="73" s="1"/>
  <c r="AW244" i="31"/>
  <c r="T223" i="73"/>
  <c r="AD162" i="31" s="1"/>
  <c r="AP252" i="31"/>
  <c r="AF220" i="73"/>
  <c r="BD244" i="31" s="1"/>
  <c r="T220" i="73"/>
  <c r="AD154" i="31" s="1"/>
  <c r="AQ252" i="31"/>
  <c r="Y231" i="11"/>
  <c r="W270" i="31" s="1"/>
  <c r="AY226" i="31"/>
  <c r="P270" i="31"/>
  <c r="X174" i="11"/>
  <c r="V90" i="31" s="1"/>
  <c r="AF228" i="73"/>
  <c r="AR228" i="73" s="1"/>
  <c r="BK261" i="31" s="1"/>
  <c r="Y178" i="31"/>
  <c r="AE187" i="73"/>
  <c r="BC196" i="31" s="1"/>
  <c r="AF207" i="73"/>
  <c r="BD226" i="31" s="1"/>
  <c r="AQ226" i="31"/>
  <c r="AD209" i="73"/>
  <c r="AG209" i="73" s="1"/>
  <c r="T187" i="73"/>
  <c r="AR196" i="31" s="1"/>
  <c r="CC11" i="74"/>
  <c r="AM15" i="11"/>
  <c r="CC51" i="45"/>
  <c r="Y174" i="11"/>
  <c r="W90" i="31" s="1"/>
  <c r="P180" i="31"/>
  <c r="W174" i="11"/>
  <c r="U90" i="31" s="1"/>
  <c r="BF226" i="11"/>
  <c r="CC56" i="74"/>
  <c r="AJ205" i="73"/>
  <c r="AK169" i="73"/>
  <c r="Z14" i="73"/>
  <c r="CC54" i="74"/>
  <c r="AC60" i="73" s="1"/>
  <c r="AK129" i="11"/>
  <c r="AF198" i="11"/>
  <c r="AD217" i="31" s="1"/>
  <c r="U207" i="31"/>
  <c r="AS188" i="11"/>
  <c r="AQ194" i="11"/>
  <c r="AJ211" i="31" s="1"/>
  <c r="S31" i="31"/>
  <c r="AJ194" i="11"/>
  <c r="AM194" i="11" s="1"/>
  <c r="AA229" i="73"/>
  <c r="AY263" i="31" s="1"/>
  <c r="AE173" i="31"/>
  <c r="AS263" i="31"/>
  <c r="AC173" i="31"/>
  <c r="AR194" i="11"/>
  <c r="AK211" i="31" s="1"/>
  <c r="AK169" i="11"/>
  <c r="Z169" i="11"/>
  <c r="U170" i="73"/>
  <c r="AE79" i="31" s="1"/>
  <c r="X170" i="31"/>
  <c r="X270" i="31"/>
  <c r="V180" i="31"/>
  <c r="AF231" i="11"/>
  <c r="AD270" i="31" s="1"/>
  <c r="V270" i="31"/>
  <c r="CC56" i="45"/>
  <c r="AL60" i="11"/>
  <c r="AO60" i="11"/>
  <c r="AL174" i="11"/>
  <c r="AJ174" i="11"/>
  <c r="BE231" i="11"/>
  <c r="AQ60" i="11"/>
  <c r="BF231" i="11"/>
  <c r="AN60" i="11"/>
  <c r="AP60" i="11"/>
  <c r="AM174" i="11"/>
  <c r="BD231" i="11"/>
  <c r="BC231" i="11"/>
  <c r="BB231" i="11"/>
  <c r="X60" i="11"/>
  <c r="AB60" i="11"/>
  <c r="AC60" i="11"/>
  <c r="Z60" i="11"/>
  <c r="AA60" i="11"/>
  <c r="AN57" i="73"/>
  <c r="AQ57" i="73"/>
  <c r="AL57" i="73"/>
  <c r="AO57" i="73"/>
  <c r="BF228" i="73"/>
  <c r="AM171" i="73"/>
  <c r="BC228" i="73"/>
  <c r="BB228" i="73"/>
  <c r="AO171" i="73"/>
  <c r="AL171" i="73"/>
  <c r="AN171" i="73"/>
  <c r="BE228" i="73"/>
  <c r="BD228" i="73"/>
  <c r="Z57" i="73"/>
  <c r="Y260" i="31"/>
  <c r="X57" i="73"/>
  <c r="AA231" i="11"/>
  <c r="AM231" i="11" s="1"/>
  <c r="X169" i="73"/>
  <c r="AH77" i="31" s="1"/>
  <c r="AA57" i="73"/>
  <c r="AB57" i="73"/>
  <c r="U137" i="73"/>
  <c r="AE28" i="31" s="1"/>
  <c r="AA14" i="73"/>
  <c r="AA42" i="73"/>
  <c r="Z44" i="73"/>
  <c r="X158" i="73"/>
  <c r="AH58" i="31" s="1"/>
  <c r="X148" i="73"/>
  <c r="AH44" i="31" s="1"/>
  <c r="AJ128" i="73"/>
  <c r="AP14" i="73"/>
  <c r="AQ12" i="11"/>
  <c r="AL12" i="11"/>
  <c r="AO12" i="11"/>
  <c r="AL126" i="11"/>
  <c r="AJ126" i="11"/>
  <c r="AM126" i="11"/>
  <c r="AP12" i="11"/>
  <c r="AN12" i="11"/>
  <c r="S17" i="31"/>
  <c r="AA129" i="11"/>
  <c r="AM42" i="73"/>
  <c r="Z42" i="73"/>
  <c r="X107" i="31"/>
  <c r="W126" i="11"/>
  <c r="U11" i="31" s="1"/>
  <c r="Y126" i="11"/>
  <c r="W11" i="31" s="1"/>
  <c r="AK183" i="11"/>
  <c r="X156" i="73"/>
  <c r="AH54" i="31" s="1"/>
  <c r="AA148" i="73"/>
  <c r="AK44" i="31" s="1"/>
  <c r="U135" i="73"/>
  <c r="AE24" i="31" s="1"/>
  <c r="AA12" i="11"/>
  <c r="Z12" i="11"/>
  <c r="CC29" i="45"/>
  <c r="AA147" i="11" s="1"/>
  <c r="AO147" i="11" s="1"/>
  <c r="AQ33" i="11"/>
  <c r="AL147" i="11"/>
  <c r="BE204" i="11"/>
  <c r="BD204" i="11"/>
  <c r="AP33" i="11"/>
  <c r="AN33" i="11"/>
  <c r="AO33" i="11"/>
  <c r="BF204" i="11"/>
  <c r="AJ147" i="11"/>
  <c r="AK147" i="11" s="1"/>
  <c r="AM147" i="11"/>
  <c r="BC204" i="11"/>
  <c r="BB204" i="11"/>
  <c r="AL33" i="11"/>
  <c r="X126" i="11"/>
  <c r="V11" i="31" s="1"/>
  <c r="X12" i="11"/>
  <c r="Z147" i="11"/>
  <c r="AN147" i="11" s="1"/>
  <c r="X147" i="11"/>
  <c r="Y147" i="11"/>
  <c r="AK204" i="11"/>
  <c r="AB12" i="11"/>
  <c r="Z129" i="11"/>
  <c r="X262" i="31"/>
  <c r="AH227" i="11"/>
  <c r="AF262" i="31" s="1"/>
  <c r="AQ227" i="11"/>
  <c r="AJ262" i="31" s="1"/>
  <c r="S82" i="31"/>
  <c r="AJ227" i="11"/>
  <c r="AM227" i="11" s="1"/>
  <c r="AR227" i="11"/>
  <c r="AK262" i="31" s="1"/>
  <c r="S217" i="31"/>
  <c r="Q270" i="31"/>
  <c r="Y113" i="31"/>
  <c r="S113" i="31"/>
  <c r="S270" i="31"/>
  <c r="CC17" i="45"/>
  <c r="AN133" i="11"/>
  <c r="AO133" i="11"/>
  <c r="Z167" i="11"/>
  <c r="AN167" i="11" s="1"/>
  <c r="AA167" i="11"/>
  <c r="Z53" i="11"/>
  <c r="X167" i="11"/>
  <c r="V76" i="31" s="1"/>
  <c r="Y224" i="11"/>
  <c r="W256" i="31" s="1"/>
  <c r="AA224" i="11"/>
  <c r="AM224" i="11" s="1"/>
  <c r="AN168" i="11"/>
  <c r="Q180" i="31"/>
  <c r="S203" i="31"/>
  <c r="V27" i="11"/>
  <c r="AC27" i="11" s="1"/>
  <c r="U141" i="11"/>
  <c r="S37" i="31" s="1"/>
  <c r="R86" i="31"/>
  <c r="Z172" i="11"/>
  <c r="P76" i="31"/>
  <c r="BF189" i="11"/>
  <c r="BT189" i="11"/>
  <c r="P127" i="31"/>
  <c r="V217" i="31"/>
  <c r="X18" i="11"/>
  <c r="AK194" i="73"/>
  <c r="W132" i="11"/>
  <c r="U21" i="31" s="1"/>
  <c r="AK189" i="11"/>
  <c r="AN18" i="11"/>
  <c r="AM132" i="11"/>
  <c r="AL18" i="11"/>
  <c r="AM18" i="11" s="1"/>
  <c r="BE189" i="11"/>
  <c r="AE215" i="11"/>
  <c r="AC241" i="31" s="1"/>
  <c r="AK192" i="11"/>
  <c r="AB21" i="11"/>
  <c r="Z18" i="11"/>
  <c r="P217" i="31"/>
  <c r="T198" i="11"/>
  <c r="R217" i="31" s="1"/>
  <c r="Q127" i="31"/>
  <c r="AQ188" i="11"/>
  <c r="BO189" i="11"/>
  <c r="BC189" i="11"/>
  <c r="AP20" i="73"/>
  <c r="CC14" i="45"/>
  <c r="BS189" i="11"/>
  <c r="AJ132" i="11"/>
  <c r="BP189" i="11"/>
  <c r="BD189" i="11"/>
  <c r="BB189" i="11"/>
  <c r="AO215" i="11"/>
  <c r="AH241" i="31" s="1"/>
  <c r="X135" i="11"/>
  <c r="V27" i="31" s="1"/>
  <c r="AA21" i="11"/>
  <c r="X21" i="11"/>
  <c r="AP23" i="73"/>
  <c r="AQ18" i="11"/>
  <c r="X65" i="31"/>
  <c r="AN163" i="11"/>
  <c r="X25" i="31"/>
  <c r="AN134" i="11"/>
  <c r="AO135" i="11"/>
  <c r="X144" i="11"/>
  <c r="V41" i="31" s="1"/>
  <c r="BF201" i="11"/>
  <c r="AJ144" i="11"/>
  <c r="AP30" i="11"/>
  <c r="AO30" i="11"/>
  <c r="AN30" i="11"/>
  <c r="BE201" i="11"/>
  <c r="BD201" i="11"/>
  <c r="AQ30" i="11"/>
  <c r="AL144" i="11"/>
  <c r="AM144" i="11"/>
  <c r="AL30" i="11"/>
  <c r="BC201" i="11"/>
  <c r="BB201" i="11"/>
  <c r="AH194" i="11"/>
  <c r="AP188" i="11"/>
  <c r="AL188" i="11"/>
  <c r="AD215" i="11"/>
  <c r="AG215" i="11" s="1"/>
  <c r="AE241" i="31" s="1"/>
  <c r="AA241" i="31"/>
  <c r="AF192" i="11"/>
  <c r="AD207" i="31" s="1"/>
  <c r="CC52" i="74"/>
  <c r="BF229" i="73"/>
  <c r="BT229" i="73"/>
  <c r="BS229" i="73"/>
  <c r="BC229" i="73"/>
  <c r="BE229" i="73"/>
  <c r="BO229" i="73"/>
  <c r="BQ229" i="73"/>
  <c r="BD229" i="73"/>
  <c r="BB229" i="73"/>
  <c r="BP229" i="73"/>
  <c r="Z229" i="73"/>
  <c r="U220" i="73"/>
  <c r="AE154" i="31" s="1"/>
  <c r="AA198" i="11"/>
  <c r="Y127" i="31" s="1"/>
  <c r="AH213" i="73"/>
  <c r="BF234" i="31" s="1"/>
  <c r="AE213" i="73"/>
  <c r="BC234" i="31" s="1"/>
  <c r="AQ244" i="31"/>
  <c r="AE220" i="73"/>
  <c r="BC244" i="31" s="1"/>
  <c r="AQ220" i="73"/>
  <c r="BJ244" i="31" s="1"/>
  <c r="AS220" i="73"/>
  <c r="BL244" i="31" s="1"/>
  <c r="AL220" i="73"/>
  <c r="Y198" i="11"/>
  <c r="W127" i="31" s="1"/>
  <c r="AD188" i="11"/>
  <c r="AG188" i="11" s="1"/>
  <c r="AE188" i="11"/>
  <c r="AH188" i="11" s="1"/>
  <c r="AO188" i="11"/>
  <c r="AR188" i="11"/>
  <c r="AD187" i="73"/>
  <c r="BB196" i="31" s="1"/>
  <c r="AO187" i="73"/>
  <c r="T207" i="73"/>
  <c r="AD136" i="31" s="1"/>
  <c r="U207" i="73"/>
  <c r="AS226" i="31" s="1"/>
  <c r="AF187" i="73"/>
  <c r="AR187" i="73" s="1"/>
  <c r="BK196" i="31" s="1"/>
  <c r="AS215" i="11"/>
  <c r="AL241" i="31" s="1"/>
  <c r="AP215" i="11"/>
  <c r="AI241" i="31" s="1"/>
  <c r="AR215" i="11"/>
  <c r="AK241" i="31" s="1"/>
  <c r="AQ215" i="11"/>
  <c r="AJ241" i="31" s="1"/>
  <c r="AL215" i="11"/>
  <c r="AH192" i="11"/>
  <c r="AF207" i="31" s="1"/>
  <c r="Q207" i="31"/>
  <c r="W207" i="31"/>
  <c r="U163" i="11"/>
  <c r="S65" i="31" s="1"/>
  <c r="Q117" i="31"/>
  <c r="U127" i="31"/>
  <c r="AQ231" i="11"/>
  <c r="AJ270" i="31" s="1"/>
  <c r="AQ207" i="11"/>
  <c r="AA18" i="11"/>
  <c r="AR231" i="11"/>
  <c r="AK270" i="31" s="1"/>
  <c r="AR207" i="11"/>
  <c r="AD231" i="11"/>
  <c r="AG231" i="11" s="1"/>
  <c r="AE270" i="31" s="1"/>
  <c r="AA270" i="31"/>
  <c r="T192" i="11"/>
  <c r="R117" i="31" s="1"/>
  <c r="AS207" i="11"/>
  <c r="AO207" i="11"/>
  <c r="AE231" i="11"/>
  <c r="AC270" i="31" s="1"/>
  <c r="AO231" i="11"/>
  <c r="AH270" i="31" s="1"/>
  <c r="X192" i="11"/>
  <c r="V207" i="31" s="1"/>
  <c r="P207" i="31"/>
  <c r="AL207" i="11"/>
  <c r="AE207" i="11"/>
  <c r="AH207" i="11" s="1"/>
  <c r="AP231" i="11"/>
  <c r="AI270" i="31" s="1"/>
  <c r="AS231" i="11"/>
  <c r="AL270" i="31" s="1"/>
  <c r="AL231" i="11"/>
  <c r="AD207" i="11"/>
  <c r="AG207" i="11" s="1"/>
  <c r="AP207" i="11"/>
  <c r="AC44" i="73"/>
  <c r="Q268" i="31"/>
  <c r="AP208" i="73"/>
  <c r="BI228" i="31" s="1"/>
  <c r="AD208" i="73"/>
  <c r="AG208" i="73" s="1"/>
  <c r="BE228" i="31" s="1"/>
  <c r="BA228" i="31"/>
  <c r="AS209" i="73"/>
  <c r="AP209" i="73"/>
  <c r="AH208" i="73"/>
  <c r="BF228" i="31" s="1"/>
  <c r="AO208" i="73"/>
  <c r="V28" i="11"/>
  <c r="AC28" i="11" s="1"/>
  <c r="AO209" i="73"/>
  <c r="AQ209" i="73"/>
  <c r="T135" i="73"/>
  <c r="AD24" i="31" s="1"/>
  <c r="AQ208" i="73"/>
  <c r="BJ228" i="31" s="1"/>
  <c r="AS208" i="73"/>
  <c r="BL228" i="31" s="1"/>
  <c r="AL208" i="73"/>
  <c r="AE209" i="73"/>
  <c r="AL209" i="73"/>
  <c r="BF183" i="11"/>
  <c r="BT183" i="11"/>
  <c r="AO146" i="73"/>
  <c r="AQ32" i="73"/>
  <c r="BF203" i="73"/>
  <c r="AL195" i="73"/>
  <c r="AT195" i="73"/>
  <c r="BM210" i="31" s="1"/>
  <c r="AT186" i="73"/>
  <c r="BM194" i="31" s="1"/>
  <c r="AL230" i="11"/>
  <c r="AT230" i="11"/>
  <c r="AM268" i="31" s="1"/>
  <c r="AQ224" i="73"/>
  <c r="BJ254" i="31" s="1"/>
  <c r="AT224" i="73"/>
  <c r="BM254" i="31" s="1"/>
  <c r="CC51" i="74"/>
  <c r="BA242" i="31"/>
  <c r="AT217" i="73"/>
  <c r="BM242" i="31" s="1"/>
  <c r="BA232" i="31"/>
  <c r="AT211" i="73"/>
  <c r="BM232" i="31" s="1"/>
  <c r="AE206" i="73"/>
  <c r="AT206" i="73"/>
  <c r="AL182" i="11"/>
  <c r="BA250" i="31"/>
  <c r="AT221" i="73"/>
  <c r="BM250" i="31" s="1"/>
  <c r="AE200" i="73"/>
  <c r="BC218" i="31" s="1"/>
  <c r="BA204" i="31"/>
  <c r="AT192" i="73"/>
  <c r="BM204" i="31" s="1"/>
  <c r="BA190" i="31"/>
  <c r="AT213" i="73"/>
  <c r="BM234" i="31" s="1"/>
  <c r="AA169" i="73"/>
  <c r="AM225" i="11"/>
  <c r="AC34" i="73"/>
  <c r="BT197" i="73"/>
  <c r="AO140" i="73"/>
  <c r="AQ26" i="73"/>
  <c r="BF197" i="73"/>
  <c r="BT182" i="11"/>
  <c r="BF182" i="11"/>
  <c r="AQ68" i="11"/>
  <c r="AQ11" i="11"/>
  <c r="BF184" i="73"/>
  <c r="AO127" i="73"/>
  <c r="AQ70" i="73"/>
  <c r="AQ13" i="73"/>
  <c r="BT184" i="73"/>
  <c r="AC70" i="73"/>
  <c r="BF192" i="73"/>
  <c r="AO135" i="73"/>
  <c r="AQ21" i="73"/>
  <c r="AC21" i="73"/>
  <c r="Y16" i="73"/>
  <c r="BT187" i="73"/>
  <c r="AO130" i="73"/>
  <c r="AQ16" i="73"/>
  <c r="BF187" i="73"/>
  <c r="AE214" i="73"/>
  <c r="BC236" i="31" s="1"/>
  <c r="AT214" i="73"/>
  <c r="BM236" i="31" s="1"/>
  <c r="AL207" i="73"/>
  <c r="AT207" i="73"/>
  <c r="BM226" i="31" s="1"/>
  <c r="AH204" i="73"/>
  <c r="AT204" i="73"/>
  <c r="AL198" i="11"/>
  <c r="AT198" i="11"/>
  <c r="AM217" i="31" s="1"/>
  <c r="AT193" i="73"/>
  <c r="BM206" i="31" s="1"/>
  <c r="AD199" i="11"/>
  <c r="AG199" i="11" s="1"/>
  <c r="BA248" i="31"/>
  <c r="AT218" i="73"/>
  <c r="BM248" i="31" s="1"/>
  <c r="AA256" i="31"/>
  <c r="AT224" i="11"/>
  <c r="AM256" i="31" s="1"/>
  <c r="AE199" i="73"/>
  <c r="BC216" i="31" s="1"/>
  <c r="AT199" i="73"/>
  <c r="BM216" i="31" s="1"/>
  <c r="AL220" i="11"/>
  <c r="AT220" i="11"/>
  <c r="AM245" i="31" s="1"/>
  <c r="AA166" i="73"/>
  <c r="AK72" i="31" s="1"/>
  <c r="AC56" i="73"/>
  <c r="AC54" i="11"/>
  <c r="AA137" i="73"/>
  <c r="AA141" i="11"/>
  <c r="AO141" i="11" s="1"/>
  <c r="AG54" i="31"/>
  <c r="AG74" i="31"/>
  <c r="AG52" i="31"/>
  <c r="AG14" i="31"/>
  <c r="AG36" i="31"/>
  <c r="L28" i="68"/>
  <c r="AG46" i="31"/>
  <c r="AG26" i="31"/>
  <c r="L22" i="68"/>
  <c r="AG70" i="31"/>
  <c r="AG30" i="31"/>
  <c r="AG62" i="31"/>
  <c r="L46" i="68"/>
  <c r="Y78" i="31"/>
  <c r="AA32" i="73"/>
  <c r="AM227" i="73"/>
  <c r="AF203" i="73"/>
  <c r="BD222" i="31" s="1"/>
  <c r="AF202" i="73"/>
  <c r="AR202" i="73" s="1"/>
  <c r="AA50" i="31"/>
  <c r="R59" i="73"/>
  <c r="Y59" i="73" s="1"/>
  <c r="R18" i="73"/>
  <c r="Y18" i="73" s="1"/>
  <c r="AA72" i="31"/>
  <c r="AB16" i="31"/>
  <c r="T130" i="73"/>
  <c r="AD16" i="31" s="1"/>
  <c r="AC185" i="73"/>
  <c r="AL185" i="73" s="1"/>
  <c r="AC212" i="73"/>
  <c r="AT212" i="73" s="1"/>
  <c r="AC188" i="73"/>
  <c r="AT188" i="73" s="1"/>
  <c r="BM198" i="31" s="1"/>
  <c r="AF196" i="73"/>
  <c r="AR196" i="73" s="1"/>
  <c r="BK212" i="31" s="1"/>
  <c r="AK142" i="11"/>
  <c r="U150" i="73"/>
  <c r="AE46" i="31" s="1"/>
  <c r="W268" i="31"/>
  <c r="U178" i="31"/>
  <c r="Q111" i="31"/>
  <c r="AQ193" i="73"/>
  <c r="BJ206" i="31" s="1"/>
  <c r="AL224" i="11"/>
  <c r="AW204" i="31"/>
  <c r="AH200" i="73"/>
  <c r="BF218" i="31" s="1"/>
  <c r="AO192" i="73"/>
  <c r="AS192" i="73"/>
  <c r="BL204" i="31" s="1"/>
  <c r="S201" i="31"/>
  <c r="AP206" i="73"/>
  <c r="AG173" i="31"/>
  <c r="BA218" i="31"/>
  <c r="AD220" i="11"/>
  <c r="AB245" i="31" s="1"/>
  <c r="AS221" i="73"/>
  <c r="BL250" i="31" s="1"/>
  <c r="AQ200" i="73"/>
  <c r="BJ218" i="31" s="1"/>
  <c r="AO217" i="73"/>
  <c r="N46" i="68" s="1"/>
  <c r="AO184" i="73"/>
  <c r="AA192" i="73"/>
  <c r="AK114" i="31" s="1"/>
  <c r="AB260" i="31"/>
  <c r="AQ206" i="73"/>
  <c r="AQ224" i="11"/>
  <c r="AJ256" i="31" s="1"/>
  <c r="AL200" i="73"/>
  <c r="AO220" i="11"/>
  <c r="AH245" i="31" s="1"/>
  <c r="AF186" i="73"/>
  <c r="BD194" i="31" s="1"/>
  <c r="AA268" i="31"/>
  <c r="Q166" i="31"/>
  <c r="T190" i="73"/>
  <c r="AL224" i="73"/>
  <c r="AP200" i="31"/>
  <c r="T163" i="73"/>
  <c r="AD64" i="31" s="1"/>
  <c r="AG192" i="11"/>
  <c r="AE207" i="31" s="1"/>
  <c r="AD221" i="73"/>
  <c r="BB250" i="31" s="1"/>
  <c r="AL184" i="73"/>
  <c r="AS211" i="73"/>
  <c r="BL232" i="31" s="1"/>
  <c r="AP224" i="11"/>
  <c r="AI256" i="31" s="1"/>
  <c r="AD200" i="73"/>
  <c r="BB218" i="31" s="1"/>
  <c r="AP220" i="11"/>
  <c r="AI245" i="31" s="1"/>
  <c r="AQ192" i="73"/>
  <c r="BJ204" i="31" s="1"/>
  <c r="AC114" i="31"/>
  <c r="AM21" i="11"/>
  <c r="AQ220" i="11"/>
  <c r="AJ245" i="31" s="1"/>
  <c r="AA245" i="31"/>
  <c r="AK189" i="73"/>
  <c r="AD206" i="73"/>
  <c r="AG206" i="73" s="1"/>
  <c r="AP194" i="31"/>
  <c r="S173" i="73"/>
  <c r="AC85" i="31" s="1"/>
  <c r="AB128" i="31"/>
  <c r="AL199" i="11"/>
  <c r="AL211" i="73"/>
  <c r="Z32" i="73"/>
  <c r="X163" i="73"/>
  <c r="AH64" i="31" s="1"/>
  <c r="AO193" i="73"/>
  <c r="AX248" i="31"/>
  <c r="AL193" i="73"/>
  <c r="AK162" i="31"/>
  <c r="AK223" i="73"/>
  <c r="X33" i="11"/>
  <c r="AR198" i="11"/>
  <c r="AK217" i="31" s="1"/>
  <c r="AP218" i="73"/>
  <c r="BI248" i="31" s="1"/>
  <c r="AB104" i="31"/>
  <c r="AV263" i="31"/>
  <c r="Y111" i="31"/>
  <c r="AB114" i="31"/>
  <c r="AD166" i="73"/>
  <c r="AD214" i="73"/>
  <c r="BB236" i="31" s="1"/>
  <c r="X166" i="73"/>
  <c r="AH72" i="31" s="1"/>
  <c r="AF33" i="11"/>
  <c r="AP198" i="11"/>
  <c r="AI217" i="31" s="1"/>
  <c r="T173" i="11"/>
  <c r="R88" i="31" s="1"/>
  <c r="AQ218" i="73"/>
  <c r="BJ248" i="31" s="1"/>
  <c r="X16" i="73"/>
  <c r="W201" i="31"/>
  <c r="AE221" i="73"/>
  <c r="BC250" i="31" s="1"/>
  <c r="AO221" i="73"/>
  <c r="AL221" i="73"/>
  <c r="AI158" i="31"/>
  <c r="U111" i="31"/>
  <c r="AS198" i="11"/>
  <c r="AL217" i="31" s="1"/>
  <c r="R132" i="73"/>
  <c r="AB20" i="31" s="1"/>
  <c r="AP187" i="73"/>
  <c r="BI196" i="31" s="1"/>
  <c r="AQ248" i="31"/>
  <c r="AM220" i="11"/>
  <c r="R90" i="11"/>
  <c r="Y90" i="11" s="1"/>
  <c r="AJ184" i="73"/>
  <c r="AQ217" i="73"/>
  <c r="BJ242" i="31" s="1"/>
  <c r="BA206" i="31"/>
  <c r="AP192" i="73"/>
  <c r="BI204" i="31" s="1"/>
  <c r="AE192" i="73"/>
  <c r="BC204" i="31" s="1"/>
  <c r="AL192" i="73"/>
  <c r="AH221" i="73"/>
  <c r="BF250" i="31" s="1"/>
  <c r="AQ221" i="73"/>
  <c r="BJ250" i="31" s="1"/>
  <c r="Z166" i="73"/>
  <c r="AJ72" i="31" s="1"/>
  <c r="AD184" i="73"/>
  <c r="BB190" i="31" s="1"/>
  <c r="S33" i="11"/>
  <c r="U33" i="11" s="1"/>
  <c r="AB33" i="11" s="1"/>
  <c r="BA254" i="31"/>
  <c r="AC189" i="73"/>
  <c r="U156" i="73"/>
  <c r="U157" i="73"/>
  <c r="AE56" i="31" s="1"/>
  <c r="Q201" i="31"/>
  <c r="AO198" i="11"/>
  <c r="AH217" i="31" s="1"/>
  <c r="AQ198" i="11"/>
  <c r="AJ217" i="31" s="1"/>
  <c r="AA217" i="31"/>
  <c r="AQ211" i="73"/>
  <c r="BJ232" i="31" s="1"/>
  <c r="S132" i="73"/>
  <c r="AC20" i="31" s="1"/>
  <c r="W132" i="73"/>
  <c r="L18" i="68" s="1"/>
  <c r="AS218" i="73"/>
  <c r="BL248" i="31" s="1"/>
  <c r="AH206" i="73"/>
  <c r="AG158" i="31"/>
  <c r="AY248" i="31"/>
  <c r="AH173" i="31"/>
  <c r="AO224" i="11"/>
  <c r="AH256" i="31" s="1"/>
  <c r="S99" i="31"/>
  <c r="AO200" i="73"/>
  <c r="Y13" i="73"/>
  <c r="AS220" i="11"/>
  <c r="AL245" i="31" s="1"/>
  <c r="AE220" i="11"/>
  <c r="AC245" i="31" s="1"/>
  <c r="AM28" i="11"/>
  <c r="AP230" i="11"/>
  <c r="AI268" i="31" s="1"/>
  <c r="AF189" i="73"/>
  <c r="AR189" i="73" s="1"/>
  <c r="AS252" i="31"/>
  <c r="AD132" i="73"/>
  <c r="AK132" i="73" s="1"/>
  <c r="AA20" i="31"/>
  <c r="AE158" i="31"/>
  <c r="AE217" i="73"/>
  <c r="BC242" i="31" s="1"/>
  <c r="AL217" i="73"/>
  <c r="AE193" i="73"/>
  <c r="BC206" i="31" s="1"/>
  <c r="AD192" i="73"/>
  <c r="BB204" i="31" s="1"/>
  <c r="AQ204" i="31"/>
  <c r="AP221" i="73"/>
  <c r="BI250" i="31" s="1"/>
  <c r="R109" i="73"/>
  <c r="Y109" i="73" s="1"/>
  <c r="AE184" i="73"/>
  <c r="BC190" i="31" s="1"/>
  <c r="AO224" i="73"/>
  <c r="AE162" i="31"/>
  <c r="AD198" i="11"/>
  <c r="AG198" i="11" s="1"/>
  <c r="AE217" i="31" s="1"/>
  <c r="AE198" i="11"/>
  <c r="AC217" i="31" s="1"/>
  <c r="AP211" i="73"/>
  <c r="BI232" i="31" s="1"/>
  <c r="R75" i="73"/>
  <c r="Y75" i="73" s="1"/>
  <c r="AL218" i="73"/>
  <c r="AO206" i="73"/>
  <c r="AE224" i="11"/>
  <c r="AC256" i="31" s="1"/>
  <c r="AA182" i="11"/>
  <c r="Y189" i="31" s="1"/>
  <c r="U166" i="31"/>
  <c r="X166" i="31"/>
  <c r="AQ194" i="31"/>
  <c r="AR220" i="11"/>
  <c r="AK245" i="31" s="1"/>
  <c r="Z173" i="73"/>
  <c r="AJ85" i="31" s="1"/>
  <c r="AM207" i="11"/>
  <c r="Y21" i="73"/>
  <c r="Y127" i="73"/>
  <c r="AI10" i="31" s="1"/>
  <c r="T189" i="11"/>
  <c r="R111" i="31" s="1"/>
  <c r="AF182" i="11"/>
  <c r="AD189" i="31" s="1"/>
  <c r="U142" i="11"/>
  <c r="AA142" i="11" s="1"/>
  <c r="AO142" i="11" s="1"/>
  <c r="AF192" i="73"/>
  <c r="BD204" i="31" s="1"/>
  <c r="R153" i="73"/>
  <c r="AB50" i="31" s="1"/>
  <c r="AM52" i="73"/>
  <c r="AQ195" i="73"/>
  <c r="BJ210" i="31" s="1"/>
  <c r="U189" i="31"/>
  <c r="X192" i="73"/>
  <c r="AV204" i="31" s="1"/>
  <c r="T192" i="73"/>
  <c r="AR204" i="31" s="1"/>
  <c r="BA216" i="31"/>
  <c r="R39" i="73"/>
  <c r="Y39" i="73" s="1"/>
  <c r="V256" i="31"/>
  <c r="S268" i="31"/>
  <c r="AE204" i="73"/>
  <c r="AS218" i="31"/>
  <c r="AM190" i="11"/>
  <c r="T163" i="11"/>
  <c r="R65" i="31" s="1"/>
  <c r="AG104" i="31"/>
  <c r="AK163" i="73"/>
  <c r="AC210" i="73"/>
  <c r="BA236" i="31"/>
  <c r="AQ186" i="73"/>
  <c r="BJ194" i="31" s="1"/>
  <c r="S153" i="73"/>
  <c r="AC50" i="31" s="1"/>
  <c r="V178" i="31"/>
  <c r="AQ207" i="73"/>
  <c r="BJ226" i="31" s="1"/>
  <c r="AF218" i="73"/>
  <c r="BD248" i="31" s="1"/>
  <c r="AE195" i="73"/>
  <c r="BC210" i="31" s="1"/>
  <c r="AE114" i="31"/>
  <c r="P166" i="31"/>
  <c r="AG68" i="31"/>
  <c r="X154" i="73"/>
  <c r="AH52" i="31" s="1"/>
  <c r="AS186" i="73"/>
  <c r="BL194" i="31" s="1"/>
  <c r="AQ204" i="73"/>
  <c r="AO195" i="73"/>
  <c r="AM49" i="73"/>
  <c r="T141" i="11"/>
  <c r="Z141" i="11" s="1"/>
  <c r="AH197" i="11"/>
  <c r="AF215" i="31" s="1"/>
  <c r="AF189" i="11"/>
  <c r="AD201" i="31" s="1"/>
  <c r="AD199" i="73"/>
  <c r="AG199" i="73" s="1"/>
  <c r="BE216" i="31" s="1"/>
  <c r="AE186" i="73"/>
  <c r="BC194" i="31" s="1"/>
  <c r="AL186" i="73"/>
  <c r="AE207" i="73"/>
  <c r="BC226" i="31" s="1"/>
  <c r="T142" i="11"/>
  <c r="R39" i="31" s="1"/>
  <c r="T200" i="73"/>
  <c r="AU252" i="31"/>
  <c r="BA210" i="31"/>
  <c r="AA219" i="31"/>
  <c r="AM226" i="73"/>
  <c r="AG56" i="31"/>
  <c r="Y182" i="11"/>
  <c r="W99" i="31" s="1"/>
  <c r="AK135" i="11"/>
  <c r="AQ218" i="31"/>
  <c r="AQ199" i="73"/>
  <c r="BJ216" i="31" s="1"/>
  <c r="R96" i="73"/>
  <c r="Y96" i="73" s="1"/>
  <c r="Z153" i="73"/>
  <c r="AJ50" i="31" s="1"/>
  <c r="Y153" i="73"/>
  <c r="AI50" i="31" s="1"/>
  <c r="AS207" i="73"/>
  <c r="BL226" i="31" s="1"/>
  <c r="AL204" i="73"/>
  <c r="Y142" i="11"/>
  <c r="W39" i="31" s="1"/>
  <c r="AS199" i="73"/>
  <c r="BL216" i="31" s="1"/>
  <c r="AP199" i="73"/>
  <c r="BI216" i="31" s="1"/>
  <c r="AL199" i="73"/>
  <c r="AQ214" i="73"/>
  <c r="BJ236" i="31" s="1"/>
  <c r="AS214" i="73"/>
  <c r="BL236" i="31" s="1"/>
  <c r="AD153" i="73"/>
  <c r="AK153" i="73" s="1"/>
  <c r="W153" i="73"/>
  <c r="AK210" i="73"/>
  <c r="AF230" i="11"/>
  <c r="AD268" i="31" s="1"/>
  <c r="AD173" i="31"/>
  <c r="AS230" i="11"/>
  <c r="AL268" i="31" s="1"/>
  <c r="AP207" i="73"/>
  <c r="BI226" i="31" s="1"/>
  <c r="AO207" i="73"/>
  <c r="AJ215" i="73"/>
  <c r="AH224" i="73"/>
  <c r="BF254" i="31" s="1"/>
  <c r="AB158" i="31"/>
  <c r="AF210" i="73"/>
  <c r="AR210" i="73" s="1"/>
  <c r="BK230" i="31" s="1"/>
  <c r="AO204" i="73"/>
  <c r="AS204" i="73"/>
  <c r="AF200" i="73"/>
  <c r="AR200" i="73" s="1"/>
  <c r="BK218" i="31" s="1"/>
  <c r="AE199" i="11"/>
  <c r="AC219" i="31" s="1"/>
  <c r="X88" i="31"/>
  <c r="Y169" i="73"/>
  <c r="AI77" i="31" s="1"/>
  <c r="P256" i="31"/>
  <c r="AI173" i="31"/>
  <c r="AS194" i="31"/>
  <c r="AX194" i="31"/>
  <c r="Q99" i="31"/>
  <c r="P99" i="31"/>
  <c r="Y135" i="73"/>
  <c r="AI24" i="31" s="1"/>
  <c r="Y154" i="73"/>
  <c r="AI52" i="31" s="1"/>
  <c r="AH199" i="73"/>
  <c r="BF216" i="31" s="1"/>
  <c r="AP214" i="73"/>
  <c r="BI236" i="31" s="1"/>
  <c r="AL214" i="73"/>
  <c r="BA226" i="31"/>
  <c r="T218" i="73"/>
  <c r="AD158" i="31" s="1"/>
  <c r="Y141" i="11"/>
  <c r="W37" i="31" s="1"/>
  <c r="P39" i="31"/>
  <c r="AP204" i="73"/>
  <c r="AU218" i="31"/>
  <c r="U136" i="73"/>
  <c r="AO199" i="73"/>
  <c r="N28" i="68" s="1"/>
  <c r="AO214" i="73"/>
  <c r="AK50" i="31"/>
  <c r="X153" i="73"/>
  <c r="AH50" i="31" s="1"/>
  <c r="S166" i="31"/>
  <c r="AE230" i="11"/>
  <c r="AC268" i="31" s="1"/>
  <c r="W191" i="31"/>
  <c r="AD207" i="73"/>
  <c r="BB226" i="31" s="1"/>
  <c r="AS224" i="73"/>
  <c r="BL254" i="31" s="1"/>
  <c r="T154" i="73"/>
  <c r="Z154" i="73" s="1"/>
  <c r="AJ52" i="31" s="1"/>
  <c r="AD204" i="73"/>
  <c r="AG204" i="73" s="1"/>
  <c r="AG114" i="31"/>
  <c r="X182" i="11"/>
  <c r="V99" i="31" s="1"/>
  <c r="R74" i="73"/>
  <c r="Y74" i="73" s="1"/>
  <c r="AF188" i="73"/>
  <c r="BD200" i="31" s="1"/>
  <c r="AM30" i="73"/>
  <c r="AC223" i="73"/>
  <c r="T127" i="73"/>
  <c r="AD10" i="31" s="1"/>
  <c r="AD217" i="73"/>
  <c r="BB242" i="31" s="1"/>
  <c r="AP193" i="73"/>
  <c r="BI206" i="31" s="1"/>
  <c r="AS193" i="73"/>
  <c r="BL206" i="31" s="1"/>
  <c r="P37" i="31"/>
  <c r="P201" i="31"/>
  <c r="AH186" i="11"/>
  <c r="AF197" i="31" s="1"/>
  <c r="S166" i="73"/>
  <c r="AC72" i="31" s="1"/>
  <c r="R52" i="73"/>
  <c r="Y52" i="73" s="1"/>
  <c r="AO186" i="73"/>
  <c r="AP186" i="73"/>
  <c r="BI194" i="31" s="1"/>
  <c r="BA194" i="31"/>
  <c r="T33" i="11"/>
  <c r="V33" i="11" s="1"/>
  <c r="AC33" i="11" s="1"/>
  <c r="AF224" i="11"/>
  <c r="AD256" i="31" s="1"/>
  <c r="AD230" i="11"/>
  <c r="AG230" i="11" s="1"/>
  <c r="AE268" i="31" s="1"/>
  <c r="AH230" i="11"/>
  <c r="AF268" i="31" s="1"/>
  <c r="AR230" i="11"/>
  <c r="AK268" i="31" s="1"/>
  <c r="AP224" i="73"/>
  <c r="BI254" i="31" s="1"/>
  <c r="AD224" i="73"/>
  <c r="BB254" i="31" s="1"/>
  <c r="S111" i="31"/>
  <c r="AD195" i="73"/>
  <c r="BB210" i="31" s="1"/>
  <c r="AP195" i="73"/>
  <c r="BI210" i="31" s="1"/>
  <c r="AD211" i="73"/>
  <c r="BB232" i="31" s="1"/>
  <c r="AE211" i="73"/>
  <c r="BC232" i="31" s="1"/>
  <c r="AD218" i="73"/>
  <c r="BB248" i="31" s="1"/>
  <c r="AO218" i="73"/>
  <c r="AS206" i="73"/>
  <c r="AL206" i="73"/>
  <c r="AR224" i="11"/>
  <c r="AK256" i="31" s="1"/>
  <c r="AS224" i="11"/>
  <c r="AL256" i="31" s="1"/>
  <c r="U134" i="11"/>
  <c r="S25" i="31" s="1"/>
  <c r="U126" i="11"/>
  <c r="S11" i="31" s="1"/>
  <c r="AJ187" i="73"/>
  <c r="AP217" i="73"/>
  <c r="BI242" i="31" s="1"/>
  <c r="AS217" i="73"/>
  <c r="BL242" i="31" s="1"/>
  <c r="AD193" i="73"/>
  <c r="AG193" i="73" s="1"/>
  <c r="BE206" i="31" s="1"/>
  <c r="P111" i="31"/>
  <c r="AF223" i="73"/>
  <c r="AR223" i="73" s="1"/>
  <c r="BK252" i="31" s="1"/>
  <c r="R166" i="73"/>
  <c r="AB72" i="31" s="1"/>
  <c r="W166" i="73"/>
  <c r="AD186" i="73"/>
  <c r="BB194" i="31" s="1"/>
  <c r="AO230" i="11"/>
  <c r="AH268" i="31" s="1"/>
  <c r="AQ230" i="11"/>
  <c r="AJ268" i="31" s="1"/>
  <c r="AE224" i="73"/>
  <c r="BC254" i="31" s="1"/>
  <c r="AM218" i="73"/>
  <c r="AS195" i="73"/>
  <c r="BL210" i="31" s="1"/>
  <c r="AH195" i="73"/>
  <c r="BF210" i="31" s="1"/>
  <c r="AO199" i="11"/>
  <c r="AH219" i="31" s="1"/>
  <c r="AO211" i="73"/>
  <c r="AE218" i="73"/>
  <c r="BC248" i="31" s="1"/>
  <c r="AH218" i="73"/>
  <c r="BF248" i="31" s="1"/>
  <c r="AB16" i="73"/>
  <c r="AD224" i="11"/>
  <c r="AB256" i="31" s="1"/>
  <c r="Z28" i="11"/>
  <c r="T156" i="73"/>
  <c r="T150" i="73"/>
  <c r="AD46" i="31" s="1"/>
  <c r="AE182" i="11"/>
  <c r="AQ182" i="11" s="1"/>
  <c r="AJ189" i="31" s="1"/>
  <c r="AO182" i="11"/>
  <c r="AH189" i="31" s="1"/>
  <c r="AA189" i="31"/>
  <c r="AD182" i="11"/>
  <c r="AP182" i="11" s="1"/>
  <c r="AI189" i="31" s="1"/>
  <c r="Y173" i="73"/>
  <c r="AI85" i="31" s="1"/>
  <c r="T182" i="11"/>
  <c r="R99" i="31" s="1"/>
  <c r="AM207" i="73"/>
  <c r="T157" i="73"/>
  <c r="AK85" i="31"/>
  <c r="AB32" i="73"/>
  <c r="AK230" i="73"/>
  <c r="AC230" i="73"/>
  <c r="AT230" i="73" s="1"/>
  <c r="U173" i="73"/>
  <c r="AE85" i="31" s="1"/>
  <c r="R116" i="73"/>
  <c r="Y116" i="73" s="1"/>
  <c r="X173" i="73"/>
  <c r="AH85" i="31" s="1"/>
  <c r="R173" i="73"/>
  <c r="AB85" i="31" s="1"/>
  <c r="T173" i="73"/>
  <c r="AD85" i="31" s="1"/>
  <c r="W173" i="73"/>
  <c r="L58" i="68" s="1"/>
  <c r="AA85" i="31"/>
  <c r="AD173" i="73"/>
  <c r="AK173" i="73" s="1"/>
  <c r="AC16" i="31"/>
  <c r="Y130" i="73"/>
  <c r="AI16" i="31" s="1"/>
  <c r="AC64" i="31"/>
  <c r="U163" i="73"/>
  <c r="AA163" i="73" s="1"/>
  <c r="V201" i="31"/>
  <c r="V111" i="31"/>
  <c r="W139" i="73"/>
  <c r="L25" i="68" s="1"/>
  <c r="AC196" i="73"/>
  <c r="AT196" i="73" s="1"/>
  <c r="R82" i="73"/>
  <c r="Y82" i="73" s="1"/>
  <c r="U139" i="73"/>
  <c r="AE32" i="31" s="1"/>
  <c r="AA32" i="31"/>
  <c r="S139" i="73"/>
  <c r="AC32" i="31" s="1"/>
  <c r="R25" i="73"/>
  <c r="Y25" i="73" s="1"/>
  <c r="AK196" i="73"/>
  <c r="R139" i="73"/>
  <c r="AB32" i="31" s="1"/>
  <c r="AD139" i="73"/>
  <c r="AB26" i="31"/>
  <c r="T136" i="73"/>
  <c r="AH226" i="11"/>
  <c r="AF260" i="31" s="1"/>
  <c r="R114" i="73"/>
  <c r="Y114" i="73" s="1"/>
  <c r="W171" i="73"/>
  <c r="L56" i="68" s="1"/>
  <c r="R57" i="73"/>
  <c r="Y57" i="73" s="1"/>
  <c r="R171" i="73"/>
  <c r="X171" i="73" s="1"/>
  <c r="AH81" i="31" s="1"/>
  <c r="AC228" i="73"/>
  <c r="AT228" i="73" s="1"/>
  <c r="AK228" i="73"/>
  <c r="AA81" i="31"/>
  <c r="S171" i="73"/>
  <c r="Y171" i="73" s="1"/>
  <c r="AI81" i="31" s="1"/>
  <c r="AD171" i="73"/>
  <c r="AE52" i="31"/>
  <c r="R31" i="73"/>
  <c r="Y31" i="73" s="1"/>
  <c r="AC202" i="73"/>
  <c r="AT202" i="73" s="1"/>
  <c r="AD145" i="73"/>
  <c r="AK145" i="73" s="1"/>
  <c r="T145" i="73"/>
  <c r="Y145" i="73"/>
  <c r="X145" i="73"/>
  <c r="W145" i="73"/>
  <c r="R145" i="73"/>
  <c r="S145" i="73"/>
  <c r="Z145" i="73"/>
  <c r="AK202" i="73"/>
  <c r="U145" i="73"/>
  <c r="R88" i="73"/>
  <c r="Y88" i="73" s="1"/>
  <c r="W131" i="73"/>
  <c r="L17" i="68" s="1"/>
  <c r="S131" i="73"/>
  <c r="AC18" i="31" s="1"/>
  <c r="AK188" i="73"/>
  <c r="AD131" i="73"/>
  <c r="AK131" i="73" s="1"/>
  <c r="R131" i="73"/>
  <c r="AB18" i="31" s="1"/>
  <c r="U131" i="73"/>
  <c r="AE18" i="31" s="1"/>
  <c r="AA18" i="31"/>
  <c r="R17" i="73"/>
  <c r="Y17" i="73" s="1"/>
  <c r="AM19" i="11"/>
  <c r="Y216" i="73"/>
  <c r="AW240" i="31" s="1"/>
  <c r="X32" i="73"/>
  <c r="Z163" i="73"/>
  <c r="AJ64" i="31" s="1"/>
  <c r="U132" i="11"/>
  <c r="AA132" i="11" s="1"/>
  <c r="AO132" i="11" s="1"/>
  <c r="AK133" i="11"/>
  <c r="AH225" i="11"/>
  <c r="AF258" i="31" s="1"/>
  <c r="Y132" i="11"/>
  <c r="W21" i="31" s="1"/>
  <c r="AQ187" i="73"/>
  <c r="BJ196" i="31" s="1"/>
  <c r="Z16" i="73"/>
  <c r="AA16" i="73"/>
  <c r="U174" i="11"/>
  <c r="Y148" i="73"/>
  <c r="AI44" i="31" s="1"/>
  <c r="Y137" i="73"/>
  <c r="AI28" i="31" s="1"/>
  <c r="T158" i="73"/>
  <c r="Y170" i="73"/>
  <c r="AI79" i="31" s="1"/>
  <c r="AA30" i="73"/>
  <c r="U149" i="11"/>
  <c r="S47" i="31" s="1"/>
  <c r="AI102" i="31"/>
  <c r="AW192" i="31"/>
  <c r="AE150" i="31"/>
  <c r="AS240" i="31"/>
  <c r="AA216" i="73"/>
  <c r="Y131" i="31"/>
  <c r="Y221" i="31"/>
  <c r="W221" i="31"/>
  <c r="W131" i="31"/>
  <c r="AH150" i="31"/>
  <c r="AV240" i="31"/>
  <c r="S227" i="31"/>
  <c r="S137" i="31"/>
  <c r="V221" i="31"/>
  <c r="V131" i="31"/>
  <c r="AO227" i="73"/>
  <c r="N55" i="68" s="1"/>
  <c r="BA259" i="31"/>
  <c r="AL227" i="73"/>
  <c r="AP227" i="73"/>
  <c r="BI259" i="31" s="1"/>
  <c r="AS227" i="73"/>
  <c r="BL259" i="31" s="1"/>
  <c r="BM259" i="31"/>
  <c r="AE227" i="73"/>
  <c r="BC259" i="31" s="1"/>
  <c r="AD227" i="73"/>
  <c r="AQ227" i="73"/>
  <c r="BJ259" i="31" s="1"/>
  <c r="AA220" i="73"/>
  <c r="AL190" i="73"/>
  <c r="AO190" i="73"/>
  <c r="AE190" i="73"/>
  <c r="AH190" i="73" s="1"/>
  <c r="AQ190" i="73"/>
  <c r="BJ200" i="31" s="1"/>
  <c r="AS190" i="73"/>
  <c r="BL200" i="31" s="1"/>
  <c r="BM200" i="31"/>
  <c r="AD190" i="73"/>
  <c r="AG190" i="73" s="1"/>
  <c r="AP190" i="73"/>
  <c r="BI200" i="31" s="1"/>
  <c r="W258" i="31"/>
  <c r="W168" i="31"/>
  <c r="S215" i="31"/>
  <c r="S125" i="31"/>
  <c r="AL189" i="11"/>
  <c r="AA201" i="31"/>
  <c r="AD189" i="11"/>
  <c r="AP189" i="11" s="1"/>
  <c r="AI201" i="31" s="1"/>
  <c r="AO189" i="11"/>
  <c r="AH201" i="31" s="1"/>
  <c r="AE189" i="11"/>
  <c r="AC201" i="31" s="1"/>
  <c r="AV232" i="31"/>
  <c r="AH142" i="31"/>
  <c r="AP198" i="73"/>
  <c r="AH198" i="73"/>
  <c r="AE198" i="73"/>
  <c r="AL198" i="73"/>
  <c r="AS198" i="73"/>
  <c r="AQ198" i="73"/>
  <c r="AD198" i="73"/>
  <c r="AG198" i="73" s="1"/>
  <c r="AO198" i="73"/>
  <c r="N27" i="68" s="1"/>
  <c r="AA191" i="31"/>
  <c r="AO183" i="11"/>
  <c r="AH191" i="31" s="1"/>
  <c r="AL183" i="11"/>
  <c r="AR183" i="11"/>
  <c r="AK191" i="31" s="1"/>
  <c r="AE183" i="11"/>
  <c r="AC191" i="31" s="1"/>
  <c r="AD183" i="11"/>
  <c r="AP183" i="11" s="1"/>
  <c r="AI191" i="31" s="1"/>
  <c r="AR227" i="73"/>
  <c r="BK259" i="31" s="1"/>
  <c r="BD259" i="31"/>
  <c r="BD242" i="31"/>
  <c r="AR217" i="73"/>
  <c r="BK242" i="31" s="1"/>
  <c r="AR222" i="31"/>
  <c r="AD132" i="31"/>
  <c r="Z203" i="73"/>
  <c r="AG225" i="11"/>
  <c r="AE258" i="31" s="1"/>
  <c r="AB258" i="31"/>
  <c r="AB262" i="31"/>
  <c r="AG227" i="11"/>
  <c r="AB215" i="31"/>
  <c r="AG197" i="11"/>
  <c r="AE215" i="31" s="1"/>
  <c r="AB197" i="31"/>
  <c r="AG186" i="11"/>
  <c r="AE197" i="31" s="1"/>
  <c r="Z223" i="73"/>
  <c r="AR214" i="73"/>
  <c r="BK236" i="31" s="1"/>
  <c r="BD236" i="31"/>
  <c r="BD232" i="31"/>
  <c r="AR211" i="73"/>
  <c r="BK232" i="31" s="1"/>
  <c r="BD269" i="31"/>
  <c r="AR232" i="73"/>
  <c r="BK269" i="31" s="1"/>
  <c r="P61" i="31"/>
  <c r="T158" i="11"/>
  <c r="R61" i="31" s="1"/>
  <c r="AK201" i="73"/>
  <c r="AA40" i="31"/>
  <c r="AD144" i="73"/>
  <c r="S144" i="73"/>
  <c r="AC40" i="31" s="1"/>
  <c r="R30" i="73"/>
  <c r="Y30" i="73" s="1"/>
  <c r="R87" i="73"/>
  <c r="Y87" i="73" s="1"/>
  <c r="W144" i="73"/>
  <c r="L30" i="68" s="1"/>
  <c r="R144" i="73"/>
  <c r="AB40" i="31" s="1"/>
  <c r="AC201" i="73"/>
  <c r="AK231" i="73"/>
  <c r="AA87" i="31"/>
  <c r="W174" i="73"/>
  <c r="L59" i="68" s="1"/>
  <c r="AD174" i="73"/>
  <c r="R117" i="73"/>
  <c r="Y117" i="73" s="1"/>
  <c r="R60" i="73"/>
  <c r="Y60" i="73" s="1"/>
  <c r="R174" i="73"/>
  <c r="AB87" i="31" s="1"/>
  <c r="S174" i="73"/>
  <c r="AC87" i="31" s="1"/>
  <c r="AK203" i="73"/>
  <c r="AA42" i="31"/>
  <c r="AD146" i="73"/>
  <c r="R146" i="73"/>
  <c r="AB42" i="31" s="1"/>
  <c r="W146" i="73"/>
  <c r="R32" i="73"/>
  <c r="Y32" i="73" s="1"/>
  <c r="S146" i="73"/>
  <c r="AC42" i="31" s="1"/>
  <c r="R89" i="73"/>
  <c r="Y89" i="73" s="1"/>
  <c r="AC203" i="73"/>
  <c r="AT203" i="73" s="1"/>
  <c r="BD190" i="31"/>
  <c r="AR184" i="73"/>
  <c r="BK190" i="31" s="1"/>
  <c r="AA60" i="31"/>
  <c r="AD159" i="73"/>
  <c r="R159" i="73"/>
  <c r="AB60" i="31" s="1"/>
  <c r="R102" i="73"/>
  <c r="Y102" i="73" s="1"/>
  <c r="R45" i="73"/>
  <c r="Y45" i="73" s="1"/>
  <c r="S159" i="73"/>
  <c r="AC60" i="31" s="1"/>
  <c r="W159" i="73"/>
  <c r="AK191" i="73"/>
  <c r="AD134" i="73"/>
  <c r="AA22" i="31"/>
  <c r="R134" i="73"/>
  <c r="AB22" i="31" s="1"/>
  <c r="R20" i="73"/>
  <c r="Y20" i="73" s="1"/>
  <c r="R77" i="73"/>
  <c r="Y77" i="73" s="1"/>
  <c r="S134" i="73"/>
  <c r="AC22" i="31" s="1"/>
  <c r="W134" i="73"/>
  <c r="AD134" i="31"/>
  <c r="AR224" i="31"/>
  <c r="Z205" i="73"/>
  <c r="BB183" i="11"/>
  <c r="BE183" i="11"/>
  <c r="BO183" i="11"/>
  <c r="BQ183" i="11"/>
  <c r="BS183" i="11"/>
  <c r="BC183" i="11"/>
  <c r="BD183" i="11"/>
  <c r="BP183" i="11"/>
  <c r="CC8" i="45"/>
  <c r="AC69" i="11" s="1"/>
  <c r="R113" i="31"/>
  <c r="R203" i="31"/>
  <c r="Z190" i="11"/>
  <c r="AB203" i="31"/>
  <c r="AG190" i="11"/>
  <c r="AE203" i="31" s="1"/>
  <c r="AK112" i="31"/>
  <c r="AY202" i="31"/>
  <c r="AV202" i="31"/>
  <c r="AH112" i="31"/>
  <c r="AP202" i="31"/>
  <c r="AB112" i="31"/>
  <c r="T191" i="73"/>
  <c r="AF191" i="73"/>
  <c r="AS238" i="31"/>
  <c r="AE148" i="31"/>
  <c r="AG148" i="31"/>
  <c r="AU238" i="31"/>
  <c r="AA66" i="31"/>
  <c r="AK222" i="73"/>
  <c r="R165" i="73"/>
  <c r="AB66" i="31" s="1"/>
  <c r="W165" i="73"/>
  <c r="L51" i="68" s="1"/>
  <c r="R108" i="73"/>
  <c r="Y108" i="73" s="1"/>
  <c r="R51" i="73"/>
  <c r="Y51" i="73" s="1"/>
  <c r="X165" i="73"/>
  <c r="AH66" i="31" s="1"/>
  <c r="S165" i="73"/>
  <c r="AC66" i="31" s="1"/>
  <c r="AD165" i="73"/>
  <c r="AK165" i="73" s="1"/>
  <c r="Y165" i="73"/>
  <c r="AI66" i="31" s="1"/>
  <c r="Z165" i="73"/>
  <c r="AJ66" i="31" s="1"/>
  <c r="U165" i="73"/>
  <c r="AE66" i="31" s="1"/>
  <c r="AC222" i="73"/>
  <c r="AT222" i="73" s="1"/>
  <c r="AR259" i="31"/>
  <c r="AD169" i="31"/>
  <c r="Z227" i="73"/>
  <c r="AH130" i="31"/>
  <c r="AV220" i="31"/>
  <c r="Y258" i="31"/>
  <c r="Y168" i="31"/>
  <c r="AV257" i="31"/>
  <c r="AH167" i="31"/>
  <c r="AF226" i="73"/>
  <c r="AL205" i="73"/>
  <c r="BA224" i="31"/>
  <c r="AE205" i="73"/>
  <c r="BC224" i="31" s="1"/>
  <c r="AO205" i="73"/>
  <c r="AD205" i="73"/>
  <c r="AP205" i="73" s="1"/>
  <c r="BI224" i="31" s="1"/>
  <c r="AQ205" i="73"/>
  <c r="BJ224" i="31" s="1"/>
  <c r="AK124" i="31"/>
  <c r="AY214" i="31"/>
  <c r="S241" i="31"/>
  <c r="S151" i="31"/>
  <c r="AD130" i="31"/>
  <c r="AR220" i="31"/>
  <c r="Z201" i="73"/>
  <c r="AD116" i="31"/>
  <c r="AR206" i="31"/>
  <c r="Z220" i="73"/>
  <c r="BD265" i="31"/>
  <c r="AR230" i="73"/>
  <c r="BK265" i="31" s="1"/>
  <c r="R125" i="31"/>
  <c r="R215" i="31"/>
  <c r="AB266" i="31"/>
  <c r="AG229" i="11"/>
  <c r="AE266" i="31" s="1"/>
  <c r="AR212" i="31"/>
  <c r="AG58" i="31"/>
  <c r="AR199" i="73"/>
  <c r="BK216" i="31" s="1"/>
  <c r="BD216" i="31"/>
  <c r="AB102" i="31"/>
  <c r="T185" i="73"/>
  <c r="AP192" i="31"/>
  <c r="AF185" i="73"/>
  <c r="AW267" i="31"/>
  <c r="AI177" i="31"/>
  <c r="AH177" i="31"/>
  <c r="AV267" i="31"/>
  <c r="AF231" i="73"/>
  <c r="AC177" i="31"/>
  <c r="AQ267" i="31"/>
  <c r="AG44" i="31"/>
  <c r="BD228" i="31"/>
  <c r="AR208" i="73"/>
  <c r="BK228" i="31" s="1"/>
  <c r="T219" i="73"/>
  <c r="AF219" i="73"/>
  <c r="AR219" i="73" s="1"/>
  <c r="BD261" i="31"/>
  <c r="P21" i="31"/>
  <c r="T132" i="11"/>
  <c r="R264" i="31"/>
  <c r="R174" i="31"/>
  <c r="R241" i="31"/>
  <c r="R151" i="31"/>
  <c r="R170" i="31"/>
  <c r="R260" i="31"/>
  <c r="AF204" i="11"/>
  <c r="T204" i="11"/>
  <c r="Z204" i="11" s="1"/>
  <c r="AS204" i="11"/>
  <c r="AR204" i="11"/>
  <c r="AO204" i="11"/>
  <c r="AE204" i="11"/>
  <c r="AH204" i="11" s="1"/>
  <c r="AP204" i="11"/>
  <c r="AL204" i="11"/>
  <c r="AQ204" i="11"/>
  <c r="AD204" i="11"/>
  <c r="AG204" i="11" s="1"/>
  <c r="T212" i="73"/>
  <c r="AF212" i="73"/>
  <c r="AR212" i="73" s="1"/>
  <c r="AS196" i="31"/>
  <c r="AE106" i="31"/>
  <c r="AA187" i="73"/>
  <c r="AH124" i="31"/>
  <c r="AV214" i="31"/>
  <c r="S115" i="31"/>
  <c r="S205" i="31"/>
  <c r="Y47" i="31"/>
  <c r="AD124" i="31"/>
  <c r="AR214" i="31"/>
  <c r="Z197" i="73"/>
  <c r="AK233" i="73"/>
  <c r="R176" i="73"/>
  <c r="AB91" i="31" s="1"/>
  <c r="W176" i="73"/>
  <c r="AA91" i="31"/>
  <c r="X176" i="73"/>
  <c r="AH91" i="31" s="1"/>
  <c r="S176" i="73"/>
  <c r="AC91" i="31" s="1"/>
  <c r="R119" i="73"/>
  <c r="Y119" i="73" s="1"/>
  <c r="R62" i="73"/>
  <c r="Y62" i="73" s="1"/>
  <c r="AD176" i="73"/>
  <c r="AK176" i="73" s="1"/>
  <c r="Y176" i="73"/>
  <c r="AI91" i="31" s="1"/>
  <c r="Z176" i="73"/>
  <c r="AJ91" i="31" s="1"/>
  <c r="AK91" i="31"/>
  <c r="AC233" i="73"/>
  <c r="AT233" i="73" s="1"/>
  <c r="AP32" i="73"/>
  <c r="AJ146" i="73"/>
  <c r="CC26" i="45"/>
  <c r="AB30" i="11"/>
  <c r="Z30" i="11"/>
  <c r="AA30" i="11"/>
  <c r="X30" i="11"/>
  <c r="S155" i="31"/>
  <c r="S245" i="31"/>
  <c r="BB203" i="73"/>
  <c r="AN32" i="73"/>
  <c r="BD203" i="73"/>
  <c r="CC26" i="74"/>
  <c r="AC32" i="73" s="1"/>
  <c r="BE203" i="73"/>
  <c r="AM146" i="73"/>
  <c r="AL32" i="73"/>
  <c r="AL146" i="73"/>
  <c r="AO32" i="73"/>
  <c r="BC203" i="73"/>
  <c r="AN146" i="73"/>
  <c r="BD184" i="73"/>
  <c r="BO184" i="73"/>
  <c r="AN127" i="73"/>
  <c r="AN70" i="73"/>
  <c r="CC7" i="74"/>
  <c r="AC13" i="73" s="1"/>
  <c r="AO70" i="73"/>
  <c r="BS184" i="73"/>
  <c r="BE184" i="73"/>
  <c r="AN13" i="73"/>
  <c r="AM127" i="73"/>
  <c r="BC184" i="73"/>
  <c r="AL127" i="73"/>
  <c r="AL13" i="73"/>
  <c r="BB184" i="73"/>
  <c r="BP184" i="73"/>
  <c r="AO13" i="73"/>
  <c r="AP70" i="73"/>
  <c r="AB70" i="73"/>
  <c r="BQ184" i="73"/>
  <c r="AL70" i="73"/>
  <c r="AM70" i="73" s="1"/>
  <c r="AA13" i="73"/>
  <c r="X13" i="73"/>
  <c r="W127" i="73"/>
  <c r="AB13" i="73"/>
  <c r="Z13" i="73"/>
  <c r="Z127" i="73"/>
  <c r="AJ10" i="31" s="1"/>
  <c r="X127" i="73"/>
  <c r="AH10" i="31" s="1"/>
  <c r="BD192" i="73"/>
  <c r="CC15" i="74"/>
  <c r="AL21" i="73"/>
  <c r="AN135" i="73"/>
  <c r="BC192" i="73"/>
  <c r="AL135" i="73"/>
  <c r="BB192" i="73"/>
  <c r="BE192" i="73"/>
  <c r="AO21" i="73"/>
  <c r="AM135" i="73"/>
  <c r="AN21" i="73"/>
  <c r="W135" i="73"/>
  <c r="L21" i="68" s="1"/>
  <c r="Z21" i="73"/>
  <c r="AA21" i="73"/>
  <c r="X135" i="73"/>
  <c r="AH24" i="31" s="1"/>
  <c r="AB21" i="73"/>
  <c r="X21" i="73"/>
  <c r="Y227" i="31"/>
  <c r="Y137" i="31"/>
  <c r="U227" i="31"/>
  <c r="U137" i="31"/>
  <c r="V137" i="31"/>
  <c r="V227" i="31"/>
  <c r="P137" i="31"/>
  <c r="P227" i="31"/>
  <c r="AF206" i="11"/>
  <c r="AD227" i="31" s="1"/>
  <c r="T206" i="11"/>
  <c r="BD250" i="31"/>
  <c r="AR221" i="73"/>
  <c r="BK250" i="31" s="1"/>
  <c r="AD160" i="31"/>
  <c r="AR250" i="31"/>
  <c r="AR198" i="31"/>
  <c r="AD108" i="31"/>
  <c r="AB211" i="31"/>
  <c r="AG194" i="11"/>
  <c r="R115" i="31"/>
  <c r="R205" i="31"/>
  <c r="AB199" i="31"/>
  <c r="AG187" i="11"/>
  <c r="AE199" i="31" s="1"/>
  <c r="Y25" i="31"/>
  <c r="AM191" i="11"/>
  <c r="P25" i="31"/>
  <c r="T134" i="11"/>
  <c r="R25" i="31" s="1"/>
  <c r="AA221" i="31"/>
  <c r="AL201" i="11"/>
  <c r="AD201" i="11"/>
  <c r="AS201" i="11"/>
  <c r="AL221" i="31" s="1"/>
  <c r="AQ201" i="11"/>
  <c r="AJ221" i="31" s="1"/>
  <c r="AO201" i="11"/>
  <c r="AH221" i="31" s="1"/>
  <c r="AE201" i="11"/>
  <c r="AC221" i="31" s="1"/>
  <c r="AR201" i="11"/>
  <c r="AK221" i="31" s="1"/>
  <c r="AM221" i="31"/>
  <c r="AP201" i="11"/>
  <c r="AI221" i="31" s="1"/>
  <c r="U158" i="11"/>
  <c r="S61" i="31" s="1"/>
  <c r="Z27" i="11"/>
  <c r="AC191" i="73"/>
  <c r="AA215" i="73"/>
  <c r="AH229" i="11"/>
  <c r="AF266" i="31" s="1"/>
  <c r="Y158" i="73"/>
  <c r="AI58" i="31" s="1"/>
  <c r="X185" i="73"/>
  <c r="AC231" i="73"/>
  <c r="AT231" i="73" s="1"/>
  <c r="T169" i="73"/>
  <c r="T148" i="73"/>
  <c r="X137" i="73"/>
  <c r="AH28" i="31" s="1"/>
  <c r="AK137" i="73"/>
  <c r="T137" i="73"/>
  <c r="T170" i="73"/>
  <c r="AD79" i="31" s="1"/>
  <c r="AM44" i="73"/>
  <c r="X132" i="11"/>
  <c r="V21" i="31" s="1"/>
  <c r="AC216" i="73"/>
  <c r="AT216" i="73" s="1"/>
  <c r="Z20" i="73"/>
  <c r="AM20" i="73"/>
  <c r="AA26" i="73"/>
  <c r="W144" i="11"/>
  <c r="U41" i="31" s="1"/>
  <c r="Y144" i="11"/>
  <c r="W41" i="31" s="1"/>
  <c r="AK201" i="11"/>
  <c r="Z135" i="11"/>
  <c r="AH208" i="11"/>
  <c r="AF229" i="31" s="1"/>
  <c r="AH132" i="31"/>
  <c r="AV222" i="31"/>
  <c r="AL194" i="73"/>
  <c r="BA208" i="31"/>
  <c r="AP194" i="73"/>
  <c r="BI208" i="31" s="1"/>
  <c r="AS194" i="73"/>
  <c r="BL208" i="31" s="1"/>
  <c r="AO194" i="73"/>
  <c r="N23" i="68" s="1"/>
  <c r="AD194" i="73"/>
  <c r="BM208" i="31"/>
  <c r="AQ194" i="73"/>
  <c r="BJ208" i="31" s="1"/>
  <c r="AE194" i="73"/>
  <c r="BC208" i="31" s="1"/>
  <c r="V219" i="31"/>
  <c r="V129" i="31"/>
  <c r="AW232" i="31"/>
  <c r="AI142" i="31"/>
  <c r="S260" i="31"/>
  <c r="S170" i="31"/>
  <c r="Y101" i="31"/>
  <c r="Y191" i="31"/>
  <c r="AR234" i="31"/>
  <c r="AD144" i="31"/>
  <c r="Z213" i="73"/>
  <c r="BD234" i="31"/>
  <c r="AR213" i="73"/>
  <c r="BK234" i="31" s="1"/>
  <c r="AR242" i="31"/>
  <c r="AD152" i="31"/>
  <c r="BB244" i="31"/>
  <c r="R168" i="31"/>
  <c r="R258" i="31"/>
  <c r="Z225" i="11"/>
  <c r="R197" i="31"/>
  <c r="R107" i="31"/>
  <c r="BD210" i="31"/>
  <c r="AR195" i="73"/>
  <c r="BK210" i="31" s="1"/>
  <c r="R129" i="31"/>
  <c r="R219" i="31"/>
  <c r="Z199" i="11"/>
  <c r="AR236" i="31"/>
  <c r="AD146" i="31"/>
  <c r="AD142" i="31"/>
  <c r="AR232" i="31"/>
  <c r="Z211" i="73"/>
  <c r="AG232" i="73"/>
  <c r="BE269" i="31" s="1"/>
  <c r="BB269" i="31"/>
  <c r="BH269" i="31"/>
  <c r="Y61" i="31"/>
  <c r="AM215" i="11"/>
  <c r="AN158" i="11"/>
  <c r="X61" i="31"/>
  <c r="AG38" i="31"/>
  <c r="AR190" i="31"/>
  <c r="AD100" i="31"/>
  <c r="Z184" i="73"/>
  <c r="AR205" i="73"/>
  <c r="BK224" i="31" s="1"/>
  <c r="BD224" i="31"/>
  <c r="P90" i="31"/>
  <c r="T174" i="11"/>
  <c r="AS202" i="31"/>
  <c r="AE112" i="31"/>
  <c r="AU202" i="31"/>
  <c r="AG112" i="31"/>
  <c r="AC112" i="31"/>
  <c r="AQ202" i="31"/>
  <c r="BA238" i="31"/>
  <c r="AL215" i="73"/>
  <c r="BM238" i="31"/>
  <c r="AE215" i="73"/>
  <c r="BC238" i="31" s="1"/>
  <c r="AP215" i="73"/>
  <c r="BI238" i="31" s="1"/>
  <c r="AH215" i="73"/>
  <c r="BF238" i="31" s="1"/>
  <c r="AD215" i="73"/>
  <c r="AO215" i="73"/>
  <c r="AQ215" i="73"/>
  <c r="BJ238" i="31" s="1"/>
  <c r="AS215" i="73"/>
  <c r="BL238" i="31" s="1"/>
  <c r="AB148" i="31"/>
  <c r="AP238" i="31"/>
  <c r="T215" i="73"/>
  <c r="AF215" i="73"/>
  <c r="AQ238" i="31"/>
  <c r="AC148" i="31"/>
  <c r="AI132" i="31"/>
  <c r="AW222" i="31"/>
  <c r="Y219" i="31"/>
  <c r="Y129" i="31"/>
  <c r="BA257" i="31"/>
  <c r="AO226" i="73"/>
  <c r="N54" i="68" s="1"/>
  <c r="AL226" i="73"/>
  <c r="AS226" i="73"/>
  <c r="BL257" i="31" s="1"/>
  <c r="AP226" i="73"/>
  <c r="BI257" i="31" s="1"/>
  <c r="BM257" i="31"/>
  <c r="AE226" i="73"/>
  <c r="BC257" i="31" s="1"/>
  <c r="AQ226" i="73"/>
  <c r="BJ257" i="31" s="1"/>
  <c r="AD226" i="73"/>
  <c r="AG64" i="31"/>
  <c r="AD140" i="31"/>
  <c r="AR230" i="31"/>
  <c r="BD206" i="31"/>
  <c r="AR193" i="73"/>
  <c r="BK206" i="31" s="1"/>
  <c r="AR246" i="31"/>
  <c r="AD156" i="31"/>
  <c r="R172" i="31"/>
  <c r="R262" i="31"/>
  <c r="R176" i="31"/>
  <c r="R266" i="31"/>
  <c r="Z229" i="11"/>
  <c r="AG228" i="11"/>
  <c r="AE264" i="31" s="1"/>
  <c r="AB264" i="31"/>
  <c r="BD208" i="31"/>
  <c r="AR194" i="73"/>
  <c r="BK208" i="31" s="1"/>
  <c r="AD118" i="31"/>
  <c r="AR208" i="31"/>
  <c r="Z194" i="73"/>
  <c r="AR216" i="31"/>
  <c r="AD126" i="31"/>
  <c r="AC102" i="31"/>
  <c r="AQ192" i="31"/>
  <c r="AU192" i="31"/>
  <c r="AG102" i="31"/>
  <c r="AU267" i="31"/>
  <c r="AG177" i="31"/>
  <c r="AP267" i="31"/>
  <c r="AB177" i="31"/>
  <c r="AR194" i="31"/>
  <c r="AD104" i="31"/>
  <c r="AG77" i="31"/>
  <c r="AD138" i="31"/>
  <c r="AR228" i="31"/>
  <c r="AG28" i="31"/>
  <c r="AG79" i="31"/>
  <c r="AQ219" i="73"/>
  <c r="AL219" i="73"/>
  <c r="AS219" i="73"/>
  <c r="AP219" i="73"/>
  <c r="AH219" i="73"/>
  <c r="AE219" i="73"/>
  <c r="AD219" i="73"/>
  <c r="AG219" i="73" s="1"/>
  <c r="AO219" i="73"/>
  <c r="AG48" i="31"/>
  <c r="R256" i="31"/>
  <c r="R166" i="31"/>
  <c r="BD263" i="31"/>
  <c r="AR229" i="73"/>
  <c r="BK263" i="31" s="1"/>
  <c r="R211" i="31"/>
  <c r="R121" i="31"/>
  <c r="R101" i="31"/>
  <c r="R191" i="31"/>
  <c r="Z183" i="11"/>
  <c r="P11" i="31"/>
  <c r="T126" i="11"/>
  <c r="R11" i="31" s="1"/>
  <c r="AB150" i="31"/>
  <c r="AP240" i="31"/>
  <c r="AF216" i="73"/>
  <c r="T216" i="73"/>
  <c r="AC150" i="31"/>
  <c r="AQ240" i="31"/>
  <c r="AU240" i="31"/>
  <c r="AG150" i="31"/>
  <c r="AK185" i="73"/>
  <c r="AA12" i="31"/>
  <c r="R14" i="73"/>
  <c r="Y14" i="73" s="1"/>
  <c r="AD128" i="73"/>
  <c r="R71" i="73"/>
  <c r="Y71" i="73" s="1"/>
  <c r="W128" i="73"/>
  <c r="S128" i="73"/>
  <c r="AC12" i="31" s="1"/>
  <c r="R128" i="73"/>
  <c r="AB12" i="31" s="1"/>
  <c r="BO197" i="73"/>
  <c r="BB197" i="73"/>
  <c r="BD197" i="73"/>
  <c r="BP197" i="73"/>
  <c r="BC197" i="73"/>
  <c r="AN140" i="73"/>
  <c r="BE197" i="73"/>
  <c r="AO26" i="73"/>
  <c r="AL26" i="73"/>
  <c r="BS197" i="73"/>
  <c r="AN26" i="73"/>
  <c r="AL140" i="73"/>
  <c r="AM140" i="73"/>
  <c r="CC20" i="74"/>
  <c r="AC26" i="73" s="1"/>
  <c r="BQ197" i="73"/>
  <c r="AW196" i="31"/>
  <c r="AI106" i="31"/>
  <c r="AL191" i="11"/>
  <c r="AE191" i="11"/>
  <c r="AC205" i="31" s="1"/>
  <c r="AA205" i="31"/>
  <c r="AD191" i="11"/>
  <c r="AO191" i="11"/>
  <c r="AH205" i="31" s="1"/>
  <c r="AQ191" i="11"/>
  <c r="AJ205" i="31" s="1"/>
  <c r="AR191" i="11"/>
  <c r="AK205" i="31" s="1"/>
  <c r="AP191" i="11"/>
  <c r="AI205" i="31" s="1"/>
  <c r="AS191" i="11"/>
  <c r="AL205" i="31" s="1"/>
  <c r="AM205" i="31"/>
  <c r="P47" i="31"/>
  <c r="T149" i="11"/>
  <c r="R47" i="31" s="1"/>
  <c r="AN149" i="11"/>
  <c r="X47" i="31"/>
  <c r="AA34" i="31"/>
  <c r="AD140" i="73"/>
  <c r="W140" i="73"/>
  <c r="R140" i="73"/>
  <c r="AB34" i="31" s="1"/>
  <c r="S140" i="73"/>
  <c r="AC34" i="31" s="1"/>
  <c r="R26" i="73"/>
  <c r="Y26" i="73" s="1"/>
  <c r="R83" i="73"/>
  <c r="Y83" i="73" s="1"/>
  <c r="AC197" i="73"/>
  <c r="R229" i="31"/>
  <c r="R139" i="31"/>
  <c r="R109" i="31"/>
  <c r="R199" i="31"/>
  <c r="P41" i="31"/>
  <c r="T144" i="11"/>
  <c r="R41" i="31" s="1"/>
  <c r="AM125" i="11"/>
  <c r="AL11" i="11"/>
  <c r="X68" i="11"/>
  <c r="AJ125" i="11"/>
  <c r="Z68" i="11"/>
  <c r="BQ182" i="11"/>
  <c r="BB182" i="11"/>
  <c r="AP68" i="11"/>
  <c r="CC7" i="45"/>
  <c r="AA125" i="11" s="1"/>
  <c r="AO125" i="11" s="1"/>
  <c r="AP11" i="11"/>
  <c r="AJ127" i="73"/>
  <c r="BE182" i="11"/>
  <c r="BO182" i="11"/>
  <c r="BD182" i="11"/>
  <c r="AN68" i="11"/>
  <c r="BC182" i="11"/>
  <c r="AB68" i="11"/>
  <c r="AO68" i="11"/>
  <c r="AA68" i="11"/>
  <c r="AL125" i="11"/>
  <c r="AO11" i="11"/>
  <c r="AN11" i="11"/>
  <c r="BS182" i="11"/>
  <c r="AP13" i="73"/>
  <c r="BP182" i="11"/>
  <c r="AL68" i="11"/>
  <c r="AK184" i="73"/>
  <c r="Z11" i="11"/>
  <c r="X11" i="11"/>
  <c r="AA11" i="11"/>
  <c r="AK182" i="11"/>
  <c r="X125" i="11"/>
  <c r="V9" i="31" s="1"/>
  <c r="AB11" i="11"/>
  <c r="W125" i="11"/>
  <c r="U9" i="31" s="1"/>
  <c r="Z125" i="11"/>
  <c r="X9" i="31" s="1"/>
  <c r="AA227" i="31"/>
  <c r="AL206" i="11"/>
  <c r="AP206" i="11"/>
  <c r="AI227" i="31" s="1"/>
  <c r="AM227" i="31"/>
  <c r="AQ206" i="11"/>
  <c r="AJ227" i="31" s="1"/>
  <c r="AR206" i="11"/>
  <c r="AK227" i="31" s="1"/>
  <c r="AE206" i="11"/>
  <c r="AC227" i="31" s="1"/>
  <c r="AS206" i="11"/>
  <c r="AL227" i="31" s="1"/>
  <c r="AO206" i="11"/>
  <c r="AH227" i="31" s="1"/>
  <c r="AD206" i="11"/>
  <c r="X137" i="31"/>
  <c r="X227" i="31"/>
  <c r="W227" i="31"/>
  <c r="W137" i="31"/>
  <c r="Q137" i="31"/>
  <c r="Q227" i="31"/>
  <c r="T155" i="73"/>
  <c r="AK212" i="73"/>
  <c r="Y155" i="73"/>
  <c r="R155" i="73"/>
  <c r="X155" i="73"/>
  <c r="Z155" i="73"/>
  <c r="S155" i="73"/>
  <c r="U155" i="73"/>
  <c r="R41" i="73"/>
  <c r="Y41" i="73" s="1"/>
  <c r="R98" i="73"/>
  <c r="Y98" i="73" s="1"/>
  <c r="W155" i="73"/>
  <c r="L41" i="68" s="1"/>
  <c r="AD155" i="73"/>
  <c r="AK155" i="73" s="1"/>
  <c r="BP187" i="73"/>
  <c r="BD187" i="73"/>
  <c r="AL130" i="73"/>
  <c r="AN130" i="73"/>
  <c r="AM130" i="73"/>
  <c r="AO16" i="73"/>
  <c r="BS187" i="73"/>
  <c r="BE187" i="73"/>
  <c r="AN16" i="73"/>
  <c r="AL16" i="73"/>
  <c r="CC10" i="74"/>
  <c r="AA130" i="73" s="1"/>
  <c r="AK16" i="31" s="1"/>
  <c r="BQ187" i="73"/>
  <c r="BO187" i="73"/>
  <c r="BB187" i="73"/>
  <c r="BC187" i="73"/>
  <c r="W130" i="73"/>
  <c r="X130" i="73"/>
  <c r="AH16" i="31" s="1"/>
  <c r="AB229" i="31"/>
  <c r="AG208" i="11"/>
  <c r="AE229" i="31" s="1"/>
  <c r="AA83" i="31"/>
  <c r="AK229" i="73"/>
  <c r="R58" i="73"/>
  <c r="Y58" i="73" s="1"/>
  <c r="AD172" i="73"/>
  <c r="AK172" i="73" s="1"/>
  <c r="X172" i="73"/>
  <c r="AH83" i="31" s="1"/>
  <c r="Z172" i="73"/>
  <c r="AJ83" i="31" s="1"/>
  <c r="R115" i="73"/>
  <c r="Y115" i="73" s="1"/>
  <c r="AK83" i="31"/>
  <c r="S172" i="73"/>
  <c r="AC83" i="31" s="1"/>
  <c r="Y172" i="73"/>
  <c r="AI83" i="31" s="1"/>
  <c r="W172" i="73"/>
  <c r="L57" i="68" s="1"/>
  <c r="R172" i="73"/>
  <c r="AB83" i="31" s="1"/>
  <c r="AC229" i="73"/>
  <c r="R155" i="31"/>
  <c r="R245" i="31"/>
  <c r="U221" i="31"/>
  <c r="U131" i="31"/>
  <c r="S221" i="31"/>
  <c r="S131" i="31"/>
  <c r="P221" i="31"/>
  <c r="AF201" i="11"/>
  <c r="AD221" i="31" s="1"/>
  <c r="T201" i="11"/>
  <c r="P131" i="31"/>
  <c r="Q131" i="31"/>
  <c r="Q221" i="31"/>
  <c r="AP213" i="73"/>
  <c r="BI234" i="31" s="1"/>
  <c r="AH190" i="11"/>
  <c r="AF203" i="31" s="1"/>
  <c r="Y191" i="73"/>
  <c r="X215" i="73"/>
  <c r="Y215" i="73"/>
  <c r="AF201" i="73"/>
  <c r="AF222" i="73"/>
  <c r="AR199" i="11"/>
  <c r="AK219" i="31" s="1"/>
  <c r="AA185" i="73"/>
  <c r="Z30" i="73"/>
  <c r="V20" i="73"/>
  <c r="AC20" i="73" s="1"/>
  <c r="X26" i="73"/>
  <c r="AB26" i="73"/>
  <c r="Z26" i="73"/>
  <c r="AF197" i="73"/>
  <c r="U144" i="11"/>
  <c r="S41" i="31" s="1"/>
  <c r="AM206" i="11"/>
  <c r="AR233" i="73" l="1"/>
  <c r="BK271" i="31" s="1"/>
  <c r="AR226" i="31"/>
  <c r="AS192" i="31"/>
  <c r="AE177" i="31"/>
  <c r="AV218" i="31"/>
  <c r="Z187" i="73"/>
  <c r="AK130" i="31"/>
  <c r="AI104" i="31"/>
  <c r="AD177" i="31"/>
  <c r="AM192" i="11"/>
  <c r="AK139" i="73"/>
  <c r="AR267" i="31"/>
  <c r="BB234" i="31"/>
  <c r="AH187" i="73"/>
  <c r="AT187" i="73" s="1"/>
  <c r="AA231" i="73"/>
  <c r="AK177" i="31" s="1"/>
  <c r="AV196" i="31"/>
  <c r="BD212" i="31"/>
  <c r="AR244" i="31"/>
  <c r="AK173" i="31"/>
  <c r="AP200" i="73"/>
  <c r="BI218" i="31" s="1"/>
  <c r="AV194" i="31"/>
  <c r="AA186" i="73"/>
  <c r="BD254" i="31"/>
  <c r="AD122" i="31"/>
  <c r="AA157" i="73"/>
  <c r="AE14" i="31"/>
  <c r="AA129" i="73"/>
  <c r="AK14" i="31" s="1"/>
  <c r="AD26" i="31"/>
  <c r="Z136" i="73"/>
  <c r="AJ26" i="31" s="1"/>
  <c r="AE26" i="31"/>
  <c r="AA136" i="73"/>
  <c r="AJ122" i="31"/>
  <c r="AT200" i="73"/>
  <c r="BM218" i="31" s="1"/>
  <c r="AC16" i="73"/>
  <c r="AA133" i="73"/>
  <c r="AM190" i="73" s="1"/>
  <c r="AD56" i="31"/>
  <c r="Z157" i="73"/>
  <c r="AJ56" i="31" s="1"/>
  <c r="X139" i="73"/>
  <c r="AH32" i="31" s="1"/>
  <c r="AM217" i="73"/>
  <c r="AK62" i="31"/>
  <c r="U174" i="73"/>
  <c r="AE87" i="31" s="1"/>
  <c r="AA139" i="73"/>
  <c r="AK32" i="31" s="1"/>
  <c r="Z130" i="73"/>
  <c r="AJ16" i="31" s="1"/>
  <c r="Y139" i="73"/>
  <c r="AI32" i="31" s="1"/>
  <c r="AI128" i="31"/>
  <c r="AR220" i="73"/>
  <c r="BK244" i="31" s="1"/>
  <c r="Y131" i="73"/>
  <c r="AI18" i="31" s="1"/>
  <c r="Y132" i="73"/>
  <c r="AI20" i="31" s="1"/>
  <c r="R268" i="31"/>
  <c r="AE136" i="31"/>
  <c r="AD164" i="31"/>
  <c r="AA135" i="73"/>
  <c r="AM192" i="73" s="1"/>
  <c r="AG187" i="73"/>
  <c r="BE196" i="31" s="1"/>
  <c r="AI122" i="31"/>
  <c r="X132" i="73"/>
  <c r="AH20" i="31" s="1"/>
  <c r="X19" i="31"/>
  <c r="AN130" i="11"/>
  <c r="T176" i="73"/>
  <c r="AD91" i="31" s="1"/>
  <c r="U176" i="73"/>
  <c r="AE38" i="31"/>
  <c r="AA143" i="73"/>
  <c r="AK38" i="31" s="1"/>
  <c r="AD38" i="31"/>
  <c r="Z143" i="73"/>
  <c r="AJ38" i="31" s="1"/>
  <c r="AE128" i="31"/>
  <c r="AA200" i="73"/>
  <c r="AA131" i="73"/>
  <c r="AK122" i="31"/>
  <c r="AY212" i="31"/>
  <c r="X131" i="73"/>
  <c r="AH18" i="31" s="1"/>
  <c r="T131" i="73"/>
  <c r="AH186" i="73"/>
  <c r="BF194" i="31" s="1"/>
  <c r="AH217" i="73"/>
  <c r="BF242" i="31" s="1"/>
  <c r="AR218" i="31"/>
  <c r="Z200" i="73"/>
  <c r="AR200" i="31"/>
  <c r="Z190" i="73"/>
  <c r="AX200" i="31" s="1"/>
  <c r="T139" i="73"/>
  <c r="AO130" i="11"/>
  <c r="AM187" i="11"/>
  <c r="Y19" i="31"/>
  <c r="AM69" i="11"/>
  <c r="L20" i="68"/>
  <c r="L14" i="68"/>
  <c r="L61" i="68"/>
  <c r="R270" i="31"/>
  <c r="N19" i="68"/>
  <c r="N29" i="68"/>
  <c r="N38" i="68"/>
  <c r="AD120" i="31"/>
  <c r="AA126" i="11"/>
  <c r="Y11" i="31" s="1"/>
  <c r="AR252" i="31"/>
  <c r="AD106" i="31"/>
  <c r="AL212" i="73"/>
  <c r="AR207" i="73"/>
  <c r="BK226" i="31" s="1"/>
  <c r="L32" i="68"/>
  <c r="N37" i="68"/>
  <c r="N35" i="68"/>
  <c r="N22" i="68"/>
  <c r="N60" i="68"/>
  <c r="L13" i="68"/>
  <c r="S207" i="31"/>
  <c r="S117" i="31"/>
  <c r="Y207" i="31"/>
  <c r="R180" i="31"/>
  <c r="W180" i="31"/>
  <c r="AK174" i="11"/>
  <c r="X17" i="31"/>
  <c r="AN129" i="11"/>
  <c r="X80" i="31"/>
  <c r="AN169" i="11"/>
  <c r="BH244" i="31"/>
  <c r="AA169" i="11"/>
  <c r="AC55" i="11"/>
  <c r="AE188" i="73"/>
  <c r="BC200" i="31" s="1"/>
  <c r="BB228" i="31"/>
  <c r="BD196" i="31"/>
  <c r="AS244" i="31"/>
  <c r="AQ212" i="73"/>
  <c r="AH199" i="11"/>
  <c r="AF219" i="31" s="1"/>
  <c r="AK126" i="11"/>
  <c r="AM12" i="11"/>
  <c r="AK174" i="73"/>
  <c r="AK171" i="73"/>
  <c r="AM57" i="73"/>
  <c r="AA33" i="11"/>
  <c r="Z33" i="11"/>
  <c r="V117" i="31"/>
  <c r="AE211" i="31"/>
  <c r="AS194" i="11"/>
  <c r="AL211" i="31" s="1"/>
  <c r="AF211" i="31"/>
  <c r="AT194" i="11"/>
  <c r="AM211" i="31" s="1"/>
  <c r="AM226" i="11"/>
  <c r="R90" i="31"/>
  <c r="Z174" i="11"/>
  <c r="X174" i="73"/>
  <c r="AH87" i="31" s="1"/>
  <c r="AC57" i="73"/>
  <c r="AD77" i="31"/>
  <c r="Z169" i="73"/>
  <c r="AJ77" i="31" s="1"/>
  <c r="S90" i="31"/>
  <c r="AA174" i="11"/>
  <c r="Y180" i="31"/>
  <c r="Y270" i="31"/>
  <c r="AM33" i="11"/>
  <c r="AD58" i="31"/>
  <c r="Z158" i="73"/>
  <c r="AJ58" i="31" s="1"/>
  <c r="X128" i="73"/>
  <c r="AH12" i="31" s="1"/>
  <c r="Z126" i="11"/>
  <c r="AO129" i="11"/>
  <c r="AM186" i="11"/>
  <c r="Y17" i="31"/>
  <c r="AK128" i="73"/>
  <c r="Y128" i="73"/>
  <c r="AI12" i="31" s="1"/>
  <c r="U166" i="73"/>
  <c r="AE72" i="31" s="1"/>
  <c r="AM204" i="11"/>
  <c r="AD44" i="31"/>
  <c r="Z148" i="73"/>
  <c r="AJ44" i="31" s="1"/>
  <c r="AD54" i="31"/>
  <c r="Z156" i="73"/>
  <c r="AJ54" i="31" s="1"/>
  <c r="AE54" i="31"/>
  <c r="AA156" i="73"/>
  <c r="AK54" i="31" s="1"/>
  <c r="AC12" i="11"/>
  <c r="Y166" i="31"/>
  <c r="AB270" i="31"/>
  <c r="AO188" i="73"/>
  <c r="N17" i="68" s="1"/>
  <c r="AQ188" i="73"/>
  <c r="BJ198" i="31" s="1"/>
  <c r="AT227" i="11"/>
  <c r="AM262" i="31" s="1"/>
  <c r="Y256" i="31"/>
  <c r="AE262" i="31"/>
  <c r="AS227" i="11"/>
  <c r="AL262" i="31" s="1"/>
  <c r="W166" i="31"/>
  <c r="X76" i="31"/>
  <c r="AH224" i="11"/>
  <c r="AF256" i="31" s="1"/>
  <c r="AO167" i="11"/>
  <c r="Y76" i="31"/>
  <c r="X86" i="31"/>
  <c r="AN172" i="11"/>
  <c r="W217" i="31"/>
  <c r="AM30" i="11"/>
  <c r="R127" i="31"/>
  <c r="AH231" i="11"/>
  <c r="AF270" i="31" s="1"/>
  <c r="AM182" i="11"/>
  <c r="Z198" i="11"/>
  <c r="X217" i="31" s="1"/>
  <c r="AA144" i="11"/>
  <c r="AO144" i="11" s="1"/>
  <c r="R207" i="31"/>
  <c r="Y217" i="31"/>
  <c r="AH215" i="11"/>
  <c r="AF241" i="31" s="1"/>
  <c r="AK132" i="11"/>
  <c r="AN125" i="11"/>
  <c r="AC68" i="11"/>
  <c r="AB241" i="31"/>
  <c r="X27" i="31"/>
  <c r="AN135" i="11"/>
  <c r="AK144" i="11"/>
  <c r="T172" i="73"/>
  <c r="AD83" i="31" s="1"/>
  <c r="AX263" i="31"/>
  <c r="AJ173" i="31"/>
  <c r="U172" i="73"/>
  <c r="AH220" i="73"/>
  <c r="BF244" i="31" s="1"/>
  <c r="Z192" i="11"/>
  <c r="X207" i="31" s="1"/>
  <c r="BH196" i="31"/>
  <c r="BA192" i="31"/>
  <c r="AR203" i="73"/>
  <c r="BK222" i="31" s="1"/>
  <c r="AH214" i="73"/>
  <c r="BF236" i="31" s="1"/>
  <c r="BH228" i="31"/>
  <c r="AS188" i="73"/>
  <c r="BL198" i="31" s="1"/>
  <c r="AQ213" i="73"/>
  <c r="BJ234" i="31" s="1"/>
  <c r="AD188" i="73"/>
  <c r="BB200" i="31" s="1"/>
  <c r="AL188" i="73"/>
  <c r="BA198" i="31"/>
  <c r="AP188" i="73"/>
  <c r="BI198" i="31" s="1"/>
  <c r="BA200" i="31"/>
  <c r="Y166" i="73"/>
  <c r="AI72" i="31" s="1"/>
  <c r="AP199" i="11"/>
  <c r="AI219" i="31" s="1"/>
  <c r="AS212" i="73"/>
  <c r="AH212" i="73"/>
  <c r="AB219" i="31"/>
  <c r="AD212" i="73"/>
  <c r="AG212" i="73" s="1"/>
  <c r="AE212" i="73"/>
  <c r="Z135" i="73"/>
  <c r="AJ24" i="31" s="1"/>
  <c r="AO212" i="73"/>
  <c r="N41" i="68" s="1"/>
  <c r="AP212" i="73"/>
  <c r="AD185" i="73"/>
  <c r="AP185" i="73" s="1"/>
  <c r="BI192" i="31" s="1"/>
  <c r="AE185" i="73"/>
  <c r="BC192" i="31" s="1"/>
  <c r="AO185" i="73"/>
  <c r="N14" i="68" s="1"/>
  <c r="AC11" i="11"/>
  <c r="AA127" i="73"/>
  <c r="AK10" i="31" s="1"/>
  <c r="AC30" i="11"/>
  <c r="AP223" i="73"/>
  <c r="BI252" i="31" s="1"/>
  <c r="AT223" i="73"/>
  <c r="BM252" i="31" s="1"/>
  <c r="AO210" i="73"/>
  <c r="N39" i="68" s="1"/>
  <c r="AT210" i="73"/>
  <c r="BM230" i="31" s="1"/>
  <c r="AT185" i="73"/>
  <c r="BM192" i="31" s="1"/>
  <c r="AT199" i="11"/>
  <c r="AM219" i="31" s="1"/>
  <c r="BH232" i="31"/>
  <c r="BH254" i="31"/>
  <c r="BH190" i="31"/>
  <c r="N13" i="68"/>
  <c r="BH204" i="31"/>
  <c r="N21" i="68"/>
  <c r="BH248" i="31"/>
  <c r="BH194" i="31"/>
  <c r="BH226" i="31"/>
  <c r="AG50" i="31"/>
  <c r="L39" i="68"/>
  <c r="BH210" i="31"/>
  <c r="Y9" i="31"/>
  <c r="Z144" i="11"/>
  <c r="X41" i="31" s="1"/>
  <c r="X140" i="73"/>
  <c r="AH34" i="31" s="1"/>
  <c r="X146" i="73"/>
  <c r="AH42" i="31" s="1"/>
  <c r="Y21" i="31"/>
  <c r="Y39" i="31"/>
  <c r="AG220" i="11"/>
  <c r="AE245" i="31" s="1"/>
  <c r="AM16" i="73"/>
  <c r="AK79" i="31"/>
  <c r="BH242" i="31"/>
  <c r="Z192" i="73"/>
  <c r="AX204" i="31" s="1"/>
  <c r="AH193" i="73"/>
  <c r="BF206" i="31" s="1"/>
  <c r="AG221" i="73"/>
  <c r="BE250" i="31" s="1"/>
  <c r="AY204" i="31"/>
  <c r="BD230" i="31"/>
  <c r="AR186" i="73"/>
  <c r="BK194" i="31" s="1"/>
  <c r="BH218" i="31"/>
  <c r="AB268" i="31"/>
  <c r="S39" i="31"/>
  <c r="AR182" i="11"/>
  <c r="AK189" i="31" s="1"/>
  <c r="BD198" i="31"/>
  <c r="AG20" i="31"/>
  <c r="AE189" i="73"/>
  <c r="AH189" i="73" s="1"/>
  <c r="AT189" i="73" s="1"/>
  <c r="AR248" i="31"/>
  <c r="AG184" i="73"/>
  <c r="BE190" i="31" s="1"/>
  <c r="AP184" i="73"/>
  <c r="BI190" i="31" s="1"/>
  <c r="AO189" i="73"/>
  <c r="N18" i="68" s="1"/>
  <c r="BH236" i="31"/>
  <c r="AJ183" i="11"/>
  <c r="AD128" i="31"/>
  <c r="Z189" i="11"/>
  <c r="X111" i="31" s="1"/>
  <c r="AS223" i="73"/>
  <c r="BL252" i="31" s="1"/>
  <c r="AG200" i="73"/>
  <c r="T132" i="73"/>
  <c r="AG214" i="73"/>
  <c r="BE236" i="31" s="1"/>
  <c r="BH206" i="31"/>
  <c r="R37" i="31"/>
  <c r="AG211" i="73"/>
  <c r="BE232" i="31" s="1"/>
  <c r="AR218" i="73"/>
  <c r="BK248" i="31" s="1"/>
  <c r="AE223" i="73"/>
  <c r="BC252" i="31" s="1"/>
  <c r="AR188" i="73"/>
  <c r="BK198" i="31" s="1"/>
  <c r="BD218" i="31"/>
  <c r="AD189" i="73"/>
  <c r="AG189" i="73" s="1"/>
  <c r="AS189" i="73" s="1"/>
  <c r="AD114" i="31"/>
  <c r="AG192" i="73"/>
  <c r="BE204" i="31" s="1"/>
  <c r="T153" i="73"/>
  <c r="AD50" i="31" s="1"/>
  <c r="AJ213" i="73"/>
  <c r="AG72" i="31"/>
  <c r="BH216" i="31"/>
  <c r="R201" i="31"/>
  <c r="BA252" i="31"/>
  <c r="AH220" i="11"/>
  <c r="AF245" i="31" s="1"/>
  <c r="AJ189" i="11"/>
  <c r="AM189" i="11" s="1"/>
  <c r="AL189" i="73"/>
  <c r="U132" i="73"/>
  <c r="AJ189" i="73" s="1"/>
  <c r="AO223" i="73"/>
  <c r="AK166" i="73"/>
  <c r="BD252" i="31"/>
  <c r="AG217" i="73"/>
  <c r="BE242" i="31" s="1"/>
  <c r="V189" i="31"/>
  <c r="AD210" i="73"/>
  <c r="AG210" i="73" s="1"/>
  <c r="BE230" i="31" s="1"/>
  <c r="BH250" i="31"/>
  <c r="AH198" i="11"/>
  <c r="AF217" i="31" s="1"/>
  <c r="AH184" i="73"/>
  <c r="AH192" i="73"/>
  <c r="BF204" i="31" s="1"/>
  <c r="Y99" i="31"/>
  <c r="AB217" i="31"/>
  <c r="AR192" i="73"/>
  <c r="BK204" i="31" s="1"/>
  <c r="AS210" i="73"/>
  <c r="BL230" i="31" s="1"/>
  <c r="AQ184" i="73"/>
  <c r="BJ190" i="31" s="1"/>
  <c r="AQ199" i="11"/>
  <c r="AJ219" i="31" s="1"/>
  <c r="AQ210" i="73"/>
  <c r="BJ230" i="31" s="1"/>
  <c r="BA230" i="31"/>
  <c r="AG218" i="73"/>
  <c r="BE248" i="31" s="1"/>
  <c r="AH114" i="31"/>
  <c r="AK77" i="31"/>
  <c r="AG224" i="11"/>
  <c r="AE256" i="31" s="1"/>
  <c r="AE210" i="73"/>
  <c r="BC230" i="31" s="1"/>
  <c r="AL210" i="73"/>
  <c r="AJ199" i="11"/>
  <c r="AM199" i="11" s="1"/>
  <c r="AM210" i="73"/>
  <c r="AM223" i="73"/>
  <c r="AP210" i="73"/>
  <c r="BI230" i="31" s="1"/>
  <c r="U153" i="73"/>
  <c r="AE50" i="31" s="1"/>
  <c r="AD52" i="31"/>
  <c r="W189" i="31"/>
  <c r="AG207" i="73"/>
  <c r="BE226" i="31" s="1"/>
  <c r="BB216" i="31"/>
  <c r="AR189" i="11"/>
  <c r="AK201" i="31" s="1"/>
  <c r="AH207" i="73"/>
  <c r="BF226" i="31" s="1"/>
  <c r="Z142" i="11"/>
  <c r="R189" i="31"/>
  <c r="AK127" i="73"/>
  <c r="AI150" i="31"/>
  <c r="T166" i="73"/>
  <c r="AD72" i="31" s="1"/>
  <c r="Z182" i="11"/>
  <c r="X99" i="31" s="1"/>
  <c r="AG224" i="73"/>
  <c r="BE254" i="31" s="1"/>
  <c r="AM32" i="73"/>
  <c r="AM198" i="11"/>
  <c r="Y37" i="31"/>
  <c r="AG186" i="73"/>
  <c r="BE194" i="31" s="1"/>
  <c r="AG195" i="73"/>
  <c r="BE210" i="31" s="1"/>
  <c r="BB206" i="31"/>
  <c r="AD223" i="73"/>
  <c r="BB252" i="31" s="1"/>
  <c r="AL223" i="73"/>
  <c r="AM68" i="11"/>
  <c r="U128" i="73"/>
  <c r="Y144" i="73"/>
  <c r="AI40" i="31" s="1"/>
  <c r="AQ223" i="73"/>
  <c r="BJ252" i="31" s="1"/>
  <c r="AH211" i="73"/>
  <c r="BF232" i="31" s="1"/>
  <c r="AC189" i="31"/>
  <c r="AH182" i="11"/>
  <c r="AT182" i="11" s="1"/>
  <c r="AG182" i="11"/>
  <c r="AB189" i="31"/>
  <c r="AE64" i="31"/>
  <c r="AG85" i="31"/>
  <c r="BA265" i="31"/>
  <c r="AS230" i="73"/>
  <c r="BL265" i="31" s="1"/>
  <c r="AE230" i="73"/>
  <c r="BC265" i="31" s="1"/>
  <c r="BM265" i="31"/>
  <c r="AQ230" i="73"/>
  <c r="BJ265" i="31" s="1"/>
  <c r="AL230" i="73"/>
  <c r="AO230" i="73"/>
  <c r="N58" i="68" s="1"/>
  <c r="AD230" i="73"/>
  <c r="AP230" i="73"/>
  <c r="BI265" i="31" s="1"/>
  <c r="AH230" i="73"/>
  <c r="BF265" i="31" s="1"/>
  <c r="AM211" i="73"/>
  <c r="AK52" i="31"/>
  <c r="AL228" i="73"/>
  <c r="AO228" i="73"/>
  <c r="N56" i="68" s="1"/>
  <c r="BM261" i="31"/>
  <c r="AQ228" i="73"/>
  <c r="BJ261" i="31" s="1"/>
  <c r="BA261" i="31"/>
  <c r="AE228" i="73"/>
  <c r="AS228" i="73"/>
  <c r="BL261" i="31" s="1"/>
  <c r="AP228" i="73"/>
  <c r="BI261" i="31" s="1"/>
  <c r="AD228" i="73"/>
  <c r="AG32" i="31"/>
  <c r="AC81" i="31"/>
  <c r="U171" i="73"/>
  <c r="AE81" i="31" s="1"/>
  <c r="AB81" i="31"/>
  <c r="T171" i="73"/>
  <c r="AG81" i="31"/>
  <c r="AL196" i="73"/>
  <c r="AQ196" i="73"/>
  <c r="BJ212" i="31" s="1"/>
  <c r="AP196" i="73"/>
  <c r="BI212" i="31" s="1"/>
  <c r="AS196" i="73"/>
  <c r="BL212" i="31" s="1"/>
  <c r="BA212" i="31"/>
  <c r="BM212" i="31"/>
  <c r="AD196" i="73"/>
  <c r="AO196" i="73"/>
  <c r="N25" i="68" s="1"/>
  <c r="AE196" i="73"/>
  <c r="BC212" i="31" s="1"/>
  <c r="S21" i="31"/>
  <c r="AS202" i="73"/>
  <c r="AP202" i="73"/>
  <c r="AL202" i="73"/>
  <c r="AO202" i="73"/>
  <c r="AE202" i="73"/>
  <c r="AH202" i="73"/>
  <c r="AQ202" i="73"/>
  <c r="AD202" i="73"/>
  <c r="AG202" i="73" s="1"/>
  <c r="AG18" i="31"/>
  <c r="X134" i="73"/>
  <c r="AH22" i="31" s="1"/>
  <c r="U144" i="73"/>
  <c r="AA144" i="73" s="1"/>
  <c r="AS187" i="73"/>
  <c r="BL196" i="31" s="1"/>
  <c r="BF196" i="31"/>
  <c r="BM196" i="31"/>
  <c r="AH194" i="73"/>
  <c r="BF208" i="31" s="1"/>
  <c r="U140" i="73"/>
  <c r="AE34" i="31" s="1"/>
  <c r="AM26" i="73"/>
  <c r="AH205" i="73"/>
  <c r="T165" i="73"/>
  <c r="AD66" i="31" s="1"/>
  <c r="Y134" i="73"/>
  <c r="AI22" i="31" s="1"/>
  <c r="Y159" i="73"/>
  <c r="AI60" i="31" s="1"/>
  <c r="AQ183" i="11"/>
  <c r="AJ191" i="31" s="1"/>
  <c r="AH183" i="11"/>
  <c r="AY267" i="31"/>
  <c r="BD220" i="31"/>
  <c r="AR201" i="73"/>
  <c r="BK220" i="31" s="1"/>
  <c r="R221" i="31"/>
  <c r="R131" i="31"/>
  <c r="Z201" i="11"/>
  <c r="AK28" i="31"/>
  <c r="AM194" i="73"/>
  <c r="AX267" i="31"/>
  <c r="AJ177" i="31"/>
  <c r="AK102" i="31"/>
  <c r="AY192" i="31"/>
  <c r="BD246" i="31"/>
  <c r="AR222" i="73"/>
  <c r="BK246" i="31" s="1"/>
  <c r="AW238" i="31"/>
  <c r="AI148" i="31"/>
  <c r="AW202" i="31"/>
  <c r="AI112" i="31"/>
  <c r="AO229" i="73"/>
  <c r="N57" i="68" s="1"/>
  <c r="AL229" i="73"/>
  <c r="AE229" i="73"/>
  <c r="BC263" i="31" s="1"/>
  <c r="BA263" i="31"/>
  <c r="AH229" i="73"/>
  <c r="BF263" i="31" s="1"/>
  <c r="AD229" i="73"/>
  <c r="AP229" i="73" s="1"/>
  <c r="BI263" i="31" s="1"/>
  <c r="AG83" i="31"/>
  <c r="AB227" i="31"/>
  <c r="AG206" i="11"/>
  <c r="AE227" i="31" s="1"/>
  <c r="AG12" i="31"/>
  <c r="AD150" i="31"/>
  <c r="AR240" i="31"/>
  <c r="Z216" i="73"/>
  <c r="X191" i="31"/>
  <c r="X101" i="31"/>
  <c r="X266" i="31"/>
  <c r="X176" i="31"/>
  <c r="BB257" i="31"/>
  <c r="AG226" i="73"/>
  <c r="BE257" i="31" s="1"/>
  <c r="BH257" i="31"/>
  <c r="BD238" i="31"/>
  <c r="AR215" i="73"/>
  <c r="BK238" i="31" s="1"/>
  <c r="BH238" i="31"/>
  <c r="AJ100" i="31"/>
  <c r="AX190" i="31"/>
  <c r="AX232" i="31"/>
  <c r="AJ142" i="31"/>
  <c r="X168" i="31"/>
  <c r="X258" i="31"/>
  <c r="BE234" i="31"/>
  <c r="AS213" i="73"/>
  <c r="BL234" i="31" s="1"/>
  <c r="BH208" i="31"/>
  <c r="AD28" i="31"/>
  <c r="Z137" i="73"/>
  <c r="AJ28" i="31" s="1"/>
  <c r="AL231" i="73"/>
  <c r="BA267" i="31"/>
  <c r="AO231" i="73"/>
  <c r="N59" i="68" s="1"/>
  <c r="AS231" i="73"/>
  <c r="BL267" i="31" s="1"/>
  <c r="BM267" i="31"/>
  <c r="AD231" i="73"/>
  <c r="AQ231" i="73"/>
  <c r="BJ267" i="31" s="1"/>
  <c r="AE231" i="73"/>
  <c r="BC267" i="31" s="1"/>
  <c r="AP231" i="73"/>
  <c r="BI267" i="31" s="1"/>
  <c r="AY238" i="31"/>
  <c r="AK148" i="31"/>
  <c r="AG24" i="31"/>
  <c r="AK135" i="73"/>
  <c r="AG10" i="31"/>
  <c r="AG91" i="31"/>
  <c r="AJ124" i="31"/>
  <c r="AX214" i="31"/>
  <c r="AK106" i="31"/>
  <c r="AY196" i="31"/>
  <c r="R21" i="31"/>
  <c r="Z132" i="11"/>
  <c r="BD267" i="31"/>
  <c r="AR231" i="73"/>
  <c r="BK267" i="31" s="1"/>
  <c r="AX220" i="31"/>
  <c r="AJ130" i="31"/>
  <c r="AJ169" i="31"/>
  <c r="AX259" i="31"/>
  <c r="AG66" i="31"/>
  <c r="BD202" i="31"/>
  <c r="AR191" i="73"/>
  <c r="BK202" i="31" s="1"/>
  <c r="X113" i="31"/>
  <c r="X203" i="31"/>
  <c r="AX224" i="31"/>
  <c r="AJ134" i="31"/>
  <c r="AG42" i="31"/>
  <c r="BA220" i="31"/>
  <c r="AL201" i="73"/>
  <c r="AE201" i="73"/>
  <c r="BC220" i="31" s="1"/>
  <c r="AO201" i="73"/>
  <c r="N30" i="68" s="1"/>
  <c r="AD201" i="73"/>
  <c r="AB201" i="31"/>
  <c r="AG189" i="11"/>
  <c r="AY244" i="31"/>
  <c r="AK154" i="31"/>
  <c r="BB259" i="31"/>
  <c r="AG227" i="73"/>
  <c r="BE259" i="31" s="1"/>
  <c r="BH259" i="31"/>
  <c r="AK150" i="31"/>
  <c r="AY240" i="31"/>
  <c r="AH206" i="11"/>
  <c r="AF227" i="31" s="1"/>
  <c r="T140" i="73"/>
  <c r="Y140" i="73"/>
  <c r="AI34" i="31" s="1"/>
  <c r="AH191" i="11"/>
  <c r="AF205" i="31" s="1"/>
  <c r="AH226" i="73"/>
  <c r="BF257" i="31" s="1"/>
  <c r="AH201" i="11"/>
  <c r="AF221" i="31" s="1"/>
  <c r="AM13" i="73"/>
  <c r="T134" i="73"/>
  <c r="U134" i="73"/>
  <c r="AA134" i="73" s="1"/>
  <c r="U159" i="73"/>
  <c r="AA159" i="73" s="1"/>
  <c r="X159" i="73"/>
  <c r="AH60" i="31" s="1"/>
  <c r="T159" i="73"/>
  <c r="U146" i="73"/>
  <c r="AE42" i="31" s="1"/>
  <c r="T146" i="73"/>
  <c r="Y146" i="73"/>
  <c r="AI42" i="31" s="1"/>
  <c r="Y174" i="73"/>
  <c r="AI87" i="31" s="1"/>
  <c r="AK144" i="73"/>
  <c r="AH189" i="11"/>
  <c r="AT189" i="11" s="1"/>
  <c r="AQ189" i="11"/>
  <c r="AJ201" i="31" s="1"/>
  <c r="BD214" i="31"/>
  <c r="AR197" i="73"/>
  <c r="BK214" i="31" s="1"/>
  <c r="AV238" i="31"/>
  <c r="AH148" i="31"/>
  <c r="AG16" i="31"/>
  <c r="AJ106" i="31"/>
  <c r="AX196" i="31"/>
  <c r="AL197" i="73"/>
  <c r="BA214" i="31"/>
  <c r="AD197" i="73"/>
  <c r="AP197" i="73" s="1"/>
  <c r="BI214" i="31" s="1"/>
  <c r="AO197" i="73"/>
  <c r="AE197" i="73"/>
  <c r="BC214" i="31" s="1"/>
  <c r="AG34" i="31"/>
  <c r="AB205" i="31"/>
  <c r="AG191" i="11"/>
  <c r="AE205" i="31" s="1"/>
  <c r="BD240" i="31"/>
  <c r="AR216" i="73"/>
  <c r="BK240" i="31" s="1"/>
  <c r="AJ118" i="31"/>
  <c r="AX208" i="31"/>
  <c r="AD148" i="31"/>
  <c r="AR238" i="31"/>
  <c r="Z215" i="73"/>
  <c r="BB238" i="31"/>
  <c r="AG215" i="73"/>
  <c r="BE238" i="31" s="1"/>
  <c r="X129" i="31"/>
  <c r="X219" i="31"/>
  <c r="AJ144" i="31"/>
  <c r="AX234" i="31"/>
  <c r="BB208" i="31"/>
  <c r="AG194" i="73"/>
  <c r="BE208" i="31" s="1"/>
  <c r="AO216" i="73"/>
  <c r="AL216" i="73"/>
  <c r="BA240" i="31"/>
  <c r="AE216" i="73"/>
  <c r="BC240" i="31" s="1"/>
  <c r="BM240" i="31"/>
  <c r="AD216" i="73"/>
  <c r="AS216" i="73"/>
  <c r="BL240" i="31" s="1"/>
  <c r="AP216" i="73"/>
  <c r="BI240" i="31" s="1"/>
  <c r="AQ216" i="73"/>
  <c r="BJ240" i="31" s="1"/>
  <c r="AH102" i="31"/>
  <c r="AV192" i="31"/>
  <c r="AL191" i="73"/>
  <c r="BA202" i="31"/>
  <c r="AD191" i="73"/>
  <c r="AP191" i="73" s="1"/>
  <c r="BI202" i="31" s="1"/>
  <c r="AE191" i="73"/>
  <c r="BC202" i="31" s="1"/>
  <c r="AO191" i="73"/>
  <c r="N20" i="68" s="1"/>
  <c r="AG201" i="11"/>
  <c r="AE221" i="31" s="1"/>
  <c r="AB221" i="31"/>
  <c r="R137" i="31"/>
  <c r="R227" i="31"/>
  <c r="BA271" i="31"/>
  <c r="AL233" i="73"/>
  <c r="AP233" i="73"/>
  <c r="BI271" i="31" s="1"/>
  <c r="BM271" i="31"/>
  <c r="AO233" i="73"/>
  <c r="N61" i="68" s="1"/>
  <c r="AE233" i="73"/>
  <c r="BC271" i="31" s="1"/>
  <c r="AQ233" i="73"/>
  <c r="BJ271" i="31" s="1"/>
  <c r="AD233" i="73"/>
  <c r="AS233" i="73"/>
  <c r="BL271" i="31" s="1"/>
  <c r="BD192" i="31"/>
  <c r="AR185" i="73"/>
  <c r="BK192" i="31" s="1"/>
  <c r="AD102" i="31"/>
  <c r="AR192" i="31"/>
  <c r="Z185" i="73"/>
  <c r="AE219" i="31"/>
  <c r="AS199" i="11"/>
  <c r="AL219" i="31" s="1"/>
  <c r="AJ154" i="31"/>
  <c r="AX244" i="31"/>
  <c r="BB224" i="31"/>
  <c r="AG205" i="73"/>
  <c r="BH224" i="31"/>
  <c r="BD257" i="31"/>
  <c r="AR226" i="73"/>
  <c r="BK257" i="31" s="1"/>
  <c r="AL222" i="73"/>
  <c r="AO222" i="73"/>
  <c r="N51" i="68" s="1"/>
  <c r="BA246" i="31"/>
  <c r="BM246" i="31"/>
  <c r="AQ222" i="73"/>
  <c r="BJ246" i="31" s="1"/>
  <c r="AD222" i="73"/>
  <c r="AP222" i="73"/>
  <c r="BI246" i="31" s="1"/>
  <c r="AS222" i="73"/>
  <c r="BL246" i="31" s="1"/>
  <c r="AE222" i="73"/>
  <c r="BC246" i="31" s="1"/>
  <c r="AK66" i="31"/>
  <c r="AM222" i="73"/>
  <c r="AD112" i="31"/>
  <c r="AR202" i="31"/>
  <c r="Z191" i="73"/>
  <c r="AG22" i="31"/>
  <c r="AG60" i="31"/>
  <c r="BA222" i="31"/>
  <c r="AL203" i="73"/>
  <c r="AO203" i="73"/>
  <c r="N32" i="68" s="1"/>
  <c r="AS203" i="73"/>
  <c r="BL222" i="31" s="1"/>
  <c r="BM222" i="31"/>
  <c r="AD203" i="73"/>
  <c r="AQ203" i="73"/>
  <c r="BJ222" i="31" s="1"/>
  <c r="AE203" i="73"/>
  <c r="BC222" i="31" s="1"/>
  <c r="AP203" i="73"/>
  <c r="BI222" i="31" s="1"/>
  <c r="AG87" i="31"/>
  <c r="AG40" i="31"/>
  <c r="AX252" i="31"/>
  <c r="AJ162" i="31"/>
  <c r="AN141" i="11"/>
  <c r="X37" i="31"/>
  <c r="AJ132" i="31"/>
  <c r="AX222" i="31"/>
  <c r="AB191" i="31"/>
  <c r="AG183" i="11"/>
  <c r="BH200" i="31"/>
  <c r="AK125" i="11"/>
  <c r="AM11" i="11"/>
  <c r="T128" i="73"/>
  <c r="AM21" i="73"/>
  <c r="AK134" i="73"/>
  <c r="AK146" i="73"/>
  <c r="T174" i="73"/>
  <c r="T144" i="73"/>
  <c r="X144" i="73"/>
  <c r="AH40" i="31" s="1"/>
  <c r="AH227" i="73"/>
  <c r="BF259" i="31" s="1"/>
  <c r="AY194" i="31" l="1"/>
  <c r="AK104" i="31"/>
  <c r="AO126" i="11"/>
  <c r="AK56" i="31"/>
  <c r="AM214" i="73"/>
  <c r="AM186" i="73"/>
  <c r="AP189" i="73"/>
  <c r="AQ189" i="73"/>
  <c r="AK26" i="31"/>
  <c r="AM193" i="73"/>
  <c r="AE91" i="31"/>
  <c r="AJ233" i="73"/>
  <c r="AM233" i="73" s="1"/>
  <c r="BE218" i="31"/>
  <c r="AS200" i="73"/>
  <c r="BL218" i="31" s="1"/>
  <c r="AM196" i="73"/>
  <c r="AA174" i="73"/>
  <c r="AK24" i="31"/>
  <c r="AH188" i="73"/>
  <c r="BF200" i="31" s="1"/>
  <c r="AM184" i="73"/>
  <c r="AH233" i="73"/>
  <c r="BF271" i="31" s="1"/>
  <c r="AM200" i="73"/>
  <c r="AY218" i="31"/>
  <c r="AK128" i="31"/>
  <c r="AE12" i="31"/>
  <c r="AA128" i="73"/>
  <c r="AK12" i="31" s="1"/>
  <c r="AE20" i="31"/>
  <c r="AA132" i="73"/>
  <c r="AD20" i="31"/>
  <c r="Z132" i="73"/>
  <c r="AJ20" i="31" s="1"/>
  <c r="AD32" i="31"/>
  <c r="Z139" i="73"/>
  <c r="AJ32" i="31" s="1"/>
  <c r="AM188" i="73"/>
  <c r="AK18" i="31"/>
  <c r="AH196" i="73"/>
  <c r="BF212" i="31" s="1"/>
  <c r="AJ128" i="31"/>
  <c r="AX218" i="31"/>
  <c r="AD18" i="31"/>
  <c r="Z131" i="73"/>
  <c r="AJ18" i="31" s="1"/>
  <c r="AM183" i="11"/>
  <c r="AN144" i="11"/>
  <c r="BC198" i="31"/>
  <c r="X90" i="31"/>
  <c r="AN174" i="11"/>
  <c r="X11" i="31"/>
  <c r="AN126" i="11"/>
  <c r="Y80" i="31"/>
  <c r="AO169" i="11"/>
  <c r="BB198" i="31"/>
  <c r="BH198" i="31"/>
  <c r="BE224" i="31"/>
  <c r="AS205" i="73"/>
  <c r="BL224" i="31" s="1"/>
  <c r="BF224" i="31"/>
  <c r="AT205" i="73"/>
  <c r="BM224" i="31" s="1"/>
  <c r="AH197" i="73"/>
  <c r="BF214" i="31" s="1"/>
  <c r="AH201" i="73"/>
  <c r="BF220" i="31" s="1"/>
  <c r="AH185" i="73"/>
  <c r="BF192" i="31" s="1"/>
  <c r="AA171" i="73"/>
  <c r="AD81" i="31"/>
  <c r="Z171" i="73"/>
  <c r="AJ81" i="31" s="1"/>
  <c r="AD87" i="31"/>
  <c r="Z174" i="73"/>
  <c r="AJ87" i="31" s="1"/>
  <c r="AO174" i="11"/>
  <c r="Y90" i="31"/>
  <c r="AD12" i="31"/>
  <c r="Z128" i="73"/>
  <c r="AJ12" i="31" s="1"/>
  <c r="AA146" i="73"/>
  <c r="AM203" i="73" s="1"/>
  <c r="AA140" i="73"/>
  <c r="AK34" i="31" s="1"/>
  <c r="X21" i="31"/>
  <c r="AN132" i="11"/>
  <c r="AM201" i="11"/>
  <c r="X127" i="31"/>
  <c r="X117" i="31"/>
  <c r="Y41" i="31"/>
  <c r="X39" i="31"/>
  <c r="AN142" i="11"/>
  <c r="AQ229" i="73"/>
  <c r="BJ263" i="31" s="1"/>
  <c r="AE83" i="31"/>
  <c r="AJ229" i="73"/>
  <c r="AM229" i="73" s="1"/>
  <c r="AT229" i="73"/>
  <c r="BM263" i="31" s="1"/>
  <c r="BH192" i="31"/>
  <c r="AG188" i="73"/>
  <c r="BE200" i="31" s="1"/>
  <c r="AQ185" i="73"/>
  <c r="BJ192" i="31" s="1"/>
  <c r="BH230" i="31"/>
  <c r="BB192" i="31"/>
  <c r="AG185" i="73"/>
  <c r="AS185" i="73" s="1"/>
  <c r="BL192" i="31" s="1"/>
  <c r="AT197" i="73"/>
  <c r="BM214" i="31" s="1"/>
  <c r="AF191" i="31"/>
  <c r="AT183" i="11"/>
  <c r="AM191" i="31" s="1"/>
  <c r="BF190" i="31"/>
  <c r="AT184" i="73"/>
  <c r="BM190" i="31" s="1"/>
  <c r="AT201" i="73"/>
  <c r="BM220" i="31" s="1"/>
  <c r="AH223" i="73"/>
  <c r="BF252" i="31" s="1"/>
  <c r="AD34" i="31"/>
  <c r="Z140" i="73"/>
  <c r="AJ34" i="31" s="1"/>
  <c r="AD42" i="31"/>
  <c r="Z146" i="73"/>
  <c r="AJ42" i="31" s="1"/>
  <c r="AK40" i="31"/>
  <c r="BH252" i="31"/>
  <c r="AJ114" i="31"/>
  <c r="X201" i="31"/>
  <c r="BB230" i="31"/>
  <c r="AS184" i="73"/>
  <c r="BL190" i="31" s="1"/>
  <c r="AJ197" i="73"/>
  <c r="AH210" i="73"/>
  <c r="BF230" i="31" s="1"/>
  <c r="AG223" i="73"/>
  <c r="BE252" i="31" s="1"/>
  <c r="AJ185" i="73"/>
  <c r="AE40" i="31"/>
  <c r="X189" i="31"/>
  <c r="AE189" i="31"/>
  <c r="AS182" i="11"/>
  <c r="AL189" i="31" s="1"/>
  <c r="AF189" i="31"/>
  <c r="AM189" i="31"/>
  <c r="BH265" i="31"/>
  <c r="AM220" i="73"/>
  <c r="AK64" i="31"/>
  <c r="AG230" i="73"/>
  <c r="BE265" i="31" s="1"/>
  <c r="BB265" i="31"/>
  <c r="BB212" i="31"/>
  <c r="AG196" i="73"/>
  <c r="BE212" i="31" s="1"/>
  <c r="AG228" i="73"/>
  <c r="BE261" i="31" s="1"/>
  <c r="BB261" i="31"/>
  <c r="BH212" i="31"/>
  <c r="BC261" i="31"/>
  <c r="AH228" i="73"/>
  <c r="BF261" i="31" s="1"/>
  <c r="BH261" i="31"/>
  <c r="AH216" i="73"/>
  <c r="BF240" i="31" s="1"/>
  <c r="AJ201" i="73"/>
  <c r="AM201" i="73" s="1"/>
  <c r="AQ197" i="73"/>
  <c r="BJ214" i="31" s="1"/>
  <c r="AH222" i="73"/>
  <c r="BF246" i="31" s="1"/>
  <c r="AX202" i="31"/>
  <c r="AJ112" i="31"/>
  <c r="AG222" i="73"/>
  <c r="BE246" i="31" s="1"/>
  <c r="BB246" i="31"/>
  <c r="BH271" i="31"/>
  <c r="BH202" i="31"/>
  <c r="AD40" i="31"/>
  <c r="Z144" i="73"/>
  <c r="AJ40" i="31" s="1"/>
  <c r="AG203" i="73"/>
  <c r="BE222" i="31" s="1"/>
  <c r="BB222" i="31"/>
  <c r="BH222" i="31"/>
  <c r="BH246" i="31"/>
  <c r="AX192" i="31"/>
  <c r="AJ102" i="31"/>
  <c r="BB271" i="31"/>
  <c r="AG233" i="73"/>
  <c r="BE271" i="31" s="1"/>
  <c r="AJ148" i="31"/>
  <c r="AX238" i="31"/>
  <c r="AF201" i="31"/>
  <c r="AM201" i="31"/>
  <c r="AE22" i="31"/>
  <c r="AJ191" i="73"/>
  <c r="AM191" i="73" s="1"/>
  <c r="AK22" i="31"/>
  <c r="BB267" i="31"/>
  <c r="AG231" i="73"/>
  <c r="BE267" i="31" s="1"/>
  <c r="AJ150" i="31"/>
  <c r="AX240" i="31"/>
  <c r="BH263" i="31"/>
  <c r="X221" i="31"/>
  <c r="X131" i="31"/>
  <c r="AH203" i="73"/>
  <c r="BF222" i="31" s="1"/>
  <c r="AH191" i="73"/>
  <c r="AT191" i="73" s="1"/>
  <c r="AQ191" i="73"/>
  <c r="BJ202" i="31" s="1"/>
  <c r="AQ201" i="73"/>
  <c r="BJ220" i="31" s="1"/>
  <c r="AE191" i="31"/>
  <c r="AS183" i="11"/>
  <c r="AL191" i="31" s="1"/>
  <c r="BB202" i="31"/>
  <c r="AG191" i="73"/>
  <c r="BB240" i="31"/>
  <c r="AG216" i="73"/>
  <c r="BE240" i="31" s="1"/>
  <c r="BH240" i="31"/>
  <c r="BH214" i="31"/>
  <c r="BB214" i="31"/>
  <c r="AG197" i="73"/>
  <c r="AD60" i="31"/>
  <c r="Z159" i="73"/>
  <c r="AJ60" i="31" s="1"/>
  <c r="AE60" i="31"/>
  <c r="AD22" i="31"/>
  <c r="Z134" i="73"/>
  <c r="AJ22" i="31" s="1"/>
  <c r="AE201" i="31"/>
  <c r="AS189" i="11"/>
  <c r="AL201" i="31" s="1"/>
  <c r="BB220" i="31"/>
  <c r="AG201" i="73"/>
  <c r="BH220" i="31"/>
  <c r="BH267" i="31"/>
  <c r="AG229" i="73"/>
  <c r="BB263" i="31"/>
  <c r="AP201" i="73"/>
  <c r="BI220" i="31" s="1"/>
  <c r="AH231" i="73"/>
  <c r="BF267" i="31" s="1"/>
  <c r="AK87" i="31" l="1"/>
  <c r="AM231" i="73"/>
  <c r="BF198" i="31"/>
  <c r="AM185" i="73"/>
  <c r="AK20" i="31"/>
  <c r="AM189" i="73"/>
  <c r="AK42" i="31"/>
  <c r="BE198" i="31"/>
  <c r="AK81" i="31"/>
  <c r="AM228" i="73"/>
  <c r="BE263" i="31"/>
  <c r="AS229" i="73"/>
  <c r="BL263" i="31" s="1"/>
  <c r="BE192" i="31"/>
  <c r="BE214" i="31"/>
  <c r="AS197" i="73"/>
  <c r="BL214" i="31" s="1"/>
  <c r="BE220" i="31"/>
  <c r="AS201" i="73"/>
  <c r="BL220" i="31" s="1"/>
  <c r="AK60" i="31"/>
  <c r="AM216" i="73"/>
  <c r="BF202" i="31"/>
  <c r="BM202" i="31"/>
  <c r="BE202" i="31"/>
  <c r="AS191" i="73"/>
  <c r="BL202" i="31" s="1"/>
  <c r="N18" i="60"/>
  <c r="N19" i="60" s="1"/>
  <c r="M58" i="60" l="1"/>
  <c r="N58" i="60" s="1"/>
  <c r="M72" i="60"/>
  <c r="N72" i="60" s="1"/>
  <c r="M63" i="60"/>
  <c r="N63" i="60" s="1"/>
  <c r="M67" i="60"/>
  <c r="N67" i="60" s="1"/>
  <c r="M82" i="60"/>
  <c r="N82" i="60" s="1"/>
  <c r="M107" i="60"/>
  <c r="N107" i="60" s="1"/>
  <c r="M86" i="60"/>
  <c r="N86" i="60" s="1"/>
  <c r="M74" i="60"/>
  <c r="N74" i="60" s="1"/>
  <c r="M73" i="60"/>
  <c r="N73" i="60" s="1"/>
  <c r="M83" i="60"/>
  <c r="N83" i="60" s="1"/>
  <c r="M64" i="60"/>
  <c r="N64" i="60" s="1"/>
  <c r="M68" i="60"/>
  <c r="N68" i="60" s="1"/>
  <c r="M106" i="60"/>
  <c r="N106" i="60" s="1"/>
  <c r="M80" i="60"/>
  <c r="N80" i="60" s="1"/>
  <c r="M65" i="60"/>
  <c r="N65" i="60" s="1"/>
  <c r="M84" i="60"/>
  <c r="N84" i="60" s="1"/>
  <c r="M75" i="60"/>
  <c r="N75" i="60" s="1"/>
  <c r="M91" i="60"/>
  <c r="N91" i="60" s="1"/>
  <c r="M103" i="60"/>
  <c r="N103" i="60" s="1"/>
  <c r="M77" i="60"/>
  <c r="N77" i="60" s="1"/>
  <c r="M96" i="60"/>
  <c r="N96" i="60" s="1"/>
  <c r="M104" i="60"/>
  <c r="N104" i="60" s="1"/>
  <c r="M70" i="60"/>
  <c r="N70" i="60" s="1"/>
  <c r="M66" i="60"/>
  <c r="N66" i="60" s="1"/>
  <c r="M105" i="60"/>
  <c r="N105" i="60" s="1"/>
  <c r="M62" i="60"/>
  <c r="N62" i="60" s="1"/>
  <c r="M59" i="60"/>
  <c r="N59" i="60" s="1"/>
  <c r="M100" i="60"/>
  <c r="N100" i="60" s="1"/>
  <c r="M101" i="60"/>
  <c r="N101" i="60" s="1"/>
  <c r="M102" i="60"/>
  <c r="N102" i="60" s="1"/>
  <c r="O16" i="96"/>
  <c r="P16" i="96" s="1"/>
  <c r="O25" i="96"/>
  <c r="P25" i="96" s="1"/>
  <c r="O51" i="96"/>
  <c r="P51" i="96" s="1"/>
  <c r="O54" i="96"/>
  <c r="P54" i="96" s="1"/>
  <c r="O35" i="96"/>
  <c r="P35" i="96" s="1"/>
  <c r="O19" i="96"/>
  <c r="P19" i="96" s="1"/>
  <c r="O56" i="96"/>
  <c r="P56" i="96" s="1"/>
  <c r="O13" i="96"/>
  <c r="P13" i="96" s="1"/>
  <c r="O42" i="96"/>
  <c r="P42" i="96" s="1"/>
  <c r="O26" i="96"/>
  <c r="P26" i="96" s="1"/>
  <c r="O10" i="96"/>
  <c r="P10" i="96" s="1"/>
  <c r="O23" i="96"/>
  <c r="P23" i="96" s="1"/>
  <c r="O53" i="96"/>
  <c r="P53" i="96" s="1"/>
  <c r="O52" i="96"/>
  <c r="P52" i="96" s="1"/>
  <c r="O33" i="96"/>
  <c r="P33" i="96" s="1"/>
  <c r="O24" i="96"/>
  <c r="P24" i="96" s="1"/>
  <c r="O17" i="96"/>
  <c r="P17" i="96" s="1"/>
  <c r="O14" i="96"/>
  <c r="P14" i="96" s="1"/>
  <c r="O57" i="96"/>
  <c r="P57" i="96" s="1"/>
  <c r="O28" i="96"/>
  <c r="P28" i="96" s="1"/>
  <c r="O37" i="96"/>
  <c r="P37" i="96" s="1"/>
  <c r="O21" i="96"/>
  <c r="P21" i="96" s="1"/>
  <c r="O55" i="96"/>
  <c r="P55" i="96" s="1"/>
  <c r="O9" i="96"/>
  <c r="P9" i="96" s="1"/>
  <c r="O34" i="96"/>
  <c r="P34" i="96" s="1"/>
  <c r="O18" i="96"/>
  <c r="P18" i="96" s="1"/>
  <c r="O58" i="96"/>
  <c r="P58" i="96" s="1"/>
  <c r="O47" i="96"/>
  <c r="P47" i="96" s="1"/>
  <c r="O31" i="96"/>
  <c r="P31" i="96" s="1"/>
  <c r="O15" i="96"/>
  <c r="P15" i="96" s="1"/>
  <c r="R6" i="96"/>
  <c r="BW6" i="96"/>
  <c r="BK6" i="96"/>
  <c r="AY6" i="96"/>
  <c r="AM6" i="96"/>
  <c r="U6" i="96"/>
  <c r="BN6" i="96"/>
  <c r="BB6" i="96"/>
  <c r="AP6" i="96"/>
  <c r="AD6" i="96"/>
  <c r="X6" i="96"/>
  <c r="BQ6" i="96"/>
  <c r="BE6" i="96"/>
  <c r="AS6" i="96"/>
  <c r="AG6" i="96"/>
  <c r="AA6" i="96"/>
  <c r="BT6" i="96"/>
  <c r="BH6" i="96"/>
  <c r="AV6" i="96"/>
  <c r="AJ6" i="96"/>
  <c r="L428" i="8"/>
  <c r="L429" i="8" s="1"/>
  <c r="L426" i="8"/>
  <c r="AV52" i="96" l="1"/>
  <c r="AV56" i="96"/>
  <c r="AV51" i="96"/>
  <c r="AV53" i="96"/>
  <c r="AV57" i="96"/>
  <c r="AV55" i="96"/>
  <c r="AV54" i="96"/>
  <c r="AV58" i="96"/>
  <c r="AG55" i="96"/>
  <c r="AG54" i="96"/>
  <c r="AG58" i="96"/>
  <c r="AG52" i="96"/>
  <c r="AG56" i="96"/>
  <c r="AG53" i="96"/>
  <c r="AG57" i="96"/>
  <c r="AG51" i="96"/>
  <c r="BN54" i="96"/>
  <c r="BN58" i="96"/>
  <c r="BN55" i="96"/>
  <c r="BN51" i="96"/>
  <c r="BN53" i="96"/>
  <c r="BN52" i="96"/>
  <c r="BN56" i="96"/>
  <c r="BN57" i="96"/>
  <c r="BK53" i="96"/>
  <c r="BK57" i="96"/>
  <c r="BK51" i="96"/>
  <c r="BK54" i="96"/>
  <c r="BK58" i="96"/>
  <c r="BK56" i="96"/>
  <c r="BK55" i="96"/>
  <c r="BK52" i="96"/>
  <c r="AJ52" i="96"/>
  <c r="AJ56" i="96"/>
  <c r="AJ53" i="96"/>
  <c r="AJ57" i="96"/>
  <c r="AJ51" i="96"/>
  <c r="AJ54" i="96"/>
  <c r="AJ58" i="96"/>
  <c r="AJ55" i="96"/>
  <c r="BQ55" i="96"/>
  <c r="BQ58" i="96"/>
  <c r="BQ52" i="96"/>
  <c r="BQ56" i="96"/>
  <c r="BQ54" i="96"/>
  <c r="BQ53" i="96"/>
  <c r="BQ57" i="96"/>
  <c r="BQ51" i="96"/>
  <c r="BB54" i="96"/>
  <c r="BB58" i="96"/>
  <c r="BB55" i="96"/>
  <c r="BB51" i="96"/>
  <c r="BB57" i="96"/>
  <c r="BB52" i="96"/>
  <c r="BB56" i="96"/>
  <c r="BB53" i="96"/>
  <c r="AY53" i="96"/>
  <c r="AY57" i="96"/>
  <c r="AY51" i="96"/>
  <c r="AY54" i="96"/>
  <c r="AY58" i="96"/>
  <c r="AY52" i="96"/>
  <c r="AY55" i="96"/>
  <c r="AY56" i="96"/>
  <c r="BT52" i="96"/>
  <c r="BT56" i="96"/>
  <c r="BT55" i="96"/>
  <c r="BT53" i="96"/>
  <c r="BT57" i="96"/>
  <c r="BT51" i="96"/>
  <c r="BT54" i="96"/>
  <c r="BT58" i="96"/>
  <c r="BE55" i="96"/>
  <c r="BE52" i="96"/>
  <c r="BE56" i="96"/>
  <c r="BE54" i="96"/>
  <c r="BE53" i="96"/>
  <c r="BE57" i="96"/>
  <c r="BE51" i="96"/>
  <c r="BE58" i="96"/>
  <c r="AP54" i="96"/>
  <c r="AP58" i="96"/>
  <c r="AP55" i="96"/>
  <c r="AP51" i="96"/>
  <c r="AP53" i="96"/>
  <c r="AP52" i="96"/>
  <c r="AP56" i="96"/>
  <c r="AP57" i="96"/>
  <c r="AM53" i="96"/>
  <c r="AM57" i="96"/>
  <c r="AM51" i="96"/>
  <c r="AM54" i="96"/>
  <c r="AM58" i="96"/>
  <c r="AM52" i="96"/>
  <c r="AM56" i="96"/>
  <c r="AM55" i="96"/>
  <c r="BH52" i="96"/>
  <c r="BH56" i="96"/>
  <c r="BH53" i="96"/>
  <c r="BH57" i="96"/>
  <c r="BH54" i="96"/>
  <c r="BH58" i="96"/>
  <c r="BH55" i="96"/>
  <c r="BH51" i="96"/>
  <c r="AS55" i="96"/>
  <c r="AS52" i="96"/>
  <c r="AS56" i="96"/>
  <c r="AS58" i="96"/>
  <c r="AS53" i="96"/>
  <c r="AS57" i="96"/>
  <c r="AS51" i="96"/>
  <c r="AS54" i="96"/>
  <c r="BW53" i="96"/>
  <c r="BW57" i="96"/>
  <c r="BW51" i="96"/>
  <c r="BW56" i="96"/>
  <c r="BW54" i="96"/>
  <c r="BW58" i="96"/>
  <c r="BW52" i="96"/>
  <c r="BW55" i="96"/>
  <c r="R7" i="96"/>
  <c r="Y244" i="8"/>
  <c r="Y247" i="8"/>
  <c r="Y246" i="8"/>
  <c r="Y241" i="8"/>
  <c r="Y238" i="8"/>
  <c r="Y218" i="8"/>
  <c r="Y237" i="8"/>
  <c r="Y230" i="8"/>
  <c r="Y239" i="8"/>
  <c r="Y228" i="8"/>
  <c r="Y243" i="8"/>
  <c r="Y234" i="8"/>
  <c r="Y236" i="8"/>
  <c r="AX29" i="8"/>
  <c r="K20" i="23"/>
  <c r="AX30" i="8"/>
  <c r="K21" i="23"/>
  <c r="K15" i="23"/>
  <c r="K18" i="23"/>
  <c r="K16" i="23"/>
  <c r="K19" i="23"/>
  <c r="K17" i="23"/>
  <c r="K14" i="23"/>
  <c r="E331" i="7"/>
  <c r="F277" i="7" s="1"/>
  <c r="J17" i="23" s="1"/>
  <c r="AX22" i="8"/>
  <c r="AX26" i="8"/>
  <c r="AX24" i="8"/>
  <c r="AX27" i="8"/>
  <c r="AX25" i="8"/>
  <c r="AX28" i="8"/>
  <c r="AX23" i="8"/>
  <c r="E342" i="7"/>
  <c r="F357" i="7" s="1"/>
  <c r="G72" i="23" s="1"/>
  <c r="U7" i="96" l="1"/>
  <c r="T37" i="96" s="1"/>
  <c r="Q9" i="96"/>
  <c r="R9" i="96" s="1"/>
  <c r="Q51" i="96"/>
  <c r="Q54" i="96"/>
  <c r="Q28" i="96"/>
  <c r="Q13" i="96"/>
  <c r="Q42" i="96"/>
  <c r="Q26" i="96"/>
  <c r="Q10" i="96"/>
  <c r="Q47" i="96"/>
  <c r="Q31" i="96"/>
  <c r="Q15" i="96"/>
  <c r="Q16" i="96"/>
  <c r="Q33" i="96"/>
  <c r="Q17" i="96"/>
  <c r="Q14" i="96"/>
  <c r="Q35" i="96"/>
  <c r="Q19" i="96"/>
  <c r="Q57" i="96"/>
  <c r="R57" i="96" s="1"/>
  <c r="S57" i="96" s="1"/>
  <c r="Q56" i="96"/>
  <c r="R56" i="96" s="1"/>
  <c r="S56" i="96" s="1"/>
  <c r="Q37" i="96"/>
  <c r="Q21" i="96"/>
  <c r="Q55" i="96"/>
  <c r="R55" i="96" s="1"/>
  <c r="S55" i="96" s="1"/>
  <c r="Q34" i="96"/>
  <c r="Q18" i="96"/>
  <c r="Q58" i="96"/>
  <c r="Q23" i="96"/>
  <c r="Q53" i="96"/>
  <c r="Q24" i="96"/>
  <c r="Q52" i="96"/>
  <c r="Q25" i="96"/>
  <c r="P58" i="60"/>
  <c r="P63" i="60"/>
  <c r="R95" i="8"/>
  <c r="R115" i="8" s="1"/>
  <c r="G95" i="8"/>
  <c r="H95" i="8"/>
  <c r="F274" i="7"/>
  <c r="J14" i="23" s="1"/>
  <c r="F279" i="7"/>
  <c r="J19" i="23" s="1"/>
  <c r="F276" i="7"/>
  <c r="J16" i="23" s="1"/>
  <c r="F278" i="7"/>
  <c r="J18" i="23" s="1"/>
  <c r="F275" i="7"/>
  <c r="J15" i="23" s="1"/>
  <c r="AP95" i="8"/>
  <c r="AP98" i="8" s="1"/>
  <c r="AO95" i="8"/>
  <c r="AO98" i="8" s="1"/>
  <c r="F280" i="7"/>
  <c r="J20" i="23" s="1"/>
  <c r="F272" i="7"/>
  <c r="F273" i="7"/>
  <c r="F354" i="7"/>
  <c r="G71" i="23" s="1"/>
  <c r="F346" i="7"/>
  <c r="AX81" i="8" s="1"/>
  <c r="AJ95" i="8" s="1"/>
  <c r="F350" i="7"/>
  <c r="AX85" i="8" s="1"/>
  <c r="AH95" i="8" s="1"/>
  <c r="F351" i="7"/>
  <c r="AX86" i="8" s="1"/>
  <c r="AI95" i="8" s="1"/>
  <c r="F349" i="7"/>
  <c r="AX84" i="8" s="1"/>
  <c r="Z95" i="8" s="1"/>
  <c r="F352" i="7"/>
  <c r="P95" i="8"/>
  <c r="F347" i="7"/>
  <c r="AX82" i="8" s="1"/>
  <c r="AB95" i="8" s="1"/>
  <c r="AX92" i="8"/>
  <c r="AU95" i="8" s="1"/>
  <c r="F356" i="7"/>
  <c r="AX91" i="8" s="1"/>
  <c r="Y95" i="8" s="1"/>
  <c r="F353" i="7"/>
  <c r="AX88" i="8" s="1"/>
  <c r="AN95" i="8" s="1"/>
  <c r="F355" i="7"/>
  <c r="AX90" i="8" s="1"/>
  <c r="W95" i="8" s="1"/>
  <c r="AK95" i="8"/>
  <c r="F348" i="7"/>
  <c r="AX83" i="8" s="1"/>
  <c r="AF95" i="8" s="1"/>
  <c r="F281" i="7"/>
  <c r="J21" i="23" s="1"/>
  <c r="K71" i="23"/>
  <c r="T42" i="96" l="1"/>
  <c r="U42" i="96" s="1"/>
  <c r="V42" i="96" s="1"/>
  <c r="T10" i="96"/>
  <c r="U10" i="96" s="1"/>
  <c r="V10" i="96" s="1"/>
  <c r="T19" i="96"/>
  <c r="U19" i="96" s="1"/>
  <c r="V19" i="96" s="1"/>
  <c r="X7" i="96"/>
  <c r="AA7" i="96" s="1"/>
  <c r="AD7" i="96" s="1"/>
  <c r="T25" i="96"/>
  <c r="U25" i="96" s="1"/>
  <c r="V25" i="96" s="1"/>
  <c r="T15" i="96"/>
  <c r="U15" i="96" s="1"/>
  <c r="V15" i="96" s="1"/>
  <c r="T47" i="96"/>
  <c r="U47" i="96" s="1"/>
  <c r="V47" i="96" s="1"/>
  <c r="T34" i="96"/>
  <c r="U34" i="96" s="1"/>
  <c r="V34" i="96" s="1"/>
  <c r="T17" i="96"/>
  <c r="U17" i="96" s="1"/>
  <c r="V17" i="96" s="1"/>
  <c r="T28" i="96"/>
  <c r="U28" i="96" s="1"/>
  <c r="V28" i="96" s="1"/>
  <c r="T35" i="96"/>
  <c r="U35" i="96" s="1"/>
  <c r="V35" i="96" s="1"/>
  <c r="T26" i="96"/>
  <c r="U26" i="96" s="1"/>
  <c r="V26" i="96" s="1"/>
  <c r="T13" i="96"/>
  <c r="U13" i="96" s="1"/>
  <c r="V13" i="96" s="1"/>
  <c r="T24" i="96"/>
  <c r="U24" i="96" s="1"/>
  <c r="V24" i="96" s="1"/>
  <c r="T31" i="96"/>
  <c r="U31" i="96" s="1"/>
  <c r="V31" i="96" s="1"/>
  <c r="T18" i="96"/>
  <c r="U18" i="96" s="1"/>
  <c r="V18" i="96" s="1"/>
  <c r="T9" i="96"/>
  <c r="V9" i="96" s="1"/>
  <c r="T33" i="96"/>
  <c r="U33" i="96" s="1"/>
  <c r="V33" i="96" s="1"/>
  <c r="T16" i="96"/>
  <c r="U16" i="96" s="1"/>
  <c r="V16" i="96" s="1"/>
  <c r="T23" i="96"/>
  <c r="U23" i="96" s="1"/>
  <c r="V23" i="96" s="1"/>
  <c r="T14" i="96"/>
  <c r="U14" i="96" s="1"/>
  <c r="V14" i="96" s="1"/>
  <c r="T21" i="96"/>
  <c r="U21" i="96" s="1"/>
  <c r="T55" i="96"/>
  <c r="U55" i="96" s="1"/>
  <c r="V55" i="96" s="1"/>
  <c r="T54" i="96"/>
  <c r="U54" i="96" s="1"/>
  <c r="V54" i="96" s="1"/>
  <c r="T51" i="96"/>
  <c r="U51" i="96" s="1"/>
  <c r="V51" i="96" s="1"/>
  <c r="T53" i="96"/>
  <c r="T52" i="96"/>
  <c r="U52" i="96" s="1"/>
  <c r="V52" i="96" s="1"/>
  <c r="T56" i="96"/>
  <c r="U56" i="96" s="1"/>
  <c r="V56" i="96" s="1"/>
  <c r="T58" i="96"/>
  <c r="U58" i="96" s="1"/>
  <c r="V58" i="96" s="1"/>
  <c r="T57" i="96"/>
  <c r="U57" i="96" s="1"/>
  <c r="V57" i="96" s="1"/>
  <c r="W52" i="96"/>
  <c r="Z14" i="96"/>
  <c r="R16" i="96"/>
  <c r="S16" i="96" s="1"/>
  <c r="R25" i="96"/>
  <c r="S25" i="96" s="1"/>
  <c r="R14" i="96"/>
  <c r="S14" i="96" s="1"/>
  <c r="R23" i="96"/>
  <c r="S23" i="96" s="1"/>
  <c r="R53" i="96"/>
  <c r="S53" i="96" s="1"/>
  <c r="R13" i="96"/>
  <c r="S13" i="96" s="1"/>
  <c r="R34" i="96"/>
  <c r="S34" i="96" s="1"/>
  <c r="R18" i="96"/>
  <c r="S18" i="96" s="1"/>
  <c r="R52" i="96"/>
  <c r="S52" i="96" s="1"/>
  <c r="R51" i="96"/>
  <c r="S51" i="96" s="1"/>
  <c r="R24" i="96"/>
  <c r="S24" i="96" s="1"/>
  <c r="S9" i="96"/>
  <c r="R33" i="96"/>
  <c r="S33" i="96" s="1"/>
  <c r="R17" i="96"/>
  <c r="S17" i="96" s="1"/>
  <c r="R47" i="96"/>
  <c r="S47" i="96" s="1"/>
  <c r="R31" i="96"/>
  <c r="S31" i="96" s="1"/>
  <c r="R15" i="96"/>
  <c r="S15" i="96" s="1"/>
  <c r="R54" i="96"/>
  <c r="S54" i="96" s="1"/>
  <c r="R58" i="96"/>
  <c r="S58" i="96" s="1"/>
  <c r="R28" i="96"/>
  <c r="S28" i="96" s="1"/>
  <c r="R37" i="96"/>
  <c r="S37" i="96" s="1"/>
  <c r="R21" i="96"/>
  <c r="S21" i="96"/>
  <c r="R42" i="96"/>
  <c r="S42" i="96" s="1"/>
  <c r="R26" i="96"/>
  <c r="S26" i="96" s="1"/>
  <c r="R10" i="96"/>
  <c r="S10" i="96" s="1"/>
  <c r="R35" i="96"/>
  <c r="S35" i="96" s="1"/>
  <c r="R19" i="96"/>
  <c r="S19" i="96" s="1"/>
  <c r="U37" i="96"/>
  <c r="V37" i="96" s="1"/>
  <c r="P65" i="60"/>
  <c r="P75" i="60"/>
  <c r="P107" i="60"/>
  <c r="P83" i="60"/>
  <c r="P77" i="60"/>
  <c r="P66" i="60"/>
  <c r="P100" i="60"/>
  <c r="P82" i="60"/>
  <c r="P68" i="60"/>
  <c r="P70" i="60"/>
  <c r="P64" i="60"/>
  <c r="P84" i="60"/>
  <c r="P59" i="60"/>
  <c r="P96" i="60"/>
  <c r="P102" i="60"/>
  <c r="P103" i="60"/>
  <c r="P80" i="60"/>
  <c r="P105" i="60"/>
  <c r="P91" i="60"/>
  <c r="P72" i="60"/>
  <c r="P104" i="60"/>
  <c r="P101" i="60"/>
  <c r="P86" i="60"/>
  <c r="P106" i="60"/>
  <c r="P74" i="60"/>
  <c r="P62" i="60"/>
  <c r="P73" i="60"/>
  <c r="P67" i="60"/>
  <c r="R98" i="8"/>
  <c r="N115" i="8" s="1"/>
  <c r="L220" i="8" s="1"/>
  <c r="N220" i="8" s="1"/>
  <c r="P445" i="8" s="1"/>
  <c r="G98" i="8"/>
  <c r="N104" i="8" s="1"/>
  <c r="L209" i="8" s="1"/>
  <c r="N209" i="8" s="1"/>
  <c r="P434" i="8" s="1"/>
  <c r="R104" i="8"/>
  <c r="R138" i="8"/>
  <c r="R105" i="8"/>
  <c r="H98" i="8"/>
  <c r="N105" i="8" s="1"/>
  <c r="N138" i="8"/>
  <c r="AX89" i="8"/>
  <c r="AQ95" i="8" s="1"/>
  <c r="AQ98" i="8" s="1"/>
  <c r="N139" i="8" s="1"/>
  <c r="R132" i="8"/>
  <c r="AI98" i="8"/>
  <c r="N132" i="8" s="1"/>
  <c r="R123" i="8"/>
  <c r="Z98" i="8"/>
  <c r="N123" i="8" s="1"/>
  <c r="F331" i="7"/>
  <c r="J71" i="23" s="1"/>
  <c r="J13" i="23"/>
  <c r="R137" i="8"/>
  <c r="AN98" i="8"/>
  <c r="N137" i="8" s="1"/>
  <c r="R113" i="8"/>
  <c r="P98" i="8"/>
  <c r="N113" i="8" s="1"/>
  <c r="R131" i="8"/>
  <c r="AH98" i="8"/>
  <c r="N131" i="8" s="1"/>
  <c r="R129" i="8"/>
  <c r="AF98" i="8"/>
  <c r="N129" i="8" s="1"/>
  <c r="R120" i="8"/>
  <c r="W98" i="8"/>
  <c r="N120" i="8" s="1"/>
  <c r="R133" i="8"/>
  <c r="AJ98" i="8"/>
  <c r="N133" i="8" s="1"/>
  <c r="R122" i="8"/>
  <c r="Y98" i="8"/>
  <c r="N122" i="8" s="1"/>
  <c r="R125" i="8"/>
  <c r="AB98" i="8"/>
  <c r="N125" i="8" s="1"/>
  <c r="F358" i="7"/>
  <c r="G73" i="23" s="1"/>
  <c r="G70" i="23"/>
  <c r="AX87" i="8"/>
  <c r="AM95" i="8" s="1"/>
  <c r="R134" i="8"/>
  <c r="AK98" i="8"/>
  <c r="N134" i="8" s="1"/>
  <c r="R142" i="8"/>
  <c r="AU98" i="8"/>
  <c r="N142" i="8" s="1"/>
  <c r="W31" i="96" l="1"/>
  <c r="Z52" i="96"/>
  <c r="AA52" i="96" s="1"/>
  <c r="AB52" i="96" s="1"/>
  <c r="Z13" i="96"/>
  <c r="W42" i="96"/>
  <c r="Z28" i="96"/>
  <c r="W16" i="96"/>
  <c r="X16" i="96" s="1"/>
  <c r="Y16" i="96" s="1"/>
  <c r="Z21" i="96"/>
  <c r="AA21" i="96" s="1"/>
  <c r="Z19" i="96"/>
  <c r="Z26" i="96"/>
  <c r="W47" i="96"/>
  <c r="X47" i="96" s="1"/>
  <c r="Y47" i="96" s="1"/>
  <c r="W13" i="96"/>
  <c r="X13" i="96" s="1"/>
  <c r="Y13" i="96" s="1"/>
  <c r="W28" i="96"/>
  <c r="X28" i="96" s="1"/>
  <c r="Y28" i="96" s="1"/>
  <c r="W58" i="96"/>
  <c r="Z58" i="96"/>
  <c r="Z33" i="96"/>
  <c r="AA33" i="96" s="1"/>
  <c r="AB33" i="96" s="1"/>
  <c r="Z31" i="96"/>
  <c r="AA31" i="96" s="1"/>
  <c r="AB31" i="96" s="1"/>
  <c r="Z42" i="96"/>
  <c r="AA42" i="96" s="1"/>
  <c r="AB42" i="96" s="1"/>
  <c r="W14" i="96"/>
  <c r="X14" i="96" s="1"/>
  <c r="Y14" i="96" s="1"/>
  <c r="W21" i="96"/>
  <c r="Y21" i="96" s="1"/>
  <c r="W51" i="96"/>
  <c r="X51" i="96" s="1"/>
  <c r="Y51" i="96" s="1"/>
  <c r="Z56" i="96"/>
  <c r="Z16" i="96"/>
  <c r="Z47" i="96"/>
  <c r="W19" i="96"/>
  <c r="X19" i="96" s="1"/>
  <c r="Y19" i="96" s="1"/>
  <c r="W26" i="96"/>
  <c r="X26" i="96" s="1"/>
  <c r="Y26" i="96" s="1"/>
  <c r="W33" i="96"/>
  <c r="X33" i="96" s="1"/>
  <c r="Y33" i="96" s="1"/>
  <c r="W56" i="96"/>
  <c r="X56" i="96" s="1"/>
  <c r="Y56" i="96" s="1"/>
  <c r="Z57" i="96"/>
  <c r="U9" i="96"/>
  <c r="X42" i="96"/>
  <c r="Y42" i="96" s="1"/>
  <c r="Z17" i="96"/>
  <c r="Z37" i="96"/>
  <c r="Z15" i="96"/>
  <c r="Z35" i="96"/>
  <c r="Z18" i="96"/>
  <c r="W15" i="96"/>
  <c r="W35" i="96"/>
  <c r="X35" i="96" s="1"/>
  <c r="Y35" i="96" s="1"/>
  <c r="W18" i="96"/>
  <c r="X18" i="96" s="1"/>
  <c r="Y18" i="96" s="1"/>
  <c r="W9" i="96"/>
  <c r="Y9" i="96" s="1"/>
  <c r="W25" i="96"/>
  <c r="X25" i="96" s="1"/>
  <c r="Y25" i="96" s="1"/>
  <c r="W24" i="96"/>
  <c r="X24" i="96" s="1"/>
  <c r="Y24" i="96" s="1"/>
  <c r="W53" i="96"/>
  <c r="W54" i="96"/>
  <c r="X54" i="96" s="1"/>
  <c r="Y54" i="96" s="1"/>
  <c r="Z51" i="96"/>
  <c r="AA51" i="96" s="1"/>
  <c r="AB51" i="96" s="1"/>
  <c r="Z53" i="96"/>
  <c r="V21" i="96"/>
  <c r="Z9" i="96"/>
  <c r="AA9" i="96" s="1"/>
  <c r="AB9" i="96" s="1"/>
  <c r="Z25" i="96"/>
  <c r="AA25" i="96" s="1"/>
  <c r="AB25" i="96" s="1"/>
  <c r="Z24" i="96"/>
  <c r="AA24" i="96" s="1"/>
  <c r="AB24" i="96" s="1"/>
  <c r="Z23" i="96"/>
  <c r="Z10" i="96"/>
  <c r="Z34" i="96"/>
  <c r="W23" i="96"/>
  <c r="X23" i="96" s="1"/>
  <c r="Y23" i="96" s="1"/>
  <c r="W10" i="96"/>
  <c r="W34" i="96"/>
  <c r="X34" i="96" s="1"/>
  <c r="Y34" i="96" s="1"/>
  <c r="W17" i="96"/>
  <c r="X17" i="96" s="1"/>
  <c r="Y17" i="96" s="1"/>
  <c r="W37" i="96"/>
  <c r="W55" i="96"/>
  <c r="X55" i="96" s="1"/>
  <c r="Y55" i="96" s="1"/>
  <c r="W57" i="96"/>
  <c r="X57" i="96" s="1"/>
  <c r="Y57" i="96" s="1"/>
  <c r="Z54" i="96"/>
  <c r="Z55" i="96"/>
  <c r="U53" i="96"/>
  <c r="V53" i="96" s="1"/>
  <c r="X52" i="96"/>
  <c r="Y52" i="96" s="1"/>
  <c r="X58" i="96"/>
  <c r="Y58" i="96" s="1"/>
  <c r="AC51" i="96"/>
  <c r="AC56" i="96"/>
  <c r="AC55" i="96"/>
  <c r="AC54" i="96"/>
  <c r="AC58" i="96"/>
  <c r="AC53" i="96"/>
  <c r="AC57" i="96"/>
  <c r="AC52" i="96"/>
  <c r="AA14" i="96"/>
  <c r="AB14" i="96" s="1"/>
  <c r="AA16" i="96"/>
  <c r="AB16" i="96" s="1"/>
  <c r="X31" i="96"/>
  <c r="Y31" i="96" s="1"/>
  <c r="AA28" i="96"/>
  <c r="AB28" i="96" s="1"/>
  <c r="AA19" i="96"/>
  <c r="AB19" i="96" s="1"/>
  <c r="AA13" i="96"/>
  <c r="AB13" i="96" s="1"/>
  <c r="R209" i="8"/>
  <c r="Y209" i="8" s="1"/>
  <c r="O127" i="11"/>
  <c r="O13" i="11"/>
  <c r="N9" i="45"/>
  <c r="AU70" i="11"/>
  <c r="BX184" i="11"/>
  <c r="O70" i="11"/>
  <c r="AU13" i="11"/>
  <c r="O184" i="11"/>
  <c r="Q70" i="11"/>
  <c r="AU127" i="11"/>
  <c r="BX195" i="11"/>
  <c r="BZ195" i="11" s="1"/>
  <c r="AU138" i="11"/>
  <c r="AX138" i="11" s="1"/>
  <c r="O81" i="11"/>
  <c r="Q81" i="11"/>
  <c r="X81" i="11" s="1"/>
  <c r="O24" i="11"/>
  <c r="N20" i="45"/>
  <c r="Q20" i="45" s="1"/>
  <c r="AU24" i="11"/>
  <c r="AV24" i="11" s="1"/>
  <c r="R220" i="8"/>
  <c r="Y220" i="8" s="1"/>
  <c r="O138" i="11"/>
  <c r="AU81" i="11"/>
  <c r="AX81" i="11" s="1"/>
  <c r="O195" i="11"/>
  <c r="L247" i="8"/>
  <c r="N247" i="8" s="1"/>
  <c r="P472" i="8" s="1"/>
  <c r="L239" i="8"/>
  <c r="N239" i="8" s="1"/>
  <c r="P464" i="8" s="1"/>
  <c r="L244" i="8"/>
  <c r="N244" i="8" s="1"/>
  <c r="P469" i="8" s="1"/>
  <c r="L210" i="8"/>
  <c r="N210" i="8" s="1"/>
  <c r="P435" i="8" s="1"/>
  <c r="L236" i="8"/>
  <c r="N236" i="8" s="1"/>
  <c r="P461" i="8" s="1"/>
  <c r="L218" i="8"/>
  <c r="N218" i="8" s="1"/>
  <c r="P443" i="8" s="1"/>
  <c r="L242" i="8"/>
  <c r="N242" i="8" s="1"/>
  <c r="P467" i="8" s="1"/>
  <c r="L228" i="8"/>
  <c r="N228" i="8" s="1"/>
  <c r="P453" i="8" s="1"/>
  <c r="L237" i="8"/>
  <c r="N237" i="8" s="1"/>
  <c r="P462" i="8" s="1"/>
  <c r="L230" i="8"/>
  <c r="N230" i="8" s="1"/>
  <c r="P455" i="8" s="1"/>
  <c r="L227" i="8"/>
  <c r="N227" i="8" s="1"/>
  <c r="P452" i="8" s="1"/>
  <c r="L238" i="8"/>
  <c r="N238" i="8" s="1"/>
  <c r="P463" i="8" s="1"/>
  <c r="L225" i="8"/>
  <c r="N225" i="8" s="1"/>
  <c r="P450" i="8" s="1"/>
  <c r="L234" i="8"/>
  <c r="N234" i="8" s="1"/>
  <c r="P459" i="8" s="1"/>
  <c r="L243" i="8"/>
  <c r="N243" i="8" s="1"/>
  <c r="P468" i="8" s="1"/>
  <c r="R139" i="8"/>
  <c r="AX93" i="8"/>
  <c r="AT95" i="8"/>
  <c r="AT98" i="8" s="1"/>
  <c r="N141" i="8" s="1"/>
  <c r="R136" i="8"/>
  <c r="AM98" i="8"/>
  <c r="N136" i="8" s="1"/>
  <c r="X21" i="96" l="1"/>
  <c r="AB21" i="96"/>
  <c r="AD52" i="96"/>
  <c r="AE52" i="96" s="1"/>
  <c r="AA56" i="96"/>
  <c r="AB56" i="96" s="1"/>
  <c r="AA26" i="96"/>
  <c r="AB26" i="96" s="1"/>
  <c r="AD56" i="96"/>
  <c r="AE56" i="96" s="1"/>
  <c r="AA58" i="96"/>
  <c r="AB58" i="96" s="1"/>
  <c r="AD54" i="96"/>
  <c r="AE54" i="96" s="1"/>
  <c r="AD57" i="96"/>
  <c r="AE57" i="96" s="1"/>
  <c r="AD58" i="96"/>
  <c r="AE58" i="96" s="1"/>
  <c r="AA47" i="96"/>
  <c r="AB47" i="96" s="1"/>
  <c r="AD51" i="96"/>
  <c r="AE51" i="96" s="1"/>
  <c r="AA37" i="96"/>
  <c r="AB37" i="96" s="1"/>
  <c r="X37" i="96"/>
  <c r="Y37" i="96" s="1"/>
  <c r="AD53" i="96"/>
  <c r="AE53" i="96" s="1"/>
  <c r="AA57" i="96"/>
  <c r="AB57" i="96" s="1"/>
  <c r="AA10" i="96"/>
  <c r="AB10" i="96" s="1"/>
  <c r="AA53" i="96"/>
  <c r="AB53" i="96" s="1"/>
  <c r="X10" i="96"/>
  <c r="Y10" i="96" s="1"/>
  <c r="X53" i="96"/>
  <c r="Y53" i="96" s="1"/>
  <c r="AA55" i="96"/>
  <c r="AB55" i="96" s="1"/>
  <c r="AD55" i="96"/>
  <c r="AE55" i="96" s="1"/>
  <c r="AA23" i="96"/>
  <c r="AB23" i="96" s="1"/>
  <c r="AA35" i="96"/>
  <c r="AB35" i="96" s="1"/>
  <c r="AA34" i="96"/>
  <c r="AB34" i="96" s="1"/>
  <c r="AA18" i="96"/>
  <c r="AB18" i="96" s="1"/>
  <c r="AA17" i="96"/>
  <c r="AB17" i="96" s="1"/>
  <c r="AA15" i="96"/>
  <c r="AB15" i="96" s="1"/>
  <c r="AA54" i="96"/>
  <c r="AB54" i="96" s="1"/>
  <c r="X9" i="96"/>
  <c r="X15" i="96"/>
  <c r="Y15" i="96" s="1"/>
  <c r="BY195" i="11"/>
  <c r="K11" i="96"/>
  <c r="AC11" i="96" s="1"/>
  <c r="K60" i="60"/>
  <c r="M60" i="60" s="1"/>
  <c r="K71" i="60"/>
  <c r="M71" i="60" s="1"/>
  <c r="K22" i="96"/>
  <c r="AC22" i="96" s="1"/>
  <c r="AC37" i="96"/>
  <c r="AC33" i="96"/>
  <c r="AC25" i="96"/>
  <c r="AC21" i="96"/>
  <c r="AC17" i="96"/>
  <c r="AC13" i="96"/>
  <c r="AC9" i="96"/>
  <c r="AC42" i="96"/>
  <c r="AC34" i="96"/>
  <c r="AC26" i="96"/>
  <c r="AC18" i="96"/>
  <c r="AC14" i="96"/>
  <c r="AC10" i="96"/>
  <c r="AC47" i="96"/>
  <c r="AC35" i="96"/>
  <c r="AC31" i="96"/>
  <c r="AC23" i="96"/>
  <c r="AC19" i="96"/>
  <c r="AC15" i="96"/>
  <c r="AC28" i="96"/>
  <c r="AC24" i="96"/>
  <c r="AC16" i="96"/>
  <c r="AG7" i="96"/>
  <c r="AX24" i="11"/>
  <c r="AW81" i="11"/>
  <c r="AC81" i="11" s="1"/>
  <c r="AW138" i="11"/>
  <c r="AC20" i="45"/>
  <c r="AF81" i="11"/>
  <c r="AM81" i="11" s="1"/>
  <c r="AK20" i="45"/>
  <c r="AV81" i="11"/>
  <c r="AV138" i="11"/>
  <c r="AB81" i="11"/>
  <c r="Z81" i="11"/>
  <c r="BI20" i="45"/>
  <c r="U20" i="45"/>
  <c r="V20" i="45" s="1"/>
  <c r="AA20" i="45" s="1"/>
  <c r="AD20" i="45" s="1"/>
  <c r="AB70" i="11"/>
  <c r="S70" i="11"/>
  <c r="U70" i="11" s="1"/>
  <c r="X70" i="11"/>
  <c r="Z70" i="11"/>
  <c r="T70" i="11"/>
  <c r="V70" i="11" s="1"/>
  <c r="AA70" i="11"/>
  <c r="AF70" i="11"/>
  <c r="AM70" i="11" s="1"/>
  <c r="AX13" i="11"/>
  <c r="AW13" i="11"/>
  <c r="AV13" i="11"/>
  <c r="BZ184" i="11"/>
  <c r="BY184" i="11"/>
  <c r="CA184" i="11"/>
  <c r="Q9" i="45"/>
  <c r="BI9" i="45"/>
  <c r="AK9" i="45"/>
  <c r="BA9" i="45"/>
  <c r="AC9" i="45"/>
  <c r="AS9" i="45"/>
  <c r="BQ9" i="45"/>
  <c r="U9" i="45"/>
  <c r="V9" i="45" s="1"/>
  <c r="AV127" i="11"/>
  <c r="AX127" i="11"/>
  <c r="AW127" i="11"/>
  <c r="AW70" i="11"/>
  <c r="AC70" i="11" s="1"/>
  <c r="AV70" i="11"/>
  <c r="AX70" i="11"/>
  <c r="T81" i="11"/>
  <c r="V81" i="11" s="1"/>
  <c r="AA81" i="11"/>
  <c r="S81" i="11"/>
  <c r="U81" i="11" s="1"/>
  <c r="AS20" i="45"/>
  <c r="BQ20" i="45"/>
  <c r="BA20" i="45"/>
  <c r="AW24" i="11"/>
  <c r="CA195" i="11"/>
  <c r="O209" i="11"/>
  <c r="AU95" i="11"/>
  <c r="AU152" i="11"/>
  <c r="AW152" i="11" s="1"/>
  <c r="Q95" i="11"/>
  <c r="AF95" i="11" s="1"/>
  <c r="AM95" i="11" s="1"/>
  <c r="O152" i="11"/>
  <c r="BX209" i="11"/>
  <c r="BY209" i="11" s="1"/>
  <c r="O38" i="11"/>
  <c r="O95" i="11"/>
  <c r="AU38" i="11"/>
  <c r="AX38" i="11" s="1"/>
  <c r="R234" i="8"/>
  <c r="N34" i="45"/>
  <c r="BA34" i="45" s="1"/>
  <c r="O99" i="11"/>
  <c r="BX213" i="11"/>
  <c r="AU42" i="11"/>
  <c r="AV42" i="11" s="1"/>
  <c r="Q99" i="11"/>
  <c r="T99" i="11" s="1"/>
  <c r="V99" i="11" s="1"/>
  <c r="O156" i="11"/>
  <c r="AU99" i="11"/>
  <c r="AV99" i="11" s="1"/>
  <c r="R238" i="8"/>
  <c r="AU156" i="11"/>
  <c r="AW156" i="11" s="1"/>
  <c r="O213" i="11"/>
  <c r="O42" i="11"/>
  <c r="N38" i="45"/>
  <c r="AC38" i="45" s="1"/>
  <c r="O91" i="11"/>
  <c r="O205" i="11"/>
  <c r="BX205" i="11"/>
  <c r="CA205" i="11" s="1"/>
  <c r="AU148" i="11"/>
  <c r="O34" i="11"/>
  <c r="O148" i="11"/>
  <c r="R230" i="8"/>
  <c r="AU34" i="11"/>
  <c r="AW34" i="11" s="1"/>
  <c r="AU91" i="11"/>
  <c r="AV91" i="11" s="1"/>
  <c r="Q91" i="11"/>
  <c r="Z91" i="11" s="1"/>
  <c r="N30" i="45"/>
  <c r="U30" i="45" s="1"/>
  <c r="V30" i="45" s="1"/>
  <c r="O104" i="11"/>
  <c r="O218" i="11"/>
  <c r="N43" i="45"/>
  <c r="Q43" i="45" s="1"/>
  <c r="Q104" i="11"/>
  <c r="AF104" i="11" s="1"/>
  <c r="AM104" i="11" s="1"/>
  <c r="BX218" i="11"/>
  <c r="AU161" i="11"/>
  <c r="AV161" i="11" s="1"/>
  <c r="AU47" i="11"/>
  <c r="R243" i="8"/>
  <c r="O47" i="11"/>
  <c r="O161" i="11"/>
  <c r="AU104" i="11"/>
  <c r="O143" i="11"/>
  <c r="AU143" i="11"/>
  <c r="AV143" i="11" s="1"/>
  <c r="AU29" i="11"/>
  <c r="AV29" i="11" s="1"/>
  <c r="N25" i="45"/>
  <c r="BI25" i="45" s="1"/>
  <c r="R225" i="8"/>
  <c r="BX200" i="11"/>
  <c r="CA200" i="11" s="1"/>
  <c r="O86" i="11"/>
  <c r="AU86" i="11"/>
  <c r="Q86" i="11"/>
  <c r="T86" i="11" s="1"/>
  <c r="O29" i="11"/>
  <c r="O200" i="11"/>
  <c r="O202" i="11"/>
  <c r="R227" i="8"/>
  <c r="AU145" i="11"/>
  <c r="AV145" i="11" s="1"/>
  <c r="Q88" i="11"/>
  <c r="T88" i="11" s="1"/>
  <c r="AU31" i="11"/>
  <c r="AX31" i="11" s="1"/>
  <c r="O145" i="11"/>
  <c r="O88" i="11"/>
  <c r="AU88" i="11"/>
  <c r="AW88" i="11" s="1"/>
  <c r="BX202" i="11"/>
  <c r="CA202" i="11" s="1"/>
  <c r="O31" i="11"/>
  <c r="N27" i="45"/>
  <c r="Q27" i="45" s="1"/>
  <c r="R237" i="8"/>
  <c r="O98" i="11"/>
  <c r="O155" i="11"/>
  <c r="AU155" i="11"/>
  <c r="AW155" i="11" s="1"/>
  <c r="O212" i="11"/>
  <c r="Q98" i="11"/>
  <c r="AB98" i="11" s="1"/>
  <c r="AU98" i="11"/>
  <c r="N37" i="45"/>
  <c r="BA37" i="45" s="1"/>
  <c r="AU41" i="11"/>
  <c r="BX212" i="11"/>
  <c r="BZ212" i="11" s="1"/>
  <c r="O41" i="11"/>
  <c r="AU103" i="11"/>
  <c r="AX103" i="11" s="1"/>
  <c r="O46" i="11"/>
  <c r="O217" i="11"/>
  <c r="O103" i="11"/>
  <c r="AU46" i="11"/>
  <c r="AX46" i="11" s="1"/>
  <c r="AU160" i="11"/>
  <c r="AW160" i="11" s="1"/>
  <c r="Q103" i="11"/>
  <c r="T103" i="11" s="1"/>
  <c r="R242" i="8"/>
  <c r="O160" i="11"/>
  <c r="BX217" i="11"/>
  <c r="CA217" i="11" s="1"/>
  <c r="N42" i="45"/>
  <c r="BI42" i="45" s="1"/>
  <c r="Q97" i="11"/>
  <c r="AB97" i="11" s="1"/>
  <c r="O211" i="11"/>
  <c r="AU40" i="11"/>
  <c r="AW40" i="11" s="1"/>
  <c r="O154" i="11"/>
  <c r="BX211" i="11"/>
  <c r="CA211" i="11" s="1"/>
  <c r="AU154" i="11"/>
  <c r="AX154" i="11" s="1"/>
  <c r="N36" i="45"/>
  <c r="BA36" i="45" s="1"/>
  <c r="R236" i="8"/>
  <c r="O97" i="11"/>
  <c r="AU97" i="11"/>
  <c r="AV97" i="11" s="1"/>
  <c r="O40" i="11"/>
  <c r="O162" i="11"/>
  <c r="BX219" i="11"/>
  <c r="AU105" i="11"/>
  <c r="AW105" i="11" s="1"/>
  <c r="Q105" i="11"/>
  <c r="Z105" i="11" s="1"/>
  <c r="O48" i="11"/>
  <c r="O105" i="11"/>
  <c r="AU48" i="11"/>
  <c r="AX48" i="11" s="1"/>
  <c r="O219" i="11"/>
  <c r="AU162" i="11"/>
  <c r="AW162" i="11" s="1"/>
  <c r="N44" i="45"/>
  <c r="AK44" i="45" s="1"/>
  <c r="R247" i="8"/>
  <c r="AU108" i="11"/>
  <c r="AX108" i="11" s="1"/>
  <c r="O222" i="11"/>
  <c r="AU165" i="11"/>
  <c r="AW165" i="11" s="1"/>
  <c r="O51" i="11"/>
  <c r="O165" i="11"/>
  <c r="BX222" i="11"/>
  <c r="CA222" i="11" s="1"/>
  <c r="Q108" i="11"/>
  <c r="V108" i="11" s="1"/>
  <c r="O108" i="11"/>
  <c r="AU51" i="11"/>
  <c r="N47" i="45"/>
  <c r="BQ47" i="45" s="1"/>
  <c r="O89" i="11"/>
  <c r="R228" i="8"/>
  <c r="O32" i="11"/>
  <c r="O203" i="11"/>
  <c r="AU146" i="11"/>
  <c r="AV146" i="11" s="1"/>
  <c r="O146" i="11"/>
  <c r="AU89" i="11"/>
  <c r="AX89" i="11" s="1"/>
  <c r="AU32" i="11"/>
  <c r="AW32" i="11" s="1"/>
  <c r="Q89" i="11"/>
  <c r="X89" i="11" s="1"/>
  <c r="BX203" i="11"/>
  <c r="CA203" i="11" s="1"/>
  <c r="N28" i="45"/>
  <c r="BA28" i="45" s="1"/>
  <c r="Q79" i="11"/>
  <c r="Z79" i="11" s="1"/>
  <c r="O79" i="11"/>
  <c r="R218" i="8"/>
  <c r="AU22" i="11"/>
  <c r="AW22" i="11" s="1"/>
  <c r="AU136" i="11"/>
  <c r="O22" i="11"/>
  <c r="O193" i="11"/>
  <c r="O136" i="11"/>
  <c r="AU79" i="11"/>
  <c r="AX79" i="11" s="1"/>
  <c r="BX193" i="11"/>
  <c r="N18" i="45"/>
  <c r="BI18" i="45" s="1"/>
  <c r="BX185" i="11"/>
  <c r="BY185" i="11" s="1"/>
  <c r="R210" i="8"/>
  <c r="Y210" i="8" s="1"/>
  <c r="AU71" i="11"/>
  <c r="AX71" i="11" s="1"/>
  <c r="Q71" i="11"/>
  <c r="O14" i="11"/>
  <c r="O71" i="11"/>
  <c r="O185" i="11"/>
  <c r="N10" i="45"/>
  <c r="U10" i="45" s="1"/>
  <c r="V10" i="45" s="1"/>
  <c r="AU14" i="11"/>
  <c r="AX14" i="11" s="1"/>
  <c r="AU128" i="11"/>
  <c r="AX128" i="11" s="1"/>
  <c r="O128" i="11"/>
  <c r="O100" i="11"/>
  <c r="O214" i="11"/>
  <c r="BX214" i="11"/>
  <c r="AU157" i="11"/>
  <c r="AX157" i="11" s="1"/>
  <c r="Q100" i="11"/>
  <c r="N39" i="45"/>
  <c r="Q39" i="45" s="1"/>
  <c r="R239" i="8"/>
  <c r="O157" i="11"/>
  <c r="AU100" i="11"/>
  <c r="AX100" i="11" s="1"/>
  <c r="AU43" i="11"/>
  <c r="O43" i="11"/>
  <c r="R244" i="8"/>
  <c r="L241" i="8"/>
  <c r="N241" i="8" s="1"/>
  <c r="P466" i="8" s="1"/>
  <c r="L246" i="8"/>
  <c r="N246" i="8" s="1"/>
  <c r="P471" i="8" s="1"/>
  <c r="R141" i="8"/>
  <c r="Z98" i="11" l="1"/>
  <c r="BA44" i="45"/>
  <c r="AV46" i="11"/>
  <c r="AK38" i="45"/>
  <c r="K94" i="60"/>
  <c r="M94" i="60" s="1"/>
  <c r="K45" i="96"/>
  <c r="AF45" i="96" s="1"/>
  <c r="AG45" i="96" s="1"/>
  <c r="K30" i="96"/>
  <c r="AF30" i="96" s="1"/>
  <c r="AG30" i="96" s="1"/>
  <c r="K79" i="60"/>
  <c r="M79" i="60" s="1"/>
  <c r="K93" i="60"/>
  <c r="M93" i="60" s="1"/>
  <c r="K44" i="96"/>
  <c r="M11" i="96"/>
  <c r="O11" i="96" s="1"/>
  <c r="Q11" i="96"/>
  <c r="T11" i="96"/>
  <c r="W11" i="96"/>
  <c r="Z11" i="96"/>
  <c r="AD11" i="96" s="1"/>
  <c r="K69" i="60"/>
  <c r="M69" i="60" s="1"/>
  <c r="K20" i="96"/>
  <c r="K95" i="60"/>
  <c r="M95" i="60" s="1"/>
  <c r="K46" i="96"/>
  <c r="AF46" i="96" s="1"/>
  <c r="AG46" i="96" s="1"/>
  <c r="K38" i="96"/>
  <c r="K87" i="60"/>
  <c r="M87" i="60" s="1"/>
  <c r="K81" i="60"/>
  <c r="M81" i="60" s="1"/>
  <c r="K32" i="96"/>
  <c r="AF32" i="96" s="1"/>
  <c r="AG32" i="96" s="1"/>
  <c r="K89" i="60"/>
  <c r="M89" i="60" s="1"/>
  <c r="K40" i="96"/>
  <c r="K98" i="60"/>
  <c r="M98" i="60" s="1"/>
  <c r="K49" i="96"/>
  <c r="AF49" i="96" s="1"/>
  <c r="AG49" i="96" s="1"/>
  <c r="K90" i="60"/>
  <c r="M90" i="60" s="1"/>
  <c r="K41" i="96"/>
  <c r="AF41" i="96" s="1"/>
  <c r="AG41" i="96" s="1"/>
  <c r="K61" i="60"/>
  <c r="M61" i="60" s="1"/>
  <c r="K12" i="96"/>
  <c r="K88" i="60"/>
  <c r="M88" i="60" s="1"/>
  <c r="K39" i="96"/>
  <c r="K78" i="60"/>
  <c r="M78" i="60" s="1"/>
  <c r="K29" i="96"/>
  <c r="AF29" i="96" s="1"/>
  <c r="AG29" i="96" s="1"/>
  <c r="K76" i="60"/>
  <c r="M76" i="60" s="1"/>
  <c r="K27" i="96"/>
  <c r="AF27" i="96" s="1"/>
  <c r="AG27" i="96" s="1"/>
  <c r="K36" i="96"/>
  <c r="K85" i="60"/>
  <c r="M85" i="60" s="1"/>
  <c r="M22" i="96"/>
  <c r="O22" i="96" s="1"/>
  <c r="T22" i="96"/>
  <c r="Q22" i="96"/>
  <c r="W22" i="96"/>
  <c r="Z22" i="96"/>
  <c r="AF57" i="96"/>
  <c r="AH57" i="96" s="1"/>
  <c r="AF58" i="96"/>
  <c r="AH58" i="96" s="1"/>
  <c r="AF55" i="96"/>
  <c r="AH55" i="96" s="1"/>
  <c r="AF54" i="96"/>
  <c r="AH54" i="96" s="1"/>
  <c r="AF52" i="96"/>
  <c r="AH52" i="96" s="1"/>
  <c r="AF51" i="96"/>
  <c r="AH51" i="96" s="1"/>
  <c r="AF56" i="96"/>
  <c r="AH56" i="96" s="1"/>
  <c r="AF53" i="96"/>
  <c r="AH53" i="96" s="1"/>
  <c r="AF40" i="96"/>
  <c r="AG40" i="96" s="1"/>
  <c r="AF36" i="96"/>
  <c r="AG36" i="96" s="1"/>
  <c r="AF28" i="96"/>
  <c r="AG28" i="96" s="1"/>
  <c r="AF24" i="96"/>
  <c r="AG24" i="96" s="1"/>
  <c r="AF20" i="96"/>
  <c r="AG20" i="96" s="1"/>
  <c r="AF16" i="96"/>
  <c r="AF12" i="96"/>
  <c r="AG12" i="96" s="1"/>
  <c r="AF37" i="96"/>
  <c r="AG37" i="96" s="1"/>
  <c r="AF33" i="96"/>
  <c r="AF25" i="96"/>
  <c r="AG25" i="96" s="1"/>
  <c r="AF21" i="96"/>
  <c r="AG21" i="96" s="1"/>
  <c r="AF17" i="96"/>
  <c r="AF13" i="96"/>
  <c r="AG13" i="96" s="1"/>
  <c r="AF9" i="96"/>
  <c r="AG9" i="96" s="1"/>
  <c r="AF42" i="96"/>
  <c r="AG42" i="96" s="1"/>
  <c r="AF38" i="96"/>
  <c r="AG38" i="96" s="1"/>
  <c r="AF34" i="96"/>
  <c r="AF26" i="96"/>
  <c r="AG26" i="96" s="1"/>
  <c r="AF22" i="96"/>
  <c r="AG22" i="96" s="1"/>
  <c r="AF18" i="96"/>
  <c r="AF14" i="96"/>
  <c r="AG14" i="96" s="1"/>
  <c r="AF10" i="96"/>
  <c r="AG10" i="96" s="1"/>
  <c r="AF47" i="96"/>
  <c r="AG47" i="96" s="1"/>
  <c r="AF35" i="96"/>
  <c r="AF31" i="96"/>
  <c r="AG31" i="96" s="1"/>
  <c r="AF23" i="96"/>
  <c r="AG23" i="96" s="1"/>
  <c r="AF19" i="96"/>
  <c r="AF15" i="96"/>
  <c r="AG15" i="96" s="1"/>
  <c r="AF11" i="96"/>
  <c r="AG11" i="96" s="1"/>
  <c r="AD24" i="96"/>
  <c r="AE24" i="96" s="1"/>
  <c r="AD35" i="96"/>
  <c r="AE35" i="96" s="1"/>
  <c r="AD17" i="96"/>
  <c r="AE17" i="96" s="1"/>
  <c r="AD9" i="96"/>
  <c r="AE9" i="96" s="1"/>
  <c r="AD42" i="96"/>
  <c r="AE42" i="96" s="1"/>
  <c r="AD34" i="96"/>
  <c r="AE34" i="96" s="1"/>
  <c r="AD26" i="96"/>
  <c r="AE26" i="96" s="1"/>
  <c r="AD37" i="96"/>
  <c r="AE37" i="96" s="1"/>
  <c r="AD14" i="96"/>
  <c r="AE14" i="96" s="1"/>
  <c r="AD19" i="96"/>
  <c r="AE19" i="96" s="1"/>
  <c r="AD28" i="96"/>
  <c r="AE28" i="96" s="1"/>
  <c r="AD47" i="96"/>
  <c r="AE47" i="96" s="1"/>
  <c r="AD31" i="96"/>
  <c r="AE31" i="96" s="1"/>
  <c r="AD23" i="96"/>
  <c r="AE23" i="96" s="1"/>
  <c r="AD16" i="96"/>
  <c r="AE16" i="96" s="1"/>
  <c r="AE21" i="96"/>
  <c r="AD21" i="96"/>
  <c r="AD13" i="96"/>
  <c r="AE13" i="96" s="1"/>
  <c r="AD33" i="96"/>
  <c r="AE33" i="96" s="1"/>
  <c r="AD25" i="96"/>
  <c r="AE25" i="96" s="1"/>
  <c r="AD18" i="96"/>
  <c r="AE18" i="96" s="1"/>
  <c r="AD10" i="96"/>
  <c r="AE10" i="96" s="1"/>
  <c r="AD15" i="96"/>
  <c r="AE15" i="96" s="1"/>
  <c r="AV79" i="11"/>
  <c r="O107" i="11"/>
  <c r="W20" i="45"/>
  <c r="AW108" i="11"/>
  <c r="AC108" i="11" s="1"/>
  <c r="U37" i="45"/>
  <c r="V37" i="45" s="1"/>
  <c r="W37" i="45" s="1"/>
  <c r="AV34" i="11"/>
  <c r="AV105" i="11"/>
  <c r="AW42" i="11"/>
  <c r="AW29" i="11"/>
  <c r="AV103" i="11"/>
  <c r="AX155" i="11"/>
  <c r="BI47" i="45"/>
  <c r="AB86" i="11"/>
  <c r="AF88" i="11"/>
  <c r="AM88" i="11" s="1"/>
  <c r="AB108" i="11"/>
  <c r="S105" i="11"/>
  <c r="U105" i="11" s="1"/>
  <c r="AW157" i="11"/>
  <c r="AX165" i="11"/>
  <c r="Q44" i="45"/>
  <c r="X91" i="11"/>
  <c r="AV31" i="11"/>
  <c r="U18" i="45"/>
  <c r="V18" i="45" s="1"/>
  <c r="D48" i="48" s="1"/>
  <c r="BY217" i="11"/>
  <c r="Q37" i="45"/>
  <c r="AA98" i="11"/>
  <c r="AV162" i="11"/>
  <c r="AX88" i="11"/>
  <c r="S86" i="11"/>
  <c r="U86" i="11" s="1"/>
  <c r="AB103" i="11"/>
  <c r="X20" i="45"/>
  <c r="D52" i="48" s="1"/>
  <c r="AB105" i="11"/>
  <c r="AS27" i="45"/>
  <c r="U25" i="45"/>
  <c r="V25" i="45" s="1"/>
  <c r="W25" i="45" s="1"/>
  <c r="AK42" i="45"/>
  <c r="V105" i="11"/>
  <c r="AA105" i="11"/>
  <c r="Q30" i="45"/>
  <c r="AW99" i="11"/>
  <c r="AC99" i="11" s="1"/>
  <c r="BZ202" i="11"/>
  <c r="BZ200" i="11"/>
  <c r="D30" i="48"/>
  <c r="AA9" i="45"/>
  <c r="AD9" i="45" s="1"/>
  <c r="X9" i="45"/>
  <c r="W9" i="45"/>
  <c r="AW91" i="11"/>
  <c r="AC91" i="11" s="1"/>
  <c r="AW43" i="11"/>
  <c r="AX43" i="11"/>
  <c r="BA39" i="45"/>
  <c r="AC39" i="45"/>
  <c r="U39" i="45"/>
  <c r="V39" i="45" s="1"/>
  <c r="X39" i="45" s="1"/>
  <c r="CA214" i="11"/>
  <c r="BZ214" i="11"/>
  <c r="AV128" i="11"/>
  <c r="AW128" i="11"/>
  <c r="AK10" i="45"/>
  <c r="AC10" i="45"/>
  <c r="BI10" i="45"/>
  <c r="BZ185" i="11"/>
  <c r="CA185" i="11"/>
  <c r="BZ193" i="11"/>
  <c r="CA193" i="11"/>
  <c r="AX136" i="11"/>
  <c r="AW136" i="11"/>
  <c r="AF79" i="11"/>
  <c r="AM79" i="11" s="1"/>
  <c r="AB79" i="11"/>
  <c r="X79" i="11"/>
  <c r="BY203" i="11"/>
  <c r="BZ203" i="11"/>
  <c r="AW146" i="11"/>
  <c r="AX146" i="11"/>
  <c r="AW51" i="11"/>
  <c r="AV51" i="11"/>
  <c r="T108" i="11"/>
  <c r="AA108" i="11"/>
  <c r="Z108" i="11"/>
  <c r="S108" i="11"/>
  <c r="U108" i="11" s="1"/>
  <c r="BZ219" i="11"/>
  <c r="BY219" i="11"/>
  <c r="AK36" i="45"/>
  <c r="AC36" i="45"/>
  <c r="Q36" i="45"/>
  <c r="BZ211" i="11"/>
  <c r="BY211" i="11"/>
  <c r="AS42" i="45"/>
  <c r="BQ42" i="45"/>
  <c r="AC42" i="45"/>
  <c r="U42" i="45"/>
  <c r="V42" i="45" s="1"/>
  <c r="X42" i="45" s="1"/>
  <c r="AV160" i="11"/>
  <c r="AX160" i="11"/>
  <c r="AX41" i="11"/>
  <c r="AV41" i="11"/>
  <c r="AX98" i="11"/>
  <c r="AV98" i="11"/>
  <c r="AK27" i="45"/>
  <c r="BA27" i="45"/>
  <c r="BI27" i="45"/>
  <c r="U27" i="45"/>
  <c r="V27" i="45" s="1"/>
  <c r="W27" i="45" s="1"/>
  <c r="AB88" i="11"/>
  <c r="S88" i="11"/>
  <c r="U88" i="11" s="1"/>
  <c r="X88" i="11"/>
  <c r="AA88" i="11"/>
  <c r="AV86" i="11"/>
  <c r="AX86" i="11"/>
  <c r="AC25" i="45"/>
  <c r="AS25" i="45"/>
  <c r="AK25" i="45"/>
  <c r="BA25" i="45"/>
  <c r="AX143" i="11"/>
  <c r="AW143" i="11"/>
  <c r="AW104" i="11"/>
  <c r="AC104" i="11" s="1"/>
  <c r="AV104" i="11"/>
  <c r="AX104" i="11"/>
  <c r="X104" i="11"/>
  <c r="AA104" i="11"/>
  <c r="AC30" i="45"/>
  <c r="AS30" i="45"/>
  <c r="BQ30" i="45"/>
  <c r="BA30" i="45"/>
  <c r="AW148" i="11"/>
  <c r="AX148" i="11"/>
  <c r="BQ38" i="45"/>
  <c r="AS38" i="45"/>
  <c r="BA38" i="45"/>
  <c r="U38" i="45"/>
  <c r="V38" i="45" s="1"/>
  <c r="X38" i="45" s="1"/>
  <c r="AV156" i="11"/>
  <c r="AX156" i="11"/>
  <c r="AA99" i="11"/>
  <c r="Z99" i="11"/>
  <c r="X99" i="11"/>
  <c r="S99" i="11"/>
  <c r="U99" i="11" s="1"/>
  <c r="BZ213" i="11"/>
  <c r="CA213" i="11"/>
  <c r="BQ34" i="45"/>
  <c r="BI34" i="45"/>
  <c r="AC34" i="45"/>
  <c r="AV38" i="11"/>
  <c r="AW38" i="11"/>
  <c r="AA95" i="11"/>
  <c r="AB95" i="11"/>
  <c r="T95" i="11"/>
  <c r="V95" i="11" s="1"/>
  <c r="AX95" i="11"/>
  <c r="AW95" i="11"/>
  <c r="AC95" i="11" s="1"/>
  <c r="AF105" i="11"/>
  <c r="AM105" i="11" s="1"/>
  <c r="X105" i="11"/>
  <c r="T105" i="11"/>
  <c r="BY214" i="11"/>
  <c r="BI39" i="45"/>
  <c r="AV148" i="11"/>
  <c r="AK30" i="45"/>
  <c r="BI30" i="45"/>
  <c r="Z88" i="11"/>
  <c r="V88" i="11"/>
  <c r="BY213" i="11"/>
  <c r="AF99" i="11"/>
  <c r="AM99" i="11" s="1"/>
  <c r="AB99" i="11"/>
  <c r="AX99" i="11"/>
  <c r="Q38" i="45"/>
  <c r="BI38" i="45"/>
  <c r="Z95" i="11"/>
  <c r="AS34" i="45"/>
  <c r="BI36" i="45"/>
  <c r="BY193" i="11"/>
  <c r="AX32" i="11"/>
  <c r="AW41" i="11"/>
  <c r="AF108" i="11"/>
  <c r="AM108" i="11" s="1"/>
  <c r="X108" i="11"/>
  <c r="AX51" i="11"/>
  <c r="CA219" i="11"/>
  <c r="AV43" i="11"/>
  <c r="AX91" i="11"/>
  <c r="BY202" i="11"/>
  <c r="AC27" i="45"/>
  <c r="BQ27" i="45"/>
  <c r="BY200" i="11"/>
  <c r="AW86" i="11"/>
  <c r="AC86" i="11" s="1"/>
  <c r="BQ25" i="45"/>
  <c r="Q25" i="45"/>
  <c r="AX40" i="11"/>
  <c r="S79" i="11"/>
  <c r="U79" i="11" s="1"/>
  <c r="BA42" i="45"/>
  <c r="Q42" i="45"/>
  <c r="AW98" i="11"/>
  <c r="AC98" i="11" s="1"/>
  <c r="AW71" i="11"/>
  <c r="Q10" i="45"/>
  <c r="AC105" i="11"/>
  <c r="AC88" i="11"/>
  <c r="AV136" i="11"/>
  <c r="AA79" i="11"/>
  <c r="T79" i="11"/>
  <c r="V79" i="11" s="1"/>
  <c r="R241" i="8"/>
  <c r="BX216" i="11"/>
  <c r="BZ216" i="11" s="1"/>
  <c r="O159" i="11"/>
  <c r="AV108" i="11"/>
  <c r="N41" i="45"/>
  <c r="AK41" i="45" s="1"/>
  <c r="O102" i="11"/>
  <c r="AU159" i="11"/>
  <c r="AV159" i="11" s="1"/>
  <c r="AW48" i="11"/>
  <c r="AX105" i="11"/>
  <c r="BI44" i="45"/>
  <c r="AS44" i="45"/>
  <c r="BZ205" i="11"/>
  <c r="S91" i="11"/>
  <c r="U91" i="11" s="1"/>
  <c r="AA91" i="11"/>
  <c r="AX145" i="11"/>
  <c r="AW31" i="11"/>
  <c r="AX42" i="11"/>
  <c r="AX29" i="11"/>
  <c r="AW79" i="11"/>
  <c r="AC79" i="11" s="1"/>
  <c r="Q18" i="45"/>
  <c r="AW103" i="11"/>
  <c r="AC103" i="11" s="1"/>
  <c r="BY212" i="11"/>
  <c r="BI37" i="45"/>
  <c r="AC37" i="45"/>
  <c r="AV155" i="11"/>
  <c r="X98" i="11"/>
  <c r="T98" i="11"/>
  <c r="Q47" i="45"/>
  <c r="AX34" i="11"/>
  <c r="AV88" i="11"/>
  <c r="AA86" i="11"/>
  <c r="Z86" i="11"/>
  <c r="AX22" i="11"/>
  <c r="Z103" i="11"/>
  <c r="AV157" i="11"/>
  <c r="AS39" i="45"/>
  <c r="AK39" i="45"/>
  <c r="BQ39" i="45"/>
  <c r="AV95" i="11"/>
  <c r="S95" i="11"/>
  <c r="U95" i="11" s="1"/>
  <c r="X95" i="11"/>
  <c r="U34" i="45"/>
  <c r="V34" i="45" s="1"/>
  <c r="W34" i="45" s="1"/>
  <c r="Q34" i="45"/>
  <c r="AK34" i="45"/>
  <c r="U36" i="45"/>
  <c r="V36" i="45" s="1"/>
  <c r="W36" i="45" s="1"/>
  <c r="BQ36" i="45"/>
  <c r="AS36" i="45"/>
  <c r="AV32" i="11"/>
  <c r="AV40" i="11"/>
  <c r="AV71" i="11"/>
  <c r="BQ10" i="45"/>
  <c r="AS10" i="45"/>
  <c r="BA10" i="45"/>
  <c r="AU107" i="11"/>
  <c r="AV107" i="11" s="1"/>
  <c r="AK18" i="45"/>
  <c r="BA18" i="45"/>
  <c r="BY222" i="11"/>
  <c r="BA47" i="45"/>
  <c r="AK47" i="45"/>
  <c r="AV100" i="11"/>
  <c r="AV22" i="11"/>
  <c r="AW46" i="11"/>
  <c r="AF103" i="11"/>
  <c r="AM103" i="11" s="1"/>
  <c r="AA103" i="11"/>
  <c r="BI43" i="45"/>
  <c r="BX221" i="11"/>
  <c r="BZ221" i="11" s="1"/>
  <c r="AU164" i="11"/>
  <c r="AV164" i="11" s="1"/>
  <c r="R246" i="8"/>
  <c r="AU50" i="11"/>
  <c r="AW50" i="11" s="1"/>
  <c r="AV165" i="11"/>
  <c r="O45" i="11"/>
  <c r="Q102" i="11"/>
  <c r="AB102" i="11" s="1"/>
  <c r="O216" i="11"/>
  <c r="AU102" i="11"/>
  <c r="AW102" i="11" s="1"/>
  <c r="AU45" i="11"/>
  <c r="AW45" i="11" s="1"/>
  <c r="AV48" i="11"/>
  <c r="U44" i="45"/>
  <c r="V44" i="45" s="1"/>
  <c r="W44" i="45" s="1"/>
  <c r="AC44" i="45"/>
  <c r="BQ44" i="45"/>
  <c r="BY205" i="11"/>
  <c r="AF91" i="11"/>
  <c r="AM91" i="11" s="1"/>
  <c r="AB91" i="11"/>
  <c r="T91" i="11"/>
  <c r="V91" i="11" s="1"/>
  <c r="AW145" i="11"/>
  <c r="AX97" i="11"/>
  <c r="BQ18" i="45"/>
  <c r="AC18" i="45"/>
  <c r="AS18" i="45"/>
  <c r="BZ217" i="11"/>
  <c r="CA212" i="11"/>
  <c r="BQ37" i="45"/>
  <c r="AS37" i="45"/>
  <c r="AK37" i="45"/>
  <c r="S98" i="11"/>
  <c r="U98" i="11" s="1"/>
  <c r="V98" i="11"/>
  <c r="AF98" i="11"/>
  <c r="AM98" i="11" s="1"/>
  <c r="BZ222" i="11"/>
  <c r="U47" i="45"/>
  <c r="V47" i="45" s="1"/>
  <c r="D106" i="48" s="1"/>
  <c r="AS47" i="45"/>
  <c r="AC47" i="45"/>
  <c r="AX50" i="11"/>
  <c r="AX162" i="11"/>
  <c r="AF86" i="11"/>
  <c r="AM86" i="11" s="1"/>
  <c r="X86" i="11"/>
  <c r="V86" i="11"/>
  <c r="S103" i="11"/>
  <c r="U103" i="11" s="1"/>
  <c r="X103" i="11"/>
  <c r="V103" i="11"/>
  <c r="O221" i="11"/>
  <c r="Q107" i="11"/>
  <c r="Z107" i="11" s="1"/>
  <c r="O164" i="11"/>
  <c r="N46" i="45"/>
  <c r="U46" i="45" s="1"/>
  <c r="V46" i="45" s="1"/>
  <c r="O50" i="11"/>
  <c r="AK43" i="45"/>
  <c r="AV14" i="11"/>
  <c r="T89" i="11"/>
  <c r="V89" i="11" s="1"/>
  <c r="X100" i="11"/>
  <c r="T97" i="11"/>
  <c r="V97" i="11" s="1"/>
  <c r="AK28" i="45"/>
  <c r="AW154" i="11"/>
  <c r="AW89" i="11"/>
  <c r="AC89" i="11" s="1"/>
  <c r="T100" i="11"/>
  <c r="V100" i="11" s="1"/>
  <c r="AX152" i="11"/>
  <c r="AA97" i="11"/>
  <c r="S89" i="11"/>
  <c r="U89" i="11" s="1"/>
  <c r="BQ28" i="45"/>
  <c r="S100" i="11"/>
  <c r="U100" i="11" s="1"/>
  <c r="AF100" i="11"/>
  <c r="AM100" i="11" s="1"/>
  <c r="AF97" i="11"/>
  <c r="AM97" i="11" s="1"/>
  <c r="S97" i="11"/>
  <c r="U97" i="11" s="1"/>
  <c r="AW97" i="11"/>
  <c r="AC97" i="11" s="1"/>
  <c r="Z89" i="11"/>
  <c r="AA89" i="11"/>
  <c r="Q28" i="45"/>
  <c r="BI28" i="45"/>
  <c r="AW100" i="11"/>
  <c r="CA209" i="11"/>
  <c r="T71" i="11"/>
  <c r="V71" i="11" s="1"/>
  <c r="S71" i="11"/>
  <c r="U71" i="11" s="1"/>
  <c r="AW14" i="11"/>
  <c r="Z100" i="11"/>
  <c r="AA100" i="11"/>
  <c r="AB100" i="11"/>
  <c r="AC100" i="11"/>
  <c r="AV152" i="11"/>
  <c r="Z97" i="11"/>
  <c r="X97" i="11"/>
  <c r="AF89" i="11"/>
  <c r="AM89" i="11" s="1"/>
  <c r="AB89" i="11"/>
  <c r="U28" i="45"/>
  <c r="V28" i="45" s="1"/>
  <c r="X28" i="45" s="1"/>
  <c r="AS28" i="45"/>
  <c r="AC28" i="45"/>
  <c r="BZ209" i="11"/>
  <c r="AV154" i="11"/>
  <c r="AV89" i="11"/>
  <c r="AF71" i="11"/>
  <c r="AM71" i="11" s="1"/>
  <c r="AW161" i="11"/>
  <c r="AX161" i="11"/>
  <c r="CA218" i="11"/>
  <c r="BZ218" i="11"/>
  <c r="BY218" i="11"/>
  <c r="BA43" i="45"/>
  <c r="AS43" i="45"/>
  <c r="U43" i="45"/>
  <c r="V43" i="45" s="1"/>
  <c r="BQ43" i="45"/>
  <c r="AC43" i="45"/>
  <c r="AW47" i="11"/>
  <c r="AV47" i="11"/>
  <c r="AX47" i="11"/>
  <c r="Z104" i="11"/>
  <c r="V104" i="11"/>
  <c r="S104" i="11"/>
  <c r="U104" i="11" s="1"/>
  <c r="T104" i="11"/>
  <c r="AB104" i="11"/>
  <c r="AI20" i="45"/>
  <c r="AL20" i="45" s="1"/>
  <c r="AF20" i="45"/>
  <c r="AE20" i="45"/>
  <c r="X10" i="45"/>
  <c r="AA10" i="45"/>
  <c r="W10" i="45"/>
  <c r="D32" i="48" s="1"/>
  <c r="AW107" i="11"/>
  <c r="X30" i="45"/>
  <c r="D72" i="48"/>
  <c r="W30" i="45"/>
  <c r="AA30" i="45"/>
  <c r="AH47" i="96" l="1"/>
  <c r="AH13" i="96"/>
  <c r="AH31" i="96"/>
  <c r="U11" i="96"/>
  <c r="X11" i="96"/>
  <c r="U22" i="96"/>
  <c r="R11" i="96"/>
  <c r="K48" i="96"/>
  <c r="K97" i="60"/>
  <c r="M97" i="60" s="1"/>
  <c r="M27" i="96"/>
  <c r="O27" i="96" s="1"/>
  <c r="T27" i="96"/>
  <c r="Q27" i="96"/>
  <c r="W27" i="96"/>
  <c r="Z27" i="96"/>
  <c r="AC27" i="96"/>
  <c r="AA22" i="96"/>
  <c r="AD22" i="96"/>
  <c r="M40" i="96"/>
  <c r="O40" i="96" s="1"/>
  <c r="T40" i="96"/>
  <c r="Q40" i="96"/>
  <c r="Z40" i="96"/>
  <c r="W40" i="96"/>
  <c r="AC40" i="96"/>
  <c r="M20" i="96"/>
  <c r="O20" i="96" s="1"/>
  <c r="T20" i="96"/>
  <c r="Q20" i="96"/>
  <c r="W20" i="96"/>
  <c r="Z20" i="96"/>
  <c r="AC20" i="96"/>
  <c r="M39" i="96"/>
  <c r="O39" i="96" s="1"/>
  <c r="Q39" i="96"/>
  <c r="W39" i="96"/>
  <c r="Z39" i="96"/>
  <c r="T39" i="96"/>
  <c r="AC39" i="96"/>
  <c r="M44" i="96"/>
  <c r="O44" i="96" s="1"/>
  <c r="Q44" i="96"/>
  <c r="T44" i="96"/>
  <c r="W44" i="96"/>
  <c r="Z44" i="96"/>
  <c r="AC44" i="96"/>
  <c r="M36" i="96"/>
  <c r="O36" i="96" s="1"/>
  <c r="Q36" i="96"/>
  <c r="T36" i="96"/>
  <c r="Z36" i="96"/>
  <c r="W36" i="96"/>
  <c r="AC36" i="96"/>
  <c r="M32" i="96"/>
  <c r="O32" i="96" s="1"/>
  <c r="Q32" i="96"/>
  <c r="Z32" i="96"/>
  <c r="T32" i="96"/>
  <c r="W32" i="96"/>
  <c r="AC32" i="96"/>
  <c r="M46" i="96"/>
  <c r="O46" i="96" s="1"/>
  <c r="Q46" i="96"/>
  <c r="T46" i="96"/>
  <c r="W46" i="96"/>
  <c r="Z46" i="96"/>
  <c r="AC46" i="96"/>
  <c r="M30" i="96"/>
  <c r="O30" i="96" s="1"/>
  <c r="Q30" i="96"/>
  <c r="W30" i="96"/>
  <c r="Z30" i="96"/>
  <c r="T30" i="96"/>
  <c r="AC30" i="96"/>
  <c r="X18" i="45"/>
  <c r="AF39" i="96"/>
  <c r="AG39" i="96" s="1"/>
  <c r="AF44" i="96"/>
  <c r="AG44" i="96" s="1"/>
  <c r="R22" i="96"/>
  <c r="AA11" i="96"/>
  <c r="M41" i="96"/>
  <c r="O41" i="96" s="1"/>
  <c r="Q41" i="96"/>
  <c r="T41" i="96"/>
  <c r="Z41" i="96"/>
  <c r="W41" i="96"/>
  <c r="AC41" i="96"/>
  <c r="M45" i="96"/>
  <c r="O45" i="96" s="1"/>
  <c r="T45" i="96"/>
  <c r="Q45" i="96"/>
  <c r="Z45" i="96"/>
  <c r="W45" i="96"/>
  <c r="AC45" i="96"/>
  <c r="K92" i="60"/>
  <c r="M92" i="60" s="1"/>
  <c r="K43" i="96"/>
  <c r="M29" i="96"/>
  <c r="O29" i="96" s="1"/>
  <c r="Q29" i="96"/>
  <c r="T29" i="96"/>
  <c r="Z29" i="96"/>
  <c r="W29" i="96"/>
  <c r="AC29" i="96"/>
  <c r="M12" i="96"/>
  <c r="O12" i="96" s="1"/>
  <c r="Q12" i="96"/>
  <c r="T12" i="96"/>
  <c r="W12" i="96"/>
  <c r="Z12" i="96"/>
  <c r="AC12" i="96"/>
  <c r="M49" i="96"/>
  <c r="O49" i="96" s="1"/>
  <c r="T49" i="96"/>
  <c r="Q49" i="96"/>
  <c r="W49" i="96"/>
  <c r="Z49" i="96"/>
  <c r="AC49" i="96"/>
  <c r="M38" i="96"/>
  <c r="O38" i="96" s="1"/>
  <c r="Q38" i="96"/>
  <c r="T38" i="96"/>
  <c r="Z38" i="96"/>
  <c r="W38" i="96"/>
  <c r="AC38" i="96"/>
  <c r="AA18" i="45"/>
  <c r="X22" i="96"/>
  <c r="AH15" i="96"/>
  <c r="AH28" i="96"/>
  <c r="AH14" i="96"/>
  <c r="AH42" i="96"/>
  <c r="AH37" i="96"/>
  <c r="AH21" i="96"/>
  <c r="AH23" i="96"/>
  <c r="AH24" i="96"/>
  <c r="AH25" i="96"/>
  <c r="AH26" i="96"/>
  <c r="AH10" i="96"/>
  <c r="AH9" i="96"/>
  <c r="AG19" i="96"/>
  <c r="AH19" i="96" s="1"/>
  <c r="AG35" i="96"/>
  <c r="AH35" i="96" s="1"/>
  <c r="AG18" i="96"/>
  <c r="AH18" i="96" s="1"/>
  <c r="AG34" i="96"/>
  <c r="AH34" i="96" s="1"/>
  <c r="AG17" i="96"/>
  <c r="AH17" i="96" s="1"/>
  <c r="AG33" i="96"/>
  <c r="AH33" i="96" s="1"/>
  <c r="AG16" i="96"/>
  <c r="AH16" i="96" s="1"/>
  <c r="AJ7" i="96"/>
  <c r="AA42" i="45"/>
  <c r="X37" i="45"/>
  <c r="D86" i="48" s="1"/>
  <c r="AA37" i="45"/>
  <c r="AD37" i="45" s="1"/>
  <c r="CA221" i="11"/>
  <c r="BY216" i="11"/>
  <c r="X102" i="11"/>
  <c r="BA41" i="45"/>
  <c r="AC102" i="11"/>
  <c r="W39" i="45"/>
  <c r="D90" i="48" s="1"/>
  <c r="X36" i="45"/>
  <c r="D84" i="48" s="1"/>
  <c r="W47" i="45"/>
  <c r="BQ41" i="45"/>
  <c r="X27" i="45"/>
  <c r="D96" i="48"/>
  <c r="AX159" i="11"/>
  <c r="CA216" i="11"/>
  <c r="Q41" i="45"/>
  <c r="AC41" i="45"/>
  <c r="D66" i="48"/>
  <c r="W18" i="45"/>
  <c r="AA25" i="45"/>
  <c r="AD25" i="45" s="1"/>
  <c r="F62" i="48" s="1"/>
  <c r="D100" i="48"/>
  <c r="X25" i="45"/>
  <c r="X44" i="45"/>
  <c r="AA38" i="45"/>
  <c r="AD38" i="45" s="1"/>
  <c r="AF38" i="45" s="1"/>
  <c r="AX45" i="11"/>
  <c r="BY221" i="11"/>
  <c r="D62" i="48"/>
  <c r="X34" i="45"/>
  <c r="D80" i="48" s="1"/>
  <c r="W38" i="45"/>
  <c r="Q46" i="45"/>
  <c r="AD10" i="45"/>
  <c r="AI10" i="45" s="1"/>
  <c r="AL10" i="45" s="1"/>
  <c r="AD42" i="45"/>
  <c r="AE42" i="45" s="1"/>
  <c r="AA44" i="45"/>
  <c r="AD44" i="45" s="1"/>
  <c r="AW159" i="11"/>
  <c r="U41" i="45"/>
  <c r="V41" i="45" s="1"/>
  <c r="AS41" i="45"/>
  <c r="BI41" i="45"/>
  <c r="AD18" i="45"/>
  <c r="AF18" i="45" s="1"/>
  <c r="AA36" i="45"/>
  <c r="AD36" i="45" s="1"/>
  <c r="AF36" i="45" s="1"/>
  <c r="AA39" i="45"/>
  <c r="AD39" i="45" s="1"/>
  <c r="AF39" i="45" s="1"/>
  <c r="F30" i="48"/>
  <c r="AE9" i="45"/>
  <c r="AF9" i="45"/>
  <c r="AI9" i="45"/>
  <c r="AL9" i="45" s="1"/>
  <c r="AV45" i="11"/>
  <c r="AV50" i="11"/>
  <c r="W42" i="45"/>
  <c r="X47" i="45"/>
  <c r="AD30" i="45"/>
  <c r="AF30" i="45" s="1"/>
  <c r="AA27" i="45"/>
  <c r="AD27" i="45" s="1"/>
  <c r="AF27" i="45" s="1"/>
  <c r="AX102" i="11"/>
  <c r="AX107" i="11"/>
  <c r="AC46" i="45"/>
  <c r="BI46" i="45"/>
  <c r="Z102" i="11"/>
  <c r="AF102" i="11"/>
  <c r="AM102" i="11" s="1"/>
  <c r="S102" i="11"/>
  <c r="U102" i="11" s="1"/>
  <c r="D104" i="48"/>
  <c r="W46" i="45"/>
  <c r="AA47" i="45"/>
  <c r="AD47" i="45" s="1"/>
  <c r="AF47" i="45" s="1"/>
  <c r="AV102" i="11"/>
  <c r="AA102" i="11"/>
  <c r="T102" i="11"/>
  <c r="V102" i="11" s="1"/>
  <c r="AC107" i="11"/>
  <c r="AA34" i="45"/>
  <c r="AD34" i="45" s="1"/>
  <c r="AF34" i="45" s="1"/>
  <c r="D88" i="48"/>
  <c r="AW164" i="11"/>
  <c r="AX164" i="11"/>
  <c r="BA46" i="45"/>
  <c r="AK46" i="45"/>
  <c r="AA107" i="11"/>
  <c r="S107" i="11"/>
  <c r="U107" i="11" s="1"/>
  <c r="AB107" i="11"/>
  <c r="T107" i="11"/>
  <c r="V107" i="11" s="1"/>
  <c r="X107" i="11"/>
  <c r="AF107" i="11"/>
  <c r="AM107" i="11" s="1"/>
  <c r="AS46" i="45"/>
  <c r="BQ46" i="45"/>
  <c r="AA28" i="45"/>
  <c r="AD28" i="45" s="1"/>
  <c r="AF28" i="45" s="1"/>
  <c r="W28" i="45"/>
  <c r="D68" i="48" s="1"/>
  <c r="W43" i="45"/>
  <c r="AA43" i="45"/>
  <c r="AD43" i="45" s="1"/>
  <c r="D98" i="48"/>
  <c r="X43" i="45"/>
  <c r="AA46" i="45"/>
  <c r="X46" i="45"/>
  <c r="F52" i="48"/>
  <c r="AM20" i="45"/>
  <c r="AQ20" i="45"/>
  <c r="AT20" i="45" s="1"/>
  <c r="AN20" i="45"/>
  <c r="AD38" i="96" l="1"/>
  <c r="X49" i="96"/>
  <c r="R27" i="96"/>
  <c r="R20" i="96"/>
  <c r="AD41" i="96"/>
  <c r="U38" i="96"/>
  <c r="AA49" i="96"/>
  <c r="AA12" i="96"/>
  <c r="U12" i="96"/>
  <c r="U29" i="96"/>
  <c r="X45" i="96"/>
  <c r="R30" i="96"/>
  <c r="X46" i="96"/>
  <c r="AD32" i="96"/>
  <c r="R32" i="96"/>
  <c r="R44" i="96"/>
  <c r="AA39" i="96"/>
  <c r="AD20" i="96"/>
  <c r="AE38" i="45"/>
  <c r="F88" i="48" s="1"/>
  <c r="U39" i="96"/>
  <c r="X40" i="96"/>
  <c r="R38" i="96"/>
  <c r="AD12" i="96"/>
  <c r="R12" i="96"/>
  <c r="R41" i="96"/>
  <c r="U46" i="96"/>
  <c r="X32" i="96"/>
  <c r="U36" i="96"/>
  <c r="AA44" i="96"/>
  <c r="X39" i="96"/>
  <c r="AA20" i="96"/>
  <c r="R40" i="96"/>
  <c r="X29" i="96"/>
  <c r="U41" i="96"/>
  <c r="AD30" i="96"/>
  <c r="AA36" i="96"/>
  <c r="AD44" i="96"/>
  <c r="U20" i="96"/>
  <c r="AA40" i="96"/>
  <c r="X27" i="96"/>
  <c r="M43" i="96"/>
  <c r="O43" i="96" s="1"/>
  <c r="Q43" i="96"/>
  <c r="T43" i="96"/>
  <c r="W43" i="96"/>
  <c r="Z43" i="96"/>
  <c r="AC43" i="96"/>
  <c r="AF43" i="96"/>
  <c r="AG43" i="96" s="1"/>
  <c r="M48" i="96"/>
  <c r="O48" i="96" s="1"/>
  <c r="Q48" i="96"/>
  <c r="Z48" i="96"/>
  <c r="T48" i="96"/>
  <c r="W48" i="96"/>
  <c r="AC48" i="96"/>
  <c r="AF48" i="96"/>
  <c r="AG48" i="96" s="1"/>
  <c r="AA29" i="96"/>
  <c r="AA45" i="96"/>
  <c r="U30" i="96"/>
  <c r="AA38" i="96"/>
  <c r="AD49" i="96"/>
  <c r="U49" i="96"/>
  <c r="X12" i="96"/>
  <c r="AD29" i="96"/>
  <c r="R29" i="96"/>
  <c r="AD45" i="96"/>
  <c r="U45" i="96"/>
  <c r="AA41" i="96"/>
  <c r="X30" i="96"/>
  <c r="AA46" i="96"/>
  <c r="AA32" i="96"/>
  <c r="X36" i="96"/>
  <c r="U44" i="96"/>
  <c r="AA27" i="96"/>
  <c r="X38" i="96"/>
  <c r="R49" i="96"/>
  <c r="R45" i="96"/>
  <c r="X41" i="96"/>
  <c r="AA30" i="96"/>
  <c r="AD46" i="96"/>
  <c r="R46" i="96"/>
  <c r="U32" i="96"/>
  <c r="AD36" i="96"/>
  <c r="R36" i="96"/>
  <c r="X44" i="96"/>
  <c r="AD39" i="96"/>
  <c r="R39" i="96"/>
  <c r="X20" i="96"/>
  <c r="AD40" i="96"/>
  <c r="U40" i="96"/>
  <c r="AD27" i="96"/>
  <c r="U27" i="96"/>
  <c r="AI58" i="96"/>
  <c r="AK58" i="96" s="1"/>
  <c r="AI51" i="96"/>
  <c r="AK51" i="96" s="1"/>
  <c r="AI54" i="96"/>
  <c r="AK54" i="96" s="1"/>
  <c r="AI56" i="96"/>
  <c r="AK56" i="96" s="1"/>
  <c r="AI52" i="96"/>
  <c r="AK52" i="96" s="1"/>
  <c r="AI57" i="96"/>
  <c r="AK57" i="96" s="1"/>
  <c r="AI53" i="96"/>
  <c r="AK53" i="96" s="1"/>
  <c r="AI55" i="96"/>
  <c r="AK55" i="96" s="1"/>
  <c r="AM46" i="96"/>
  <c r="AI47" i="96"/>
  <c r="AJ47" i="96" s="1"/>
  <c r="AI43" i="96"/>
  <c r="AJ43" i="96" s="1"/>
  <c r="AI39" i="96"/>
  <c r="AJ39" i="96" s="1"/>
  <c r="AI35" i="96"/>
  <c r="AJ35" i="96" s="1"/>
  <c r="AI31" i="96"/>
  <c r="AJ31" i="96" s="1"/>
  <c r="AI27" i="96"/>
  <c r="AJ27" i="96" s="1"/>
  <c r="AI23" i="96"/>
  <c r="AJ23" i="96" s="1"/>
  <c r="AI19" i="96"/>
  <c r="AJ19" i="96" s="1"/>
  <c r="AI15" i="96"/>
  <c r="AJ15" i="96" s="1"/>
  <c r="AI11" i="96"/>
  <c r="AJ11" i="96" s="1"/>
  <c r="AI48" i="96"/>
  <c r="AJ48" i="96" s="1"/>
  <c r="AI44" i="96"/>
  <c r="AJ44" i="96" s="1"/>
  <c r="AI40" i="96"/>
  <c r="AJ40" i="96" s="1"/>
  <c r="AI36" i="96"/>
  <c r="AJ36" i="96" s="1"/>
  <c r="AI32" i="96"/>
  <c r="AJ32" i="96" s="1"/>
  <c r="AI28" i="96"/>
  <c r="AJ28" i="96" s="1"/>
  <c r="AI24" i="96"/>
  <c r="AJ24" i="96" s="1"/>
  <c r="AI20" i="96"/>
  <c r="AJ20" i="96" s="1"/>
  <c r="AI16" i="96"/>
  <c r="AJ16" i="96" s="1"/>
  <c r="AI12" i="96"/>
  <c r="AJ12" i="96" s="1"/>
  <c r="AI49" i="96"/>
  <c r="AJ49" i="96" s="1"/>
  <c r="AI45" i="96"/>
  <c r="AJ45" i="96" s="1"/>
  <c r="AI41" i="96"/>
  <c r="AJ41" i="96" s="1"/>
  <c r="AI37" i="96"/>
  <c r="AI33" i="96"/>
  <c r="AJ33" i="96" s="1"/>
  <c r="AI29" i="96"/>
  <c r="AJ29" i="96" s="1"/>
  <c r="AI25" i="96"/>
  <c r="AJ25" i="96" s="1"/>
  <c r="AI21" i="96"/>
  <c r="AI17" i="96"/>
  <c r="AJ17" i="96" s="1"/>
  <c r="AI13" i="96"/>
  <c r="AJ13" i="96" s="1"/>
  <c r="AI9" i="96"/>
  <c r="AJ9" i="96" s="1"/>
  <c r="AI46" i="96"/>
  <c r="AJ46" i="96" s="1"/>
  <c r="AI42" i="96"/>
  <c r="AJ42" i="96" s="1"/>
  <c r="AI38" i="96"/>
  <c r="AJ38" i="96" s="1"/>
  <c r="AI34" i="96"/>
  <c r="AJ34" i="96" s="1"/>
  <c r="AI30" i="96"/>
  <c r="AJ30" i="96" s="1"/>
  <c r="AI26" i="96"/>
  <c r="AI22" i="96"/>
  <c r="AJ22" i="96" s="1"/>
  <c r="AI18" i="96"/>
  <c r="AJ18" i="96" s="1"/>
  <c r="AI14" i="96"/>
  <c r="AI10" i="96"/>
  <c r="AM42" i="96"/>
  <c r="AM26" i="96"/>
  <c r="AM10" i="96"/>
  <c r="AM35" i="96"/>
  <c r="AM19" i="96"/>
  <c r="AM44" i="96"/>
  <c r="AM28" i="96"/>
  <c r="AM12" i="96"/>
  <c r="AM37" i="96"/>
  <c r="AM21" i="96"/>
  <c r="AF42" i="45"/>
  <c r="AD46" i="45"/>
  <c r="AI46" i="45" s="1"/>
  <c r="AL46" i="45" s="1"/>
  <c r="AM46" i="45" s="1"/>
  <c r="AE37" i="45"/>
  <c r="F66" i="48"/>
  <c r="F72" i="48"/>
  <c r="AI38" i="45"/>
  <c r="AL38" i="45" s="1"/>
  <c r="AQ38" i="45" s="1"/>
  <c r="AT38" i="45" s="1"/>
  <c r="F84" i="48"/>
  <c r="W41" i="45"/>
  <c r="D94" i="48" s="1"/>
  <c r="AI47" i="45"/>
  <c r="AL47" i="45" s="1"/>
  <c r="H106" i="48" s="1"/>
  <c r="AF25" i="45"/>
  <c r="AE18" i="45"/>
  <c r="AE34" i="45"/>
  <c r="AI25" i="45"/>
  <c r="AL25" i="45" s="1"/>
  <c r="H62" i="48" s="1"/>
  <c r="AE39" i="45"/>
  <c r="F90" i="48" s="1"/>
  <c r="AI18" i="45"/>
  <c r="AL18" i="45" s="1"/>
  <c r="AN18" i="45" s="1"/>
  <c r="AE10" i="45"/>
  <c r="AE36" i="45"/>
  <c r="AI37" i="45"/>
  <c r="AL37" i="45" s="1"/>
  <c r="AN37" i="45" s="1"/>
  <c r="X41" i="45"/>
  <c r="AE30" i="45"/>
  <c r="F106" i="48"/>
  <c r="F96" i="48"/>
  <c r="AE27" i="45"/>
  <c r="AE25" i="45"/>
  <c r="F48" i="48"/>
  <c r="AF10" i="45"/>
  <c r="AE44" i="45"/>
  <c r="AI44" i="45"/>
  <c r="AL44" i="45" s="1"/>
  <c r="AN44" i="45" s="1"/>
  <c r="F100" i="48"/>
  <c r="AI27" i="45"/>
  <c r="AL27" i="45" s="1"/>
  <c r="H66" i="48" s="1"/>
  <c r="AI39" i="45"/>
  <c r="AL39" i="45" s="1"/>
  <c r="H90" i="48" s="1"/>
  <c r="AI36" i="45"/>
  <c r="AL36" i="45" s="1"/>
  <c r="AM36" i="45" s="1"/>
  <c r="AA41" i="45"/>
  <c r="AD41" i="45" s="1"/>
  <c r="AE41" i="45" s="1"/>
  <c r="AI30" i="45"/>
  <c r="AL30" i="45" s="1"/>
  <c r="H72" i="48" s="1"/>
  <c r="F80" i="48"/>
  <c r="AI42" i="45"/>
  <c r="AL42" i="45" s="1"/>
  <c r="AM42" i="45" s="1"/>
  <c r="H30" i="48"/>
  <c r="AQ9" i="45"/>
  <c r="AT9" i="45" s="1"/>
  <c r="AM9" i="45"/>
  <c r="AN9" i="45"/>
  <c r="AF37" i="45"/>
  <c r="F86" i="48" s="1"/>
  <c r="AF44" i="45"/>
  <c r="AE47" i="45"/>
  <c r="AI34" i="45"/>
  <c r="AL34" i="45" s="1"/>
  <c r="AN34" i="45" s="1"/>
  <c r="AI28" i="45"/>
  <c r="AL28" i="45" s="1"/>
  <c r="H68" i="48" s="1"/>
  <c r="AE28" i="45"/>
  <c r="F68" i="48"/>
  <c r="AF43" i="45"/>
  <c r="F98" i="48"/>
  <c r="AE43" i="45"/>
  <c r="AI43" i="45"/>
  <c r="AL43" i="45" s="1"/>
  <c r="H52" i="48"/>
  <c r="H32" i="48"/>
  <c r="AM10" i="45"/>
  <c r="AN10" i="45"/>
  <c r="AQ10" i="45"/>
  <c r="AT10" i="45" s="1"/>
  <c r="J52" i="48"/>
  <c r="AU20" i="45"/>
  <c r="AY20" i="45"/>
  <c r="BB20" i="45" s="1"/>
  <c r="AV20" i="45"/>
  <c r="AN38" i="45"/>
  <c r="AN27" i="45" l="1"/>
  <c r="AQ42" i="45"/>
  <c r="AT42" i="45" s="1"/>
  <c r="AV42" i="45" s="1"/>
  <c r="AE46" i="45"/>
  <c r="U48" i="96"/>
  <c r="AM28" i="45"/>
  <c r="AD48" i="96"/>
  <c r="X48" i="96"/>
  <c r="X43" i="96"/>
  <c r="R43" i="96"/>
  <c r="AF46" i="45"/>
  <c r="F104" i="48"/>
  <c r="R48" i="96"/>
  <c r="AA43" i="96"/>
  <c r="AA48" i="96"/>
  <c r="AD43" i="96"/>
  <c r="U43" i="96"/>
  <c r="AK31" i="96"/>
  <c r="AK15" i="96"/>
  <c r="AK42" i="96"/>
  <c r="AK35" i="96"/>
  <c r="AK33" i="96"/>
  <c r="AK17" i="96"/>
  <c r="AK34" i="96"/>
  <c r="AK16" i="96"/>
  <c r="AK47" i="96"/>
  <c r="AK18" i="96"/>
  <c r="AK9" i="96"/>
  <c r="AK23" i="96"/>
  <c r="AK25" i="96"/>
  <c r="AK24" i="96"/>
  <c r="AM17" i="96"/>
  <c r="AM33" i="96"/>
  <c r="AM49" i="96"/>
  <c r="AM24" i="96"/>
  <c r="AM40" i="96"/>
  <c r="AM15" i="96"/>
  <c r="AM31" i="96"/>
  <c r="AM47" i="96"/>
  <c r="AM22" i="96"/>
  <c r="AM38" i="96"/>
  <c r="AK28" i="96"/>
  <c r="AK13" i="96"/>
  <c r="AM13" i="96"/>
  <c r="AM29" i="96"/>
  <c r="AM45" i="96"/>
  <c r="AM20" i="96"/>
  <c r="AM36" i="96"/>
  <c r="AM11" i="96"/>
  <c r="AM27" i="96"/>
  <c r="AM43" i="96"/>
  <c r="AM18" i="96"/>
  <c r="AM34" i="96"/>
  <c r="AM7" i="96"/>
  <c r="AM9" i="96"/>
  <c r="AM25" i="96"/>
  <c r="AM41" i="96"/>
  <c r="AM16" i="96"/>
  <c r="AM32" i="96"/>
  <c r="AM48" i="96"/>
  <c r="AM23" i="96"/>
  <c r="AM39" i="96"/>
  <c r="AM14" i="96"/>
  <c r="AM30" i="96"/>
  <c r="AJ14" i="96"/>
  <c r="AK14" i="96" s="1"/>
  <c r="AJ37" i="96"/>
  <c r="AK37" i="96" s="1"/>
  <c r="AJ10" i="96"/>
  <c r="AK10" i="96" s="1"/>
  <c r="AJ26" i="96"/>
  <c r="AK26" i="96" s="1"/>
  <c r="AK19" i="96"/>
  <c r="AK21" i="96"/>
  <c r="AJ21" i="96"/>
  <c r="AN47" i="45"/>
  <c r="AM47" i="45"/>
  <c r="AM18" i="45"/>
  <c r="AQ25" i="45"/>
  <c r="AT25" i="45" s="1"/>
  <c r="AV25" i="45" s="1"/>
  <c r="AQ47" i="45"/>
  <c r="AT47" i="45" s="1"/>
  <c r="J106" i="48" s="1"/>
  <c r="AM39" i="45"/>
  <c r="AQ18" i="45"/>
  <c r="AT18" i="45" s="1"/>
  <c r="AU18" i="45" s="1"/>
  <c r="AN25" i="45"/>
  <c r="H80" i="48"/>
  <c r="AM30" i="45"/>
  <c r="H100" i="48"/>
  <c r="AM37" i="45"/>
  <c r="H84" i="48"/>
  <c r="H88" i="48"/>
  <c r="AN42" i="45"/>
  <c r="AN30" i="45"/>
  <c r="AM44" i="45"/>
  <c r="H86" i="48"/>
  <c r="AQ36" i="45"/>
  <c r="AT36" i="45" s="1"/>
  <c r="J84" i="48" s="1"/>
  <c r="AM38" i="45"/>
  <c r="AQ27" i="45"/>
  <c r="AT27" i="45" s="1"/>
  <c r="AU27" i="45" s="1"/>
  <c r="AI41" i="45"/>
  <c r="AL41" i="45" s="1"/>
  <c r="H94" i="48" s="1"/>
  <c r="H48" i="48"/>
  <c r="AM25" i="45"/>
  <c r="F32" i="48"/>
  <c r="H96" i="48"/>
  <c r="AQ30" i="45"/>
  <c r="AT30" i="45" s="1"/>
  <c r="J72" i="48" s="1"/>
  <c r="AQ44" i="45"/>
  <c r="AT44" i="45" s="1"/>
  <c r="J100" i="48" s="1"/>
  <c r="AQ37" i="45"/>
  <c r="AT37" i="45" s="1"/>
  <c r="AV37" i="45" s="1"/>
  <c r="AN36" i="45"/>
  <c r="AM27" i="45"/>
  <c r="F94" i="48"/>
  <c r="AN39" i="45"/>
  <c r="AF41" i="45"/>
  <c r="AQ39" i="45"/>
  <c r="AT39" i="45" s="1"/>
  <c r="J90" i="48" s="1"/>
  <c r="J30" i="48"/>
  <c r="AV9" i="45"/>
  <c r="AY9" i="45"/>
  <c r="BB9" i="45" s="1"/>
  <c r="AU9" i="45"/>
  <c r="AM34" i="45"/>
  <c r="AQ34" i="45"/>
  <c r="AT34" i="45" s="1"/>
  <c r="AU34" i="45" s="1"/>
  <c r="H104" i="48"/>
  <c r="AQ46" i="45"/>
  <c r="AT46" i="45" s="1"/>
  <c r="J104" i="48" s="1"/>
  <c r="AQ28" i="45"/>
  <c r="AT28" i="45" s="1"/>
  <c r="AV28" i="45" s="1"/>
  <c r="AN28" i="45"/>
  <c r="AN43" i="45"/>
  <c r="AQ43" i="45"/>
  <c r="AT43" i="45" s="1"/>
  <c r="H98" i="48"/>
  <c r="AM43" i="45"/>
  <c r="AN46" i="45"/>
  <c r="L52" i="48"/>
  <c r="BC20" i="45"/>
  <c r="BG20" i="45"/>
  <c r="BJ20" i="45" s="1"/>
  <c r="BD20" i="45"/>
  <c r="J32" i="48"/>
  <c r="AY10" i="45"/>
  <c r="BB10" i="45" s="1"/>
  <c r="AU10" i="45"/>
  <c r="AV10" i="45"/>
  <c r="J96" i="48"/>
  <c r="J48" i="48"/>
  <c r="J88" i="48"/>
  <c r="AV38" i="45"/>
  <c r="AY38" i="45"/>
  <c r="BB38" i="45" s="1"/>
  <c r="AU38" i="45"/>
  <c r="AU42" i="45" l="1"/>
  <c r="AY42" i="45"/>
  <c r="BB42" i="45" s="1"/>
  <c r="BD42" i="45" s="1"/>
  <c r="AV44" i="45"/>
  <c r="J62" i="48"/>
  <c r="AU25" i="45"/>
  <c r="AY18" i="45"/>
  <c r="BB18" i="45" s="1"/>
  <c r="BD18" i="45" s="1"/>
  <c r="AU47" i="45"/>
  <c r="AV27" i="45"/>
  <c r="AV47" i="45"/>
  <c r="AU37" i="45"/>
  <c r="J80" i="48"/>
  <c r="AP7" i="96"/>
  <c r="AO41" i="96" s="1"/>
  <c r="AL57" i="96"/>
  <c r="AN57" i="96" s="1"/>
  <c r="AL54" i="96"/>
  <c r="AN54" i="96" s="1"/>
  <c r="AL55" i="96"/>
  <c r="AN55" i="96" s="1"/>
  <c r="AL52" i="96"/>
  <c r="AN52" i="96" s="1"/>
  <c r="AL51" i="96"/>
  <c r="AN51" i="96" s="1"/>
  <c r="AL58" i="96"/>
  <c r="AN58" i="96" s="1"/>
  <c r="AL56" i="96"/>
  <c r="AN56" i="96" s="1"/>
  <c r="AL53" i="96"/>
  <c r="AN53" i="96" s="1"/>
  <c r="AL33" i="96"/>
  <c r="AN33" i="96" s="1"/>
  <c r="AL32" i="96"/>
  <c r="AP11" i="96"/>
  <c r="AP27" i="96"/>
  <c r="AP34" i="96"/>
  <c r="AP9" i="96"/>
  <c r="AP20" i="96"/>
  <c r="AP43" i="96"/>
  <c r="AP25" i="96"/>
  <c r="AP36" i="96"/>
  <c r="AP18" i="96"/>
  <c r="AL17" i="96"/>
  <c r="AN17" i="96" s="1"/>
  <c r="AL49" i="96"/>
  <c r="AL31" i="96"/>
  <c r="AN31" i="96" s="1"/>
  <c r="AP41" i="96"/>
  <c r="AL16" i="96"/>
  <c r="AN16" i="96" s="1"/>
  <c r="AL48" i="96"/>
  <c r="AL14" i="96"/>
  <c r="AN14" i="96" s="1"/>
  <c r="AL15" i="96"/>
  <c r="AN15" i="96" s="1"/>
  <c r="AL30" i="96"/>
  <c r="AL47" i="96"/>
  <c r="AN47" i="96" s="1"/>
  <c r="AP12" i="96"/>
  <c r="AP28" i="96"/>
  <c r="AP44" i="96"/>
  <c r="AP19" i="96"/>
  <c r="AP35" i="96"/>
  <c r="AP10" i="96"/>
  <c r="AP26" i="96"/>
  <c r="AP42" i="96"/>
  <c r="AP17" i="96"/>
  <c r="AP33" i="96"/>
  <c r="AP49" i="96"/>
  <c r="AL9" i="96"/>
  <c r="AN9" i="96" s="1"/>
  <c r="AL25" i="96"/>
  <c r="AL41" i="96"/>
  <c r="AL24" i="96"/>
  <c r="AN24" i="96" s="1"/>
  <c r="AL40" i="96"/>
  <c r="AL23" i="96"/>
  <c r="AN23" i="96" s="1"/>
  <c r="AL39" i="96"/>
  <c r="AL22" i="96"/>
  <c r="AL38" i="96"/>
  <c r="AP24" i="96"/>
  <c r="AP40" i="96"/>
  <c r="AP15" i="96"/>
  <c r="AP31" i="96"/>
  <c r="AP47" i="96"/>
  <c r="AP22" i="96"/>
  <c r="AP38" i="96"/>
  <c r="AP13" i="96"/>
  <c r="AP29" i="96"/>
  <c r="AP45" i="96"/>
  <c r="AL21" i="96"/>
  <c r="AN21" i="96" s="1"/>
  <c r="AL37" i="96"/>
  <c r="AN37" i="96" s="1"/>
  <c r="AL20" i="96"/>
  <c r="AL36" i="96"/>
  <c r="AL19" i="96"/>
  <c r="AN19" i="96" s="1"/>
  <c r="AL35" i="96"/>
  <c r="AN35" i="96" s="1"/>
  <c r="AL18" i="96"/>
  <c r="AN18" i="96" s="1"/>
  <c r="AL34" i="96"/>
  <c r="AN34" i="96" s="1"/>
  <c r="AP16" i="96"/>
  <c r="AP32" i="96"/>
  <c r="AP48" i="96"/>
  <c r="AP23" i="96"/>
  <c r="AP39" i="96"/>
  <c r="AP14" i="96"/>
  <c r="AP30" i="96"/>
  <c r="AP46" i="96"/>
  <c r="AP21" i="96"/>
  <c r="AP37" i="96"/>
  <c r="AL13" i="96"/>
  <c r="AN13" i="96" s="1"/>
  <c r="AL29" i="96"/>
  <c r="AL45" i="96"/>
  <c r="AL12" i="96"/>
  <c r="AL28" i="96"/>
  <c r="AN28" i="96" s="1"/>
  <c r="AL44" i="96"/>
  <c r="AL11" i="96"/>
  <c r="AL27" i="96"/>
  <c r="AL43" i="96"/>
  <c r="AL10" i="96"/>
  <c r="AN10" i="96" s="1"/>
  <c r="AL26" i="96"/>
  <c r="AN26" i="96" s="1"/>
  <c r="AL42" i="96"/>
  <c r="AN42" i="96" s="1"/>
  <c r="AN25" i="96"/>
  <c r="AL46" i="96"/>
  <c r="AO49" i="96"/>
  <c r="AS7" i="96"/>
  <c r="AS48" i="96"/>
  <c r="AS44" i="96"/>
  <c r="AS40" i="96"/>
  <c r="AS36" i="96"/>
  <c r="AS32" i="96"/>
  <c r="AS28" i="96"/>
  <c r="AS24" i="96"/>
  <c r="AS20" i="96"/>
  <c r="AS16" i="96"/>
  <c r="AS12" i="96"/>
  <c r="AS49" i="96"/>
  <c r="AS45" i="96"/>
  <c r="AS41" i="96"/>
  <c r="AS37" i="96"/>
  <c r="AS33" i="96"/>
  <c r="AS29" i="96"/>
  <c r="AS25" i="96"/>
  <c r="AS21" i="96"/>
  <c r="AS17" i="96"/>
  <c r="AS13" i="96"/>
  <c r="AS9" i="96"/>
  <c r="AS46" i="96"/>
  <c r="AS42" i="96"/>
  <c r="AS38" i="96"/>
  <c r="AS34" i="96"/>
  <c r="AS30" i="96"/>
  <c r="AS26" i="96"/>
  <c r="AS22" i="96"/>
  <c r="AS18" i="96"/>
  <c r="AS14" i="96"/>
  <c r="AS10" i="96"/>
  <c r="AS47" i="96"/>
  <c r="AS43" i="96"/>
  <c r="AS39" i="96"/>
  <c r="AS35" i="96"/>
  <c r="AS31" i="96"/>
  <c r="AS27" i="96"/>
  <c r="AS23" i="96"/>
  <c r="AS19" i="96"/>
  <c r="AS15" i="96"/>
  <c r="AS11" i="96"/>
  <c r="AY25" i="45"/>
  <c r="BB25" i="45" s="1"/>
  <c r="L62" i="48" s="1"/>
  <c r="AY27" i="45"/>
  <c r="BB27" i="45" s="1"/>
  <c r="BD27" i="45" s="1"/>
  <c r="AV36" i="45"/>
  <c r="AV18" i="45"/>
  <c r="AY47" i="45"/>
  <c r="BB47" i="45" s="1"/>
  <c r="BD47" i="45" s="1"/>
  <c r="AN41" i="45"/>
  <c r="AY36" i="45"/>
  <c r="BB36" i="45" s="1"/>
  <c r="BC36" i="45" s="1"/>
  <c r="AM41" i="45"/>
  <c r="AU44" i="45"/>
  <c r="AQ41" i="45"/>
  <c r="AT41" i="45" s="1"/>
  <c r="AV41" i="45" s="1"/>
  <c r="AY44" i="45"/>
  <c r="BB44" i="45" s="1"/>
  <c r="L100" i="48" s="1"/>
  <c r="J66" i="48"/>
  <c r="AU36" i="45"/>
  <c r="AY30" i="45"/>
  <c r="BB30" i="45" s="1"/>
  <c r="BD30" i="45" s="1"/>
  <c r="AY37" i="45"/>
  <c r="BB37" i="45" s="1"/>
  <c r="BD37" i="45" s="1"/>
  <c r="AV39" i="45"/>
  <c r="AV30" i="45"/>
  <c r="J86" i="48"/>
  <c r="AU39" i="45"/>
  <c r="AU30" i="45"/>
  <c r="AU46" i="45"/>
  <c r="AY39" i="45"/>
  <c r="BB39" i="45" s="1"/>
  <c r="BD39" i="45" s="1"/>
  <c r="AY28" i="45"/>
  <c r="BB28" i="45" s="1"/>
  <c r="BD28" i="45" s="1"/>
  <c r="J68" i="48"/>
  <c r="L30" i="48"/>
  <c r="BD9" i="45"/>
  <c r="BG9" i="45"/>
  <c r="BJ9" i="45" s="1"/>
  <c r="BC9" i="45"/>
  <c r="AV46" i="45"/>
  <c r="AV34" i="45"/>
  <c r="AY34" i="45"/>
  <c r="BB34" i="45" s="1"/>
  <c r="L80" i="48" s="1"/>
  <c r="AU28" i="45"/>
  <c r="AY46" i="45"/>
  <c r="BB46" i="45" s="1"/>
  <c r="L104" i="48" s="1"/>
  <c r="AV43" i="45"/>
  <c r="AU43" i="45"/>
  <c r="J98" i="48"/>
  <c r="AY43" i="45"/>
  <c r="BB43" i="45" s="1"/>
  <c r="N52" i="48"/>
  <c r="BO20" i="45"/>
  <c r="BR20" i="45" s="1"/>
  <c r="BL20" i="45"/>
  <c r="BK20" i="45"/>
  <c r="L32" i="48"/>
  <c r="BG10" i="45"/>
  <c r="BJ10" i="45" s="1"/>
  <c r="BC10" i="45"/>
  <c r="BD10" i="45"/>
  <c r="L66" i="48"/>
  <c r="L88" i="48"/>
  <c r="BD38" i="45"/>
  <c r="BG38" i="45"/>
  <c r="BJ38" i="45" s="1"/>
  <c r="BC38" i="45"/>
  <c r="L48" i="48"/>
  <c r="L106" i="48"/>
  <c r="L96" i="48"/>
  <c r="BC47" i="45" l="1"/>
  <c r="AO44" i="96"/>
  <c r="BC42" i="45"/>
  <c r="BG18" i="45"/>
  <c r="BJ18" i="45" s="1"/>
  <c r="BK18" i="45" s="1"/>
  <c r="BG42" i="45"/>
  <c r="BJ42" i="45" s="1"/>
  <c r="BL42" i="45" s="1"/>
  <c r="BC18" i="45"/>
  <c r="AO19" i="96"/>
  <c r="AQ19" i="96" s="1"/>
  <c r="BD25" i="45"/>
  <c r="AO42" i="96"/>
  <c r="AQ42" i="96" s="1"/>
  <c r="BG25" i="45"/>
  <c r="BJ25" i="45" s="1"/>
  <c r="AO26" i="96"/>
  <c r="AQ26" i="96" s="1"/>
  <c r="AU41" i="45"/>
  <c r="AO28" i="96"/>
  <c r="AQ28" i="96" s="1"/>
  <c r="AO10" i="96"/>
  <c r="AQ10" i="96" s="1"/>
  <c r="AO33" i="96"/>
  <c r="AQ33" i="96" s="1"/>
  <c r="AO12" i="96"/>
  <c r="AO35" i="96"/>
  <c r="AQ35" i="96" s="1"/>
  <c r="AO17" i="96"/>
  <c r="AO40" i="96"/>
  <c r="AO31" i="96"/>
  <c r="AQ31" i="96" s="1"/>
  <c r="AO38" i="96"/>
  <c r="AO29" i="96"/>
  <c r="AO45" i="96"/>
  <c r="AO16" i="96"/>
  <c r="AQ16" i="96" s="1"/>
  <c r="AO32" i="96"/>
  <c r="AO48" i="96"/>
  <c r="AO23" i="96"/>
  <c r="AQ23" i="96" s="1"/>
  <c r="AO39" i="96"/>
  <c r="AO14" i="96"/>
  <c r="AQ14" i="96" s="1"/>
  <c r="AO30" i="96"/>
  <c r="AO46" i="96"/>
  <c r="AO21" i="96"/>
  <c r="AQ21" i="96" s="1"/>
  <c r="AO37" i="96"/>
  <c r="AQ37" i="96" s="1"/>
  <c r="AO24" i="96"/>
  <c r="AQ24" i="96" s="1"/>
  <c r="AO47" i="96"/>
  <c r="AO15" i="96"/>
  <c r="AQ15" i="96" s="1"/>
  <c r="AO22" i="96"/>
  <c r="AO13" i="96"/>
  <c r="AQ13" i="96" s="1"/>
  <c r="AO20" i="96"/>
  <c r="AO36" i="96"/>
  <c r="AO11" i="96"/>
  <c r="AO27" i="96"/>
  <c r="AO43" i="96"/>
  <c r="AO18" i="96"/>
  <c r="AQ18" i="96" s="1"/>
  <c r="AO34" i="96"/>
  <c r="AQ34" i="96" s="1"/>
  <c r="AO9" i="96"/>
  <c r="AQ9" i="96" s="1"/>
  <c r="AO25" i="96"/>
  <c r="AQ25" i="96" s="1"/>
  <c r="BC30" i="45"/>
  <c r="BC27" i="45"/>
  <c r="BG47" i="45"/>
  <c r="BJ47" i="45" s="1"/>
  <c r="BK47" i="45" s="1"/>
  <c r="BC25" i="45"/>
  <c r="BC44" i="45"/>
  <c r="L84" i="48"/>
  <c r="AQ17" i="96"/>
  <c r="AQ47" i="96"/>
  <c r="AO57" i="96"/>
  <c r="AQ57" i="96" s="1"/>
  <c r="AO55" i="96"/>
  <c r="AQ55" i="96" s="1"/>
  <c r="AO51" i="96"/>
  <c r="AQ51" i="96" s="1"/>
  <c r="AO58" i="96"/>
  <c r="AQ58" i="96" s="1"/>
  <c r="AO53" i="96"/>
  <c r="AQ53" i="96" s="1"/>
  <c r="AO52" i="96"/>
  <c r="AQ52" i="96" s="1"/>
  <c r="AO56" i="96"/>
  <c r="AQ56" i="96" s="1"/>
  <c r="AO54" i="96"/>
  <c r="AQ54" i="96" s="1"/>
  <c r="AR56" i="96"/>
  <c r="AT56" i="96" s="1"/>
  <c r="AR53" i="96"/>
  <c r="AT53" i="96" s="1"/>
  <c r="AR58" i="96"/>
  <c r="AT58" i="96" s="1"/>
  <c r="AR54" i="96"/>
  <c r="AT54" i="96" s="1"/>
  <c r="AR57" i="96"/>
  <c r="AT57" i="96" s="1"/>
  <c r="AR55" i="96"/>
  <c r="AT55" i="96" s="1"/>
  <c r="AR51" i="96"/>
  <c r="AT51" i="96" s="1"/>
  <c r="AR52" i="96"/>
  <c r="AT52" i="96" s="1"/>
  <c r="AR48" i="96"/>
  <c r="AR44" i="96"/>
  <c r="AR40" i="96"/>
  <c r="AR36" i="96"/>
  <c r="AR32" i="96"/>
  <c r="AR28" i="96"/>
  <c r="AT28" i="96" s="1"/>
  <c r="AR24" i="96"/>
  <c r="AT24" i="96" s="1"/>
  <c r="AR20" i="96"/>
  <c r="AR16" i="96"/>
  <c r="AT16" i="96" s="1"/>
  <c r="AR12" i="96"/>
  <c r="AR49" i="96"/>
  <c r="AR45" i="96"/>
  <c r="AR41" i="96"/>
  <c r="AR37" i="96"/>
  <c r="AT37" i="96" s="1"/>
  <c r="AR33" i="96"/>
  <c r="AT33" i="96" s="1"/>
  <c r="AR29" i="96"/>
  <c r="AR25" i="96"/>
  <c r="AT25" i="96" s="1"/>
  <c r="AR21" i="96"/>
  <c r="AT21" i="96" s="1"/>
  <c r="AR17" i="96"/>
  <c r="AT17" i="96" s="1"/>
  <c r="AR13" i="96"/>
  <c r="AT13" i="96" s="1"/>
  <c r="AR9" i="96"/>
  <c r="AT9" i="96" s="1"/>
  <c r="AR46" i="96"/>
  <c r="AR42" i="96"/>
  <c r="AT42" i="96" s="1"/>
  <c r="AR38" i="96"/>
  <c r="AR34" i="96"/>
  <c r="AT34" i="96" s="1"/>
  <c r="AR30" i="96"/>
  <c r="AR26" i="96"/>
  <c r="AT26" i="96" s="1"/>
  <c r="AR22" i="96"/>
  <c r="AR18" i="96"/>
  <c r="AT18" i="96" s="1"/>
  <c r="AR14" i="96"/>
  <c r="AT14" i="96" s="1"/>
  <c r="AR10" i="96"/>
  <c r="AT10" i="96" s="1"/>
  <c r="AR47" i="96"/>
  <c r="AT47" i="96" s="1"/>
  <c r="AR43" i="96"/>
  <c r="AR39" i="96"/>
  <c r="AR35" i="96"/>
  <c r="AT35" i="96" s="1"/>
  <c r="AR31" i="96"/>
  <c r="AT31" i="96" s="1"/>
  <c r="AR27" i="96"/>
  <c r="AR23" i="96"/>
  <c r="AT23" i="96" s="1"/>
  <c r="AR19" i="96"/>
  <c r="AT19" i="96" s="1"/>
  <c r="AR15" i="96"/>
  <c r="AT15" i="96" s="1"/>
  <c r="AR11" i="96"/>
  <c r="AV7" i="96"/>
  <c r="AV47" i="96"/>
  <c r="AV43" i="96"/>
  <c r="AV39" i="96"/>
  <c r="AV35" i="96"/>
  <c r="AV31" i="96"/>
  <c r="AV27" i="96"/>
  <c r="AV23" i="96"/>
  <c r="AV19" i="96"/>
  <c r="AV15" i="96"/>
  <c r="AV11" i="96"/>
  <c r="AV48" i="96"/>
  <c r="AV44" i="96"/>
  <c r="AV40" i="96"/>
  <c r="AV36" i="96"/>
  <c r="AV32" i="96"/>
  <c r="AV28" i="96"/>
  <c r="AV24" i="96"/>
  <c r="AV20" i="96"/>
  <c r="AV16" i="96"/>
  <c r="AV12" i="96"/>
  <c r="AV49" i="96"/>
  <c r="AV45" i="96"/>
  <c r="AV41" i="96"/>
  <c r="AV37" i="96"/>
  <c r="AV33" i="96"/>
  <c r="AV29" i="96"/>
  <c r="AV25" i="96"/>
  <c r="AV21" i="96"/>
  <c r="AV17" i="96"/>
  <c r="AV13" i="96"/>
  <c r="AV9" i="96"/>
  <c r="AV46" i="96"/>
  <c r="AV42" i="96"/>
  <c r="AV38" i="96"/>
  <c r="AV34" i="96"/>
  <c r="AV30" i="96"/>
  <c r="AV26" i="96"/>
  <c r="AV22" i="96"/>
  <c r="AV18" i="96"/>
  <c r="AV14" i="96"/>
  <c r="AV10" i="96"/>
  <c r="J94" i="48"/>
  <c r="BG27" i="45"/>
  <c r="BJ27" i="45" s="1"/>
  <c r="BL27" i="45" s="1"/>
  <c r="BC37" i="45"/>
  <c r="BD36" i="45"/>
  <c r="BG36" i="45"/>
  <c r="BJ36" i="45" s="1"/>
  <c r="BO36" i="45" s="1"/>
  <c r="BR36" i="45" s="1"/>
  <c r="BD44" i="45"/>
  <c r="L86" i="48"/>
  <c r="L72" i="48"/>
  <c r="AY41" i="45"/>
  <c r="BB41" i="45" s="1"/>
  <c r="L94" i="48" s="1"/>
  <c r="BG44" i="45"/>
  <c r="BJ44" i="45" s="1"/>
  <c r="N100" i="48" s="1"/>
  <c r="BG37" i="45"/>
  <c r="BJ37" i="45" s="1"/>
  <c r="N86" i="48" s="1"/>
  <c r="BG28" i="45"/>
  <c r="BJ28" i="45" s="1"/>
  <c r="BL28" i="45" s="1"/>
  <c r="BG30" i="45"/>
  <c r="BJ30" i="45" s="1"/>
  <c r="BK30" i="45" s="1"/>
  <c r="BG39" i="45"/>
  <c r="BJ39" i="45" s="1"/>
  <c r="N90" i="48" s="1"/>
  <c r="L90" i="48"/>
  <c r="BC28" i="45"/>
  <c r="BC39" i="45"/>
  <c r="BG34" i="45"/>
  <c r="BJ34" i="45" s="1"/>
  <c r="BL34" i="45" s="1"/>
  <c r="L68" i="48"/>
  <c r="BG46" i="45"/>
  <c r="BJ46" i="45" s="1"/>
  <c r="N104" i="48" s="1"/>
  <c r="N30" i="48"/>
  <c r="BL9" i="45"/>
  <c r="BO9" i="45"/>
  <c r="BR9" i="45" s="1"/>
  <c r="BK9" i="45"/>
  <c r="BC34" i="45"/>
  <c r="BC46" i="45"/>
  <c r="BD34" i="45"/>
  <c r="BD46" i="45"/>
  <c r="BC43" i="45"/>
  <c r="BD43" i="45"/>
  <c r="L98" i="48"/>
  <c r="BG43" i="45"/>
  <c r="BJ43" i="45" s="1"/>
  <c r="N32" i="48"/>
  <c r="BK10" i="45"/>
  <c r="BL10" i="45"/>
  <c r="BO10" i="45"/>
  <c r="BR10" i="45" s="1"/>
  <c r="P52" i="48"/>
  <c r="BS20" i="45"/>
  <c r="BV20" i="45"/>
  <c r="BT20" i="45"/>
  <c r="BU20" i="45"/>
  <c r="BK34" i="45"/>
  <c r="N106" i="48"/>
  <c r="BO47" i="45"/>
  <c r="BR47" i="45" s="1"/>
  <c r="BL38" i="45"/>
  <c r="BO38" i="45"/>
  <c r="BR38" i="45" s="1"/>
  <c r="BU38" i="45" s="1"/>
  <c r="N88" i="48"/>
  <c r="BK38" i="45"/>
  <c r="N96" i="48"/>
  <c r="BO42" i="45"/>
  <c r="BR42" i="45" s="1"/>
  <c r="N48" i="48"/>
  <c r="N62" i="48"/>
  <c r="BK25" i="45"/>
  <c r="BL25" i="45"/>
  <c r="BO25" i="45"/>
  <c r="BR25" i="45" s="1"/>
  <c r="BK27" i="45"/>
  <c r="BL18" i="45" l="1"/>
  <c r="BO18" i="45"/>
  <c r="BR18" i="45" s="1"/>
  <c r="BK42" i="45"/>
  <c r="BK37" i="45"/>
  <c r="BL37" i="45"/>
  <c r="BL47" i="45"/>
  <c r="BO27" i="45"/>
  <c r="BR27" i="45" s="1"/>
  <c r="BK44" i="45"/>
  <c r="BL36" i="45"/>
  <c r="BG41" i="45"/>
  <c r="BJ41" i="45" s="1"/>
  <c r="BK41" i="45" s="1"/>
  <c r="M195" i="11"/>
  <c r="Q195" i="11" s="1"/>
  <c r="M138" i="11"/>
  <c r="M156" i="11"/>
  <c r="M213" i="11"/>
  <c r="Q213" i="11" s="1"/>
  <c r="N66" i="48"/>
  <c r="BL39" i="45"/>
  <c r="BK36" i="45"/>
  <c r="BC41" i="45"/>
  <c r="N84" i="48"/>
  <c r="BD41" i="45"/>
  <c r="N72" i="48"/>
  <c r="AU52" i="96"/>
  <c r="AW52" i="96" s="1"/>
  <c r="AU51" i="96"/>
  <c r="AW51" i="96" s="1"/>
  <c r="AU57" i="96"/>
  <c r="AW57" i="96" s="1"/>
  <c r="AU53" i="96"/>
  <c r="AW53" i="96" s="1"/>
  <c r="AU56" i="96"/>
  <c r="AW56" i="96" s="1"/>
  <c r="AU55" i="96"/>
  <c r="AW55" i="96" s="1"/>
  <c r="AU58" i="96"/>
  <c r="AW58" i="96" s="1"/>
  <c r="AU54" i="96"/>
  <c r="AW54" i="96" s="1"/>
  <c r="AU47" i="96"/>
  <c r="AW47" i="96" s="1"/>
  <c r="AU43" i="96"/>
  <c r="AU39" i="96"/>
  <c r="AU35" i="96"/>
  <c r="AW35" i="96" s="1"/>
  <c r="AU31" i="96"/>
  <c r="AW31" i="96" s="1"/>
  <c r="AU27" i="96"/>
  <c r="AU23" i="96"/>
  <c r="AW23" i="96" s="1"/>
  <c r="AU19" i="96"/>
  <c r="AW19" i="96" s="1"/>
  <c r="AU15" i="96"/>
  <c r="AW15" i="96" s="1"/>
  <c r="AU11" i="96"/>
  <c r="AU48" i="96"/>
  <c r="AU44" i="96"/>
  <c r="AU40" i="96"/>
  <c r="AU36" i="96"/>
  <c r="AU32" i="96"/>
  <c r="AU28" i="96"/>
  <c r="AU24" i="96"/>
  <c r="AW24" i="96" s="1"/>
  <c r="AU20" i="96"/>
  <c r="AU16" i="96"/>
  <c r="AW16" i="96" s="1"/>
  <c r="AU12" i="96"/>
  <c r="AU49" i="96"/>
  <c r="AU45" i="96"/>
  <c r="AU41" i="96"/>
  <c r="AU37" i="96"/>
  <c r="AW37" i="96" s="1"/>
  <c r="AU33" i="96"/>
  <c r="AW33" i="96" s="1"/>
  <c r="AU29" i="96"/>
  <c r="AU25" i="96"/>
  <c r="AW25" i="96" s="1"/>
  <c r="AU21" i="96"/>
  <c r="AW21" i="96" s="1"/>
  <c r="AU17" i="96"/>
  <c r="AW17" i="96" s="1"/>
  <c r="AU13" i="96"/>
  <c r="AW13" i="96" s="1"/>
  <c r="AU9" i="96"/>
  <c r="AW9" i="96" s="1"/>
  <c r="AU46" i="96"/>
  <c r="AU42" i="96"/>
  <c r="AW42" i="96" s="1"/>
  <c r="AU38" i="96"/>
  <c r="AU34" i="96"/>
  <c r="AW34" i="96" s="1"/>
  <c r="AU30" i="96"/>
  <c r="AU26" i="96"/>
  <c r="AW26" i="96" s="1"/>
  <c r="AU22" i="96"/>
  <c r="AU18" i="96"/>
  <c r="AW18" i="96" s="1"/>
  <c r="AU14" i="96"/>
  <c r="AW14" i="96" s="1"/>
  <c r="AU10" i="96"/>
  <c r="AW10" i="96" s="1"/>
  <c r="AY7" i="96"/>
  <c r="AY46" i="96"/>
  <c r="AY42" i="96"/>
  <c r="AY38" i="96"/>
  <c r="AY34" i="96"/>
  <c r="AY30" i="96"/>
  <c r="AY26" i="96"/>
  <c r="AY22" i="96"/>
  <c r="AY18" i="96"/>
  <c r="AY14" i="96"/>
  <c r="AY10" i="96"/>
  <c r="AY47" i="96"/>
  <c r="AY43" i="96"/>
  <c r="AY39" i="96"/>
  <c r="AY35" i="96"/>
  <c r="AY31" i="96"/>
  <c r="AY27" i="96"/>
  <c r="AY23" i="96"/>
  <c r="AY19" i="96"/>
  <c r="AY15" i="96"/>
  <c r="AY11" i="96"/>
  <c r="AY48" i="96"/>
  <c r="AY44" i="96"/>
  <c r="AY40" i="96"/>
  <c r="AY36" i="96"/>
  <c r="AY32" i="96"/>
  <c r="AY28" i="96"/>
  <c r="AY24" i="96"/>
  <c r="AY20" i="96"/>
  <c r="AY16" i="96"/>
  <c r="AY12" i="96"/>
  <c r="AY49" i="96"/>
  <c r="AY45" i="96"/>
  <c r="AY41" i="96"/>
  <c r="AY37" i="96"/>
  <c r="AY33" i="96"/>
  <c r="AY29" i="96"/>
  <c r="AY25" i="96"/>
  <c r="AY21" i="96"/>
  <c r="AY17" i="96"/>
  <c r="AY13" i="96"/>
  <c r="AY9" i="96"/>
  <c r="AW28" i="96"/>
  <c r="BL44" i="45"/>
  <c r="N68" i="48"/>
  <c r="BK28" i="45"/>
  <c r="BO39" i="45"/>
  <c r="BR39" i="45" s="1"/>
  <c r="BU39" i="45" s="1"/>
  <c r="BO28" i="45"/>
  <c r="BR28" i="45" s="1"/>
  <c r="BU28" i="45" s="1"/>
  <c r="BO44" i="45"/>
  <c r="BR44" i="45" s="1"/>
  <c r="P100" i="48" s="1"/>
  <c r="BK39" i="45"/>
  <c r="BO37" i="45"/>
  <c r="BR37" i="45" s="1"/>
  <c r="BS37" i="45" s="1"/>
  <c r="BL30" i="45"/>
  <c r="BO30" i="45"/>
  <c r="BR30" i="45" s="1"/>
  <c r="BV30" i="45" s="1"/>
  <c r="BL46" i="45"/>
  <c r="N80" i="48"/>
  <c r="BK46" i="45"/>
  <c r="BO34" i="45"/>
  <c r="BR34" i="45" s="1"/>
  <c r="BU34" i="45" s="1"/>
  <c r="BO46" i="45"/>
  <c r="BR46" i="45" s="1"/>
  <c r="BU46" i="45" s="1"/>
  <c r="P30" i="48"/>
  <c r="BT9" i="45"/>
  <c r="BU9" i="45"/>
  <c r="BV9" i="45"/>
  <c r="BS9" i="45"/>
  <c r="M42" i="11"/>
  <c r="BW38" i="45"/>
  <c r="BX38" i="45" s="1"/>
  <c r="N98" i="48"/>
  <c r="BO43" i="45"/>
  <c r="BR43" i="45" s="1"/>
  <c r="BU43" i="45" s="1"/>
  <c r="BL43" i="45"/>
  <c r="BK43" i="45"/>
  <c r="M24" i="11"/>
  <c r="BW20" i="45"/>
  <c r="BX20" i="45" s="1"/>
  <c r="BU10" i="45"/>
  <c r="BV10" i="45"/>
  <c r="BT10" i="45"/>
  <c r="P32" i="48"/>
  <c r="BS10" i="45"/>
  <c r="P90" i="48"/>
  <c r="BT27" i="45"/>
  <c r="P66" i="48"/>
  <c r="BS27" i="45"/>
  <c r="BV27" i="45"/>
  <c r="BU27" i="45"/>
  <c r="P84" i="48"/>
  <c r="BT36" i="45"/>
  <c r="BS36" i="45"/>
  <c r="BV36" i="45"/>
  <c r="BU36" i="45"/>
  <c r="P62" i="48"/>
  <c r="BV25" i="45"/>
  <c r="BT25" i="45"/>
  <c r="BS25" i="45"/>
  <c r="BU25" i="45"/>
  <c r="BS18" i="45"/>
  <c r="BT18" i="45"/>
  <c r="P48" i="48"/>
  <c r="BV18" i="45"/>
  <c r="BU18" i="45"/>
  <c r="BU37" i="45"/>
  <c r="BL41" i="45"/>
  <c r="N94" i="48"/>
  <c r="BO41" i="45"/>
  <c r="BR41" i="45" s="1"/>
  <c r="BS42" i="45"/>
  <c r="BT42" i="45"/>
  <c r="BV42" i="45"/>
  <c r="P96" i="48"/>
  <c r="BU42" i="45"/>
  <c r="BT38" i="45"/>
  <c r="P88" i="48"/>
  <c r="BV38" i="45"/>
  <c r="BS38" i="45"/>
  <c r="BS47" i="45"/>
  <c r="BV47" i="45"/>
  <c r="BT47" i="45"/>
  <c r="P106" i="48"/>
  <c r="BU47" i="45"/>
  <c r="BV37" i="45" l="1"/>
  <c r="BT37" i="45"/>
  <c r="BV28" i="45"/>
  <c r="BU30" i="45"/>
  <c r="M205" i="11" s="1"/>
  <c r="Q205" i="11" s="1"/>
  <c r="BV44" i="45"/>
  <c r="M136" i="11"/>
  <c r="M193" i="11"/>
  <c r="Q193" i="11" s="1"/>
  <c r="M145" i="11"/>
  <c r="M202" i="11"/>
  <c r="Q202" i="11" s="1"/>
  <c r="M161" i="11"/>
  <c r="M218" i="11"/>
  <c r="Q218" i="11" s="1"/>
  <c r="M32" i="11"/>
  <c r="Q32" i="11" s="1"/>
  <c r="M203" i="11"/>
  <c r="Q203" i="11" s="1"/>
  <c r="R203" i="11" s="1"/>
  <c r="X203" i="11" s="1"/>
  <c r="M146" i="11"/>
  <c r="M160" i="11"/>
  <c r="M217" i="11"/>
  <c r="Q217" i="11" s="1"/>
  <c r="M211" i="11"/>
  <c r="Q211" i="11" s="1"/>
  <c r="M154" i="11"/>
  <c r="M184" i="11"/>
  <c r="Q184" i="11" s="1"/>
  <c r="M127" i="11"/>
  <c r="M152" i="11"/>
  <c r="M209" i="11"/>
  <c r="Q209" i="11" s="1"/>
  <c r="O141" i="31" s="1"/>
  <c r="M165" i="11"/>
  <c r="M222" i="11"/>
  <c r="Q222" i="11" s="1"/>
  <c r="M128" i="11"/>
  <c r="M185" i="11"/>
  <c r="Q185" i="11" s="1"/>
  <c r="M164" i="11"/>
  <c r="M221" i="11"/>
  <c r="Q221" i="11" s="1"/>
  <c r="M155" i="11"/>
  <c r="M212" i="11"/>
  <c r="Q212" i="11" s="1"/>
  <c r="M143" i="11"/>
  <c r="M200" i="11"/>
  <c r="Q200" i="11" s="1"/>
  <c r="M157" i="11"/>
  <c r="Q157" i="11" s="1"/>
  <c r="M214" i="11"/>
  <c r="Q214" i="11" s="1"/>
  <c r="BS30" i="45"/>
  <c r="BT44" i="45"/>
  <c r="K45" i="68"/>
  <c r="Q138" i="11"/>
  <c r="R24" i="11" s="1"/>
  <c r="Y24" i="11" s="1"/>
  <c r="K26" i="68"/>
  <c r="Q156" i="11"/>
  <c r="R156" i="11" s="1"/>
  <c r="K44" i="68"/>
  <c r="AX51" i="96"/>
  <c r="AZ51" i="96" s="1"/>
  <c r="AX53" i="96"/>
  <c r="AZ53" i="96" s="1"/>
  <c r="AX52" i="96"/>
  <c r="AZ52" i="96" s="1"/>
  <c r="AX56" i="96"/>
  <c r="AZ56" i="96" s="1"/>
  <c r="AX58" i="96"/>
  <c r="AZ58" i="96" s="1"/>
  <c r="AX54" i="96"/>
  <c r="AZ54" i="96" s="1"/>
  <c r="AX57" i="96"/>
  <c r="AZ57" i="96" s="1"/>
  <c r="AX55" i="96"/>
  <c r="AZ55" i="96" s="1"/>
  <c r="AX46" i="96"/>
  <c r="AX42" i="96"/>
  <c r="AZ42" i="96" s="1"/>
  <c r="AX38" i="96"/>
  <c r="AX34" i="96"/>
  <c r="AZ34" i="96" s="1"/>
  <c r="AX30" i="96"/>
  <c r="AX26" i="96"/>
  <c r="AZ26" i="96" s="1"/>
  <c r="AX22" i="96"/>
  <c r="AX18" i="96"/>
  <c r="AX14" i="96"/>
  <c r="AZ14" i="96" s="1"/>
  <c r="AX10" i="96"/>
  <c r="AZ10" i="96" s="1"/>
  <c r="AX47" i="96"/>
  <c r="AZ47" i="96" s="1"/>
  <c r="AX43" i="96"/>
  <c r="AX39" i="96"/>
  <c r="AX35" i="96"/>
  <c r="AZ35" i="96" s="1"/>
  <c r="AX31" i="96"/>
  <c r="AZ31" i="96" s="1"/>
  <c r="AX27" i="96"/>
  <c r="AX23" i="96"/>
  <c r="AZ23" i="96" s="1"/>
  <c r="AX19" i="96"/>
  <c r="AZ19" i="96" s="1"/>
  <c r="AX15" i="96"/>
  <c r="AZ15" i="96" s="1"/>
  <c r="AX11" i="96"/>
  <c r="AX48" i="96"/>
  <c r="AX44" i="96"/>
  <c r="AX40" i="96"/>
  <c r="AX36" i="96"/>
  <c r="AX32" i="96"/>
  <c r="AX28" i="96"/>
  <c r="AZ28" i="96" s="1"/>
  <c r="AX24" i="96"/>
  <c r="AZ24" i="96" s="1"/>
  <c r="AX20" i="96"/>
  <c r="AX16" i="96"/>
  <c r="AZ16" i="96" s="1"/>
  <c r="AX12" i="96"/>
  <c r="AX49" i="96"/>
  <c r="AX45" i="96"/>
  <c r="AX41" i="96"/>
  <c r="AX37" i="96"/>
  <c r="AZ37" i="96" s="1"/>
  <c r="AX33" i="96"/>
  <c r="AZ33" i="96" s="1"/>
  <c r="AX29" i="96"/>
  <c r="AX25" i="96"/>
  <c r="AZ25" i="96" s="1"/>
  <c r="AX21" i="96"/>
  <c r="AZ21" i="96" s="1"/>
  <c r="AX17" i="96"/>
  <c r="AZ17" i="96" s="1"/>
  <c r="AX13" i="96"/>
  <c r="AZ13" i="96" s="1"/>
  <c r="AX9" i="96"/>
  <c r="AZ9" i="96" s="1"/>
  <c r="BB7" i="96"/>
  <c r="BB49" i="96"/>
  <c r="BB45" i="96"/>
  <c r="BB41" i="96"/>
  <c r="BB37" i="96"/>
  <c r="BB33" i="96"/>
  <c r="BB29" i="96"/>
  <c r="BB25" i="96"/>
  <c r="BB21" i="96"/>
  <c r="BB17" i="96"/>
  <c r="BB13" i="96"/>
  <c r="BB9" i="96"/>
  <c r="BB46" i="96"/>
  <c r="BB42" i="96"/>
  <c r="BB38" i="96"/>
  <c r="BB34" i="96"/>
  <c r="BB30" i="96"/>
  <c r="BB26" i="96"/>
  <c r="BB22" i="96"/>
  <c r="BB18" i="96"/>
  <c r="BB14" i="96"/>
  <c r="BB10" i="96"/>
  <c r="BB47" i="96"/>
  <c r="BB43" i="96"/>
  <c r="BB39" i="96"/>
  <c r="BB35" i="96"/>
  <c r="BB31" i="96"/>
  <c r="BB27" i="96"/>
  <c r="BB23" i="96"/>
  <c r="BB19" i="96"/>
  <c r="BB15" i="96"/>
  <c r="BB11" i="96"/>
  <c r="BB48" i="96"/>
  <c r="BB44" i="96"/>
  <c r="BB40" i="96"/>
  <c r="BB36" i="96"/>
  <c r="BB32" i="96"/>
  <c r="BB28" i="96"/>
  <c r="BB24" i="96"/>
  <c r="BB20" i="96"/>
  <c r="BB16" i="96"/>
  <c r="BB12" i="96"/>
  <c r="AZ18" i="96"/>
  <c r="P72" i="48"/>
  <c r="BU44" i="45"/>
  <c r="BX44" i="45" s="1"/>
  <c r="BS44" i="45"/>
  <c r="P86" i="48"/>
  <c r="BV39" i="45"/>
  <c r="M43" i="11"/>
  <c r="Q43" i="11" s="1"/>
  <c r="BT34" i="45"/>
  <c r="BT39" i="45"/>
  <c r="BS39" i="45"/>
  <c r="BW39" i="45"/>
  <c r="BX39" i="45" s="1"/>
  <c r="BZ39" i="45" s="1"/>
  <c r="BS28" i="45"/>
  <c r="P68" i="48"/>
  <c r="BT28" i="45"/>
  <c r="BW28" i="45"/>
  <c r="BX28" i="45" s="1"/>
  <c r="CA28" i="45" s="1"/>
  <c r="BS34" i="45"/>
  <c r="BT30" i="45"/>
  <c r="BV34" i="45"/>
  <c r="P80" i="48"/>
  <c r="BW34" i="45"/>
  <c r="BX34" i="45" s="1"/>
  <c r="M38" i="11"/>
  <c r="L459" i="8" s="1"/>
  <c r="O459" i="8" s="1"/>
  <c r="L36" i="96" s="1"/>
  <c r="N36" i="96" s="1"/>
  <c r="BS46" i="45"/>
  <c r="BV46" i="45"/>
  <c r="M50" i="11"/>
  <c r="Q50" i="11" s="1"/>
  <c r="P104" i="48"/>
  <c r="BT46" i="45"/>
  <c r="BW46" i="45"/>
  <c r="BX46" i="45"/>
  <c r="BY46" i="45" s="1"/>
  <c r="M13" i="11"/>
  <c r="BW9" i="45"/>
  <c r="BX9" i="45" s="1"/>
  <c r="BZ38" i="45"/>
  <c r="CB38" i="45"/>
  <c r="BY38" i="45"/>
  <c r="CA38" i="45"/>
  <c r="BX43" i="45"/>
  <c r="M47" i="11"/>
  <c r="BW43" i="45"/>
  <c r="L463" i="8"/>
  <c r="O463" i="8" s="1"/>
  <c r="L40" i="96" s="1"/>
  <c r="N40" i="96" s="1"/>
  <c r="P40" i="96" s="1"/>
  <c r="Q42" i="11"/>
  <c r="AK213" i="11"/>
  <c r="O147" i="31"/>
  <c r="S213" i="11"/>
  <c r="U213" i="11" s="1"/>
  <c r="AA213" i="11" s="1"/>
  <c r="O237" i="31"/>
  <c r="W213" i="11"/>
  <c r="R213" i="11"/>
  <c r="AJ213" i="11"/>
  <c r="BT43" i="45"/>
  <c r="BV43" i="45"/>
  <c r="BS43" i="45"/>
  <c r="P98" i="48"/>
  <c r="M14" i="11"/>
  <c r="BW10" i="45"/>
  <c r="BX10" i="45" s="1"/>
  <c r="O123" i="31"/>
  <c r="R195" i="11"/>
  <c r="W195" i="11"/>
  <c r="O213" i="31"/>
  <c r="S195" i="11"/>
  <c r="U195" i="11" s="1"/>
  <c r="CB20" i="45"/>
  <c r="CA20" i="45"/>
  <c r="BY20" i="45"/>
  <c r="BZ20" i="45"/>
  <c r="L445" i="8"/>
  <c r="O445" i="8" s="1"/>
  <c r="L22" i="96" s="1"/>
  <c r="N22" i="96" s="1"/>
  <c r="P22" i="96" s="1"/>
  <c r="Q24" i="11"/>
  <c r="BW30" i="45"/>
  <c r="BX30" i="45" s="1"/>
  <c r="BW42" i="45"/>
  <c r="M46" i="11"/>
  <c r="BX42" i="45"/>
  <c r="BV41" i="45"/>
  <c r="P94" i="48"/>
  <c r="BT41" i="45"/>
  <c r="BS41" i="45"/>
  <c r="BU41" i="45"/>
  <c r="BW37" i="45"/>
  <c r="BX37" i="45" s="1"/>
  <c r="M41" i="11"/>
  <c r="BW25" i="45"/>
  <c r="M29" i="11"/>
  <c r="BX25" i="45"/>
  <c r="BW27" i="45"/>
  <c r="BX27" i="45"/>
  <c r="M31" i="11"/>
  <c r="BW47" i="45"/>
  <c r="BX47" i="45"/>
  <c r="M51" i="11"/>
  <c r="BW18" i="45"/>
  <c r="M22" i="11"/>
  <c r="BX18" i="45"/>
  <c r="BW36" i="45"/>
  <c r="BX36" i="45" s="1"/>
  <c r="M40" i="11"/>
  <c r="R42" i="11" l="1"/>
  <c r="Y42" i="11" s="1"/>
  <c r="R99" i="11"/>
  <c r="Y99" i="11" s="1"/>
  <c r="AC213" i="11"/>
  <c r="AL213" i="11" s="1"/>
  <c r="O57" i="31"/>
  <c r="AD156" i="11"/>
  <c r="M34" i="11"/>
  <c r="Q34" i="11" s="1"/>
  <c r="S156" i="11"/>
  <c r="Q57" i="31" s="1"/>
  <c r="W156" i="11"/>
  <c r="U57" i="31" s="1"/>
  <c r="L453" i="8"/>
  <c r="O453" i="8" s="1"/>
  <c r="L30" i="96" s="1"/>
  <c r="N30" i="96" s="1"/>
  <c r="P30" i="96" s="1"/>
  <c r="CB39" i="45"/>
  <c r="W157" i="11" s="1"/>
  <c r="U59" i="31" s="1"/>
  <c r="O59" i="31"/>
  <c r="R43" i="11"/>
  <c r="Y43" i="11" s="1"/>
  <c r="U157" i="11"/>
  <c r="S59" i="31" s="1"/>
  <c r="R157" i="11"/>
  <c r="P59" i="31" s="1"/>
  <c r="S157" i="11"/>
  <c r="Q59" i="31" s="1"/>
  <c r="AD157" i="11"/>
  <c r="R100" i="11"/>
  <c r="Y100" i="11" s="1"/>
  <c r="W203" i="11"/>
  <c r="U133" i="31" s="1"/>
  <c r="M148" i="11"/>
  <c r="Q148" i="11" s="1"/>
  <c r="S148" i="11" s="1"/>
  <c r="Q45" i="31" s="1"/>
  <c r="O161" i="31"/>
  <c r="R221" i="11"/>
  <c r="P161" i="31" s="1"/>
  <c r="O251" i="31"/>
  <c r="W221" i="11"/>
  <c r="U161" i="31" s="1"/>
  <c r="U221" i="11"/>
  <c r="S251" i="31" s="1"/>
  <c r="AJ221" i="11"/>
  <c r="S221" i="11"/>
  <c r="Q251" i="31" s="1"/>
  <c r="Y221" i="11"/>
  <c r="W251" i="31" s="1"/>
  <c r="S214" i="11"/>
  <c r="Q239" i="31" s="1"/>
  <c r="AC214" i="11"/>
  <c r="AP214" i="11" s="1"/>
  <c r="AI239" i="31" s="1"/>
  <c r="AJ214" i="11"/>
  <c r="O239" i="31"/>
  <c r="U214" i="11"/>
  <c r="AA214" i="11" s="1"/>
  <c r="Y149" i="31" s="1"/>
  <c r="W214" i="11"/>
  <c r="U149" i="31" s="1"/>
  <c r="R214" i="11"/>
  <c r="P239" i="31" s="1"/>
  <c r="O149" i="31"/>
  <c r="M159" i="11"/>
  <c r="M216" i="11"/>
  <c r="Q216" i="11" s="1"/>
  <c r="BW44" i="45"/>
  <c r="M219" i="11"/>
  <c r="Q219" i="11" s="1"/>
  <c r="M162" i="11"/>
  <c r="S203" i="11"/>
  <c r="Q133" i="31" s="1"/>
  <c r="O133" i="31"/>
  <c r="CA34" i="45"/>
  <c r="CB34" i="45"/>
  <c r="BZ34" i="45"/>
  <c r="BY34" i="45"/>
  <c r="AD138" i="11"/>
  <c r="O223" i="31"/>
  <c r="R138" i="11"/>
  <c r="P33" i="31" s="1"/>
  <c r="AC195" i="11"/>
  <c r="AA213" i="31" s="1"/>
  <c r="S138" i="11"/>
  <c r="Q33" i="31" s="1"/>
  <c r="O33" i="31"/>
  <c r="X138" i="11"/>
  <c r="V33" i="31" s="1"/>
  <c r="R209" i="11"/>
  <c r="X209" i="11" s="1"/>
  <c r="V141" i="31" s="1"/>
  <c r="O231" i="31"/>
  <c r="Q145" i="11"/>
  <c r="AK202" i="11" s="1"/>
  <c r="K33" i="68"/>
  <c r="Q128" i="11"/>
  <c r="AD128" i="11" s="1"/>
  <c r="K16" i="68"/>
  <c r="Q127" i="11"/>
  <c r="K15" i="68"/>
  <c r="Q164" i="11"/>
  <c r="AA164" i="11" s="1"/>
  <c r="AO164" i="11" s="1"/>
  <c r="K52" i="68"/>
  <c r="K36" i="68"/>
  <c r="L45" i="68"/>
  <c r="Q154" i="11"/>
  <c r="O53" i="31" s="1"/>
  <c r="K42" i="68"/>
  <c r="Q165" i="11"/>
  <c r="AD165" i="11" s="1"/>
  <c r="AK165" i="11" s="1"/>
  <c r="K53" i="68"/>
  <c r="Q155" i="11"/>
  <c r="Y155" i="11" s="1"/>
  <c r="W55" i="31" s="1"/>
  <c r="K43" i="68"/>
  <c r="Q160" i="11"/>
  <c r="S160" i="11" s="1"/>
  <c r="K48" i="68"/>
  <c r="L44" i="68"/>
  <c r="Q152" i="11"/>
  <c r="R152" i="11" s="1"/>
  <c r="T152" i="11" s="1"/>
  <c r="K40" i="68"/>
  <c r="Q136" i="11"/>
  <c r="AA136" i="11" s="1"/>
  <c r="K24" i="68"/>
  <c r="Q143" i="11"/>
  <c r="U143" i="11" s="1"/>
  <c r="K31" i="68"/>
  <c r="Q161" i="11"/>
  <c r="R161" i="11" s="1"/>
  <c r="K49" i="68"/>
  <c r="Q146" i="11"/>
  <c r="O43" i="31" s="1"/>
  <c r="K34" i="68"/>
  <c r="BA58" i="96"/>
  <c r="BC58" i="96" s="1"/>
  <c r="BA51" i="96"/>
  <c r="BC51" i="96" s="1"/>
  <c r="BA57" i="96"/>
  <c r="BC57" i="96" s="1"/>
  <c r="BA52" i="96"/>
  <c r="BC52" i="96" s="1"/>
  <c r="BA53" i="96"/>
  <c r="BC53" i="96" s="1"/>
  <c r="BA54" i="96"/>
  <c r="BC54" i="96" s="1"/>
  <c r="BA55" i="96"/>
  <c r="BC55" i="96" s="1"/>
  <c r="BA56" i="96"/>
  <c r="BC56" i="96" s="1"/>
  <c r="BA49" i="96"/>
  <c r="BA45" i="96"/>
  <c r="BA41" i="96"/>
  <c r="BA37" i="96"/>
  <c r="BC37" i="96" s="1"/>
  <c r="BA33" i="96"/>
  <c r="BC33" i="96" s="1"/>
  <c r="BA29" i="96"/>
  <c r="BA25" i="96"/>
  <c r="BC25" i="96" s="1"/>
  <c r="BA21" i="96"/>
  <c r="BC21" i="96" s="1"/>
  <c r="BA17" i="96"/>
  <c r="BC17" i="96" s="1"/>
  <c r="BA13" i="96"/>
  <c r="BC13" i="96" s="1"/>
  <c r="BA9" i="96"/>
  <c r="BC9" i="96" s="1"/>
  <c r="BA46" i="96"/>
  <c r="BA42" i="96"/>
  <c r="BC42" i="96" s="1"/>
  <c r="BA38" i="96"/>
  <c r="BA34" i="96"/>
  <c r="BC34" i="96" s="1"/>
  <c r="BA30" i="96"/>
  <c r="BA26" i="96"/>
  <c r="BC26" i="96" s="1"/>
  <c r="BA22" i="96"/>
  <c r="BC22" i="96" s="1"/>
  <c r="BA18" i="96"/>
  <c r="BC18" i="96" s="1"/>
  <c r="BA14" i="96"/>
  <c r="BC14" i="96" s="1"/>
  <c r="BA10" i="96"/>
  <c r="BC10" i="96" s="1"/>
  <c r="BA47" i="96"/>
  <c r="BC47" i="96" s="1"/>
  <c r="BA43" i="96"/>
  <c r="BA39" i="96"/>
  <c r="BA35" i="96"/>
  <c r="BC35" i="96" s="1"/>
  <c r="BA31" i="96"/>
  <c r="BC31" i="96" s="1"/>
  <c r="BA27" i="96"/>
  <c r="BA23" i="96"/>
  <c r="BC23" i="96" s="1"/>
  <c r="BA19" i="96"/>
  <c r="BC19" i="96" s="1"/>
  <c r="BA15" i="96"/>
  <c r="BC15" i="96" s="1"/>
  <c r="BA11" i="96"/>
  <c r="BA48" i="96"/>
  <c r="BA44" i="96"/>
  <c r="BA40" i="96"/>
  <c r="BC40" i="96" s="1"/>
  <c r="BA36" i="96"/>
  <c r="BC36" i="96" s="1"/>
  <c r="BA32" i="96"/>
  <c r="BA28" i="96"/>
  <c r="BC28" i="96" s="1"/>
  <c r="BA24" i="96"/>
  <c r="BC24" i="96" s="1"/>
  <c r="BA20" i="96"/>
  <c r="BA16" i="96"/>
  <c r="BC16" i="96" s="1"/>
  <c r="BA12" i="96"/>
  <c r="AW36" i="96"/>
  <c r="P36" i="96"/>
  <c r="S40" i="96"/>
  <c r="V40" i="96"/>
  <c r="Y40" i="96"/>
  <c r="AB40" i="96"/>
  <c r="AE40" i="96"/>
  <c r="AH40" i="96"/>
  <c r="AK40" i="96"/>
  <c r="AN40" i="96"/>
  <c r="AQ40" i="96"/>
  <c r="AT40" i="96"/>
  <c r="AW40" i="96"/>
  <c r="AZ36" i="96"/>
  <c r="S22" i="96"/>
  <c r="V22" i="96"/>
  <c r="AB22" i="96"/>
  <c r="Y22" i="96"/>
  <c r="AE22" i="96"/>
  <c r="AH22" i="96"/>
  <c r="AK22" i="96"/>
  <c r="AN22" i="96"/>
  <c r="AQ22" i="96"/>
  <c r="AT22" i="96"/>
  <c r="AB30" i="96"/>
  <c r="AN30" i="96"/>
  <c r="AW22" i="96"/>
  <c r="S36" i="96"/>
  <c r="V36" i="96"/>
  <c r="AB36" i="96"/>
  <c r="Y36" i="96"/>
  <c r="AE36" i="96"/>
  <c r="AH36" i="96"/>
  <c r="AK36" i="96"/>
  <c r="AN36" i="96"/>
  <c r="AQ36" i="96"/>
  <c r="AT36" i="96"/>
  <c r="AZ40" i="96"/>
  <c r="AZ22" i="96"/>
  <c r="BE7" i="96"/>
  <c r="BE48" i="96"/>
  <c r="BE44" i="96"/>
  <c r="BE40" i="96"/>
  <c r="BE36" i="96"/>
  <c r="BE32" i="96"/>
  <c r="BE28" i="96"/>
  <c r="BE24" i="96"/>
  <c r="BE20" i="96"/>
  <c r="BE16" i="96"/>
  <c r="BE12" i="96"/>
  <c r="BE49" i="96"/>
  <c r="BE45" i="96"/>
  <c r="BE41" i="96"/>
  <c r="BE37" i="96"/>
  <c r="BE33" i="96"/>
  <c r="BE29" i="96"/>
  <c r="BE25" i="96"/>
  <c r="BE21" i="96"/>
  <c r="BE17" i="96"/>
  <c r="BE13" i="96"/>
  <c r="BE9" i="96"/>
  <c r="BE46" i="96"/>
  <c r="BE42" i="96"/>
  <c r="BE38" i="96"/>
  <c r="BE34" i="96"/>
  <c r="BE30" i="96"/>
  <c r="BE26" i="96"/>
  <c r="BE22" i="96"/>
  <c r="BE18" i="96"/>
  <c r="BE14" i="96"/>
  <c r="BE10" i="96"/>
  <c r="BE47" i="96"/>
  <c r="BE43" i="96"/>
  <c r="BE39" i="96"/>
  <c r="BE35" i="96"/>
  <c r="BE31" i="96"/>
  <c r="BE27" i="96"/>
  <c r="BE23" i="96"/>
  <c r="BE19" i="96"/>
  <c r="BE15" i="96"/>
  <c r="BE11" i="96"/>
  <c r="Q445" i="8"/>
  <c r="L71" i="60" s="1"/>
  <c r="Q459" i="8"/>
  <c r="L85" i="60" s="1"/>
  <c r="N85" i="60" s="1"/>
  <c r="Q463" i="8"/>
  <c r="L89" i="60" s="1"/>
  <c r="M48" i="11"/>
  <c r="Q48" i="11" s="1"/>
  <c r="AJ209" i="11"/>
  <c r="S209" i="11"/>
  <c r="Y209" i="11" s="1"/>
  <c r="W231" i="31" s="1"/>
  <c r="W209" i="11"/>
  <c r="U231" i="31" s="1"/>
  <c r="Q38" i="11"/>
  <c r="AF38" i="11" s="1"/>
  <c r="CA46" i="45"/>
  <c r="L464" i="8"/>
  <c r="O464" i="8" s="1"/>
  <c r="L41" i="96" s="1"/>
  <c r="N41" i="96" s="1"/>
  <c r="P41" i="96" s="1"/>
  <c r="BY39" i="45"/>
  <c r="BY28" i="45"/>
  <c r="CA39" i="45"/>
  <c r="CB28" i="45"/>
  <c r="BO203" i="11" s="1"/>
  <c r="BZ28" i="45"/>
  <c r="L471" i="8"/>
  <c r="O471" i="8" s="1"/>
  <c r="L48" i="96" s="1"/>
  <c r="N48" i="96" s="1"/>
  <c r="BZ46" i="45"/>
  <c r="CB46" i="45"/>
  <c r="CC46" i="45" s="1"/>
  <c r="AJ184" i="11"/>
  <c r="O193" i="31"/>
  <c r="O103" i="31"/>
  <c r="S184" i="11"/>
  <c r="Y184" i="11" s="1"/>
  <c r="R184" i="11"/>
  <c r="X184" i="11" s="1"/>
  <c r="W184" i="11"/>
  <c r="BZ9" i="45"/>
  <c r="BY9" i="45"/>
  <c r="CA9" i="45"/>
  <c r="CB9" i="45"/>
  <c r="L434" i="8"/>
  <c r="O434" i="8" s="1"/>
  <c r="L11" i="96" s="1"/>
  <c r="N11" i="96" s="1"/>
  <c r="Q13" i="11"/>
  <c r="U156" i="11"/>
  <c r="AK214" i="11"/>
  <c r="AQ42" i="11"/>
  <c r="AJ156" i="11"/>
  <c r="AK156" i="11" s="1"/>
  <c r="BC213" i="11"/>
  <c r="AN42" i="11"/>
  <c r="AO42" i="11"/>
  <c r="BF213" i="11"/>
  <c r="AP42" i="11"/>
  <c r="BE213" i="11"/>
  <c r="AL156" i="11"/>
  <c r="AM156" i="11"/>
  <c r="BD213" i="11"/>
  <c r="BB213" i="11"/>
  <c r="AL42" i="11"/>
  <c r="Y156" i="11"/>
  <c r="W57" i="31" s="1"/>
  <c r="Y157" i="11"/>
  <c r="W59" i="31" s="1"/>
  <c r="X213" i="11"/>
  <c r="P147" i="31"/>
  <c r="AF213" i="11"/>
  <c r="AD237" i="31" s="1"/>
  <c r="P237" i="31"/>
  <c r="T213" i="11"/>
  <c r="S147" i="31"/>
  <c r="S237" i="31"/>
  <c r="AE213" i="11"/>
  <c r="AC237" i="31" s="1"/>
  <c r="AQ213" i="11"/>
  <c r="AJ237" i="31" s="1"/>
  <c r="AD213" i="11"/>
  <c r="AR213" i="11"/>
  <c r="AK237" i="31" s="1"/>
  <c r="X156" i="11"/>
  <c r="V57" i="31" s="1"/>
  <c r="T156" i="11"/>
  <c r="P57" i="31"/>
  <c r="X221" i="11"/>
  <c r="AA221" i="11"/>
  <c r="V223" i="31"/>
  <c r="V133" i="31"/>
  <c r="Y203" i="11"/>
  <c r="Q223" i="31"/>
  <c r="P133" i="31"/>
  <c r="P223" i="31"/>
  <c r="T203" i="11"/>
  <c r="BB209" i="11"/>
  <c r="BC209" i="11"/>
  <c r="AP40" i="73"/>
  <c r="AK211" i="73"/>
  <c r="AP38" i="11"/>
  <c r="BD209" i="11"/>
  <c r="AJ154" i="73"/>
  <c r="AK154" i="73" s="1"/>
  <c r="AN43" i="11"/>
  <c r="AL157" i="11"/>
  <c r="AM157" i="11"/>
  <c r="AL43" i="11"/>
  <c r="BC214" i="11"/>
  <c r="AO43" i="11"/>
  <c r="BE214" i="11"/>
  <c r="BB214" i="11"/>
  <c r="AP43" i="11"/>
  <c r="AJ157" i="11"/>
  <c r="BD214" i="11"/>
  <c r="U239" i="31"/>
  <c r="AT214" i="11"/>
  <c r="AM239" i="31" s="1"/>
  <c r="AR214" i="11"/>
  <c r="AK239" i="31" s="1"/>
  <c r="L468" i="8"/>
  <c r="O468" i="8" s="1"/>
  <c r="L45" i="96" s="1"/>
  <c r="N45" i="96" s="1"/>
  <c r="Q47" i="11"/>
  <c r="BY43" i="45"/>
  <c r="BZ43" i="45"/>
  <c r="CB43" i="45"/>
  <c r="CC43" i="45" s="1"/>
  <c r="CA43" i="45"/>
  <c r="Y237" i="31"/>
  <c r="Y147" i="31"/>
  <c r="U237" i="31"/>
  <c r="U147" i="31"/>
  <c r="Y213" i="11"/>
  <c r="Q237" i="31"/>
  <c r="Q147" i="31"/>
  <c r="Q161" i="31"/>
  <c r="X43" i="11"/>
  <c r="T43" i="11"/>
  <c r="AA43" i="11" s="1"/>
  <c r="AF43" i="11"/>
  <c r="V43" i="11"/>
  <c r="S43" i="11"/>
  <c r="U43" i="11" s="1"/>
  <c r="AB43" i="11" s="1"/>
  <c r="S32" i="11"/>
  <c r="U32" i="11" s="1"/>
  <c r="T32" i="11"/>
  <c r="AF32" i="11"/>
  <c r="AF42" i="11"/>
  <c r="X42" i="11"/>
  <c r="S42" i="11"/>
  <c r="U42" i="11" s="1"/>
  <c r="AB42" i="11" s="1"/>
  <c r="T42" i="11"/>
  <c r="AA42" i="11" s="1"/>
  <c r="X50" i="11"/>
  <c r="V50" i="11"/>
  <c r="AC50" i="11"/>
  <c r="AF50" i="11"/>
  <c r="AM50" i="11" s="1"/>
  <c r="T50" i="11"/>
  <c r="AA50" i="11" s="1"/>
  <c r="S50" i="11"/>
  <c r="U50" i="11" s="1"/>
  <c r="AB50" i="11" s="1"/>
  <c r="Z50" i="11"/>
  <c r="X214" i="11"/>
  <c r="S218" i="11"/>
  <c r="O243" i="31"/>
  <c r="U218" i="11"/>
  <c r="W218" i="11"/>
  <c r="R218" i="11"/>
  <c r="AJ218" i="11"/>
  <c r="O153" i="31"/>
  <c r="X218" i="11"/>
  <c r="AA218" i="11"/>
  <c r="Z218" i="11"/>
  <c r="AP44" i="73"/>
  <c r="AK215" i="73"/>
  <c r="AM215" i="73" s="1"/>
  <c r="AJ158" i="73"/>
  <c r="AK158" i="73" s="1"/>
  <c r="CC38" i="45"/>
  <c r="X157" i="11"/>
  <c r="V59" i="31" s="1"/>
  <c r="U203" i="11"/>
  <c r="Y214" i="11"/>
  <c r="U138" i="11"/>
  <c r="S33" i="31" s="1"/>
  <c r="Y138" i="11"/>
  <c r="W33" i="31" s="1"/>
  <c r="AJ195" i="11"/>
  <c r="BF195" i="11"/>
  <c r="BT195" i="11"/>
  <c r="AJ140" i="73"/>
  <c r="AK140" i="73" s="1"/>
  <c r="CC20" i="45"/>
  <c r="AA138" i="11" s="1"/>
  <c r="Y33" i="31" s="1"/>
  <c r="AP24" i="11"/>
  <c r="BO195" i="11"/>
  <c r="BC195" i="11"/>
  <c r="AL24" i="11"/>
  <c r="BP195" i="11"/>
  <c r="BE195" i="11"/>
  <c r="AJ138" i="11"/>
  <c r="AK197" i="73"/>
  <c r="AM197" i="73" s="1"/>
  <c r="AQ24" i="11"/>
  <c r="BB195" i="11"/>
  <c r="BQ195" i="11"/>
  <c r="AN24" i="11"/>
  <c r="AP26" i="73"/>
  <c r="AM138" i="11"/>
  <c r="AL138" i="11"/>
  <c r="BS195" i="11"/>
  <c r="BD195" i="11"/>
  <c r="AO24" i="11"/>
  <c r="AA195" i="11"/>
  <c r="S123" i="31"/>
  <c r="S213" i="31"/>
  <c r="U213" i="31"/>
  <c r="U123" i="31"/>
  <c r="L435" i="8"/>
  <c r="O435" i="8" s="1"/>
  <c r="L12" i="96" s="1"/>
  <c r="N12" i="96" s="1"/>
  <c r="P12" i="96" s="1"/>
  <c r="Q14" i="11"/>
  <c r="AK195" i="11"/>
  <c r="W138" i="11"/>
  <c r="X24" i="11"/>
  <c r="AF24" i="11"/>
  <c r="T24" i="11"/>
  <c r="AA24" i="11" s="1"/>
  <c r="S24" i="11"/>
  <c r="U24" i="11" s="1"/>
  <c r="AB24" i="11" s="1"/>
  <c r="V24" i="11"/>
  <c r="AC24" i="11" s="1"/>
  <c r="T138" i="11"/>
  <c r="Y195" i="11"/>
  <c r="Q123" i="31"/>
  <c r="Q213" i="31"/>
  <c r="X195" i="11"/>
  <c r="P123" i="31"/>
  <c r="AF195" i="11"/>
  <c r="AD213" i="31" s="1"/>
  <c r="P213" i="31"/>
  <c r="T195" i="11"/>
  <c r="CB10" i="45"/>
  <c r="CA10" i="45"/>
  <c r="BY10" i="45"/>
  <c r="BZ10" i="45"/>
  <c r="O195" i="31"/>
  <c r="R185" i="11"/>
  <c r="O105" i="31"/>
  <c r="S185" i="11"/>
  <c r="W185" i="11"/>
  <c r="U185" i="11"/>
  <c r="AA185" i="11" s="1"/>
  <c r="R81" i="11"/>
  <c r="Y81" i="11" s="1"/>
  <c r="BY36" i="45"/>
  <c r="CA36" i="45"/>
  <c r="BZ36" i="45"/>
  <c r="CB36" i="45"/>
  <c r="CA18" i="45"/>
  <c r="BY18" i="45"/>
  <c r="BZ18" i="45"/>
  <c r="CB18" i="45"/>
  <c r="CC18" i="45" s="1"/>
  <c r="BZ44" i="45"/>
  <c r="BY44" i="45"/>
  <c r="CA44" i="45"/>
  <c r="CB44" i="45"/>
  <c r="CC44" i="45" s="1"/>
  <c r="L472" i="8"/>
  <c r="O472" i="8" s="1"/>
  <c r="L49" i="96" s="1"/>
  <c r="N49" i="96" s="1"/>
  <c r="P49" i="96" s="1"/>
  <c r="Q51" i="11"/>
  <c r="AJ222" i="11"/>
  <c r="U222" i="11"/>
  <c r="S222" i="11"/>
  <c r="R222" i="11"/>
  <c r="AA222" i="11"/>
  <c r="Y222" i="11"/>
  <c r="O163" i="31"/>
  <c r="O253" i="31"/>
  <c r="W222" i="11"/>
  <c r="Z222" i="11"/>
  <c r="X222" i="11"/>
  <c r="CA27" i="45"/>
  <c r="BY27" i="45"/>
  <c r="BZ27" i="45"/>
  <c r="CB27" i="45"/>
  <c r="CC27" i="45" s="1"/>
  <c r="BY25" i="45"/>
  <c r="BZ25" i="45"/>
  <c r="CA25" i="45"/>
  <c r="CB25" i="45"/>
  <c r="CC25" i="45" s="1"/>
  <c r="CA37" i="45"/>
  <c r="BY37" i="45"/>
  <c r="BZ37" i="45"/>
  <c r="CB37" i="45"/>
  <c r="BW41" i="45"/>
  <c r="BX41" i="45" s="1"/>
  <c r="M45" i="11"/>
  <c r="L467" i="8"/>
  <c r="O467" i="8" s="1"/>
  <c r="L44" i="96" s="1"/>
  <c r="N44" i="96" s="1"/>
  <c r="P44" i="96" s="1"/>
  <c r="Q46" i="11"/>
  <c r="AJ217" i="11"/>
  <c r="Z217" i="11"/>
  <c r="U217" i="11"/>
  <c r="X217" i="11"/>
  <c r="W217" i="11"/>
  <c r="Y217" i="11"/>
  <c r="AA217" i="11"/>
  <c r="AM217" i="11" s="1"/>
  <c r="S217" i="11"/>
  <c r="R217" i="11"/>
  <c r="AJ205" i="11"/>
  <c r="O225" i="31"/>
  <c r="S205" i="11"/>
  <c r="U205" i="11" s="1"/>
  <c r="AA205" i="11" s="1"/>
  <c r="O135" i="31"/>
  <c r="W205" i="11"/>
  <c r="R205" i="11"/>
  <c r="X205" i="11" s="1"/>
  <c r="O119" i="31"/>
  <c r="W193" i="11"/>
  <c r="Y193" i="11"/>
  <c r="AJ193" i="11"/>
  <c r="O209" i="31"/>
  <c r="S193" i="11"/>
  <c r="U193" i="11" s="1"/>
  <c r="Z193" i="11"/>
  <c r="AA193" i="11"/>
  <c r="R193" i="11"/>
  <c r="X193" i="11"/>
  <c r="L461" i="8"/>
  <c r="O461" i="8" s="1"/>
  <c r="L38" i="96" s="1"/>
  <c r="N38" i="96" s="1"/>
  <c r="P38" i="96" s="1"/>
  <c r="Q40" i="11"/>
  <c r="O143" i="31"/>
  <c r="S211" i="11"/>
  <c r="U211" i="11" s="1"/>
  <c r="AA211" i="11" s="1"/>
  <c r="O233" i="31"/>
  <c r="W211" i="11"/>
  <c r="R211" i="11"/>
  <c r="X211" i="11" s="1"/>
  <c r="L443" i="8"/>
  <c r="O443" i="8" s="1"/>
  <c r="L20" i="96" s="1"/>
  <c r="N20" i="96" s="1"/>
  <c r="Q22" i="11"/>
  <c r="CA47" i="45"/>
  <c r="BZ47" i="45"/>
  <c r="BY47" i="45"/>
  <c r="CB47" i="45"/>
  <c r="CC47" i="45" s="1"/>
  <c r="S165" i="11"/>
  <c r="Q73" i="31" s="1"/>
  <c r="L452" i="8"/>
  <c r="O452" i="8" s="1"/>
  <c r="L29" i="96" s="1"/>
  <c r="N29" i="96" s="1"/>
  <c r="Q31" i="11"/>
  <c r="AJ202" i="11"/>
  <c r="AA202" i="11"/>
  <c r="AM202" i="11" s="1"/>
  <c r="S202" i="11"/>
  <c r="X202" i="11"/>
  <c r="Y202" i="11"/>
  <c r="W202" i="11"/>
  <c r="Z202" i="11"/>
  <c r="U202" i="11"/>
  <c r="R202" i="11"/>
  <c r="L450" i="8"/>
  <c r="O450" i="8" s="1"/>
  <c r="L27" i="96" s="1"/>
  <c r="N27" i="96" s="1"/>
  <c r="P27" i="96" s="1"/>
  <c r="Q29" i="11"/>
  <c r="X200" i="11"/>
  <c r="S200" i="11"/>
  <c r="W200" i="11"/>
  <c r="Z200" i="11"/>
  <c r="U200" i="11"/>
  <c r="AA200" i="11"/>
  <c r="AM200" i="11" s="1"/>
  <c r="AJ200" i="11"/>
  <c r="Y200" i="11"/>
  <c r="R200" i="11"/>
  <c r="L462" i="8"/>
  <c r="O462" i="8" s="1"/>
  <c r="L39" i="96" s="1"/>
  <c r="N39" i="96" s="1"/>
  <c r="P39" i="96" s="1"/>
  <c r="Q41" i="11"/>
  <c r="AJ212" i="11"/>
  <c r="Z212" i="11"/>
  <c r="O145" i="31"/>
  <c r="O235" i="31"/>
  <c r="W212" i="11"/>
  <c r="X212" i="11"/>
  <c r="Y212" i="11"/>
  <c r="R212" i="11"/>
  <c r="S212" i="11"/>
  <c r="U212" i="11" s="1"/>
  <c r="AA212" i="11"/>
  <c r="BZ42" i="45"/>
  <c r="BY42" i="45"/>
  <c r="CA42" i="45"/>
  <c r="CB42" i="45"/>
  <c r="CC42" i="45" s="1"/>
  <c r="U160" i="11"/>
  <c r="BZ30" i="45"/>
  <c r="BY30" i="45"/>
  <c r="CA30" i="45"/>
  <c r="CB30" i="45"/>
  <c r="R46" i="11" l="1"/>
  <c r="Y46" i="11" s="1"/>
  <c r="X160" i="11"/>
  <c r="Z165" i="11"/>
  <c r="AN165" i="11" s="1"/>
  <c r="R51" i="11"/>
  <c r="Y51" i="11" s="1"/>
  <c r="Z143" i="11"/>
  <c r="AN143" i="11" s="1"/>
  <c r="AS213" i="11"/>
  <c r="AL237" i="31" s="1"/>
  <c r="AO213" i="11"/>
  <c r="AH237" i="31" s="1"/>
  <c r="AA237" i="31"/>
  <c r="Y160" i="11"/>
  <c r="X165" i="11"/>
  <c r="V73" i="31" s="1"/>
  <c r="R160" i="11"/>
  <c r="T160" i="11" s="1"/>
  <c r="AK217" i="11"/>
  <c r="R165" i="11"/>
  <c r="AK222" i="11"/>
  <c r="S143" i="11"/>
  <c r="S149" i="31"/>
  <c r="Y239" i="31"/>
  <c r="AT213" i="11"/>
  <c r="AM237" i="31" s="1"/>
  <c r="AL214" i="11"/>
  <c r="AZ30" i="96"/>
  <c r="Y30" i="96"/>
  <c r="AA165" i="11"/>
  <c r="Y73" i="31" s="1"/>
  <c r="O73" i="31"/>
  <c r="W165" i="11"/>
  <c r="AC217" i="11"/>
  <c r="AO217" i="11" s="1"/>
  <c r="N48" i="68" s="1"/>
  <c r="AC222" i="11"/>
  <c r="AR222" i="11" s="1"/>
  <c r="AK253" i="31" s="1"/>
  <c r="R108" i="11"/>
  <c r="Y108" i="11" s="1"/>
  <c r="AD214" i="11"/>
  <c r="AE214" i="11"/>
  <c r="AC239" i="31" s="1"/>
  <c r="AA239" i="31"/>
  <c r="T221" i="11"/>
  <c r="R161" i="31" s="1"/>
  <c r="AT30" i="96"/>
  <c r="AH30" i="96"/>
  <c r="S30" i="96"/>
  <c r="AQ214" i="11"/>
  <c r="AJ239" i="31" s="1"/>
  <c r="AO214" i="11"/>
  <c r="P251" i="31"/>
  <c r="AK30" i="96"/>
  <c r="AD160" i="11"/>
  <c r="AK160" i="11" s="1"/>
  <c r="W160" i="11"/>
  <c r="L48" i="68" s="1"/>
  <c r="Z160" i="11"/>
  <c r="AN160" i="11" s="1"/>
  <c r="AA160" i="11"/>
  <c r="AO160" i="11" s="1"/>
  <c r="U165" i="11"/>
  <c r="S73" i="31" s="1"/>
  <c r="Y165" i="11"/>
  <c r="W73" i="31" s="1"/>
  <c r="R103" i="11"/>
  <c r="Y103" i="11" s="1"/>
  <c r="Q149" i="31"/>
  <c r="AS214" i="11"/>
  <c r="AL239" i="31" s="1"/>
  <c r="Q453" i="8"/>
  <c r="L79" i="60" s="1"/>
  <c r="N79" i="60" s="1"/>
  <c r="AW30" i="96"/>
  <c r="AQ30" i="96"/>
  <c r="AE30" i="96"/>
  <c r="V30" i="96"/>
  <c r="BC30" i="96"/>
  <c r="AA143" i="11"/>
  <c r="AO143" i="11" s="1"/>
  <c r="AD143" i="11"/>
  <c r="AK143" i="11" s="1"/>
  <c r="AK200" i="11"/>
  <c r="U146" i="11"/>
  <c r="AJ203" i="11" s="1"/>
  <c r="W161" i="31"/>
  <c r="R143" i="11"/>
  <c r="T143" i="11" s="1"/>
  <c r="X143" i="11"/>
  <c r="W143" i="11"/>
  <c r="L31" i="68" s="1"/>
  <c r="AC200" i="11"/>
  <c r="AR200" i="11" s="1"/>
  <c r="R29" i="11"/>
  <c r="Y29" i="11" s="1"/>
  <c r="Y143" i="11"/>
  <c r="P51" i="31"/>
  <c r="T157" i="11"/>
  <c r="R59" i="31" s="1"/>
  <c r="AC212" i="11"/>
  <c r="AA235" i="31" s="1"/>
  <c r="AP45" i="73"/>
  <c r="AD164" i="11"/>
  <c r="AK164" i="11" s="1"/>
  <c r="AF203" i="11"/>
  <c r="AD223" i="31" s="1"/>
  <c r="R38" i="11"/>
  <c r="Y38" i="11" s="1"/>
  <c r="AC185" i="11"/>
  <c r="AD185" i="11" s="1"/>
  <c r="O15" i="31"/>
  <c r="R107" i="11"/>
  <c r="Y107" i="11" s="1"/>
  <c r="AK221" i="11"/>
  <c r="AK211" i="11"/>
  <c r="R14" i="11"/>
  <c r="Y14" i="11" s="1"/>
  <c r="T214" i="11"/>
  <c r="R239" i="31" s="1"/>
  <c r="U251" i="31"/>
  <c r="X164" i="11"/>
  <c r="V71" i="31" s="1"/>
  <c r="U223" i="31"/>
  <c r="AF214" i="11"/>
  <c r="AD239" i="31" s="1"/>
  <c r="L455" i="8"/>
  <c r="O455" i="8" s="1"/>
  <c r="L32" i="96" s="1"/>
  <c r="N32" i="96" s="1"/>
  <c r="AB32" i="96" s="1"/>
  <c r="R128" i="11"/>
  <c r="P15" i="31" s="1"/>
  <c r="Y161" i="11"/>
  <c r="W63" i="31" s="1"/>
  <c r="AK216" i="73"/>
  <c r="U164" i="11"/>
  <c r="S71" i="31" s="1"/>
  <c r="W164" i="11"/>
  <c r="U71" i="31" s="1"/>
  <c r="S161" i="31"/>
  <c r="S128" i="11"/>
  <c r="Q15" i="31" s="1"/>
  <c r="P149" i="31"/>
  <c r="R50" i="11"/>
  <c r="Y50" i="11" s="1"/>
  <c r="S164" i="11"/>
  <c r="Q71" i="31" s="1"/>
  <c r="AC221" i="11"/>
  <c r="AP221" i="11" s="1"/>
  <c r="AI251" i="31" s="1"/>
  <c r="S239" i="31"/>
  <c r="AJ159" i="73"/>
  <c r="AK159" i="73" s="1"/>
  <c r="AF221" i="11"/>
  <c r="AD251" i="31" s="1"/>
  <c r="Y164" i="11"/>
  <c r="W71" i="31" s="1"/>
  <c r="Z164" i="11"/>
  <c r="X71" i="31" s="1"/>
  <c r="R89" i="11"/>
  <c r="Y89" i="11" s="1"/>
  <c r="S146" i="11"/>
  <c r="Q43" i="31" s="1"/>
  <c r="AD146" i="11"/>
  <c r="AJ148" i="73"/>
  <c r="AK148" i="73" s="1"/>
  <c r="AD152" i="11"/>
  <c r="AC203" i="11"/>
  <c r="AL203" i="11" s="1"/>
  <c r="AK205" i="73"/>
  <c r="AM205" i="73" s="1"/>
  <c r="AP34" i="73"/>
  <c r="AK157" i="11"/>
  <c r="X219" i="11"/>
  <c r="V159" i="31" s="1"/>
  <c r="O249" i="31"/>
  <c r="AJ157" i="73"/>
  <c r="AK157" i="73" s="1"/>
  <c r="AP43" i="73"/>
  <c r="AK214" i="73"/>
  <c r="AJ129" i="73"/>
  <c r="AK129" i="73" s="1"/>
  <c r="AP15" i="73"/>
  <c r="AK186" i="73"/>
  <c r="CC37" i="45"/>
  <c r="Q231" i="31"/>
  <c r="AL195" i="11"/>
  <c r="AF209" i="11"/>
  <c r="AD231" i="31" s="1"/>
  <c r="W141" i="31"/>
  <c r="BF209" i="11"/>
  <c r="Y205" i="11"/>
  <c r="W225" i="31" s="1"/>
  <c r="AA219" i="11"/>
  <c r="AM219" i="11" s="1"/>
  <c r="AJ152" i="11"/>
  <c r="AN38" i="11"/>
  <c r="BE209" i="11"/>
  <c r="AL38" i="11"/>
  <c r="X38" i="11"/>
  <c r="AM38" i="11" s="1"/>
  <c r="CC34" i="45"/>
  <c r="AQ38" i="11"/>
  <c r="AO38" i="11"/>
  <c r="AK209" i="11"/>
  <c r="X152" i="11"/>
  <c r="V51" i="31" s="1"/>
  <c r="O159" i="31"/>
  <c r="AM152" i="11"/>
  <c r="AL152" i="11"/>
  <c r="CC30" i="45"/>
  <c r="BE205" i="11"/>
  <c r="AM148" i="11"/>
  <c r="BD205" i="11"/>
  <c r="AN34" i="11"/>
  <c r="AQ34" i="11"/>
  <c r="AP34" i="11"/>
  <c r="AL148" i="11"/>
  <c r="BB205" i="11"/>
  <c r="BC205" i="11"/>
  <c r="AO34" i="11"/>
  <c r="BF205" i="11"/>
  <c r="AJ148" i="11"/>
  <c r="AL34" i="11"/>
  <c r="CC9" i="45"/>
  <c r="AL127" i="11"/>
  <c r="BC184" i="11"/>
  <c r="AP13" i="11"/>
  <c r="AN13" i="11"/>
  <c r="AM127" i="11"/>
  <c r="BD184" i="11"/>
  <c r="AO13" i="11"/>
  <c r="AQ13" i="11"/>
  <c r="BB184" i="11"/>
  <c r="BF184" i="11"/>
  <c r="AJ127" i="11"/>
  <c r="BE184" i="11"/>
  <c r="AL13" i="11"/>
  <c r="AK205" i="11"/>
  <c r="AN71" i="11"/>
  <c r="AO71" i="11"/>
  <c r="AL71" i="11"/>
  <c r="AQ71" i="11"/>
  <c r="AP71" i="11"/>
  <c r="Z71" i="11"/>
  <c r="AB71" i="11"/>
  <c r="AA71" i="11"/>
  <c r="X71" i="11"/>
  <c r="S219" i="11"/>
  <c r="Q249" i="31" s="1"/>
  <c r="U219" i="11"/>
  <c r="S249" i="31" s="1"/>
  <c r="Y128" i="11"/>
  <c r="W15" i="31" s="1"/>
  <c r="L469" i="8"/>
  <c r="O469" i="8" s="1"/>
  <c r="L46" i="96" s="1"/>
  <c r="N46" i="96" s="1"/>
  <c r="P46" i="96" s="1"/>
  <c r="Z219" i="11"/>
  <c r="X249" i="31" s="1"/>
  <c r="Y219" i="11"/>
  <c r="W249" i="31" s="1"/>
  <c r="AJ219" i="11"/>
  <c r="W219" i="11"/>
  <c r="U249" i="31" s="1"/>
  <c r="R219" i="11"/>
  <c r="P249" i="31" s="1"/>
  <c r="AH214" i="11"/>
  <c r="AF239" i="31" s="1"/>
  <c r="AO195" i="11"/>
  <c r="AH213" i="31" s="1"/>
  <c r="T209" i="11"/>
  <c r="R231" i="31" s="1"/>
  <c r="AD195" i="11"/>
  <c r="AB213" i="31" s="1"/>
  <c r="AE195" i="11"/>
  <c r="AC213" i="31" s="1"/>
  <c r="P231" i="31"/>
  <c r="V231" i="31"/>
  <c r="P141" i="31"/>
  <c r="AB32" i="11"/>
  <c r="W152" i="11"/>
  <c r="U51" i="31" s="1"/>
  <c r="S152" i="11"/>
  <c r="Q51" i="31" s="1"/>
  <c r="R146" i="11"/>
  <c r="T146" i="11" s="1"/>
  <c r="R43" i="31" s="1"/>
  <c r="R32" i="11"/>
  <c r="Y32" i="11" s="1"/>
  <c r="AC209" i="11"/>
  <c r="AP209" i="11" s="1"/>
  <c r="AI231" i="31" s="1"/>
  <c r="R95" i="11"/>
  <c r="Y95" i="11" s="1"/>
  <c r="O51" i="31"/>
  <c r="AA145" i="11"/>
  <c r="AO145" i="11" s="1"/>
  <c r="R136" i="11"/>
  <c r="P29" i="31" s="1"/>
  <c r="U161" i="11"/>
  <c r="S63" i="31" s="1"/>
  <c r="W127" i="11"/>
  <c r="U13" i="31" s="1"/>
  <c r="R41" i="11"/>
  <c r="Y41" i="11" s="1"/>
  <c r="AC202" i="11"/>
  <c r="AH202" i="11" s="1"/>
  <c r="AK193" i="11"/>
  <c r="AD154" i="11"/>
  <c r="AD148" i="11"/>
  <c r="AA161" i="11"/>
  <c r="Y63" i="31" s="1"/>
  <c r="S127" i="11"/>
  <c r="Q13" i="31" s="1"/>
  <c r="AA155" i="11"/>
  <c r="Y55" i="31" s="1"/>
  <c r="Z145" i="11"/>
  <c r="AN145" i="11" s="1"/>
  <c r="Z136" i="11"/>
  <c r="X29" i="31" s="1"/>
  <c r="R155" i="11"/>
  <c r="P55" i="31" s="1"/>
  <c r="AD155" i="11"/>
  <c r="AK155" i="11" s="1"/>
  <c r="X155" i="11"/>
  <c r="V55" i="31" s="1"/>
  <c r="R31" i="11"/>
  <c r="Y31" i="11" s="1"/>
  <c r="W145" i="11"/>
  <c r="L33" i="68" s="1"/>
  <c r="Y145" i="11"/>
  <c r="X136" i="11"/>
  <c r="V29" i="31" s="1"/>
  <c r="Y136" i="11"/>
  <c r="W29" i="31" s="1"/>
  <c r="R79" i="11"/>
  <c r="Y79" i="11" s="1"/>
  <c r="AC211" i="11"/>
  <c r="AR211" i="11" s="1"/>
  <c r="AK233" i="31" s="1"/>
  <c r="S154" i="11"/>
  <c r="Q53" i="31" s="1"/>
  <c r="O45" i="31"/>
  <c r="R91" i="11"/>
  <c r="Y91" i="11" s="1"/>
  <c r="AC218" i="11"/>
  <c r="AO218" i="11" s="1"/>
  <c r="Z161" i="11"/>
  <c r="X63" i="31" s="1"/>
  <c r="W161" i="11"/>
  <c r="U63" i="31" s="1"/>
  <c r="R47" i="11"/>
  <c r="Y47" i="11" s="1"/>
  <c r="R104" i="11"/>
  <c r="Y104" i="11" s="1"/>
  <c r="Y127" i="11"/>
  <c r="W13" i="31" s="1"/>
  <c r="R127" i="11"/>
  <c r="P13" i="31" s="1"/>
  <c r="AK184" i="11"/>
  <c r="S155" i="11"/>
  <c r="Q55" i="31" s="1"/>
  <c r="Z155" i="11"/>
  <c r="X55" i="31" s="1"/>
  <c r="O55" i="31"/>
  <c r="R98" i="11"/>
  <c r="Y98" i="11" s="1"/>
  <c r="AD145" i="11"/>
  <c r="AK145" i="11" s="1"/>
  <c r="U145" i="11"/>
  <c r="S145" i="11"/>
  <c r="W136" i="11"/>
  <c r="U29" i="31" s="1"/>
  <c r="S136" i="11"/>
  <c r="Q29" i="31" s="1"/>
  <c r="O29" i="31"/>
  <c r="AC193" i="11"/>
  <c r="AT193" i="11" s="1"/>
  <c r="AM209" i="31" s="1"/>
  <c r="R154" i="11"/>
  <c r="X154" i="11" s="1"/>
  <c r="V53" i="31" s="1"/>
  <c r="AC205" i="11"/>
  <c r="AP205" i="11" s="1"/>
  <c r="AI225" i="31" s="1"/>
  <c r="R148" i="11"/>
  <c r="X148" i="11" s="1"/>
  <c r="V45" i="31" s="1"/>
  <c r="Y148" i="11"/>
  <c r="W45" i="31" s="1"/>
  <c r="R34" i="11"/>
  <c r="Y34" i="11" s="1"/>
  <c r="AK218" i="11"/>
  <c r="O63" i="31"/>
  <c r="O13" i="31"/>
  <c r="R13" i="11"/>
  <c r="Y13" i="11" s="1"/>
  <c r="AC184" i="11"/>
  <c r="AT184" i="11" s="1"/>
  <c r="AM193" i="31" s="1"/>
  <c r="W155" i="11"/>
  <c r="L43" i="68" s="1"/>
  <c r="AK212" i="11"/>
  <c r="R145" i="11"/>
  <c r="T145" i="11" s="1"/>
  <c r="X145" i="11"/>
  <c r="R88" i="11"/>
  <c r="Y88" i="11" s="1"/>
  <c r="AD136" i="11"/>
  <c r="AK136" i="11" s="1"/>
  <c r="R22" i="11"/>
  <c r="Y22" i="11" s="1"/>
  <c r="R40" i="11"/>
  <c r="Y40" i="11" s="1"/>
  <c r="AA148" i="11"/>
  <c r="Y45" i="31" s="1"/>
  <c r="W148" i="11"/>
  <c r="L36" i="68" s="1"/>
  <c r="S161" i="11"/>
  <c r="Q63" i="31" s="1"/>
  <c r="AD161" i="11"/>
  <c r="AK161" i="11" s="1"/>
  <c r="R70" i="11"/>
  <c r="Y70" i="11" s="1"/>
  <c r="AD127" i="11"/>
  <c r="AK127" i="11" s="1"/>
  <c r="X127" i="11"/>
  <c r="V13" i="31" s="1"/>
  <c r="N44" i="68"/>
  <c r="N89" i="60"/>
  <c r="P89" i="60" s="1"/>
  <c r="L40" i="68"/>
  <c r="U73" i="31"/>
  <c r="L53" i="68"/>
  <c r="N26" i="68"/>
  <c r="AH239" i="31"/>
  <c r="N45" i="68"/>
  <c r="Q162" i="11"/>
  <c r="R105" i="11" s="1"/>
  <c r="Y105" i="11" s="1"/>
  <c r="K50" i="68"/>
  <c r="N71" i="60"/>
  <c r="P71" i="60" s="1"/>
  <c r="O71" i="31"/>
  <c r="R164" i="11"/>
  <c r="Q159" i="11"/>
  <c r="R45" i="11" s="1"/>
  <c r="Y45" i="11" s="1"/>
  <c r="K47" i="68"/>
  <c r="U33" i="31"/>
  <c r="L26" i="68"/>
  <c r="L52" i="68"/>
  <c r="BD51" i="96"/>
  <c r="BF51" i="96" s="1"/>
  <c r="BD57" i="96"/>
  <c r="BF57" i="96" s="1"/>
  <c r="BD56" i="96"/>
  <c r="BF56" i="96" s="1"/>
  <c r="BD53" i="96"/>
  <c r="BF53" i="96" s="1"/>
  <c r="BD52" i="96"/>
  <c r="BF52" i="96" s="1"/>
  <c r="BD58" i="96"/>
  <c r="BF58" i="96" s="1"/>
  <c r="BD55" i="96"/>
  <c r="BF55" i="96" s="1"/>
  <c r="BD54" i="96"/>
  <c r="BF54" i="96" s="1"/>
  <c r="BD48" i="96"/>
  <c r="BF48" i="96" s="1"/>
  <c r="BD44" i="96"/>
  <c r="BF44" i="96" s="1"/>
  <c r="BD40" i="96"/>
  <c r="BF40" i="96" s="1"/>
  <c r="BD36" i="96"/>
  <c r="BF36" i="96" s="1"/>
  <c r="BD32" i="96"/>
  <c r="BD28" i="96"/>
  <c r="BF28" i="96" s="1"/>
  <c r="BD24" i="96"/>
  <c r="BF24" i="96" s="1"/>
  <c r="BD20" i="96"/>
  <c r="BF20" i="96" s="1"/>
  <c r="BD16" i="96"/>
  <c r="BF16" i="96" s="1"/>
  <c r="BD12" i="96"/>
  <c r="BF12" i="96" s="1"/>
  <c r="BD49" i="96"/>
  <c r="BF49" i="96" s="1"/>
  <c r="BD45" i="96"/>
  <c r="BF45" i="96" s="1"/>
  <c r="BD41" i="96"/>
  <c r="BF41" i="96" s="1"/>
  <c r="BD37" i="96"/>
  <c r="BF37" i="96" s="1"/>
  <c r="BD33" i="96"/>
  <c r="BF33" i="96" s="1"/>
  <c r="BD29" i="96"/>
  <c r="BF29" i="96" s="1"/>
  <c r="BD25" i="96"/>
  <c r="BF25" i="96" s="1"/>
  <c r="BD21" i="96"/>
  <c r="BF21" i="96" s="1"/>
  <c r="BD17" i="96"/>
  <c r="BF17" i="96" s="1"/>
  <c r="BD13" i="96"/>
  <c r="BF13" i="96" s="1"/>
  <c r="BD9" i="96"/>
  <c r="BF9" i="96" s="1"/>
  <c r="BD46" i="96"/>
  <c r="BD42" i="96"/>
  <c r="BF42" i="96" s="1"/>
  <c r="BD38" i="96"/>
  <c r="BF38" i="96" s="1"/>
  <c r="BD34" i="96"/>
  <c r="BF34" i="96" s="1"/>
  <c r="BD30" i="96"/>
  <c r="BF30" i="96" s="1"/>
  <c r="BD26" i="96"/>
  <c r="BF26" i="96" s="1"/>
  <c r="BD22" i="96"/>
  <c r="BF22" i="96" s="1"/>
  <c r="BD18" i="96"/>
  <c r="BF18" i="96" s="1"/>
  <c r="BD14" i="96"/>
  <c r="BF14" i="96" s="1"/>
  <c r="BD10" i="96"/>
  <c r="BF10" i="96" s="1"/>
  <c r="BD47" i="96"/>
  <c r="BF47" i="96" s="1"/>
  <c r="BD43" i="96"/>
  <c r="BD39" i="96"/>
  <c r="BF39" i="96" s="1"/>
  <c r="BD35" i="96"/>
  <c r="BF35" i="96" s="1"/>
  <c r="BD31" i="96"/>
  <c r="BF31" i="96" s="1"/>
  <c r="BD27" i="96"/>
  <c r="BF27" i="96" s="1"/>
  <c r="BD23" i="96"/>
  <c r="BF23" i="96" s="1"/>
  <c r="BD19" i="96"/>
  <c r="BF19" i="96" s="1"/>
  <c r="BD15" i="96"/>
  <c r="BF15" i="96" s="1"/>
  <c r="BD11" i="96"/>
  <c r="BF11" i="96" s="1"/>
  <c r="AZ29" i="96"/>
  <c r="P29" i="96"/>
  <c r="AZ20" i="96"/>
  <c r="P20" i="96"/>
  <c r="AZ11" i="96"/>
  <c r="P11" i="96"/>
  <c r="AZ48" i="96"/>
  <c r="P48" i="96"/>
  <c r="AZ45" i="96"/>
  <c r="P45" i="96"/>
  <c r="Y46" i="96"/>
  <c r="V49" i="96"/>
  <c r="S49" i="96"/>
  <c r="AB49" i="96"/>
  <c r="Y49" i="96"/>
  <c r="AE49" i="96"/>
  <c r="AH49" i="96"/>
  <c r="AK49" i="96"/>
  <c r="AN49" i="96"/>
  <c r="AQ49" i="96"/>
  <c r="AT49" i="96"/>
  <c r="AW49" i="96"/>
  <c r="V41" i="96"/>
  <c r="S41" i="96"/>
  <c r="AB41" i="96"/>
  <c r="Y41" i="96"/>
  <c r="AE41" i="96"/>
  <c r="AH41" i="96"/>
  <c r="AK41" i="96"/>
  <c r="AN41" i="96"/>
  <c r="AQ41" i="96"/>
  <c r="AT41" i="96"/>
  <c r="AW41" i="96"/>
  <c r="BC44" i="96"/>
  <c r="BC39" i="96"/>
  <c r="S39" i="96"/>
  <c r="V39" i="96"/>
  <c r="AB39" i="96"/>
  <c r="Y39" i="96"/>
  <c r="AE39" i="96"/>
  <c r="AH39" i="96"/>
  <c r="AK39" i="96"/>
  <c r="AN39" i="96"/>
  <c r="AQ39" i="96"/>
  <c r="AT39" i="96"/>
  <c r="AW39" i="96"/>
  <c r="V27" i="96"/>
  <c r="S27" i="96"/>
  <c r="AB27" i="96"/>
  <c r="Y27" i="96"/>
  <c r="AE27" i="96"/>
  <c r="AH27" i="96"/>
  <c r="AK27" i="96"/>
  <c r="AN27" i="96"/>
  <c r="AQ27" i="96"/>
  <c r="AT27" i="96"/>
  <c r="AW27" i="96"/>
  <c r="V12" i="96"/>
  <c r="S12" i="96"/>
  <c r="AB12" i="96"/>
  <c r="Y12" i="96"/>
  <c r="AE12" i="96"/>
  <c r="AH12" i="96"/>
  <c r="AK12" i="96"/>
  <c r="AN12" i="96"/>
  <c r="AQ12" i="96"/>
  <c r="AT12" i="96"/>
  <c r="AW12" i="96"/>
  <c r="S45" i="96"/>
  <c r="V45" i="96"/>
  <c r="AB45" i="96"/>
  <c r="Y45" i="96"/>
  <c r="AE45" i="96"/>
  <c r="AH45" i="96"/>
  <c r="AK45" i="96"/>
  <c r="AN45" i="96"/>
  <c r="AQ45" i="96"/>
  <c r="AT45" i="96"/>
  <c r="AW45" i="96"/>
  <c r="BC38" i="96"/>
  <c r="BC49" i="96"/>
  <c r="BC41" i="96"/>
  <c r="AZ27" i="96"/>
  <c r="AZ49" i="96"/>
  <c r="S29" i="96"/>
  <c r="V29" i="96"/>
  <c r="AB29" i="96"/>
  <c r="Y29" i="96"/>
  <c r="AE29" i="96"/>
  <c r="AH29" i="96"/>
  <c r="AK29" i="96"/>
  <c r="AN29" i="96"/>
  <c r="AQ29" i="96"/>
  <c r="AT29" i="96"/>
  <c r="AW29" i="96"/>
  <c r="S20" i="96"/>
  <c r="V20" i="96"/>
  <c r="Y20" i="96"/>
  <c r="AB20" i="96"/>
  <c r="AE20" i="96"/>
  <c r="AH20" i="96"/>
  <c r="AK20" i="96"/>
  <c r="AN20" i="96"/>
  <c r="AQ20" i="96"/>
  <c r="AT20" i="96"/>
  <c r="AW20" i="96"/>
  <c r="S38" i="96"/>
  <c r="V38" i="96"/>
  <c r="AB38" i="96"/>
  <c r="Y38" i="96"/>
  <c r="AE38" i="96"/>
  <c r="AH38" i="96"/>
  <c r="AK38" i="96"/>
  <c r="AN38" i="96"/>
  <c r="AQ38" i="96"/>
  <c r="AT38" i="96"/>
  <c r="AW38" i="96"/>
  <c r="S44" i="96"/>
  <c r="AB44" i="96"/>
  <c r="V44" i="96"/>
  <c r="Y44" i="96"/>
  <c r="AE44" i="96"/>
  <c r="AH44" i="96"/>
  <c r="AK44" i="96"/>
  <c r="AN44" i="96"/>
  <c r="AQ44" i="96"/>
  <c r="AT44" i="96"/>
  <c r="AW44" i="96"/>
  <c r="Y11" i="96"/>
  <c r="S11" i="96"/>
  <c r="V11" i="96"/>
  <c r="AB11" i="96"/>
  <c r="AE11" i="96"/>
  <c r="AH11" i="96"/>
  <c r="AK11" i="96"/>
  <c r="AN11" i="96"/>
  <c r="AQ11" i="96"/>
  <c r="AT11" i="96"/>
  <c r="AW11" i="96"/>
  <c r="BC48" i="96"/>
  <c r="BC27" i="96"/>
  <c r="BC20" i="96"/>
  <c r="BC12" i="96"/>
  <c r="AZ12" i="96"/>
  <c r="AZ41" i="96"/>
  <c r="AB48" i="96"/>
  <c r="Y48" i="96"/>
  <c r="S48" i="96"/>
  <c r="V48" i="96"/>
  <c r="AE48" i="96"/>
  <c r="AH48" i="96"/>
  <c r="AK48" i="96"/>
  <c r="AN48" i="96"/>
  <c r="AQ48" i="96"/>
  <c r="AT48" i="96"/>
  <c r="AW48" i="96"/>
  <c r="BC45" i="96"/>
  <c r="BC29" i="96"/>
  <c r="BC11" i="96"/>
  <c r="AZ38" i="96"/>
  <c r="AZ44" i="96"/>
  <c r="AZ39" i="96"/>
  <c r="BH7" i="96"/>
  <c r="BH47" i="96"/>
  <c r="BH43" i="96"/>
  <c r="BH39" i="96"/>
  <c r="BH35" i="96"/>
  <c r="BH31" i="96"/>
  <c r="BH27" i="96"/>
  <c r="BH23" i="96"/>
  <c r="BH19" i="96"/>
  <c r="BH15" i="96"/>
  <c r="BH11" i="96"/>
  <c r="BH48" i="96"/>
  <c r="BH44" i="96"/>
  <c r="BH40" i="96"/>
  <c r="BH36" i="96"/>
  <c r="BH32" i="96"/>
  <c r="BH28" i="96"/>
  <c r="BH24" i="96"/>
  <c r="BH20" i="96"/>
  <c r="BH16" i="96"/>
  <c r="BH12" i="96"/>
  <c r="BH49" i="96"/>
  <c r="BH45" i="96"/>
  <c r="BH41" i="96"/>
  <c r="BH37" i="96"/>
  <c r="BH33" i="96"/>
  <c r="BH29" i="96"/>
  <c r="BH25" i="96"/>
  <c r="BH21" i="96"/>
  <c r="BH17" i="96"/>
  <c r="BH13" i="96"/>
  <c r="BH9" i="96"/>
  <c r="BH46" i="96"/>
  <c r="BH42" i="96"/>
  <c r="BH38" i="96"/>
  <c r="BH34" i="96"/>
  <c r="BH30" i="96"/>
  <c r="BH26" i="96"/>
  <c r="BH22" i="96"/>
  <c r="BH18" i="96"/>
  <c r="BH14" i="96"/>
  <c r="BH10" i="96"/>
  <c r="Q443" i="8"/>
  <c r="L69" i="60" s="1"/>
  <c r="Q461" i="8"/>
  <c r="L87" i="60" s="1"/>
  <c r="N87" i="60" s="1"/>
  <c r="Q467" i="8"/>
  <c r="L93" i="60" s="1"/>
  <c r="Q434" i="8"/>
  <c r="L60" i="60" s="1"/>
  <c r="N60" i="60" s="1"/>
  <c r="Q452" i="8"/>
  <c r="L78" i="60" s="1"/>
  <c r="N78" i="60" s="1"/>
  <c r="P78" i="60" s="1"/>
  <c r="Q471" i="8"/>
  <c r="L97" i="60" s="1"/>
  <c r="N97" i="60" s="1"/>
  <c r="Q472" i="8"/>
  <c r="L98" i="60" s="1"/>
  <c r="Q464" i="8"/>
  <c r="L90" i="60" s="1"/>
  <c r="Q462" i="8"/>
  <c r="L88" i="60" s="1"/>
  <c r="N88" i="60" s="1"/>
  <c r="Q450" i="8"/>
  <c r="L76" i="60" s="1"/>
  <c r="Q435" i="8"/>
  <c r="L61" i="60" s="1"/>
  <c r="N61" i="60" s="1"/>
  <c r="Q468" i="8"/>
  <c r="L94" i="60" s="1"/>
  <c r="N94" i="60" s="1"/>
  <c r="P79" i="60"/>
  <c r="P85" i="60"/>
  <c r="U141" i="31"/>
  <c r="AO32" i="11"/>
  <c r="BQ203" i="11"/>
  <c r="S38" i="11"/>
  <c r="U38" i="11" s="1"/>
  <c r="AB38" i="11" s="1"/>
  <c r="T38" i="11"/>
  <c r="AA38" i="11" s="1"/>
  <c r="Q141" i="31"/>
  <c r="U209" i="11"/>
  <c r="S231" i="31" s="1"/>
  <c r="AD203" i="11"/>
  <c r="AB223" i="31" s="1"/>
  <c r="AK203" i="11"/>
  <c r="Y146" i="11"/>
  <c r="W43" i="31" s="1"/>
  <c r="BF214" i="11"/>
  <c r="CC39" i="45"/>
  <c r="AA157" i="11" s="1"/>
  <c r="AM214" i="11" s="1"/>
  <c r="AQ43" i="11"/>
  <c r="AM205" i="11"/>
  <c r="Y211" i="11"/>
  <c r="W143" i="31" s="1"/>
  <c r="W146" i="11"/>
  <c r="Z32" i="11"/>
  <c r="AA32" i="11"/>
  <c r="AL32" i="11"/>
  <c r="X146" i="11"/>
  <c r="V43" i="31" s="1"/>
  <c r="AN32" i="11"/>
  <c r="AL146" i="11"/>
  <c r="BE203" i="11"/>
  <c r="BS203" i="11"/>
  <c r="X32" i="11"/>
  <c r="BC203" i="11"/>
  <c r="AJ146" i="11"/>
  <c r="AP32" i="11"/>
  <c r="BD203" i="11"/>
  <c r="BB203" i="11"/>
  <c r="AM146" i="11"/>
  <c r="CC28" i="45"/>
  <c r="BP203" i="11"/>
  <c r="BT203" i="11"/>
  <c r="BF203" i="11"/>
  <c r="AQ32" i="11"/>
  <c r="Y71" i="31"/>
  <c r="AH221" i="11"/>
  <c r="AF251" i="31" s="1"/>
  <c r="W154" i="11"/>
  <c r="U127" i="11"/>
  <c r="S13" i="31" s="1"/>
  <c r="W103" i="31"/>
  <c r="W193" i="31"/>
  <c r="P103" i="31"/>
  <c r="T184" i="11"/>
  <c r="Z184" i="11" s="1"/>
  <c r="X103" i="31" s="1"/>
  <c r="P193" i="31"/>
  <c r="AF184" i="11"/>
  <c r="AD193" i="31" s="1"/>
  <c r="AB13" i="11"/>
  <c r="AF13" i="11"/>
  <c r="X13" i="11"/>
  <c r="T13" i="11"/>
  <c r="V13" i="11" s="1"/>
  <c r="AC13" i="11" s="1"/>
  <c r="Z13" i="11"/>
  <c r="S13" i="11"/>
  <c r="U13" i="11" s="1"/>
  <c r="U193" i="31"/>
  <c r="U103" i="31"/>
  <c r="U184" i="11"/>
  <c r="AA184" i="11" s="1"/>
  <c r="Y193" i="31" s="1"/>
  <c r="Q193" i="31"/>
  <c r="Q103" i="31"/>
  <c r="V103" i="31"/>
  <c r="V193" i="31"/>
  <c r="U148" i="11"/>
  <c r="S45" i="31" s="1"/>
  <c r="S57" i="31"/>
  <c r="AA156" i="11"/>
  <c r="AO156" i="11" s="1"/>
  <c r="V42" i="11"/>
  <c r="AC42" i="11" s="1"/>
  <c r="Z42" i="11"/>
  <c r="Z146" i="11"/>
  <c r="AM42" i="11"/>
  <c r="AO138" i="11"/>
  <c r="AH213" i="11"/>
  <c r="AF237" i="31" s="1"/>
  <c r="R57" i="31"/>
  <c r="Z156" i="11"/>
  <c r="AM43" i="11"/>
  <c r="AA146" i="11"/>
  <c r="X153" i="31"/>
  <c r="X243" i="31"/>
  <c r="V243" i="31"/>
  <c r="V153" i="31"/>
  <c r="AF218" i="11"/>
  <c r="AD243" i="31" s="1"/>
  <c r="T218" i="11"/>
  <c r="P153" i="31"/>
  <c r="P243" i="31"/>
  <c r="S243" i="31"/>
  <c r="S153" i="31"/>
  <c r="V149" i="31"/>
  <c r="V239" i="31"/>
  <c r="W237" i="31"/>
  <c r="W147" i="31"/>
  <c r="X47" i="11"/>
  <c r="AF47" i="11"/>
  <c r="AM47" i="11" s="1"/>
  <c r="Z47" i="11"/>
  <c r="S47" i="11"/>
  <c r="U47" i="11" s="1"/>
  <c r="AB47" i="11" s="1"/>
  <c r="T47" i="11"/>
  <c r="AA47" i="11" s="1"/>
  <c r="V47" i="11"/>
  <c r="AC47" i="11"/>
  <c r="AG214" i="11"/>
  <c r="AE239" i="31" s="1"/>
  <c r="AB239" i="31"/>
  <c r="R133" i="31"/>
  <c r="R223" i="31"/>
  <c r="Z203" i="11"/>
  <c r="W223" i="31"/>
  <c r="W133" i="31"/>
  <c r="Z157" i="11"/>
  <c r="V161" i="31"/>
  <c r="V251" i="31"/>
  <c r="Z152" i="11"/>
  <c r="R51" i="31"/>
  <c r="V32" i="11"/>
  <c r="Z43" i="11"/>
  <c r="W239" i="31"/>
  <c r="W149" i="31"/>
  <c r="S223" i="31"/>
  <c r="S133" i="31"/>
  <c r="AA203" i="11"/>
  <c r="Y243" i="31"/>
  <c r="Y153" i="31"/>
  <c r="U243" i="31"/>
  <c r="U153" i="31"/>
  <c r="Y218" i="11"/>
  <c r="Q153" i="31"/>
  <c r="Q243" i="31"/>
  <c r="X161" i="11"/>
  <c r="V63" i="31" s="1"/>
  <c r="P63" i="31"/>
  <c r="T161" i="11"/>
  <c r="R63" i="31" s="1"/>
  <c r="Z214" i="11"/>
  <c r="AM221" i="11"/>
  <c r="Y251" i="31"/>
  <c r="Y161" i="31"/>
  <c r="Z221" i="11"/>
  <c r="AP213" i="11"/>
  <c r="AI237" i="31" s="1"/>
  <c r="AG213" i="11"/>
  <c r="AE237" i="31" s="1"/>
  <c r="AB237" i="31"/>
  <c r="Z213" i="11"/>
  <c r="R147" i="31"/>
  <c r="R237" i="31"/>
  <c r="V237" i="31"/>
  <c r="V147" i="31"/>
  <c r="AM218" i="11"/>
  <c r="AP42" i="73"/>
  <c r="AJ156" i="73"/>
  <c r="AK156" i="73" s="1"/>
  <c r="AL154" i="11"/>
  <c r="AM154" i="11"/>
  <c r="AJ154" i="11"/>
  <c r="AN40" i="11"/>
  <c r="AL40" i="11"/>
  <c r="AP40" i="11"/>
  <c r="AQ40" i="11"/>
  <c r="AO40" i="11"/>
  <c r="AK213" i="73"/>
  <c r="AM213" i="73" s="1"/>
  <c r="AQ195" i="11"/>
  <c r="AJ213" i="31" s="1"/>
  <c r="CC36" i="45"/>
  <c r="BT211" i="11"/>
  <c r="BP211" i="11"/>
  <c r="BB211" i="11"/>
  <c r="BO211" i="11"/>
  <c r="BS211" i="11"/>
  <c r="BF211" i="11"/>
  <c r="BE211" i="11"/>
  <c r="BC211" i="11"/>
  <c r="BQ211" i="11"/>
  <c r="BD211" i="11"/>
  <c r="BF185" i="11"/>
  <c r="AQ14" i="11"/>
  <c r="AN14" i="11"/>
  <c r="AL128" i="11"/>
  <c r="BE185" i="11"/>
  <c r="BB185" i="11"/>
  <c r="BC185" i="11"/>
  <c r="AL14" i="11"/>
  <c r="AP14" i="11"/>
  <c r="AJ128" i="11"/>
  <c r="BT185" i="11"/>
  <c r="AM128" i="11"/>
  <c r="BQ185" i="11"/>
  <c r="AO14" i="11"/>
  <c r="BS185" i="11"/>
  <c r="BP185" i="11"/>
  <c r="BO185" i="11"/>
  <c r="BD185" i="11"/>
  <c r="U128" i="11"/>
  <c r="AK138" i="11"/>
  <c r="AM24" i="11"/>
  <c r="AM195" i="11"/>
  <c r="Y195" i="31"/>
  <c r="Y105" i="31"/>
  <c r="S195" i="31"/>
  <c r="S105" i="31"/>
  <c r="Y185" i="11"/>
  <c r="Q195" i="31"/>
  <c r="Q105" i="31"/>
  <c r="AJ130" i="73"/>
  <c r="AK130" i="73" s="1"/>
  <c r="AP16" i="73"/>
  <c r="CC10" i="45"/>
  <c r="AC71" i="11" s="1"/>
  <c r="AK187" i="73"/>
  <c r="AM187" i="73" s="1"/>
  <c r="W123" i="31"/>
  <c r="W213" i="31"/>
  <c r="R33" i="31"/>
  <c r="Z138" i="11"/>
  <c r="AF14" i="11"/>
  <c r="T14" i="11"/>
  <c r="V14" i="11" s="1"/>
  <c r="S14" i="11"/>
  <c r="U14" i="11" s="1"/>
  <c r="AB14" i="11" s="1"/>
  <c r="X14" i="11"/>
  <c r="Z24" i="11"/>
  <c r="W128" i="11"/>
  <c r="R71" i="11"/>
  <c r="Y71" i="11" s="1"/>
  <c r="AH195" i="11"/>
  <c r="U105" i="31"/>
  <c r="U195" i="31"/>
  <c r="X185" i="11"/>
  <c r="P105" i="31"/>
  <c r="P195" i="31"/>
  <c r="T185" i="11"/>
  <c r="AF185" i="11"/>
  <c r="AD195" i="31" s="1"/>
  <c r="R213" i="31"/>
  <c r="R123" i="31"/>
  <c r="Z195" i="11"/>
  <c r="V213" i="31"/>
  <c r="V123" i="31"/>
  <c r="Y213" i="31"/>
  <c r="Y123" i="31"/>
  <c r="AP195" i="11"/>
  <c r="AI213" i="31" s="1"/>
  <c r="X128" i="11"/>
  <c r="V15" i="31" s="1"/>
  <c r="AK185" i="11"/>
  <c r="AR195" i="11"/>
  <c r="AK213" i="31" s="1"/>
  <c r="U155" i="11"/>
  <c r="S55" i="31" s="1"/>
  <c r="AM212" i="11"/>
  <c r="U154" i="11"/>
  <c r="AA154" i="11" s="1"/>
  <c r="Y53" i="31" s="1"/>
  <c r="Y233" i="31"/>
  <c r="Y143" i="31"/>
  <c r="AP212" i="11"/>
  <c r="AI235" i="31" s="1"/>
  <c r="Q145" i="31"/>
  <c r="Q235" i="31"/>
  <c r="W145" i="31"/>
  <c r="W235" i="31"/>
  <c r="S235" i="31"/>
  <c r="S145" i="31"/>
  <c r="X235" i="31"/>
  <c r="X145" i="31"/>
  <c r="T200" i="11"/>
  <c r="AF200" i="11"/>
  <c r="AA29" i="11"/>
  <c r="X29" i="11"/>
  <c r="AC29" i="11"/>
  <c r="AB29" i="11"/>
  <c r="T29" i="11"/>
  <c r="Z29" i="11"/>
  <c r="V29" i="11"/>
  <c r="S29" i="11"/>
  <c r="U29" i="11" s="1"/>
  <c r="AF29" i="11"/>
  <c r="AM29" i="11" s="1"/>
  <c r="T165" i="11"/>
  <c r="R73" i="31" s="1"/>
  <c r="P73" i="31"/>
  <c r="Y29" i="31"/>
  <c r="AO136" i="11"/>
  <c r="T22" i="11"/>
  <c r="V22" i="11" s="1"/>
  <c r="AA22" i="11"/>
  <c r="X22" i="11"/>
  <c r="AB22" i="11"/>
  <c r="AC22" i="11"/>
  <c r="Z22" i="11"/>
  <c r="S22" i="11"/>
  <c r="U22" i="11" s="1"/>
  <c r="AF22" i="11"/>
  <c r="AM22" i="11" s="1"/>
  <c r="P143" i="31"/>
  <c r="T211" i="11"/>
  <c r="AF211" i="11"/>
  <c r="AD233" i="31" s="1"/>
  <c r="P233" i="31"/>
  <c r="Q233" i="31"/>
  <c r="Q143" i="31"/>
  <c r="S119" i="31"/>
  <c r="S209" i="31"/>
  <c r="P209" i="31"/>
  <c r="P119" i="31"/>
  <c r="T193" i="11"/>
  <c r="AF193" i="11"/>
  <c r="AD209" i="31" s="1"/>
  <c r="X209" i="31"/>
  <c r="X119" i="31"/>
  <c r="W209" i="31"/>
  <c r="W119" i="31"/>
  <c r="P225" i="31"/>
  <c r="P135" i="31"/>
  <c r="T205" i="11"/>
  <c r="Z205" i="11" s="1"/>
  <c r="X135" i="31" s="1"/>
  <c r="AF205" i="11"/>
  <c r="AD225" i="31" s="1"/>
  <c r="U225" i="31"/>
  <c r="U135" i="31"/>
  <c r="AS217" i="11"/>
  <c r="AE217" i="11"/>
  <c r="AR217" i="11"/>
  <c r="AP217" i="11"/>
  <c r="AD217" i="11"/>
  <c r="AG217" i="11" s="1"/>
  <c r="AC46" i="11"/>
  <c r="AA46" i="11"/>
  <c r="V46" i="11"/>
  <c r="AF46" i="11"/>
  <c r="AM46" i="11" s="1"/>
  <c r="AB46" i="11"/>
  <c r="X46" i="11"/>
  <c r="Z46" i="11"/>
  <c r="T46" i="11"/>
  <c r="S46" i="11"/>
  <c r="U46" i="11" s="1"/>
  <c r="L466" i="8"/>
  <c r="O466" i="8" s="1"/>
  <c r="L43" i="96" s="1"/>
  <c r="N43" i="96" s="1"/>
  <c r="Q45" i="11"/>
  <c r="BY41" i="45"/>
  <c r="BZ41" i="45"/>
  <c r="CA41" i="45"/>
  <c r="CB41" i="45"/>
  <c r="AJ216" i="11"/>
  <c r="O247" i="31"/>
  <c r="O157" i="31"/>
  <c r="W216" i="11"/>
  <c r="S216" i="11"/>
  <c r="Y216" i="11" s="1"/>
  <c r="R216" i="11"/>
  <c r="X216" i="11" s="1"/>
  <c r="V253" i="31"/>
  <c r="V163" i="31"/>
  <c r="U163" i="31"/>
  <c r="U253" i="31"/>
  <c r="Y253" i="31"/>
  <c r="Y163" i="31"/>
  <c r="Q253" i="31"/>
  <c r="Q163" i="31"/>
  <c r="AB51" i="11"/>
  <c r="AA51" i="11"/>
  <c r="T51" i="11"/>
  <c r="AC51" i="11"/>
  <c r="S51" i="11"/>
  <c r="U51" i="11" s="1"/>
  <c r="V51" i="11"/>
  <c r="X51" i="11"/>
  <c r="Z51" i="11"/>
  <c r="AF51" i="11"/>
  <c r="AM51" i="11" s="1"/>
  <c r="R86" i="11"/>
  <c r="Y86" i="11" s="1"/>
  <c r="AM222" i="11"/>
  <c r="Y235" i="31"/>
  <c r="Y145" i="31"/>
  <c r="P145" i="31"/>
  <c r="AF212" i="11"/>
  <c r="AD235" i="31" s="1"/>
  <c r="P235" i="31"/>
  <c r="T212" i="11"/>
  <c r="V145" i="31"/>
  <c r="V235" i="31"/>
  <c r="U145" i="31"/>
  <c r="U235" i="31"/>
  <c r="T41" i="11"/>
  <c r="AB41" i="11"/>
  <c r="X41" i="11"/>
  <c r="AC41" i="11"/>
  <c r="AA41" i="11"/>
  <c r="Z41" i="11"/>
  <c r="V41" i="11"/>
  <c r="AF41" i="11"/>
  <c r="AM41" i="11" s="1"/>
  <c r="S41" i="11"/>
  <c r="U41" i="11" s="1"/>
  <c r="AF202" i="11"/>
  <c r="T202" i="11"/>
  <c r="AA31" i="11"/>
  <c r="AF31" i="11"/>
  <c r="AM31" i="11" s="1"/>
  <c r="V31" i="11"/>
  <c r="AB31" i="11"/>
  <c r="Z31" i="11"/>
  <c r="AC31" i="11"/>
  <c r="T31" i="11"/>
  <c r="X31" i="11"/>
  <c r="S31" i="11"/>
  <c r="U31" i="11" s="1"/>
  <c r="AB48" i="11"/>
  <c r="Z48" i="11"/>
  <c r="AC48" i="11"/>
  <c r="X48" i="11"/>
  <c r="AF48" i="11"/>
  <c r="AM48" i="11" s="1"/>
  <c r="AA48" i="11"/>
  <c r="V48" i="11"/>
  <c r="T48" i="11"/>
  <c r="S48" i="11"/>
  <c r="U48" i="11" s="1"/>
  <c r="U233" i="31"/>
  <c r="U143" i="31"/>
  <c r="V143" i="31"/>
  <c r="V233" i="31"/>
  <c r="S233" i="31"/>
  <c r="S143" i="31"/>
  <c r="T40" i="11"/>
  <c r="AA40" i="11" s="1"/>
  <c r="X40" i="11"/>
  <c r="AF40" i="11"/>
  <c r="S40" i="11"/>
  <c r="U40" i="11" s="1"/>
  <c r="AB40" i="11" s="1"/>
  <c r="V119" i="31"/>
  <c r="V209" i="31"/>
  <c r="Y209" i="31"/>
  <c r="Y119" i="31"/>
  <c r="Q119" i="31"/>
  <c r="Q209" i="31"/>
  <c r="U209" i="31"/>
  <c r="U119" i="31"/>
  <c r="V225" i="31"/>
  <c r="V135" i="31"/>
  <c r="S135" i="31"/>
  <c r="S225" i="31"/>
  <c r="Y225" i="31"/>
  <c r="Y135" i="31"/>
  <c r="Q225" i="31"/>
  <c r="Q135" i="31"/>
  <c r="P45" i="31"/>
  <c r="T34" i="11"/>
  <c r="V34" i="11" s="1"/>
  <c r="AC34" i="11" s="1"/>
  <c r="X34" i="11"/>
  <c r="AF34" i="11"/>
  <c r="S34" i="11"/>
  <c r="U34" i="11" s="1"/>
  <c r="AB34" i="11" s="1"/>
  <c r="AF217" i="11"/>
  <c r="T217" i="11"/>
  <c r="AO222" i="11"/>
  <c r="AQ222" i="11"/>
  <c r="AJ253" i="31" s="1"/>
  <c r="X253" i="31"/>
  <c r="X163" i="31"/>
  <c r="W253" i="31"/>
  <c r="W163" i="31"/>
  <c r="P253" i="31"/>
  <c r="AF222" i="11"/>
  <c r="AD253" i="31" s="1"/>
  <c r="P163" i="31"/>
  <c r="T222" i="11"/>
  <c r="S253" i="31"/>
  <c r="S163" i="31"/>
  <c r="U159" i="31"/>
  <c r="AM193" i="11"/>
  <c r="R97" i="11"/>
  <c r="Y97" i="11" s="1"/>
  <c r="BC32" i="96" l="1"/>
  <c r="AD222" i="11"/>
  <c r="T136" i="11"/>
  <c r="R29" i="31" s="1"/>
  <c r="AT212" i="11"/>
  <c r="AM235" i="31" s="1"/>
  <c r="S32" i="96"/>
  <c r="AE46" i="96"/>
  <c r="AZ32" i="96"/>
  <c r="BF46" i="96"/>
  <c r="X73" i="31"/>
  <c r="R251" i="31"/>
  <c r="AW32" i="96"/>
  <c r="AR209" i="11"/>
  <c r="AK231" i="31" s="1"/>
  <c r="AK32" i="96"/>
  <c r="AQ46" i="96"/>
  <c r="AH222" i="11"/>
  <c r="AF253" i="31" s="1"/>
  <c r="AL222" i="11"/>
  <c r="AT222" i="11"/>
  <c r="AM253" i="31" s="1"/>
  <c r="AL200" i="11"/>
  <c r="AR221" i="11"/>
  <c r="AK251" i="31" s="1"/>
  <c r="AP222" i="11"/>
  <c r="AI253" i="31" s="1"/>
  <c r="AS222" i="11"/>
  <c r="AL253" i="31" s="1"/>
  <c r="AA253" i="31"/>
  <c r="AO165" i="11"/>
  <c r="AP200" i="11"/>
  <c r="AN155" i="11"/>
  <c r="V249" i="31"/>
  <c r="AH217" i="11"/>
  <c r="AQ217" i="11"/>
  <c r="AT217" i="11"/>
  <c r="AE202" i="11"/>
  <c r="S43" i="31"/>
  <c r="AE209" i="11"/>
  <c r="AC231" i="31" s="1"/>
  <c r="AE222" i="11"/>
  <c r="AC253" i="31" s="1"/>
  <c r="AL217" i="11"/>
  <c r="AO148" i="11"/>
  <c r="Y159" i="31"/>
  <c r="S141" i="31"/>
  <c r="T128" i="11"/>
  <c r="R15" i="31" s="1"/>
  <c r="AD205" i="11"/>
  <c r="AE185" i="11"/>
  <c r="AC195" i="31" s="1"/>
  <c r="AO200" i="11"/>
  <c r="N31" i="68" s="1"/>
  <c r="AQ200" i="11"/>
  <c r="AT221" i="11"/>
  <c r="AM251" i="31" s="1"/>
  <c r="AO221" i="11"/>
  <c r="AH251" i="31" s="1"/>
  <c r="AS209" i="11"/>
  <c r="AL231" i="31" s="1"/>
  <c r="AS200" i="11"/>
  <c r="AE200" i="11"/>
  <c r="AH200" i="11"/>
  <c r="AL202" i="11"/>
  <c r="R149" i="31"/>
  <c r="AD221" i="11"/>
  <c r="AG221" i="11" s="1"/>
  <c r="AE251" i="31" s="1"/>
  <c r="AE221" i="11"/>
  <c r="AC251" i="31" s="1"/>
  <c r="AT209" i="11"/>
  <c r="AM231" i="31" s="1"/>
  <c r="AD209" i="11"/>
  <c r="AB231" i="31" s="1"/>
  <c r="AA251" i="31"/>
  <c r="AD200" i="11"/>
  <c r="AG200" i="11" s="1"/>
  <c r="AT200" i="11"/>
  <c r="AN136" i="11"/>
  <c r="AT202" i="11"/>
  <c r="AO161" i="11"/>
  <c r="AQ221" i="11"/>
  <c r="AJ251" i="31" s="1"/>
  <c r="AS221" i="11"/>
  <c r="AL251" i="31" s="1"/>
  <c r="AK146" i="11"/>
  <c r="AQ209" i="11"/>
  <c r="AJ231" i="31" s="1"/>
  <c r="AL209" i="11"/>
  <c r="AL221" i="11"/>
  <c r="AS212" i="11"/>
  <c r="AL235" i="31" s="1"/>
  <c r="AR212" i="11"/>
  <c r="AK235" i="31" s="1"/>
  <c r="AL212" i="11"/>
  <c r="AT32" i="96"/>
  <c r="AH32" i="96"/>
  <c r="Y32" i="96"/>
  <c r="BC46" i="96"/>
  <c r="AN46" i="96"/>
  <c r="V46" i="96"/>
  <c r="BF32" i="96"/>
  <c r="W135" i="31"/>
  <c r="AE212" i="11"/>
  <c r="AC235" i="31" s="1"/>
  <c r="AD212" i="11"/>
  <c r="AN164" i="11"/>
  <c r="Q455" i="8"/>
  <c r="L81" i="60" s="1"/>
  <c r="N81" i="60" s="1"/>
  <c r="P81" i="60" s="1"/>
  <c r="AZ46" i="96"/>
  <c r="AN32" i="96"/>
  <c r="V32" i="96"/>
  <c r="AT46" i="96"/>
  <c r="AH46" i="96"/>
  <c r="S46" i="96"/>
  <c r="P32" i="96"/>
  <c r="AQ212" i="11"/>
  <c r="AJ235" i="31" s="1"/>
  <c r="AO212" i="11"/>
  <c r="AH235" i="31" s="1"/>
  <c r="Q469" i="8"/>
  <c r="L95" i="60" s="1"/>
  <c r="AQ32" i="96"/>
  <c r="AE32" i="96"/>
  <c r="AW46" i="96"/>
  <c r="AK46" i="96"/>
  <c r="AB46" i="96"/>
  <c r="Q159" i="31"/>
  <c r="AO185" i="11"/>
  <c r="AH195" i="31" s="1"/>
  <c r="T148" i="11"/>
  <c r="R45" i="31" s="1"/>
  <c r="AO154" i="11"/>
  <c r="AQ185" i="11"/>
  <c r="AJ195" i="31" s="1"/>
  <c r="AA195" i="31"/>
  <c r="AS184" i="11"/>
  <c r="AL193" i="31" s="1"/>
  <c r="AL185" i="11"/>
  <c r="AQ205" i="11"/>
  <c r="AJ225" i="31" s="1"/>
  <c r="Y249" i="31"/>
  <c r="AN161" i="11"/>
  <c r="AD218" i="11"/>
  <c r="AG218" i="11" s="1"/>
  <c r="AE243" i="31" s="1"/>
  <c r="AQ203" i="11"/>
  <c r="AJ223" i="31" s="1"/>
  <c r="AR205" i="11"/>
  <c r="AK225" i="31" s="1"/>
  <c r="AE218" i="11"/>
  <c r="AC243" i="31" s="1"/>
  <c r="AG203" i="11"/>
  <c r="AE223" i="31" s="1"/>
  <c r="AT203" i="11"/>
  <c r="AM223" i="31" s="1"/>
  <c r="AO203" i="11"/>
  <c r="AH223" i="31" s="1"/>
  <c r="AA223" i="31"/>
  <c r="AE203" i="11"/>
  <c r="AC223" i="31" s="1"/>
  <c r="AP218" i="11"/>
  <c r="AI243" i="31" s="1"/>
  <c r="AR203" i="11"/>
  <c r="AK223" i="31" s="1"/>
  <c r="AG195" i="11"/>
  <c r="AE213" i="31" s="1"/>
  <c r="AE184" i="11"/>
  <c r="AC193" i="31" s="1"/>
  <c r="AP203" i="11"/>
  <c r="AI223" i="31" s="1"/>
  <c r="AH203" i="11"/>
  <c r="AF223" i="31" s="1"/>
  <c r="X193" i="31"/>
  <c r="AA34" i="11"/>
  <c r="X225" i="31"/>
  <c r="Z34" i="11"/>
  <c r="Z148" i="11"/>
  <c r="S159" i="31"/>
  <c r="AK152" i="11"/>
  <c r="AM34" i="11"/>
  <c r="V40" i="11"/>
  <c r="AC40" i="11" s="1"/>
  <c r="AF219" i="11"/>
  <c r="AD249" i="31" s="1"/>
  <c r="P159" i="31"/>
  <c r="U216" i="11"/>
  <c r="AA216" i="11" s="1"/>
  <c r="Y157" i="31" s="1"/>
  <c r="T127" i="11"/>
  <c r="R13" i="31" s="1"/>
  <c r="AA209" i="31"/>
  <c r="AO155" i="11"/>
  <c r="T219" i="11"/>
  <c r="R249" i="31" s="1"/>
  <c r="X159" i="31"/>
  <c r="T155" i="11"/>
  <c r="R55" i="31" s="1"/>
  <c r="P43" i="31"/>
  <c r="L49" i="68"/>
  <c r="AD193" i="11"/>
  <c r="AG193" i="11" s="1"/>
  <c r="AE209" i="31" s="1"/>
  <c r="CC41" i="45"/>
  <c r="AQ45" i="11"/>
  <c r="AL159" i="11"/>
  <c r="BD216" i="11"/>
  <c r="AO45" i="11"/>
  <c r="AP45" i="11"/>
  <c r="AJ159" i="11"/>
  <c r="AN45" i="11"/>
  <c r="BF216" i="11"/>
  <c r="BB216" i="11"/>
  <c r="AL45" i="11"/>
  <c r="BE216" i="11"/>
  <c r="AM159" i="11"/>
  <c r="BC216" i="11"/>
  <c r="AA13" i="11"/>
  <c r="Y103" i="31"/>
  <c r="W159" i="11"/>
  <c r="L47" i="68" s="1"/>
  <c r="AM13" i="11"/>
  <c r="AA127" i="11"/>
  <c r="AO127" i="11" s="1"/>
  <c r="AK148" i="11"/>
  <c r="W159" i="31"/>
  <c r="AQ193" i="11"/>
  <c r="AJ209" i="31" s="1"/>
  <c r="AR193" i="11"/>
  <c r="AK209" i="31" s="1"/>
  <c r="AS193" i="11"/>
  <c r="AL209" i="31" s="1"/>
  <c r="AE193" i="11"/>
  <c r="AC209" i="31" s="1"/>
  <c r="AL193" i="11"/>
  <c r="U45" i="31"/>
  <c r="AO193" i="11"/>
  <c r="AH209" i="31" s="1"/>
  <c r="AP193" i="11"/>
  <c r="AI209" i="31" s="1"/>
  <c r="S159" i="11"/>
  <c r="Q67" i="31" s="1"/>
  <c r="AO205" i="11"/>
  <c r="AH225" i="31" s="1"/>
  <c r="AT205" i="11"/>
  <c r="AM225" i="31" s="1"/>
  <c r="AA225" i="31"/>
  <c r="AR202" i="11"/>
  <c r="AO202" i="11"/>
  <c r="N33" i="68" s="1"/>
  <c r="Z209" i="11"/>
  <c r="X141" i="31" s="1"/>
  <c r="AR218" i="11"/>
  <c r="AK243" i="31" s="1"/>
  <c r="AS218" i="11"/>
  <c r="AL243" i="31" s="1"/>
  <c r="AA193" i="31"/>
  <c r="AQ184" i="11"/>
  <c r="AJ193" i="31" s="1"/>
  <c r="AL184" i="11"/>
  <c r="AS205" i="11"/>
  <c r="AL225" i="31" s="1"/>
  <c r="AL205" i="11"/>
  <c r="AD202" i="11"/>
  <c r="AG202" i="11" s="1"/>
  <c r="AS202" i="11"/>
  <c r="AQ202" i="11"/>
  <c r="R141" i="31"/>
  <c r="AQ218" i="11"/>
  <c r="AJ243" i="31" s="1"/>
  <c r="AA243" i="31"/>
  <c r="AT218" i="11"/>
  <c r="AM243" i="31" s="1"/>
  <c r="AO184" i="11"/>
  <c r="AH193" i="31" s="1"/>
  <c r="AD184" i="11"/>
  <c r="AG184" i="11" s="1"/>
  <c r="AE193" i="31" s="1"/>
  <c r="Y152" i="11"/>
  <c r="W51" i="31" s="1"/>
  <c r="O67" i="31"/>
  <c r="AE205" i="11"/>
  <c r="AC225" i="31" s="1"/>
  <c r="AP202" i="11"/>
  <c r="Y154" i="11"/>
  <c r="W53" i="31" s="1"/>
  <c r="AH218" i="11"/>
  <c r="AF243" i="31" s="1"/>
  <c r="AL218" i="11"/>
  <c r="U136" i="11"/>
  <c r="S29" i="31" s="1"/>
  <c r="AR184" i="11"/>
  <c r="AK193" i="31" s="1"/>
  <c r="AP184" i="11"/>
  <c r="AI193" i="31" s="1"/>
  <c r="U152" i="11"/>
  <c r="AA152" i="11" s="1"/>
  <c r="AO152" i="11" s="1"/>
  <c r="AA231" i="31"/>
  <c r="AO209" i="11"/>
  <c r="AA209" i="11"/>
  <c r="Y141" i="31" s="1"/>
  <c r="Z38" i="11"/>
  <c r="U55" i="31"/>
  <c r="L15" i="68"/>
  <c r="AC216" i="11"/>
  <c r="AE216" i="11" s="1"/>
  <c r="AC247" i="31" s="1"/>
  <c r="R102" i="11"/>
  <c r="Y102" i="11" s="1"/>
  <c r="Y159" i="11"/>
  <c r="W67" i="31" s="1"/>
  <c r="W233" i="31"/>
  <c r="AO157" i="11"/>
  <c r="X59" i="31"/>
  <c r="AN157" i="11"/>
  <c r="AD159" i="11"/>
  <c r="AK159" i="11" s="1"/>
  <c r="AK216" i="11"/>
  <c r="AL211" i="11"/>
  <c r="R159" i="11"/>
  <c r="P67" i="31" s="1"/>
  <c r="AD211" i="11"/>
  <c r="AP211" i="11" s="1"/>
  <c r="AI233" i="31" s="1"/>
  <c r="AO211" i="11"/>
  <c r="AH233" i="31" s="1"/>
  <c r="V38" i="11"/>
  <c r="AC38" i="11" s="1"/>
  <c r="L24" i="68"/>
  <c r="P53" i="31"/>
  <c r="AA233" i="31"/>
  <c r="T154" i="11"/>
  <c r="Z154" i="11" s="1"/>
  <c r="AE211" i="11"/>
  <c r="AC233" i="31" s="1"/>
  <c r="Y59" i="31"/>
  <c r="AH253" i="31"/>
  <c r="N53" i="68"/>
  <c r="N36" i="68"/>
  <c r="N16" i="68"/>
  <c r="N52" i="68"/>
  <c r="U43" i="31"/>
  <c r="L34" i="68"/>
  <c r="P71" i="31"/>
  <c r="T164" i="11"/>
  <c r="R71" i="31" s="1"/>
  <c r="AH243" i="31"/>
  <c r="N49" i="68"/>
  <c r="U53" i="31"/>
  <c r="L42" i="68"/>
  <c r="N34" i="68"/>
  <c r="N15" i="68"/>
  <c r="N90" i="60"/>
  <c r="P90" i="60" s="1"/>
  <c r="N98" i="60"/>
  <c r="P98" i="60" s="1"/>
  <c r="N76" i="60"/>
  <c r="P76" i="60" s="1"/>
  <c r="N95" i="60"/>
  <c r="P95" i="60" s="1"/>
  <c r="N93" i="60"/>
  <c r="P93" i="60" s="1"/>
  <c r="N24" i="68"/>
  <c r="N43" i="68"/>
  <c r="U15" i="31"/>
  <c r="L16" i="68"/>
  <c r="N69" i="60"/>
  <c r="P69" i="60" s="1"/>
  <c r="Y162" i="11"/>
  <c r="W69" i="31" s="1"/>
  <c r="AD162" i="11"/>
  <c r="AK162" i="11" s="1"/>
  <c r="AA162" i="11"/>
  <c r="AC219" i="11"/>
  <c r="AK219" i="11"/>
  <c r="W162" i="11"/>
  <c r="Z162" i="11"/>
  <c r="O69" i="31"/>
  <c r="U162" i="11"/>
  <c r="S69" i="31" s="1"/>
  <c r="R48" i="11"/>
  <c r="Y48" i="11" s="1"/>
  <c r="S162" i="11"/>
  <c r="Q69" i="31" s="1"/>
  <c r="X162" i="11"/>
  <c r="V69" i="31" s="1"/>
  <c r="R162" i="11"/>
  <c r="BG56" i="96"/>
  <c r="BI56" i="96" s="1"/>
  <c r="BG55" i="96"/>
  <c r="BI55" i="96" s="1"/>
  <c r="BG53" i="96"/>
  <c r="BI53" i="96" s="1"/>
  <c r="BG52" i="96"/>
  <c r="BI52" i="96" s="1"/>
  <c r="BG51" i="96"/>
  <c r="BI51" i="96" s="1"/>
  <c r="BG57" i="96"/>
  <c r="BI57" i="96" s="1"/>
  <c r="BG58" i="96"/>
  <c r="BI58" i="96" s="1"/>
  <c r="BG54" i="96"/>
  <c r="BI54" i="96" s="1"/>
  <c r="BG47" i="96"/>
  <c r="BI47" i="96" s="1"/>
  <c r="BG43" i="96"/>
  <c r="BI43" i="96" s="1"/>
  <c r="BG39" i="96"/>
  <c r="BI39" i="96" s="1"/>
  <c r="BG35" i="96"/>
  <c r="BI35" i="96" s="1"/>
  <c r="BG31" i="96"/>
  <c r="BI31" i="96" s="1"/>
  <c r="BG27" i="96"/>
  <c r="BI27" i="96" s="1"/>
  <c r="BG23" i="96"/>
  <c r="BI23" i="96" s="1"/>
  <c r="BG19" i="96"/>
  <c r="BI19" i="96" s="1"/>
  <c r="BG15" i="96"/>
  <c r="BI15" i="96" s="1"/>
  <c r="BG11" i="96"/>
  <c r="BI11" i="96" s="1"/>
  <c r="BG48" i="96"/>
  <c r="BI48" i="96" s="1"/>
  <c r="BG44" i="96"/>
  <c r="BI44" i="96" s="1"/>
  <c r="BG40" i="96"/>
  <c r="BI40" i="96" s="1"/>
  <c r="BG36" i="96"/>
  <c r="BI36" i="96" s="1"/>
  <c r="BG32" i="96"/>
  <c r="BI32" i="96" s="1"/>
  <c r="BG28" i="96"/>
  <c r="BI28" i="96" s="1"/>
  <c r="BG24" i="96"/>
  <c r="BI24" i="96" s="1"/>
  <c r="BG20" i="96"/>
  <c r="BI20" i="96" s="1"/>
  <c r="BG16" i="96"/>
  <c r="BI16" i="96" s="1"/>
  <c r="BG12" i="96"/>
  <c r="BI12" i="96" s="1"/>
  <c r="BG49" i="96"/>
  <c r="BI49" i="96" s="1"/>
  <c r="BG45" i="96"/>
  <c r="BI45" i="96" s="1"/>
  <c r="BG41" i="96"/>
  <c r="BI41" i="96" s="1"/>
  <c r="BG37" i="96"/>
  <c r="BI37" i="96" s="1"/>
  <c r="BG33" i="96"/>
  <c r="BI33" i="96" s="1"/>
  <c r="BG29" i="96"/>
  <c r="BI29" i="96" s="1"/>
  <c r="BG25" i="96"/>
  <c r="BI25" i="96" s="1"/>
  <c r="BG21" i="96"/>
  <c r="BI21" i="96" s="1"/>
  <c r="BG17" i="96"/>
  <c r="BI17" i="96" s="1"/>
  <c r="BG13" i="96"/>
  <c r="BI13" i="96" s="1"/>
  <c r="BG9" i="96"/>
  <c r="BI9" i="96" s="1"/>
  <c r="BG46" i="96"/>
  <c r="BI46" i="96" s="1"/>
  <c r="BG42" i="96"/>
  <c r="BI42" i="96" s="1"/>
  <c r="BG38" i="96"/>
  <c r="BI38" i="96" s="1"/>
  <c r="BG34" i="96"/>
  <c r="BI34" i="96" s="1"/>
  <c r="BG30" i="96"/>
  <c r="BI30" i="96" s="1"/>
  <c r="BG26" i="96"/>
  <c r="BI26" i="96" s="1"/>
  <c r="BG22" i="96"/>
  <c r="BI22" i="96" s="1"/>
  <c r="BG18" i="96"/>
  <c r="BI18" i="96" s="1"/>
  <c r="BG14" i="96"/>
  <c r="BI14" i="96" s="1"/>
  <c r="BG10" i="96"/>
  <c r="BI10" i="96" s="1"/>
  <c r="BC43" i="96"/>
  <c r="P43" i="96"/>
  <c r="V43" i="96"/>
  <c r="S43" i="96"/>
  <c r="AB43" i="96"/>
  <c r="Y43" i="96"/>
  <c r="AE43" i="96"/>
  <c r="AH43" i="96"/>
  <c r="AK43" i="96"/>
  <c r="AN43" i="96"/>
  <c r="AQ43" i="96"/>
  <c r="AT43" i="96"/>
  <c r="AW43" i="96"/>
  <c r="AZ43" i="96"/>
  <c r="BF43" i="96"/>
  <c r="BK7" i="96"/>
  <c r="BK46" i="96"/>
  <c r="BK42" i="96"/>
  <c r="BK38" i="96"/>
  <c r="BK34" i="96"/>
  <c r="BK30" i="96"/>
  <c r="BK26" i="96"/>
  <c r="BK22" i="96"/>
  <c r="BK18" i="96"/>
  <c r="BK14" i="96"/>
  <c r="BK10" i="96"/>
  <c r="BK47" i="96"/>
  <c r="BK43" i="96"/>
  <c r="BK39" i="96"/>
  <c r="BK35" i="96"/>
  <c r="BK31" i="96"/>
  <c r="BK27" i="96"/>
  <c r="BK23" i="96"/>
  <c r="BK19" i="96"/>
  <c r="BK15" i="96"/>
  <c r="BK11" i="96"/>
  <c r="BK48" i="96"/>
  <c r="BK44" i="96"/>
  <c r="BK40" i="96"/>
  <c r="BK36" i="96"/>
  <c r="BK32" i="96"/>
  <c r="BK28" i="96"/>
  <c r="BK24" i="96"/>
  <c r="BK20" i="96"/>
  <c r="BK16" i="96"/>
  <c r="BK12" i="96"/>
  <c r="BK49" i="96"/>
  <c r="BK45" i="96"/>
  <c r="BK41" i="96"/>
  <c r="BK37" i="96"/>
  <c r="BK33" i="96"/>
  <c r="BK29" i="96"/>
  <c r="BK25" i="96"/>
  <c r="BK21" i="96"/>
  <c r="BK17" i="96"/>
  <c r="BK13" i="96"/>
  <c r="BK9" i="96"/>
  <c r="Q466" i="8"/>
  <c r="L92" i="60" s="1"/>
  <c r="N92" i="60" s="1"/>
  <c r="P88" i="60"/>
  <c r="P94" i="60"/>
  <c r="P97" i="60"/>
  <c r="P87" i="60"/>
  <c r="AC43" i="11"/>
  <c r="P61" i="60"/>
  <c r="P60" i="60"/>
  <c r="AH209" i="11"/>
  <c r="AF231" i="31" s="1"/>
  <c r="AB251" i="31"/>
  <c r="AM32" i="11"/>
  <c r="AC32" i="11"/>
  <c r="AA128" i="11"/>
  <c r="Y15" i="31" s="1"/>
  <c r="X43" i="31"/>
  <c r="AN146" i="11"/>
  <c r="X51" i="31"/>
  <c r="AN152" i="11"/>
  <c r="AK154" i="11"/>
  <c r="AH184" i="11"/>
  <c r="AF193" i="31" s="1"/>
  <c r="AA14" i="11"/>
  <c r="S103" i="31"/>
  <c r="S193" i="31"/>
  <c r="AB193" i="31"/>
  <c r="R193" i="31"/>
  <c r="R103" i="31"/>
  <c r="AC14" i="11"/>
  <c r="X57" i="31"/>
  <c r="AN156" i="11"/>
  <c r="AM213" i="11"/>
  <c r="Y57" i="31"/>
  <c r="AM40" i="11"/>
  <c r="X33" i="31"/>
  <c r="AN138" i="11"/>
  <c r="AS203" i="11"/>
  <c r="AL223" i="31" s="1"/>
  <c r="X237" i="31"/>
  <c r="X147" i="31"/>
  <c r="X251" i="31"/>
  <c r="X161" i="31"/>
  <c r="X239" i="31"/>
  <c r="X149" i="31"/>
  <c r="W153" i="31"/>
  <c r="W243" i="31"/>
  <c r="Y223" i="31"/>
  <c r="Y133" i="31"/>
  <c r="X223" i="31"/>
  <c r="X133" i="31"/>
  <c r="R243" i="31"/>
  <c r="R153" i="31"/>
  <c r="AO146" i="11"/>
  <c r="Y43" i="31"/>
  <c r="AM203" i="11"/>
  <c r="Z40" i="11"/>
  <c r="AH185" i="11"/>
  <c r="AF195" i="31" s="1"/>
  <c r="AM14" i="11"/>
  <c r="AH211" i="11"/>
  <c r="AF233" i="31" s="1"/>
  <c r="AK128" i="11"/>
  <c r="Z128" i="11"/>
  <c r="X15" i="31" s="1"/>
  <c r="Z14" i="11"/>
  <c r="S15" i="31"/>
  <c r="AJ185" i="11"/>
  <c r="AS195" i="11"/>
  <c r="AL213" i="31" s="1"/>
  <c r="V105" i="31"/>
  <c r="V195" i="31"/>
  <c r="AN128" i="11"/>
  <c r="AP185" i="11"/>
  <c r="AI195" i="31" s="1"/>
  <c r="AB195" i="31"/>
  <c r="AG185" i="11"/>
  <c r="X213" i="31"/>
  <c r="X123" i="31"/>
  <c r="R105" i="31"/>
  <c r="R195" i="31"/>
  <c r="Z185" i="11"/>
  <c r="AF213" i="31"/>
  <c r="AT195" i="11"/>
  <c r="AM213" i="31" s="1"/>
  <c r="AT185" i="11"/>
  <c r="AM195" i="31" s="1"/>
  <c r="W195" i="31"/>
  <c r="W105" i="31"/>
  <c r="AR185" i="11"/>
  <c r="AK195" i="31" s="1"/>
  <c r="AQ211" i="11"/>
  <c r="AJ233" i="31" s="1"/>
  <c r="AH212" i="11"/>
  <c r="AF235" i="31" s="1"/>
  <c r="S53" i="31"/>
  <c r="AJ211" i="11"/>
  <c r="AM211" i="11" s="1"/>
  <c r="AB225" i="31"/>
  <c r="AG205" i="11"/>
  <c r="AE225" i="31" s="1"/>
  <c r="R253" i="31"/>
  <c r="R163" i="31"/>
  <c r="AB253" i="31"/>
  <c r="AG222" i="11"/>
  <c r="AE253" i="31" s="1"/>
  <c r="AB209" i="31"/>
  <c r="W157" i="31"/>
  <c r="W247" i="31"/>
  <c r="Q157" i="31"/>
  <c r="Q247" i="31"/>
  <c r="T45" i="11"/>
  <c r="V45" i="11" s="1"/>
  <c r="AC45" i="11" s="1"/>
  <c r="AF45" i="11"/>
  <c r="X45" i="11"/>
  <c r="S45" i="11"/>
  <c r="U45" i="11" s="1"/>
  <c r="AB45" i="11" s="1"/>
  <c r="R135" i="31"/>
  <c r="R225" i="31"/>
  <c r="R119" i="31"/>
  <c r="R209" i="31"/>
  <c r="R233" i="31"/>
  <c r="R143" i="31"/>
  <c r="Z211" i="11"/>
  <c r="AB235" i="31"/>
  <c r="AG212" i="11"/>
  <c r="AE235" i="31" s="1"/>
  <c r="R145" i="31"/>
  <c r="R235" i="31"/>
  <c r="P157" i="31"/>
  <c r="T216" i="11"/>
  <c r="Z216" i="11" s="1"/>
  <c r="X157" i="31" s="1"/>
  <c r="AF216" i="11"/>
  <c r="AD247" i="31" s="1"/>
  <c r="P247" i="31"/>
  <c r="V247" i="31"/>
  <c r="V157" i="31"/>
  <c r="U247" i="31"/>
  <c r="U157" i="31"/>
  <c r="X231" i="31" l="1"/>
  <c r="Y247" i="31"/>
  <c r="AM209" i="11"/>
  <c r="AB243" i="31"/>
  <c r="S247" i="31"/>
  <c r="R159" i="31"/>
  <c r="AG209" i="11"/>
  <c r="AE231" i="31" s="1"/>
  <c r="S157" i="31"/>
  <c r="AQ216" i="11"/>
  <c r="AJ247" i="31" s="1"/>
  <c r="AT216" i="11"/>
  <c r="AM247" i="31" s="1"/>
  <c r="R53" i="31"/>
  <c r="Y231" i="31"/>
  <c r="Y51" i="31"/>
  <c r="X45" i="31"/>
  <c r="AN148" i="11"/>
  <c r="AA45" i="11"/>
  <c r="AH193" i="11"/>
  <c r="AF209" i="31" s="1"/>
  <c r="U67" i="31"/>
  <c r="AB233" i="31"/>
  <c r="Z127" i="11"/>
  <c r="X247" i="31"/>
  <c r="X159" i="11"/>
  <c r="V67" i="31" s="1"/>
  <c r="AM45" i="11"/>
  <c r="AM184" i="11"/>
  <c r="Y13" i="31"/>
  <c r="Z45" i="11"/>
  <c r="AP216" i="11"/>
  <c r="AI247" i="31" s="1"/>
  <c r="AR216" i="11"/>
  <c r="AK247" i="31" s="1"/>
  <c r="T159" i="11"/>
  <c r="AS216" i="11"/>
  <c r="AL247" i="31" s="1"/>
  <c r="AA247" i="31"/>
  <c r="AL216" i="11"/>
  <c r="AD216" i="11"/>
  <c r="AG216" i="11" s="1"/>
  <c r="AE247" i="31" s="1"/>
  <c r="AO216" i="11"/>
  <c r="N47" i="68" s="1"/>
  <c r="S51" i="31"/>
  <c r="AG211" i="11"/>
  <c r="AE233" i="31" s="1"/>
  <c r="AH205" i="11"/>
  <c r="AF225" i="31" s="1"/>
  <c r="U159" i="11"/>
  <c r="N40" i="68"/>
  <c r="AH231" i="31"/>
  <c r="AO128" i="11"/>
  <c r="N42" i="68"/>
  <c r="X69" i="31"/>
  <c r="AN162" i="11"/>
  <c r="AO162" i="11"/>
  <c r="Y69" i="31"/>
  <c r="AE219" i="11"/>
  <c r="AC249" i="31" s="1"/>
  <c r="AP219" i="11"/>
  <c r="AI249" i="31" s="1"/>
  <c r="AR219" i="11"/>
  <c r="AK249" i="31" s="1"/>
  <c r="AL219" i="11"/>
  <c r="AQ219" i="11"/>
  <c r="AJ249" i="31" s="1"/>
  <c r="AA249" i="31"/>
  <c r="AT219" i="11"/>
  <c r="AM249" i="31" s="1"/>
  <c r="AD219" i="11"/>
  <c r="AO219" i="11"/>
  <c r="AH219" i="11"/>
  <c r="AF249" i="31" s="1"/>
  <c r="AS219" i="11"/>
  <c r="AL249" i="31" s="1"/>
  <c r="T162" i="11"/>
  <c r="R69" i="31" s="1"/>
  <c r="P69" i="31"/>
  <c r="U69" i="31"/>
  <c r="L50" i="68"/>
  <c r="BJ55" i="96"/>
  <c r="BL55" i="96" s="1"/>
  <c r="BJ57" i="96"/>
  <c r="BL57" i="96" s="1"/>
  <c r="BJ56" i="96"/>
  <c r="BL56" i="96" s="1"/>
  <c r="BJ54" i="96"/>
  <c r="BL54" i="96" s="1"/>
  <c r="BJ53" i="96"/>
  <c r="BL53" i="96" s="1"/>
  <c r="BJ52" i="96"/>
  <c r="BL52" i="96" s="1"/>
  <c r="BJ58" i="96"/>
  <c r="BL58" i="96" s="1"/>
  <c r="BJ51" i="96"/>
  <c r="BL51" i="96" s="1"/>
  <c r="BJ46" i="96"/>
  <c r="BL46" i="96" s="1"/>
  <c r="BJ42" i="96"/>
  <c r="BL42" i="96" s="1"/>
  <c r="BJ38" i="96"/>
  <c r="BL38" i="96" s="1"/>
  <c r="BJ34" i="96"/>
  <c r="BL34" i="96" s="1"/>
  <c r="BJ30" i="96"/>
  <c r="BL30" i="96" s="1"/>
  <c r="BJ26" i="96"/>
  <c r="BL26" i="96" s="1"/>
  <c r="BJ22" i="96"/>
  <c r="BL22" i="96" s="1"/>
  <c r="BJ18" i="96"/>
  <c r="BJ14" i="96"/>
  <c r="BL14" i="96" s="1"/>
  <c r="BJ10" i="96"/>
  <c r="BL10" i="96" s="1"/>
  <c r="BJ47" i="96"/>
  <c r="BL47" i="96" s="1"/>
  <c r="BJ43" i="96"/>
  <c r="BL43" i="96" s="1"/>
  <c r="BJ39" i="96"/>
  <c r="BL39" i="96" s="1"/>
  <c r="BJ35" i="96"/>
  <c r="BL35" i="96" s="1"/>
  <c r="BJ31" i="96"/>
  <c r="BL31" i="96" s="1"/>
  <c r="BJ27" i="96"/>
  <c r="BL27" i="96" s="1"/>
  <c r="BJ23" i="96"/>
  <c r="BL23" i="96" s="1"/>
  <c r="BJ19" i="96"/>
  <c r="BL19" i="96" s="1"/>
  <c r="BJ15" i="96"/>
  <c r="BL15" i="96" s="1"/>
  <c r="BJ11" i="96"/>
  <c r="BL11" i="96" s="1"/>
  <c r="BJ48" i="96"/>
  <c r="BL48" i="96" s="1"/>
  <c r="BJ44" i="96"/>
  <c r="BL44" i="96" s="1"/>
  <c r="BJ40" i="96"/>
  <c r="BL40" i="96" s="1"/>
  <c r="BJ36" i="96"/>
  <c r="BL36" i="96" s="1"/>
  <c r="BJ32" i="96"/>
  <c r="BL32" i="96" s="1"/>
  <c r="BJ28" i="96"/>
  <c r="BL28" i="96" s="1"/>
  <c r="BJ24" i="96"/>
  <c r="BL24" i="96" s="1"/>
  <c r="BJ20" i="96"/>
  <c r="BL20" i="96" s="1"/>
  <c r="BJ16" i="96"/>
  <c r="BL16" i="96" s="1"/>
  <c r="BJ12" i="96"/>
  <c r="BL12" i="96" s="1"/>
  <c r="BJ49" i="96"/>
  <c r="BL49" i="96" s="1"/>
  <c r="BJ45" i="96"/>
  <c r="BL45" i="96" s="1"/>
  <c r="BJ41" i="96"/>
  <c r="BL41" i="96" s="1"/>
  <c r="BJ37" i="96"/>
  <c r="BL37" i="96" s="1"/>
  <c r="BJ33" i="96"/>
  <c r="BL33" i="96" s="1"/>
  <c r="BJ29" i="96"/>
  <c r="BL29" i="96" s="1"/>
  <c r="BJ25" i="96"/>
  <c r="BL25" i="96" s="1"/>
  <c r="BJ21" i="96"/>
  <c r="BL21" i="96" s="1"/>
  <c r="BJ17" i="96"/>
  <c r="BL17" i="96" s="1"/>
  <c r="BJ13" i="96"/>
  <c r="BL13" i="96" s="1"/>
  <c r="BJ9" i="96"/>
  <c r="BL9" i="96" s="1"/>
  <c r="BN7" i="96"/>
  <c r="BN49" i="96"/>
  <c r="BN45" i="96"/>
  <c r="BN41" i="96"/>
  <c r="BN37" i="96"/>
  <c r="BN33" i="96"/>
  <c r="BN29" i="96"/>
  <c r="BN25" i="96"/>
  <c r="BN21" i="96"/>
  <c r="BN17" i="96"/>
  <c r="BN13" i="96"/>
  <c r="BN9" i="96"/>
  <c r="BN46" i="96"/>
  <c r="BN42" i="96"/>
  <c r="BN38" i="96"/>
  <c r="BN34" i="96"/>
  <c r="BN30" i="96"/>
  <c r="BN26" i="96"/>
  <c r="BN22" i="96"/>
  <c r="BN18" i="96"/>
  <c r="BN14" i="96"/>
  <c r="BN10" i="96"/>
  <c r="BN47" i="96"/>
  <c r="BN43" i="96"/>
  <c r="BN39" i="96"/>
  <c r="BN35" i="96"/>
  <c r="BN31" i="96"/>
  <c r="BN27" i="96"/>
  <c r="BN23" i="96"/>
  <c r="BN19" i="96"/>
  <c r="BN15" i="96"/>
  <c r="BN11" i="96"/>
  <c r="BN48" i="96"/>
  <c r="BN44" i="96"/>
  <c r="BN40" i="96"/>
  <c r="BN36" i="96"/>
  <c r="BN32" i="96"/>
  <c r="BN28" i="96"/>
  <c r="BN24" i="96"/>
  <c r="BN20" i="96"/>
  <c r="BN16" i="96"/>
  <c r="BN12" i="96"/>
  <c r="BL18" i="96"/>
  <c r="P92" i="60"/>
  <c r="P108" i="60" s="1"/>
  <c r="P109" i="60" s="1"/>
  <c r="P110" i="60" s="1"/>
  <c r="AM185" i="11"/>
  <c r="X53" i="31"/>
  <c r="AN154" i="11"/>
  <c r="AH216" i="11"/>
  <c r="AF247" i="31" s="1"/>
  <c r="AE195" i="31"/>
  <c r="AS185" i="11"/>
  <c r="AL195" i="31" s="1"/>
  <c r="AT211" i="11"/>
  <c r="AM233" i="31" s="1"/>
  <c r="X105" i="31"/>
  <c r="X195" i="31"/>
  <c r="AS211" i="11"/>
  <c r="AL233" i="31" s="1"/>
  <c r="R157" i="31"/>
  <c r="R247" i="31"/>
  <c r="X233" i="31"/>
  <c r="X143" i="31"/>
  <c r="X13" i="31" l="1"/>
  <c r="AN127" i="11"/>
  <c r="AB247" i="31"/>
  <c r="R67" i="31"/>
  <c r="Z159" i="11"/>
  <c r="S67" i="31"/>
  <c r="AA159" i="11"/>
  <c r="AO159" i="11" s="1"/>
  <c r="AH247" i="31"/>
  <c r="AG219" i="11"/>
  <c r="AE249" i="31" s="1"/>
  <c r="AB249" i="31"/>
  <c r="AH249" i="31"/>
  <c r="N50" i="68"/>
  <c r="BM58" i="96"/>
  <c r="BO58" i="96" s="1"/>
  <c r="BM57" i="96"/>
  <c r="BO57" i="96" s="1"/>
  <c r="BM56" i="96"/>
  <c r="BO56" i="96" s="1"/>
  <c r="BM55" i="96"/>
  <c r="BO55" i="96" s="1"/>
  <c r="BM53" i="96"/>
  <c r="BO53" i="96" s="1"/>
  <c r="BM54" i="96"/>
  <c r="BO54" i="96" s="1"/>
  <c r="BM51" i="96"/>
  <c r="BO51" i="96" s="1"/>
  <c r="BM52" i="96"/>
  <c r="BO52" i="96" s="1"/>
  <c r="BM49" i="96"/>
  <c r="BO49" i="96" s="1"/>
  <c r="BM45" i="96"/>
  <c r="BO45" i="96" s="1"/>
  <c r="BM41" i="96"/>
  <c r="BO41" i="96" s="1"/>
  <c r="BM37" i="96"/>
  <c r="BO37" i="96" s="1"/>
  <c r="BM33" i="96"/>
  <c r="BO33" i="96" s="1"/>
  <c r="BM29" i="96"/>
  <c r="BO29" i="96" s="1"/>
  <c r="BM25" i="96"/>
  <c r="BO25" i="96" s="1"/>
  <c r="BM21" i="96"/>
  <c r="BO21" i="96" s="1"/>
  <c r="BM17" i="96"/>
  <c r="BO17" i="96" s="1"/>
  <c r="BM13" i="96"/>
  <c r="BM9" i="96"/>
  <c r="BO9" i="96" s="1"/>
  <c r="BM46" i="96"/>
  <c r="BO46" i="96" s="1"/>
  <c r="BM42" i="96"/>
  <c r="BO42" i="96" s="1"/>
  <c r="BM38" i="96"/>
  <c r="BO38" i="96" s="1"/>
  <c r="BM34" i="96"/>
  <c r="BO34" i="96" s="1"/>
  <c r="BM30" i="96"/>
  <c r="BO30" i="96" s="1"/>
  <c r="BM26" i="96"/>
  <c r="BO26" i="96" s="1"/>
  <c r="BM22" i="96"/>
  <c r="BO22" i="96" s="1"/>
  <c r="BM18" i="96"/>
  <c r="BO18" i="96" s="1"/>
  <c r="BM14" i="96"/>
  <c r="BO14" i="96" s="1"/>
  <c r="BM10" i="96"/>
  <c r="BO10" i="96" s="1"/>
  <c r="BM47" i="96"/>
  <c r="BO47" i="96" s="1"/>
  <c r="BM43" i="96"/>
  <c r="BO43" i="96" s="1"/>
  <c r="BM39" i="96"/>
  <c r="BO39" i="96" s="1"/>
  <c r="BM35" i="96"/>
  <c r="BO35" i="96" s="1"/>
  <c r="BM31" i="96"/>
  <c r="BO31" i="96" s="1"/>
  <c r="BM27" i="96"/>
  <c r="BO27" i="96" s="1"/>
  <c r="BM23" i="96"/>
  <c r="BO23" i="96" s="1"/>
  <c r="BM19" i="96"/>
  <c r="BO19" i="96" s="1"/>
  <c r="BM15" i="96"/>
  <c r="BO15" i="96" s="1"/>
  <c r="BM11" i="96"/>
  <c r="BO11" i="96" s="1"/>
  <c r="BM48" i="96"/>
  <c r="BO48" i="96" s="1"/>
  <c r="BM44" i="96"/>
  <c r="BO44" i="96" s="1"/>
  <c r="BM40" i="96"/>
  <c r="BO40" i="96" s="1"/>
  <c r="BM36" i="96"/>
  <c r="BO36" i="96" s="1"/>
  <c r="BM32" i="96"/>
  <c r="BO32" i="96" s="1"/>
  <c r="BM28" i="96"/>
  <c r="BO28" i="96" s="1"/>
  <c r="BM24" i="96"/>
  <c r="BO24" i="96" s="1"/>
  <c r="BM20" i="96"/>
  <c r="BO20" i="96" s="1"/>
  <c r="BM16" i="96"/>
  <c r="BO16" i="96" s="1"/>
  <c r="BM12" i="96"/>
  <c r="BO12" i="96" s="1"/>
  <c r="BO13" i="96"/>
  <c r="BQ7" i="96"/>
  <c r="BQ48" i="96"/>
  <c r="BQ44" i="96"/>
  <c r="BQ40" i="96"/>
  <c r="BQ36" i="96"/>
  <c r="BQ32" i="96"/>
  <c r="BQ28" i="96"/>
  <c r="BQ24" i="96"/>
  <c r="BQ20" i="96"/>
  <c r="BQ16" i="96"/>
  <c r="BQ12" i="96"/>
  <c r="BQ49" i="96"/>
  <c r="BQ45" i="96"/>
  <c r="BQ41" i="96"/>
  <c r="BQ37" i="96"/>
  <c r="BQ33" i="96"/>
  <c r="BQ29" i="96"/>
  <c r="BQ25" i="96"/>
  <c r="BQ21" i="96"/>
  <c r="BQ17" i="96"/>
  <c r="BQ13" i="96"/>
  <c r="BQ9" i="96"/>
  <c r="BQ46" i="96"/>
  <c r="BQ42" i="96"/>
  <c r="BQ38" i="96"/>
  <c r="BQ34" i="96"/>
  <c r="BQ30" i="96"/>
  <c r="BQ26" i="96"/>
  <c r="BQ22" i="96"/>
  <c r="BQ18" i="96"/>
  <c r="BQ14" i="96"/>
  <c r="BQ10" i="96"/>
  <c r="BQ47" i="96"/>
  <c r="BQ43" i="96"/>
  <c r="BQ39" i="96"/>
  <c r="BQ35" i="96"/>
  <c r="BQ31" i="96"/>
  <c r="BQ27" i="96"/>
  <c r="BQ23" i="96"/>
  <c r="BQ19" i="96"/>
  <c r="BQ15" i="96"/>
  <c r="BQ11" i="96"/>
  <c r="X67" i="31" l="1"/>
  <c r="AN159" i="11"/>
  <c r="AM216" i="11"/>
  <c r="Y67" i="31"/>
  <c r="BP56" i="96"/>
  <c r="BR56" i="96" s="1"/>
  <c r="BP51" i="96"/>
  <c r="BR51" i="96" s="1"/>
  <c r="BP58" i="96"/>
  <c r="BR58" i="96" s="1"/>
  <c r="BP55" i="96"/>
  <c r="BR55" i="96" s="1"/>
  <c r="BP57" i="96"/>
  <c r="BR57" i="96" s="1"/>
  <c r="BP54" i="96"/>
  <c r="BR54" i="96" s="1"/>
  <c r="BP53" i="96"/>
  <c r="BR53" i="96" s="1"/>
  <c r="BP52" i="96"/>
  <c r="BR52" i="96" s="1"/>
  <c r="BP48" i="96"/>
  <c r="BR48" i="96" s="1"/>
  <c r="BP44" i="96"/>
  <c r="BR44" i="96" s="1"/>
  <c r="BP40" i="96"/>
  <c r="BR40" i="96" s="1"/>
  <c r="BP36" i="96"/>
  <c r="BR36" i="96" s="1"/>
  <c r="BP32" i="96"/>
  <c r="BR32" i="96" s="1"/>
  <c r="BP28" i="96"/>
  <c r="BR28" i="96" s="1"/>
  <c r="BP24" i="96"/>
  <c r="BR24" i="96" s="1"/>
  <c r="BP20" i="96"/>
  <c r="BR20" i="96" s="1"/>
  <c r="BP16" i="96"/>
  <c r="BR16" i="96" s="1"/>
  <c r="BP12" i="96"/>
  <c r="BR12" i="96" s="1"/>
  <c r="BP49" i="96"/>
  <c r="BR49" i="96" s="1"/>
  <c r="BP45" i="96"/>
  <c r="BR45" i="96" s="1"/>
  <c r="BP41" i="96"/>
  <c r="BR41" i="96" s="1"/>
  <c r="BP37" i="96"/>
  <c r="BR37" i="96" s="1"/>
  <c r="BP33" i="96"/>
  <c r="BR33" i="96" s="1"/>
  <c r="BP29" i="96"/>
  <c r="BR29" i="96" s="1"/>
  <c r="BP25" i="96"/>
  <c r="BR25" i="96" s="1"/>
  <c r="BP21" i="96"/>
  <c r="BR21" i="96" s="1"/>
  <c r="BP17" i="96"/>
  <c r="BR17" i="96" s="1"/>
  <c r="BP13" i="96"/>
  <c r="BR13" i="96" s="1"/>
  <c r="BP9" i="96"/>
  <c r="BR9" i="96" s="1"/>
  <c r="BP46" i="96"/>
  <c r="BR46" i="96" s="1"/>
  <c r="BP42" i="96"/>
  <c r="BR42" i="96" s="1"/>
  <c r="BP38" i="96"/>
  <c r="BR38" i="96" s="1"/>
  <c r="BP34" i="96"/>
  <c r="BR34" i="96" s="1"/>
  <c r="BP30" i="96"/>
  <c r="BR30" i="96" s="1"/>
  <c r="BP26" i="96"/>
  <c r="BR26" i="96" s="1"/>
  <c r="BP22" i="96"/>
  <c r="BR22" i="96" s="1"/>
  <c r="BP18" i="96"/>
  <c r="BR18" i="96" s="1"/>
  <c r="BP14" i="96"/>
  <c r="BR14" i="96" s="1"/>
  <c r="BP10" i="96"/>
  <c r="BR10" i="96" s="1"/>
  <c r="BP47" i="96"/>
  <c r="BR47" i="96" s="1"/>
  <c r="BP43" i="96"/>
  <c r="BR43" i="96" s="1"/>
  <c r="BP39" i="96"/>
  <c r="BR39" i="96" s="1"/>
  <c r="BP35" i="96"/>
  <c r="BR35" i="96" s="1"/>
  <c r="BP31" i="96"/>
  <c r="BR31" i="96" s="1"/>
  <c r="BP27" i="96"/>
  <c r="BR27" i="96" s="1"/>
  <c r="BP23" i="96"/>
  <c r="BR23" i="96" s="1"/>
  <c r="BP19" i="96"/>
  <c r="BR19" i="96" s="1"/>
  <c r="BP15" i="96"/>
  <c r="BR15" i="96" s="1"/>
  <c r="BP11" i="96"/>
  <c r="BR11" i="96" s="1"/>
  <c r="BT7" i="96"/>
  <c r="BT47" i="96"/>
  <c r="BT43" i="96"/>
  <c r="BT39" i="96"/>
  <c r="BT35" i="96"/>
  <c r="BT31" i="96"/>
  <c r="BT27" i="96"/>
  <c r="BT23" i="96"/>
  <c r="BT19" i="96"/>
  <c r="BT15" i="96"/>
  <c r="BT11" i="96"/>
  <c r="BT48" i="96"/>
  <c r="BT44" i="96"/>
  <c r="BT40" i="96"/>
  <c r="BT36" i="96"/>
  <c r="BT32" i="96"/>
  <c r="BT28" i="96"/>
  <c r="BT24" i="96"/>
  <c r="BT20" i="96"/>
  <c r="BT16" i="96"/>
  <c r="BT12" i="96"/>
  <c r="BT49" i="96"/>
  <c r="BT45" i="96"/>
  <c r="BT41" i="96"/>
  <c r="BT37" i="96"/>
  <c r="BT33" i="96"/>
  <c r="BT29" i="96"/>
  <c r="BT25" i="96"/>
  <c r="BT21" i="96"/>
  <c r="BT17" i="96"/>
  <c r="BT13" i="96"/>
  <c r="BT9" i="96"/>
  <c r="BT46" i="96"/>
  <c r="BT42" i="96"/>
  <c r="BT38" i="96"/>
  <c r="BT34" i="96"/>
  <c r="BT30" i="96"/>
  <c r="BT26" i="96"/>
  <c r="BT22" i="96"/>
  <c r="BT18" i="96"/>
  <c r="BT14" i="96"/>
  <c r="BT10" i="96"/>
  <c r="BS58" i="96" l="1"/>
  <c r="BU58" i="96" s="1"/>
  <c r="BS52" i="96"/>
  <c r="BU52" i="96" s="1"/>
  <c r="BS55" i="96"/>
  <c r="BU55" i="96" s="1"/>
  <c r="BS51" i="96"/>
  <c r="BU51" i="96" s="1"/>
  <c r="BS56" i="96"/>
  <c r="BU56" i="96" s="1"/>
  <c r="BS53" i="96"/>
  <c r="BU53" i="96" s="1"/>
  <c r="BS57" i="96"/>
  <c r="BU57" i="96" s="1"/>
  <c r="BS54" i="96"/>
  <c r="BU54" i="96" s="1"/>
  <c r="BS47" i="96"/>
  <c r="BU47" i="96" s="1"/>
  <c r="BS43" i="96"/>
  <c r="BU43" i="96" s="1"/>
  <c r="BS39" i="96"/>
  <c r="BU39" i="96" s="1"/>
  <c r="BS35" i="96"/>
  <c r="BU35" i="96" s="1"/>
  <c r="BS31" i="96"/>
  <c r="BU31" i="96" s="1"/>
  <c r="BS27" i="96"/>
  <c r="BU27" i="96" s="1"/>
  <c r="BS23" i="96"/>
  <c r="BU23" i="96" s="1"/>
  <c r="BS19" i="96"/>
  <c r="BU19" i="96" s="1"/>
  <c r="BS15" i="96"/>
  <c r="BU15" i="96" s="1"/>
  <c r="BS11" i="96"/>
  <c r="BU11" i="96" s="1"/>
  <c r="BS48" i="96"/>
  <c r="BU48" i="96" s="1"/>
  <c r="BS44" i="96"/>
  <c r="BU44" i="96" s="1"/>
  <c r="BS40" i="96"/>
  <c r="BU40" i="96" s="1"/>
  <c r="BS36" i="96"/>
  <c r="BU36" i="96" s="1"/>
  <c r="BS32" i="96"/>
  <c r="BU32" i="96" s="1"/>
  <c r="BS28" i="96"/>
  <c r="BU28" i="96" s="1"/>
  <c r="BS24" i="96"/>
  <c r="BU24" i="96" s="1"/>
  <c r="BS20" i="96"/>
  <c r="BU20" i="96" s="1"/>
  <c r="BS16" i="96"/>
  <c r="BU16" i="96" s="1"/>
  <c r="BS12" i="96"/>
  <c r="BU12" i="96" s="1"/>
  <c r="BS49" i="96"/>
  <c r="BU49" i="96" s="1"/>
  <c r="BS45" i="96"/>
  <c r="BU45" i="96" s="1"/>
  <c r="BS41" i="96"/>
  <c r="BU41" i="96" s="1"/>
  <c r="BS37" i="96"/>
  <c r="BU37" i="96" s="1"/>
  <c r="BS33" i="96"/>
  <c r="BU33" i="96" s="1"/>
  <c r="BS29" i="96"/>
  <c r="BU29" i="96" s="1"/>
  <c r="BS25" i="96"/>
  <c r="BU25" i="96" s="1"/>
  <c r="BS21" i="96"/>
  <c r="BU21" i="96" s="1"/>
  <c r="BS17" i="96"/>
  <c r="BU17" i="96" s="1"/>
  <c r="BS13" i="96"/>
  <c r="BU13" i="96" s="1"/>
  <c r="BS9" i="96"/>
  <c r="BU9" i="96" s="1"/>
  <c r="BS46" i="96"/>
  <c r="BU46" i="96" s="1"/>
  <c r="BS42" i="96"/>
  <c r="BU42" i="96" s="1"/>
  <c r="BS38" i="96"/>
  <c r="BU38" i="96" s="1"/>
  <c r="BS34" i="96"/>
  <c r="BU34" i="96" s="1"/>
  <c r="BS30" i="96"/>
  <c r="BU30" i="96" s="1"/>
  <c r="BS26" i="96"/>
  <c r="BU26" i="96" s="1"/>
  <c r="BS22" i="96"/>
  <c r="BU22" i="96" s="1"/>
  <c r="BS18" i="96"/>
  <c r="BU18" i="96" s="1"/>
  <c r="BS14" i="96"/>
  <c r="BU14" i="96" s="1"/>
  <c r="BS10" i="96"/>
  <c r="BU10" i="96" s="1"/>
  <c r="BW7" i="96"/>
  <c r="BW46" i="96"/>
  <c r="BW42" i="96"/>
  <c r="BW38" i="96"/>
  <c r="BW34" i="96"/>
  <c r="BW30" i="96"/>
  <c r="BW26" i="96"/>
  <c r="BW22" i="96"/>
  <c r="BW18" i="96"/>
  <c r="BW14" i="96"/>
  <c r="BW10" i="96"/>
  <c r="BW47" i="96"/>
  <c r="BW43" i="96"/>
  <c r="BW39" i="96"/>
  <c r="BW35" i="96"/>
  <c r="BW31" i="96"/>
  <c r="BW27" i="96"/>
  <c r="BW23" i="96"/>
  <c r="BW19" i="96"/>
  <c r="BW15" i="96"/>
  <c r="BW11" i="96"/>
  <c r="BW48" i="96"/>
  <c r="BW44" i="96"/>
  <c r="BW40" i="96"/>
  <c r="BW36" i="96"/>
  <c r="BW32" i="96"/>
  <c r="BW28" i="96"/>
  <c r="BW24" i="96"/>
  <c r="BW20" i="96"/>
  <c r="BW16" i="96"/>
  <c r="BW12" i="96"/>
  <c r="BW49" i="96"/>
  <c r="BW45" i="96"/>
  <c r="BW41" i="96"/>
  <c r="BW37" i="96"/>
  <c r="BW33" i="96"/>
  <c r="BW29" i="96"/>
  <c r="BW25" i="96"/>
  <c r="BW21" i="96"/>
  <c r="BW17" i="96"/>
  <c r="BW13" i="96"/>
  <c r="BW9" i="96"/>
  <c r="BV54" i="96" l="1"/>
  <c r="BX54" i="96" s="1"/>
  <c r="BV52" i="96"/>
  <c r="BX52" i="96" s="1"/>
  <c r="BV51" i="96"/>
  <c r="BX51" i="96" s="1"/>
  <c r="BV56" i="96"/>
  <c r="BX56" i="96" s="1"/>
  <c r="BV58" i="96"/>
  <c r="BX58" i="96" s="1"/>
  <c r="BV57" i="96"/>
  <c r="BX57" i="96" s="1"/>
  <c r="BV53" i="96"/>
  <c r="BX53" i="96" s="1"/>
  <c r="BV55" i="96"/>
  <c r="BX55" i="96" s="1"/>
  <c r="BV46" i="96"/>
  <c r="BX46" i="96" s="1"/>
  <c r="BV42" i="96"/>
  <c r="BX42" i="96" s="1"/>
  <c r="BV38" i="96"/>
  <c r="BX38" i="96" s="1"/>
  <c r="BV34" i="96"/>
  <c r="BX34" i="96" s="1"/>
  <c r="BV30" i="96"/>
  <c r="BX30" i="96" s="1"/>
  <c r="BV26" i="96"/>
  <c r="BX26" i="96" s="1"/>
  <c r="BV22" i="96"/>
  <c r="BX22" i="96" s="1"/>
  <c r="BV18" i="96"/>
  <c r="BX18" i="96" s="1"/>
  <c r="BV14" i="96"/>
  <c r="BX14" i="96" s="1"/>
  <c r="BV10" i="96"/>
  <c r="BX10" i="96" s="1"/>
  <c r="BV47" i="96"/>
  <c r="BX47" i="96" s="1"/>
  <c r="BV43" i="96"/>
  <c r="BX43" i="96" s="1"/>
  <c r="BV39" i="96"/>
  <c r="BX39" i="96" s="1"/>
  <c r="BV35" i="96"/>
  <c r="BX35" i="96" s="1"/>
  <c r="BV31" i="96"/>
  <c r="BX31" i="96" s="1"/>
  <c r="BV27" i="96"/>
  <c r="BX27" i="96" s="1"/>
  <c r="BV23" i="96"/>
  <c r="BX23" i="96" s="1"/>
  <c r="BV19" i="96"/>
  <c r="BX19" i="96" s="1"/>
  <c r="BV15" i="96"/>
  <c r="BX15" i="96" s="1"/>
  <c r="BV11" i="96"/>
  <c r="BX11" i="96" s="1"/>
  <c r="BV48" i="96"/>
  <c r="BX48" i="96" s="1"/>
  <c r="BV44" i="96"/>
  <c r="BX44" i="96" s="1"/>
  <c r="BV40" i="96"/>
  <c r="BX40" i="96" s="1"/>
  <c r="BV36" i="96"/>
  <c r="BX36" i="96" s="1"/>
  <c r="BV32" i="96"/>
  <c r="BX32" i="96" s="1"/>
  <c r="BV28" i="96"/>
  <c r="BX28" i="96" s="1"/>
  <c r="BV24" i="96"/>
  <c r="BX24" i="96" s="1"/>
  <c r="BV20" i="96"/>
  <c r="BX20" i="96" s="1"/>
  <c r="BV16" i="96"/>
  <c r="BX16" i="96" s="1"/>
  <c r="BV12" i="96"/>
  <c r="BX12" i="96" s="1"/>
  <c r="BV49" i="96"/>
  <c r="BX49" i="96" s="1"/>
  <c r="BV45" i="96"/>
  <c r="BX45" i="96" s="1"/>
  <c r="BV41" i="96"/>
  <c r="BX41" i="96" s="1"/>
  <c r="BV37" i="96"/>
  <c r="BX37" i="96" s="1"/>
  <c r="BV33" i="96"/>
  <c r="BX33" i="96" s="1"/>
  <c r="BV29" i="96"/>
  <c r="BX29" i="96" s="1"/>
  <c r="BV25" i="96"/>
  <c r="BX25" i="96" s="1"/>
  <c r="BV21" i="96"/>
  <c r="BX21" i="96" s="1"/>
  <c r="BV17" i="96"/>
  <c r="BX17" i="96" s="1"/>
  <c r="BV13" i="96"/>
  <c r="BX13" i="96" s="1"/>
  <c r="BV9" i="96"/>
  <c r="BX9" i="96" s="1"/>
</calcChain>
</file>

<file path=xl/sharedStrings.xml><?xml version="1.0" encoding="utf-8"?>
<sst xmlns="http://schemas.openxmlformats.org/spreadsheetml/2006/main" count="5073" uniqueCount="2066">
  <si>
    <t>Premières lignes</t>
  </si>
  <si>
    <t>AZT+3TC+NVP</t>
  </si>
  <si>
    <t>D4T+3TC+NVP</t>
  </si>
  <si>
    <t>AZT+3TC+ABC</t>
  </si>
  <si>
    <t>TDF+3TC+EFV</t>
  </si>
  <si>
    <t>TOTAL</t>
  </si>
  <si>
    <t>Deuxièmes lignes</t>
  </si>
  <si>
    <t>Mode d'emploi</t>
  </si>
  <si>
    <t>Schéma thérapeutique</t>
  </si>
  <si>
    <t>TDF+FTC+EFV</t>
  </si>
  <si>
    <t>Lignes alternatives</t>
  </si>
  <si>
    <t>AZT+3TC+LPV/r</t>
  </si>
  <si>
    <t>Composition</t>
  </si>
  <si>
    <t>Forme galénique</t>
  </si>
  <si>
    <t>Dosage</t>
  </si>
  <si>
    <t>CDF</t>
  </si>
  <si>
    <t>cp</t>
  </si>
  <si>
    <t>300/150/200 mg</t>
  </si>
  <si>
    <t>AZT+3TC</t>
  </si>
  <si>
    <t>300/150 mg</t>
  </si>
  <si>
    <t>TRIOMUNE</t>
  </si>
  <si>
    <t>30/150/200 mg</t>
  </si>
  <si>
    <t>D4T+3TC</t>
  </si>
  <si>
    <t>30/150 mg</t>
  </si>
  <si>
    <t>TRUVADA</t>
  </si>
  <si>
    <t>300/200 mg</t>
  </si>
  <si>
    <t>NNRTI</t>
  </si>
  <si>
    <t>EFV</t>
  </si>
  <si>
    <t>600 mg</t>
  </si>
  <si>
    <t>NVP</t>
  </si>
  <si>
    <t>200 mg</t>
  </si>
  <si>
    <t>NRTI</t>
  </si>
  <si>
    <t>AZT</t>
  </si>
  <si>
    <t>300 mg</t>
  </si>
  <si>
    <t>3TC</t>
  </si>
  <si>
    <t>150 mg</t>
  </si>
  <si>
    <t>ABC</t>
  </si>
  <si>
    <t>DDI</t>
  </si>
  <si>
    <t>250 mg</t>
  </si>
  <si>
    <t>400 mg</t>
  </si>
  <si>
    <t>TDF</t>
  </si>
  <si>
    <t>IP</t>
  </si>
  <si>
    <t>LPV/r</t>
  </si>
  <si>
    <t>200/50 mg</t>
  </si>
  <si>
    <t>IDV</t>
  </si>
  <si>
    <t>RTV</t>
  </si>
  <si>
    <t>100 mg</t>
  </si>
  <si>
    <t>Ce document est composé dans l'ordre des onglets suivants :</t>
  </si>
  <si>
    <t>On considère la répartition par schémas thérapeutiques et les inclusions</t>
  </si>
  <si>
    <t>Pour les formes galéniques adaptées aux enfants, on considère :</t>
  </si>
  <si>
    <t>Des comprimés pour les enfants de 15 à 30 kg</t>
  </si>
  <si>
    <t>Tranches de poids pour le calcul</t>
  </si>
  <si>
    <t>Tranches de poids considérées pour la détermination des posologies</t>
  </si>
  <si>
    <t>3 - 9,9</t>
  </si>
  <si>
    <t>6 - 7</t>
  </si>
  <si>
    <t>10 - 14,9</t>
  </si>
  <si>
    <t>12 - 13</t>
  </si>
  <si>
    <t>15 - 19,9</t>
  </si>
  <si>
    <t>17 - 20</t>
  </si>
  <si>
    <t>20 - 24,9</t>
  </si>
  <si>
    <t>20 - 23</t>
  </si>
  <si>
    <t>Nous avons considéré que les poids se répartissaient de manière homogène dans une même tranche et que les besoins pour l'ensemble se compensaient autour de la moyenne du poids de la tranche. Nous avons donc pris ces posologies.</t>
  </si>
  <si>
    <t>Commentaires</t>
  </si>
  <si>
    <t>attention, les résultats tiennent compte de toutes les données entrées</t>
  </si>
  <si>
    <t>Solthis n'assume pas la responsabilité de résultats obtenus avec une mauvaise saisie de données ou par toute modification du tableau</t>
  </si>
  <si>
    <t>Les cases vertes sont à renseigner</t>
  </si>
  <si>
    <t>Proportion</t>
  </si>
  <si>
    <t>Remarque</t>
  </si>
  <si>
    <t>Poids (kg)</t>
  </si>
  <si>
    <t>Pourcentage</t>
  </si>
  <si>
    <t>Cette répartition s'applique à l'ensemble des patients et non uniquement aux premières lignes ni aux inclusions</t>
  </si>
  <si>
    <t>Inclusions</t>
  </si>
  <si>
    <t>Nb de patients mensuels</t>
  </si>
  <si>
    <t>En cas d'incertitude sur la répartition attendue, il est possible de prendre des marges (X-Y %) et de ne considérer dans ce tableau que les marges hautes. 
Le total peut donc faire plus de 100%</t>
  </si>
  <si>
    <t>2èmes lignes</t>
  </si>
  <si>
    <t>Nom de spécialité</t>
  </si>
  <si>
    <t>Volume conditionnement primaire (mL)</t>
  </si>
  <si>
    <t>Conditionement secondaire</t>
  </si>
  <si>
    <t>Solutions buvables</t>
  </si>
  <si>
    <t>sol buv</t>
  </si>
  <si>
    <t>10 mg/mL</t>
  </si>
  <si>
    <t>RETROVIR</t>
  </si>
  <si>
    <t>D4T</t>
  </si>
  <si>
    <t>ZERIT</t>
  </si>
  <si>
    <t>LAMIVIR, EPIVIR</t>
  </si>
  <si>
    <t>VIRAMUNE</t>
  </si>
  <si>
    <t>30 mg/mL</t>
  </si>
  <si>
    <t>SUSTIVA, STOCRIN</t>
  </si>
  <si>
    <t>20 mg/mL</t>
  </si>
  <si>
    <t>ZIAGEN</t>
  </si>
  <si>
    <t>pdre buv</t>
  </si>
  <si>
    <t>2 g</t>
  </si>
  <si>
    <t>VIDEX</t>
  </si>
  <si>
    <t>80/20 mg/mL</t>
  </si>
  <si>
    <t>KALETRA ALUVIA</t>
  </si>
  <si>
    <t>Nom de générique possible</t>
  </si>
  <si>
    <t>Conditionnement</t>
  </si>
  <si>
    <t>Comprimés</t>
  </si>
  <si>
    <t>Cp</t>
  </si>
  <si>
    <t>DUOVIR-N, ZIDOLAM-N</t>
  </si>
  <si>
    <t>COMBIVIR</t>
  </si>
  <si>
    <t>LAMZID, DUOVIR, ZIDOLAM, VIRACOMB</t>
  </si>
  <si>
    <t>6/30/50 mg</t>
  </si>
  <si>
    <t>TRIOMUNE baby</t>
  </si>
  <si>
    <t>Gél</t>
  </si>
  <si>
    <t>50 mg</t>
  </si>
  <si>
    <t>ABAVIR, VIROL</t>
  </si>
  <si>
    <t>DINEX, DIVIR, DINOSIN, VIROSINE</t>
  </si>
  <si>
    <t>KALETRA, ALUVIA</t>
  </si>
  <si>
    <t>RITOCOM</t>
  </si>
  <si>
    <t>Attention pour les comprimés adultes, il faut tenir compte des stocks pour l'ensemble des besoins (= Adultes + Enfants + PTME + AES)</t>
  </si>
  <si>
    <t xml:space="preserve">Nombre de patients </t>
  </si>
  <si>
    <t>B.2. Passage en 2ème ligne</t>
  </si>
  <si>
    <t>Proportion de passage mensuel envisagé</t>
  </si>
  <si>
    <t>On estime que 3 % des patients passent en 2ème ligne / an. Cela fait donc un passage mensuel de 0,25%</t>
  </si>
  <si>
    <t>Cela représente donc :</t>
  </si>
  <si>
    <t>patients / mois</t>
  </si>
  <si>
    <t>Nombre théorique de patients  attendus</t>
  </si>
  <si>
    <t>Nb d'enfants au début de la période quantifiée</t>
  </si>
  <si>
    <t>Préciser les hypothèses de répartition envisagées en % dans le tableau suivant</t>
  </si>
  <si>
    <t>Quantités en stock en nombre de boites</t>
  </si>
  <si>
    <t>TDF+FTC</t>
  </si>
  <si>
    <t>Pour faciliter les calculs et la gestion de stocks, seule la Triomune baby a été prise en compte</t>
  </si>
  <si>
    <t>ATRIPLA</t>
  </si>
  <si>
    <t>COVIRO, LAMIVIR-S</t>
  </si>
  <si>
    <t>VIREAD</t>
  </si>
  <si>
    <t>SQV</t>
  </si>
  <si>
    <t>CRIXIVAN</t>
  </si>
  <si>
    <t>NORVIR</t>
  </si>
  <si>
    <t>INVIRASE</t>
  </si>
  <si>
    <t>300/200/600 mg</t>
  </si>
  <si>
    <t>LAMIVIR</t>
  </si>
  <si>
    <t>EPIVIR</t>
  </si>
  <si>
    <t>Caps</t>
  </si>
  <si>
    <t>500 mg</t>
  </si>
  <si>
    <t>Quantités en nb de boites livraison à court terme</t>
  </si>
  <si>
    <t>A. Pour les patients déjà sous traitement</t>
  </si>
  <si>
    <t>300/150/300 mg</t>
  </si>
  <si>
    <t>TRIZIVIR</t>
  </si>
  <si>
    <t>IDV avec RTV</t>
  </si>
  <si>
    <t>Nb de boites nécessaire pour 1 mois pour 1 patient</t>
  </si>
  <si>
    <t>Poids envisagés</t>
  </si>
  <si>
    <t>Nb de boites / mois pour l'ensemble des patients</t>
  </si>
  <si>
    <t>Nom</t>
  </si>
  <si>
    <t>Nb de patients prévus au début de la période</t>
  </si>
  <si>
    <t>Répartition des inclusions attendues</t>
  </si>
  <si>
    <t>TOTAL 
Nb de patients</t>
  </si>
  <si>
    <t>Total 
patients-mois sur la période</t>
  </si>
  <si>
    <t>Médicaments nécessaires</t>
  </si>
  <si>
    <t>TOTAL inclusions</t>
  </si>
  <si>
    <t>nb de mois de traitement</t>
  </si>
  <si>
    <t>Répartition des passages en 2ème ligne</t>
  </si>
  <si>
    <t>par mois</t>
  </si>
  <si>
    <t>TOTAL nb de patients</t>
  </si>
  <si>
    <t>Nb de patients-mois sur la période</t>
  </si>
  <si>
    <t>Répartition de la FA sous traitement en nb de patients - mois / poids / schéma</t>
  </si>
  <si>
    <t>Nb de patients -mois</t>
  </si>
  <si>
    <t>Répartition des patients mois / tranches de poids</t>
  </si>
  <si>
    <t>Nb de patients-mois pour les Enfants présents au début de l'année</t>
  </si>
  <si>
    <t>Inclusions et passages en 2ème lignes</t>
  </si>
  <si>
    <t>Total nb de patients -mois sur la période</t>
  </si>
  <si>
    <t>Calculs des quantités</t>
  </si>
  <si>
    <t>Posologies</t>
  </si>
  <si>
    <t>Qtés de patients - mois</t>
  </si>
  <si>
    <t>volume (mL) / jour</t>
  </si>
  <si>
    <t>volume (mL) / mois</t>
  </si>
  <si>
    <t>volume flacon (mL)</t>
  </si>
  <si>
    <t>nb de flacons / mois</t>
  </si>
  <si>
    <t>nb de flacons / mois arrondi</t>
  </si>
  <si>
    <t>reste (mL)</t>
  </si>
  <si>
    <t>11 flacons / 4 mois</t>
  </si>
  <si>
    <t>3 flacons / 2 mois</t>
  </si>
  <si>
    <t>1 flacon / mois</t>
  </si>
  <si>
    <t>21 boites / 10 mois</t>
  </si>
  <si>
    <t>Formes adultes</t>
  </si>
  <si>
    <t>Nb de boites / mois / patient</t>
  </si>
  <si>
    <t>Synthèse</t>
  </si>
  <si>
    <t>Enfants déjà sous traitement</t>
  </si>
  <si>
    <t>Nouvelles inclusions &amp; passages en 2ème ligne</t>
  </si>
  <si>
    <t>Taux de passage en 2ème ligne mensuel</t>
  </si>
  <si>
    <t>Nb de patients concernés</t>
  </si>
  <si>
    <t>Total des besoins pour 1 mois</t>
  </si>
  <si>
    <t>Nombre de mois de disponibilité de produits</t>
  </si>
  <si>
    <t>Quelle période de sécurité voulez-vous prendre en compte ?</t>
  </si>
  <si>
    <t>mois</t>
  </si>
  <si>
    <t>Elle peut dépasser 100% pour permettre la disponibilité de marges de sécurité pour chaque tranche de poids</t>
  </si>
  <si>
    <t>Date d'entrée en stock de sécurité</t>
  </si>
  <si>
    <t>Date de rupture attendue</t>
  </si>
  <si>
    <t>* Couverture des besoins en nombre de mois</t>
  </si>
  <si>
    <t>Nom pour représentation graphique</t>
  </si>
  <si>
    <t>Attention, pour le Kaletra, tenir compte du conditionnement primaire (nombre de flacons)</t>
  </si>
  <si>
    <t>On considère ensuite une hypothèse de répartition de la file active sous TARV</t>
  </si>
  <si>
    <t>Nous avons également considéré la répartition par tranche de poids.</t>
  </si>
  <si>
    <t>b = besoins nécessaires pour les patients déjà sous traitement</t>
  </si>
  <si>
    <t>SD = stocks disponibles</t>
  </si>
  <si>
    <t>a = besoins pour les inclusions mensuelles</t>
  </si>
  <si>
    <t>Nombre de mois de stock de sécurité</t>
  </si>
  <si>
    <t>Nombre de mois de disponibilité de produits hors SS</t>
  </si>
  <si>
    <t>Pour déterminer le nombre de mois de stocks disponibles, nous avons utilisé la croissance de la file active de patients sous traitement en considérant une croissance constante des besoins.</t>
  </si>
  <si>
    <t>Le raisonnement est le suivant :</t>
  </si>
  <si>
    <t>Cette croissance suit une courbe constante de type y=ax+b</t>
  </si>
  <si>
    <t>y étant les besoins d'1 mois</t>
  </si>
  <si>
    <t>x étant les mois</t>
  </si>
  <si>
    <t>Pour calculer la somme des besoins pour plusieurs mois, nous avons donc :</t>
  </si>
  <si>
    <t>Somme des besoins sur la période n (n allant de 1 mois à n mois) = a * somme des mois (n allant de 1 mois à n mois)+b * n mois</t>
  </si>
  <si>
    <t>somme des mois (n allant de 1 mois à n mois)= n(n+1)/2</t>
  </si>
  <si>
    <t>an²+(a+2b)n-2SD=0</t>
  </si>
  <si>
    <t>Avec les données suivantes :</t>
  </si>
  <si>
    <t>delta étant le déterminant de la fonction = (a+2b)²+4a2SD</t>
  </si>
  <si>
    <t>Et n la période de couverture comme inconnue recherchée</t>
  </si>
  <si>
    <t>Sur le même principe qu'un triangle de Pascal, on peut décomposer :</t>
  </si>
  <si>
    <t>On obtient donc l'équation du second degré :</t>
  </si>
  <si>
    <t>Cette équation a comme solution n = [-(a+2b)+RACINE(delta)]/2a</t>
  </si>
  <si>
    <t>C'est l'équation de cette solution qui a été utilisée dans les tableaux suivants.</t>
  </si>
  <si>
    <t>Détails calculs pédiatriques</t>
  </si>
  <si>
    <t>* pour les formes liquides (sol. Buv., sirops, …)</t>
  </si>
  <si>
    <t>Total des besoins mensuels (conditionnement prim.)</t>
  </si>
  <si>
    <t>A. Quels sont les besoins mensuels moyens dans le cadre des activités PTME ?</t>
  </si>
  <si>
    <t>Besoins mensuels moyens en nb de boites</t>
  </si>
  <si>
    <t>Evolution de la file active pédiatrique sous traitement à prévoir sur la période</t>
  </si>
  <si>
    <t>Les données mensuelles sont arrondis à la décimale</t>
  </si>
  <si>
    <t>Lorsqu'il n'y a pas de croissance des besoins (a=0, y=b), nous avons utilisé la formule n=SD/b</t>
  </si>
  <si>
    <t>30 mg</t>
  </si>
  <si>
    <t>STAVIR</t>
  </si>
  <si>
    <t>X</t>
  </si>
  <si>
    <t>Médicament 1</t>
  </si>
  <si>
    <t>Médicament 2</t>
  </si>
  <si>
    <t>Option choisie</t>
  </si>
  <si>
    <t>TDF+3TC</t>
  </si>
  <si>
    <t>Médicament 3</t>
  </si>
  <si>
    <t>Attention</t>
  </si>
  <si>
    <t>B. Quelle est la répartition actuelle par schémas thérapeutiques pour les adultes déjà pris en charge ?</t>
  </si>
  <si>
    <t>C. Quelles sont les évolutions attendues dans la prise en charge des adultes ?</t>
  </si>
  <si>
    <t>Si aucune case n'est remplie, aucun médicament ne sera pris en compte</t>
  </si>
  <si>
    <t>Ces données seront prises en compte pour les patients sous traitement et pour les inclusions</t>
  </si>
  <si>
    <t>initiation AZT+3TC+NVP</t>
  </si>
  <si>
    <t>AZT+3TC 1cp/j</t>
  </si>
  <si>
    <t>AZT+3TC 2cp/j</t>
  </si>
  <si>
    <t>initiation D4T+3TC+NVP</t>
  </si>
  <si>
    <t>D4T+3TC 1cp/j</t>
  </si>
  <si>
    <t>D4T+3TC 2cp/j</t>
  </si>
  <si>
    <t>Dans ce cas on considère 1 boite et 15 cp de AZT+3TC+NVP le premier mois</t>
  </si>
  <si>
    <t>Dans ce cas on considère 1 boite et 15 cp de D4T+3TC+NVP le premier mois</t>
  </si>
  <si>
    <t>Dans ce cas, on considère pour le premier mois 30 cp d'D4T+3TC et 15 cp de NVP puis 1 boite de D4T+3TC+NVP</t>
  </si>
  <si>
    <t>Dans ce cas, on considère pour le premier mois 30 cp d'AZT+3TC et 15 cp de NVP puis 1 boite d'AZT+3TC+NVP</t>
  </si>
  <si>
    <t>Synthèse des données &amp; hypothèses prises en compte</t>
  </si>
  <si>
    <t>Qtés en stock au niveau central (nb boites)</t>
  </si>
  <si>
    <t>Qtés en stock périphériques (nb de boites)</t>
  </si>
  <si>
    <t>Commandes attendues à court termes (nb de boites)</t>
  </si>
  <si>
    <t>Quantités totales en stock (nb de boites)</t>
  </si>
  <si>
    <t>Nombre théorique d'enfants  attendus</t>
  </si>
  <si>
    <t>Différence nb de mois / commande</t>
  </si>
  <si>
    <t>Nb de mois de stock / commande attendue</t>
  </si>
  <si>
    <t>Résultats - Périodes de disponibilité des produits - Durées &amp; dates</t>
  </si>
  <si>
    <t>A. Avec les stocks actuellement disponibles (niveau central &amp; périphériques)</t>
  </si>
  <si>
    <t>B. Avec les stocks actuellement disponibles (niveau central &amp; périphériques) &amp; les commandes attendues à cours termes.</t>
  </si>
  <si>
    <t>attention, pour les commandes attendues à court terme, la disponibilité des produits doit tenir compte de la réception REELLE de ces commandes</t>
  </si>
  <si>
    <t>3. L'utilisateur reconnaît que l'outil a été initialement développé par Solthis</t>
  </si>
  <si>
    <t>60/30/50 mg</t>
  </si>
  <si>
    <t>DUOVIR-N baby, ZIDOLAM-N baby</t>
  </si>
  <si>
    <t>60/30 mg</t>
  </si>
  <si>
    <t>DUOVIR baby, ZIDOLAM baby</t>
  </si>
  <si>
    <t>ATV</t>
  </si>
  <si>
    <t>REYATAZ</t>
  </si>
  <si>
    <t>DRV</t>
  </si>
  <si>
    <t>PREZISTA</t>
  </si>
  <si>
    <t>I Int.</t>
  </si>
  <si>
    <t>RLT = RAL</t>
  </si>
  <si>
    <t>ISENTRESS</t>
  </si>
  <si>
    <t>RLT</t>
  </si>
  <si>
    <t>CALCULS à partir des données de FA</t>
  </si>
  <si>
    <t>Taux</t>
  </si>
  <si>
    <t>Taux de croissance (%)</t>
  </si>
  <si>
    <t>Augmentation de consommation mensuelle</t>
  </si>
  <si>
    <t>B. Pour les initiations &amp; changements de lignes</t>
  </si>
  <si>
    <t>CALCULS Marge extrême arrêt d'initiations / Stocks dispo centraux et périph</t>
  </si>
  <si>
    <t>CALCULS Marge extrême arrêt d'initiations / Stocks dispo périph</t>
  </si>
  <si>
    <t>CALCULS Marge extrême arrêt d'initiations / Stocks dispo centraux</t>
  </si>
  <si>
    <t>CALCULS avec croissance des besoins / Stocks dispo centraux et périph &amp; commandes</t>
  </si>
  <si>
    <t>CALCULS Marge extrême arrêt d'initiations / Stocks dispo centraux et périph &amp; commandes</t>
  </si>
  <si>
    <t>Classe forme galénique</t>
  </si>
  <si>
    <t>Classe thérapeutique</t>
  </si>
  <si>
    <t>Stocks centraux</t>
  </si>
  <si>
    <t>Stocks centraux, périphériques et commandes</t>
  </si>
  <si>
    <t>Stocks périphériques</t>
  </si>
  <si>
    <t>Delta sur commande / SS</t>
  </si>
  <si>
    <t>Gain Nb de mois de disponibilité si arrêt des initiations &amp; switch</t>
  </si>
  <si>
    <t>Delta Nb de mois de disponibilité Stocks périph / Stocks total (périph + central)</t>
  </si>
  <si>
    <t>Période SS</t>
  </si>
  <si>
    <t>Nb mois dispo hors SS - Données FA</t>
  </si>
  <si>
    <t>Nb mois dispo - Données FA</t>
  </si>
  <si>
    <t>Données suivi de file active</t>
  </si>
  <si>
    <t>Données de consommation</t>
  </si>
  <si>
    <t>Données de distribution</t>
  </si>
  <si>
    <t>1. Couverture à partir des stocks disponibles centraux et périphériques</t>
  </si>
  <si>
    <t>SB A.1</t>
  </si>
  <si>
    <t>SB B.1</t>
  </si>
  <si>
    <t>SB C.1</t>
  </si>
  <si>
    <t>Nb mois dispo SS - Données FA</t>
  </si>
  <si>
    <t>Compilation de données de FA &amp; de Conso</t>
  </si>
  <si>
    <r>
      <t xml:space="preserve">Confrontation des méthodes : </t>
    </r>
    <r>
      <rPr>
        <b/>
        <sz val="10"/>
        <color rgb="FFFF0000"/>
        <rFont val="Calibri"/>
        <family val="2"/>
        <scheme val="minor"/>
      </rPr>
      <t>C</t>
    </r>
  </si>
  <si>
    <t>Détail des dates de péremption et des quantités</t>
  </si>
  <si>
    <t>Date de péremption 
1</t>
  </si>
  <si>
    <t>Tableau de bord gestion des dates de péremptions (surstocks et périmés)</t>
  </si>
  <si>
    <t>Quantités 
(nb de boites) 
1</t>
  </si>
  <si>
    <t>Détail des dates de péremption et des Quantités (nb de boites)</t>
  </si>
  <si>
    <t>Calculs avec DLU 1</t>
  </si>
  <si>
    <t>Indicateur Détail des péremptions du stocks disponible</t>
  </si>
  <si>
    <t>NOTE D'INFORMATION</t>
  </si>
  <si>
    <t>Les calculs ont été faits en rapportant les prix annuels par jour et par nombre de prise</t>
  </si>
  <si>
    <t>Pour les ARV pédiatriques, 2 possibilités existent dans le rapport GPRM, pour les enfants de 5 et de 10 kg. Nous avons mentionné les 2 prix, qui varient peu entre eux.</t>
  </si>
  <si>
    <t>Les quantités de prises par boites ou les volumes des flacons peuvent changer en fonction des fournisseurs. Des emballages secondaires peuvent aussi varier (LPV/r sol. buv.)</t>
  </si>
  <si>
    <t>Attention les cellules contiennent des formules. Si vous copiez les données, pensées à ne copier que les valeurs</t>
  </si>
  <si>
    <t>FORMES ADULTES</t>
  </si>
  <si>
    <t>Qtés / boites - flacons</t>
  </si>
  <si>
    <t>Prix annuel / patient (US$)</t>
  </si>
  <si>
    <t>Prix / unité de prise  (US$)</t>
  </si>
  <si>
    <t>Prix / boite  (US$)</t>
  </si>
  <si>
    <t>DCI</t>
  </si>
  <si>
    <t>Unité dosage</t>
  </si>
  <si>
    <t>Forme</t>
  </si>
  <si>
    <t>Nb d'unité de prises / jour</t>
  </si>
  <si>
    <t>Médiane</t>
  </si>
  <si>
    <t>IQ25</t>
  </si>
  <si>
    <t>IQ75</t>
  </si>
  <si>
    <t>1ères lignes</t>
  </si>
  <si>
    <t>FDC</t>
  </si>
  <si>
    <t>300+150+200</t>
  </si>
  <si>
    <t>mg</t>
  </si>
  <si>
    <t>300+150</t>
  </si>
  <si>
    <t>30+150+200</t>
  </si>
  <si>
    <t>30+150</t>
  </si>
  <si>
    <t xml:space="preserve">300+150+300 </t>
  </si>
  <si>
    <t>FS</t>
  </si>
  <si>
    <t>Gélule</t>
  </si>
  <si>
    <t>2 &amp; 3èmes lignes</t>
  </si>
  <si>
    <t>300+200</t>
  </si>
  <si>
    <t>300+300</t>
  </si>
  <si>
    <t>300+200+600</t>
  </si>
  <si>
    <t>TDF+3TC+EFV *</t>
  </si>
  <si>
    <t>300+300+600</t>
  </si>
  <si>
    <t>200+50</t>
  </si>
  <si>
    <t>NFV</t>
  </si>
  <si>
    <t>Nom commercial Princeps</t>
  </si>
  <si>
    <t>Qtés / boites</t>
  </si>
  <si>
    <t>Prix annuel (hors autres ARV pr trithérapie ou boost) 
(US$)</t>
  </si>
  <si>
    <t>Source</t>
  </si>
  <si>
    <t>Reyataz</t>
  </si>
  <si>
    <t>GPQ</t>
  </si>
  <si>
    <t>[2]</t>
  </si>
  <si>
    <t>Isentress</t>
  </si>
  <si>
    <t>[3]</t>
  </si>
  <si>
    <t>Prezista</t>
  </si>
  <si>
    <t>[4]</t>
  </si>
  <si>
    <t>ETV</t>
  </si>
  <si>
    <t>Intelence</t>
  </si>
  <si>
    <t>[5]</t>
  </si>
  <si>
    <t>Notes</t>
  </si>
  <si>
    <t>[1]</t>
  </si>
  <si>
    <t xml:space="preserve">D'après Untangling the web of price reduction - http://utw.msfaccess.org/drugs/emtricitabine </t>
  </si>
  <si>
    <t>D'après BMS Global Access Program en mai 2009</t>
  </si>
  <si>
    <t>D'après Untangling the web of price reduction - http://utw.msfaccess.org/drugs/raltegravir</t>
  </si>
  <si>
    <t>D'après Untangling the web of price reduction - http://utw.msfaccess.org/drugs/darunavir</t>
  </si>
  <si>
    <t>D'après prix négocié France - VIDAL - 2009</t>
  </si>
  <si>
    <t>FORMES PEDIATRIQUES</t>
  </si>
  <si>
    <t>mg/ml</t>
  </si>
  <si>
    <t>Sol. buv.</t>
  </si>
  <si>
    <t>80+20</t>
  </si>
  <si>
    <t>mg/g</t>
  </si>
  <si>
    <t>Pdre</t>
  </si>
  <si>
    <t>5+20+35</t>
  </si>
  <si>
    <t>6+30+50</t>
  </si>
  <si>
    <t>10+40+70</t>
  </si>
  <si>
    <t>12+60+100</t>
  </si>
  <si>
    <t>5+20</t>
  </si>
  <si>
    <t>6+30</t>
  </si>
  <si>
    <t>10+40</t>
  </si>
  <si>
    <t>12+60</t>
  </si>
  <si>
    <t>60+30+50</t>
  </si>
  <si>
    <t>60+30</t>
  </si>
  <si>
    <t>100+25</t>
  </si>
  <si>
    <t>133+33</t>
  </si>
  <si>
    <t>Montant de la perte ($)</t>
  </si>
  <si>
    <t>Calculs avec DLU 2</t>
  </si>
  <si>
    <t>Calculs avec DLU 3</t>
  </si>
  <si>
    <t>Calculs avec DLU 4</t>
  </si>
  <si>
    <t>Calculs avec DLU 5</t>
  </si>
  <si>
    <t>Calculs avec DLU 6</t>
  </si>
  <si>
    <t>Calculs avec DLU 7</t>
  </si>
  <si>
    <t>AZT+3TC+NVP 1Cp/j</t>
  </si>
  <si>
    <t>NVP 1Cp/j</t>
  </si>
  <si>
    <t>D4T+3TC+NVP 1Cp/j</t>
  </si>
  <si>
    <t>Indicateur Utilisation DLU n°1</t>
  </si>
  <si>
    <t>DLU n°1</t>
  </si>
  <si>
    <t>DLU n°2</t>
  </si>
  <si>
    <t>Indicateur Utilisation DLU n°2</t>
  </si>
  <si>
    <t>DLU n°3</t>
  </si>
  <si>
    <t>Indicateur Utilisation DLU n°3</t>
  </si>
  <si>
    <t>DLU n°4</t>
  </si>
  <si>
    <t>Indicateur Utilisation DLU n°4</t>
  </si>
  <si>
    <t>DLU n°5</t>
  </si>
  <si>
    <t>Indicateur Utilisation DLU n°5</t>
  </si>
  <si>
    <t>DLU n°6</t>
  </si>
  <si>
    <t>Indicateur Utilisation DLU n°6</t>
  </si>
  <si>
    <t>DLU n°7</t>
  </si>
  <si>
    <t>Indicateur Utilisation DLU n°7</t>
  </si>
  <si>
    <t>Stock inutilisé</t>
  </si>
  <si>
    <t>Estimation Quantités nécessaires pour la période (nb de boites)</t>
  </si>
  <si>
    <t>Résultats - Tableau de bord Gestion de péremptions</t>
  </si>
  <si>
    <t>DLU = Date Limite d'Utilisation</t>
  </si>
  <si>
    <t>Ce tableau tient compte de l'ensemble des données saisies dans l'onglet de saisie</t>
  </si>
  <si>
    <t>Les estimations sont faites en considérant que le retrait à lieu au moment de la DLU et non quelques semaines ou mois avant, ce qui aurait pour conséquence d'augmenter les pertes mentionnées ci-dessous.</t>
  </si>
  <si>
    <t>Lorsque la première colonne indique "saisie incomplète des DLU et Qtés", cela veut dire que la saisie des DLU ne représente pas la quantité totale en stock.</t>
  </si>
  <si>
    <t>Lorsqu'une date apparaît dans une cellule orange, c'est que la DLU est dans moins de 6 mois</t>
  </si>
  <si>
    <t>Alerte Le détail / DLU est incomplet</t>
  </si>
  <si>
    <t>DLU = Date limite d'Utilisation</t>
  </si>
  <si>
    <t>Patients recevant RLT</t>
  </si>
  <si>
    <t>D4T+3TC+NVP adulte</t>
  </si>
  <si>
    <t>AZT+3TC+NVP adulte</t>
  </si>
  <si>
    <t>AZT+3TC adulte</t>
  </si>
  <si>
    <t>Nb de patients total sur la période définie pour 1 mois</t>
  </si>
  <si>
    <t>Ces choix ne concernent pas la période d'initiation du traitement à base de NVP. Nous avons considéré qu'il se faisait avec les formes simples en sol. buv.</t>
  </si>
  <si>
    <t>Ce système d'évaluation de la couverture ne permet pas de répartir la couverture en séquences liées à l'utilisation d'une forme galénique puis d'une suivante.</t>
  </si>
  <si>
    <t>B. Quelle est la répartition actuelle pour les enfants déjà pris en charge ?</t>
  </si>
  <si>
    <t>B.1. Répartition par schémas thérapeutiques</t>
  </si>
  <si>
    <t>B.2. Répartition par tranches de poids</t>
  </si>
  <si>
    <t>C. Quelles sont les évolutions attendues dans la prise en charge des enfants ?</t>
  </si>
  <si>
    <t>C.1. Inclusions</t>
  </si>
  <si>
    <t>C.2. Passage en 2ème ligne</t>
  </si>
  <si>
    <t>En l'absence des données de consommation, il est possible de renseigner des données de distribution. Cependant les données de distribution peuvent surévaluer la consommation réelle.</t>
  </si>
  <si>
    <t>La consommation à la baseline doit être ajustée en fonction des ruptures antérieure.</t>
  </si>
  <si>
    <t>Dans un contexte de croissance des besoins, la CMM n'est pas une donnée adapté, il est préférable de prendre la dernière consommation ajustée.</t>
  </si>
  <si>
    <t>Quantités en stock en nombre de conditionnement primaire</t>
  </si>
  <si>
    <t>Quantités attendues en nombre de conditionnement primaire</t>
  </si>
  <si>
    <t>Besoins mensuels moyens en nb de conditionnement primaire</t>
  </si>
  <si>
    <t>Troisièmes lignes</t>
  </si>
  <si>
    <t>On peut estimer que 3 % des patients passent en 2ème ligne / an. Cela fait donc un passage mensuel de 0,25%</t>
  </si>
  <si>
    <t>Patients recevant ATV+RTV</t>
  </si>
  <si>
    <t>Patients recevant DRV+RTV</t>
  </si>
  <si>
    <t>B.3. Passage en 3ème ligne</t>
  </si>
  <si>
    <t>On peut estimer que 3 % des patients passent de 2ème ligne en 3ème ligne / an. Cela fait donc un passage mensuel de 0,25%</t>
  </si>
  <si>
    <t>Estimation Nb d'enfant concerné</t>
  </si>
  <si>
    <t>Estimation Nb d'enfant concerné HORS PTME</t>
  </si>
  <si>
    <t>Mentionnez les Consommations en conditionnement primaire (flacon)</t>
  </si>
  <si>
    <t>Consommations ajustées à baseline</t>
  </si>
  <si>
    <t>Consommations ajustées à baseline (en flacon / cdt primaire)</t>
  </si>
  <si>
    <t>Consommation ajustée baseline</t>
  </si>
  <si>
    <t>Divers : Données sources pour représentation graphique</t>
  </si>
  <si>
    <t>Jour</t>
  </si>
  <si>
    <t>Mois</t>
  </si>
  <si>
    <t>Année</t>
  </si>
  <si>
    <t>MOIS</t>
  </si>
  <si>
    <t>Délai Aujdhui / DLU MAX (Mois)</t>
  </si>
  <si>
    <t>Consommation</t>
  </si>
  <si>
    <t>Distribution</t>
  </si>
  <si>
    <t>Préciser s'il s'agit de données de consommation ou de distribution en cochant la case correspondante (X)</t>
  </si>
  <si>
    <t xml:space="preserve">Dans cette version, les paramètres retenus sont : </t>
  </si>
  <si>
    <t>Nb mois stock / commande attendue - Données FA</t>
  </si>
  <si>
    <t>Nb mois dispo hors SS / Commande - Données FA</t>
  </si>
  <si>
    <t>Nb mois dispo SS / Commande - Données FA</t>
  </si>
  <si>
    <t>En l'absence de renseignement d'informations précises sur les DLU, merci de préciser ci-dessous la durée maximale d'utilisation avant péremption que vous voulez prendre en compte.</t>
  </si>
  <si>
    <t>Nb mois stock / commande attendue - Données Conso/Distri</t>
  </si>
  <si>
    <t>CALCULS à partir des données de Conso/Distri</t>
  </si>
  <si>
    <t>Pour représentation graphique 
avec données Conso/Distri</t>
  </si>
  <si>
    <t>Nb mois dispo - Données Conso/Distri</t>
  </si>
  <si>
    <t>Nb mois dispo hors SS - Données Conso/Distri</t>
  </si>
  <si>
    <t>Nb mois dispo SS - Données Conso/Distri</t>
  </si>
  <si>
    <t>2. Couverture à partir des stocks disponibles et des commandes</t>
  </si>
  <si>
    <t>SB C.3</t>
  </si>
  <si>
    <t>Cet outil couple 2 méthodes d'estimation des besoins : méthode basée sur les données de suivi de la file active sous ARV et méthode basée sur les données de consommation / distribution.</t>
  </si>
  <si>
    <t>ABC+3TC+LPV/r</t>
  </si>
  <si>
    <t>Le système ne tient pas compte des DLU des stocks de régions car l'interprétation des données compilées n'est pas possible.</t>
  </si>
  <si>
    <t xml:space="preserve"> </t>
  </si>
  <si>
    <t>Formes solides (cp/gél/caps)</t>
  </si>
  <si>
    <t>3TC+ABC</t>
  </si>
  <si>
    <t>IDV hors RTV</t>
  </si>
  <si>
    <t>SQV avec RTV</t>
  </si>
  <si>
    <t>DRV avec RTV</t>
  </si>
  <si>
    <t>300/600 mg</t>
  </si>
  <si>
    <t>Posologies (nb de cp / jour)</t>
  </si>
  <si>
    <t>Nb de médicaments cochés</t>
  </si>
  <si>
    <t>Commentaire</t>
  </si>
  <si>
    <t>Ce tableau permet de définir les médicaments voulus pour chaque schéma thérapeutique.</t>
  </si>
  <si>
    <t>Pour cela, pour chaque schéma thérapeutique, mettre un X majuscule dans la case correspondant au médicament voulu</t>
  </si>
  <si>
    <t>Ces données seront prises en compte pour les patients sous traitement, pour les inclusions et pour les changements de ligne</t>
  </si>
  <si>
    <t>Si plusieurs cases sont remplies, l'ensemble des médicaments sera pris en compte</t>
  </si>
  <si>
    <t>Nombre de patients suivis</t>
  </si>
  <si>
    <t>Nombre de patients initiés</t>
  </si>
  <si>
    <t>Nombre de patients switchés</t>
  </si>
  <si>
    <t>KIVEXA</t>
  </si>
  <si>
    <t>Note</t>
  </si>
  <si>
    <t>Les cases en gris claire correspondent aux cases incluant des calculs liés à l'addition de quantités relatives à des posologies différentes</t>
  </si>
  <si>
    <t>attention, il est indispensable d'activer les liens pour que le système fonctionne</t>
  </si>
  <si>
    <t>Stocks disponibles</t>
  </si>
  <si>
    <t>Les paramètres renseignés ci-dessous ne modifient pas la répartition par ligne. Par exemple, si vous souhaitez que tous vos patients sous TDF+FTC reçoivent du TDF+3TC, il faut le renseigner dans les tableaux des parties B. &amp; C.</t>
  </si>
  <si>
    <t>DDI+3TC+LPV/r</t>
  </si>
  <si>
    <t>100/25 mg</t>
  </si>
  <si>
    <t>Tranche 3 - 9,9 kg</t>
  </si>
  <si>
    <t>Patients suivis</t>
  </si>
  <si>
    <t>Patients initiés</t>
  </si>
  <si>
    <t>Nb de cdt/mois pour la tranche</t>
  </si>
  <si>
    <t>Nb de patients-mois / produit - SUIVIS</t>
  </si>
  <si>
    <t>Nb de patients-mois / produit - NOUVEAUX</t>
  </si>
  <si>
    <t>Nb de cdt pr SUIVIS</t>
  </si>
  <si>
    <t>Nb de cdt pr NOUVEAUX</t>
  </si>
  <si>
    <t>15-19,9</t>
  </si>
  <si>
    <t>10-14,9</t>
  </si>
  <si>
    <t>Sélection des produits &amp; détails des calculs</t>
  </si>
  <si>
    <t>3TC 150mg</t>
  </si>
  <si>
    <t>D4T+3TC adulte</t>
  </si>
  <si>
    <t>Tranche 10 - 14,9 kg</t>
  </si>
  <si>
    <t>Tranche 15 -19,9 kg</t>
  </si>
  <si>
    <t>Tranche 20 - 24,9 kg</t>
  </si>
  <si>
    <t>Pour les comprimés (en nombre de conditionnements / patient / mois)</t>
  </si>
  <si>
    <t>Certaines options sont possibles pour certains schémas thérapeutiques</t>
  </si>
  <si>
    <t>Pour cela mettre un X majuscule dans la case sélection pour l'option retenue</t>
  </si>
  <si>
    <t>Ces choix concernent uniquement les enfants de 3 à 15 kg. Pour les tranches de poids supérieures, les formes adultes sont automatiquement prises en compte.</t>
  </si>
  <si>
    <t>Tableau de bord des péremptions et surstocks</t>
  </si>
  <si>
    <t>Pour l'impression rapide et mise en page des données saisies</t>
  </si>
  <si>
    <t>L'utilisation de certains médicaments "atypiques" peut être envisagée par sélection dans un tableau.</t>
  </si>
  <si>
    <t>1. Données de suivi de patients - ADULTES</t>
  </si>
  <si>
    <t>Quantités totales en stock après réception (nb de boites)</t>
  </si>
  <si>
    <t>1. Données de suivi de patients - ENFANTS</t>
  </si>
  <si>
    <t>Pays / Région</t>
  </si>
  <si>
    <t>Date de mise à jour des données</t>
  </si>
  <si>
    <t>Tableau d'évaluation des besoins en ARV</t>
  </si>
  <si>
    <t>Présentation de l'outil et description de la méthode</t>
  </si>
  <si>
    <t>Un menu présente l'ensemble des résultats</t>
  </si>
  <si>
    <t>Objectifs de l'outil</t>
  </si>
  <si>
    <t>Permettre une estimation rapide et simple des périodes de disponibilités des ARV en tenant compte de l'augmentation des besoins liés aux inclusions et changement de traitements</t>
  </si>
  <si>
    <t>Réaliser des représentations visuelles des périodes de disponibilités pour communiquer avec des décideurs institutionnels pour les alerter sur des disponibilités critiques</t>
  </si>
  <si>
    <t>Structure de l'outil</t>
  </si>
  <si>
    <t>1. La première méthode utilisée est basée sur la morbidité pour les ARV de la prise en charge des adultes et des enfants</t>
  </si>
  <si>
    <t>2. La deuxième méthode est basée sur les données de consommation / distribution</t>
  </si>
  <si>
    <t>Pour l'utilisation de cette méthode, il est possible de tenir compte d'une augmentation des besoins mensuels en définissant un taux de croissance.</t>
  </si>
  <si>
    <t>Les calculs se font alors de la même manière que précédemment</t>
  </si>
  <si>
    <t>Lorsque cette méthode est utilisée seule, il est important de vider l'ensemble des cellules à remplir dans l'onglet "Données à saisir" car sinon un nombre de patients apparaîtra dans les résultats et ne correspondra pas à la réalité.</t>
  </si>
  <si>
    <t>Il est important d'effacer au préalable toutes les données qui ne correspondent pas</t>
  </si>
  <si>
    <t>1. Première étape : SAISIE</t>
  </si>
  <si>
    <t>2. Deuxième étape : LECTURE DES RESULTATS</t>
  </si>
  <si>
    <t>Méthode</t>
  </si>
  <si>
    <t>Cet outil fait l'objet d'une licence libre de type Creative Commons (http://creativecommons.org/)</t>
  </si>
  <si>
    <t>http://creativecommons.org/licenses/by-nc-sa/3.0/</t>
  </si>
  <si>
    <t>Toutes les modifications faites sur l'outil devront partager les mêmes conditions que celles mentionnées ci-dessus.</t>
  </si>
  <si>
    <t xml:space="preserve">Pour toute questions et commentaires, contacter Solthis : </t>
  </si>
  <si>
    <t xml:space="preserve">contact@solthis.org </t>
  </si>
  <si>
    <t>pour les inclusions, le facteur multiplicateur sera donc de :</t>
  </si>
  <si>
    <t>NON</t>
  </si>
  <si>
    <t>Quel taux de frais de gestion voulez-vous prendre en compte ?</t>
  </si>
  <si>
    <t>Données de morbidité, suivi de la file active</t>
  </si>
  <si>
    <t>Montant (US$) EXW</t>
  </si>
  <si>
    <t>+ frais de gestion</t>
  </si>
  <si>
    <t>+ frais de transport,assurance, handling (prix CIP)</t>
  </si>
  <si>
    <t>Prix (US$) EXW / boite</t>
  </si>
  <si>
    <t>Résultats Quanti</t>
  </si>
  <si>
    <t>Feuille de l'onglet bleu</t>
  </si>
  <si>
    <t>attention, ce calculateur ne tient pas compte des besoins de la prise en charge des AES</t>
  </si>
  <si>
    <t>Stock</t>
  </si>
  <si>
    <t>besoin actuel</t>
  </si>
  <si>
    <t>Eval</t>
  </si>
  <si>
    <t>Calculs!L228</t>
  </si>
  <si>
    <t>Calculs!N135</t>
  </si>
  <si>
    <t>Calculs!M181</t>
  </si>
  <si>
    <t>Stock &gt;0 et besoin actuel et futur =0</t>
  </si>
  <si>
    <t>Calculs!M228</t>
  </si>
  <si>
    <t>Calculs!N228</t>
  </si>
  <si>
    <t>Calculs!P228</t>
  </si>
  <si>
    <t>Date de réception attendue</t>
  </si>
  <si>
    <t>Delta Dispo/date de réception attendue</t>
  </si>
  <si>
    <t>Préciser les dates de réceptions attendues</t>
  </si>
  <si>
    <t>Nombre de mois de disponibilité de produits hors ST</t>
  </si>
  <si>
    <t>Delta sur commande / ST</t>
  </si>
  <si>
    <t>Nombre de mois de stock tampon</t>
  </si>
  <si>
    <t>Date d'entrée en stock tampon</t>
  </si>
  <si>
    <t>Nombre de mois de stock tampon (ST)</t>
  </si>
  <si>
    <t>CALCULS de la période couverte par les commandes seules avec croissance des besoins</t>
  </si>
  <si>
    <t>Date de rupture finale attendue</t>
  </si>
  <si>
    <t>La période de quantification réelle est donc de :</t>
  </si>
  <si>
    <t>Données de consommation ou distribution</t>
  </si>
  <si>
    <t>A. Renseignez la consommation globale ajustée et les taux de croissance s'ils sont disponibles</t>
  </si>
  <si>
    <t>Nombre de patients extrapolé des données de consommation</t>
  </si>
  <si>
    <t>Nombre de patients d'après données de file active</t>
  </si>
  <si>
    <t>Préciser si vous voulez que le nombre de patients sous traitement soit obtenus par les données de file actives ou par extrapolation des données de consommation (cocher la case par un X)</t>
  </si>
  <si>
    <t>Progression besoin</t>
  </si>
  <si>
    <t>Représentation visuelle</t>
  </si>
  <si>
    <t>Avec données de PEC</t>
  </si>
  <si>
    <t>Avec extrapolation consommations</t>
  </si>
  <si>
    <t>DONNEES Nombre de patients</t>
  </si>
  <si>
    <t>Adaptation de l'indicateur de données de stocks dispo</t>
  </si>
  <si>
    <t>PRIX des ARV en Dollar US $ d'après le Rapport GPRM 10-2011 pour les pays à faibles revenus (Low Income Countries)</t>
  </si>
  <si>
    <t>Les données présentées dans ce tableau sont issus du rapport du GPRM, OMS, d'octobre 2011 (Source  http://www.who.int/hiv/amds/)</t>
  </si>
  <si>
    <t>Lorsque les données n'étaient pas présentes dans le rapport 12-2010, nous avons gardé les données du rapport précédent.</t>
  </si>
  <si>
    <t>Commentaire mentionné dans le rapport GPRM sur la nature des prix présentés</t>
  </si>
  <si>
    <t>The prices in this report are international transaction prices, and not the prices paid by end-users at country level. End-user prices are often higher than international transaction prices due to tariffs, taxes, transportation costs, and mark-ups. However, in certain instances, end-user prices could be lower than international transaction prices due to subsidies. More information on end-user prices can be found on the Health Action International website at http://www.haiweb.org/medicineprices/16.</t>
  </si>
  <si>
    <t>Taxes, tariffs, and/or International Commercial Terms (INCOTERMS: cost or condition of transport, insurance, etc.) are not consistently reported and therefore are not considered††.</t>
  </si>
  <si>
    <t>Previous investigations by the U.S. Government Accounting Office and Management Sciences for Health suggested</t>
  </si>
  <si>
    <t>ABC+3TC</t>
  </si>
  <si>
    <t>600+300</t>
  </si>
  <si>
    <t>FPV</t>
  </si>
  <si>
    <t>Inh Int</t>
  </si>
  <si>
    <t>RAL</t>
  </si>
  <si>
    <t>ATV/r</t>
  </si>
  <si>
    <t>300/100</t>
  </si>
  <si>
    <t>Matrix/Mylan</t>
  </si>
  <si>
    <t>[6]</t>
  </si>
  <si>
    <t>D'après Untangling the web of price reduction - http://msf-utw.tumblr.com/post/13260793909/first-ever-atv-r-combination-pill-improves-treatment</t>
  </si>
  <si>
    <t>150+200+30</t>
  </si>
  <si>
    <t>300/100 mg</t>
  </si>
  <si>
    <t>*</t>
  </si>
  <si>
    <t>Le Darunavir existe en 300mg et en 600mg, bien s'assurer de la forme sélectionnée</t>
  </si>
  <si>
    <t>30/60 mg</t>
  </si>
  <si>
    <t>60 mg</t>
  </si>
  <si>
    <t>[TDF+3TC]+ATV/r</t>
  </si>
  <si>
    <t>[300/300]+300/100 mg</t>
  </si>
  <si>
    <t>Ne saisir ici que les besoins qui ne serait pas documentés dans le suivi de file active renseigné ci-dessus.</t>
  </si>
  <si>
    <t>Ces besoins seront pris en compte pour une estimation sur base des données de suivi de file active renseignés précédemment. Par contre ils ne seront pas pris en compte dans une estimation sur la base des données de consommation/distribution.</t>
  </si>
  <si>
    <t>700 mg</t>
  </si>
  <si>
    <t>TELZIR</t>
  </si>
  <si>
    <t>INTELENCE</t>
  </si>
  <si>
    <t>RPV</t>
  </si>
  <si>
    <t>25 mg</t>
  </si>
  <si>
    <t>Efavirenz</t>
  </si>
  <si>
    <t>Etravirine</t>
  </si>
  <si>
    <t>Névirapine</t>
  </si>
  <si>
    <t>Rilpivirine</t>
  </si>
  <si>
    <t>Abacavir</t>
  </si>
  <si>
    <t>Zidovudine</t>
  </si>
  <si>
    <t>Stavudine</t>
  </si>
  <si>
    <t>Lamivudine</t>
  </si>
  <si>
    <t>Didanosine</t>
  </si>
  <si>
    <t>Ténofovir</t>
  </si>
  <si>
    <t>Lopinavir/Ritonavir</t>
  </si>
  <si>
    <t>Atazanavir/Ritonavir</t>
  </si>
  <si>
    <t>Fosamprénavir</t>
  </si>
  <si>
    <t>Indinavir</t>
  </si>
  <si>
    <t>Darunavir</t>
  </si>
  <si>
    <t>Saquinavir</t>
  </si>
  <si>
    <t>Ritonavir</t>
  </si>
  <si>
    <t>Raltégravir</t>
  </si>
  <si>
    <t>Zidovudine
+Lamivudine
+Névirapine</t>
  </si>
  <si>
    <t>Zidovudine
+Lamivudine
+Abacavir</t>
  </si>
  <si>
    <t>Zidovudine
+Lamivudine</t>
  </si>
  <si>
    <t>Lamivudine
+Abacavir</t>
  </si>
  <si>
    <t>Stavudine
+Lamivudine
+Névirapine</t>
  </si>
  <si>
    <t>Stavudine
+Lamivudine</t>
  </si>
  <si>
    <t>Ténofovir
+Emtricitabine
+Efavirenz</t>
  </si>
  <si>
    <t>Ténofovir
+Emtricitabine</t>
  </si>
  <si>
    <t>Ténofovir
+Lamivudine
+Efavirenz</t>
  </si>
  <si>
    <t>Ténofovir
+Lamivudine</t>
  </si>
  <si>
    <t>[Ténofovir
+Lamivudine]
+Atazanavir/Ritonavir</t>
  </si>
  <si>
    <t>Hors GPRM - Source Untangling the web</t>
  </si>
  <si>
    <t>[300+300]+300/100</t>
  </si>
  <si>
    <t>[7]</t>
  </si>
  <si>
    <t>D'après Fondation Clinton Ceiling Prices 052011</t>
  </si>
  <si>
    <t>[8]</t>
  </si>
  <si>
    <t>Patients recevant FPV+RTV</t>
  </si>
  <si>
    <t>Patients recevant ETV</t>
  </si>
  <si>
    <t>Patients recevant RPV</t>
  </si>
  <si>
    <t>Troisièmes lignes (contrairement aux parties du dessus, un même patient peut être comptabilisé ici dans plusieurs lignes)</t>
  </si>
  <si>
    <t>Patients recevant TDF</t>
  </si>
  <si>
    <t>Patients recevant AZT</t>
  </si>
  <si>
    <t>Patients recevant 3TC</t>
  </si>
  <si>
    <t>Patients recevant ABC</t>
  </si>
  <si>
    <t>Patients recevant DDI 250</t>
  </si>
  <si>
    <t>Patients recevant DDI 400</t>
  </si>
  <si>
    <t>Attention, étant donné qu'un même patient peut rentrer dans plusieurs cases, pour composer une trithérapie, le total doit être au moins de 300%</t>
  </si>
  <si>
    <t>Pour simplifier la méthode, il n'a pas été prévu de pouvoir prendre en compte les combinaisons doubles (AZT¨+3TC, TDF+3TC, ABC+3TC)</t>
  </si>
  <si>
    <t>1 feuille Présentation</t>
  </si>
  <si>
    <t>4 feuilles Saisie de données</t>
  </si>
  <si>
    <t>Cette donnée permet soit de faire apparaître graphiquement le stock de sécurité sur les représentations visuelles, soit d'en tenir compte dans les quantifications</t>
  </si>
  <si>
    <t>Feuille SAISIE 2 - Saisie des données de stocks (centraux, périphériques ou commandes en cours)</t>
  </si>
  <si>
    <t>Feuille SAISIE 3 - Saisie des données de files actives et informations associées (sélection des options thérapeutiques)</t>
  </si>
  <si>
    <t>La mode est ici mixte pour tenir compte des activités de PTME, l'information la plus souvent disponible sur les besoins reste les données de consommation</t>
  </si>
  <si>
    <t>Feuille SAISIE 4 - Saisie des données de consommation ou distribution disponibles</t>
  </si>
  <si>
    <t>Comprimés - Combinaisons à doses fixes</t>
  </si>
  <si>
    <t>CDF A.1</t>
  </si>
  <si>
    <t>CDF B.1</t>
  </si>
  <si>
    <t>CDF C.1</t>
  </si>
  <si>
    <t>CDF C.3</t>
  </si>
  <si>
    <t>FS A.1</t>
  </si>
  <si>
    <t>FS B.1</t>
  </si>
  <si>
    <t>FS C.1</t>
  </si>
  <si>
    <t>FS C.3</t>
  </si>
  <si>
    <t>Comprimés - 
Formes simples</t>
  </si>
  <si>
    <t>Paramétrage général</t>
  </si>
  <si>
    <t>Saisie des données de stocks</t>
  </si>
  <si>
    <t>Saisie des données de file active / suivi de patients</t>
  </si>
  <si>
    <t>Saisie des données de consommation / distribution</t>
  </si>
  <si>
    <t>Calculs</t>
  </si>
  <si>
    <t>1. Disponibilité à partir des stocks disponibles centraux et périphériques</t>
  </si>
  <si>
    <t>Nature des stocks utilisés :</t>
  </si>
  <si>
    <t>2. Conséquence de la réception des commandes sur la couverture des besoins</t>
  </si>
  <si>
    <t>CDF A.2</t>
  </si>
  <si>
    <t>FS A.2</t>
  </si>
  <si>
    <t>SB A.2</t>
  </si>
  <si>
    <t>CDF B.2</t>
  </si>
  <si>
    <t>FS B.2</t>
  </si>
  <si>
    <t>SB B.2</t>
  </si>
  <si>
    <t>Paramétrage</t>
  </si>
  <si>
    <t>Analyse des surstocks en fonction des péremptions (données de Conso)</t>
  </si>
  <si>
    <t>Analyse des surstocks en fonction des péremptions (données de FA)</t>
  </si>
  <si>
    <t>Stock disponible UTILISABLE au niveau considéré (nb de boites)</t>
  </si>
  <si>
    <t>Si le détail de la répartition des quantités / DLU n'est pas complet, la mention "ATTENTION" apparait dans le tableau de droite.</t>
  </si>
  <si>
    <t>Souhaitez vous tenir compte des stocks disponibles UTILISABLES (quantités consommées avant la péremption) ? (Précisez OUI ou NON)</t>
  </si>
  <si>
    <t>Indicateur si durée de vie max</t>
  </si>
  <si>
    <t>Date de péremption maximale stock utilisable</t>
  </si>
  <si>
    <t>Quantités totales des lots 1&amp;2 non périmés à la date de péremption précédente</t>
  </si>
  <si>
    <t>Quantités totales des lots 1,2&amp;3 non périmés à la date de péremption précédente</t>
  </si>
  <si>
    <t>Quantités totales des lots 1,2,3&amp;4 non périmés à la date de péremption précédente</t>
  </si>
  <si>
    <t>Quantités totales des lots 1,2,3,4&amp;5 non périmés à la date de péremption précédente</t>
  </si>
  <si>
    <t>Quantités totales des lots 1,2,3,4,5&amp;6 non périmés à la date de péremption précédente</t>
  </si>
  <si>
    <t>Quantités totales des lots 1,2,3,4,5,6&amp;7 non périmés à la date de péremption précédente</t>
  </si>
  <si>
    <t xml:space="preserve">Estimation Quantités totales nécessaires pour la période date estimation - DLU2 (nb de boites) </t>
  </si>
  <si>
    <t xml:space="preserve">Estimation Quantités totales nécessaires pour la période date estimation - DLU3 (nb de boites) </t>
  </si>
  <si>
    <t xml:space="preserve">Estimation Quantités totales nécessaires pour la période date estimation - DLU4 (nb de boites) </t>
  </si>
  <si>
    <t xml:space="preserve">Estimation Quantités totales nécessaires pour la période date estimation - DLU5 (nb de boites) </t>
  </si>
  <si>
    <t xml:space="preserve">Estimation Quantités totales nécessaires pour la période date estimation - DLU6 (nb de boites) </t>
  </si>
  <si>
    <t xml:space="preserve">Estimation Quantités totales nécessaires pour la période date estimation - DLU7 (nb de boites) </t>
  </si>
  <si>
    <t>Durée d'utilisation (date péremption-date estimation) (nb de mois 30 j)</t>
  </si>
  <si>
    <t>DLU Max ou calculée à partir de durée d'utilisation (date péremption-date estimation) saisie</t>
  </si>
  <si>
    <t>Besoin mensuel patients suivis selon méthode</t>
  </si>
  <si>
    <t>Besoin mensuel patients initiés selon méthode</t>
  </si>
  <si>
    <t>Quantités en stock central
(nb de boites)</t>
  </si>
  <si>
    <t>Stock=0; Besoin &gt;0</t>
  </si>
  <si>
    <t>Stock et besoin actuel et futur =0</t>
  </si>
  <si>
    <t>Pertes totales (nb cdt)</t>
  </si>
  <si>
    <t>Quantités totales UTILISABLES (nb cdt) selon paramétrage</t>
  </si>
  <si>
    <t>60/30/60 mg</t>
  </si>
  <si>
    <t>600/300 mg</t>
  </si>
  <si>
    <t>ABC baby</t>
  </si>
  <si>
    <t>volume flacon (mL) [1]</t>
  </si>
  <si>
    <t>5 - 9,9</t>
  </si>
  <si>
    <t>AZT+3TC+ABC adulte</t>
  </si>
  <si>
    <t>ABC adulte</t>
  </si>
  <si>
    <t>DDI 250 mg</t>
  </si>
  <si>
    <t>NVP cp</t>
  </si>
  <si>
    <t>EFV 200 mg</t>
  </si>
  <si>
    <t>Préciser les doses journalières pour chaque tranche de poids</t>
  </si>
  <si>
    <t>Dates de péremption</t>
  </si>
  <si>
    <t>Prises en compte</t>
  </si>
  <si>
    <t>Non prises en compte</t>
  </si>
  <si>
    <t>Réajustement stock (si &gt;DLU max)</t>
  </si>
  <si>
    <t>Réajustement  / commande Si &gt; DLU</t>
  </si>
  <si>
    <t>Données nettoyées pour représentation graphique</t>
  </si>
  <si>
    <t>produits en stocks</t>
  </si>
  <si>
    <t>produits dont la date de péremption n'est pas renseignée</t>
  </si>
  <si>
    <t>Calculs!L317</t>
  </si>
  <si>
    <t>Calculs!N317</t>
  </si>
  <si>
    <t>Les données présentées ici sont adaptées des recommandations OMS 2010</t>
  </si>
  <si>
    <t>Formes liquides</t>
  </si>
  <si>
    <t>Formes solides</t>
  </si>
  <si>
    <t>Il ne faut sélectionner qu'une combinaison ou formulation d'un ARV pour un même schéma thérapeutique</t>
  </si>
  <si>
    <t>Tabs</t>
  </si>
  <si>
    <t>AZT baby</t>
  </si>
  <si>
    <t>TOTAL Besoins patients suivis</t>
  </si>
  <si>
    <t>TOTAL Besoins patients initiés</t>
  </si>
  <si>
    <t>EFV 50 mg</t>
  </si>
  <si>
    <t>LPV/r adulte</t>
  </si>
  <si>
    <t>AZT 100 mg</t>
  </si>
  <si>
    <t>Durée d'un mois</t>
  </si>
  <si>
    <t>Compilation données poso pédia</t>
  </si>
  <si>
    <t>TOTAL Nb de cdt / mois</t>
  </si>
  <si>
    <t>Initiation NVP</t>
  </si>
  <si>
    <t>initiation NVP</t>
  </si>
  <si>
    <t>Vérification nb de produits sélectionnés</t>
  </si>
  <si>
    <t>Zone 1</t>
  </si>
  <si>
    <t>Zone 2</t>
  </si>
  <si>
    <t>Zone 3</t>
  </si>
  <si>
    <t>Partiellement prises en compte</t>
  </si>
  <si>
    <t>OUI</t>
  </si>
  <si>
    <t>Instauration de la NVP - Nevirapine</t>
  </si>
  <si>
    <t>Choisir les formes que vous souhaitez pour chacun des schémas thérapeutiques</t>
  </si>
  <si>
    <t>Selectionner une des options</t>
  </si>
  <si>
    <t>Uniquement des CDF : AZT+3TC &amp; AZT+3TC+NVP</t>
  </si>
  <si>
    <t>avec CDF &amp; Solution buvable NVP : AZT+3TC</t>
  </si>
  <si>
    <t>Tout en solution buvable</t>
  </si>
  <si>
    <t>avec CDF D4T+3TC+NVP &amp; sol buv D4T &amp; 3TC</t>
  </si>
  <si>
    <t>Qté / enfant</t>
  </si>
  <si>
    <t>Nb total de flacon pour les nouveaux enfants de l'année</t>
  </si>
  <si>
    <t>15 premiers jours</t>
  </si>
  <si>
    <t>1 flacon</t>
  </si>
  <si>
    <t>15 cp</t>
  </si>
  <si>
    <t>A. SELECTION - Quels médicaments souhaitez vous pour chaque schéma thérapeutique Adulte ?</t>
  </si>
  <si>
    <t>1. Sélection des ARV - ENFANTS</t>
  </si>
  <si>
    <t>Consommations/Distributions</t>
  </si>
  <si>
    <t xml:space="preserve">Le paramétrage prend il en compte les dates limites d'utilisation : </t>
  </si>
  <si>
    <t>Global</t>
  </si>
  <si>
    <t>Quantités totales UTILISABLES avant péremption (nb de boites)</t>
  </si>
  <si>
    <t>Durée maximale d'utilisation prise en compte</t>
  </si>
  <si>
    <t>Attention, ces disponibilités ne tiennent pas compte des dates de réception de produits</t>
  </si>
  <si>
    <t>Zidovudine+ Lamivudine+ Abacavir</t>
  </si>
  <si>
    <t>Zidovudine+ Lamivudine</t>
  </si>
  <si>
    <t>Lamivudine+ Abacavir</t>
  </si>
  <si>
    <t>Stavudine+ Lamivudine</t>
  </si>
  <si>
    <t>Les périodes de disponibilités sont limitées aux dates de péremption quand elles sont renseignées ou à la durée maximale d'utilisation quand celle-ci est définie</t>
  </si>
  <si>
    <t>Quantités totales en stock (nb de boites) [1]</t>
  </si>
  <si>
    <t>Nombre de mois de disponibilité de produits sur Stock disponible UTILISABLE [2]</t>
  </si>
  <si>
    <t>Nombre de mois de disponibilité de produits sur quantités sur commandes attendues [3]</t>
  </si>
  <si>
    <t>CMM ou estimation du besoin moyen mensuel à baseline selon méthode</t>
  </si>
  <si>
    <t>Sélection des données/méthode que vous souhaitez utiliser</t>
  </si>
  <si>
    <t>Résultats de disponibilité</t>
  </si>
  <si>
    <t>Sélectionnez dans le menu ci-dessous les données /méthode que vous souhaitez utiliser pour l'estimation des besoins</t>
  </si>
  <si>
    <t>SOLUTIONS BUVABLES</t>
  </si>
  <si>
    <t>Résultats Visuels</t>
  </si>
  <si>
    <t>Impression données adultes</t>
  </si>
  <si>
    <t>Synthèse des stocks &amp; disponibilités</t>
  </si>
  <si>
    <t>Impression sélection adultes</t>
  </si>
  <si>
    <t>Impression données pédiatriques</t>
  </si>
  <si>
    <t>Impression sélection enfants</t>
  </si>
  <si>
    <t>Données prises en compte pour la méthode basée sur les files actives (versions imprimables)</t>
  </si>
  <si>
    <t>Synthèse Résultats disponibilités</t>
  </si>
  <si>
    <t>Synthèse des stocks et disponibilités</t>
  </si>
  <si>
    <t>12 feuilles Résultats graphiques (selon formes et méthode de quanti)</t>
  </si>
  <si>
    <t>spécifier les données dans les tableaux dans les onglets verts de saisie de données</t>
  </si>
  <si>
    <t>et paramétrer toutes les options proposées</t>
  </si>
  <si>
    <t>la lecture peut se faire sur les chronogrammes</t>
  </si>
  <si>
    <t>* selon les 2 méthodes utilisées</t>
  </si>
  <si>
    <t>* pour les formes solides (comprimés, gélules, capsules) simples (FS) ou combinées (CDF)</t>
  </si>
  <si>
    <t>la lecture peut se faire dans les tableaux de synthèse de l'onglet orange</t>
  </si>
  <si>
    <t>* tableau de bord analyse les consommations en fonction des dates de péremption et permet d'alerter les utilisateurs sur les surstocks possibles et les péremptions qui pourraient en découler</t>
  </si>
  <si>
    <t>si non, à quelle date souhaitez vous que la période quantifiée commence ?</t>
  </si>
  <si>
    <t>Durée de la période intermédiaire entre date d'estimation &amp; début de la période quantifiée</t>
  </si>
  <si>
    <t>Période quantifié sans période intermédiaire</t>
  </si>
  <si>
    <t>Période intermédiaire</t>
  </si>
  <si>
    <t>Période totale Intermédiaire et quantifiée</t>
  </si>
  <si>
    <t>Stock prévisionnel au début de la période quantifiée</t>
  </si>
  <si>
    <t>Quantité consommée prévue sur la période intérmédiaire</t>
  </si>
  <si>
    <t>1.</t>
  </si>
  <si>
    <t>2.</t>
  </si>
  <si>
    <t>3.</t>
  </si>
  <si>
    <t>Date d'estimation</t>
  </si>
  <si>
    <t>Delta facteurs multiplicateurs / période quantifiée</t>
  </si>
  <si>
    <t>Prix médian</t>
  </si>
  <si>
    <t>Classe pharmaco</t>
  </si>
  <si>
    <t>selon option retenue, soit stock disponible total, soit stock disponible utilisable, soit stock prévisionnel total, soit stock prévisionnel utilisable</t>
  </si>
  <si>
    <t>EDURANT</t>
  </si>
  <si>
    <t>RLV</t>
  </si>
  <si>
    <t>D'après http://www.nelm.nhs.uk/en/NeLM-Area/News/2011---December/02/Rilpivirine-Edurant-launched-in-UK-for-treatment-of-HIV/</t>
  </si>
  <si>
    <t>Edurant</t>
  </si>
  <si>
    <t>précisez la marge que vous souhaitez (frais de transport/frais de gestion) ?</t>
  </si>
  <si>
    <t>Feuille SAISIE 1 - Paramétrage général</t>
  </si>
  <si>
    <t>Attention, l'estimation des stocks disponibles UTILISABLES ne sera pas effectuée si le détail des dates de péremption pour chaque produit n'est pas renseigné.</t>
  </si>
  <si>
    <t>Lexique</t>
  </si>
  <si>
    <t>(information renseignée dans la cellule D16 de la feuille 'Paramétrage'</t>
  </si>
  <si>
    <t>Stock dispo central</t>
  </si>
  <si>
    <t>Stock dispo périphérie</t>
  </si>
  <si>
    <t>Pour la visualisation des disponibilités, souhaitez vous prendre en compte des stocks en périphérie ? (OUI ou NON)</t>
  </si>
  <si>
    <t>Pour le module de quantification, le paramétrage se fait spécifiquement dans la feuille quantification</t>
  </si>
  <si>
    <t>Commandes en cours</t>
  </si>
  <si>
    <t>Total quantités disponibles à prendre en compte selon paramétrage</t>
  </si>
  <si>
    <t>Attention, cela implique de paramétrer "OUI" dans la cellule N8 de la feuille 'Saisie des données de stocks' et de remplir les dates de péremption dans le tableau de la partie 1A de la même feuille</t>
  </si>
  <si>
    <t>A. Méthode de quantification</t>
  </si>
  <si>
    <t>B. Période de quantification</t>
  </si>
  <si>
    <t>4.</t>
  </si>
  <si>
    <t>C. Stocks &amp; commandes en cours</t>
  </si>
  <si>
    <t>D. Paramètres d'estimation financière</t>
  </si>
  <si>
    <t>Accéder directement à cette cellule</t>
  </si>
  <si>
    <t>Quel taux de frais de transports ?</t>
  </si>
  <si>
    <t>Si la période de quantification ne commence pas à la date d'estimation, l'évaluation des stocks prévisionnels se fait avec les mêmes données que celles mentionnées dans les feuilles de saisie selon la méthode retenue. Si le stock est épuisé avant le début de la période quantifiée, l'impact de la rupture sur les consommations ou les initiations ne peut être pris en compte.</t>
  </si>
  <si>
    <t>Si oui, cette période est à renseigner dans la cellule D26 de la page "Paramétrage"</t>
  </si>
  <si>
    <t>Les données sont celles qui sont renseignées dans les feuilles 'Saisie données file active' et 'Saisie données conso'</t>
  </si>
  <si>
    <t>D'après les données renseignées dans la feuille 'Saisie des données de stocks'</t>
  </si>
  <si>
    <t>Il n'est pas possible de prendre en compte le calendrier de livraison dans cette estimation et si l'option OUI est retenue, les quantités commandées sont considérées comme réceptionnées au moment de l'estimation</t>
  </si>
  <si>
    <t>TOTAL Nb de cdt / mois HORS INITIATION</t>
  </si>
  <si>
    <t>Pour ne pas alourdir le document, la sélection des médicaments pédiatriques souhaités pour chaque schéma thérapeutique se trouve plus bas, à partir de la ligne 444</t>
  </si>
  <si>
    <t>Langue sélectionnée</t>
  </si>
  <si>
    <t>Français</t>
  </si>
  <si>
    <t>Anglais</t>
  </si>
  <si>
    <t>Choisir la langue souhaitée / Choose the wished language</t>
  </si>
  <si>
    <t>Tool presentation and method description</t>
  </si>
  <si>
    <t>Tool's objectif</t>
  </si>
  <si>
    <t>Structure of tools</t>
  </si>
  <si>
    <t>This document consists in the order of the following tabs:</t>
  </si>
  <si>
    <t>1 presentation sheet</t>
  </si>
  <si>
    <t>Instructions for use</t>
  </si>
  <si>
    <t>1. First step: DATA CAPTURE</t>
  </si>
  <si>
    <t>pour cela, remplir les cases vertes</t>
  </si>
  <si>
    <t>for this, fill the green box</t>
  </si>
  <si>
    <t>and  parametrize all options proposed</t>
  </si>
  <si>
    <t>2. Second step: RESULTS READING</t>
  </si>
  <si>
    <t>Method</t>
  </si>
  <si>
    <t>This tool is the object of a license free of type Creative Commons (http: // creativecommons.org/)</t>
  </si>
  <si>
    <t>2. Il sert à atteindre l'objectif pour lequel il a été crée : améliorer la disponibilité des traitements antirétroviraux</t>
  </si>
  <si>
    <t xml:space="preserve">2. It serves to reach the objective for which it was create: to improve antiretroviral treatments availability </t>
  </si>
  <si>
    <t>3. The user acknowledges that this tool was developped by Solthis</t>
  </si>
  <si>
    <t>For any changes or amendments, please contact us.</t>
  </si>
  <si>
    <t>All the modifications made on the tool will have to share the same conditions as those mentioned above.</t>
  </si>
  <si>
    <t xml:space="preserve">For any questions, please contact Solthis : </t>
  </si>
  <si>
    <t>Tableau de bord Evaluation de la disponibilité en ARV</t>
  </si>
  <si>
    <t>Prevent stock-outs by anticipating them as soon as possible to prevent</t>
  </si>
  <si>
    <t>Prévenir les ruptures de stocks en les anticipant le plus tôt possible pour les prévenir</t>
  </si>
  <si>
    <t>Allow quick and easy estimation of ART availability periods into taken account  of  increased needs related to inclusions and treatments changes</t>
  </si>
  <si>
    <t>Produce visual representations of  availability periods to communicate with institutional decision makers for warning them on the critical  availabilities</t>
  </si>
  <si>
    <t>4 Data capture sheets</t>
  </si>
  <si>
    <t>4 feuilles de calculs (masquées)</t>
  </si>
  <si>
    <t>4 calculation sheets (hidden)</t>
  </si>
  <si>
    <t xml:space="preserve">4 feuilles  impressions </t>
  </si>
  <si>
    <t>4 printing sheets</t>
  </si>
  <si>
    <t>Specify the data in the tables in the green tabs of data captures</t>
  </si>
  <si>
    <t>it is important to erase first all data that are not corresponding</t>
  </si>
  <si>
    <t>Read quantifications results in the blues tabs</t>
  </si>
  <si>
    <t>Reading can be done on the timing chart</t>
  </si>
  <si>
    <t>* according to 2 used méthods</t>
  </si>
  <si>
    <t>* For solid dosage forms (tablets, capsules) simple (FS) or in combination (FDC)</t>
  </si>
  <si>
    <t>Reading can be done in the synthesis table of orange tab</t>
  </si>
  <si>
    <t>*Needs coverage in number of month</t>
  </si>
  <si>
    <t xml:space="preserve"> Dashboard  ART availability Evaluation</t>
  </si>
  <si>
    <t>*Dashboard analyzes the consumption according to expiration dates and allow of warn users on possible surstocks and the expirations which could ensue from it</t>
  </si>
  <si>
    <t>This tool couples 2 methods of needs estimation : method based on the data of follow-up of  activates line under ART and method based on the data of consumption / distribution.</t>
  </si>
  <si>
    <t>1. The first used method is based on the morbidity for the ARV of the patient care of the adults and the children</t>
  </si>
  <si>
    <t>We consider the distribution regimens and inclusions</t>
  </si>
  <si>
    <t>Then we consider a  distribution hypothesis of the active file under  ARV treatment</t>
  </si>
  <si>
    <t>La correspondance entre lignes thérapeutiques et médicaments nécessaires pour chaque ligne se paramètre dans l'onglet "Données à saisir" pour les adultes. Pour les enfants, le paramétrage complet ne peut être fait. Seuls certains paramètres peuvent être saisis</t>
  </si>
  <si>
    <t>The correspondence between therapeutic lines and necessary drugs for every line  are parametered in the tab " data to  capture " for the adults. For the children, the complete configuration can not be made. Only certain parameters can be captured</t>
  </si>
  <si>
    <t>For the children dosage forms, we consider:</t>
  </si>
  <si>
    <t>Des solutions buvables pour les enfants de 3 à 15 kg (enfants de 0 à 3 ans) ou des comprimés solubles (ZIDOLAM-N bébé, …)</t>
  </si>
  <si>
    <t>The orals solutions for the children of 3 at 15 kg (childrens of 0 at 3 years) or soluble tablets (ZIDOLAM-N baby, …)</t>
  </si>
  <si>
    <t>The tablets for childrens of 15 at 30 kg</t>
  </si>
  <si>
    <t>The use of certain drugs "atypical" may be considered by a selection board</t>
  </si>
  <si>
    <t>We also considered the distribution per weight.</t>
  </si>
  <si>
    <t>Weight ranges for the calculation</t>
  </si>
  <si>
    <t xml:space="preserve">Weight ranges considered for the  dosages determinations </t>
  </si>
  <si>
    <t>We considered that the weight is distributed evenly in  even the slice and needs to be compensated for all around the average weight of the slice. So we took these dosages.</t>
  </si>
  <si>
    <t>To determine the number of months of  available stocks, we used the growth of the active file of patients under treatment in considering a constant growth needs.</t>
  </si>
  <si>
    <t>the reasoning is the next:</t>
  </si>
  <si>
    <t>This growth follows a constant curve of the type y = ax + ​​b</t>
  </si>
  <si>
    <t>With the next datas:</t>
  </si>
  <si>
    <t>y being the need for one month</t>
  </si>
  <si>
    <t>x being the months</t>
  </si>
  <si>
    <t>a = monthly needs for inclusions</t>
  </si>
  <si>
    <t>b = necesary needs for the patients already under treatment</t>
  </si>
  <si>
    <t>SD = available stocks</t>
  </si>
  <si>
    <t>And n the period of coverage like  unknown researched</t>
  </si>
  <si>
    <t>To calculate the sum of needs for several months, we have:</t>
  </si>
  <si>
    <t>Sum of needs on the period n (n from 1 month to n month) = a* sum of month (n from 1 month at n month) + b * n month</t>
  </si>
  <si>
    <t>On the same principle as Pascal's triangle, we can decompose:</t>
  </si>
  <si>
    <t>Sum of month ( n from 1 month at n month)= n(n+1)/2</t>
  </si>
  <si>
    <t>we thus obtain the equation of second degree:</t>
  </si>
  <si>
    <t>This equation has the solution n = [-(a+2b)+ SQRT (delta)]/2a</t>
  </si>
  <si>
    <t>Delta is the determinant of the function = (a +2 b) ² 4 a2SD</t>
  </si>
  <si>
    <t>This is the equation of this solution was used in the following tables.</t>
  </si>
  <si>
    <t>When there is no growth needs (a = 0, y = b), we used the formula n = SD / b</t>
  </si>
  <si>
    <t>Monthly data are rounded to one decimal</t>
  </si>
  <si>
    <t>2. The second method is based on the data of consumption / distribution</t>
  </si>
  <si>
    <t>For the use of this method, it is possible to take into account an increase of the monthly needs by defining a growth rate.</t>
  </si>
  <si>
    <t>The calculations are then made in the same way as previously</t>
  </si>
  <si>
    <t>When this method is only used, it is important to empty all the cells to be filled in the tab " data capture " because otherwise a number of patients will appear in the results and will not correspond to the reality.</t>
  </si>
  <si>
    <t>Comments</t>
  </si>
  <si>
    <t>Solthis does not assume the responsibility of results obtained with a bad data capture or by any modification of the board</t>
  </si>
  <si>
    <t>lire les résultats des quantifications dans l'onglet bleu</t>
  </si>
  <si>
    <t xml:space="preserve">14 feuilles Résultats </t>
  </si>
  <si>
    <t xml:space="preserve">14 Results sheets </t>
  </si>
  <si>
    <t>*For liquids (oral sol, syrups)</t>
  </si>
  <si>
    <t>Calculations</t>
  </si>
  <si>
    <t>Details pediatric calculations</t>
  </si>
  <si>
    <t>Synthesis of stocks and availability</t>
  </si>
  <si>
    <t>Dashboard of the lapsings and the overstocks</t>
  </si>
  <si>
    <t>Data entry of stocks</t>
  </si>
  <si>
    <t>Data entry of active line / followed by patients</t>
  </si>
  <si>
    <t>Data entry of consumption / distribution(casting)</t>
  </si>
  <si>
    <t>Analysis of the overstocks according to the lapsings (data of FA)</t>
  </si>
  <si>
    <t>Analysis of the overstocks according to the lapsings (data of Consumption)</t>
  </si>
  <si>
    <t>A menu presents all the results</t>
  </si>
  <si>
    <t>12 sheets graphic Results (according to forms and method of quanti)</t>
  </si>
  <si>
    <t>For the fast printing and the layout of the  data capture</t>
  </si>
  <si>
    <t>ENTRY sheet 1 - General Setup</t>
  </si>
  <si>
    <t>month</t>
  </si>
  <si>
    <t>Comments: some specific parameters can be entered in different sheets, in particular for the quantification module</t>
  </si>
  <si>
    <t>General setup</t>
  </si>
  <si>
    <t>What period of safety do you want to take into account?</t>
  </si>
  <si>
    <t>Etape 1 : Stocks disponibles</t>
  </si>
  <si>
    <t>A. Renseignez les stocks disponibles au niveau central et vérifier le volume des flacons de solutions buvables</t>
  </si>
  <si>
    <t>A. Renseignez les commandes en cours attendues et les dates de réception</t>
  </si>
  <si>
    <t>Etape 2 : Quantités attendues dans les commandes</t>
  </si>
  <si>
    <t>Attention, pour le Kaletra, tenir compte du conditionnement primaire (nombre de flacons ≠ nombre de boites)</t>
  </si>
  <si>
    <t>Stage 1: available stocks</t>
  </si>
  <si>
    <t>Lexicon</t>
  </si>
  <si>
    <t>MONTH</t>
  </si>
  <si>
    <t>A. Inform available stocks at the central level and verify the volume of vials of oral solutions</t>
  </si>
  <si>
    <t>Do you wish to take into account  available stocks USABLE (quantities consumed before the lapsing)? (Specify YES or NOT)</t>
  </si>
  <si>
    <t>Dosage form</t>
  </si>
  <si>
    <t>Strenght</t>
  </si>
  <si>
    <t>INN</t>
  </si>
  <si>
    <t>Brand name</t>
  </si>
  <si>
    <t>Possible generic name</t>
  </si>
  <si>
    <t>Quantities in stock in number of boxes</t>
  </si>
  <si>
    <t>Packaging</t>
  </si>
  <si>
    <t>Detail of expiration dates and quantities</t>
  </si>
  <si>
    <t xml:space="preserve">Date de péremption 2
</t>
  </si>
  <si>
    <t xml:space="preserve">Expiration date 2
</t>
  </si>
  <si>
    <t>Quantités (nb de boites) 1
1</t>
  </si>
  <si>
    <t>Quantités (nb de boites) 2</t>
  </si>
  <si>
    <t>Date de péremption 3
3</t>
  </si>
  <si>
    <t xml:space="preserve">Expiration date 3
 </t>
  </si>
  <si>
    <t>Quantités (nb de boites) 3</t>
  </si>
  <si>
    <t xml:space="preserve">Expiration date 4
 </t>
  </si>
  <si>
    <t xml:space="preserve">Date de péremption 4
</t>
  </si>
  <si>
    <t>Quantités (nb de boites) 5</t>
  </si>
  <si>
    <t>Quantités (nb de boites) 4</t>
  </si>
  <si>
    <t xml:space="preserve">Expiration date 5
 </t>
  </si>
  <si>
    <t>Date de péremption 6</t>
  </si>
  <si>
    <t xml:space="preserve">Expiration date 6
 </t>
  </si>
  <si>
    <t xml:space="preserve">Date de péremption 5
</t>
  </si>
  <si>
    <t>Quantités (nb de boites) 7</t>
  </si>
  <si>
    <t>Quantités (nb de boites) 6</t>
  </si>
  <si>
    <t>Date de péremption 7</t>
  </si>
  <si>
    <t xml:space="preserve">Expiration date 7
 </t>
  </si>
  <si>
    <t>Tablets</t>
  </si>
  <si>
    <t>Remark</t>
  </si>
  <si>
    <t>Volume primary packaging ( mL )</t>
  </si>
  <si>
    <t>secondary packaging</t>
  </si>
  <si>
    <t>Quantities in stock in number of primary packaging</t>
  </si>
  <si>
    <t>carefull, it is indispensable to activate the links so that the system works</t>
  </si>
  <si>
    <t>carefull, the results take into account all the entered data</t>
  </si>
  <si>
    <t xml:space="preserve">carefull, this computer does not take into account needs of patient care of the AES </t>
  </si>
  <si>
    <t>carefull, for the short-term expected commands, the availability of products has to take into account the REAL reception of these commands.</t>
  </si>
  <si>
    <t>YES</t>
  </si>
  <si>
    <t>NO</t>
  </si>
  <si>
    <t>Quantities nb of boxes short-term delivery</t>
  </si>
  <si>
    <t>A. Find current orders and expected date of receipt</t>
  </si>
  <si>
    <t>Specify expected date of receipt</t>
  </si>
  <si>
    <t xml:space="preserve"> Quantities waited  in number of primary packaging</t>
  </si>
  <si>
    <t>Orals solutions</t>
  </si>
  <si>
    <t>Carefull, for Kaletra, to take into account the primary packaging (number of vials)</t>
  </si>
  <si>
    <t>ENTRY sheet 2 - Enter stocks data (central, peripheral or  orders current)</t>
  </si>
  <si>
    <t xml:space="preserve">Expiration date 1
</t>
  </si>
  <si>
    <t>B. Renseignez les stocks disponibles en périphérie (dépôts intermédiaires et sites de PEC)</t>
  </si>
  <si>
    <t>Enfant de 6 à 7 kg (tranche de poids utilisée : 3 - 9,9 kg)</t>
  </si>
  <si>
    <t>Enfant de 15 à 20 kg (tranche de poids utilisée : 17 - 19,9 kg)</t>
  </si>
  <si>
    <t>Etape 1 : Données de prise en charge des adultes</t>
  </si>
  <si>
    <t>Proportion de passage mensuel envisagé (/2ème ligne)</t>
  </si>
  <si>
    <t>Etape 2 : Données de prise en charge des enfants</t>
  </si>
  <si>
    <t>Etape 2 : Sélection des formes pédiatriques</t>
  </si>
  <si>
    <t>Etape 3 : Besoins ARV PTME</t>
  </si>
  <si>
    <t>ENTRY sheet  3 - Entering data of active files  and associated information (selection of treatment options)</t>
  </si>
  <si>
    <t xml:space="preserve">Comment </t>
  </si>
  <si>
    <t>Carefull</t>
  </si>
  <si>
    <t xml:space="preserve">If no compartment is filled, no medicine will be taken into account </t>
  </si>
  <si>
    <t xml:space="preserve">If several compartments are filled, all the medicines will be taken into account </t>
  </si>
  <si>
    <t>The parameters informed below do not modify the distribution by line. For example, if you wish that all patient under TDF+FTC received TDF+3TC, you must inform the parties in board B. &amp; C.</t>
  </si>
  <si>
    <t xml:space="preserve">Chosen option </t>
  </si>
  <si>
    <t xml:space="preserve">Medicine 1 </t>
  </si>
  <si>
    <t xml:space="preserve">Medicine 2 </t>
  </si>
  <si>
    <t xml:space="preserve">Medicine 3 </t>
  </si>
  <si>
    <t xml:space="preserve">Comments </t>
  </si>
  <si>
    <t xml:space="preserve">Composition </t>
  </si>
  <si>
    <t xml:space="preserve">This board allows to define medicines wanted for every treatment regimen. </t>
  </si>
  <si>
    <t xml:space="preserve">A. SELECTION - What medicines wish you for every adults treatment regimen? </t>
  </si>
  <si>
    <t>For that purpose, for every treatment regimen, put one X  in the compartment corresponding to the desired drug</t>
  </si>
  <si>
    <t xml:space="preserve">These data will be taken into account for the patients under treatment, for the inclusions and for the changes of line </t>
  </si>
  <si>
    <t>Treatment regimen</t>
  </si>
  <si>
    <t xml:space="preserve">In that case we consider 1 box and 15 tabs of AZT+3TC+NVP first month </t>
  </si>
  <si>
    <t xml:space="preserve">In that case, we consider for the first month 30 tabs AZT+3TC and 15 tabs of NVP then 1 box of AZT+3TC+NVP </t>
  </si>
  <si>
    <t xml:space="preserve">In that case we consider 1 box and 15 tabs of D4T+3TC+NVP first month </t>
  </si>
  <si>
    <t xml:space="preserve">In that case, we consider for the first month 30 tabs D4T+3TC and 15 tabs of NVP then 1 box of D4T+3TC+NVP </t>
  </si>
  <si>
    <t xml:space="preserve">Solid forms (tabs / gél / courses) </t>
  </si>
  <si>
    <t>First lines</t>
  </si>
  <si>
    <t>Second lines</t>
  </si>
  <si>
    <t>Alternative lines</t>
  </si>
  <si>
    <t>Number of drugs checked</t>
  </si>
  <si>
    <t>Patients receiving TDF</t>
  </si>
  <si>
    <t>Patients receiving AZT</t>
  </si>
  <si>
    <t>Patients receiving ABC</t>
  </si>
  <si>
    <t>Patients receiving DDI 250</t>
  </si>
  <si>
    <t>Patients receiving DDI 400</t>
  </si>
  <si>
    <t>Patients receiving ATV+RTV</t>
  </si>
  <si>
    <t>Patients receiving FPV+RTV</t>
  </si>
  <si>
    <t>Patients receiving DRV+RTV</t>
  </si>
  <si>
    <t>Patients receiving ETV</t>
  </si>
  <si>
    <t>Patients receiving RPV</t>
  </si>
  <si>
    <t>Patients receiving RLT</t>
  </si>
  <si>
    <t>The Third lines (unlike  parts of the abov, the same patient can be counted here in several lines)</t>
  </si>
  <si>
    <t>Patients receiving 3TC</t>
  </si>
  <si>
    <t xml:space="preserve">Number of patients </t>
  </si>
  <si>
    <t xml:space="preserve">The third lines </t>
  </si>
  <si>
    <t xml:space="preserve">Theoretical number of expected patients </t>
  </si>
  <si>
    <t xml:space="preserve">Remark </t>
  </si>
  <si>
    <t xml:space="preserve">B.2. Passage in 2nd line </t>
  </si>
  <si>
    <t xml:space="preserve">It thus represents: </t>
  </si>
  <si>
    <t xml:space="preserve">Patients / month </t>
  </si>
  <si>
    <t xml:space="preserve">B.3. Passage in 3rd line </t>
  </si>
  <si>
    <t xml:space="preserve">Proportion of monthly passage envisaged </t>
  </si>
  <si>
    <t>Proportion of monthly  passage envisaged (/2nd line)</t>
  </si>
  <si>
    <t>)</t>
  </si>
  <si>
    <t>Percentage</t>
  </si>
  <si>
    <t xml:space="preserve">We can consider that 3 % of the patients pass of 2nd line in 3rd line / year. that make a monthly passage of 0,25% </t>
  </si>
  <si>
    <t xml:space="preserve">B.1. Distribution by treatment regimen </t>
  </si>
  <si>
    <t>B.2. Distribution  in increments of weight</t>
  </si>
  <si>
    <t>This division applies to all patients, not just the first lines and inclusions</t>
  </si>
  <si>
    <t>It may exceed 100% to ensure the availability of safety margins for each weight range</t>
  </si>
  <si>
    <t>Specify the distribution hypothesis envisaged % in the following board</t>
  </si>
  <si>
    <t>In case of uncertainty about the expected distribution, it is possible to take margins (XY%) and considered in this board hight margins.</t>
  </si>
  <si>
    <t>Le total peut donc faire plus de 100%"</t>
  </si>
  <si>
    <t>Total can be more than 100%</t>
  </si>
  <si>
    <t>C.2. Switching to second-line</t>
  </si>
  <si>
    <t>It is estimated that 3% of patients spend in the second line / year. That makes a monthly passage of 0.25%</t>
  </si>
  <si>
    <t>Theoretical number of children expected</t>
  </si>
  <si>
    <t>Comment</t>
  </si>
  <si>
    <t>Some options are available for some regimens</t>
  </si>
  <si>
    <t>These data will be considered in patients under treatment and for inclusions</t>
  </si>
  <si>
    <t>Choose the dosage form that you want for each treatment regimens</t>
  </si>
  <si>
    <t>For this put  a capital X in the selection box for the option selected</t>
  </si>
  <si>
    <t>This evaluation system of the cover does not allow to distribute the coverage to sequences related to the use of a dosage form and next.</t>
  </si>
  <si>
    <t>These options apply only to children from 3 to 15 kg. For higher Weight ranges,   adult forms are automatically taken into account.</t>
  </si>
  <si>
    <t>These choices do not affect the period of initiation of treatment with NVP. We felt it was done with simple forms in oral. sol.</t>
  </si>
  <si>
    <t>Introduction of NVP - Nevirapine</t>
  </si>
  <si>
    <t>Only CDF: AZT +3 TC &amp; AZT +3 TC + NVP</t>
  </si>
  <si>
    <t>with CDF &amp; Oral Solution NVP: AZT +3 TC</t>
  </si>
  <si>
    <t>While oral solution</t>
  </si>
  <si>
    <t>CDF with d4T +3 TC + NVP &amp; floor &amp; 3TC D4T buv</t>
  </si>
  <si>
    <t>oral solutions</t>
  </si>
  <si>
    <t>Number of boxes / month for all patients</t>
  </si>
  <si>
    <t>tablets</t>
  </si>
  <si>
    <t>Slice 10 - 14.9 kg</t>
  </si>
  <si>
    <t>Slice 15 -19.9 kg</t>
  </si>
  <si>
    <t>Slice 20 - 24.9 kg</t>
  </si>
  <si>
    <t xml:space="preserve">Do not select only  one  combination or formulation of an ARV  for the same treatment regimen </t>
  </si>
  <si>
    <t>Liquids forms</t>
  </si>
  <si>
    <t>All in oral solution</t>
  </si>
  <si>
    <t>Slice 3 - 9.9 kg</t>
  </si>
  <si>
    <t>Nb  of selected products verification</t>
  </si>
  <si>
    <t>Specify the daily strenght for every slice of weight</t>
  </si>
  <si>
    <t>volume (ml) / day</t>
  </si>
  <si>
    <t>volume (mL) / month</t>
  </si>
  <si>
    <t>Number of boxes / month / patient</t>
  </si>
  <si>
    <t>AZT +3 TC + NVP adult</t>
  </si>
  <si>
    <t>AZT +3 TC + NVP baby</t>
  </si>
  <si>
    <t>AZT +3 TC adult</t>
  </si>
  <si>
    <t>AZT +3 TC baby</t>
  </si>
  <si>
    <t>D4T +3 TC + NVP adult</t>
  </si>
  <si>
    <t>D4T +3 TC + NVP baby</t>
  </si>
  <si>
    <t>D4T +3 TC adult</t>
  </si>
  <si>
    <t>AZT +3 TC + ABC adult</t>
  </si>
  <si>
    <t>AZT +3 TC + ABC baby</t>
  </si>
  <si>
    <t>ABC +3 TC baby</t>
  </si>
  <si>
    <t>ABC adult</t>
  </si>
  <si>
    <t>NVP tabs</t>
  </si>
  <si>
    <t>LPV / r adult</t>
  </si>
  <si>
    <t>LPV / r baby</t>
  </si>
  <si>
    <t>Children from 6 to 7 kg (weight slice used: 3 - 9.9 kg)</t>
  </si>
  <si>
    <t>Children 15 to 20 kg (weight slice used: 17 - 19.9 kg)</t>
  </si>
  <si>
    <t>vials volume (mL) [1]</t>
  </si>
  <si>
    <t>nb of vials / month</t>
  </si>
  <si>
    <t>nb of vials / month rounded</t>
  </si>
  <si>
    <t>AZT+3TC+NVP bébé</t>
  </si>
  <si>
    <t>AZT+3TC bébé</t>
  </si>
  <si>
    <t>D4T+3TC+NVP bébé</t>
  </si>
  <si>
    <t>AZT+3TC+ABC bébé</t>
  </si>
  <si>
    <t>ABC+3TC bébé</t>
  </si>
  <si>
    <t>ABC bébé</t>
  </si>
  <si>
    <t>AZT bébé</t>
  </si>
  <si>
    <t>LPV/r bébé</t>
  </si>
  <si>
    <t>composition</t>
  </si>
  <si>
    <t>dosage form</t>
  </si>
  <si>
    <t>packaging</t>
  </si>
  <si>
    <t>A. What are the average monthly needs in the context of PTME activities?</t>
  </si>
  <si>
    <t>Enter here only  needs not will be documented in the followed of active file specified above.</t>
  </si>
  <si>
    <t>Practice  is here combined for take account of PTME activities, the  information  most usual on the needs remains consumption data</t>
  </si>
  <si>
    <t>These needs will be taken into account for an estimate on the basis of active file data followed  previously informed . By cons they will not be included in an estimate based on data consumption / distribution.</t>
  </si>
  <si>
    <t>Generic name possible</t>
  </si>
  <si>
    <t>Nombre de patients mensuel</t>
  </si>
  <si>
    <t xml:space="preserve">Number of  mensuel patients </t>
  </si>
  <si>
    <t>Schéma thérapeutique switchés</t>
  </si>
  <si>
    <t>Treatment regimen switched</t>
  </si>
  <si>
    <t>Le volume est spécifié dans la feuille " Stocks Disponibles"</t>
  </si>
  <si>
    <t>Childre from 12 to 14,9 Kg; ( weight slice used : 10 - 14,9 kg)</t>
  </si>
  <si>
    <t>Volume of primary packaging (mL)</t>
  </si>
  <si>
    <t>Secondary packaging</t>
  </si>
  <si>
    <t>Taux de croissance mensuel (%)</t>
  </si>
  <si>
    <t>Etape 2 : Représentations visuelles</t>
  </si>
  <si>
    <t>Etape 1 : Données de consommation / distribution</t>
  </si>
  <si>
    <t>ENTRY sheet 4 - Entering data distribution or consumption available</t>
  </si>
  <si>
    <t>Monthly growth rate (%)</t>
  </si>
  <si>
    <t>Primary packaging volume (mL)</t>
  </si>
  <si>
    <t>Growth rate (%)</t>
  </si>
  <si>
    <t>A. Complete the adjusted overall consumption and growth rate if it are available</t>
  </si>
  <si>
    <t>Consumption at baseline must be adjusted for previous stockouts.</t>
  </si>
  <si>
    <t>In a context of growing needs, the AMC is not a suitable data, it is preferable to use the last adjusted consumption.</t>
  </si>
  <si>
    <t>Specify if it is about data of consumption or about distribution) by checking the corresponding box (X)</t>
  </si>
  <si>
    <t>Mention consumption in primary packaging (vial)</t>
  </si>
  <si>
    <t>Adjusted  consumption  at baseline (in vial /  primary packaging)</t>
  </si>
  <si>
    <t>Darunavir is available in 300mg and 600mg, be sure the selected form</t>
  </si>
  <si>
    <t>Pour les représentations visuelles faites à partir des données de conso/distri, sur quelles sources de données souhaitez vous faire apparaître le nombre de patients sous traitement pour chaque ARV?</t>
  </si>
  <si>
    <t>For visual representations made ​​from consumption  / distribution data, on what data sources do you want to show the number of patients on ARV treatment for each ?</t>
  </si>
  <si>
    <t>Specify if you want the number of patients under treatment is achieved by active data file or by extrapolation of consumption data (check the box with an X)</t>
  </si>
  <si>
    <t>Number of patients extrapolated from consumption data</t>
  </si>
  <si>
    <t>Consumption adjusted at baseline</t>
  </si>
  <si>
    <t>Méthode / Données de File active : A</t>
  </si>
  <si>
    <t>Méthode / Données de Consommation-Distribution : B</t>
  </si>
  <si>
    <t>Confrontation des méthodes : C</t>
  </si>
  <si>
    <t>Quanti results</t>
  </si>
  <si>
    <t>Blue sheet tab</t>
  </si>
  <si>
    <t>Synthesis of stocks &amp; availability</t>
  </si>
  <si>
    <t>Visual results</t>
  </si>
  <si>
    <t>Tablets - fixed-dose combinations</t>
  </si>
  <si>
    <t>Comparison of methods: C</t>
  </si>
  <si>
    <t>Data taken into account for the method based on the active files (printable version)</t>
  </si>
  <si>
    <t>Adult data printing</t>
  </si>
  <si>
    <t>Pediatric data printing</t>
  </si>
  <si>
    <t>Print Selection children</t>
  </si>
  <si>
    <t>Synthesis Results availability</t>
  </si>
  <si>
    <t xml:space="preserve">Tablets 
Simple forms </t>
  </si>
  <si>
    <t>Method / Data Active File : A</t>
  </si>
  <si>
    <t>1. Availability from Available stock central and peripheral</t>
  </si>
  <si>
    <t>Method / Data-Consumption - Distribution: B</t>
  </si>
  <si>
    <t>1. Coverage from available stock central and peripheral</t>
  </si>
  <si>
    <t>2. Coverage  from available  stock and orders</t>
  </si>
  <si>
    <t xml:space="preserve">  Adults Selection Printing</t>
  </si>
  <si>
    <t>Number of patients according to data active  file</t>
  </si>
  <si>
    <t>2. Consequence  of orders  receipt  on coverage needs</t>
  </si>
  <si>
    <t>Dashboard monintoring expiry dates (overstocks and Expired)</t>
  </si>
  <si>
    <t>Country / Region</t>
  </si>
  <si>
    <t>Date of update data</t>
  </si>
  <si>
    <t>Data selection / method you want to use</t>
  </si>
  <si>
    <t>Total quantity in stock (number of boxes) [1]</t>
  </si>
  <si>
    <t>Number of months of product availability on quantities of orders expected [3]</t>
  </si>
  <si>
    <t>Periods of availability are limited to expiration dates when they are filled or the maximum use when it is defined</t>
  </si>
  <si>
    <t>Board of ARV needs assessment</t>
  </si>
  <si>
    <t>Data Synthesis &amp; hypotheses taken into account</t>
  </si>
  <si>
    <t>The configuration takes it into account expiration dates:</t>
  </si>
  <si>
    <t>Maximum use taken into account</t>
  </si>
  <si>
    <t xml:space="preserve"> Availability Results</t>
  </si>
  <si>
    <t>AMC  or average  monthly needs estimated at baseline depending on method</t>
  </si>
  <si>
    <t>Total quantities USABLE before expiration (number of boxes)</t>
  </si>
  <si>
    <t>Number of months of availability of products on   available stock USABLE [2]</t>
  </si>
  <si>
    <t>The total quantities include the quantities available at central and peripheral level ";" As defined in the tool, it is only the quantities available at the central level ")</t>
  </si>
  <si>
    <t>Active file</t>
  </si>
  <si>
    <t>Nombre de patients suivis prenant le produit / mois</t>
  </si>
  <si>
    <t>Nombre de patients initiés prenant le produit / mois</t>
  </si>
  <si>
    <t>Nombre de nouveaux patients switchés prenant le produit / mois</t>
  </si>
  <si>
    <t xml:space="preserve">TOTAL nb de cdt / mois / produit  initiés </t>
  </si>
  <si>
    <t>TOTAL nb de cdt / mois / produit switchés</t>
  </si>
  <si>
    <t>Nombre de boites pour les adultes pour 1 mois</t>
  </si>
  <si>
    <t>Nombre de boites pour les enfants pour 1 mois</t>
  </si>
  <si>
    <t>Besoins PTME pour 1 mois</t>
  </si>
  <si>
    <t>Etape 1 : détermination du nombre mensuel de patients nécessitant les traitements</t>
  </si>
  <si>
    <t>Etape 3 : détermination des CMM</t>
  </si>
  <si>
    <t>Solid forms (tablets / caps / caps)</t>
  </si>
  <si>
    <t>Dose (number of tablets / day)</t>
  </si>
  <si>
    <t>Number of patients followed</t>
  </si>
  <si>
    <t>Number of patients initiated</t>
  </si>
  <si>
    <t>Third lines</t>
  </si>
  <si>
    <t>Number of patients followed taking the product / month</t>
  </si>
  <si>
    <t>Number of patients initiated taking the product / month</t>
  </si>
  <si>
    <t>Dosages</t>
  </si>
  <si>
    <t>Number of patients Switched</t>
  </si>
  <si>
    <t>TOTAL nb de cdt / mois / produits suivis</t>
  </si>
  <si>
    <t>TOTAL nb of packaging / month / product followed</t>
  </si>
  <si>
    <t>TOTAL nb of packaging / month / Product initiated</t>
  </si>
  <si>
    <t>Brand Name</t>
  </si>
  <si>
    <t xml:space="preserve">Possible Generic name </t>
  </si>
  <si>
    <t>Oral solutions</t>
  </si>
  <si>
    <t>B. For initiations &amp; line changes</t>
  </si>
  <si>
    <t>Qtés in stock at central level (nb boxes)</t>
  </si>
  <si>
    <t>Total quantity in stock (number of boxes)</t>
  </si>
  <si>
    <t>Orders expected in the short term (number of boxes)</t>
  </si>
  <si>
    <t>Total quantities in stock after receipt (number of boxes)</t>
  </si>
  <si>
    <t>PTME needs for 1 month</t>
  </si>
  <si>
    <t>Total needs for 1 month</t>
  </si>
  <si>
    <t xml:space="preserve">Secondary packing </t>
  </si>
  <si>
    <t>Adjusted baseline consumption</t>
  </si>
  <si>
    <t>Rate</t>
  </si>
  <si>
    <t>Increase in monthly consumption</t>
  </si>
  <si>
    <t>Total amounts available to consider setting according</t>
  </si>
  <si>
    <t>Amount consumed provided on the interim period</t>
  </si>
  <si>
    <t>Stock estimates at the beginning of the quantified</t>
  </si>
  <si>
    <t>Pending orders</t>
  </si>
  <si>
    <t>Quantified without interim period</t>
  </si>
  <si>
    <t>Interim period</t>
  </si>
  <si>
    <t>for inclusions, the multiplier factor will be to:</t>
  </si>
  <si>
    <t>Central stock available</t>
  </si>
  <si>
    <t>In this version, the parameters used are:</t>
  </si>
  <si>
    <t>Consumption data</t>
  </si>
  <si>
    <t>Compilation of data of FA &amp; Cons</t>
  </si>
  <si>
    <t>Expiration dates</t>
  </si>
  <si>
    <t>Taken into account</t>
  </si>
  <si>
    <t>Partially taken into account</t>
  </si>
  <si>
    <t>Not taken into account</t>
  </si>
  <si>
    <t>products in stock</t>
  </si>
  <si>
    <t>products whose expiry date is not filled</t>
  </si>
  <si>
    <t>Total Period Intermediate and quantified</t>
  </si>
  <si>
    <t>Delta multipliers factor / period quantified</t>
  </si>
  <si>
    <t>Increase of monthly consumption</t>
  </si>
  <si>
    <t>Miscellaneous: Data sources for graphic representation</t>
  </si>
  <si>
    <t xml:space="preserve"> Distribution Data</t>
  </si>
  <si>
    <t>Adaptation of the indicator of data available stocks</t>
  </si>
  <si>
    <t>TOTAL of cdt / month / Switched Product</t>
  </si>
  <si>
    <t>DATA nb of patients</t>
  </si>
  <si>
    <t>with projection consumption</t>
  </si>
  <si>
    <t>Visual representation</t>
  </si>
  <si>
    <t>Estimation nb of children concerned out PTME</t>
  </si>
  <si>
    <t>Nombre de patients initiés ou switchés prenant le produit / mois</t>
  </si>
  <si>
    <t>Number of  patients initiated or  switched taking the product  / month</t>
  </si>
  <si>
    <t>Number of new patients  switched taking the product / month</t>
  </si>
  <si>
    <t xml:space="preserve">Estimation nb of children concerned </t>
  </si>
  <si>
    <t>Etape 2 : détermination du stock disponible total (stock central + stock périphérique + commandes à prévoir à court terme)</t>
  </si>
  <si>
    <t>Duration of one month</t>
  </si>
  <si>
    <t>Pour les enfants déjà pris en charge : estimation de la répartition par lignes thérapeutiques en début de période quantifiée</t>
  </si>
  <si>
    <t>Treatmen Regimen</t>
  </si>
  <si>
    <t>Number of patients planned at the beginning of the period</t>
  </si>
  <si>
    <t>Evolution of the pediatric active file  under treatment  to plan over the period</t>
  </si>
  <si>
    <t>Distribution of inclusions expected</t>
  </si>
  <si>
    <t>Number of  monthly patients</t>
  </si>
  <si>
    <t>Number of total patients in a defined period for 1 month</t>
  </si>
  <si>
    <t xml:space="preserve">TOTAL
Number of patients </t>
  </si>
  <si>
    <t xml:space="preserve">Total
patient-month period </t>
  </si>
  <si>
    <t>nb of months treatment</t>
  </si>
  <si>
    <t>Distribution of passages in second line</t>
  </si>
  <si>
    <t>Transition Rate in the second line monthly</t>
  </si>
  <si>
    <t>Number of patients concerned</t>
  </si>
  <si>
    <t>2nd lines</t>
  </si>
  <si>
    <t>By month</t>
  </si>
  <si>
    <t>TOTAL nb of patients</t>
  </si>
  <si>
    <t>Number of patient-months on the period</t>
  </si>
  <si>
    <t>Distribution of FA under treatment in nb of patients - month / weight / Regimen</t>
  </si>
  <si>
    <t>Weight (kg)</t>
  </si>
  <si>
    <t>Children already under treatment</t>
  </si>
  <si>
    <t>Number of patient-months</t>
  </si>
  <si>
    <t>Distribution of Patients month / weight ranges</t>
  </si>
  <si>
    <t>Number of patient-months for the children present at the beginning of the year</t>
  </si>
  <si>
    <t>Inclusions and passages in second  in lines</t>
  </si>
  <si>
    <t>Total nb of patient-month under the period</t>
  </si>
  <si>
    <t>News  inclusions and passages in the second line</t>
  </si>
  <si>
    <t>Calculations of quantity</t>
  </si>
  <si>
    <t>NVP initiation</t>
  </si>
  <si>
    <t>Qty / child</t>
  </si>
  <si>
    <t>Total bottle for new year children</t>
  </si>
  <si>
    <t>First 15 days</t>
  </si>
  <si>
    <t>Specialty Name</t>
  </si>
  <si>
    <t xml:space="preserve">Secondary packaging </t>
  </si>
  <si>
    <t>Qty patients - month</t>
  </si>
  <si>
    <t>Si enfant de 6 - 7 kg (pris en compte pour la tranche 3 - 9,9 kg)</t>
  </si>
  <si>
    <t>If child from 6-7 kg (taken into account for the portion 3 to 9.9 kg)</t>
  </si>
  <si>
    <t>Si enfant de 12 - 14 kg (pris en compte pour la tranche 10 - 14,9 kg)</t>
  </si>
  <si>
    <t>If children from 12 to 14 kg (taken into account for the portion 10 to 14.9 kg)</t>
  </si>
  <si>
    <t>Oral solution</t>
  </si>
  <si>
    <t>Oral powder</t>
  </si>
  <si>
    <t>Vial volume (mL)</t>
  </si>
  <si>
    <t>rest (mL)</t>
  </si>
  <si>
    <t>Si enfant de 15 - 20 kg (pris en compte pour la tranche 15 - 20 kg)</t>
  </si>
  <si>
    <t>If children from 15 to 20 kg (taken into account for the portion 15 to 20 kg)</t>
  </si>
  <si>
    <t>For tablets (number of packs / patient / month)</t>
  </si>
  <si>
    <t>Adult forms</t>
  </si>
  <si>
    <t>Weight considered</t>
  </si>
  <si>
    <t xml:space="preserve">Data compilation pediatric dosage </t>
  </si>
  <si>
    <t>Number of packaging / month for the slice</t>
  </si>
  <si>
    <t>Patients followed</t>
  </si>
  <si>
    <t>Patients initiated</t>
  </si>
  <si>
    <t>Number of patient-months / product - FOLLOWED</t>
  </si>
  <si>
    <t>Number of patient-months / product - NEW</t>
  </si>
  <si>
    <t>Number of packaging for FOLLOWED</t>
  </si>
  <si>
    <t>Number of packaging for NEW</t>
  </si>
  <si>
    <t>Number of cdt pr NEW</t>
  </si>
  <si>
    <t>Enfants en cours de traitement : Quantification des besoins pour la prise en charge des enfants pour 1 mois</t>
  </si>
  <si>
    <t>TOTAL Number of packaging / month</t>
  </si>
  <si>
    <t>Nouvelles initiations &amp; switchs : Quantification des besoins pour la prise en charge des enfants pour 1 mois</t>
  </si>
  <si>
    <t>TOTAL Number of cdt / month OUT INITIATION</t>
  </si>
  <si>
    <t>Synthesis</t>
  </si>
  <si>
    <t>Total des besoins mensuels 1 MOIS</t>
  </si>
  <si>
    <t>Total monthly needs 1 MONTH</t>
  </si>
  <si>
    <t>TOTAL Needs patients followed</t>
  </si>
  <si>
    <t>TOTAL Needs patients initiated</t>
  </si>
  <si>
    <t>Total of monthly needs (packaging prim.)</t>
  </si>
  <si>
    <t>Necessary drugs</t>
  </si>
  <si>
    <t>11vials / 4 months</t>
  </si>
  <si>
    <t>3 vials / 2 months</t>
  </si>
  <si>
    <t>1 vial / month</t>
  </si>
  <si>
    <t>21 boxes / 10 months</t>
  </si>
  <si>
    <t>AZT+3TC+ABC adult</t>
  </si>
  <si>
    <t>Volume Conditionnement</t>
  </si>
  <si>
    <t>conditionnement secondaire</t>
  </si>
  <si>
    <t>Evaluation de l'utilisation selon les dates de péremption : Calculs à partir de la file active</t>
  </si>
  <si>
    <t>Name for graphic representation</t>
  </si>
  <si>
    <t>Unused stock</t>
  </si>
  <si>
    <t>Estimation Necessary quantities for period (nb of boxes)</t>
  </si>
  <si>
    <t xml:space="preserve"> Quantities of the overstock (+) or needs until the DLU (-)_x000D_
( Nb of boxes) </t>
  </si>
  <si>
    <t>Amount of the loss $()</t>
  </si>
  <si>
    <t>Evaluation of the use according to expiration dates: calculations from the active file</t>
  </si>
  <si>
    <t>Detail of expiration dates and the Quantities (nb of boxes)</t>
  </si>
  <si>
    <t>strenght</t>
  </si>
  <si>
    <t>tabs</t>
  </si>
  <si>
    <t>Volume Packaging</t>
  </si>
  <si>
    <t>Monthly need of patients followed according to method</t>
  </si>
  <si>
    <t>Monthly need of patients initiated according to method</t>
  </si>
  <si>
    <t xml:space="preserve"> Quantities in central stock
( Nb of boxes) </t>
  </si>
  <si>
    <t>Indicator Detail of the lapsings of  available stocks</t>
  </si>
  <si>
    <t xml:space="preserve">Quantities  ( Nb of boxes) 1 </t>
  </si>
  <si>
    <t xml:space="preserve">Expiration  date  1 </t>
  </si>
  <si>
    <t>Duration of use ( lapsing date- estimation date) (nb of month 30 days)</t>
  </si>
  <si>
    <t>Indicator</t>
  </si>
  <si>
    <t>Date de péremption 2</t>
  </si>
  <si>
    <t xml:space="preserve">Expiration date 2 </t>
  </si>
  <si>
    <t xml:space="preserve"> Quantities ( Nb of boxes) 2 </t>
  </si>
  <si>
    <t>Total quantities of unexpired  lots 1 and 2 in the previous expiration date</t>
  </si>
  <si>
    <t>Calculation with DLU 1</t>
  </si>
  <si>
    <t>Calculation with DLU 2</t>
  </si>
  <si>
    <t>Calculation with DLU 3</t>
  </si>
  <si>
    <t>Calculation with DLU 4</t>
  </si>
  <si>
    <t>Calculation with DLU 5</t>
  </si>
  <si>
    <t>Calculation with DLU 6</t>
  </si>
  <si>
    <t>Calculation with DLU 7</t>
  </si>
  <si>
    <t xml:space="preserve">Estimation necessary total Quantities for period dates estimation - DLU2 (nb of boxes) </t>
  </si>
  <si>
    <t xml:space="preserve">Estimation necessary total Quantities for period dates estimation - DLU3 (nb of boxes) </t>
  </si>
  <si>
    <t xml:space="preserve">Estimation necessary total Quantities for period dates estimation - DLU4 (nb of boxes) </t>
  </si>
  <si>
    <t>Duration of use (date lapsing</t>
  </si>
  <si>
    <t>Quantités du surstock (+) ou des besoins jusqu'à la DLU (-) (nb de boites)</t>
  </si>
  <si>
    <t>Date de péremption  3</t>
  </si>
  <si>
    <t xml:space="preserve">Expiration date  3 </t>
  </si>
  <si>
    <t xml:space="preserve"> Quantities  ( Nb of boxes) 3 </t>
  </si>
  <si>
    <t>Total quantities of unexpired prizes(lots) 1,2 and 3 in the previous Expiration date</t>
  </si>
  <si>
    <t>Date de péremption 4</t>
  </si>
  <si>
    <t xml:space="preserve"> Expiration date 4 </t>
  </si>
  <si>
    <t xml:space="preserve"> Quantities ( Nb of boxes) 4 </t>
  </si>
  <si>
    <t>Total quantities of unexpired lots 1,2,3 and 4 in the previous Expiration date</t>
  </si>
  <si>
    <t xml:space="preserve"> Quantities ( Nb of boxes) 5 </t>
  </si>
  <si>
    <t>Date de péremption 5</t>
  </si>
  <si>
    <t xml:space="preserve"> Expiration date 5 </t>
  </si>
  <si>
    <t>Quantités  (nb de boites) 7</t>
  </si>
  <si>
    <t xml:space="preserve">Estimation necessary total Quantities for period dates estimation - DLU5 (nb of boxes) </t>
  </si>
  <si>
    <t>Quantities (nb of boxes) 6</t>
  </si>
  <si>
    <t xml:space="preserve">Estimation necessary total Quantities for period dates estimation - DLU6 (nb of boxes) </t>
  </si>
  <si>
    <t>Quantities (nb of boxes) 7</t>
  </si>
  <si>
    <t xml:space="preserve">Estimation necessary total Quantities for period dates estimation - DLU7 (nb of boxes) </t>
  </si>
  <si>
    <t>Day</t>
  </si>
  <si>
    <t>Month</t>
  </si>
  <si>
    <t>Year</t>
  </si>
  <si>
    <t>Expiration date 6</t>
  </si>
  <si>
    <t>Expiration date 7</t>
  </si>
  <si>
    <t>Maximal Expiration date usable stock</t>
  </si>
  <si>
    <t>Total quantities of unexpired lots 1,2,3,4,5 and 6 in the previous Expiration date</t>
  </si>
  <si>
    <t>Total quantities USABLE (nb of packaging) according to parameter</t>
  </si>
  <si>
    <t>DLU Max or calculated from duration of use ( lapsingdate- estimation date) enter</t>
  </si>
  <si>
    <t>Deadline today / DLU MAX (Month)</t>
  </si>
  <si>
    <t>Indicator if life cycle max</t>
  </si>
  <si>
    <t xml:space="preserve">conditionnement </t>
  </si>
  <si>
    <t xml:space="preserve"> packaging</t>
  </si>
  <si>
    <t xml:space="preserve">Indicateur </t>
  </si>
  <si>
    <t>Total quantities of unexpired prizes(lots) 1,2,3,4 and 5 in the previous Expiration date</t>
  </si>
  <si>
    <t>Total quantities of unexpired prizes(lots) 1,2,3,4,5,6 and 7 in the previous Expiration date</t>
  </si>
  <si>
    <t>Cp coblister</t>
  </si>
  <si>
    <t>Tabs coblister</t>
  </si>
  <si>
    <t>Poudre buvable</t>
  </si>
  <si>
    <t>Oral sol</t>
  </si>
  <si>
    <t>Total loses (nb of packaging)</t>
  </si>
  <si>
    <t>Patient / mois</t>
  </si>
  <si>
    <t>Patient / month</t>
  </si>
  <si>
    <t>PARTIE 1 : Estimations à partir des données de files actives</t>
  </si>
  <si>
    <t>1.A. Avec les stocks actuellement disponibles au niveau central</t>
  </si>
  <si>
    <t>Solutions Buvables</t>
  </si>
  <si>
    <t>Nb de prise / jour</t>
  </si>
  <si>
    <t>Nb de prise / mois</t>
  </si>
  <si>
    <t>Nature of the used stocks:</t>
  </si>
  <si>
    <t>Central stocks</t>
  </si>
  <si>
    <t>Therapeutic class</t>
  </si>
  <si>
    <t>Nb of boxes necessity for 1 month for 1 patient</t>
  </si>
  <si>
    <t>USABLE available stock at the considered level (nb of boxes)</t>
  </si>
  <si>
    <t>Data cleaned for graphic representation</t>
  </si>
  <si>
    <t>Monthly need patients followed according to method</t>
  </si>
  <si>
    <t>Current need</t>
  </si>
  <si>
    <t>Progress need</t>
  </si>
  <si>
    <t>Calculations! L228</t>
  </si>
  <si>
    <t>Calculations! N135</t>
  </si>
  <si>
    <t>Calculations! M181</t>
  </si>
  <si>
    <t>Peripheral stocks</t>
  </si>
  <si>
    <t>Results - Periods of availability of products-durations and dates</t>
  </si>
  <si>
    <t>LEFT 1: estimations from the data of active file</t>
  </si>
  <si>
    <t>1. A. With stocks actually available on the central level</t>
  </si>
  <si>
    <t>List dosage form</t>
  </si>
  <si>
    <t>CALCULATIONS with growth of needs / Stocks available on central level</t>
  </si>
  <si>
    <t>CALCULATIONS  extreme margins stop of initiations / Stocks available on central level</t>
  </si>
  <si>
    <t>CALCULATIONS  extreme margins stop of initiations / Stocks available on central and périph and orders</t>
  </si>
  <si>
    <t>Monthly need patients initiated according to method</t>
  </si>
  <si>
    <t>Stock and current and future need = 0</t>
  </si>
  <si>
    <t>Stock &gt; 0 and current and future need = 0</t>
  </si>
  <si>
    <t>Stock= 0; need &gt; 0</t>
  </si>
  <si>
    <t>CALCULATIONS  extreme margins stop of initiations / Stocks available on peripheral level</t>
  </si>
  <si>
    <t>CALCULATIONS  extreme margins stop of initiations / Stocks available on central  and peripheral level</t>
  </si>
  <si>
    <t>oral sol</t>
  </si>
  <si>
    <t xml:space="preserve"> Primary packaging Volume (mL)</t>
  </si>
  <si>
    <t>Nb of administration / day</t>
  </si>
  <si>
    <t>Nb of administration / month</t>
  </si>
  <si>
    <t>Difference nb month / order</t>
  </si>
  <si>
    <t>Expected date of receipt</t>
  </si>
  <si>
    <t>Stock adjustment (if&gt; DLU max)</t>
  </si>
  <si>
    <t>Adjustment / order If &gt; DLU</t>
  </si>
  <si>
    <t>Expected date of final stockout</t>
  </si>
  <si>
    <t>Delta on order / BS</t>
  </si>
  <si>
    <t>Date entry to Buffer stock</t>
  </si>
  <si>
    <t>Date expected stockout</t>
  </si>
  <si>
    <t>Number of month of availability of products</t>
  </si>
  <si>
    <t>Number of month of availability of products except BS</t>
  </si>
  <si>
    <t>Number of month of Buffer stock (BS)</t>
  </si>
  <si>
    <t>Number of month of stock / order waited</t>
  </si>
  <si>
    <t>Delta Nb of month of availability Stocks périph / Stocks total (périph + central)</t>
  </si>
  <si>
    <t xml:space="preserve"> Gain Nb of month of availability if Stop of the initiations and switch</t>
  </si>
  <si>
    <t>1.B. Avec les stocks actuellement disponibles au niveau périphérique</t>
  </si>
  <si>
    <t>1.B. With stocks currently available at the peripheral level</t>
  </si>
  <si>
    <t>CALCULATIONS with growth of needs / Stocks available on peripheral level</t>
  </si>
  <si>
    <t xml:space="preserve">CALCULS avec croissance des besoins / Stocks dispo central </t>
  </si>
  <si>
    <t>CALCULS avec croissance des besoins / Stocks dispo peripherique</t>
  </si>
  <si>
    <t>CALCULS avec croissance des besoins / Stocks dispo centraux &amp; périphériques</t>
  </si>
  <si>
    <t>CALCULATIONS with growth of needs / Stocks available on centrals and peripherals level</t>
  </si>
  <si>
    <t>1.C. Avec les stocks actuellement disponibles (niveau central &amp; périphériques) SELON PARAMETRAGE</t>
  </si>
  <si>
    <t>1.C. With stocks currently available (central and peripheral) ACCORDING TO CONFIGURATION</t>
  </si>
  <si>
    <t>1.D. Avec les stocks actuellement disponibles (niveau central &amp; périphériques) &amp; les commandes attendues à cours termes.</t>
  </si>
  <si>
    <t>CALCULATIONS with growth of needs / Stocks available on centrals and peripherals level and orders</t>
  </si>
  <si>
    <t>CALCULATIONS of period covered by the only orders with growth of needs</t>
  </si>
  <si>
    <t>Central, peripherals stocks and orders</t>
  </si>
  <si>
    <t xml:space="preserve">CALCULATIONS extreme margins stop of initiations by only orders /  available stock centrals,  peripheral and orders </t>
  </si>
  <si>
    <t xml:space="preserve">PARTIE 2 : Estimations à partir des </t>
  </si>
  <si>
    <t xml:space="preserve">LEFT 2: estimations from </t>
  </si>
  <si>
    <t>2.A. Avec les stocks actuellement disponibles au niveau central</t>
  </si>
  <si>
    <t>2. A. With stocks actually available on the central level</t>
  </si>
  <si>
    <t>Calculations! L317</t>
  </si>
  <si>
    <t>Calculations! N317</t>
  </si>
  <si>
    <t>Calculations! M228</t>
  </si>
  <si>
    <t>Stock= 0; need ≥ 1</t>
  </si>
  <si>
    <t>Calculations! N228</t>
  </si>
  <si>
    <t>Calculations! P228</t>
  </si>
  <si>
    <t>2.B. Avec les stocks actuellement disponibles au niveau périphérique</t>
  </si>
  <si>
    <t xml:space="preserve">2.C. Avec les stocks actuellement disponibles (niveau central &amp; périphériques) </t>
  </si>
  <si>
    <t>2.D. Avec les stocks actuellement disponibles (niveau central &amp; périphériques) &amp; les commandes attendues à cours termes.</t>
  </si>
  <si>
    <t>1.D.With present available stocks (central level and peripherals) and the orders waited in court terms.</t>
  </si>
  <si>
    <t>2.D. With present available stocks (central level and peripherals) and the orders waited in court terms.</t>
  </si>
  <si>
    <t xml:space="preserve">2.C. With stocks currently available (central and peripheral) </t>
  </si>
  <si>
    <t>2.B. With stocks currently available at the peripheral level</t>
  </si>
  <si>
    <t>Stocks centraux et périphériques</t>
  </si>
  <si>
    <t>Centrals  and peripherals stocks</t>
  </si>
  <si>
    <t>Pour représentation graphique avec données FA</t>
  </si>
  <si>
    <t>Pour représentation graphique avec données Conso/Distri</t>
  </si>
  <si>
    <t>Dosage form class</t>
  </si>
  <si>
    <t>therapeutic class</t>
  </si>
  <si>
    <t>Results - Periods of product availability - Durations &amp; Dates</t>
  </si>
  <si>
    <t>A. With stocks currently available (central &amp; peripherals)</t>
  </si>
  <si>
    <t>Expected date of stockout</t>
  </si>
  <si>
    <t>CALCULATIONS  from data AF</t>
  </si>
  <si>
    <t>For graphical representation  with data AF</t>
  </si>
  <si>
    <t>B. With stocks currently available (central &amp; peripheral) &amp; orders expected to short terms.</t>
  </si>
  <si>
    <t>CALCULATIONS from data  Conso / Distri</t>
  </si>
  <si>
    <t>For graphical representation with data  Consump / Distri</t>
  </si>
  <si>
    <t>Delta on order / SS</t>
  </si>
  <si>
    <t>Number of months of products availability except SS</t>
  </si>
  <si>
    <t>Nb of boxes necessary for 1 month for 1 patient</t>
  </si>
  <si>
    <t>Nb of months available - AF data</t>
  </si>
  <si>
    <t>Nb of months available except SS - AF data</t>
  </si>
  <si>
    <t>Nb of months available SS - AF data</t>
  </si>
  <si>
    <t>Nb of months available - Data Consumption  / Distribution</t>
  </si>
  <si>
    <t>Nb of months available except SS - Data Consumption  / Distribution</t>
  </si>
  <si>
    <t>Nb of months available SS -  Data Consumption/ Distri</t>
  </si>
  <si>
    <t>Nb of months stock / order expected - AF data</t>
  </si>
  <si>
    <t>Nb of months available except SS / Order - AF data</t>
  </si>
  <si>
    <t>Nb of months available SS / Order - AF data</t>
  </si>
  <si>
    <t>Nb of months stock / order expected - Data consump / Distri</t>
  </si>
  <si>
    <t>Oral Soulutions</t>
  </si>
  <si>
    <t>Oral Powder</t>
  </si>
  <si>
    <t>Number of months of Buffer stock</t>
  </si>
  <si>
    <t xml:space="preserve"> et</t>
  </si>
  <si>
    <t>Module Quantification</t>
  </si>
  <si>
    <t>Quantités en stock central, périph et commandes en cours (nb de boites) au début de la période quantifiée [1]</t>
  </si>
  <si>
    <t>Quelle méthode / quelles données souhaitez vous utiliser pour la quantification des ARV pour la PEC (cocher la case de l'option retenue par un X majuscule)</t>
  </si>
  <si>
    <t>Précisez la période sur laquelle vous voulez estimer les besoins (nb de mois)</t>
  </si>
  <si>
    <t>Souhaitez vous intégrer la période nécessaire au stock de sécurité ? (OUI ou NON)</t>
  </si>
  <si>
    <t>La période à quantifier commence-t-elle à la date d'estimation ? (OUI ou NON)</t>
  </si>
  <si>
    <t>Arrêt des initiations de traitement ou poursuite ? (correspond à des consommations constantes ou croissantes) ? (OUI pour arrêt des initiations ou NON)</t>
  </si>
  <si>
    <t>Souhaitez vous prendre en compte les stocks disponibles au niveau central ? (OUI ou NON)</t>
  </si>
  <si>
    <t>Pour les stocks centraux, souhaitez vous estimer les stocks disponibles utilisables (quantités utilisées avant péremption) ? (OUI ou NON)</t>
  </si>
  <si>
    <t>Souhaitez vous également prendre en compte les stocks disponibles en périphérie ? (OUI ou NON)</t>
  </si>
  <si>
    <t>Souhaitez vous également prendre en compte les commandes en cours de livraison ? (OUI ou NON)</t>
  </si>
  <si>
    <t>Configuration</t>
  </si>
  <si>
    <t>The period of real quantification is thus of:</t>
  </si>
  <si>
    <t>A. Quantification method</t>
  </si>
  <si>
    <t>Which method / which data wish you to  use for the quantification of  ARV for the Patient care (check the box of the option retained by one X capital letter)</t>
  </si>
  <si>
    <t>If yes, this period is to be informed in the cell D26 of the page "Configuration"</t>
  </si>
  <si>
    <t xml:space="preserve">B.  Quantification Period </t>
  </si>
  <si>
    <t>Specify the period on which you want to estimate needs (nb of month)</t>
  </si>
  <si>
    <t xml:space="preserve">Estimation Date </t>
  </si>
  <si>
    <t>( Information informed in the cell D16 of the sheet 'Configuration'</t>
  </si>
  <si>
    <t>Does the period to quantify begin in the date of estimation? (YES or NO)</t>
  </si>
  <si>
    <t>D. Parameters of financial estimation</t>
  </si>
  <si>
    <t>If no, at what  date wish you begins the quantified period ?</t>
  </si>
  <si>
    <t>Duration  of intervening period between  estimation date  and beginning of quantified period</t>
  </si>
  <si>
    <t>Stop of initiations of treatment or continuation? (Corresponds to constant or increasing consumptions)? (YES for stop of the initiations or NO)</t>
  </si>
  <si>
    <t xml:space="preserve">C. Stocks and current orders </t>
  </si>
  <si>
    <t>Wish you to take into account available stocks at the central level? (YES or NO)</t>
  </si>
  <si>
    <t>For the central stocks, wish you to estimate  available stocks usables (quantities used before lapsing)? (YES or NO)</t>
  </si>
  <si>
    <t>Reach directly this cell</t>
  </si>
  <si>
    <t>Data are the ones which are informed in sheets ' Entries active file data ' and ' Entries consumption data '</t>
  </si>
  <si>
    <t>According to data informed in the sheet ' Entries Data  of stocks '</t>
  </si>
  <si>
    <t>If the period of quantification does not begin in the date of estimation, the evaluation of the projected stocks is made with the same data as those mentioned in the sheets of entries according to the used method. If the stock is finished before the beginning of quantified period, the impact of stockout on the consumptions or the initiations cannot be taken into account.</t>
  </si>
  <si>
    <t xml:space="preserve"> wish you also take into account you available stocks in periphery ? (YES or NO)</t>
  </si>
  <si>
    <t xml:space="preserve"> wish you also take into account  the current orders of delivery? (YES or NO)</t>
  </si>
  <si>
    <t>It is not possible to take into account the timetable of delivery in this estimation and if the option YES is choosed, the ordered quantities are considered as received at the time of estimation</t>
  </si>
  <si>
    <t>What rate of transport prices?</t>
  </si>
  <si>
    <t>Form</t>
  </si>
  <si>
    <t>Therapeutic Class</t>
  </si>
  <si>
    <t>Price (U.S. $) EXW / box</t>
  </si>
  <si>
    <t>Amount (U.S. $) EXW</t>
  </si>
  <si>
    <t>Median Price</t>
  </si>
  <si>
    <t>  and</t>
  </si>
  <si>
    <t>Results - Dashboard management lapses</t>
  </si>
  <si>
    <t>Consumption / Distributions</t>
  </si>
  <si>
    <t>This table includes all the data entered in the input tab</t>
  </si>
  <si>
    <t>Central quantities in stock, periph and current orders (nb of boxes) at the beginning of  quantified period [1]</t>
  </si>
  <si>
    <t>Quantities in stock  by  nb of primary packaging</t>
  </si>
  <si>
    <t>  + transports costs , insurance, handling (CIP price)</t>
  </si>
  <si>
    <t>  + Management costs</t>
  </si>
  <si>
    <t>Select from the menu below data / method you want to use for needs estimation</t>
  </si>
  <si>
    <t>specify the margin you want (transport costs / management costs)?</t>
  </si>
  <si>
    <t xml:space="preserve">UDL = Use Deadline </t>
  </si>
  <si>
    <t>Name</t>
  </si>
  <si>
    <t>Estimates are made assuming that the withdrawal takes place when the UDL and not a few weeks or months, which would result in increased losses listed below.</t>
  </si>
  <si>
    <t>When the first column indicates "incomplete input and Qtés UDL", it means that the entry UDL does not represent the total amount of stock.</t>
  </si>
  <si>
    <t>When the date appears in cell orange, is that the UDL is in less than 6 months</t>
  </si>
  <si>
    <t>Carefull, it implies(involves) to parametrize "YES" in the cell(unit) N8 of the sheet(leaf) ' Data capture of stocks ' and to fill(perform) best before dates in the picture(board) of the part(party) 1A with the same sheet(leaf)</t>
  </si>
  <si>
    <t>What rate of management costs do you want to take into account?</t>
  </si>
  <si>
    <t>Depending on the option selected, be available stock total, be stock available  usable, be estimated total stock, be stock estimated usable</t>
  </si>
  <si>
    <t>1. Follow-up data of patients - ADULTS</t>
  </si>
  <si>
    <t>percentage</t>
  </si>
  <si>
    <t>1. Follow-up data of patients - CHILDREN</t>
  </si>
  <si>
    <t>1. Selection of ARVs - CHILDREN</t>
  </si>
  <si>
    <t>Data Synthesis &amp; hypothesis taken into account</t>
  </si>
  <si>
    <t>Existence d'un générique ? (G) préqualifié A ou B ? (GPQ)</t>
  </si>
  <si>
    <t>When data were not present in the report 12-2010, we kept the data from the previous report.</t>
  </si>
  <si>
    <t>ADULT FORMS</t>
  </si>
  <si>
    <t>dosage unit</t>
  </si>
  <si>
    <t>form</t>
  </si>
  <si>
    <t>Annual price / patient (U.S. $)</t>
  </si>
  <si>
    <t>median</t>
  </si>
  <si>
    <t>Price / unit dose (U.S. $)</t>
  </si>
  <si>
    <t>source</t>
  </si>
  <si>
    <t>According Untangling the web of price reduction - http://utw.msfaccess.org/drugs/emtricitabine</t>
  </si>
  <si>
    <t>According to BMS Global Access Program in May 2009</t>
  </si>
  <si>
    <t>According Untangling the web of price reduction - http://msf-utw.tumblr.com/post/13260793909/first-ever-atv-r-combination-pill-improves-treatment</t>
  </si>
  <si>
    <t>According Untangling the web of price reduction - http://utw.msfaccess.org/drugs/raltegravir</t>
  </si>
  <si>
    <t>According Untangling the web of price reduction - http://utw.msfaccess.org/drugs/darunavir</t>
  </si>
  <si>
    <t>From France negotiated price - VIDAL - 2009</t>
  </si>
  <si>
    <t>According to Clinton Foundation Ceiling Prices 052011</t>
  </si>
  <si>
    <t>PEDIATRIC FORMS</t>
  </si>
  <si>
    <t>Prices of ARVs in U.S. Dollar $ from the GPRM Report 10-2011 for low-income countries (L I C)</t>
  </si>
  <si>
    <t>The data presented in this board are from the report of the GPRM, WHO, October 2011 (Source http://www.who.int/hiv/amds/)</t>
  </si>
  <si>
    <t>The calculations were made by reported  annual price by day and by number of administration</t>
  </si>
  <si>
    <t>For pediatric ARVs, two possibilities exist in the report GPRM for children of 5 and 10 kg. We mentioned the two prices, who vary little between them.</t>
  </si>
  <si>
    <t>The quantities of administration by boxes or vials volumes may change depending on the supplier. Secondary packaging may vary (LPV / r oral. sol).</t>
  </si>
  <si>
    <t>Carefull, cells contain formulas. If you copy the data, thoughts copy only the values</t>
  </si>
  <si>
    <t>Comment mentioned in GPRM report on the nature of the prices presented</t>
  </si>
  <si>
    <t>Les prix indiqués dans ce rapport sont les prix des transactions internationales, et non pas les prix payés par les utilisateurs finaux au niveau des pays. Les prix utilisateurs sont souvent plus élevés que les prix des transactions internationales en raison des frais de douane, les taxes, les frais de transport, et les marges. Toutefois, dans certains cas, les prix utilisateurs peuvent être inférieurs aux prix des transactions internationales grâce à des subventions. vous pouvez avoir plus d'informations sur les prix utilisateurs  en consultant le site Web de Health Action International à http://www.haiweb.org/medicineprices/16.</t>
  </si>
  <si>
    <t>Les taxes, frais de douane et / ou termes commerciaux internationaux (Incoterms: coût ou conditions de transport, assurance, etc) ne sont pas déclarés et ne sont donc pas considérés † †</t>
  </si>
  <si>
    <t>Enquêtes précédentes menées par  l'Office de Comptabilité, Management et propositions en Sciences pour la Santé du gouvernement des Etats Unis</t>
  </si>
  <si>
    <t>that any variation INCOTERMS constituted a 3% -15% increases over the factory works  or ex(EXW) price12</t>
  </si>
  <si>
    <t>que toute variation INCOTERMS constituait une augmentation de 3% -15% au cours des travaux de l'usine ou ex (EXW) prix 12</t>
  </si>
  <si>
    <t>Nb of unit taken / day</t>
  </si>
  <si>
    <t>Qtés / boxes - vials</t>
  </si>
  <si>
    <t>Price / boxe (U.S. $)</t>
  </si>
  <si>
    <t xml:space="preserve">Princeps Brand Name </t>
  </si>
  <si>
    <t>Existence of a generic? (G) prequalified A or B? (PQG)</t>
  </si>
  <si>
    <t>Qty / boxes</t>
  </si>
  <si>
    <t xml:space="preserve">Annual price (except other pr ARV triple therapy or boost)_x000D_
(U.S. $) </t>
  </si>
  <si>
    <t>According to http://www.nelm.nhs.uk/en/NeLM-Area/News/2011---December/02/Rilpivirine-Edurant-launched-in-UK-for-treatment-of-HIV/</t>
  </si>
  <si>
    <t>2 &amp; 3rd lines</t>
  </si>
  <si>
    <t>1st lines</t>
  </si>
  <si>
    <t>Prix / boite   ou flacon (US$)</t>
  </si>
  <si>
    <t>Price / boxe  or vial (U.S. $)</t>
  </si>
  <si>
    <t>Except GPRM - Source Untangling the web</t>
  </si>
  <si>
    <t xml:space="preserve">Pays et/ou structure </t>
  </si>
  <si>
    <t xml:space="preserve">Date de mise à jour des données </t>
  </si>
  <si>
    <t xml:space="preserve">Méthode / type de données utilisées </t>
  </si>
  <si>
    <t xml:space="preserve">Nature des stocks considérés </t>
  </si>
  <si>
    <t xml:space="preserve">Dates de péremption </t>
  </si>
  <si>
    <t>Nb de patients concernés / mois</t>
  </si>
  <si>
    <t>Gel</t>
  </si>
  <si>
    <t>Sol buv</t>
  </si>
  <si>
    <t>Oral Sol</t>
  </si>
  <si>
    <t>Nombre de mois de stock disponible</t>
  </si>
  <si>
    <t xml:space="preserve">Période pendant laquelle le ST a été utilisé </t>
  </si>
  <si>
    <t>Countries and / or structure</t>
  </si>
  <si>
    <t>Method / type of data used</t>
  </si>
  <si>
    <t xml:space="preserve">Nature of considered stocks </t>
  </si>
  <si>
    <t>Number of months of available stock</t>
  </si>
  <si>
    <t>Period during which the BS was used</t>
  </si>
  <si>
    <t>Number of  concerned patients /      month</t>
  </si>
  <si>
    <t xml:space="preserve">Attention, le nombre de patients présentés ici dépend des options thérapeutiques retenues, notemment l'utilisation de CDF pédiatriques - Voir paramétrage dans "Données à saisir" </t>
  </si>
  <si>
    <t>Carefull, the number of patients retained here depends on reserved therapeutic options, notemment the use of pediatric CDF - See configuration in " Enter data "</t>
  </si>
  <si>
    <t>Stage 1: data Consumption  / distribution</t>
  </si>
  <si>
    <t>Stage 2: Visual Representations</t>
  </si>
  <si>
    <t>Carefull, the estimation of available stocks USABLE will not be made if the detail of lapsing dates for every product is not informed.</t>
  </si>
  <si>
    <t>Carefull for  adults tablets, it is necessary to take into account stocks for all  needs (= Adults + Children + PTME + AES)</t>
  </si>
  <si>
    <t xml:space="preserve"> Quantities (nb of boxes) 3</t>
  </si>
  <si>
    <t xml:space="preserve"> Quantities (nb of boxes) 5
</t>
  </si>
  <si>
    <t xml:space="preserve"> Quantities (nb of boxes) 1
</t>
  </si>
  <si>
    <t xml:space="preserve"> Quantities (nb of boxes) 2
</t>
  </si>
  <si>
    <t xml:space="preserve"> Quantities (nb of boxes) 4
</t>
  </si>
  <si>
    <t xml:space="preserve"> Quantities (nb of boxes) 6</t>
  </si>
  <si>
    <t xml:space="preserve"> Quantities (nb of boxes) 7
</t>
  </si>
  <si>
    <t>For display of the availability, do you wish to take into account you stocks in periphery ? (YES or NOT)</t>
  </si>
  <si>
    <t>For  quantification modules, configuration is specifically made in the  quantification sheet</t>
  </si>
  <si>
    <t>Stage 2: quantities  required in orders</t>
  </si>
  <si>
    <t>B. Complete the available stocks  in periphery (intermediate deposits  and  patient care sites )</t>
  </si>
  <si>
    <t>To facilitate calculations and  stocks management, only Triomune baby was taken into account</t>
  </si>
  <si>
    <t>In  absence  of precise information on the ED, thank you for specifying below  maximal duration of use before lapsing which you want to take into account.</t>
  </si>
  <si>
    <t>ED = Expiration Date</t>
  </si>
  <si>
    <t>Warning detail / ED is incomplete</t>
  </si>
  <si>
    <t>System does not take into account ED of the stocks of regions because data compiled interpretation is not possible.</t>
  </si>
  <si>
    <t xml:space="preserve">Stage 1: data of  patient care of adults </t>
  </si>
  <si>
    <t xml:space="preserve">C. What evolutions  are waited in the  adults patient care ? </t>
  </si>
  <si>
    <t>C. What improvement are expected in the childrens care?</t>
  </si>
  <si>
    <t>Nb of children on beginning of quantified period</t>
  </si>
  <si>
    <t>Stage 2: data of  children  under treatment</t>
  </si>
  <si>
    <t>Stage 2: Select pediatric dosage forms</t>
  </si>
  <si>
    <t xml:space="preserve">We can consider that 3 % of patients pass in 2nd line / year. That make a monthly passage of 0,25% </t>
  </si>
  <si>
    <t xml:space="preserve">Carefull, given that the same patient can go into several compartments, to compose a trithérapie, total has to be at least 300% </t>
  </si>
  <si>
    <t xml:space="preserve">To simplify method, it was not planned to be able to take into account  double combinations (AZT ¨ + 3TC, TDF+3TC, ABC+3TC) </t>
  </si>
  <si>
    <t>For not make  heavier the document, the selection of pediatric medicines wished for every treatment regimen is lower, from the line 444</t>
  </si>
  <si>
    <t>Data presented here are adapted from WHO 2010 recommendations</t>
  </si>
  <si>
    <t>Adults forms</t>
  </si>
  <si>
    <t>Volume is specified in the sheet 'Available stocks'</t>
  </si>
  <si>
    <t>Solid forms</t>
  </si>
  <si>
    <t xml:space="preserve">Posology (Nb of tabs / day) </t>
  </si>
  <si>
    <t>Nb of vials / month</t>
  </si>
  <si>
    <t>Nb of vials / month rounded</t>
  </si>
  <si>
    <t>Average monthly needs in Nb of boxes</t>
  </si>
  <si>
    <t>Average monthly needs  in Nb of primary packaging</t>
  </si>
  <si>
    <t>In absence of consumption data, it is possible to enter  distribution data. However,  distribution data may overvalue  consumption.</t>
  </si>
  <si>
    <t>Consumption</t>
  </si>
  <si>
    <t>Treatment Regimen</t>
  </si>
  <si>
    <t>Stage 1: Determine the monthly number of patients requiring treatment</t>
  </si>
  <si>
    <t>Stage 3: Determination of AMC</t>
  </si>
  <si>
    <t>Stage 2: Determine the total available stock (stock central + peripheral stock + orders to predict short-term)</t>
  </si>
  <si>
    <t>Expiration dates are partially taken into account</t>
  </si>
  <si>
    <t>Clear grey boxes correspond to boxes including calculations related to addition of amounts relating to different doses</t>
  </si>
  <si>
    <t>Period SS</t>
  </si>
  <si>
    <t>Active file data followed</t>
  </si>
  <si>
    <t>Stocks availables</t>
  </si>
  <si>
    <t>Area 1</t>
  </si>
  <si>
    <t>Area 2</t>
  </si>
  <si>
    <t>Area 3</t>
  </si>
  <si>
    <t>Overall</t>
  </si>
  <si>
    <t>Selection of products &amp; details of calculations</t>
  </si>
  <si>
    <t>Children under treatment: Quantification of one month of needs for children  taken charge</t>
  </si>
  <si>
    <t>For children already taken charge: estimation of distribution in  therapeutic lines at beginning of  quantified period</t>
  </si>
  <si>
    <t>New initiations &amp; switches: Quantification of needs for the taken charge of children for one month</t>
  </si>
  <si>
    <t>With patients charge data</t>
  </si>
  <si>
    <t>Green boxes are to be filled</t>
  </si>
  <si>
    <t>This data allows either to create diagrammatically the safety stock on the visual representations, or to take into account it in quantifications</t>
  </si>
  <si>
    <t>B. What is current distribution by treatment regimen for adults already  taken charge ?</t>
  </si>
  <si>
    <t xml:space="preserve">B. What is current distribution for childrens already  taken charge ? </t>
  </si>
  <si>
    <t>Carefull, these avaibility do not take into account dates of receipt of products</t>
  </si>
  <si>
    <t>Stage 3: PTME ARV Needs</t>
  </si>
  <si>
    <t>Select one of options</t>
  </si>
  <si>
    <t>ATTENTION SURSTOCK et risque de péremption</t>
  </si>
  <si>
    <t xml:space="preserve">CAREFULL OVERSTOCK and risk of Lapsing </t>
  </si>
  <si>
    <t>Durée de vie max</t>
  </si>
  <si>
    <t xml:space="preserve">Max Lifetime </t>
  </si>
  <si>
    <t>ATTENTION le détail ne correspond pas à votre stock total</t>
  </si>
  <si>
    <t>Produit en stock mais sans aucune utilisation</t>
  </si>
  <si>
    <t>Carefull, detail does not correspond to your total stock</t>
  </si>
  <si>
    <t>Product in stock but without any use</t>
  </si>
  <si>
    <t>RUPTURE</t>
  </si>
  <si>
    <t>Stock et besoin nul</t>
  </si>
  <si>
    <t>STOCKOUT</t>
  </si>
  <si>
    <t>No Stock and Need</t>
  </si>
  <si>
    <t>B</t>
  </si>
  <si>
    <t>Zidovudine+ Lamivudine+ Nevirapine</t>
  </si>
  <si>
    <t>Stavudine+ Lamivudine+ Nevirapine</t>
  </si>
  <si>
    <t>Tenofovir+ Emtricitabine+ Efavirenz</t>
  </si>
  <si>
    <t>Tenofovir+ Emtricitabine</t>
  </si>
  <si>
    <t>Tenofovir+ Lamivudine+ Efavirenz</t>
  </si>
  <si>
    <t>Tenofovir+ Lamivudine</t>
  </si>
  <si>
    <t>[Tenofovir+ Lamivudine]+ Atazanavir/Ritonavir</t>
  </si>
  <si>
    <t>Nevirapine</t>
  </si>
  <si>
    <t>Tenofovir</t>
  </si>
  <si>
    <t>Fosamprenavir</t>
  </si>
  <si>
    <t>Raltegravir</t>
  </si>
  <si>
    <t>B &amp; conso</t>
  </si>
  <si>
    <t>B &amp; Consumption</t>
  </si>
  <si>
    <t xml:space="preserve">Peripheral Stock available </t>
  </si>
  <si>
    <t>Fl</t>
  </si>
  <si>
    <t>V</t>
  </si>
  <si>
    <t>&amp; périphériques</t>
  </si>
  <si>
    <t>Qtés in stock  peripheral (number of boxes)</t>
  </si>
  <si>
    <t>&amp; peripherals</t>
  </si>
  <si>
    <t>&amp; Commandes</t>
  </si>
  <si>
    <t>&amp; Orders</t>
  </si>
  <si>
    <t>Attention, le nombre de patients mentionné ici est estimé à partir de la consommation.</t>
  </si>
  <si>
    <t>Carefull, patients number mentioned here is estimated from consumption.</t>
  </si>
  <si>
    <t>Produits</t>
  </si>
  <si>
    <t>Products</t>
  </si>
  <si>
    <t>Stage 1: Specify the name of the country and / or structure of patient care</t>
  </si>
  <si>
    <t>Stage 2: Evaluation date coverage needs</t>
  </si>
  <si>
    <t>Stage 3:  Safety stocks  or buffer stock</t>
  </si>
  <si>
    <t>CAREFULL</t>
  </si>
  <si>
    <t>ATTENTION</t>
  </si>
  <si>
    <t>Carefull, detail does not correspond at your total stock</t>
  </si>
  <si>
    <t>Attention, le détail ne correspond pas à votre stock total</t>
  </si>
  <si>
    <t xml:space="preserve"> Comprimés - Formes simples</t>
  </si>
  <si>
    <t xml:space="preserve"> Solutions buvables </t>
  </si>
  <si>
    <t xml:space="preserve"> Comprimés - CDF</t>
  </si>
  <si>
    <t>ESTIMATION DE LA DISPONIBILITE</t>
  </si>
  <si>
    <t xml:space="preserve">  AVAILABILITY ESTIMATE</t>
  </si>
  <si>
    <t>Attention - pertes-</t>
  </si>
  <si>
    <t xml:space="preserve">Btes - </t>
  </si>
  <si>
    <t xml:space="preserve">Boxes - </t>
  </si>
  <si>
    <t>SAISIE INCOMPLETE DES DLU et Qtés</t>
  </si>
  <si>
    <t>ORALS SOLUTIONS</t>
  </si>
  <si>
    <t>Number of month of Buffer stock</t>
  </si>
  <si>
    <t>ST - max</t>
  </si>
  <si>
    <t>BS - max</t>
  </si>
  <si>
    <t>months</t>
  </si>
  <si>
    <t>Tablets - FDC</t>
  </si>
  <si>
    <t xml:space="preserve"> Tablets - Simple forms</t>
  </si>
  <si>
    <t>Orals solution</t>
  </si>
  <si>
    <r>
      <t xml:space="preserve">CALCULS Marge extrême arrêt d'initiations par les </t>
    </r>
    <r>
      <rPr>
        <b/>
        <sz val="10"/>
        <rFont val="Calibri"/>
        <family val="2"/>
        <scheme val="minor"/>
      </rPr>
      <t>commandes seules / Stocks dispo centraux et périph &amp; commandes</t>
    </r>
  </si>
  <si>
    <t>Carefull, for Kaletra, take into account the primary packaging  (number of vials ≠ Number of boxes)</t>
  </si>
  <si>
    <r>
      <t xml:space="preserve">Stock=0; Besoin  </t>
    </r>
    <r>
      <rPr>
        <sz val="10"/>
        <rFont val="Calibri"/>
        <family val="2"/>
        <scheme val="minor"/>
      </rPr>
      <t>≥</t>
    </r>
    <r>
      <rPr>
        <i/>
        <sz val="10"/>
        <rFont val="Calibri"/>
        <family val="2"/>
        <scheme val="minor"/>
      </rPr>
      <t xml:space="preserve"> 1</t>
    </r>
  </si>
  <si>
    <t>A. For patients already under treatment</t>
  </si>
  <si>
    <r>
      <t>Number of boxes for</t>
    </r>
    <r>
      <rPr>
        <sz val="10"/>
        <color rgb="FFFF0000"/>
        <rFont val="Calibri"/>
        <family val="2"/>
        <scheme val="minor"/>
      </rPr>
      <t xml:space="preserve"> adults</t>
    </r>
    <r>
      <rPr>
        <sz val="10"/>
        <rFont val="Calibri"/>
        <family val="2"/>
        <scheme val="minor"/>
      </rPr>
      <t xml:space="preserve"> for 1 month</t>
    </r>
  </si>
  <si>
    <r>
      <t xml:space="preserve">Number of boxes for </t>
    </r>
    <r>
      <rPr>
        <sz val="10"/>
        <color rgb="FFFF0000"/>
        <rFont val="Calibri"/>
        <family val="2"/>
        <scheme val="minor"/>
      </rPr>
      <t>children</t>
    </r>
    <r>
      <rPr>
        <sz val="10"/>
        <rFont val="Calibri"/>
        <family val="2"/>
        <scheme val="minor"/>
      </rPr>
      <t xml:space="preserve"> for one month</t>
    </r>
  </si>
  <si>
    <t>for inclusions, the multiplier will be to:</t>
  </si>
  <si>
    <t>Enfant de 12 à 14,9 kg (tranche de poids utilisée : 10 - 14,9 kg)</t>
  </si>
  <si>
    <r>
      <t xml:space="preserve">Etape 1 : </t>
    </r>
    <r>
      <rPr>
        <sz val="10"/>
        <rFont val="Calibri"/>
        <family val="2"/>
        <scheme val="minor"/>
      </rPr>
      <t>Préciser le nom du pays et / ou de la structure de prise en charge</t>
    </r>
  </si>
  <si>
    <r>
      <t>Etape 2 :</t>
    </r>
    <r>
      <rPr>
        <sz val="10"/>
        <rFont val="Calibri"/>
        <family val="2"/>
        <scheme val="minor"/>
      </rPr>
      <t xml:space="preserve"> Date d'évaluation de la couverture des besoins</t>
    </r>
  </si>
  <si>
    <r>
      <t xml:space="preserve">Etape 3 : </t>
    </r>
    <r>
      <rPr>
        <sz val="10"/>
        <rFont val="Calibri"/>
        <family val="2"/>
        <scheme val="minor"/>
      </rPr>
      <t>Stocks de sécurité ou stock tampon</t>
    </r>
  </si>
  <si>
    <r>
      <t xml:space="preserve">Commentaires : </t>
    </r>
    <r>
      <rPr>
        <sz val="10"/>
        <rFont val="Calibri"/>
        <family val="2"/>
        <scheme val="minor"/>
      </rPr>
      <t>certains paramétres spécifiques pourront être saisies dans les différentes feuilles, en particulier pour le module de quantification</t>
    </r>
  </si>
  <si>
    <r>
      <t>L'</t>
    </r>
    <r>
      <rPr>
        <u/>
        <sz val="10"/>
        <color theme="1"/>
        <rFont val="Calibri"/>
        <family val="2"/>
        <scheme val="minor"/>
      </rPr>
      <t>utilisation</t>
    </r>
    <r>
      <rPr>
        <sz val="10"/>
        <color theme="1"/>
        <rFont val="Calibri"/>
        <family val="2"/>
        <scheme val="minor"/>
      </rPr>
      <t xml:space="preserve"> et la </t>
    </r>
    <r>
      <rPr>
        <u/>
        <sz val="10"/>
        <color theme="1"/>
        <rFont val="Calibri"/>
        <family val="2"/>
        <scheme val="minor"/>
      </rPr>
      <t>copie</t>
    </r>
    <r>
      <rPr>
        <sz val="10"/>
        <color theme="1"/>
        <rFont val="Calibri"/>
        <family val="2"/>
        <scheme val="minor"/>
      </rPr>
      <t xml:space="preserve"> de cet outil sont libres dans la mesure où : </t>
    </r>
  </si>
  <si>
    <r>
      <t xml:space="preserve">The </t>
    </r>
    <r>
      <rPr>
        <u/>
        <sz val="10"/>
        <color theme="1"/>
        <rFont val="Calibri"/>
        <family val="2"/>
        <scheme val="minor"/>
      </rPr>
      <t>use</t>
    </r>
    <r>
      <rPr>
        <sz val="10"/>
        <color theme="1"/>
        <rFont val="Calibri"/>
        <family val="2"/>
        <scheme val="minor"/>
      </rPr>
      <t xml:space="preserve"> and the</t>
    </r>
    <r>
      <rPr>
        <u/>
        <sz val="10"/>
        <color theme="1"/>
        <rFont val="Calibri"/>
        <family val="2"/>
        <scheme val="minor"/>
      </rPr>
      <t xml:space="preserve"> copy</t>
    </r>
    <r>
      <rPr>
        <sz val="10"/>
        <color theme="1"/>
        <rFont val="Calibri"/>
        <family val="2"/>
        <scheme val="minor"/>
      </rPr>
      <t xml:space="preserve"> of this tool are free as far as:</t>
    </r>
  </si>
  <si>
    <r>
      <t xml:space="preserve">1. L'outil est utilisé dans un </t>
    </r>
    <r>
      <rPr>
        <u/>
        <sz val="10"/>
        <color theme="1"/>
        <rFont val="Calibri"/>
        <family val="2"/>
        <scheme val="minor"/>
      </rPr>
      <t xml:space="preserve">but non lucratif  </t>
    </r>
  </si>
  <si>
    <r>
      <t xml:space="preserve">1. This tool is used as </t>
    </r>
    <r>
      <rPr>
        <u/>
        <sz val="10"/>
        <color theme="1"/>
        <rFont val="Calibri"/>
        <family val="2"/>
        <scheme val="minor"/>
      </rPr>
      <t>nonprofit</t>
    </r>
  </si>
  <si>
    <r>
      <t xml:space="preserve">Pour toutes </t>
    </r>
    <r>
      <rPr>
        <i/>
        <u/>
        <sz val="10"/>
        <color theme="1"/>
        <rFont val="Calibri"/>
        <family val="2"/>
        <scheme val="minor"/>
      </rPr>
      <t>modifications</t>
    </r>
    <r>
      <rPr>
        <i/>
        <sz val="10"/>
        <color theme="1"/>
        <rFont val="Calibri"/>
        <family val="2"/>
        <scheme val="minor"/>
      </rPr>
      <t xml:space="preserve"> et adaptations de l'outil, contactez-nous.</t>
    </r>
  </si>
  <si>
    <t>INCOMPLETE ENTRY OF EXP DATES and QTYS</t>
  </si>
  <si>
    <t>Carefull - losses-</t>
  </si>
  <si>
    <t>Using Exp Date indicator n°5</t>
  </si>
  <si>
    <t>Using Exp Date indicator n°6</t>
  </si>
  <si>
    <t>Using Exp Date indicator n°3</t>
  </si>
  <si>
    <t>Using Exp Date indicator n°4</t>
  </si>
  <si>
    <t>Using Exp Date Indicator n°7</t>
  </si>
  <si>
    <t>Using Exp Date indicator n°1</t>
  </si>
  <si>
    <t>Using Exp Date indicator n°2</t>
  </si>
  <si>
    <t>Consumption or distribution data</t>
  </si>
  <si>
    <t>File active</t>
  </si>
  <si>
    <t>Active file / cohort</t>
  </si>
  <si>
    <t>Consumption / distribution</t>
  </si>
  <si>
    <t>If  detail of  distribution of  quantities / all the ED are not complete, the mention "CAREFULL" appears in the right board.</t>
  </si>
  <si>
    <t>Morbidity data, followed by the active file</t>
  </si>
  <si>
    <t>INFORMATION NOTE</t>
  </si>
  <si>
    <t>DLU</t>
  </si>
  <si>
    <t>ED</t>
  </si>
  <si>
    <t>Paramétrage spécifique et résultats</t>
  </si>
  <si>
    <t>16 feuilles Traduction (masquées)</t>
  </si>
  <si>
    <t>La diffusion de l'outil est libre. Toutefois pour pouvoir bénéficier des mises à jour et des corrections, il est recommandé de s'inscrire auprès de Solthis.</t>
  </si>
  <si>
    <t>Prix interquartile 75</t>
  </si>
  <si>
    <t>IQ75 Price</t>
  </si>
  <si>
    <t>Exp Date n°1</t>
  </si>
  <si>
    <t>Exp Date n°2</t>
  </si>
  <si>
    <t>Exp Date n°3</t>
  </si>
  <si>
    <t>Exp Date n°4</t>
  </si>
  <si>
    <t>Exp Date n°5</t>
  </si>
  <si>
    <t>Exp Date n°6</t>
  </si>
  <si>
    <t>Exp Date n°7</t>
  </si>
  <si>
    <t>Wish you to integrate the period necessary  in the safety stock? (YES or NO)</t>
  </si>
  <si>
    <t>Prix VPP</t>
  </si>
  <si>
    <t>Prix GPRM</t>
  </si>
  <si>
    <t>GPRM Prices</t>
  </si>
  <si>
    <t>VPP Prices</t>
  </si>
  <si>
    <t>Prices of ARVs in U.S. Dollar $ from the VPP GFATM 102012</t>
  </si>
  <si>
    <t>INN code</t>
  </si>
  <si>
    <t>min</t>
  </si>
  <si>
    <t>max</t>
  </si>
  <si>
    <t>[AZT+3TC]+EFV</t>
  </si>
  <si>
    <t>300+100</t>
  </si>
  <si>
    <t>mg/mL</t>
  </si>
  <si>
    <t>60+30+60</t>
  </si>
  <si>
    <t>lamivudine/zidovudine/nevirapine</t>
  </si>
  <si>
    <t>lamivudine/zidovudine</t>
  </si>
  <si>
    <t>lamivudine/stavudine/nevirapine</t>
  </si>
  <si>
    <t>lamivudine/stavudine</t>
  </si>
  <si>
    <t>lamivudine/zidovudine/abacavir</t>
  </si>
  <si>
    <t>efavirenz + lamivudine/zidovudine</t>
  </si>
  <si>
    <t>tablets (co-blister) 60+30</t>
  </si>
  <si>
    <t>abacavir/lamivudine</t>
  </si>
  <si>
    <t>scored tablets</t>
  </si>
  <si>
    <t>efavirenz/emtricitabine/tenofovir</t>
  </si>
  <si>
    <t>efavirenz/lamivudine/tenofovir</t>
  </si>
  <si>
    <t>emtricitabine/tenofovir</t>
  </si>
  <si>
    <t>lamivudine/tenofovir</t>
  </si>
  <si>
    <t>zidovudine</t>
  </si>
  <si>
    <t>stavudine</t>
  </si>
  <si>
    <t>capsules</t>
  </si>
  <si>
    <t>lamivudine</t>
  </si>
  <si>
    <t>150mg</t>
  </si>
  <si>
    <t>tenofovir</t>
  </si>
  <si>
    <t>nevirapine</t>
  </si>
  <si>
    <t>200mg</t>
  </si>
  <si>
    <t>efavirenz</t>
  </si>
  <si>
    <t>abacavir</t>
  </si>
  <si>
    <t>emtricitabine</t>
  </si>
  <si>
    <t>capsule</t>
  </si>
  <si>
    <t>didanosine</t>
  </si>
  <si>
    <t>100mg</t>
  </si>
  <si>
    <t>delayed-release capsules</t>
  </si>
  <si>
    <t>lopinavir/ritonavir</t>
  </si>
  <si>
    <t>atazanavir/ritonavir</t>
  </si>
  <si>
    <t>ritonavir</t>
  </si>
  <si>
    <t>capsules 4x84</t>
  </si>
  <si>
    <t>oral solution</t>
  </si>
  <si>
    <t>powder for oral solution</t>
  </si>
  <si>
    <t>oral suspension</t>
  </si>
  <si>
    <t>50mg</t>
  </si>
  <si>
    <t>oral solution 5x60mL</t>
  </si>
  <si>
    <t>dispersible tablets</t>
  </si>
  <si>
    <t xml:space="preserve">dispersible tablets </t>
  </si>
  <si>
    <t>125mg</t>
  </si>
  <si>
    <t>Prix moyen</t>
  </si>
  <si>
    <t>medium price</t>
  </si>
  <si>
    <t>Prix maximum</t>
  </si>
  <si>
    <t>maximum price</t>
  </si>
  <si>
    <t>Quel type de prix souhaitez vous prendre en compte ? (1 seule case/4)</t>
  </si>
  <si>
    <t>What kind of price would you take into account? (only one box on the 4)</t>
  </si>
  <si>
    <t>La source des prix peut être soit le rapport du GPRM/AMDS d'octobre 2011 soit du VPP/FMSTP. Les prix sont avec l'INCOTERMS EXW</t>
  </si>
  <si>
    <t xml:space="preserve">The source of the prices can be from the report of the GPRM / AMDS of October, 2011 or from the VPP/GFATM. The prices are of INCOTERMS EXW. </t>
  </si>
  <si>
    <t>medium</t>
  </si>
  <si>
    <t>source GPRM or UTW</t>
  </si>
  <si>
    <t>Quantity needed for the period (nb of boxes)</t>
  </si>
  <si>
    <t>Besoin net sur la période / période (nb de boites)</t>
  </si>
  <si>
    <t>Besoins bruts sur période (nb de boites)</t>
  </si>
  <si>
    <t>Gross needs for the period (nb of boxes)</t>
  </si>
  <si>
    <t>Net quantities needed for the period (nb of boxes)</t>
  </si>
  <si>
    <t>Prix / boite (US$ - EXW)</t>
  </si>
  <si>
    <t>Prix / boite (US$ - EXW+frais de gestion)</t>
  </si>
  <si>
    <t>Price / box (US$ - EXW + costs&amp;fees)</t>
  </si>
  <si>
    <t>Price / box (US$ - EXW)</t>
  </si>
  <si>
    <t>B.1. ART Initiations</t>
  </si>
  <si>
    <t>B.1. Initiations TARV</t>
  </si>
  <si>
    <t>Augmentation mensuelle du nombre de patients réellement suivi (= Nombre d'iniations mensuelles - attrition mensuelle) :</t>
  </si>
  <si>
    <t>Augmentation of the monthly number of patient actively followed (=Number of monthly initiation - monthly attrition):</t>
  </si>
  <si>
    <t>Attention, il s'agit de l'augmentation mensuelle du nombre de patients suivis et non du nombre d'initiations mensuelles !</t>
  </si>
  <si>
    <t>Carefull, it is not the number of monthly initiation but the augmentation of patient actively followed (trend)</t>
  </si>
  <si>
    <t>Etape 4 : EVALUATION des DISPONIBILITES - compilation des quantités en stocks et commande</t>
  </si>
  <si>
    <t>Stage 4: AVAILABILITY ESTIMATE - stocks &amp; ordered quantities compilation</t>
  </si>
  <si>
    <t>Stage 5: QUANTIFICATION - stocks &amp; ordered quantities compilation</t>
  </si>
  <si>
    <t>Etape 5 : QUANTIFICATION - compilation des quantités en stocks et commande</t>
  </si>
  <si>
    <t>Option 1</t>
  </si>
  <si>
    <t>Option 2</t>
  </si>
  <si>
    <t>Option 3</t>
  </si>
  <si>
    <t>10 - 13,9</t>
  </si>
  <si>
    <t>Proportion %</t>
  </si>
  <si>
    <t>Nb de nouveaux patients / mois</t>
  </si>
  <si>
    <t>Nombre total de patients en première ligne (actuel + initiation du mois)</t>
  </si>
  <si>
    <t>Total number of patients in first line (still &amp; new)</t>
  </si>
  <si>
    <t>Nombre de nouveaux patients attendus en 2ème ligne par mois</t>
  </si>
  <si>
    <t>Number of new patients in second line</t>
  </si>
  <si>
    <t>Consigne d'utilisation</t>
  </si>
  <si>
    <t>Instructions</t>
  </si>
  <si>
    <t>Pour chaque schéma de première ligne, précisez le(s) schéma(s) de 2ème ligne souhaité(s) à l'aide des menus déroulants</t>
  </si>
  <si>
    <t>Si vous changez le détail des schémas dans le tableau 1 tout en haut de cette feuille, vous devez actualiser la sélection des schémas dans ce tableau</t>
  </si>
  <si>
    <t>For every first line regimen choose the second line regimen with the drop down menu</t>
  </si>
  <si>
    <t>Then, mention the proportion of each second line regimen</t>
  </si>
  <si>
    <t>If you change the details of the regimens in the first table of this sheet, you need to actualise every choice</t>
  </si>
  <si>
    <t>En cas d'incertitude sur la répartition attendue, il est possible de prendre des marges (X-Y %) et de ne considérer dans ce tableau que les marges hautes. Le total peut donc faire plus de 100%. Toutefois, le stock de sécurité doit être prévu pour permettre de tels imprevus</t>
  </si>
  <si>
    <t xml:space="preserve"> In case of uncertainty on the distribution expected, it is possible to take margins ( X-Y %) and to consider in this board only high margins. 
Total can thus make more than 100 % . A buffer stock may be usefull in this case. </t>
  </si>
  <si>
    <t>Would you do these first-line patients out?</t>
  </si>
  <si>
    <t>Souhaitez vous faire sortir les patients de première ligne ?</t>
  </si>
  <si>
    <t>Si oui, précisez la proportion (100% = l'ensemble des patients passés en 2ème ligne sont sortis de première ligne)</t>
  </si>
  <si>
    <t>If yes, define the proportion of this output of the first line</t>
  </si>
  <si>
    <t>La mention "vvv" signifie que des lignes ont été masquées en dessous</t>
  </si>
  <si>
    <t>the sign "vvv" inform you that some lines have been hiden</t>
  </si>
  <si>
    <t>vvv</t>
  </si>
  <si>
    <t>Ensuite, pour chacun des schémas sélectionnés, précisez ensuite les proportions attendues</t>
  </si>
  <si>
    <t>ABC+3TC+ATV/r</t>
  </si>
  <si>
    <t>TDF+FTC+ATV/r</t>
  </si>
  <si>
    <t>ABC+3TC+AZT+ATV/r</t>
  </si>
  <si>
    <t>ABC+3TC+AZT+LPV/r</t>
  </si>
  <si>
    <t>TDF+FTC+AZT+ATV/r</t>
  </si>
  <si>
    <t>ABC+3TC+EFV</t>
  </si>
  <si>
    <t>ABC+3TC+AZT</t>
  </si>
  <si>
    <t>INTI</t>
  </si>
  <si>
    <t>INNTI</t>
  </si>
  <si>
    <t>PI</t>
  </si>
  <si>
    <t>Inh Integrase</t>
  </si>
  <si>
    <t>Integrase Inh</t>
  </si>
  <si>
    <t>Trimestre</t>
  </si>
  <si>
    <t>Quarter</t>
  </si>
  <si>
    <t>Needs before the beginning of the quantified period</t>
  </si>
  <si>
    <t>Besoins sur la période intermédiaire (avant le début de la période quantifiée)</t>
  </si>
  <si>
    <t>Quantification des besoins répartie par trimestre</t>
  </si>
  <si>
    <t>Aucun paramétrage ou aucune valeur ne doit être renseigné ici. Tout se fait dans la feuille "Quanti"</t>
  </si>
  <si>
    <t>Prix d'une source spécifique</t>
  </si>
  <si>
    <t>Préciser ici le nom de la source que vous souhaitez faire apparaître dans le document</t>
  </si>
  <si>
    <t>Prix par unité (cp, gél., mL) - $</t>
  </si>
  <si>
    <t>Prix par conditionnement - $</t>
  </si>
  <si>
    <t>Lopinavir/ Ritonavir</t>
  </si>
  <si>
    <t>Atazanavir/ Ritonavir</t>
  </si>
  <si>
    <t>Durée (mois)</t>
  </si>
  <si>
    <t>Attention, assurez vous que le prix du produit souhaité existe dans la source sélectionnée. Sans cela, le prix mentionné dans le tableau peut être égal à 0</t>
  </si>
  <si>
    <t>Be careful, make sure the price of the desired product exists in the selected source. Otherwise, the price mentioned in the table can be 0</t>
  </si>
  <si>
    <t>Quantités en stocks (nb de boites)</t>
  </si>
  <si>
    <t>Besoins mensuels patients suivis</t>
  </si>
  <si>
    <t>Besoins mensuels nouveaux patients</t>
  </si>
  <si>
    <t>(Stock total, ne prend pas en compte les DLU)</t>
  </si>
  <si>
    <t>(Stock utilisable, prend en compte les DLU)</t>
  </si>
  <si>
    <t>Début de la période quantifiée</t>
  </si>
  <si>
    <t>Durée cumulée depuis la date d'estimation (mois)</t>
  </si>
  <si>
    <t>Besoins nets sur la période (nb de cdt)</t>
  </si>
  <si>
    <t>Souhaitez vous arrondir les valeurs de besoins mensuels à l'unité supérieure ?</t>
  </si>
  <si>
    <t>Divers</t>
  </si>
  <si>
    <t>Besoins nets sur le trimestre (nb cdt)</t>
  </si>
  <si>
    <t>Besoins bruts sur le trimestre (nb de cdt)</t>
  </si>
  <si>
    <t>Besoins sur durée cumulée (nb de cdt)</t>
  </si>
  <si>
    <t>Période quantifiée totale</t>
  </si>
  <si>
    <t>Prix Source autre</t>
  </si>
  <si>
    <t>Do you want to round the values ​​of monthly needs to the nearest unit?</t>
  </si>
  <si>
    <t>ART needs quantification broken down by quarter</t>
  </si>
  <si>
    <t>No setup or no value should be specified here. Everything is done in the "Quanti" sheet</t>
  </si>
  <si>
    <t>Duration (months)</t>
  </si>
  <si>
    <t>ART Needs on the whole period (# boxes)</t>
  </si>
  <si>
    <t>ART Needs on the quarter (# boxes)</t>
  </si>
  <si>
    <t>Quantified period</t>
  </si>
  <si>
    <t>Intermediary period</t>
  </si>
  <si>
    <t>Total period since the estimation date (month)</t>
  </si>
  <si>
    <t>Monthly needs for follow up patients</t>
  </si>
  <si>
    <t>Monthly needs for  new patients</t>
  </si>
  <si>
    <t>Stock on hand (# boxes)</t>
  </si>
  <si>
    <t>(usable stock, before the exp date)</t>
  </si>
  <si>
    <t>(total stock, without exp date)</t>
  </si>
  <si>
    <t>Beginning of the quantified period</t>
  </si>
  <si>
    <t>Net needs on the quarter (# boxes)</t>
  </si>
  <si>
    <t>2 feuilles Quantification</t>
  </si>
  <si>
    <t>2 Quantification sheets</t>
  </si>
  <si>
    <t>Specific settings and results</t>
  </si>
  <si>
    <t>Translation sheets (masked)</t>
  </si>
  <si>
    <t>Répartition des besoins quantifiés par trimestre</t>
  </si>
  <si>
    <t>Quantified needs broken down by quarter</t>
  </si>
  <si>
    <t>Une partie de l'évolution de cet outil a été rendue possible avec le support financier de l'Initiative 5%</t>
  </si>
  <si>
    <t>Part of the development of this tool has been possible with the financial support of the French Initiative 5%</t>
  </si>
  <si>
    <t>Paramètres</t>
  </si>
  <si>
    <t>Tableau de correspondance des mois</t>
  </si>
  <si>
    <t>Janvier</t>
  </si>
  <si>
    <t>Février</t>
  </si>
  <si>
    <t>Mars</t>
  </si>
  <si>
    <t>Avril</t>
  </si>
  <si>
    <t>Mai</t>
  </si>
  <si>
    <t>Juin</t>
  </si>
  <si>
    <t>Juillet</t>
  </si>
  <si>
    <t>Août</t>
  </si>
  <si>
    <t>Septembre</t>
  </si>
  <si>
    <t>Octobre</t>
  </si>
  <si>
    <t>Novembre</t>
  </si>
  <si>
    <t>Décembre</t>
  </si>
  <si>
    <t>January</t>
  </si>
  <si>
    <t>February</t>
  </si>
  <si>
    <t>March</t>
  </si>
  <si>
    <t>April</t>
  </si>
  <si>
    <t>May</t>
  </si>
  <si>
    <t>June</t>
  </si>
  <si>
    <t>July</t>
  </si>
  <si>
    <t>August</t>
  </si>
  <si>
    <t>September</t>
  </si>
  <si>
    <t>October</t>
  </si>
  <si>
    <t>November</t>
  </si>
  <si>
    <t>December</t>
  </si>
  <si>
    <t>Si vous souhaitez tenir compte de la date, préciser ci-dessous dans les cellules correspondantes le jour, le mois et l'année</t>
  </si>
  <si>
    <t>If you want to take into account the date, specify in each box below the day, the month &amp; the year</t>
  </si>
  <si>
    <t>Rappel de la langue choisie</t>
  </si>
  <si>
    <t>Selected language</t>
  </si>
  <si>
    <t xml:space="preserve">Delta bw availability / date of receipt expected </t>
  </si>
  <si>
    <t>Version 9.5 FR ENG updated in February 2015 by Solthis</t>
  </si>
  <si>
    <t>Version 9.5 FR ENG mise à jour en février 2015 par Solthis</t>
  </si>
  <si>
    <t>TEST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</si>
</sst>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 &quot;€&quot;_-;\-* #,##0.00\ &quot;€&quot;_-;_-* &quot;-&quot;??\ &quot;€&quot;_-;_-@_-"/>
    <numFmt numFmtId="165" formatCode="0.0%"/>
    <numFmt numFmtId="166" formatCode="0.0"/>
    <numFmt numFmtId="167" formatCode="#,##0.00\ &quot;€&quot;"/>
    <numFmt numFmtId="168" formatCode="0.000"/>
    <numFmt numFmtId="169" formatCode="_-* #,##0.00\ &quot;F&quot;_-;\-* #,##0.00\ &quot;F&quot;_-;_-* &quot;-&quot;??\ &quot;F&quot;_-;_-@_-"/>
    <numFmt numFmtId="170" formatCode="_-[$$-409]* #,##0.00_ ;_-[$$-409]* \-#,##0.00\ ;_-[$$-409]* &quot;-&quot;??_ ;_-@_ "/>
    <numFmt numFmtId="171" formatCode="[$$-409]#,##0.00"/>
    <numFmt numFmtId="172" formatCode="#,##0.0"/>
    <numFmt numFmtId="173" formatCode="yyyy/mm/dd"/>
    <numFmt numFmtId="174" formatCode="yyyy/m/d"/>
  </numFmts>
  <fonts count="75" x14ac:knownFonts="1">
    <font>
      <sz val="10"/>
      <name val="Arial"/>
    </font>
    <font>
      <sz val="10"/>
      <color theme="1"/>
      <name val="Calibri"/>
      <family val="2"/>
      <scheme val="minor"/>
    </font>
    <font>
      <sz val="10"/>
      <color theme="1"/>
      <name val="Calibri"/>
      <family val="2"/>
      <scheme val="minor"/>
    </font>
    <font>
      <sz val="11"/>
      <color theme="1"/>
      <name val="Calibri"/>
      <family val="2"/>
      <scheme val="minor"/>
    </font>
    <font>
      <sz val="10"/>
      <name val="Arial"/>
      <family val="2"/>
    </font>
    <font>
      <sz val="10"/>
      <name val="Century Gothic"/>
      <family val="2"/>
    </font>
    <font>
      <b/>
      <sz val="12"/>
      <name val="Century Gothic"/>
      <family val="2"/>
    </font>
    <font>
      <b/>
      <sz val="18"/>
      <color indexed="9"/>
      <name val="Century Gothic"/>
      <family val="2"/>
    </font>
    <font>
      <b/>
      <sz val="10"/>
      <name val="Century Gothic"/>
      <family val="2"/>
    </font>
    <font>
      <b/>
      <sz val="18"/>
      <color indexed="22"/>
      <name val="Century Gothic"/>
      <family val="2"/>
    </font>
    <font>
      <sz val="10"/>
      <name val="Times New Roman"/>
      <family val="1"/>
    </font>
    <font>
      <b/>
      <sz val="10"/>
      <name val="Calibri"/>
      <family val="2"/>
    </font>
    <font>
      <sz val="10"/>
      <name val="Arial"/>
      <family val="2"/>
    </font>
    <font>
      <sz val="10"/>
      <name val="Times New Roman"/>
      <family val="1"/>
    </font>
    <font>
      <b/>
      <sz val="11"/>
      <color indexed="9"/>
      <name val="Century Gothic"/>
      <family val="2"/>
    </font>
    <font>
      <b/>
      <sz val="12"/>
      <color indexed="25"/>
      <name val="Century Gothic"/>
      <family val="2"/>
    </font>
    <font>
      <b/>
      <sz val="10"/>
      <name val="Times New Roman"/>
      <family val="1"/>
    </font>
    <font>
      <b/>
      <sz val="11"/>
      <color indexed="9"/>
      <name val="Times New Roman"/>
      <family val="1"/>
    </font>
    <font>
      <b/>
      <sz val="10"/>
      <name val="Arial"/>
      <family val="2"/>
    </font>
    <font>
      <sz val="10"/>
      <name val="Calibri"/>
      <family val="2"/>
    </font>
    <font>
      <b/>
      <sz val="10"/>
      <name val="Calibri"/>
      <family val="2"/>
      <scheme val="minor"/>
    </font>
    <font>
      <sz val="10"/>
      <name val="Calibri"/>
      <family val="2"/>
      <scheme val="minor"/>
    </font>
    <font>
      <sz val="10"/>
      <color theme="0"/>
      <name val="Calibri"/>
      <family val="2"/>
      <scheme val="minor"/>
    </font>
    <font>
      <b/>
      <i/>
      <sz val="10"/>
      <color rgb="FFFF0000"/>
      <name val="Calibri"/>
      <family val="2"/>
      <scheme val="minor"/>
    </font>
    <font>
      <b/>
      <i/>
      <sz val="10"/>
      <name val="Calibri"/>
      <family val="2"/>
      <scheme val="minor"/>
    </font>
    <font>
      <i/>
      <sz val="10"/>
      <color rgb="FFFF0000"/>
      <name val="Calibri"/>
      <family val="2"/>
      <scheme val="minor"/>
    </font>
    <font>
      <i/>
      <sz val="10"/>
      <name val="Calibri"/>
      <family val="2"/>
      <scheme val="minor"/>
    </font>
    <font>
      <b/>
      <sz val="10"/>
      <color rgb="FFFF0000"/>
      <name val="Calibri"/>
      <family val="2"/>
      <scheme val="minor"/>
    </font>
    <font>
      <b/>
      <sz val="11"/>
      <name val="Calibri"/>
      <family val="2"/>
      <scheme val="minor"/>
    </font>
    <font>
      <sz val="9"/>
      <name val="Calibri"/>
      <family val="2"/>
      <scheme val="minor"/>
    </font>
    <font>
      <b/>
      <sz val="9"/>
      <color indexed="25"/>
      <name val="Calibri"/>
      <family val="2"/>
      <scheme val="minor"/>
    </font>
    <font>
      <b/>
      <sz val="9"/>
      <name val="Calibri"/>
      <family val="2"/>
      <scheme val="minor"/>
    </font>
    <font>
      <b/>
      <sz val="11"/>
      <name val="Arial"/>
      <family val="2"/>
    </font>
    <font>
      <b/>
      <sz val="10"/>
      <color theme="0"/>
      <name val="Calibri"/>
      <family val="2"/>
      <scheme val="minor"/>
    </font>
    <font>
      <b/>
      <sz val="12"/>
      <color rgb="FF993366"/>
      <name val="Calibri"/>
      <family val="2"/>
      <scheme val="minor"/>
    </font>
    <font>
      <b/>
      <sz val="12"/>
      <name val="Calibri"/>
      <family val="2"/>
      <scheme val="minor"/>
    </font>
    <font>
      <sz val="10"/>
      <color rgb="FF993366"/>
      <name val="Calibri"/>
      <family val="2"/>
      <scheme val="minor"/>
    </font>
    <font>
      <i/>
      <sz val="9"/>
      <name val="Calibri"/>
      <family val="2"/>
      <scheme val="minor"/>
    </font>
    <font>
      <b/>
      <i/>
      <sz val="9"/>
      <name val="Calibri"/>
      <family val="2"/>
      <scheme val="minor"/>
    </font>
    <font>
      <b/>
      <sz val="10"/>
      <color rgb="FFFF0000"/>
      <name val="Calibri"/>
      <family val="2"/>
    </font>
    <font>
      <b/>
      <sz val="10"/>
      <color rgb="FFFF0000"/>
      <name val="Arial"/>
      <family val="2"/>
    </font>
    <font>
      <sz val="10"/>
      <color theme="1"/>
      <name val="Calibri"/>
      <family val="2"/>
    </font>
    <font>
      <b/>
      <sz val="10"/>
      <color theme="0"/>
      <name val="Calibri"/>
      <family val="2"/>
    </font>
    <font>
      <sz val="10"/>
      <color rgb="FFFF0000"/>
      <name val="Calibri"/>
      <family val="2"/>
      <scheme val="minor"/>
    </font>
    <font>
      <b/>
      <i/>
      <sz val="10"/>
      <name val="Arial"/>
      <family val="2"/>
    </font>
    <font>
      <sz val="8"/>
      <name val="Calibri"/>
      <family val="2"/>
      <scheme val="minor"/>
    </font>
    <font>
      <sz val="8"/>
      <color theme="1"/>
      <name val="Calibri"/>
      <family val="2"/>
      <scheme val="minor"/>
    </font>
    <font>
      <b/>
      <sz val="8"/>
      <name val="Calibri"/>
      <family val="2"/>
      <scheme val="minor"/>
    </font>
    <font>
      <i/>
      <sz val="8"/>
      <name val="Calibri"/>
      <family val="2"/>
      <scheme val="minor"/>
    </font>
    <font>
      <b/>
      <i/>
      <sz val="8"/>
      <name val="Calibri"/>
      <family val="2"/>
      <scheme val="minor"/>
    </font>
    <font>
      <u/>
      <sz val="10"/>
      <color theme="10"/>
      <name val="Times New Roman"/>
      <family val="1"/>
    </font>
    <font>
      <u/>
      <sz val="10"/>
      <color theme="10"/>
      <name val="Calibri"/>
      <family val="2"/>
      <scheme val="minor"/>
    </font>
    <font>
      <sz val="10"/>
      <color theme="0"/>
      <name val="Arial"/>
      <family val="2"/>
    </font>
    <font>
      <b/>
      <sz val="14"/>
      <name val="Century Gothic"/>
      <family val="2"/>
    </font>
    <font>
      <sz val="14"/>
      <name val="Times New Roman"/>
      <family val="1"/>
    </font>
    <font>
      <i/>
      <sz val="14"/>
      <name val="Calibri"/>
      <family val="2"/>
      <scheme val="minor"/>
    </font>
    <font>
      <b/>
      <sz val="18"/>
      <color theme="0"/>
      <name val="Century Gothic"/>
      <family val="2"/>
    </font>
    <font>
      <i/>
      <sz val="10"/>
      <name val="Times New Roman"/>
      <family val="1"/>
    </font>
    <font>
      <b/>
      <sz val="10"/>
      <color indexed="9"/>
      <name val="Calibri"/>
      <family val="2"/>
      <scheme val="minor"/>
    </font>
    <font>
      <b/>
      <sz val="9"/>
      <color rgb="FFFF0000"/>
      <name val="Calibri"/>
      <family val="2"/>
      <scheme val="minor"/>
    </font>
    <font>
      <b/>
      <i/>
      <sz val="9"/>
      <color theme="0"/>
      <name val="Calibri"/>
      <family val="2"/>
      <scheme val="minor"/>
    </font>
    <font>
      <i/>
      <sz val="11"/>
      <name val="Calibri"/>
      <family val="2"/>
      <scheme val="minor"/>
    </font>
    <font>
      <sz val="10"/>
      <color rgb="FFFF0000"/>
      <name val="Times New Roman"/>
      <family val="1"/>
    </font>
    <font>
      <i/>
      <sz val="10"/>
      <color theme="0" tint="-0.499984740745262"/>
      <name val="Arial"/>
      <family val="2"/>
    </font>
    <font>
      <b/>
      <i/>
      <sz val="9"/>
      <color rgb="FFFF0000"/>
      <name val="Calibri"/>
      <family val="2"/>
      <scheme val="minor"/>
    </font>
    <font>
      <b/>
      <sz val="10"/>
      <color rgb="FF993366"/>
      <name val="Calibri"/>
      <family val="2"/>
      <scheme val="minor"/>
    </font>
    <font>
      <u/>
      <sz val="10"/>
      <name val="Calibri"/>
      <family val="2"/>
      <scheme val="minor"/>
    </font>
    <font>
      <sz val="10"/>
      <color rgb="FF000000"/>
      <name val="Calibri"/>
      <family val="2"/>
      <scheme val="minor"/>
    </font>
    <font>
      <sz val="10"/>
      <color theme="1"/>
      <name val="Calibri"/>
      <family val="2"/>
      <scheme val="minor"/>
    </font>
    <font>
      <i/>
      <sz val="10"/>
      <color theme="1"/>
      <name val="Calibri"/>
      <family val="2"/>
      <scheme val="minor"/>
    </font>
    <font>
      <u/>
      <sz val="10"/>
      <color theme="1"/>
      <name val="Calibri"/>
      <family val="2"/>
      <scheme val="minor"/>
    </font>
    <font>
      <i/>
      <u/>
      <sz val="10"/>
      <color theme="1"/>
      <name val="Calibri"/>
      <family val="2"/>
      <scheme val="minor"/>
    </font>
    <font>
      <i/>
      <sz val="10"/>
      <color theme="1" tint="0.499984740745262"/>
      <name val="Calibri"/>
      <family val="2"/>
      <scheme val="minor"/>
    </font>
    <font>
      <sz val="8"/>
      <color rgb="FFFF0000"/>
      <name val="Calibri"/>
      <family val="2"/>
      <scheme val="minor"/>
    </font>
    <font>
      <b/>
      <sz val="10"/>
      <color theme="1"/>
      <name val="Calibri"/>
      <family val="2"/>
      <scheme val="minor"/>
    </font>
  </fonts>
  <fills count="31">
    <fill>
      <patternFill patternType="none"/>
    </fill>
    <fill>
      <patternFill patternType="gray125"/>
    </fill>
    <fill>
      <patternFill patternType="solid">
        <fgColor indexed="22"/>
        <bgColor indexed="64"/>
      </patternFill>
    </fill>
    <fill>
      <patternFill patternType="solid">
        <fgColor indexed="53"/>
        <bgColor indexed="64"/>
      </patternFill>
    </fill>
    <fill>
      <patternFill patternType="solid">
        <fgColor indexed="55"/>
        <bgColor indexed="64"/>
      </patternFill>
    </fill>
    <fill>
      <patternFill patternType="solid">
        <fgColor indexed="23"/>
        <bgColor indexed="64"/>
      </patternFill>
    </fill>
    <fill>
      <patternFill patternType="solid">
        <fgColor theme="6"/>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9"/>
        <bgColor indexed="64"/>
      </patternFill>
    </fill>
    <fill>
      <patternFill patternType="solid">
        <fgColor rgb="FFFF0000"/>
        <bgColor indexed="64"/>
      </patternFill>
    </fill>
    <fill>
      <patternFill patternType="solid">
        <fgColor rgb="FFFFC000"/>
        <bgColor indexed="64"/>
      </patternFill>
    </fill>
    <fill>
      <patternFill patternType="solid">
        <fgColor rgb="FF882345"/>
        <bgColor indexed="64"/>
      </patternFill>
    </fill>
    <fill>
      <patternFill patternType="solid">
        <fgColor rgb="FF9BBB59"/>
        <bgColor rgb="FF000000"/>
      </patternFill>
    </fill>
    <fill>
      <patternFill patternType="solid">
        <fgColor theme="4" tint="0.39997558519241921"/>
        <bgColor indexed="64"/>
      </patternFill>
    </fill>
    <fill>
      <patternFill patternType="solid">
        <fgColor theme="1" tint="0.499984740745262"/>
        <bgColor indexed="64"/>
      </patternFill>
    </fill>
    <fill>
      <patternFill patternType="solid">
        <fgColor rgb="FFFFC000"/>
        <bgColor rgb="FF000000"/>
      </patternFill>
    </fill>
    <fill>
      <patternFill patternType="solid">
        <fgColor rgb="FFC0C0C0"/>
        <bgColor rgb="FF000000"/>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theme="0" tint="-0.249977111117893"/>
        <bgColor rgb="FF000000"/>
      </patternFill>
    </fill>
    <fill>
      <patternFill patternType="solid">
        <fgColor rgb="FF99CC00"/>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bgColor indexed="64"/>
      </patternFill>
    </fill>
    <fill>
      <patternFill patternType="solid">
        <fgColor rgb="FFFFFF00"/>
        <bgColor indexed="64"/>
      </patternFill>
    </fill>
  </fills>
  <borders count="355">
    <border>
      <left/>
      <right/>
      <top/>
      <bottom/>
      <diagonal/>
    </border>
    <border>
      <left/>
      <right style="thin">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bottom style="thin">
        <color indexed="64"/>
      </bottom>
      <diagonal/>
    </border>
    <border>
      <left/>
      <right/>
      <top style="medium">
        <color indexed="64"/>
      </top>
      <bottom style="medium">
        <color indexed="64"/>
      </bottom>
      <diagonal/>
    </border>
    <border>
      <left/>
      <right/>
      <top/>
      <bottom style="hair">
        <color indexed="64"/>
      </bottom>
      <diagonal/>
    </border>
    <border>
      <left/>
      <right/>
      <top/>
      <bottom style="double">
        <color indexed="64"/>
      </bottom>
      <diagonal/>
    </border>
    <border>
      <left/>
      <right/>
      <top style="hair">
        <color indexed="64"/>
      </top>
      <bottom style="double">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10"/>
      </right>
      <top style="thin">
        <color indexed="64"/>
      </top>
      <bottom/>
      <diagonal/>
    </border>
    <border>
      <left/>
      <right style="medium">
        <color indexed="10"/>
      </right>
      <top style="hair">
        <color indexed="64"/>
      </top>
      <bottom style="hair">
        <color indexed="64"/>
      </bottom>
      <diagonal/>
    </border>
    <border>
      <left/>
      <right style="medium">
        <color indexed="10"/>
      </right>
      <top/>
      <bottom style="hair">
        <color indexed="64"/>
      </bottom>
      <diagonal/>
    </border>
    <border>
      <left/>
      <right style="medium">
        <color indexed="10"/>
      </right>
      <top/>
      <bottom/>
      <diagonal/>
    </border>
    <border>
      <left/>
      <right style="medium">
        <color indexed="10"/>
      </right>
      <top style="hair">
        <color indexed="64"/>
      </top>
      <bottom style="medium">
        <color indexed="64"/>
      </bottom>
      <diagonal/>
    </border>
    <border>
      <left/>
      <right style="medium">
        <color indexed="10"/>
      </right>
      <top style="thin">
        <color indexed="64"/>
      </top>
      <bottom style="hair">
        <color indexed="64"/>
      </bottom>
      <diagonal/>
    </border>
    <border>
      <left/>
      <right/>
      <top style="double">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10"/>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10"/>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hair">
        <color indexed="64"/>
      </top>
      <bottom style="thin">
        <color indexed="64"/>
      </bottom>
      <diagonal/>
    </border>
    <border>
      <left style="thin">
        <color indexed="64"/>
      </left>
      <right/>
      <top/>
      <bottom style="medium">
        <color indexed="64"/>
      </bottom>
      <diagonal/>
    </border>
    <border>
      <left style="medium">
        <color indexed="10"/>
      </left>
      <right style="medium">
        <color indexed="10"/>
      </right>
      <top style="medium">
        <color indexed="10"/>
      </top>
      <bottom style="medium">
        <color indexed="10"/>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style="thin">
        <color indexed="64"/>
      </top>
      <bottom style="double">
        <color indexed="64"/>
      </bottom>
      <diagonal/>
    </border>
    <border>
      <left/>
      <right/>
      <top style="double">
        <color indexed="64"/>
      </top>
      <bottom style="medium">
        <color indexed="64"/>
      </bottom>
      <diagonal/>
    </border>
    <border>
      <left/>
      <right style="thin">
        <color indexed="64"/>
      </right>
      <top style="medium">
        <color indexed="64"/>
      </top>
      <bottom style="medium">
        <color indexed="64"/>
      </bottom>
      <diagonal/>
    </border>
    <border>
      <left/>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right style="thin">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medium">
        <color indexed="10"/>
      </left>
      <right style="medium">
        <color indexed="10"/>
      </right>
      <top/>
      <bottom/>
      <diagonal/>
    </border>
    <border>
      <left style="medium">
        <color indexed="10"/>
      </left>
      <right style="medium">
        <color indexed="10"/>
      </right>
      <top style="medium">
        <color indexed="10"/>
      </top>
      <bottom/>
      <diagonal/>
    </border>
    <border>
      <left style="medium">
        <color indexed="10"/>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10"/>
      </left>
      <right style="thin">
        <color indexed="64"/>
      </right>
      <top/>
      <bottom style="hair">
        <color indexed="64"/>
      </bottom>
      <diagonal/>
    </border>
    <border>
      <left style="thin">
        <color indexed="64"/>
      </left>
      <right style="medium">
        <color indexed="10"/>
      </right>
      <top/>
      <bottom style="medium">
        <color indexed="64"/>
      </bottom>
      <diagonal/>
    </border>
    <border>
      <left style="medium">
        <color indexed="10"/>
      </left>
      <right style="thin">
        <color indexed="64"/>
      </right>
      <top style="hair">
        <color indexed="64"/>
      </top>
      <bottom style="medium">
        <color indexed="64"/>
      </bottom>
      <diagonal/>
    </border>
    <border>
      <left style="thin">
        <color indexed="64"/>
      </left>
      <right style="medium">
        <color indexed="10"/>
      </right>
      <top style="medium">
        <color indexed="64"/>
      </top>
      <bottom/>
      <diagonal/>
    </border>
    <border>
      <left style="medium">
        <color indexed="10"/>
      </left>
      <right style="medium">
        <color indexed="10"/>
      </right>
      <top style="medium">
        <color indexed="64"/>
      </top>
      <bottom style="medium">
        <color indexed="10"/>
      </bottom>
      <diagonal/>
    </border>
    <border>
      <left style="thin">
        <color indexed="64"/>
      </left>
      <right style="thin">
        <color indexed="64"/>
      </right>
      <top/>
      <bottom/>
      <diagonal/>
    </border>
    <border>
      <left/>
      <right style="thin">
        <color indexed="64"/>
      </right>
      <top/>
      <bottom style="medium">
        <color indexed="64"/>
      </bottom>
      <diagonal/>
    </border>
    <border>
      <left/>
      <right style="medium">
        <color indexed="64"/>
      </right>
      <top/>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thin">
        <color rgb="FFFF0000"/>
      </right>
      <top style="medium">
        <color indexed="64"/>
      </top>
      <bottom style="medium">
        <color rgb="FFFF0000"/>
      </bottom>
      <diagonal/>
    </border>
    <border>
      <left style="medium">
        <color rgb="FFFF0000"/>
      </left>
      <right style="thin">
        <color rgb="FFFF0000"/>
      </right>
      <top style="medium">
        <color rgb="FFFF0000"/>
      </top>
      <bottom style="medium">
        <color rgb="FFFF0000"/>
      </bottom>
      <diagonal/>
    </border>
    <border>
      <left style="thin">
        <color rgb="FFFF0000"/>
      </left>
      <right style="double">
        <color rgb="FFFF0000"/>
      </right>
      <top style="medium">
        <color indexed="64"/>
      </top>
      <bottom style="medium">
        <color rgb="FFFF0000"/>
      </bottom>
      <diagonal/>
    </border>
    <border>
      <left style="thin">
        <color rgb="FFFF0000"/>
      </left>
      <right style="double">
        <color rgb="FFFF0000"/>
      </right>
      <top style="medium">
        <color rgb="FFFF0000"/>
      </top>
      <bottom style="medium">
        <color rgb="FFFF0000"/>
      </bottom>
      <diagonal/>
    </border>
    <border>
      <left style="thin">
        <color rgb="FFFF0000"/>
      </left>
      <right/>
      <top style="medium">
        <color rgb="FFFF0000"/>
      </top>
      <bottom style="thin">
        <color rgb="FFFF0000"/>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double">
        <color rgb="FFFF0000"/>
      </right>
      <top style="medium">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double">
        <color rgb="FFFF0000"/>
      </right>
      <top style="thin">
        <color rgb="FFFF0000"/>
      </top>
      <bottom style="thin">
        <color rgb="FFFF0000"/>
      </bottom>
      <diagonal/>
    </border>
    <border>
      <left style="thin">
        <color rgb="FFFF0000"/>
      </left>
      <right/>
      <top style="thin">
        <color rgb="FFFF0000"/>
      </top>
      <bottom style="medium">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double">
        <color rgb="FFFF0000"/>
      </right>
      <top style="thin">
        <color rgb="FFFF0000"/>
      </top>
      <bottom style="medium">
        <color rgb="FFFF0000"/>
      </bottom>
      <diagonal/>
    </border>
    <border>
      <left style="thin">
        <color indexed="64"/>
      </left>
      <right style="double">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10"/>
      </right>
      <top style="thin">
        <color indexed="64"/>
      </top>
      <bottom/>
      <diagonal/>
    </border>
    <border>
      <left style="medium">
        <color indexed="10"/>
      </left>
      <right style="thin">
        <color indexed="64"/>
      </right>
      <top style="medium">
        <color indexed="64"/>
      </top>
      <bottom style="hair">
        <color indexed="10"/>
      </bottom>
      <diagonal/>
    </border>
    <border>
      <left style="thin">
        <color indexed="64"/>
      </left>
      <right style="thin">
        <color indexed="64"/>
      </right>
      <top style="medium">
        <color indexed="64"/>
      </top>
      <bottom style="hair">
        <color indexed="10"/>
      </bottom>
      <diagonal/>
    </border>
    <border>
      <left style="thin">
        <color indexed="64"/>
      </left>
      <right style="medium">
        <color indexed="64"/>
      </right>
      <top style="medium">
        <color indexed="64"/>
      </top>
      <bottom style="hair">
        <color indexed="10"/>
      </bottom>
      <diagonal/>
    </border>
    <border>
      <left style="medium">
        <color indexed="64"/>
      </left>
      <right style="medium">
        <color indexed="10"/>
      </right>
      <top/>
      <bottom style="hair">
        <color indexed="64"/>
      </bottom>
      <diagonal/>
    </border>
    <border>
      <left style="medium">
        <color indexed="64"/>
      </left>
      <right style="medium">
        <color indexed="64"/>
      </right>
      <top style="hair">
        <color auto="1"/>
      </top>
      <bottom/>
      <diagonal/>
    </border>
    <border>
      <left style="medium">
        <color indexed="64"/>
      </left>
      <right style="medium">
        <color indexed="10"/>
      </right>
      <top style="thin">
        <color indexed="64"/>
      </top>
      <bottom style="hair">
        <color indexed="64"/>
      </bottom>
      <diagonal/>
    </border>
    <border>
      <left style="medium">
        <color indexed="64"/>
      </left>
      <right style="medium">
        <color indexed="10"/>
      </right>
      <top/>
      <bottom/>
      <diagonal/>
    </border>
    <border>
      <left style="medium">
        <color indexed="64"/>
      </left>
      <right style="medium">
        <color indexed="64"/>
      </right>
      <top style="hair">
        <color auto="1"/>
      </top>
      <bottom style="hair">
        <color auto="1"/>
      </bottom>
      <diagonal/>
    </border>
    <border>
      <left style="medium">
        <color indexed="64"/>
      </left>
      <right style="medium">
        <color indexed="10"/>
      </right>
      <top style="hair">
        <color indexed="64"/>
      </top>
      <bottom style="medium">
        <color indexed="64"/>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medium">
        <color indexed="64"/>
      </left>
      <right/>
      <top style="thin">
        <color indexed="64"/>
      </top>
      <bottom style="medium">
        <color indexed="64"/>
      </bottom>
      <diagonal/>
    </border>
    <border>
      <left/>
      <right style="medium">
        <color indexed="10"/>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10"/>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medium">
        <color indexed="10"/>
      </right>
      <top style="hair">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hair">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auto="1"/>
      </left>
      <right/>
      <top style="medium">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double">
        <color rgb="FFFF0000"/>
      </bottom>
      <diagonal/>
    </border>
    <border>
      <left/>
      <right/>
      <top style="hair">
        <color indexed="64"/>
      </top>
      <bottom style="hair">
        <color indexed="64"/>
      </bottom>
      <diagonal/>
    </border>
    <border>
      <left/>
      <right/>
      <top style="double">
        <color auto="1"/>
      </top>
      <bottom/>
      <diagonal/>
    </border>
    <border>
      <left/>
      <right style="thin">
        <color indexed="64"/>
      </right>
      <top style="hair">
        <color indexed="64"/>
      </top>
      <bottom style="hair">
        <color indexed="64"/>
      </bottom>
      <diagonal/>
    </border>
    <border>
      <left/>
      <right/>
      <top style="hair">
        <color indexed="64"/>
      </top>
      <bottom style="double">
        <color auto="1"/>
      </bottom>
      <diagonal/>
    </border>
    <border>
      <left/>
      <right style="thin">
        <color indexed="64"/>
      </right>
      <top style="hair">
        <color indexed="64"/>
      </top>
      <bottom style="double">
        <color auto="1"/>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auto="1"/>
      </right>
      <top style="medium">
        <color auto="1"/>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medium">
        <color indexed="10"/>
      </right>
      <top style="hair">
        <color indexed="64"/>
      </top>
      <bottom style="hair">
        <color indexed="64"/>
      </bottom>
      <diagonal/>
    </border>
    <border>
      <left style="medium">
        <color indexed="10"/>
      </left>
      <right style="thin">
        <color indexed="64"/>
      </right>
      <top style="hair">
        <color indexed="10"/>
      </top>
      <bottom style="hair">
        <color indexed="10"/>
      </bottom>
      <diagonal/>
    </border>
    <border>
      <left style="thin">
        <color indexed="64"/>
      </left>
      <right style="thin">
        <color indexed="64"/>
      </right>
      <top style="hair">
        <color indexed="10"/>
      </top>
      <bottom style="hair">
        <color indexed="10"/>
      </bottom>
      <diagonal/>
    </border>
    <border>
      <left style="thin">
        <color indexed="64"/>
      </left>
      <right style="medium">
        <color indexed="64"/>
      </right>
      <top style="hair">
        <color indexed="10"/>
      </top>
      <bottom style="hair">
        <color indexed="10"/>
      </bottom>
      <diagonal/>
    </border>
    <border>
      <left style="medium">
        <color indexed="10"/>
      </left>
      <right style="thin">
        <color indexed="64"/>
      </right>
      <top style="hair">
        <color indexed="10"/>
      </top>
      <bottom style="medium">
        <color indexed="64"/>
      </bottom>
      <diagonal/>
    </border>
    <border>
      <left style="thin">
        <color indexed="64"/>
      </left>
      <right style="thin">
        <color indexed="64"/>
      </right>
      <top style="hair">
        <color indexed="10"/>
      </top>
      <bottom style="medium">
        <color indexed="64"/>
      </bottom>
      <diagonal/>
    </border>
    <border>
      <left style="thin">
        <color indexed="64"/>
      </left>
      <right style="medium">
        <color indexed="64"/>
      </right>
      <top style="hair">
        <color indexed="10"/>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10"/>
      </left>
      <right style="medium">
        <color indexed="10"/>
      </right>
      <top style="medium">
        <color indexed="10"/>
      </top>
      <bottom style="medium">
        <color indexed="10"/>
      </bottom>
      <diagonal/>
    </border>
    <border>
      <left style="medium">
        <color indexed="10"/>
      </left>
      <right style="medium">
        <color indexed="10"/>
      </right>
      <top style="medium">
        <color indexed="10"/>
      </top>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10"/>
      </left>
      <right style="thin">
        <color indexed="64"/>
      </right>
      <top/>
      <bottom style="hair">
        <color indexed="10"/>
      </bottom>
      <diagonal/>
    </border>
    <border>
      <left style="thin">
        <color indexed="64"/>
      </left>
      <right style="thin">
        <color indexed="64"/>
      </right>
      <top/>
      <bottom style="hair">
        <color indexed="10"/>
      </bottom>
      <diagonal/>
    </border>
    <border>
      <left style="thin">
        <color indexed="64"/>
      </left>
      <right style="medium">
        <color indexed="64"/>
      </right>
      <top/>
      <bottom style="hair">
        <color indexed="10"/>
      </bottom>
      <diagonal/>
    </border>
    <border>
      <left style="medium">
        <color indexed="10"/>
      </left>
      <right style="thin">
        <color indexed="64"/>
      </right>
      <top style="hair">
        <color indexed="10"/>
      </top>
      <bottom/>
      <diagonal/>
    </border>
    <border>
      <left style="thin">
        <color indexed="64"/>
      </left>
      <right style="thin">
        <color indexed="64"/>
      </right>
      <top style="hair">
        <color indexed="10"/>
      </top>
      <bottom/>
      <diagonal/>
    </border>
    <border>
      <left style="thin">
        <color indexed="64"/>
      </left>
      <right style="medium">
        <color indexed="64"/>
      </right>
      <top style="hair">
        <color indexed="10"/>
      </top>
      <bottom/>
      <diagonal/>
    </border>
    <border>
      <left style="medium">
        <color indexed="64"/>
      </left>
      <right style="medium">
        <color indexed="64"/>
      </right>
      <top style="hair">
        <color auto="1"/>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thin">
        <color auto="1"/>
      </left>
      <right style="thin">
        <color auto="1"/>
      </right>
      <top style="medium">
        <color auto="1"/>
      </top>
      <bottom style="thin">
        <color auto="1"/>
      </bottom>
      <diagonal/>
    </border>
    <border>
      <left style="thin">
        <color indexed="64"/>
      </left>
      <right style="thin">
        <color indexed="64"/>
      </right>
      <top style="hair">
        <color indexed="10"/>
      </top>
      <bottom style="hair">
        <color indexed="10"/>
      </bottom>
      <diagonal/>
    </border>
    <border>
      <left style="thin">
        <color indexed="64"/>
      </left>
      <right style="thin">
        <color indexed="64"/>
      </right>
      <top style="hair">
        <color indexed="10"/>
      </top>
      <bottom style="medium">
        <color indexed="64"/>
      </bottom>
      <diagonal/>
    </border>
    <border>
      <left/>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10"/>
      </bottom>
      <diagonal/>
    </border>
    <border>
      <left style="thin">
        <color indexed="64"/>
      </left>
      <right/>
      <top style="hair">
        <color indexed="10"/>
      </top>
      <bottom style="hair">
        <color indexed="10"/>
      </bottom>
      <diagonal/>
    </border>
    <border>
      <left style="thin">
        <color indexed="64"/>
      </left>
      <right/>
      <top style="hair">
        <color indexed="10"/>
      </top>
      <bottom style="medium">
        <color indexed="64"/>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medium">
        <color indexed="64"/>
      </left>
      <right style="medium">
        <color indexed="64"/>
      </right>
      <top style="hair">
        <color indexed="10"/>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hair">
        <color indexed="10"/>
      </bottom>
      <diagonal/>
    </border>
    <border>
      <left/>
      <right style="thin">
        <color indexed="64"/>
      </right>
      <top style="hair">
        <color indexed="10"/>
      </top>
      <bottom style="hair">
        <color indexed="10"/>
      </bottom>
      <diagonal/>
    </border>
    <border>
      <left/>
      <right style="thin">
        <color indexed="64"/>
      </right>
      <top style="hair">
        <color indexed="10"/>
      </top>
      <bottom style="medium">
        <color indexed="64"/>
      </bottom>
      <diagonal/>
    </border>
    <border>
      <left style="medium">
        <color indexed="64"/>
      </left>
      <right style="thin">
        <color indexed="64"/>
      </right>
      <top style="medium">
        <color indexed="64"/>
      </top>
      <bottom style="hair">
        <color indexed="10"/>
      </bottom>
      <diagonal/>
    </border>
    <border>
      <left style="medium">
        <color indexed="64"/>
      </left>
      <right style="thin">
        <color indexed="64"/>
      </right>
      <top style="hair">
        <color indexed="10"/>
      </top>
      <bottom style="hair">
        <color indexed="10"/>
      </bottom>
      <diagonal/>
    </border>
    <border>
      <left style="thin">
        <color indexed="64"/>
      </left>
      <right style="medium">
        <color indexed="64"/>
      </right>
      <top style="hair">
        <color indexed="10"/>
      </top>
      <bottom style="hair">
        <color indexed="10"/>
      </bottom>
      <diagonal/>
    </border>
    <border>
      <left style="medium">
        <color indexed="64"/>
      </left>
      <right style="thin">
        <color indexed="64"/>
      </right>
      <top style="hair">
        <color indexed="10"/>
      </top>
      <bottom style="medium">
        <color indexed="64"/>
      </bottom>
      <diagonal/>
    </border>
    <border>
      <left style="thin">
        <color indexed="64"/>
      </left>
      <right style="medium">
        <color indexed="64"/>
      </right>
      <top style="hair">
        <color indexed="10"/>
      </top>
      <bottom style="medium">
        <color indexed="64"/>
      </bottom>
      <diagonal/>
    </border>
    <border>
      <left style="thin">
        <color indexed="64"/>
      </left>
      <right/>
      <top/>
      <bottom style="hair">
        <color indexed="10"/>
      </bottom>
      <diagonal/>
    </border>
    <border>
      <left style="medium">
        <color indexed="64"/>
      </left>
      <right style="thin">
        <color indexed="64"/>
      </right>
      <top/>
      <bottom style="hair">
        <color indexed="10"/>
      </bottom>
      <diagonal/>
    </border>
    <border>
      <left/>
      <right style="thin">
        <color indexed="64"/>
      </right>
      <top/>
      <bottom style="hair">
        <color indexed="10"/>
      </bottom>
      <diagonal/>
    </border>
    <border>
      <left style="medium">
        <color indexed="64"/>
      </left>
      <right style="medium">
        <color indexed="64"/>
      </right>
      <top/>
      <bottom style="hair">
        <color indexed="10"/>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n">
        <color indexed="64"/>
      </left>
      <right style="double">
        <color indexed="64"/>
      </right>
      <top style="medium">
        <color indexed="64"/>
      </top>
      <bottom/>
      <diagonal/>
    </border>
    <border>
      <left style="medium">
        <color rgb="FFFF0000"/>
      </left>
      <right style="medium">
        <color rgb="FFFF0000"/>
      </right>
      <top style="medium">
        <color indexed="64"/>
      </top>
      <bottom style="thin">
        <color rgb="FFFF0000"/>
      </bottom>
      <diagonal/>
    </border>
    <border>
      <left style="thin">
        <color rgb="FFFF0000"/>
      </left>
      <right/>
      <top style="medium">
        <color indexed="64"/>
      </top>
      <bottom style="thin">
        <color rgb="FFFF0000"/>
      </bottom>
      <diagonal/>
    </border>
    <border>
      <left/>
      <right/>
      <top style="medium">
        <color indexed="64"/>
      </top>
      <bottom style="thin">
        <color rgb="FFFF0000"/>
      </bottom>
      <diagonal/>
    </border>
    <border>
      <left style="medium">
        <color rgb="FFFF0000"/>
      </left>
      <right style="thin">
        <color rgb="FFFF0000"/>
      </right>
      <top style="medium">
        <color indexed="64"/>
      </top>
      <bottom style="thin">
        <color rgb="FFFF0000"/>
      </bottom>
      <diagonal/>
    </border>
    <border>
      <left style="thin">
        <color rgb="FFFF0000"/>
      </left>
      <right style="thin">
        <color rgb="FFFF0000"/>
      </right>
      <top style="medium">
        <color indexed="64"/>
      </top>
      <bottom style="thin">
        <color rgb="FFFF0000"/>
      </bottom>
      <diagonal/>
    </border>
    <border>
      <left style="thin">
        <color rgb="FFFF0000"/>
      </left>
      <right style="double">
        <color rgb="FFFF0000"/>
      </right>
      <top style="medium">
        <color indexed="64"/>
      </top>
      <bottom style="thin">
        <color rgb="FFFF0000"/>
      </bottom>
      <diagonal/>
    </border>
    <border>
      <left style="medium">
        <color rgb="FFFF0000"/>
      </left>
      <right style="medium">
        <color rgb="FFFF0000"/>
      </right>
      <top style="thin">
        <color rgb="FFFF0000"/>
      </top>
      <bottom style="medium">
        <color indexed="64"/>
      </bottom>
      <diagonal/>
    </border>
    <border>
      <left style="thin">
        <color rgb="FFFF0000"/>
      </left>
      <right/>
      <top style="thin">
        <color rgb="FFFF0000"/>
      </top>
      <bottom style="medium">
        <color indexed="64"/>
      </bottom>
      <diagonal/>
    </border>
    <border>
      <left/>
      <right/>
      <top style="thin">
        <color rgb="FFFF0000"/>
      </top>
      <bottom style="medium">
        <color indexed="64"/>
      </bottom>
      <diagonal/>
    </border>
    <border>
      <left style="medium">
        <color rgb="FFFF0000"/>
      </left>
      <right style="thin">
        <color rgb="FFFF0000"/>
      </right>
      <top style="thin">
        <color rgb="FFFF0000"/>
      </top>
      <bottom style="medium">
        <color indexed="64"/>
      </bottom>
      <diagonal/>
    </border>
    <border>
      <left style="thin">
        <color rgb="FFFF0000"/>
      </left>
      <right style="thin">
        <color rgb="FFFF0000"/>
      </right>
      <top style="thin">
        <color rgb="FFFF0000"/>
      </top>
      <bottom style="medium">
        <color indexed="64"/>
      </bottom>
      <diagonal/>
    </border>
    <border>
      <left style="thin">
        <color rgb="FFFF0000"/>
      </left>
      <right style="double">
        <color rgb="FFFF0000"/>
      </right>
      <top style="thin">
        <color rgb="FFFF0000"/>
      </top>
      <bottom style="medium">
        <color indexed="64"/>
      </bottom>
      <diagonal/>
    </border>
    <border>
      <left style="thin">
        <color rgb="FFFF0000"/>
      </left>
      <right/>
      <top/>
      <bottom style="medium">
        <color rgb="FFFF0000"/>
      </bottom>
      <diagonal/>
    </border>
    <border>
      <left/>
      <right/>
      <top/>
      <bottom style="medium">
        <color rgb="FFFF0000"/>
      </bottom>
      <diagonal/>
    </border>
    <border>
      <left style="medium">
        <color rgb="FFFF0000"/>
      </left>
      <right style="thin">
        <color rgb="FFFF0000"/>
      </right>
      <top/>
      <bottom style="medium">
        <color rgb="FFFF0000"/>
      </bottom>
      <diagonal/>
    </border>
    <border>
      <left style="thin">
        <color rgb="FFFF0000"/>
      </left>
      <right style="thin">
        <color rgb="FFFF0000"/>
      </right>
      <top/>
      <bottom style="medium">
        <color rgb="FFFF0000"/>
      </bottom>
      <diagonal/>
    </border>
    <border>
      <left style="thin">
        <color rgb="FFFF0000"/>
      </left>
      <right style="double">
        <color rgb="FFFF0000"/>
      </right>
      <top/>
      <bottom style="medium">
        <color rgb="FFFF0000"/>
      </bottom>
      <diagonal/>
    </border>
    <border>
      <left style="medium">
        <color indexed="64"/>
      </left>
      <right/>
      <top style="medium">
        <color indexed="64"/>
      </top>
      <bottom/>
      <diagonal/>
    </border>
    <border>
      <left/>
      <right/>
      <top style="hair">
        <color indexed="64"/>
      </top>
      <bottom/>
      <diagonal/>
    </border>
    <border>
      <left style="double">
        <color rgb="FFFF0000"/>
      </left>
      <right style="thin">
        <color auto="1"/>
      </right>
      <top style="medium">
        <color indexed="64"/>
      </top>
      <bottom style="medium">
        <color indexed="64"/>
      </bottom>
      <diagonal/>
    </border>
    <border>
      <left style="double">
        <color rgb="FFFF0000"/>
      </left>
      <right style="thin">
        <color auto="1"/>
      </right>
      <top style="medium">
        <color indexed="64"/>
      </top>
      <bottom style="thin">
        <color auto="1"/>
      </bottom>
      <diagonal/>
    </border>
    <border>
      <left style="double">
        <color rgb="FFFF0000"/>
      </left>
      <right style="thin">
        <color auto="1"/>
      </right>
      <top style="thin">
        <color auto="1"/>
      </top>
      <bottom style="thin">
        <color auto="1"/>
      </bottom>
      <diagonal/>
    </border>
    <border>
      <left style="double">
        <color rgb="FFFF0000"/>
      </left>
      <right style="thin">
        <color auto="1"/>
      </right>
      <top style="thin">
        <color auto="1"/>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hair">
        <color indexed="64"/>
      </top>
      <bottom/>
      <diagonal/>
    </border>
    <border>
      <left/>
      <right style="thin">
        <color auto="1"/>
      </right>
      <top style="medium">
        <color auto="1"/>
      </top>
      <bottom style="thin">
        <color auto="1"/>
      </bottom>
      <diagonal/>
    </border>
    <border>
      <left style="medium">
        <color auto="1"/>
      </left>
      <right style="thin">
        <color auto="1"/>
      </right>
      <top style="medium">
        <color auto="1"/>
      </top>
      <bottom/>
      <diagonal/>
    </border>
    <border>
      <left style="thin">
        <color auto="1"/>
      </left>
      <right/>
      <top style="medium">
        <color auto="1"/>
      </top>
      <bottom style="thin">
        <color auto="1"/>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10"/>
      </right>
      <top style="medium">
        <color indexed="64"/>
      </top>
      <bottom style="hair">
        <color indexed="64"/>
      </bottom>
      <diagonal/>
    </border>
    <border>
      <left style="medium">
        <color indexed="10"/>
      </left>
      <right style="medium">
        <color indexed="10"/>
      </right>
      <top style="medium">
        <color indexed="10"/>
      </top>
      <bottom style="medium">
        <color indexed="10"/>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10"/>
      </right>
      <top style="medium">
        <color indexed="10"/>
      </top>
      <bottom style="medium">
        <color indexed="10"/>
      </bottom>
      <diagonal/>
    </border>
    <border>
      <left style="medium">
        <color indexed="64"/>
      </left>
      <right style="medium">
        <color indexed="10"/>
      </right>
      <top style="medium">
        <color indexed="10"/>
      </top>
      <bottom style="medium">
        <color indexed="64"/>
      </bottom>
      <diagonal/>
    </border>
    <border>
      <left style="medium">
        <color indexed="10"/>
      </left>
      <right style="medium">
        <color indexed="10"/>
      </right>
      <top style="medium">
        <color indexed="10"/>
      </top>
      <bottom style="medium">
        <color indexed="64"/>
      </bottom>
      <diagonal/>
    </border>
    <border>
      <left style="medium">
        <color indexed="64"/>
      </left>
      <right style="medium">
        <color indexed="10"/>
      </right>
      <top style="medium">
        <color indexed="64"/>
      </top>
      <bottom style="hair">
        <color rgb="FFFF0000"/>
      </bottom>
      <diagonal/>
    </border>
    <border>
      <left style="medium">
        <color indexed="64"/>
      </left>
      <right style="medium">
        <color indexed="10"/>
      </right>
      <top style="hair">
        <color rgb="FFFF0000"/>
      </top>
      <bottom style="hair">
        <color rgb="FFFF0000"/>
      </bottom>
      <diagonal/>
    </border>
    <border>
      <left style="medium">
        <color indexed="64"/>
      </left>
      <right style="medium">
        <color indexed="10"/>
      </right>
      <top style="hair">
        <color rgb="FFFF0000"/>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s>
  <cellStyleXfs count="19">
    <xf numFmtId="0" fontId="0" fillId="0" borderId="0"/>
    <xf numFmtId="164" fontId="13" fillId="0" borderId="0" applyFont="0" applyFill="0" applyBorder="0" applyAlignment="0" applyProtection="0"/>
    <xf numFmtId="164" fontId="13" fillId="0" borderId="0" applyFont="0" applyFill="0" applyBorder="0" applyAlignment="0" applyProtection="0"/>
    <xf numFmtId="0" fontId="10" fillId="0" borderId="0"/>
    <xf numFmtId="0" fontId="13" fillId="0" borderId="0"/>
    <xf numFmtId="9" fontId="4" fillId="0" borderId="0" applyFont="0" applyFill="0" applyBorder="0" applyAlignment="0" applyProtection="0"/>
    <xf numFmtId="9" fontId="13" fillId="0" borderId="0" applyFont="0" applyFill="0" applyBorder="0" applyAlignment="0" applyProtection="0"/>
    <xf numFmtId="0" fontId="4" fillId="0" borderId="0"/>
    <xf numFmtId="169" fontId="4" fillId="0" borderId="0" applyFont="0" applyFill="0" applyBorder="0" applyAlignment="0" applyProtection="0"/>
    <xf numFmtId="0" fontId="4" fillId="0" borderId="0"/>
    <xf numFmtId="0" fontId="10" fillId="0" borderId="0"/>
    <xf numFmtId="0" fontId="50" fillId="0" borderId="0" applyNumberFormat="0" applyFill="0" applyBorder="0" applyAlignment="0" applyProtection="0">
      <alignment vertical="top"/>
      <protection locked="0"/>
    </xf>
    <xf numFmtId="164" fontId="10" fillId="0" borderId="0" applyFont="0" applyFill="0" applyBorder="0" applyAlignment="0" applyProtection="0"/>
    <xf numFmtId="164" fontId="10" fillId="0" borderId="0" applyFont="0" applyFill="0" applyBorder="0" applyAlignment="0" applyProtection="0"/>
    <xf numFmtId="0" fontId="10" fillId="0" borderId="0"/>
    <xf numFmtId="9" fontId="10" fillId="0" borderId="0" applyFont="0" applyFill="0" applyBorder="0" applyAlignment="0" applyProtection="0"/>
    <xf numFmtId="0" fontId="4" fillId="0" borderId="0"/>
    <xf numFmtId="0" fontId="3" fillId="0" borderId="0"/>
    <xf numFmtId="9" fontId="3" fillId="0" borderId="0" applyFont="0" applyFill="0" applyBorder="0" applyAlignment="0" applyProtection="0"/>
  </cellStyleXfs>
  <cellXfs count="3332">
    <xf numFmtId="0" fontId="0" fillId="0" borderId="0" xfId="0"/>
    <xf numFmtId="0" fontId="5" fillId="0" borderId="0" xfId="0" applyFont="1"/>
    <xf numFmtId="0" fontId="5" fillId="0" borderId="0" xfId="0" applyFont="1" applyBorder="1"/>
    <xf numFmtId="0" fontId="5" fillId="0" borderId="1" xfId="0" applyFont="1" applyBorder="1"/>
    <xf numFmtId="0" fontId="10" fillId="0" borderId="0" xfId="3"/>
    <xf numFmtId="0" fontId="20" fillId="0" borderId="0" xfId="3" applyFont="1"/>
    <xf numFmtId="0" fontId="6" fillId="2" borderId="2" xfId="3" applyFont="1" applyFill="1" applyBorder="1" applyAlignment="1">
      <alignment horizontal="left" indent="1"/>
    </xf>
    <xf numFmtId="0" fontId="13" fillId="0" borderId="0" xfId="3" applyFont="1" applyBorder="1"/>
    <xf numFmtId="0" fontId="13" fillId="0" borderId="0" xfId="3" applyFont="1"/>
    <xf numFmtId="0" fontId="21" fillId="0" borderId="0" xfId="3" applyFont="1"/>
    <xf numFmtId="0" fontId="20" fillId="9" borderId="2" xfId="3" applyFont="1" applyFill="1" applyBorder="1" applyAlignment="1">
      <alignment horizontal="center" wrapText="1"/>
    </xf>
    <xf numFmtId="0" fontId="21" fillId="0" borderId="6" xfId="3" applyFont="1" applyFill="1" applyBorder="1" applyAlignment="1">
      <alignment horizontal="left" wrapText="1" indent="1"/>
    </xf>
    <xf numFmtId="49" fontId="21" fillId="0" borderId="6" xfId="3" applyNumberFormat="1" applyFont="1" applyFill="1" applyBorder="1" applyAlignment="1">
      <alignment horizontal="left" wrapText="1" indent="1"/>
    </xf>
    <xf numFmtId="0" fontId="21" fillId="0" borderId="7" xfId="3" applyFont="1" applyFill="1" applyBorder="1" applyAlignment="1">
      <alignment horizontal="left" wrapText="1" indent="1"/>
    </xf>
    <xf numFmtId="49" fontId="21" fillId="0" borderId="7" xfId="3" applyNumberFormat="1" applyFont="1" applyFill="1" applyBorder="1" applyAlignment="1">
      <alignment horizontal="left" wrapText="1" indent="1"/>
    </xf>
    <xf numFmtId="0" fontId="21" fillId="0" borderId="2" xfId="3" applyFont="1" applyFill="1" applyBorder="1" applyAlignment="1">
      <alignment horizontal="left" wrapText="1" indent="1"/>
    </xf>
    <xf numFmtId="49" fontId="21" fillId="0" borderId="2" xfId="3" applyNumberFormat="1" applyFont="1" applyFill="1" applyBorder="1" applyAlignment="1">
      <alignment horizontal="left" wrapText="1" indent="1"/>
    </xf>
    <xf numFmtId="0" fontId="10" fillId="0" borderId="0" xfId="3" applyBorder="1"/>
    <xf numFmtId="0" fontId="21" fillId="0" borderId="0" xfId="3" applyFont="1" applyAlignment="1">
      <alignment horizontal="left" wrapText="1"/>
    </xf>
    <xf numFmtId="0" fontId="23" fillId="0" borderId="0" xfId="3" applyFont="1" applyAlignment="1">
      <alignment vertical="top"/>
    </xf>
    <xf numFmtId="0" fontId="24" fillId="0" borderId="0" xfId="3" applyFont="1"/>
    <xf numFmtId="0" fontId="25" fillId="0" borderId="0" xfId="3" applyFont="1" applyAlignment="1">
      <alignment vertical="top"/>
    </xf>
    <xf numFmtId="0" fontId="26" fillId="0" borderId="0" xfId="3" applyFont="1"/>
    <xf numFmtId="0" fontId="5" fillId="0" borderId="0" xfId="3" applyFont="1"/>
    <xf numFmtId="0" fontId="5" fillId="0" borderId="0" xfId="3" applyFont="1" applyBorder="1"/>
    <xf numFmtId="0" fontId="14" fillId="5" borderId="8" xfId="3" applyFont="1" applyFill="1" applyBorder="1" applyAlignment="1">
      <alignment vertical="top"/>
    </xf>
    <xf numFmtId="0" fontId="24" fillId="0" borderId="0" xfId="3" applyFont="1" applyFill="1" applyBorder="1"/>
    <xf numFmtId="0" fontId="20" fillId="2" borderId="9" xfId="3" applyFont="1" applyFill="1" applyBorder="1" applyAlignment="1">
      <alignment horizontal="center"/>
    </xf>
    <xf numFmtId="0" fontId="21" fillId="0" borderId="0" xfId="3" applyFont="1" applyFill="1"/>
    <xf numFmtId="0" fontId="21" fillId="0" borderId="0" xfId="3" applyFont="1" applyBorder="1"/>
    <xf numFmtId="9" fontId="20" fillId="0" borderId="0" xfId="3" applyNumberFormat="1" applyFont="1"/>
    <xf numFmtId="0" fontId="20" fillId="0" borderId="13" xfId="3" applyFont="1" applyBorder="1"/>
    <xf numFmtId="0" fontId="20" fillId="2" borderId="14" xfId="3" applyFont="1" applyFill="1" applyBorder="1" applyAlignment="1">
      <alignment horizontal="center" vertical="center" wrapText="1"/>
    </xf>
    <xf numFmtId="0" fontId="20" fillId="2" borderId="15" xfId="3" applyFont="1" applyFill="1" applyBorder="1" applyAlignment="1">
      <alignment horizontal="center" vertical="center" wrapText="1"/>
    </xf>
    <xf numFmtId="0" fontId="20" fillId="2" borderId="16" xfId="3" applyFont="1" applyFill="1" applyBorder="1" applyAlignment="1">
      <alignment horizontal="center" vertical="center" wrapText="1"/>
    </xf>
    <xf numFmtId="0" fontId="21" fillId="0" borderId="17" xfId="3" applyFont="1" applyBorder="1" applyAlignment="1">
      <alignment vertical="center" wrapText="1"/>
    </xf>
    <xf numFmtId="0" fontId="21" fillId="0" borderId="17" xfId="3" applyFont="1" applyBorder="1" applyAlignment="1">
      <alignment vertical="center"/>
    </xf>
    <xf numFmtId="0" fontId="20" fillId="0" borderId="18" xfId="3" applyFont="1" applyBorder="1"/>
    <xf numFmtId="0" fontId="21" fillId="0" borderId="19" xfId="3" applyFont="1" applyBorder="1" applyAlignment="1">
      <alignment vertical="center" wrapText="1"/>
    </xf>
    <xf numFmtId="0" fontId="21" fillId="0" borderId="19" xfId="3" applyFont="1" applyBorder="1" applyAlignment="1">
      <alignment vertical="center"/>
    </xf>
    <xf numFmtId="0" fontId="21" fillId="0" borderId="20" xfId="3" applyFont="1" applyBorder="1" applyAlignment="1">
      <alignment vertical="center" wrapText="1"/>
    </xf>
    <xf numFmtId="0" fontId="21" fillId="0" borderId="20" xfId="3" applyFont="1" applyBorder="1" applyAlignment="1">
      <alignment vertical="center"/>
    </xf>
    <xf numFmtId="0" fontId="20" fillId="0" borderId="21" xfId="3" applyFont="1" applyBorder="1"/>
    <xf numFmtId="0" fontId="7" fillId="0" borderId="0" xfId="0" applyFont="1" applyFill="1" applyAlignment="1">
      <alignment vertical="center"/>
    </xf>
    <xf numFmtId="0" fontId="5" fillId="0" borderId="24" xfId="0" applyFont="1" applyBorder="1"/>
    <xf numFmtId="0" fontId="20" fillId="2" borderId="25" xfId="0" applyFont="1" applyFill="1" applyBorder="1" applyAlignment="1">
      <alignment horizontal="center" vertical="top" wrapText="1"/>
    </xf>
    <xf numFmtId="0" fontId="21" fillId="0" borderId="26" xfId="0" applyFont="1" applyBorder="1" applyAlignment="1">
      <alignment horizontal="left" vertical="top" indent="1"/>
    </xf>
    <xf numFmtId="0" fontId="21" fillId="0" borderId="27" xfId="0" applyFont="1" applyBorder="1" applyAlignment="1">
      <alignment horizontal="left" vertical="top" indent="1"/>
    </xf>
    <xf numFmtId="0" fontId="21" fillId="0" borderId="28" xfId="0" applyFont="1" applyFill="1" applyBorder="1" applyAlignment="1">
      <alignment horizontal="left" vertical="top" indent="1"/>
    </xf>
    <xf numFmtId="0" fontId="21" fillId="0" borderId="28" xfId="0" applyFont="1" applyBorder="1" applyAlignment="1">
      <alignment horizontal="left" vertical="top" indent="1"/>
    </xf>
    <xf numFmtId="0" fontId="21" fillId="0" borderId="29" xfId="0" applyFont="1" applyBorder="1" applyAlignment="1">
      <alignment horizontal="left" vertical="top" indent="1"/>
    </xf>
    <xf numFmtId="0" fontId="21" fillId="0" borderId="30" xfId="0" applyFont="1" applyBorder="1" applyAlignment="1">
      <alignment horizontal="left" vertical="top" indent="1"/>
    </xf>
    <xf numFmtId="0" fontId="21" fillId="0" borderId="31" xfId="0" applyFont="1" applyFill="1" applyBorder="1" applyAlignment="1">
      <alignment horizontal="left" vertical="top" indent="1"/>
    </xf>
    <xf numFmtId="0" fontId="21" fillId="0" borderId="31" xfId="0" applyFont="1" applyBorder="1" applyAlignment="1">
      <alignment horizontal="left" vertical="top" indent="1"/>
    </xf>
    <xf numFmtId="0" fontId="20" fillId="0" borderId="32" xfId="0" applyFont="1" applyBorder="1" applyAlignment="1">
      <alignment horizontal="right" vertical="top" indent="1"/>
    </xf>
    <xf numFmtId="0" fontId="20" fillId="0" borderId="33" xfId="3" applyFont="1" applyBorder="1"/>
    <xf numFmtId="0" fontId="21" fillId="0" borderId="9" xfId="3" applyFont="1" applyBorder="1"/>
    <xf numFmtId="0" fontId="21" fillId="0" borderId="34" xfId="3" applyFont="1" applyBorder="1"/>
    <xf numFmtId="0" fontId="20" fillId="2" borderId="35" xfId="0" applyFont="1" applyFill="1" applyBorder="1" applyAlignment="1">
      <alignment horizontal="center" vertical="top" wrapText="1"/>
    </xf>
    <xf numFmtId="0" fontId="21" fillId="0" borderId="36" xfId="0" applyFont="1" applyBorder="1" applyAlignment="1">
      <alignment horizontal="left" vertical="top" indent="1"/>
    </xf>
    <xf numFmtId="0" fontId="21" fillId="0" borderId="10" xfId="0" applyFont="1" applyBorder="1" applyAlignment="1">
      <alignment horizontal="left" vertical="top" indent="1"/>
    </xf>
    <xf numFmtId="0" fontId="24" fillId="0" borderId="0" xfId="0" applyFont="1" applyAlignment="1">
      <alignment vertical="top"/>
    </xf>
    <xf numFmtId="0" fontId="26" fillId="0" borderId="0" xfId="0" applyFont="1" applyAlignment="1">
      <alignment vertical="top"/>
    </xf>
    <xf numFmtId="0" fontId="20" fillId="0" borderId="0" xfId="0" applyFont="1" applyAlignment="1">
      <alignment vertical="top"/>
    </xf>
    <xf numFmtId="0" fontId="21" fillId="0" borderId="0" xfId="0" applyFont="1" applyAlignment="1">
      <alignment vertical="top"/>
    </xf>
    <xf numFmtId="0" fontId="21" fillId="0" borderId="39" xfId="0" applyFont="1" applyBorder="1" applyAlignment="1">
      <alignment horizontal="right" vertical="top" indent="1"/>
    </xf>
    <xf numFmtId="0" fontId="21" fillId="0" borderId="40" xfId="3" applyFont="1" applyBorder="1"/>
    <xf numFmtId="0" fontId="20" fillId="0" borderId="41" xfId="0" applyFont="1" applyBorder="1" applyAlignment="1">
      <alignment horizontal="right" vertical="top" indent="1"/>
    </xf>
    <xf numFmtId="10" fontId="20" fillId="0" borderId="42" xfId="0" applyNumberFormat="1" applyFont="1" applyBorder="1" applyAlignment="1">
      <alignment horizontal="right" vertical="top" indent="1"/>
    </xf>
    <xf numFmtId="0" fontId="21" fillId="0" borderId="46" xfId="3" applyFont="1" applyBorder="1" applyAlignment="1">
      <alignment horizontal="left" indent="1"/>
    </xf>
    <xf numFmtId="165" fontId="21" fillId="0" borderId="37" xfId="6" applyNumberFormat="1" applyFont="1" applyBorder="1"/>
    <xf numFmtId="0" fontId="21" fillId="0" borderId="47" xfId="3" applyFont="1" applyBorder="1" applyAlignment="1">
      <alignment horizontal="left" indent="1"/>
    </xf>
    <xf numFmtId="165" fontId="21" fillId="0" borderId="48" xfId="6" applyNumberFormat="1" applyFont="1" applyBorder="1"/>
    <xf numFmtId="0" fontId="20" fillId="0" borderId="50" xfId="3" applyFont="1" applyFill="1" applyBorder="1" applyAlignment="1">
      <alignment horizontal="right" indent="1"/>
    </xf>
    <xf numFmtId="0" fontId="21" fillId="0" borderId="44" xfId="3" applyFont="1" applyBorder="1" applyAlignment="1">
      <alignment horizontal="left" vertical="top" indent="1"/>
    </xf>
    <xf numFmtId="0" fontId="21" fillId="0" borderId="45" xfId="3" applyFont="1" applyBorder="1" applyAlignment="1">
      <alignment horizontal="right" vertical="top" indent="1"/>
    </xf>
    <xf numFmtId="0" fontId="21" fillId="0" borderId="52" xfId="3" applyFont="1" applyBorder="1" applyAlignment="1">
      <alignment horizontal="left" vertical="top" indent="1"/>
    </xf>
    <xf numFmtId="0" fontId="21" fillId="0" borderId="38" xfId="3" applyFont="1" applyBorder="1" applyAlignment="1">
      <alignment horizontal="right" vertical="top" indent="1"/>
    </xf>
    <xf numFmtId="0" fontId="21" fillId="0" borderId="46" xfId="3" applyFont="1" applyBorder="1" applyAlignment="1">
      <alignment horizontal="left" vertical="top" indent="1"/>
    </xf>
    <xf numFmtId="0" fontId="21" fillId="0" borderId="53" xfId="3" applyFont="1" applyBorder="1" applyAlignment="1">
      <alignment horizontal="left" indent="1"/>
    </xf>
    <xf numFmtId="0" fontId="21" fillId="0" borderId="54" xfId="3" applyFont="1" applyBorder="1" applyAlignment="1">
      <alignment horizontal="right" indent="1"/>
    </xf>
    <xf numFmtId="0" fontId="20" fillId="0" borderId="50" xfId="3" applyFont="1" applyBorder="1" applyAlignment="1">
      <alignment horizontal="right" indent="1"/>
    </xf>
    <xf numFmtId="0" fontId="21" fillId="0" borderId="8" xfId="3" applyFont="1" applyBorder="1"/>
    <xf numFmtId="0" fontId="20" fillId="0" borderId="49" xfId="3" applyFont="1" applyFill="1" applyBorder="1" applyAlignment="1">
      <alignment horizontal="right" indent="1"/>
    </xf>
    <xf numFmtId="0" fontId="24" fillId="0" borderId="0" xfId="3" applyFont="1" applyAlignment="1">
      <alignment vertical="top"/>
    </xf>
    <xf numFmtId="0" fontId="20" fillId="0" borderId="55" xfId="3" applyFont="1" applyBorder="1"/>
    <xf numFmtId="0" fontId="21" fillId="0" borderId="56" xfId="3" applyFont="1" applyBorder="1" applyAlignment="1">
      <alignment horizontal="left" vertical="center" indent="1"/>
    </xf>
    <xf numFmtId="0" fontId="21" fillId="0" borderId="17" xfId="3" applyFont="1" applyBorder="1" applyAlignment="1">
      <alignment horizontal="left" vertical="center" wrapText="1" indent="1"/>
    </xf>
    <xf numFmtId="0" fontId="21" fillId="0" borderId="57" xfId="3" applyFont="1" applyBorder="1" applyAlignment="1">
      <alignment horizontal="left" vertical="center" indent="1"/>
    </xf>
    <xf numFmtId="0" fontId="21" fillId="0" borderId="19" xfId="3" applyFont="1" applyBorder="1" applyAlignment="1">
      <alignment horizontal="left" vertical="center" wrapText="1" indent="1"/>
    </xf>
    <xf numFmtId="0" fontId="21" fillId="0" borderId="58" xfId="3" applyFont="1" applyBorder="1" applyAlignment="1">
      <alignment horizontal="left" vertical="center" indent="1"/>
    </xf>
    <xf numFmtId="0" fontId="21" fillId="0" borderId="20" xfId="3" applyFont="1" applyBorder="1" applyAlignment="1">
      <alignment horizontal="left" vertical="center" wrapText="1" indent="1"/>
    </xf>
    <xf numFmtId="0" fontId="20" fillId="0" borderId="60" xfId="3" applyFont="1" applyBorder="1"/>
    <xf numFmtId="0" fontId="21" fillId="0" borderId="62" xfId="3" applyFont="1" applyBorder="1" applyAlignment="1">
      <alignment horizontal="left" vertical="center" indent="1"/>
    </xf>
    <xf numFmtId="0" fontId="21" fillId="0" borderId="63" xfId="3" applyFont="1" applyBorder="1" applyAlignment="1">
      <alignment horizontal="left" vertical="center" wrapText="1" indent="1"/>
    </xf>
    <xf numFmtId="0" fontId="21" fillId="0" borderId="63" xfId="3" applyFont="1" applyBorder="1" applyAlignment="1">
      <alignment vertical="center"/>
    </xf>
    <xf numFmtId="0" fontId="21" fillId="0" borderId="63" xfId="3" applyFont="1" applyBorder="1" applyAlignment="1">
      <alignment vertical="center" wrapText="1"/>
    </xf>
    <xf numFmtId="0" fontId="20" fillId="0" borderId="64" xfId="3" applyFont="1" applyBorder="1" applyAlignment="1">
      <alignment horizontal="left" indent="1"/>
    </xf>
    <xf numFmtId="0" fontId="20" fillId="0" borderId="60" xfId="3" applyFont="1" applyBorder="1" applyAlignment="1">
      <alignment horizontal="left" indent="1"/>
    </xf>
    <xf numFmtId="0" fontId="20" fillId="0" borderId="61" xfId="3" applyFont="1" applyBorder="1" applyAlignment="1">
      <alignment horizontal="left" indent="1"/>
    </xf>
    <xf numFmtId="0" fontId="20" fillId="0" borderId="65" xfId="3" applyFont="1" applyBorder="1"/>
    <xf numFmtId="0" fontId="20" fillId="0" borderId="66" xfId="3" applyFont="1" applyBorder="1" applyAlignment="1">
      <alignment horizontal="left" indent="1"/>
    </xf>
    <xf numFmtId="0" fontId="21" fillId="0" borderId="67" xfId="3" applyFont="1" applyBorder="1" applyAlignment="1">
      <alignment horizontal="left" vertical="center" indent="1"/>
    </xf>
    <xf numFmtId="0" fontId="21" fillId="0" borderId="68" xfId="3" applyFont="1" applyBorder="1" applyAlignment="1">
      <alignment horizontal="left" vertical="center" wrapText="1" indent="1"/>
    </xf>
    <xf numFmtId="0" fontId="21" fillId="0" borderId="69" xfId="3" applyFont="1" applyBorder="1" applyAlignment="1">
      <alignment vertical="center" wrapText="1"/>
    </xf>
    <xf numFmtId="0" fontId="21" fillId="0" borderId="68" xfId="3" applyFont="1" applyBorder="1" applyAlignment="1">
      <alignment vertical="center" wrapText="1"/>
    </xf>
    <xf numFmtId="0" fontId="21" fillId="0" borderId="70" xfId="3" applyFont="1" applyBorder="1" applyAlignment="1">
      <alignment horizontal="left" vertical="center" indent="1"/>
    </xf>
    <xf numFmtId="0" fontId="21" fillId="0" borderId="71" xfId="3" applyFont="1" applyBorder="1" applyAlignment="1">
      <alignment horizontal="left" vertical="center" wrapText="1" indent="1"/>
    </xf>
    <xf numFmtId="0" fontId="21" fillId="0" borderId="71" xfId="3" applyFont="1" applyBorder="1" applyAlignment="1">
      <alignment vertical="center"/>
    </xf>
    <xf numFmtId="0" fontId="21" fillId="0" borderId="68" xfId="3" applyFont="1" applyBorder="1" applyAlignment="1">
      <alignment vertical="center"/>
    </xf>
    <xf numFmtId="0" fontId="21" fillId="6" borderId="44" xfId="3" applyFont="1" applyFill="1" applyBorder="1" applyAlignment="1" applyProtection="1">
      <alignment horizontal="right" vertical="center" indent="1"/>
      <protection locked="0"/>
    </xf>
    <xf numFmtId="0" fontId="21" fillId="6" borderId="52" xfId="3" applyFont="1" applyFill="1" applyBorder="1" applyAlignment="1" applyProtection="1">
      <alignment horizontal="right" vertical="center" indent="1"/>
      <protection locked="0"/>
    </xf>
    <xf numFmtId="0" fontId="21" fillId="6" borderId="46" xfId="3" applyFont="1" applyFill="1" applyBorder="1" applyAlignment="1" applyProtection="1">
      <alignment horizontal="right" vertical="center" indent="1"/>
      <protection locked="0"/>
    </xf>
    <xf numFmtId="0" fontId="21" fillId="0" borderId="17" xfId="3" applyFont="1" applyFill="1" applyBorder="1" applyAlignment="1" applyProtection="1">
      <alignment horizontal="right" vertical="center" indent="1"/>
    </xf>
    <xf numFmtId="0" fontId="21" fillId="0" borderId="19" xfId="3" applyFont="1" applyFill="1" applyBorder="1" applyAlignment="1" applyProtection="1">
      <alignment horizontal="right" vertical="center" indent="1"/>
    </xf>
    <xf numFmtId="0" fontId="21" fillId="0" borderId="20" xfId="3" applyFont="1" applyFill="1" applyBorder="1" applyAlignment="1" applyProtection="1">
      <alignment horizontal="right" vertical="center" indent="1"/>
    </xf>
    <xf numFmtId="0" fontId="21" fillId="0" borderId="68" xfId="3" applyFont="1" applyFill="1" applyBorder="1" applyAlignment="1" applyProtection="1">
      <alignment horizontal="right" vertical="center" indent="1"/>
    </xf>
    <xf numFmtId="0" fontId="21" fillId="0" borderId="63" xfId="3" applyFont="1" applyFill="1" applyBorder="1" applyAlignment="1" applyProtection="1">
      <alignment horizontal="right" vertical="center" indent="1"/>
    </xf>
    <xf numFmtId="0" fontId="20" fillId="9" borderId="13" xfId="3" applyFont="1" applyFill="1" applyBorder="1"/>
    <xf numFmtId="0" fontId="20" fillId="9" borderId="64" xfId="3" applyFont="1" applyFill="1" applyBorder="1"/>
    <xf numFmtId="0" fontId="21" fillId="2" borderId="72" xfId="0" applyFont="1" applyFill="1" applyBorder="1" applyAlignment="1">
      <alignment vertical="top" wrapText="1"/>
    </xf>
    <xf numFmtId="0" fontId="21" fillId="6" borderId="73" xfId="3" applyFont="1" applyFill="1" applyBorder="1" applyAlignment="1" applyProtection="1">
      <alignment horizontal="right" vertical="center" indent="1"/>
      <protection locked="0"/>
    </xf>
    <xf numFmtId="0" fontId="27" fillId="6" borderId="74" xfId="3" applyFont="1" applyFill="1" applyBorder="1" applyAlignment="1" applyProtection="1">
      <alignment horizontal="right" vertical="center" indent="1"/>
      <protection locked="0"/>
    </xf>
    <xf numFmtId="0" fontId="20" fillId="0" borderId="18" xfId="3" applyFont="1" applyBorder="1" applyAlignment="1">
      <alignment horizontal="left" indent="1"/>
    </xf>
    <xf numFmtId="0" fontId="21" fillId="0" borderId="0" xfId="0" applyFont="1" applyBorder="1" applyAlignment="1">
      <alignment horizontal="left" vertical="top" indent="1"/>
    </xf>
    <xf numFmtId="0" fontId="21" fillId="6" borderId="133" xfId="3" applyFont="1" applyFill="1" applyBorder="1"/>
    <xf numFmtId="0" fontId="20" fillId="2" borderId="76" xfId="3" applyFont="1" applyFill="1" applyBorder="1" applyAlignment="1">
      <alignment horizontal="center" wrapText="1"/>
    </xf>
    <xf numFmtId="0" fontId="20" fillId="2" borderId="77" xfId="0" applyFont="1" applyFill="1" applyBorder="1" applyAlignment="1">
      <alignment horizontal="center" vertical="top" wrapText="1"/>
    </xf>
    <xf numFmtId="0" fontId="20" fillId="2" borderId="78" xfId="0" applyFont="1" applyFill="1" applyBorder="1" applyAlignment="1">
      <alignment horizontal="center" vertical="center" wrapText="1"/>
    </xf>
    <xf numFmtId="0" fontId="6" fillId="2" borderId="2" xfId="4" applyFont="1" applyFill="1" applyBorder="1" applyAlignment="1">
      <alignment horizontal="left" indent="1"/>
    </xf>
    <xf numFmtId="0" fontId="13" fillId="0" borderId="0" xfId="4" applyFont="1" applyBorder="1"/>
    <xf numFmtId="0" fontId="13" fillId="0" borderId="0" xfId="4" applyFont="1"/>
    <xf numFmtId="0" fontId="21" fillId="0" borderId="0" xfId="4" applyFont="1"/>
    <xf numFmtId="0" fontId="20" fillId="2" borderId="9" xfId="4" applyFont="1" applyFill="1" applyBorder="1" applyAlignment="1">
      <alignment horizontal="center" vertical="center" wrapText="1"/>
    </xf>
    <xf numFmtId="0" fontId="20" fillId="0" borderId="0" xfId="4" applyFont="1"/>
    <xf numFmtId="0" fontId="21" fillId="0" borderId="2" xfId="4" applyFont="1" applyBorder="1"/>
    <xf numFmtId="0" fontId="17" fillId="5" borderId="8" xfId="4" applyFont="1" applyFill="1" applyBorder="1" applyAlignment="1">
      <alignment vertical="top"/>
    </xf>
    <xf numFmtId="0" fontId="17" fillId="0" borderId="0" xfId="4" applyFont="1" applyFill="1" applyBorder="1" applyAlignment="1">
      <alignment vertical="top"/>
    </xf>
    <xf numFmtId="0" fontId="20" fillId="2" borderId="9" xfId="4" applyFont="1" applyFill="1" applyBorder="1" applyAlignment="1">
      <alignment horizontal="center"/>
    </xf>
    <xf numFmtId="0" fontId="20" fillId="2" borderId="9" xfId="4" applyFont="1" applyFill="1" applyBorder="1" applyAlignment="1">
      <alignment horizontal="center" wrapText="1"/>
    </xf>
    <xf numFmtId="0" fontId="21" fillId="0" borderId="0" xfId="4" applyFont="1" applyAlignment="1">
      <alignment horizontal="center"/>
    </xf>
    <xf numFmtId="0" fontId="13" fillId="0" borderId="0" xfId="4" applyFont="1" applyAlignment="1">
      <alignment horizontal="center"/>
    </xf>
    <xf numFmtId="9" fontId="20" fillId="0" borderId="0" xfId="4" applyNumberFormat="1" applyFont="1"/>
    <xf numFmtId="1" fontId="20" fillId="0" borderId="0" xfId="4" applyNumberFormat="1" applyFont="1"/>
    <xf numFmtId="166" fontId="20" fillId="0" borderId="0" xfId="4" applyNumberFormat="1" applyFont="1" applyFill="1"/>
    <xf numFmtId="9" fontId="21" fillId="11" borderId="11" xfId="6" applyFont="1" applyFill="1" applyBorder="1" applyAlignment="1">
      <alignment vertical="top"/>
    </xf>
    <xf numFmtId="0" fontId="13" fillId="0" borderId="0" xfId="4"/>
    <xf numFmtId="0" fontId="20" fillId="0" borderId="2" xfId="4" applyFont="1" applyBorder="1" applyAlignment="1">
      <alignment horizontal="center"/>
    </xf>
    <xf numFmtId="9" fontId="21" fillId="3" borderId="2" xfId="4" applyNumberFormat="1" applyFont="1" applyFill="1" applyBorder="1" applyAlignment="1">
      <alignment horizontal="center"/>
    </xf>
    <xf numFmtId="0" fontId="21" fillId="0" borderId="8" xfId="4" applyFont="1" applyBorder="1"/>
    <xf numFmtId="0" fontId="20" fillId="2" borderId="81" xfId="4" applyFont="1" applyFill="1" applyBorder="1" applyAlignment="1">
      <alignment horizontal="center" vertical="center" wrapText="1"/>
    </xf>
    <xf numFmtId="0" fontId="20" fillId="2" borderId="14" xfId="4" applyFont="1" applyFill="1" applyBorder="1" applyAlignment="1">
      <alignment horizontal="center" vertical="center" wrapText="1"/>
    </xf>
    <xf numFmtId="0" fontId="20" fillId="2" borderId="15" xfId="4" applyFont="1" applyFill="1" applyBorder="1" applyAlignment="1">
      <alignment horizontal="center" vertical="center" wrapText="1"/>
    </xf>
    <xf numFmtId="0" fontId="20" fillId="2" borderId="84" xfId="4" applyFont="1" applyFill="1" applyBorder="1" applyAlignment="1">
      <alignment horizontal="center" vertical="center" wrapText="1"/>
    </xf>
    <xf numFmtId="0" fontId="21" fillId="0" borderId="56" xfId="4" applyFont="1" applyBorder="1" applyAlignment="1">
      <alignment vertical="center"/>
    </xf>
    <xf numFmtId="0" fontId="21" fillId="0" borderId="17" xfId="4" applyFont="1" applyBorder="1" applyAlignment="1">
      <alignment vertical="center"/>
    </xf>
    <xf numFmtId="0" fontId="21" fillId="0" borderId="57" xfId="4" applyFont="1" applyBorder="1" applyAlignment="1">
      <alignment vertical="center"/>
    </xf>
    <xf numFmtId="0" fontId="21" fillId="0" borderId="19" xfId="4" applyFont="1" applyBorder="1" applyAlignment="1">
      <alignment vertical="center"/>
    </xf>
    <xf numFmtId="0" fontId="21" fillId="0" borderId="59" xfId="4" applyFont="1" applyBorder="1" applyAlignment="1">
      <alignment vertical="center"/>
    </xf>
    <xf numFmtId="0" fontId="21" fillId="0" borderId="22" xfId="4" applyFont="1" applyBorder="1" applyAlignment="1">
      <alignment vertical="center"/>
    </xf>
    <xf numFmtId="0" fontId="21" fillId="0" borderId="0" xfId="4" applyFont="1" applyBorder="1"/>
    <xf numFmtId="0" fontId="20" fillId="2" borderId="85" xfId="4" applyFont="1" applyFill="1" applyBorder="1" applyAlignment="1">
      <alignment horizontal="center" vertical="center" wrapText="1"/>
    </xf>
    <xf numFmtId="0" fontId="21" fillId="0" borderId="17" xfId="4" applyFont="1" applyBorder="1" applyAlignment="1">
      <alignment vertical="center" wrapText="1"/>
    </xf>
    <xf numFmtId="0" fontId="21" fillId="0" borderId="86" xfId="4" applyFont="1" applyBorder="1" applyAlignment="1">
      <alignment vertical="center"/>
    </xf>
    <xf numFmtId="0" fontId="21" fillId="0" borderId="19" xfId="4" applyFont="1" applyBorder="1" applyAlignment="1">
      <alignment vertical="center" wrapText="1"/>
    </xf>
    <xf numFmtId="0" fontId="21" fillId="0" borderId="87" xfId="4" applyFont="1" applyBorder="1" applyAlignment="1">
      <alignment vertical="center"/>
    </xf>
    <xf numFmtId="0" fontId="21" fillId="0" borderId="58" xfId="4" applyFont="1" applyBorder="1" applyAlignment="1">
      <alignment vertical="center"/>
    </xf>
    <xf numFmtId="0" fontId="21" fillId="0" borderId="20" xfId="4" applyFont="1" applyBorder="1" applyAlignment="1">
      <alignment vertical="center" wrapText="1"/>
    </xf>
    <xf numFmtId="0" fontId="21" fillId="0" borderId="20" xfId="4" applyFont="1" applyBorder="1" applyAlignment="1">
      <alignment vertical="center"/>
    </xf>
    <xf numFmtId="0" fontId="21" fillId="0" borderId="88" xfId="4" applyFont="1" applyBorder="1" applyAlignment="1">
      <alignment vertical="center"/>
    </xf>
    <xf numFmtId="0" fontId="21" fillId="0" borderId="22" xfId="4" applyFont="1" applyBorder="1" applyAlignment="1">
      <alignment vertical="center" wrapText="1"/>
    </xf>
    <xf numFmtId="0" fontId="21" fillId="0" borderId="89" xfId="4" applyFont="1" applyBorder="1" applyAlignment="1">
      <alignment vertical="center"/>
    </xf>
    <xf numFmtId="0" fontId="21" fillId="0" borderId="0" xfId="4" applyFont="1" applyBorder="1" applyAlignment="1">
      <alignment vertical="center"/>
    </xf>
    <xf numFmtId="0" fontId="21" fillId="0" borderId="0" xfId="4" applyFont="1" applyBorder="1" applyAlignment="1">
      <alignment vertical="center" wrapText="1"/>
    </xf>
    <xf numFmtId="0" fontId="16" fillId="0" borderId="0" xfId="4" applyFont="1"/>
    <xf numFmtId="0" fontId="20" fillId="0" borderId="0" xfId="4" applyFont="1" applyBorder="1" applyAlignment="1">
      <alignment vertical="center"/>
    </xf>
    <xf numFmtId="0" fontId="21" fillId="0" borderId="90" xfId="4" applyFont="1" applyBorder="1" applyAlignment="1">
      <alignment vertical="center"/>
    </xf>
    <xf numFmtId="0" fontId="21" fillId="0" borderId="91" xfId="4" applyFont="1" applyBorder="1" applyAlignment="1">
      <alignment vertical="center" wrapText="1"/>
    </xf>
    <xf numFmtId="0" fontId="21" fillId="0" borderId="91" xfId="4" applyFont="1" applyFill="1" applyBorder="1" applyAlignment="1">
      <alignment vertical="center"/>
    </xf>
    <xf numFmtId="0" fontId="21" fillId="0" borderId="92" xfId="4" applyFont="1" applyBorder="1" applyAlignment="1">
      <alignment vertical="center"/>
    </xf>
    <xf numFmtId="0" fontId="21" fillId="0" borderId="93" xfId="4" applyFont="1" applyBorder="1" applyAlignment="1">
      <alignment vertical="center" wrapText="1"/>
    </xf>
    <xf numFmtId="0" fontId="21" fillId="0" borderId="93" xfId="4" applyFont="1" applyFill="1" applyBorder="1" applyAlignment="1">
      <alignment vertical="center"/>
    </xf>
    <xf numFmtId="0" fontId="21" fillId="0" borderId="91" xfId="4" applyFont="1" applyBorder="1" applyAlignment="1">
      <alignment vertical="center"/>
    </xf>
    <xf numFmtId="0" fontId="21" fillId="0" borderId="70" xfId="4" applyFont="1" applyBorder="1" applyAlignment="1">
      <alignment vertical="center"/>
    </xf>
    <xf numFmtId="0" fontId="21" fillId="0" borderId="71" xfId="4" applyFont="1" applyBorder="1" applyAlignment="1">
      <alignment vertical="center" wrapText="1"/>
    </xf>
    <xf numFmtId="0" fontId="21" fillId="0" borderId="71" xfId="4" applyFont="1" applyBorder="1" applyAlignment="1">
      <alignment vertical="center"/>
    </xf>
    <xf numFmtId="0" fontId="21" fillId="0" borderId="94" xfId="4" applyFont="1" applyFill="1" applyBorder="1" applyAlignment="1">
      <alignment vertical="center"/>
    </xf>
    <xf numFmtId="0" fontId="21" fillId="0" borderId="95" xfId="4" applyFont="1" applyFill="1" applyBorder="1" applyAlignment="1">
      <alignment vertical="center"/>
    </xf>
    <xf numFmtId="0" fontId="21" fillId="0" borderId="94" xfId="4" applyFont="1" applyBorder="1" applyAlignment="1">
      <alignment vertical="center"/>
    </xf>
    <xf numFmtId="0" fontId="21" fillId="0" borderId="96" xfId="4" applyFont="1" applyBorder="1" applyAlignment="1">
      <alignment vertical="center"/>
    </xf>
    <xf numFmtId="0" fontId="21" fillId="0" borderId="0" xfId="4" applyFont="1" applyAlignment="1"/>
    <xf numFmtId="0" fontId="20" fillId="0" borderId="33" xfId="4" applyFont="1" applyBorder="1" applyAlignment="1">
      <alignment vertical="center"/>
    </xf>
    <xf numFmtId="0" fontId="13" fillId="0" borderId="76" xfId="4" applyBorder="1"/>
    <xf numFmtId="0" fontId="20" fillId="0" borderId="13" xfId="4" applyFont="1" applyBorder="1"/>
    <xf numFmtId="0" fontId="20" fillId="0" borderId="18" xfId="4" applyFont="1" applyBorder="1"/>
    <xf numFmtId="0" fontId="20" fillId="0" borderId="21" xfId="4" applyFont="1" applyBorder="1"/>
    <xf numFmtId="9" fontId="21" fillId="3" borderId="9" xfId="4" applyNumberFormat="1" applyFont="1" applyFill="1" applyBorder="1" applyAlignment="1">
      <alignment horizontal="center"/>
    </xf>
    <xf numFmtId="0" fontId="20" fillId="9" borderId="9" xfId="4" applyFont="1" applyFill="1" applyBorder="1" applyAlignment="1">
      <alignment horizontal="center" vertical="center" wrapText="1"/>
    </xf>
    <xf numFmtId="0" fontId="21" fillId="9" borderId="6" xfId="4" applyFont="1" applyFill="1" applyBorder="1"/>
    <xf numFmtId="0" fontId="21" fillId="9" borderId="7" xfId="4" applyFont="1" applyFill="1" applyBorder="1"/>
    <xf numFmtId="0" fontId="21" fillId="9" borderId="82" xfId="4" applyFont="1" applyFill="1" applyBorder="1"/>
    <xf numFmtId="166" fontId="21" fillId="13" borderId="11" xfId="4" applyNumberFormat="1" applyFont="1" applyFill="1" applyBorder="1" applyAlignment="1">
      <alignment vertical="top"/>
    </xf>
    <xf numFmtId="10" fontId="20" fillId="11" borderId="0" xfId="5" applyNumberFormat="1" applyFont="1" applyFill="1"/>
    <xf numFmtId="166" fontId="21" fillId="0" borderId="12" xfId="4" applyNumberFormat="1" applyFont="1" applyBorder="1" applyAlignment="1">
      <alignment vertical="top"/>
    </xf>
    <xf numFmtId="166" fontId="20" fillId="4" borderId="11" xfId="4" applyNumberFormat="1" applyFont="1" applyFill="1" applyBorder="1" applyAlignment="1">
      <alignment horizontal="center"/>
    </xf>
    <xf numFmtId="0" fontId="21" fillId="0" borderId="6" xfId="4" applyFont="1" applyBorder="1" applyAlignment="1">
      <alignment horizontal="right" indent="1"/>
    </xf>
    <xf numFmtId="0" fontId="21" fillId="0" borderId="7" xfId="4" applyFont="1" applyBorder="1" applyAlignment="1">
      <alignment horizontal="right" indent="1"/>
    </xf>
    <xf numFmtId="0" fontId="21" fillId="0" borderId="82" xfId="4" applyFont="1" applyBorder="1" applyAlignment="1">
      <alignment horizontal="right" indent="1"/>
    </xf>
    <xf numFmtId="0" fontId="21" fillId="0" borderId="45" xfId="4" applyFont="1" applyBorder="1" applyAlignment="1">
      <alignment horizontal="right" indent="1"/>
    </xf>
    <xf numFmtId="166" fontId="21" fillId="0" borderId="6" xfId="4" applyNumberFormat="1" applyFont="1" applyBorder="1" applyAlignment="1">
      <alignment horizontal="right" indent="1"/>
    </xf>
    <xf numFmtId="0" fontId="21" fillId="0" borderId="37" xfId="4" applyFont="1" applyBorder="1" applyAlignment="1">
      <alignment horizontal="right" indent="1"/>
    </xf>
    <xf numFmtId="166" fontId="21" fillId="0" borderId="7" xfId="4" applyNumberFormat="1" applyFont="1" applyBorder="1" applyAlignment="1">
      <alignment horizontal="right" indent="1"/>
    </xf>
    <xf numFmtId="0" fontId="21" fillId="0" borderId="108" xfId="4" applyFont="1" applyBorder="1" applyAlignment="1">
      <alignment horizontal="right" indent="1"/>
    </xf>
    <xf numFmtId="166" fontId="21" fillId="0" borderId="82" xfId="4" applyNumberFormat="1" applyFont="1" applyBorder="1" applyAlignment="1">
      <alignment horizontal="right" indent="1"/>
    </xf>
    <xf numFmtId="166" fontId="21" fillId="0" borderId="57" xfId="4" applyNumberFormat="1" applyFont="1" applyBorder="1" applyAlignment="1">
      <alignment horizontal="right" indent="1"/>
    </xf>
    <xf numFmtId="166" fontId="21" fillId="0" borderId="19" xfId="4" applyNumberFormat="1" applyFont="1" applyBorder="1" applyAlignment="1">
      <alignment horizontal="right" indent="1"/>
    </xf>
    <xf numFmtId="166" fontId="20" fillId="0" borderId="109" xfId="4" applyNumberFormat="1" applyFont="1" applyBorder="1" applyAlignment="1">
      <alignment horizontal="right" indent="1"/>
    </xf>
    <xf numFmtId="166" fontId="21" fillId="0" borderId="58" xfId="4" applyNumberFormat="1" applyFont="1" applyBorder="1" applyAlignment="1">
      <alignment horizontal="right" indent="1"/>
    </xf>
    <xf numFmtId="166" fontId="21" fillId="0" borderId="20" xfId="4" applyNumberFormat="1" applyFont="1" applyBorder="1" applyAlignment="1">
      <alignment horizontal="right" indent="1"/>
    </xf>
    <xf numFmtId="166" fontId="20" fillId="0" borderId="110" xfId="4" applyNumberFormat="1" applyFont="1" applyBorder="1" applyAlignment="1">
      <alignment horizontal="right" indent="1"/>
    </xf>
    <xf numFmtId="166" fontId="21" fillId="12" borderId="58" xfId="4" applyNumberFormat="1" applyFont="1" applyFill="1" applyBorder="1" applyAlignment="1">
      <alignment horizontal="right" indent="1"/>
    </xf>
    <xf numFmtId="166" fontId="21" fillId="0" borderId="59" xfId="4" applyNumberFormat="1" applyFont="1" applyBorder="1" applyAlignment="1">
      <alignment horizontal="right" indent="1"/>
    </xf>
    <xf numFmtId="166" fontId="21" fillId="0" borderId="22" xfId="4" applyNumberFormat="1" applyFont="1" applyBorder="1" applyAlignment="1">
      <alignment horizontal="right" indent="1"/>
    </xf>
    <xf numFmtId="166" fontId="20" fillId="0" borderId="111" xfId="4" applyNumberFormat="1" applyFont="1" applyBorder="1" applyAlignment="1">
      <alignment horizontal="right" indent="1"/>
    </xf>
    <xf numFmtId="0" fontId="21" fillId="0" borderId="38" xfId="4" applyFont="1" applyBorder="1" applyAlignment="1">
      <alignment horizontal="right" indent="1"/>
    </xf>
    <xf numFmtId="0" fontId="21" fillId="0" borderId="113" xfId="4" applyFont="1" applyBorder="1" applyAlignment="1">
      <alignment horizontal="right" indent="1"/>
    </xf>
    <xf numFmtId="0" fontId="12" fillId="0" borderId="0" xfId="0" applyFont="1" applyAlignment="1">
      <alignment horizontal="left" indent="1"/>
    </xf>
    <xf numFmtId="0" fontId="21" fillId="0" borderId="0" xfId="3" applyFont="1" applyFill="1" applyBorder="1" applyAlignment="1" applyProtection="1">
      <alignment horizontal="right" vertical="center" indent="1"/>
      <protection locked="0"/>
    </xf>
    <xf numFmtId="0" fontId="27" fillId="0" borderId="0" xfId="3" applyFont="1" applyFill="1" applyBorder="1" applyAlignment="1" applyProtection="1">
      <alignment horizontal="right" vertical="center" indent="1"/>
      <protection locked="0"/>
    </xf>
    <xf numFmtId="0" fontId="10" fillId="0" borderId="0" xfId="3" applyFill="1"/>
    <xf numFmtId="166" fontId="20" fillId="9" borderId="114" xfId="3" applyNumberFormat="1" applyFont="1" applyFill="1" applyBorder="1" applyAlignment="1" applyProtection="1">
      <alignment horizontal="right" vertical="center" indent="1"/>
    </xf>
    <xf numFmtId="166" fontId="20" fillId="9" borderId="105" xfId="3" applyNumberFormat="1" applyFont="1" applyFill="1" applyBorder="1" applyAlignment="1" applyProtection="1">
      <alignment horizontal="right" vertical="center" indent="1"/>
    </xf>
    <xf numFmtId="166" fontId="20" fillId="9" borderId="106" xfId="3" applyNumberFormat="1" applyFont="1" applyFill="1" applyBorder="1" applyAlignment="1" applyProtection="1">
      <alignment horizontal="right" vertical="center" indent="1"/>
    </xf>
    <xf numFmtId="166" fontId="20" fillId="9" borderId="115" xfId="3" applyNumberFormat="1" applyFont="1" applyFill="1" applyBorder="1" applyAlignment="1" applyProtection="1">
      <alignment horizontal="right" vertical="center" indent="1"/>
    </xf>
    <xf numFmtId="166" fontId="20" fillId="9" borderId="116" xfId="3" applyNumberFormat="1" applyFont="1" applyFill="1" applyBorder="1" applyAlignment="1" applyProtection="1">
      <alignment horizontal="right" vertical="center" indent="1"/>
    </xf>
    <xf numFmtId="166" fontId="21" fillId="0" borderId="56" xfId="3" applyNumberFormat="1" applyFont="1" applyFill="1" applyBorder="1" applyAlignment="1" applyProtection="1">
      <alignment horizontal="right" vertical="center" indent="1"/>
    </xf>
    <xf numFmtId="166" fontId="21" fillId="0" borderId="57" xfId="3" applyNumberFormat="1" applyFont="1" applyFill="1" applyBorder="1" applyAlignment="1" applyProtection="1">
      <alignment horizontal="right" vertical="center" indent="1"/>
    </xf>
    <xf numFmtId="166" fontId="21" fillId="0" borderId="58" xfId="3" applyNumberFormat="1" applyFont="1" applyFill="1" applyBorder="1" applyAlignment="1" applyProtection="1">
      <alignment horizontal="right" vertical="center" indent="1"/>
    </xf>
    <xf numFmtId="166" fontId="21" fillId="0" borderId="67" xfId="3" applyNumberFormat="1" applyFont="1" applyFill="1" applyBorder="1" applyAlignment="1" applyProtection="1">
      <alignment horizontal="right" vertical="center" indent="1"/>
    </xf>
    <xf numFmtId="166" fontId="21" fillId="0" borderId="62" xfId="3" applyNumberFormat="1" applyFont="1" applyFill="1" applyBorder="1" applyAlignment="1" applyProtection="1">
      <alignment horizontal="right" vertical="center" indent="1"/>
    </xf>
    <xf numFmtId="166" fontId="21" fillId="0" borderId="44" xfId="3" applyNumberFormat="1" applyFont="1" applyFill="1" applyBorder="1" applyAlignment="1" applyProtection="1">
      <alignment horizontal="right" vertical="center" indent="1"/>
    </xf>
    <xf numFmtId="166" fontId="21" fillId="0" borderId="52" xfId="3" applyNumberFormat="1" applyFont="1" applyFill="1" applyBorder="1" applyAlignment="1" applyProtection="1">
      <alignment horizontal="right" vertical="center" indent="1"/>
    </xf>
    <xf numFmtId="166" fontId="21" fillId="0" borderId="46" xfId="3" applyNumberFormat="1" applyFont="1" applyFill="1" applyBorder="1" applyAlignment="1" applyProtection="1">
      <alignment horizontal="right" vertical="center" indent="1"/>
    </xf>
    <xf numFmtId="166" fontId="21" fillId="0" borderId="73" xfId="3" applyNumberFormat="1" applyFont="1" applyFill="1" applyBorder="1" applyAlignment="1" applyProtection="1">
      <alignment horizontal="right" vertical="center" indent="1"/>
    </xf>
    <xf numFmtId="166" fontId="21" fillId="0" borderId="117" xfId="3" applyNumberFormat="1" applyFont="1" applyFill="1" applyBorder="1" applyAlignment="1" applyProtection="1">
      <alignment horizontal="right" vertical="center" indent="1"/>
    </xf>
    <xf numFmtId="14" fontId="21" fillId="6" borderId="56" xfId="3" applyNumberFormat="1" applyFont="1" applyFill="1" applyBorder="1" applyAlignment="1" applyProtection="1">
      <alignment horizontal="right" vertical="center" indent="1"/>
    </xf>
    <xf numFmtId="14" fontId="21" fillId="6" borderId="112" xfId="3" applyNumberFormat="1" applyFont="1" applyFill="1" applyBorder="1" applyAlignment="1" applyProtection="1">
      <alignment horizontal="right" vertical="center" indent="1"/>
    </xf>
    <xf numFmtId="14" fontId="21" fillId="6" borderId="57" xfId="3" applyNumberFormat="1" applyFont="1" applyFill="1" applyBorder="1" applyAlignment="1" applyProtection="1">
      <alignment horizontal="right" vertical="center" indent="1"/>
    </xf>
    <xf numFmtId="14" fontId="21" fillId="6" borderId="109" xfId="3" applyNumberFormat="1" applyFont="1" applyFill="1" applyBorder="1" applyAlignment="1" applyProtection="1">
      <alignment horizontal="right" vertical="center" indent="1"/>
    </xf>
    <xf numFmtId="14" fontId="21" fillId="6" borderId="58" xfId="3" applyNumberFormat="1" applyFont="1" applyFill="1" applyBorder="1" applyAlignment="1" applyProtection="1">
      <alignment horizontal="right" vertical="center" indent="1"/>
    </xf>
    <xf numFmtId="14" fontId="21" fillId="6" borderId="110" xfId="3" applyNumberFormat="1" applyFont="1" applyFill="1" applyBorder="1" applyAlignment="1" applyProtection="1">
      <alignment horizontal="right" vertical="center" indent="1"/>
    </xf>
    <xf numFmtId="14" fontId="21" fillId="6" borderId="67" xfId="3" applyNumberFormat="1" applyFont="1" applyFill="1" applyBorder="1" applyAlignment="1" applyProtection="1">
      <alignment horizontal="right" vertical="center" indent="1"/>
    </xf>
    <xf numFmtId="14" fontId="21" fillId="6" borderId="118" xfId="3" applyNumberFormat="1" applyFont="1" applyFill="1" applyBorder="1" applyAlignment="1" applyProtection="1">
      <alignment horizontal="right" vertical="center" indent="1"/>
    </xf>
    <xf numFmtId="14" fontId="21" fillId="6" borderId="62" xfId="3" applyNumberFormat="1" applyFont="1" applyFill="1" applyBorder="1" applyAlignment="1" applyProtection="1">
      <alignment horizontal="right" vertical="center" indent="1"/>
    </xf>
    <xf numFmtId="14" fontId="21" fillId="6" borderId="119" xfId="3" applyNumberFormat="1" applyFont="1" applyFill="1" applyBorder="1" applyAlignment="1" applyProtection="1">
      <alignment horizontal="right" vertical="center" indent="1"/>
    </xf>
    <xf numFmtId="0" fontId="23" fillId="0" borderId="0" xfId="3" applyFont="1"/>
    <xf numFmtId="0" fontId="20" fillId="0" borderId="0" xfId="3" applyFont="1" applyFill="1" applyBorder="1"/>
    <xf numFmtId="0" fontId="20" fillId="0" borderId="0" xfId="3" applyFont="1" applyFill="1" applyBorder="1" applyAlignment="1">
      <alignment horizontal="left" indent="1"/>
    </xf>
    <xf numFmtId="0" fontId="21" fillId="0" borderId="0" xfId="3" applyFont="1" applyFill="1" applyBorder="1" applyAlignment="1">
      <alignment horizontal="left" vertical="center" indent="1"/>
    </xf>
    <xf numFmtId="0" fontId="21" fillId="0" borderId="0" xfId="3" applyFont="1" applyFill="1" applyBorder="1" applyAlignment="1">
      <alignment horizontal="left" vertical="center" wrapText="1" indent="1"/>
    </xf>
    <xf numFmtId="0" fontId="21" fillId="0" borderId="0" xfId="3" applyFont="1" applyFill="1" applyBorder="1" applyAlignment="1">
      <alignment vertical="center"/>
    </xf>
    <xf numFmtId="1" fontId="20" fillId="0" borderId="0" xfId="3" applyNumberFormat="1" applyFont="1" applyFill="1" applyBorder="1" applyAlignment="1" applyProtection="1">
      <alignment horizontal="right" vertical="center" indent="1"/>
      <protection locked="0"/>
    </xf>
    <xf numFmtId="0" fontId="21" fillId="0" borderId="0" xfId="3" applyFont="1" applyAlignment="1">
      <alignment horizontal="left" wrapText="1"/>
    </xf>
    <xf numFmtId="0" fontId="20" fillId="11" borderId="55" xfId="0" applyFont="1" applyFill="1" applyBorder="1" applyAlignment="1">
      <alignment horizontal="right" vertical="top" indent="1"/>
    </xf>
    <xf numFmtId="0" fontId="18" fillId="6" borderId="133" xfId="0" applyFont="1" applyFill="1" applyBorder="1" applyAlignment="1" applyProtection="1">
      <alignment horizontal="right" indent="1"/>
      <protection locked="0"/>
    </xf>
    <xf numFmtId="0" fontId="21" fillId="0" borderId="0" xfId="3" applyFont="1" applyAlignment="1">
      <alignment horizontal="left" indent="1"/>
    </xf>
    <xf numFmtId="0" fontId="21" fillId="0" borderId="0" xfId="3" applyFont="1" applyAlignment="1">
      <alignment horizontal="left" wrapText="1"/>
    </xf>
    <xf numFmtId="0" fontId="21" fillId="0" borderId="0" xfId="3" applyFont="1" applyAlignment="1">
      <alignment horizontal="left" wrapText="1"/>
    </xf>
    <xf numFmtId="0" fontId="21" fillId="0" borderId="10" xfId="0" applyFont="1" applyFill="1" applyBorder="1" applyAlignment="1">
      <alignment horizontal="left" vertical="top" indent="1"/>
    </xf>
    <xf numFmtId="10" fontId="20" fillId="6" borderId="133" xfId="5" applyNumberFormat="1" applyFont="1" applyFill="1" applyBorder="1" applyAlignment="1" applyProtection="1">
      <alignment horizontal="right" indent="1"/>
      <protection locked="0"/>
    </xf>
    <xf numFmtId="3" fontId="20" fillId="6" borderId="133" xfId="3" applyNumberFormat="1" applyFont="1" applyFill="1" applyBorder="1" applyAlignment="1" applyProtection="1">
      <alignment horizontal="right" vertical="center" indent="1"/>
      <protection locked="0"/>
    </xf>
    <xf numFmtId="3" fontId="20" fillId="0" borderId="42" xfId="0" applyNumberFormat="1" applyFont="1" applyBorder="1" applyAlignment="1">
      <alignment horizontal="right" vertical="top" indent="1"/>
    </xf>
    <xf numFmtId="0" fontId="20" fillId="6" borderId="17" xfId="3" applyFont="1" applyFill="1" applyBorder="1" applyAlignment="1" applyProtection="1">
      <alignment horizontal="right" vertical="center" indent="1"/>
      <protection locked="0"/>
    </xf>
    <xf numFmtId="0" fontId="20" fillId="6" borderId="19" xfId="3" applyFont="1" applyFill="1" applyBorder="1" applyAlignment="1" applyProtection="1">
      <alignment horizontal="right" vertical="center" indent="1"/>
      <protection locked="0"/>
    </xf>
    <xf numFmtId="0" fontId="20" fillId="6" borderId="71" xfId="3" applyFont="1" applyFill="1" applyBorder="1" applyAlignment="1" applyProtection="1">
      <alignment horizontal="right" vertical="center" indent="1"/>
      <protection locked="0"/>
    </xf>
    <xf numFmtId="0" fontId="21" fillId="0" borderId="0" xfId="3" applyFont="1" applyAlignment="1">
      <alignment horizontal="left" wrapText="1"/>
    </xf>
    <xf numFmtId="0" fontId="21" fillId="9" borderId="57" xfId="3" applyFont="1" applyFill="1" applyBorder="1" applyAlignment="1">
      <alignment horizontal="left" vertical="center" indent="1"/>
    </xf>
    <xf numFmtId="0" fontId="21" fillId="9" borderId="19" xfId="3" applyFont="1" applyFill="1" applyBorder="1" applyAlignment="1">
      <alignment horizontal="left" vertical="center" wrapText="1" indent="1"/>
    </xf>
    <xf numFmtId="0" fontId="21" fillId="9" borderId="19" xfId="3" applyFont="1" applyFill="1" applyBorder="1" applyAlignment="1">
      <alignment vertical="center"/>
    </xf>
    <xf numFmtId="0" fontId="21" fillId="9" borderId="19" xfId="3" applyFont="1" applyFill="1" applyBorder="1" applyAlignment="1">
      <alignment vertical="center" wrapText="1"/>
    </xf>
    <xf numFmtId="0" fontId="21" fillId="9" borderId="19" xfId="3" applyFont="1" applyFill="1" applyBorder="1" applyAlignment="1" applyProtection="1">
      <alignment horizontal="right" vertical="center" indent="1"/>
    </xf>
    <xf numFmtId="0" fontId="21" fillId="9" borderId="58" xfId="3" applyFont="1" applyFill="1" applyBorder="1" applyAlignment="1">
      <alignment horizontal="left" vertical="center" indent="1"/>
    </xf>
    <xf numFmtId="0" fontId="21" fillId="9" borderId="20" xfId="3" applyFont="1" applyFill="1" applyBorder="1" applyAlignment="1">
      <alignment horizontal="left" vertical="center" wrapText="1" indent="1"/>
    </xf>
    <xf numFmtId="0" fontId="21" fillId="9" borderId="20" xfId="3" applyFont="1" applyFill="1" applyBorder="1" applyAlignment="1">
      <alignment vertical="center" wrapText="1"/>
    </xf>
    <xf numFmtId="0" fontId="21" fillId="9" borderId="20" xfId="3" applyFont="1" applyFill="1" applyBorder="1" applyAlignment="1" applyProtection="1">
      <alignment horizontal="right" vertical="center" indent="1"/>
    </xf>
    <xf numFmtId="0" fontId="21" fillId="9" borderId="20" xfId="3" applyFont="1" applyFill="1" applyBorder="1" applyAlignment="1">
      <alignment vertical="center"/>
    </xf>
    <xf numFmtId="0" fontId="21" fillId="9" borderId="63" xfId="3" applyFont="1" applyFill="1" applyBorder="1" applyAlignment="1">
      <alignment horizontal="left" vertical="center" wrapText="1" indent="1"/>
    </xf>
    <xf numFmtId="0" fontId="21" fillId="9" borderId="63" xfId="3" applyFont="1" applyFill="1" applyBorder="1" applyAlignment="1" applyProtection="1">
      <alignment horizontal="right" vertical="center" indent="1"/>
    </xf>
    <xf numFmtId="0" fontId="21" fillId="9" borderId="67" xfId="3" applyFont="1" applyFill="1" applyBorder="1" applyAlignment="1">
      <alignment horizontal="left" vertical="center" indent="1"/>
    </xf>
    <xf numFmtId="0" fontId="21" fillId="9" borderId="68" xfId="3" applyFont="1" applyFill="1" applyBorder="1" applyAlignment="1">
      <alignment horizontal="left" vertical="center" wrapText="1" indent="1"/>
    </xf>
    <xf numFmtId="0" fontId="21" fillId="9" borderId="68" xfId="3" applyFont="1" applyFill="1" applyBorder="1" applyAlignment="1">
      <alignment vertical="center"/>
    </xf>
    <xf numFmtId="0" fontId="21" fillId="9" borderId="68" xfId="3" applyFont="1" applyFill="1" applyBorder="1" applyAlignment="1">
      <alignment vertical="center" wrapText="1"/>
    </xf>
    <xf numFmtId="0" fontId="21" fillId="9" borderId="68" xfId="3" applyFont="1" applyFill="1" applyBorder="1" applyAlignment="1" applyProtection="1">
      <alignment horizontal="right" vertical="center" indent="1"/>
    </xf>
    <xf numFmtId="0" fontId="21" fillId="9" borderId="62" xfId="3" applyFont="1" applyFill="1" applyBorder="1" applyAlignment="1">
      <alignment horizontal="left" vertical="center" indent="1"/>
    </xf>
    <xf numFmtId="0" fontId="21" fillId="9" borderId="63" xfId="3" applyFont="1" applyFill="1" applyBorder="1" applyAlignment="1">
      <alignment vertical="center"/>
    </xf>
    <xf numFmtId="0" fontId="21" fillId="9" borderId="63" xfId="3" applyFont="1" applyFill="1" applyBorder="1" applyAlignment="1">
      <alignment vertical="center" wrapText="1"/>
    </xf>
    <xf numFmtId="0" fontId="21" fillId="9" borderId="70" xfId="3" applyFont="1" applyFill="1" applyBorder="1" applyAlignment="1">
      <alignment horizontal="left" vertical="center" indent="1"/>
    </xf>
    <xf numFmtId="0" fontId="21" fillId="9" borderId="71" xfId="3" applyFont="1" applyFill="1" applyBorder="1" applyAlignment="1">
      <alignment horizontal="left" vertical="center" wrapText="1" indent="1"/>
    </xf>
    <xf numFmtId="0" fontId="21" fillId="9" borderId="71" xfId="3" applyFont="1" applyFill="1" applyBorder="1" applyAlignment="1">
      <alignment vertical="center"/>
    </xf>
    <xf numFmtId="0" fontId="20" fillId="0" borderId="17" xfId="3" applyFont="1" applyFill="1" applyBorder="1" applyAlignment="1" applyProtection="1">
      <alignment horizontal="right" vertical="center" indent="1"/>
    </xf>
    <xf numFmtId="0" fontId="21" fillId="0" borderId="44" xfId="3" applyFont="1" applyFill="1" applyBorder="1" applyAlignment="1" applyProtection="1">
      <alignment horizontal="right" vertical="center" indent="1"/>
    </xf>
    <xf numFmtId="0" fontId="20" fillId="9" borderId="19" xfId="3" applyFont="1" applyFill="1" applyBorder="1" applyAlignment="1" applyProtection="1">
      <alignment horizontal="right" vertical="center" indent="1"/>
    </xf>
    <xf numFmtId="0" fontId="21" fillId="9" borderId="52" xfId="3" applyFont="1" applyFill="1" applyBorder="1" applyAlignment="1" applyProtection="1">
      <alignment horizontal="right" vertical="center" indent="1"/>
    </xf>
    <xf numFmtId="0" fontId="20" fillId="0" borderId="20" xfId="3" applyFont="1" applyFill="1" applyBorder="1" applyAlignment="1" applyProtection="1">
      <alignment horizontal="right" vertical="center" indent="1"/>
    </xf>
    <xf numFmtId="0" fontId="21" fillId="0" borderId="46" xfId="3" applyFont="1" applyFill="1" applyBorder="1" applyAlignment="1" applyProtection="1">
      <alignment horizontal="right" vertical="center" indent="1"/>
    </xf>
    <xf numFmtId="0" fontId="20" fillId="9" borderId="68" xfId="3" applyFont="1" applyFill="1" applyBorder="1" applyAlignment="1" applyProtection="1">
      <alignment horizontal="right" vertical="center" indent="1"/>
    </xf>
    <xf numFmtId="0" fontId="21" fillId="9" borderId="73" xfId="3" applyFont="1" applyFill="1" applyBorder="1" applyAlignment="1" applyProtection="1">
      <alignment horizontal="right" vertical="center" indent="1"/>
    </xf>
    <xf numFmtId="0" fontId="20" fillId="0" borderId="19" xfId="3" applyFont="1" applyFill="1" applyBorder="1" applyAlignment="1" applyProtection="1">
      <alignment horizontal="right" vertical="center" indent="1"/>
    </xf>
    <xf numFmtId="0" fontId="21" fillId="0" borderId="52" xfId="3" applyFont="1" applyFill="1" applyBorder="1" applyAlignment="1" applyProtection="1">
      <alignment horizontal="right" vertical="center" indent="1"/>
    </xf>
    <xf numFmtId="0" fontId="20" fillId="9" borderId="71" xfId="3" applyFont="1" applyFill="1" applyBorder="1" applyAlignment="1" applyProtection="1">
      <alignment horizontal="right" vertical="center" indent="1"/>
    </xf>
    <xf numFmtId="0" fontId="27" fillId="9" borderId="74" xfId="3" applyFont="1" applyFill="1" applyBorder="1" applyAlignment="1" applyProtection="1">
      <alignment horizontal="right" vertical="center" indent="1"/>
    </xf>
    <xf numFmtId="0" fontId="21" fillId="0" borderId="73" xfId="3" applyFont="1" applyFill="1" applyBorder="1" applyAlignment="1" applyProtection="1">
      <alignment horizontal="right" vertical="center" indent="1"/>
    </xf>
    <xf numFmtId="0" fontId="21" fillId="0" borderId="71" xfId="3" applyFont="1" applyFill="1" applyBorder="1" applyAlignment="1" applyProtection="1">
      <alignment horizontal="right" vertical="center" indent="1"/>
    </xf>
    <xf numFmtId="0" fontId="27" fillId="0" borderId="74" xfId="3" applyFont="1" applyFill="1" applyBorder="1" applyAlignment="1" applyProtection="1">
      <alignment horizontal="right" vertical="center" indent="1"/>
    </xf>
    <xf numFmtId="0" fontId="20" fillId="6" borderId="135" xfId="3" applyFont="1" applyFill="1" applyBorder="1"/>
    <xf numFmtId="0" fontId="21" fillId="6" borderId="136" xfId="3" applyFont="1" applyFill="1" applyBorder="1"/>
    <xf numFmtId="0" fontId="21" fillId="6" borderId="137" xfId="3" applyFont="1" applyFill="1" applyBorder="1"/>
    <xf numFmtId="0" fontId="8" fillId="0" borderId="0" xfId="3" applyFont="1"/>
    <xf numFmtId="0" fontId="21" fillId="0" borderId="125" xfId="0" applyFont="1" applyFill="1" applyBorder="1" applyAlignment="1">
      <alignment horizontal="left" vertical="top" indent="1"/>
    </xf>
    <xf numFmtId="0" fontId="21" fillId="0" borderId="19" xfId="0" applyFont="1" applyFill="1" applyBorder="1" applyAlignment="1">
      <alignment horizontal="left" vertical="top" indent="1"/>
    </xf>
    <xf numFmtId="0" fontId="10" fillId="0" borderId="1" xfId="3" applyBorder="1"/>
    <xf numFmtId="0" fontId="10" fillId="0" borderId="126" xfId="3" applyBorder="1"/>
    <xf numFmtId="0" fontId="21" fillId="0" borderId="127" xfId="0" applyFont="1" applyFill="1" applyBorder="1" applyAlignment="1">
      <alignment horizontal="left" vertical="top" indent="1"/>
    </xf>
    <xf numFmtId="0" fontId="21" fillId="0" borderId="22" xfId="0" applyFont="1" applyFill="1" applyBorder="1" applyAlignment="1">
      <alignment horizontal="left" vertical="top" indent="1"/>
    </xf>
    <xf numFmtId="0" fontId="21" fillId="0" borderId="128" xfId="0" applyFont="1" applyFill="1" applyBorder="1" applyAlignment="1">
      <alignment horizontal="left" vertical="top" indent="1"/>
    </xf>
    <xf numFmtId="0" fontId="23" fillId="0" borderId="0" xfId="0" applyFont="1" applyAlignment="1">
      <alignment vertical="top"/>
    </xf>
    <xf numFmtId="0" fontId="25" fillId="0" borderId="0" xfId="0" applyFont="1" applyAlignment="1">
      <alignment vertical="top" wrapText="1"/>
    </xf>
    <xf numFmtId="0" fontId="20" fillId="2" borderId="16" xfId="3" applyFont="1" applyFill="1" applyBorder="1" applyAlignment="1" applyProtection="1">
      <alignment horizontal="center" vertical="center" wrapText="1"/>
    </xf>
    <xf numFmtId="0" fontId="21" fillId="0" borderId="44" xfId="3" applyFont="1" applyBorder="1" applyAlignment="1" applyProtection="1">
      <alignment vertical="center"/>
    </xf>
    <xf numFmtId="0" fontId="21" fillId="9" borderId="52" xfId="3" applyFont="1" applyFill="1" applyBorder="1" applyAlignment="1" applyProtection="1">
      <alignment vertical="center"/>
    </xf>
    <xf numFmtId="0" fontId="21" fillId="0" borderId="52" xfId="3" applyFont="1" applyBorder="1" applyAlignment="1" applyProtection="1">
      <alignment vertical="center"/>
    </xf>
    <xf numFmtId="0" fontId="21" fillId="0" borderId="46" xfId="3" applyFont="1" applyBorder="1" applyAlignment="1" applyProtection="1">
      <alignment vertical="center"/>
    </xf>
    <xf numFmtId="0" fontId="21" fillId="9" borderId="46" xfId="3" applyFont="1" applyFill="1" applyBorder="1" applyAlignment="1" applyProtection="1">
      <alignment vertical="center"/>
    </xf>
    <xf numFmtId="0" fontId="21" fillId="0" borderId="73" xfId="3" applyFont="1" applyBorder="1" applyAlignment="1" applyProtection="1">
      <alignment vertical="center"/>
    </xf>
    <xf numFmtId="0" fontId="21" fillId="0" borderId="117" xfId="3" applyFont="1" applyBorder="1" applyAlignment="1" applyProtection="1">
      <alignment vertical="center"/>
    </xf>
    <xf numFmtId="0" fontId="21" fillId="9" borderId="117" xfId="3" applyFont="1" applyFill="1" applyBorder="1" applyAlignment="1" applyProtection="1">
      <alignment vertical="center"/>
    </xf>
    <xf numFmtId="0" fontId="21" fillId="9" borderId="73" xfId="3" applyFont="1" applyFill="1" applyBorder="1" applyAlignment="1" applyProtection="1">
      <alignment vertical="center"/>
    </xf>
    <xf numFmtId="1" fontId="20" fillId="13" borderId="133" xfId="3" applyNumberFormat="1" applyFont="1" applyFill="1" applyBorder="1" applyAlignment="1" applyProtection="1">
      <alignment horizontal="right" vertical="center" wrapText="1" indent="1"/>
    </xf>
    <xf numFmtId="166" fontId="20" fillId="13" borderId="133" xfId="3" applyNumberFormat="1" applyFont="1" applyFill="1" applyBorder="1" applyAlignment="1" applyProtection="1">
      <alignment horizontal="right" vertical="center" wrapText="1" indent="1"/>
    </xf>
    <xf numFmtId="166" fontId="20" fillId="5" borderId="114" xfId="0" applyNumberFormat="1" applyFont="1" applyFill="1" applyBorder="1" applyAlignment="1" applyProtection="1">
      <alignment horizontal="right" vertical="center" indent="1"/>
    </xf>
    <xf numFmtId="166" fontId="20" fillId="5" borderId="105" xfId="0" applyNumberFormat="1" applyFont="1" applyFill="1" applyBorder="1" applyAlignment="1" applyProtection="1">
      <alignment horizontal="right" vertical="center" indent="1"/>
    </xf>
    <xf numFmtId="166" fontId="20" fillId="5" borderId="106" xfId="0" applyNumberFormat="1" applyFont="1" applyFill="1" applyBorder="1" applyAlignment="1" applyProtection="1">
      <alignment horizontal="right" vertical="center" indent="1"/>
    </xf>
    <xf numFmtId="0" fontId="20" fillId="2" borderId="77" xfId="0" applyFont="1" applyFill="1" applyBorder="1" applyAlignment="1" applyProtection="1">
      <alignment horizontal="center" vertical="top" wrapText="1"/>
    </xf>
    <xf numFmtId="0" fontId="20" fillId="5" borderId="55" xfId="0" applyFont="1" applyFill="1" applyBorder="1" applyAlignment="1" applyProtection="1">
      <alignment horizontal="center" vertical="center" wrapText="1"/>
    </xf>
    <xf numFmtId="166" fontId="20" fillId="5" borderId="107" xfId="0" applyNumberFormat="1" applyFont="1" applyFill="1" applyBorder="1" applyAlignment="1" applyProtection="1">
      <alignment horizontal="right" vertical="center" indent="1"/>
    </xf>
    <xf numFmtId="0" fontId="20" fillId="5" borderId="13" xfId="0" applyFont="1" applyFill="1" applyBorder="1" applyAlignment="1" applyProtection="1">
      <alignment horizontal="center" vertical="center" wrapText="1"/>
    </xf>
    <xf numFmtId="0" fontId="20" fillId="9" borderId="55" xfId="3" applyFont="1" applyFill="1" applyBorder="1" applyAlignment="1" applyProtection="1">
      <alignment horizontal="center" vertical="center" wrapText="1"/>
    </xf>
    <xf numFmtId="0" fontId="20" fillId="2" borderId="33" xfId="3" applyFont="1" applyFill="1" applyBorder="1" applyAlignment="1" applyProtection="1">
      <alignment horizontal="center" vertical="center" wrapText="1"/>
    </xf>
    <xf numFmtId="14" fontId="20" fillId="2" borderId="33" xfId="3" applyNumberFormat="1" applyFont="1" applyFill="1" applyBorder="1" applyAlignment="1" applyProtection="1">
      <alignment horizontal="center" vertical="center" wrapText="1"/>
    </xf>
    <xf numFmtId="14" fontId="20" fillId="2" borderId="84" xfId="3" applyNumberFormat="1" applyFont="1" applyFill="1" applyBorder="1" applyAlignment="1" applyProtection="1">
      <alignment horizontal="center" vertical="center" wrapText="1"/>
    </xf>
    <xf numFmtId="166" fontId="20" fillId="9" borderId="21" xfId="3" applyNumberFormat="1" applyFont="1" applyFill="1" applyBorder="1" applyAlignment="1" applyProtection="1">
      <alignment horizontal="right" vertical="center" indent="1"/>
    </xf>
    <xf numFmtId="166" fontId="21" fillId="0" borderId="70" xfId="3" applyNumberFormat="1" applyFont="1" applyFill="1" applyBorder="1" applyAlignment="1" applyProtection="1">
      <alignment horizontal="right" vertical="center" indent="1"/>
    </xf>
    <xf numFmtId="166" fontId="21" fillId="0" borderId="74" xfId="3" applyNumberFormat="1" applyFont="1" applyFill="1" applyBorder="1" applyAlignment="1" applyProtection="1">
      <alignment horizontal="right" vertical="center" indent="1"/>
    </xf>
    <xf numFmtId="14" fontId="21" fillId="6" borderId="70" xfId="3" applyNumberFormat="1" applyFont="1" applyFill="1" applyBorder="1" applyAlignment="1" applyProtection="1">
      <alignment horizontal="right" vertical="center" indent="1"/>
    </xf>
    <xf numFmtId="14" fontId="21" fillId="6" borderId="96" xfId="3" applyNumberFormat="1" applyFont="1" applyFill="1" applyBorder="1" applyAlignment="1" applyProtection="1">
      <alignment horizontal="right" vertical="center" indent="1"/>
    </xf>
    <xf numFmtId="0" fontId="18" fillId="0" borderId="0" xfId="0" applyFont="1" applyProtection="1"/>
    <xf numFmtId="0" fontId="0" fillId="0" borderId="0" xfId="0" applyProtection="1"/>
    <xf numFmtId="14" fontId="21" fillId="0" borderId="0" xfId="0" applyNumberFormat="1" applyFont="1" applyAlignment="1" applyProtection="1">
      <alignment horizontal="right" indent="1"/>
    </xf>
    <xf numFmtId="0" fontId="10" fillId="0" borderId="0" xfId="3" applyProtection="1"/>
    <xf numFmtId="0" fontId="14" fillId="5" borderId="8" xfId="3" applyFont="1" applyFill="1" applyBorder="1" applyAlignment="1" applyProtection="1">
      <alignment vertical="top"/>
    </xf>
    <xf numFmtId="0" fontId="16" fillId="0" borderId="0" xfId="3" applyFont="1" applyProtection="1"/>
    <xf numFmtId="14" fontId="21" fillId="0" borderId="0" xfId="3" applyNumberFormat="1" applyFont="1" applyAlignment="1" applyProtection="1">
      <alignment horizontal="right" indent="1"/>
    </xf>
    <xf numFmtId="0" fontId="20" fillId="0" borderId="55" xfId="3" applyFont="1" applyBorder="1" applyProtection="1"/>
    <xf numFmtId="0" fontId="21" fillId="2" borderId="72" xfId="0" applyFont="1" applyFill="1" applyBorder="1" applyAlignment="1" applyProtection="1">
      <alignment vertical="top" wrapText="1"/>
    </xf>
    <xf numFmtId="0" fontId="20" fillId="2" borderId="14" xfId="3" applyFont="1" applyFill="1" applyBorder="1" applyAlignment="1" applyProtection="1">
      <alignment horizontal="center" vertical="center" wrapText="1"/>
    </xf>
    <xf numFmtId="0" fontId="20" fillId="2" borderId="15" xfId="3" applyFont="1" applyFill="1" applyBorder="1" applyAlignment="1" applyProtection="1">
      <alignment horizontal="center" vertical="center" wrapText="1"/>
    </xf>
    <xf numFmtId="0" fontId="20" fillId="0" borderId="13" xfId="3" applyFont="1" applyBorder="1" applyProtection="1"/>
    <xf numFmtId="0" fontId="20" fillId="0" borderId="64" xfId="3" applyFont="1" applyBorder="1" applyAlignment="1" applyProtection="1">
      <alignment horizontal="left" indent="1"/>
    </xf>
    <xf numFmtId="0" fontId="21" fillId="0" borderId="56" xfId="3" applyFont="1" applyBorder="1" applyAlignment="1" applyProtection="1">
      <alignment horizontal="left" vertical="center" indent="1"/>
    </xf>
    <xf numFmtId="0" fontId="21" fillId="0" borderId="17" xfId="3" applyFont="1" applyBorder="1" applyAlignment="1" applyProtection="1">
      <alignment horizontal="left" vertical="center" wrapText="1" indent="1"/>
    </xf>
    <xf numFmtId="0" fontId="21" fillId="0" borderId="17" xfId="3" applyFont="1" applyBorder="1" applyAlignment="1" applyProtection="1">
      <alignment vertical="center"/>
    </xf>
    <xf numFmtId="0" fontId="21" fillId="0" borderId="17" xfId="3" applyFont="1" applyBorder="1" applyAlignment="1" applyProtection="1">
      <alignment vertical="center" wrapText="1"/>
    </xf>
    <xf numFmtId="0" fontId="21" fillId="0" borderId="17" xfId="3" applyFont="1" applyBorder="1" applyAlignment="1" applyProtection="1">
      <alignment horizontal="right" vertical="center" wrapText="1" indent="1"/>
    </xf>
    <xf numFmtId="0" fontId="21" fillId="0" borderId="44" xfId="3" applyFont="1" applyBorder="1" applyAlignment="1" applyProtection="1">
      <alignment horizontal="right" vertical="center" wrapText="1" indent="1"/>
    </xf>
    <xf numFmtId="0" fontId="20" fillId="0" borderId="18" xfId="3" applyFont="1" applyBorder="1" applyProtection="1"/>
    <xf numFmtId="0" fontId="20" fillId="0" borderId="60" xfId="3" applyFont="1" applyBorder="1" applyAlignment="1" applyProtection="1">
      <alignment horizontal="left" indent="1"/>
    </xf>
    <xf numFmtId="0" fontId="21" fillId="0" borderId="57" xfId="3" applyFont="1" applyBorder="1" applyAlignment="1" applyProtection="1">
      <alignment horizontal="left" vertical="center" indent="1"/>
    </xf>
    <xf numFmtId="0" fontId="21" fillId="0" borderId="19" xfId="3" applyFont="1" applyBorder="1" applyAlignment="1" applyProtection="1">
      <alignment horizontal="left" vertical="center" wrapText="1" indent="1"/>
    </xf>
    <xf numFmtId="0" fontId="21" fillId="0" borderId="19" xfId="3" applyFont="1" applyBorder="1" applyAlignment="1" applyProtection="1">
      <alignment vertical="center"/>
    </xf>
    <xf numFmtId="0" fontId="21" fillId="0" borderId="19" xfId="3" applyFont="1" applyBorder="1" applyAlignment="1" applyProtection="1">
      <alignment vertical="center" wrapText="1"/>
    </xf>
    <xf numFmtId="0" fontId="21" fillId="0" borderId="19" xfId="3" applyFont="1" applyBorder="1" applyAlignment="1" applyProtection="1">
      <alignment horizontal="right" vertical="center" wrapText="1" indent="1"/>
    </xf>
    <xf numFmtId="0" fontId="21" fillId="0" borderId="52" xfId="3" applyFont="1" applyBorder="1" applyAlignment="1" applyProtection="1">
      <alignment horizontal="right" vertical="center" wrapText="1" indent="1"/>
    </xf>
    <xf numFmtId="0" fontId="21" fillId="0" borderId="58" xfId="3" applyFont="1" applyBorder="1" applyAlignment="1" applyProtection="1">
      <alignment horizontal="left" vertical="center" indent="1"/>
    </xf>
    <xf numFmtId="0" fontId="21" fillId="0" borderId="20" xfId="3" applyFont="1" applyBorder="1" applyAlignment="1" applyProtection="1">
      <alignment horizontal="left" vertical="center" wrapText="1" indent="1"/>
    </xf>
    <xf numFmtId="0" fontId="21" fillId="0" borderId="20" xfId="3" applyFont="1" applyBorder="1" applyAlignment="1" applyProtection="1">
      <alignment vertical="center"/>
    </xf>
    <xf numFmtId="0" fontId="21" fillId="0" borderId="20" xfId="3" applyFont="1" applyBorder="1" applyAlignment="1" applyProtection="1">
      <alignment vertical="center" wrapText="1"/>
    </xf>
    <xf numFmtId="0" fontId="21" fillId="0" borderId="20" xfId="3" applyFont="1" applyBorder="1" applyAlignment="1" applyProtection="1">
      <alignment horizontal="right" vertical="center" wrapText="1" indent="1"/>
    </xf>
    <xf numFmtId="0" fontId="21" fillId="0" borderId="46" xfId="3" applyFont="1" applyBorder="1" applyAlignment="1" applyProtection="1">
      <alignment horizontal="right" vertical="center" wrapText="1" indent="1"/>
    </xf>
    <xf numFmtId="0" fontId="20" fillId="0" borderId="65" xfId="3" applyFont="1" applyBorder="1" applyProtection="1"/>
    <xf numFmtId="0" fontId="20" fillId="0" borderId="66" xfId="3" applyFont="1" applyBorder="1" applyAlignment="1" applyProtection="1">
      <alignment horizontal="left" indent="1"/>
    </xf>
    <xf numFmtId="0" fontId="21" fillId="0" borderId="67" xfId="3" applyFont="1" applyBorder="1" applyAlignment="1" applyProtection="1">
      <alignment horizontal="left" vertical="center" indent="1"/>
    </xf>
    <xf numFmtId="0" fontId="21" fillId="0" borderId="68" xfId="3" applyFont="1" applyBorder="1" applyAlignment="1" applyProtection="1">
      <alignment horizontal="left" vertical="center" wrapText="1" indent="1"/>
    </xf>
    <xf numFmtId="0" fontId="21" fillId="0" borderId="69" xfId="3" applyFont="1" applyBorder="1" applyAlignment="1" applyProtection="1">
      <alignment vertical="center" wrapText="1"/>
    </xf>
    <xf numFmtId="0" fontId="21" fillId="0" borderId="68" xfId="3" applyFont="1" applyBorder="1" applyAlignment="1" applyProtection="1">
      <alignment vertical="center" wrapText="1"/>
    </xf>
    <xf numFmtId="0" fontId="21" fillId="0" borderId="68" xfId="3" applyFont="1" applyBorder="1" applyAlignment="1" applyProtection="1">
      <alignment horizontal="right" vertical="center" wrapText="1" indent="1"/>
    </xf>
    <xf numFmtId="0" fontId="21" fillId="0" borderId="73" xfId="3" applyFont="1" applyBorder="1" applyAlignment="1" applyProtection="1">
      <alignment horizontal="right" vertical="center" wrapText="1" indent="1"/>
    </xf>
    <xf numFmtId="0" fontId="21" fillId="0" borderId="62" xfId="3" applyFont="1" applyBorder="1" applyAlignment="1" applyProtection="1">
      <alignment horizontal="left" vertical="center" indent="1"/>
    </xf>
    <xf numFmtId="0" fontId="21" fillId="0" borderId="63" xfId="3" applyFont="1" applyBorder="1" applyAlignment="1" applyProtection="1">
      <alignment horizontal="left" vertical="center" wrapText="1" indent="1"/>
    </xf>
    <xf numFmtId="0" fontId="21" fillId="0" borderId="63" xfId="3" applyFont="1" applyBorder="1" applyAlignment="1" applyProtection="1">
      <alignment vertical="center" wrapText="1"/>
    </xf>
    <xf numFmtId="0" fontId="21" fillId="0" borderId="63" xfId="3" applyFont="1" applyBorder="1" applyAlignment="1" applyProtection="1">
      <alignment horizontal="right" vertical="center" wrapText="1" indent="1"/>
    </xf>
    <xf numFmtId="0" fontId="21" fillId="0" borderId="117" xfId="3" applyFont="1" applyBorder="1" applyAlignment="1" applyProtection="1">
      <alignment horizontal="right" vertical="center" wrapText="1" indent="1"/>
    </xf>
    <xf numFmtId="0" fontId="21" fillId="0" borderId="68" xfId="3" applyFont="1" applyBorder="1" applyAlignment="1" applyProtection="1">
      <alignment vertical="center"/>
    </xf>
    <xf numFmtId="0" fontId="20" fillId="0" borderId="60" xfId="3" applyFont="1" applyBorder="1" applyProtection="1"/>
    <xf numFmtId="0" fontId="21" fillId="0" borderId="63" xfId="3" applyFont="1" applyBorder="1" applyAlignment="1" applyProtection="1">
      <alignment vertical="center"/>
    </xf>
    <xf numFmtId="0" fontId="20" fillId="0" borderId="21" xfId="3" applyFont="1" applyBorder="1" applyProtection="1"/>
    <xf numFmtId="0" fontId="20" fillId="9" borderId="13" xfId="3" applyFont="1" applyFill="1" applyBorder="1" applyProtection="1"/>
    <xf numFmtId="0" fontId="20" fillId="9" borderId="64" xfId="3" applyFont="1" applyFill="1" applyBorder="1" applyProtection="1"/>
    <xf numFmtId="0" fontId="20" fillId="0" borderId="18" xfId="3" applyFont="1" applyBorder="1" applyAlignment="1" applyProtection="1">
      <alignment horizontal="left" indent="1"/>
    </xf>
    <xf numFmtId="0" fontId="20" fillId="0" borderId="61" xfId="3" applyFont="1" applyBorder="1" applyAlignment="1" applyProtection="1">
      <alignment horizontal="left" indent="1"/>
    </xf>
    <xf numFmtId="0" fontId="21" fillId="0" borderId="70" xfId="3" applyFont="1" applyBorder="1" applyAlignment="1" applyProtection="1">
      <alignment horizontal="left" vertical="center" indent="1"/>
    </xf>
    <xf numFmtId="0" fontId="21" fillId="0" borderId="71" xfId="3" applyFont="1" applyBorder="1" applyAlignment="1" applyProtection="1">
      <alignment horizontal="left" vertical="center" wrapText="1" indent="1"/>
    </xf>
    <xf numFmtId="0" fontId="21" fillId="0" borderId="71" xfId="3" applyFont="1" applyBorder="1" applyAlignment="1" applyProtection="1">
      <alignment vertical="center"/>
    </xf>
    <xf numFmtId="0" fontId="20" fillId="0" borderId="0" xfId="3" applyFont="1" applyBorder="1" applyProtection="1"/>
    <xf numFmtId="0" fontId="20" fillId="0" borderId="0" xfId="3" applyFont="1" applyBorder="1" applyAlignment="1" applyProtection="1">
      <alignment horizontal="left" indent="1"/>
    </xf>
    <xf numFmtId="0" fontId="21" fillId="0" borderId="0" xfId="3" applyFont="1" applyBorder="1" applyAlignment="1" applyProtection="1">
      <alignment horizontal="left" vertical="center" indent="1"/>
    </xf>
    <xf numFmtId="0" fontId="21" fillId="0" borderId="0" xfId="3" applyFont="1" applyBorder="1" applyAlignment="1" applyProtection="1">
      <alignment horizontal="left" vertical="center" wrapText="1" indent="1"/>
    </xf>
    <xf numFmtId="0" fontId="21" fillId="0" borderId="0" xfId="3" applyFont="1" applyBorder="1" applyAlignment="1" applyProtection="1">
      <alignment vertical="center"/>
    </xf>
    <xf numFmtId="0" fontId="21" fillId="0" borderId="0" xfId="3" applyFont="1" applyFill="1" applyBorder="1" applyAlignment="1" applyProtection="1">
      <alignment horizontal="right" vertical="center" indent="1"/>
    </xf>
    <xf numFmtId="0" fontId="27" fillId="0" borderId="0" xfId="3" applyFont="1" applyFill="1" applyBorder="1" applyAlignment="1" applyProtection="1">
      <alignment horizontal="right" vertical="center" indent="1"/>
    </xf>
    <xf numFmtId="0" fontId="13" fillId="0" borderId="0" xfId="0" applyFont="1" applyProtection="1"/>
    <xf numFmtId="0" fontId="20" fillId="0" borderId="0" xfId="0" applyFont="1" applyProtection="1"/>
    <xf numFmtId="0" fontId="21" fillId="0" borderId="0" xfId="0" applyFont="1" applyProtection="1"/>
    <xf numFmtId="0" fontId="21" fillId="0" borderId="0" xfId="0" applyFont="1" applyAlignment="1" applyProtection="1"/>
    <xf numFmtId="1" fontId="20" fillId="5" borderId="114" xfId="0" applyNumberFormat="1" applyFont="1" applyFill="1" applyBorder="1" applyAlignment="1" applyProtection="1">
      <alignment horizontal="right" vertical="center" indent="1"/>
    </xf>
    <xf numFmtId="0" fontId="20" fillId="2" borderId="84" xfId="3" applyFont="1" applyFill="1" applyBorder="1" applyAlignment="1" applyProtection="1">
      <alignment horizontal="center" vertical="center" wrapText="1"/>
    </xf>
    <xf numFmtId="166" fontId="21" fillId="0" borderId="109" xfId="3" applyNumberFormat="1" applyFont="1" applyFill="1" applyBorder="1" applyAlignment="1" applyProtection="1">
      <alignment horizontal="right" vertical="center" indent="1"/>
    </xf>
    <xf numFmtId="166" fontId="21" fillId="0" borderId="110" xfId="3" applyNumberFormat="1" applyFont="1" applyFill="1" applyBorder="1" applyAlignment="1" applyProtection="1">
      <alignment horizontal="right" vertical="center" indent="1"/>
    </xf>
    <xf numFmtId="166" fontId="21" fillId="0" borderId="118" xfId="3" applyNumberFormat="1" applyFont="1" applyFill="1" applyBorder="1" applyAlignment="1" applyProtection="1">
      <alignment horizontal="right" vertical="center" indent="1"/>
    </xf>
    <xf numFmtId="166" fontId="21" fillId="0" borderId="119" xfId="3" applyNumberFormat="1" applyFont="1" applyFill="1" applyBorder="1" applyAlignment="1" applyProtection="1">
      <alignment horizontal="right" vertical="center" indent="1"/>
    </xf>
    <xf numFmtId="166" fontId="21" fillId="0" borderId="112" xfId="3" applyNumberFormat="1" applyFont="1" applyFill="1" applyBorder="1" applyAlignment="1" applyProtection="1">
      <alignment horizontal="right" vertical="center" indent="1"/>
    </xf>
    <xf numFmtId="166" fontId="21" fillId="0" borderId="96" xfId="3" applyNumberFormat="1" applyFont="1" applyFill="1" applyBorder="1" applyAlignment="1" applyProtection="1">
      <alignment horizontal="right" vertical="center" indent="1"/>
    </xf>
    <xf numFmtId="14" fontId="21" fillId="0" borderId="2" xfId="0" applyNumberFormat="1" applyFont="1" applyBorder="1" applyAlignment="1" applyProtection="1">
      <alignment horizontal="right" indent="1"/>
    </xf>
    <xf numFmtId="0" fontId="20" fillId="2" borderId="35" xfId="0" applyFont="1" applyFill="1" applyBorder="1" applyAlignment="1">
      <alignment horizontal="center" vertical="top" wrapText="1"/>
    </xf>
    <xf numFmtId="0" fontId="29" fillId="0" borderId="0" xfId="0" applyFont="1"/>
    <xf numFmtId="0" fontId="31" fillId="0" borderId="0" xfId="0" applyFont="1"/>
    <xf numFmtId="1" fontId="29" fillId="0" borderId="94" xfId="0" applyNumberFormat="1" applyFont="1" applyBorder="1" applyAlignment="1">
      <alignment horizontal="right" indent="1"/>
    </xf>
    <xf numFmtId="0" fontId="29" fillId="0" borderId="90" xfId="0" applyFont="1" applyBorder="1" applyAlignment="1">
      <alignment horizontal="left" indent="1"/>
    </xf>
    <xf numFmtId="0" fontId="31" fillId="0" borderId="14" xfId="0" applyFont="1" applyBorder="1"/>
    <xf numFmtId="0" fontId="31" fillId="0" borderId="99" xfId="0" applyFont="1" applyBorder="1"/>
    <xf numFmtId="1" fontId="29" fillId="0" borderId="77" xfId="0" applyNumberFormat="1" applyFont="1" applyBorder="1" applyAlignment="1">
      <alignment horizontal="right" indent="1"/>
    </xf>
    <xf numFmtId="0" fontId="31" fillId="0" borderId="84" xfId="0" applyFont="1" applyBorder="1" applyAlignment="1">
      <alignment wrapText="1"/>
    </xf>
    <xf numFmtId="0" fontId="31" fillId="0" borderId="14" xfId="0" applyFont="1" applyBorder="1" applyAlignment="1">
      <alignment horizontal="center"/>
    </xf>
    <xf numFmtId="0" fontId="31" fillId="0" borderId="84" xfId="0" applyFont="1" applyBorder="1" applyAlignment="1">
      <alignment horizontal="center" wrapText="1"/>
    </xf>
    <xf numFmtId="1" fontId="31" fillId="0" borderId="84" xfId="0" applyNumberFormat="1" applyFont="1" applyBorder="1" applyAlignment="1">
      <alignment horizontal="right" indent="1"/>
    </xf>
    <xf numFmtId="0" fontId="31" fillId="0" borderId="0" xfId="0" applyFont="1" applyAlignment="1">
      <alignment wrapText="1"/>
    </xf>
    <xf numFmtId="0" fontId="31" fillId="0" borderId="0" xfId="0" applyFont="1" applyBorder="1"/>
    <xf numFmtId="0" fontId="29" fillId="0" borderId="91" xfId="0" applyFont="1" applyBorder="1"/>
    <xf numFmtId="0" fontId="31" fillId="0" borderId="14" xfId="0" applyFont="1" applyBorder="1" applyAlignment="1">
      <alignment wrapText="1"/>
    </xf>
    <xf numFmtId="0" fontId="29" fillId="0" borderId="144" xfId="0" applyFont="1" applyBorder="1" applyAlignment="1">
      <alignment horizontal="left" indent="1"/>
    </xf>
    <xf numFmtId="0" fontId="31" fillId="0" borderId="60" xfId="0" applyFont="1" applyBorder="1"/>
    <xf numFmtId="0" fontId="31" fillId="0" borderId="61" xfId="0" applyFont="1" applyBorder="1"/>
    <xf numFmtId="0" fontId="31" fillId="0" borderId="33" xfId="0" applyFont="1" applyBorder="1" applyAlignment="1">
      <alignment wrapText="1"/>
    </xf>
    <xf numFmtId="0" fontId="29" fillId="0" borderId="69" xfId="0" applyFont="1" applyBorder="1"/>
    <xf numFmtId="0" fontId="31" fillId="0" borderId="15" xfId="0" applyFont="1" applyBorder="1" applyAlignment="1">
      <alignment wrapText="1"/>
    </xf>
    <xf numFmtId="0" fontId="29" fillId="0" borderId="77" xfId="0" applyFont="1" applyBorder="1"/>
    <xf numFmtId="0" fontId="29" fillId="0" borderId="97" xfId="0" applyFont="1" applyBorder="1" applyAlignment="1">
      <alignment horizontal="left" indent="1"/>
    </xf>
    <xf numFmtId="0" fontId="29" fillId="0" borderId="25" xfId="0" applyFont="1" applyBorder="1"/>
    <xf numFmtId="0" fontId="31" fillId="0" borderId="148" xfId="0" applyFont="1" applyBorder="1"/>
    <xf numFmtId="0" fontId="31" fillId="0" borderId="35" xfId="0" applyFont="1" applyBorder="1"/>
    <xf numFmtId="0" fontId="31" fillId="0" borderId="81" xfId="0" applyFont="1" applyBorder="1" applyAlignment="1">
      <alignment wrapText="1"/>
    </xf>
    <xf numFmtId="0" fontId="29" fillId="0" borderId="94" xfId="0" applyFont="1" applyBorder="1" applyAlignment="1">
      <alignment horizontal="right" indent="1"/>
    </xf>
    <xf numFmtId="0" fontId="29" fillId="0" borderId="98" xfId="0" applyFont="1" applyBorder="1" applyAlignment="1">
      <alignment horizontal="right" indent="1"/>
    </xf>
    <xf numFmtId="0" fontId="20" fillId="2" borderId="77" xfId="0" applyFont="1" applyFill="1" applyBorder="1" applyAlignment="1">
      <alignment horizontal="center" vertical="center" wrapText="1"/>
    </xf>
    <xf numFmtId="9" fontId="29" fillId="0" borderId="91" xfId="5" applyFont="1" applyBorder="1" applyAlignment="1">
      <alignment horizontal="right" indent="1"/>
    </xf>
    <xf numFmtId="0" fontId="29" fillId="0" borderId="72" xfId="0" applyFont="1" applyBorder="1"/>
    <xf numFmtId="9" fontId="29" fillId="0" borderId="147" xfId="5" applyFont="1" applyBorder="1" applyAlignment="1">
      <alignment horizontal="right" indent="1"/>
    </xf>
    <xf numFmtId="1" fontId="29" fillId="0" borderId="143" xfId="0" applyNumberFormat="1" applyFont="1" applyBorder="1" applyAlignment="1">
      <alignment horizontal="right" indent="1"/>
    </xf>
    <xf numFmtId="1" fontId="29" fillId="0" borderId="98" xfId="0" applyNumberFormat="1" applyFont="1" applyBorder="1" applyAlignment="1">
      <alignment horizontal="right" indent="1"/>
    </xf>
    <xf numFmtId="0" fontId="31" fillId="0" borderId="14" xfId="0" applyFont="1" applyBorder="1" applyAlignment="1">
      <alignment horizontal="right"/>
    </xf>
    <xf numFmtId="9" fontId="31" fillId="0" borderId="15" xfId="5" applyFont="1" applyBorder="1" applyAlignment="1">
      <alignment horizontal="right" indent="1"/>
    </xf>
    <xf numFmtId="2" fontId="31" fillId="0" borderId="0" xfId="0" applyNumberFormat="1" applyFont="1"/>
    <xf numFmtId="0" fontId="29" fillId="0" borderId="142" xfId="0" applyFont="1" applyBorder="1" applyAlignment="1">
      <alignment horizontal="left" indent="1"/>
    </xf>
    <xf numFmtId="166" fontId="31" fillId="0" borderId="84" xfId="0" applyNumberFormat="1" applyFont="1" applyBorder="1" applyAlignment="1">
      <alignment horizontal="right" indent="1"/>
    </xf>
    <xf numFmtId="166" fontId="29" fillId="0" borderId="143" xfId="0" applyNumberFormat="1" applyFont="1" applyBorder="1" applyAlignment="1">
      <alignment horizontal="right" indent="1"/>
    </xf>
    <xf numFmtId="0" fontId="29" fillId="0" borderId="92" xfId="0" applyFont="1" applyBorder="1" applyAlignment="1">
      <alignment horizontal="left" indent="1"/>
    </xf>
    <xf numFmtId="10" fontId="31" fillId="0" borderId="0" xfId="5" applyNumberFormat="1" applyFont="1"/>
    <xf numFmtId="0" fontId="18" fillId="0" borderId="0" xfId="0" applyFont="1" applyBorder="1" applyAlignment="1" applyProtection="1">
      <alignment horizontal="center" vertical="top" wrapText="1"/>
    </xf>
    <xf numFmtId="3" fontId="21" fillId="0" borderId="44" xfId="3" applyNumberFormat="1" applyFont="1" applyBorder="1" applyAlignment="1" applyProtection="1">
      <alignment horizontal="right" vertical="center" indent="1"/>
    </xf>
    <xf numFmtId="0" fontId="21" fillId="0" borderId="52" xfId="3" applyFont="1" applyBorder="1" applyAlignment="1" applyProtection="1">
      <alignment horizontal="right" vertical="center" indent="1"/>
    </xf>
    <xf numFmtId="0" fontId="21" fillId="0" borderId="46" xfId="3" applyFont="1" applyBorder="1" applyAlignment="1" applyProtection="1">
      <alignment horizontal="right" vertical="center" indent="1"/>
    </xf>
    <xf numFmtId="0" fontId="21" fillId="0" borderId="73" xfId="3" applyFont="1" applyBorder="1" applyAlignment="1" applyProtection="1">
      <alignment horizontal="right" vertical="center" indent="1"/>
    </xf>
    <xf numFmtId="0" fontId="21" fillId="0" borderId="117" xfId="3" applyFont="1" applyBorder="1" applyAlignment="1" applyProtection="1">
      <alignment horizontal="right" vertical="center" indent="1"/>
    </xf>
    <xf numFmtId="0" fontId="20" fillId="13" borderId="17" xfId="3" applyFont="1" applyFill="1" applyBorder="1" applyAlignment="1" applyProtection="1">
      <alignment horizontal="right" vertical="center" indent="1"/>
    </xf>
    <xf numFmtId="0" fontId="20" fillId="13" borderId="19" xfId="3" applyFont="1" applyFill="1" applyBorder="1" applyAlignment="1" applyProtection="1">
      <alignment horizontal="right" vertical="center" indent="1"/>
    </xf>
    <xf numFmtId="0" fontId="20" fillId="13" borderId="20" xfId="3" applyFont="1" applyFill="1" applyBorder="1" applyAlignment="1" applyProtection="1">
      <alignment horizontal="right" vertical="center" indent="1"/>
    </xf>
    <xf numFmtId="0" fontId="20" fillId="13" borderId="68" xfId="3" applyFont="1" applyFill="1" applyBorder="1" applyAlignment="1" applyProtection="1">
      <alignment horizontal="right" vertical="center" indent="1"/>
    </xf>
    <xf numFmtId="0" fontId="20" fillId="13" borderId="71" xfId="3" applyFont="1" applyFill="1" applyBorder="1" applyAlignment="1" applyProtection="1">
      <alignment horizontal="right" vertical="center" indent="1"/>
    </xf>
    <xf numFmtId="3" fontId="20" fillId="13" borderId="44" xfId="3" applyNumberFormat="1" applyFont="1" applyFill="1" applyBorder="1" applyAlignment="1" applyProtection="1">
      <alignment horizontal="right" vertical="center" indent="1"/>
    </xf>
    <xf numFmtId="0" fontId="20" fillId="13" borderId="52" xfId="3" applyFont="1" applyFill="1" applyBorder="1" applyAlignment="1" applyProtection="1">
      <alignment horizontal="right" vertical="center" indent="1"/>
    </xf>
    <xf numFmtId="0" fontId="20" fillId="13" borderId="46" xfId="3" applyFont="1" applyFill="1" applyBorder="1" applyAlignment="1" applyProtection="1">
      <alignment horizontal="right" vertical="center" indent="1"/>
    </xf>
    <xf numFmtId="0" fontId="20" fillId="13" borderId="73" xfId="3" applyFont="1" applyFill="1" applyBorder="1" applyAlignment="1" applyProtection="1">
      <alignment horizontal="right" vertical="center" indent="1"/>
    </xf>
    <xf numFmtId="0" fontId="20" fillId="13" borderId="117" xfId="3" applyFont="1" applyFill="1" applyBorder="1" applyAlignment="1" applyProtection="1">
      <alignment horizontal="right" vertical="center" indent="1"/>
    </xf>
    <xf numFmtId="3" fontId="20" fillId="13" borderId="112" xfId="3" applyNumberFormat="1" applyFont="1" applyFill="1" applyBorder="1" applyAlignment="1" applyProtection="1">
      <alignment horizontal="right" vertical="center" indent="1"/>
    </xf>
    <xf numFmtId="0" fontId="20" fillId="13" borderId="109" xfId="3" applyFont="1" applyFill="1" applyBorder="1" applyAlignment="1" applyProtection="1">
      <alignment horizontal="right" vertical="center" indent="1"/>
    </xf>
    <xf numFmtId="0" fontId="20" fillId="13" borderId="110" xfId="3" applyFont="1" applyFill="1" applyBorder="1" applyAlignment="1" applyProtection="1">
      <alignment horizontal="right" vertical="center" indent="1"/>
    </xf>
    <xf numFmtId="0" fontId="20" fillId="13" borderId="118" xfId="3" applyFont="1" applyFill="1" applyBorder="1" applyAlignment="1" applyProtection="1">
      <alignment horizontal="right" vertical="center" indent="1"/>
    </xf>
    <xf numFmtId="0" fontId="20" fillId="13" borderId="119" xfId="3" applyFont="1" applyFill="1" applyBorder="1" applyAlignment="1" applyProtection="1">
      <alignment horizontal="right" vertical="center" indent="1"/>
    </xf>
    <xf numFmtId="0" fontId="20" fillId="13" borderId="112" xfId="3" applyFont="1" applyFill="1" applyBorder="1" applyAlignment="1" applyProtection="1">
      <alignment horizontal="right" vertical="center" indent="1"/>
    </xf>
    <xf numFmtId="0" fontId="20" fillId="13" borderId="96" xfId="3" applyFont="1" applyFill="1" applyBorder="1" applyAlignment="1" applyProtection="1">
      <alignment horizontal="right" vertical="center" indent="1"/>
    </xf>
    <xf numFmtId="0" fontId="0" fillId="0" borderId="0" xfId="0" applyFill="1" applyProtection="1"/>
    <xf numFmtId="0" fontId="10" fillId="0" borderId="0" xfId="3" applyFill="1" applyProtection="1"/>
    <xf numFmtId="0" fontId="19" fillId="0" borderId="57" xfId="3" applyFont="1" applyBorder="1" applyAlignment="1">
      <alignment horizontal="left" vertical="center" indent="1"/>
    </xf>
    <xf numFmtId="0" fontId="19" fillId="0" borderId="19" xfId="3" applyFont="1" applyBorder="1" applyAlignment="1">
      <alignment horizontal="left" vertical="center" wrapText="1" indent="1"/>
    </xf>
    <xf numFmtId="0" fontId="19" fillId="0" borderId="19" xfId="3" applyFont="1" applyBorder="1" applyAlignment="1">
      <alignment vertical="center"/>
    </xf>
    <xf numFmtId="0" fontId="19" fillId="0" borderId="19" xfId="3" applyFont="1" applyBorder="1" applyAlignment="1">
      <alignment vertical="center" wrapText="1"/>
    </xf>
    <xf numFmtId="0" fontId="19" fillId="0" borderId="19" xfId="3" applyFont="1" applyFill="1" applyBorder="1" applyAlignment="1" applyProtection="1">
      <alignment horizontal="right" vertical="center" indent="1"/>
    </xf>
    <xf numFmtId="0" fontId="21" fillId="0" borderId="24" xfId="3" applyFont="1" applyBorder="1" applyAlignment="1" applyProtection="1">
      <alignment vertical="center"/>
    </xf>
    <xf numFmtId="0" fontId="19" fillId="0" borderId="58" xfId="3" applyFont="1" applyBorder="1" applyAlignment="1">
      <alignment horizontal="left" vertical="center" indent="1"/>
    </xf>
    <xf numFmtId="0" fontId="19" fillId="0" borderId="20" xfId="3" applyFont="1" applyBorder="1" applyAlignment="1">
      <alignment horizontal="left" vertical="center" wrapText="1" indent="1"/>
    </xf>
    <xf numFmtId="0" fontId="19" fillId="0" borderId="63" xfId="3" applyFont="1" applyBorder="1" applyAlignment="1">
      <alignment horizontal="left" vertical="center" wrapText="1" indent="1"/>
    </xf>
    <xf numFmtId="0" fontId="19" fillId="0" borderId="20" xfId="3" applyFont="1" applyBorder="1" applyAlignment="1">
      <alignment vertical="center"/>
    </xf>
    <xf numFmtId="0" fontId="19" fillId="0" borderId="20" xfId="3" applyFont="1" applyBorder="1" applyAlignment="1">
      <alignment vertical="center" wrapText="1"/>
    </xf>
    <xf numFmtId="0" fontId="19" fillId="0" borderId="63" xfId="3" applyFont="1" applyFill="1" applyBorder="1" applyAlignment="1" applyProtection="1">
      <alignment horizontal="right" vertical="center" indent="1"/>
    </xf>
    <xf numFmtId="0" fontId="19" fillId="0" borderId="67" xfId="3" applyFont="1" applyBorder="1" applyAlignment="1">
      <alignment horizontal="left" vertical="center" indent="1"/>
    </xf>
    <xf numFmtId="0" fontId="19" fillId="0" borderId="68" xfId="3" applyFont="1" applyBorder="1" applyAlignment="1">
      <alignment horizontal="left" vertical="center" wrapText="1" indent="1"/>
    </xf>
    <xf numFmtId="0" fontId="19" fillId="0" borderId="68" xfId="3" applyFont="1" applyBorder="1" applyAlignment="1">
      <alignment vertical="center"/>
    </xf>
    <xf numFmtId="0" fontId="19" fillId="0" borderId="68" xfId="3" applyFont="1" applyBorder="1" applyAlignment="1">
      <alignment vertical="center" wrapText="1"/>
    </xf>
    <xf numFmtId="0" fontId="19" fillId="0" borderId="68" xfId="3" applyFont="1" applyFill="1" applyBorder="1" applyAlignment="1" applyProtection="1">
      <alignment horizontal="right" vertical="center" indent="1"/>
    </xf>
    <xf numFmtId="0" fontId="10" fillId="0" borderId="0" xfId="3" applyFont="1" applyBorder="1"/>
    <xf numFmtId="0" fontId="11" fillId="0" borderId="18" xfId="3" applyFont="1" applyBorder="1"/>
    <xf numFmtId="0" fontId="11" fillId="0" borderId="66" xfId="3" applyFont="1" applyBorder="1" applyAlignment="1">
      <alignment horizontal="left" indent="1"/>
    </xf>
    <xf numFmtId="0" fontId="19" fillId="0" borderId="73" xfId="3" applyFont="1" applyBorder="1" applyAlignment="1" applyProtection="1">
      <alignment vertical="center"/>
    </xf>
    <xf numFmtId="3" fontId="11" fillId="15" borderId="133" xfId="3" applyNumberFormat="1" applyFont="1" applyFill="1" applyBorder="1" applyAlignment="1" applyProtection="1">
      <alignment horizontal="right" vertical="center" indent="1"/>
      <protection locked="0"/>
    </xf>
    <xf numFmtId="166" fontId="20" fillId="5" borderId="18" xfId="0" applyNumberFormat="1" applyFont="1" applyFill="1" applyBorder="1" applyAlignment="1" applyProtection="1">
      <alignment horizontal="right" vertical="center" indent="1"/>
    </xf>
    <xf numFmtId="3" fontId="21" fillId="0" borderId="52" xfId="3" applyNumberFormat="1" applyFont="1" applyBorder="1" applyAlignment="1" applyProtection="1">
      <alignment horizontal="right" vertical="center" indent="1"/>
    </xf>
    <xf numFmtId="3" fontId="20" fillId="13" borderId="52" xfId="3" applyNumberFormat="1" applyFont="1" applyFill="1" applyBorder="1" applyAlignment="1" applyProtection="1">
      <alignment horizontal="right" vertical="center" indent="1"/>
    </xf>
    <xf numFmtId="3" fontId="20" fillId="13" borderId="109" xfId="3" applyNumberFormat="1" applyFont="1" applyFill="1" applyBorder="1" applyAlignment="1" applyProtection="1">
      <alignment horizontal="right" vertical="center" indent="1"/>
    </xf>
    <xf numFmtId="0" fontId="20" fillId="13" borderId="24" xfId="3" applyFont="1" applyFill="1" applyBorder="1" applyAlignment="1" applyProtection="1">
      <alignment horizontal="right" vertical="center" indent="1"/>
    </xf>
    <xf numFmtId="0" fontId="20" fillId="13" borderId="78" xfId="3" applyFont="1" applyFill="1" applyBorder="1" applyAlignment="1" applyProtection="1">
      <alignment horizontal="right" vertical="center" indent="1"/>
    </xf>
    <xf numFmtId="0" fontId="21" fillId="0" borderId="24" xfId="3" applyFont="1" applyBorder="1" applyAlignment="1" applyProtection="1">
      <alignment horizontal="right" vertical="center" indent="1"/>
    </xf>
    <xf numFmtId="0" fontId="20" fillId="9" borderId="55" xfId="3" applyFont="1" applyFill="1" applyBorder="1"/>
    <xf numFmtId="0" fontId="20" fillId="9" borderId="33" xfId="3" applyFont="1" applyFill="1" applyBorder="1"/>
    <xf numFmtId="0" fontId="20" fillId="2" borderId="84" xfId="0" applyFont="1" applyFill="1" applyBorder="1" applyAlignment="1">
      <alignment horizontal="center" vertical="center" wrapText="1"/>
    </xf>
    <xf numFmtId="0" fontId="21" fillId="0" borderId="130" xfId="3" applyFont="1" applyBorder="1" applyAlignment="1" applyProtection="1">
      <alignment vertical="center" wrapText="1"/>
    </xf>
    <xf numFmtId="0" fontId="21" fillId="0" borderId="146" xfId="3" applyFont="1" applyBorder="1" applyAlignment="1" applyProtection="1">
      <alignment horizontal="left" vertical="center" indent="1"/>
    </xf>
    <xf numFmtId="0" fontId="21" fillId="0" borderId="130" xfId="3" applyFont="1" applyBorder="1" applyAlignment="1" applyProtection="1">
      <alignment horizontal="left" vertical="center" wrapText="1" indent="1"/>
    </xf>
    <xf numFmtId="0" fontId="21" fillId="0" borderId="130" xfId="3" applyFont="1" applyBorder="1" applyAlignment="1" applyProtection="1">
      <alignment horizontal="right" vertical="center" wrapText="1" indent="1"/>
    </xf>
    <xf numFmtId="0" fontId="21" fillId="0" borderId="130" xfId="3" applyFont="1" applyFill="1" applyBorder="1" applyAlignment="1" applyProtection="1">
      <alignment horizontal="right" vertical="center" indent="1"/>
    </xf>
    <xf numFmtId="0" fontId="21" fillId="0" borderId="24" xfId="3" applyFont="1" applyBorder="1" applyAlignment="1" applyProtection="1">
      <alignment horizontal="right" vertical="center" wrapText="1" indent="1"/>
    </xf>
    <xf numFmtId="166" fontId="20" fillId="9" borderId="18" xfId="3" applyNumberFormat="1" applyFont="1" applyFill="1" applyBorder="1" applyAlignment="1" applyProtection="1">
      <alignment horizontal="right" vertical="center" indent="1"/>
    </xf>
    <xf numFmtId="166" fontId="21" fillId="0" borderId="24" xfId="3" applyNumberFormat="1" applyFont="1" applyFill="1" applyBorder="1" applyAlignment="1" applyProtection="1">
      <alignment horizontal="right" vertical="center" indent="1"/>
    </xf>
    <xf numFmtId="14" fontId="21" fillId="6" borderId="146" xfId="3" applyNumberFormat="1" applyFont="1" applyFill="1" applyBorder="1" applyAlignment="1" applyProtection="1">
      <alignment horizontal="right" vertical="center" indent="1"/>
    </xf>
    <xf numFmtId="14" fontId="21" fillId="6" borderId="78" xfId="3" applyNumberFormat="1" applyFont="1" applyFill="1" applyBorder="1" applyAlignment="1" applyProtection="1">
      <alignment horizontal="right" vertical="center" indent="1"/>
    </xf>
    <xf numFmtId="166" fontId="21" fillId="0" borderId="146" xfId="3" applyNumberFormat="1" applyFont="1" applyFill="1" applyBorder="1" applyAlignment="1" applyProtection="1">
      <alignment horizontal="right" vertical="center" indent="1"/>
    </xf>
    <xf numFmtId="0" fontId="21" fillId="0" borderId="130" xfId="3" applyFont="1" applyBorder="1" applyAlignment="1" applyProtection="1">
      <alignment vertical="center"/>
    </xf>
    <xf numFmtId="0" fontId="19" fillId="0" borderId="62" xfId="3" applyFont="1" applyBorder="1" applyAlignment="1">
      <alignment horizontal="left" vertical="center" indent="1"/>
    </xf>
    <xf numFmtId="0" fontId="19" fillId="0" borderId="63" xfId="3" applyFont="1" applyBorder="1" applyAlignment="1">
      <alignment vertical="center"/>
    </xf>
    <xf numFmtId="14" fontId="21" fillId="6" borderId="60" xfId="3" applyNumberFormat="1" applyFont="1" applyFill="1" applyBorder="1" applyAlignment="1" applyProtection="1">
      <alignment horizontal="right" vertical="center" indent="1"/>
    </xf>
    <xf numFmtId="166" fontId="21" fillId="0" borderId="60" xfId="3" applyNumberFormat="1" applyFont="1" applyFill="1" applyBorder="1" applyAlignment="1" applyProtection="1">
      <alignment horizontal="right" vertical="center" indent="1"/>
    </xf>
    <xf numFmtId="0" fontId="21" fillId="0" borderId="24" xfId="3" applyFont="1" applyFill="1" applyBorder="1" applyAlignment="1" applyProtection="1">
      <alignment horizontal="right" vertical="center" indent="1"/>
    </xf>
    <xf numFmtId="10" fontId="20" fillId="6" borderId="133" xfId="5" applyNumberFormat="1" applyFont="1" applyFill="1" applyBorder="1" applyAlignment="1" applyProtection="1">
      <alignment horizontal="right" vertical="center" indent="1"/>
      <protection locked="0"/>
    </xf>
    <xf numFmtId="10" fontId="11" fillId="15" borderId="133" xfId="5" applyNumberFormat="1" applyFont="1" applyFill="1" applyBorder="1" applyAlignment="1" applyProtection="1">
      <alignment horizontal="right" vertical="center" indent="1"/>
      <protection locked="0"/>
    </xf>
    <xf numFmtId="0" fontId="20" fillId="2" borderId="84" xfId="3" applyFont="1" applyFill="1" applyBorder="1" applyAlignment="1">
      <alignment horizontal="center" vertical="center" wrapText="1"/>
    </xf>
    <xf numFmtId="0" fontId="20" fillId="2" borderId="77" xfId="0" applyFont="1" applyFill="1" applyBorder="1" applyAlignment="1" applyProtection="1">
      <alignment horizontal="center" vertical="center" wrapText="1"/>
    </xf>
    <xf numFmtId="10" fontId="20" fillId="13" borderId="133" xfId="3" applyNumberFormat="1" applyFont="1" applyFill="1" applyBorder="1" applyAlignment="1" applyProtection="1">
      <alignment horizontal="right" vertical="center" wrapText="1" indent="1"/>
    </xf>
    <xf numFmtId="166" fontId="21" fillId="9" borderId="57" xfId="3" applyNumberFormat="1" applyFont="1" applyFill="1" applyBorder="1" applyAlignment="1" applyProtection="1">
      <alignment horizontal="right" vertical="center" indent="1"/>
    </xf>
    <xf numFmtId="166" fontId="21" fillId="9" borderId="52" xfId="3" applyNumberFormat="1" applyFont="1" applyFill="1" applyBorder="1" applyAlignment="1" applyProtection="1">
      <alignment horizontal="right" vertical="center" indent="1"/>
    </xf>
    <xf numFmtId="14" fontId="21" fillId="9" borderId="57" xfId="3" applyNumberFormat="1" applyFont="1" applyFill="1" applyBorder="1" applyAlignment="1" applyProtection="1">
      <alignment horizontal="right" vertical="center" indent="1"/>
    </xf>
    <xf numFmtId="14" fontId="21" fillId="9" borderId="109" xfId="3" applyNumberFormat="1" applyFont="1" applyFill="1" applyBorder="1" applyAlignment="1" applyProtection="1">
      <alignment horizontal="right" vertical="center" indent="1"/>
    </xf>
    <xf numFmtId="166" fontId="21" fillId="9" borderId="56" xfId="3" applyNumberFormat="1" applyFont="1" applyFill="1" applyBorder="1" applyAlignment="1" applyProtection="1">
      <alignment horizontal="right" vertical="center" indent="1"/>
    </xf>
    <xf numFmtId="166" fontId="21" fillId="9" borderId="44" xfId="3" applyNumberFormat="1" applyFont="1" applyFill="1" applyBorder="1" applyAlignment="1" applyProtection="1">
      <alignment horizontal="right" vertical="center" indent="1"/>
    </xf>
    <xf numFmtId="14" fontId="21" fillId="9" borderId="56" xfId="3" applyNumberFormat="1" applyFont="1" applyFill="1" applyBorder="1" applyAlignment="1" applyProtection="1">
      <alignment horizontal="right" vertical="center" indent="1"/>
    </xf>
    <xf numFmtId="14" fontId="21" fillId="9" borderId="112" xfId="3" applyNumberFormat="1" applyFont="1" applyFill="1" applyBorder="1" applyAlignment="1" applyProtection="1">
      <alignment horizontal="right" vertical="center" indent="1"/>
    </xf>
    <xf numFmtId="166" fontId="21" fillId="9" borderId="58" xfId="3" applyNumberFormat="1" applyFont="1" applyFill="1" applyBorder="1" applyAlignment="1" applyProtection="1">
      <alignment horizontal="right" vertical="center" indent="1"/>
    </xf>
    <xf numFmtId="166" fontId="21" fillId="9" borderId="46" xfId="3" applyNumberFormat="1" applyFont="1" applyFill="1" applyBorder="1" applyAlignment="1" applyProtection="1">
      <alignment horizontal="right" vertical="center" indent="1"/>
    </xf>
    <xf numFmtId="14" fontId="21" fillId="9" borderId="58" xfId="3" applyNumberFormat="1" applyFont="1" applyFill="1" applyBorder="1" applyAlignment="1" applyProtection="1">
      <alignment horizontal="right" vertical="center" indent="1"/>
    </xf>
    <xf numFmtId="14" fontId="21" fillId="9" borderId="110" xfId="3" applyNumberFormat="1" applyFont="1" applyFill="1" applyBorder="1" applyAlignment="1" applyProtection="1">
      <alignment horizontal="right" vertical="center" indent="1"/>
    </xf>
    <xf numFmtId="0" fontId="0" fillId="16" borderId="0" xfId="0" applyFill="1" applyProtection="1"/>
    <xf numFmtId="0" fontId="32" fillId="16" borderId="33" xfId="0" applyFont="1" applyFill="1" applyBorder="1" applyProtection="1"/>
    <xf numFmtId="0" fontId="0" fillId="16" borderId="9" xfId="0" applyFill="1" applyBorder="1" applyProtection="1"/>
    <xf numFmtId="0" fontId="0" fillId="16" borderId="34" xfId="0" applyFill="1" applyBorder="1" applyProtection="1"/>
    <xf numFmtId="0" fontId="18" fillId="16" borderId="0" xfId="0" applyFont="1" applyFill="1" applyProtection="1"/>
    <xf numFmtId="14" fontId="21" fillId="16" borderId="0" xfId="0" applyNumberFormat="1" applyFont="1" applyFill="1" applyAlignment="1" applyProtection="1">
      <alignment horizontal="right" indent="1"/>
    </xf>
    <xf numFmtId="0" fontId="18" fillId="0" borderId="2" xfId="0" applyFont="1" applyBorder="1" applyAlignment="1" applyProtection="1">
      <alignment horizontal="center" vertical="top" wrapText="1"/>
    </xf>
    <xf numFmtId="166" fontId="21" fillId="0" borderId="149" xfId="3" applyNumberFormat="1" applyFont="1" applyFill="1" applyBorder="1" applyAlignment="1" applyProtection="1">
      <alignment horizontal="right" vertical="center" indent="1"/>
    </xf>
    <xf numFmtId="166" fontId="20" fillId="9" borderId="151" xfId="3" applyNumberFormat="1" applyFont="1" applyFill="1" applyBorder="1" applyAlignment="1" applyProtection="1">
      <alignment horizontal="right" vertical="center" indent="1"/>
    </xf>
    <xf numFmtId="0" fontId="20" fillId="2" borderId="100" xfId="0" applyFont="1" applyFill="1" applyBorder="1" applyAlignment="1" applyProtection="1">
      <alignment horizontal="center" vertical="center" wrapText="1"/>
    </xf>
    <xf numFmtId="0" fontId="20" fillId="2" borderId="55" xfId="0" applyFont="1" applyFill="1" applyBorder="1" applyAlignment="1" applyProtection="1">
      <alignment horizontal="center" vertical="center" wrapText="1"/>
    </xf>
    <xf numFmtId="0" fontId="0" fillId="0" borderId="0" xfId="0" applyAlignment="1" applyProtection="1">
      <alignment wrapText="1"/>
    </xf>
    <xf numFmtId="0" fontId="0" fillId="0" borderId="0" xfId="0" applyAlignment="1" applyProtection="1">
      <alignment vertical="center" wrapText="1"/>
    </xf>
    <xf numFmtId="0" fontId="20" fillId="9" borderId="33" xfId="3" applyFont="1" applyFill="1" applyBorder="1" applyAlignment="1" applyProtection="1">
      <alignment horizontal="center" vertical="center" wrapText="1"/>
    </xf>
    <xf numFmtId="166" fontId="20" fillId="9" borderId="104" xfId="3" applyNumberFormat="1" applyFont="1" applyFill="1" applyBorder="1" applyAlignment="1" applyProtection="1">
      <alignment horizontal="right" vertical="center" indent="1"/>
    </xf>
    <xf numFmtId="166" fontId="20" fillId="9" borderId="101" xfId="3" applyNumberFormat="1" applyFont="1" applyFill="1" applyBorder="1" applyAlignment="1" applyProtection="1">
      <alignment horizontal="right" vertical="center" indent="1"/>
    </xf>
    <xf numFmtId="166" fontId="20" fillId="9" borderId="102" xfId="3" applyNumberFormat="1" applyFont="1" applyFill="1" applyBorder="1" applyAlignment="1" applyProtection="1">
      <alignment horizontal="right" vertical="center" indent="1"/>
    </xf>
    <xf numFmtId="166" fontId="20" fillId="9" borderId="152" xfId="3" applyNumberFormat="1" applyFont="1" applyFill="1" applyBorder="1" applyAlignment="1" applyProtection="1">
      <alignment horizontal="right" vertical="center" indent="1"/>
    </xf>
    <xf numFmtId="166" fontId="20" fillId="9" borderId="61" xfId="3" applyNumberFormat="1" applyFont="1" applyFill="1" applyBorder="1" applyAlignment="1" applyProtection="1">
      <alignment horizontal="right" vertical="center" indent="1"/>
    </xf>
    <xf numFmtId="14" fontId="21" fillId="0" borderId="0" xfId="0" applyNumberFormat="1" applyFont="1" applyBorder="1" applyAlignment="1" applyProtection="1">
      <alignment horizontal="right" indent="1"/>
    </xf>
    <xf numFmtId="14" fontId="21" fillId="9" borderId="62" xfId="3" applyNumberFormat="1" applyFont="1" applyFill="1" applyBorder="1" applyAlignment="1" applyProtection="1">
      <alignment horizontal="right" vertical="center" indent="1"/>
    </xf>
    <xf numFmtId="14" fontId="21" fillId="9" borderId="119" xfId="3" applyNumberFormat="1" applyFont="1" applyFill="1" applyBorder="1" applyAlignment="1" applyProtection="1">
      <alignment horizontal="right" vertical="center" indent="1"/>
    </xf>
    <xf numFmtId="166" fontId="21" fillId="9" borderId="67" xfId="3" applyNumberFormat="1" applyFont="1" applyFill="1" applyBorder="1" applyAlignment="1" applyProtection="1">
      <alignment horizontal="right" vertical="center" indent="1"/>
    </xf>
    <xf numFmtId="166" fontId="21" fillId="9" borderId="73" xfId="3" applyNumberFormat="1" applyFont="1" applyFill="1" applyBorder="1" applyAlignment="1" applyProtection="1">
      <alignment horizontal="right" vertical="center" indent="1"/>
    </xf>
    <xf numFmtId="14" fontId="21" fillId="9" borderId="67" xfId="3" applyNumberFormat="1" applyFont="1" applyFill="1" applyBorder="1" applyAlignment="1" applyProtection="1">
      <alignment horizontal="right" vertical="center" indent="1"/>
    </xf>
    <xf numFmtId="14" fontId="21" fillId="9" borderId="118" xfId="3" applyNumberFormat="1" applyFont="1" applyFill="1" applyBorder="1" applyAlignment="1" applyProtection="1">
      <alignment horizontal="right" vertical="center" indent="1"/>
    </xf>
    <xf numFmtId="166" fontId="21" fillId="9" borderId="62" xfId="3" applyNumberFormat="1" applyFont="1" applyFill="1" applyBorder="1" applyAlignment="1" applyProtection="1">
      <alignment horizontal="right" vertical="center" indent="1"/>
    </xf>
    <xf numFmtId="166" fontId="21" fillId="9" borderId="117" xfId="3" applyNumberFormat="1" applyFont="1" applyFill="1" applyBorder="1" applyAlignment="1" applyProtection="1">
      <alignment horizontal="right" vertical="center" indent="1"/>
    </xf>
    <xf numFmtId="166" fontId="21" fillId="9" borderId="146" xfId="3" applyNumberFormat="1" applyFont="1" applyFill="1" applyBorder="1" applyAlignment="1" applyProtection="1">
      <alignment horizontal="right" vertical="center" indent="1"/>
    </xf>
    <xf numFmtId="166" fontId="21" fillId="9" borderId="24" xfId="3" applyNumberFormat="1" applyFont="1" applyFill="1" applyBorder="1" applyAlignment="1" applyProtection="1">
      <alignment horizontal="right" vertical="center" indent="1"/>
    </xf>
    <xf numFmtId="14" fontId="21" fillId="9" borderId="146" xfId="3" applyNumberFormat="1" applyFont="1" applyFill="1" applyBorder="1" applyAlignment="1" applyProtection="1">
      <alignment horizontal="right" vertical="center" indent="1"/>
    </xf>
    <xf numFmtId="14" fontId="21" fillId="9" borderId="78" xfId="3" applyNumberFormat="1" applyFont="1" applyFill="1" applyBorder="1" applyAlignment="1" applyProtection="1">
      <alignment horizontal="right" vertical="center" indent="1"/>
    </xf>
    <xf numFmtId="0" fontId="21" fillId="0" borderId="0" xfId="0" applyFont="1"/>
    <xf numFmtId="0" fontId="20" fillId="0" borderId="0" xfId="0" applyFont="1"/>
    <xf numFmtId="0" fontId="21" fillId="0" borderId="0" xfId="0" applyFont="1" applyAlignment="1">
      <alignment horizontal="left" indent="1"/>
    </xf>
    <xf numFmtId="0" fontId="26" fillId="0" borderId="0" xfId="0" applyFont="1" applyAlignment="1">
      <alignment horizontal="left" indent="2"/>
    </xf>
    <xf numFmtId="0" fontId="20" fillId="9" borderId="8" xfId="0" applyFont="1" applyFill="1" applyBorder="1" applyAlignment="1">
      <alignment horizontal="left" indent="1"/>
    </xf>
    <xf numFmtId="0" fontId="21" fillId="9" borderId="8" xfId="0" applyFont="1" applyFill="1" applyBorder="1"/>
    <xf numFmtId="0" fontId="21" fillId="9" borderId="8" xfId="0" applyFont="1" applyFill="1" applyBorder="1" applyAlignment="1">
      <alignment horizontal="left" indent="1"/>
    </xf>
    <xf numFmtId="166" fontId="21" fillId="9" borderId="109" xfId="3" applyNumberFormat="1" applyFont="1" applyFill="1" applyBorder="1" applyAlignment="1" applyProtection="1">
      <alignment horizontal="right" vertical="center" indent="1"/>
    </xf>
    <xf numFmtId="0" fontId="0" fillId="0" borderId="0" xfId="0" applyFont="1" applyProtection="1"/>
    <xf numFmtId="14" fontId="21" fillId="9" borderId="60" xfId="3" applyNumberFormat="1" applyFont="1" applyFill="1" applyBorder="1" applyAlignment="1" applyProtection="1">
      <alignment horizontal="right" vertical="center" indent="1"/>
    </xf>
    <xf numFmtId="0" fontId="20" fillId="0" borderId="65" xfId="3" applyFont="1" applyBorder="1" applyAlignment="1" applyProtection="1">
      <alignment horizontal="left" indent="1"/>
    </xf>
    <xf numFmtId="0" fontId="20" fillId="0" borderId="153" xfId="3" applyFont="1" applyBorder="1" applyAlignment="1" applyProtection="1">
      <alignment horizontal="left" indent="1"/>
    </xf>
    <xf numFmtId="0" fontId="21" fillId="0" borderId="110" xfId="3" applyFont="1" applyBorder="1" applyAlignment="1" applyProtection="1">
      <alignment horizontal="right" vertical="center" wrapText="1" indent="1"/>
    </xf>
    <xf numFmtId="0" fontId="21" fillId="0" borderId="19" xfId="3" applyFont="1" applyBorder="1" applyAlignment="1" applyProtection="1">
      <alignment horizontal="right" vertical="center" indent="1"/>
    </xf>
    <xf numFmtId="0" fontId="21" fillId="0" borderId="19" xfId="3" applyFont="1" applyFill="1" applyBorder="1" applyAlignment="1" applyProtection="1">
      <alignment horizontal="right" vertical="center" indent="2"/>
    </xf>
    <xf numFmtId="0" fontId="21" fillId="0" borderId="52" xfId="3" applyFont="1" applyFill="1" applyBorder="1" applyAlignment="1" applyProtection="1">
      <alignment horizontal="right" vertical="center" indent="2"/>
    </xf>
    <xf numFmtId="166" fontId="21" fillId="9" borderId="111" xfId="3" applyNumberFormat="1" applyFont="1" applyFill="1" applyBorder="1" applyAlignment="1" applyProtection="1">
      <alignment horizontal="right" vertical="center" indent="1"/>
    </xf>
    <xf numFmtId="166" fontId="21" fillId="0" borderId="111" xfId="3" applyNumberFormat="1" applyFont="1" applyFill="1" applyBorder="1" applyAlignment="1" applyProtection="1">
      <alignment horizontal="right" vertical="center" indent="1"/>
    </xf>
    <xf numFmtId="166" fontId="20" fillId="9" borderId="154" xfId="3" applyNumberFormat="1" applyFont="1" applyFill="1" applyBorder="1" applyAlignment="1" applyProtection="1">
      <alignment horizontal="right" vertical="center" indent="1"/>
    </xf>
    <xf numFmtId="166" fontId="21" fillId="9" borderId="149" xfId="3" applyNumberFormat="1" applyFont="1" applyFill="1" applyBorder="1" applyAlignment="1" applyProtection="1">
      <alignment horizontal="right" vertical="center" indent="1"/>
    </xf>
    <xf numFmtId="166" fontId="21" fillId="9" borderId="60" xfId="3" applyNumberFormat="1" applyFont="1" applyFill="1" applyBorder="1" applyAlignment="1" applyProtection="1">
      <alignment horizontal="right" vertical="center" indent="1"/>
    </xf>
    <xf numFmtId="14" fontId="21" fillId="6" borderId="150" xfId="3" applyNumberFormat="1" applyFont="1" applyFill="1" applyBorder="1" applyAlignment="1" applyProtection="1">
      <alignment horizontal="right" vertical="center" indent="1"/>
    </xf>
    <xf numFmtId="166" fontId="21" fillId="9" borderId="50" xfId="3" applyNumberFormat="1" applyFont="1" applyFill="1" applyBorder="1" applyAlignment="1" applyProtection="1">
      <alignment horizontal="right" vertical="center" indent="1"/>
    </xf>
    <xf numFmtId="14" fontId="21" fillId="9" borderId="144" xfId="3" applyNumberFormat="1" applyFont="1" applyFill="1" applyBorder="1" applyAlignment="1" applyProtection="1">
      <alignment horizontal="right" vertical="center" indent="1"/>
    </xf>
    <xf numFmtId="14" fontId="21" fillId="9" borderId="145" xfId="3" applyNumberFormat="1" applyFont="1" applyFill="1" applyBorder="1" applyAlignment="1" applyProtection="1">
      <alignment horizontal="right" vertical="center" indent="1"/>
    </xf>
    <xf numFmtId="166" fontId="20" fillId="9" borderId="65" xfId="3" applyNumberFormat="1" applyFont="1" applyFill="1" applyBorder="1" applyAlignment="1" applyProtection="1">
      <alignment horizontal="right" vertical="center" indent="1"/>
    </xf>
    <xf numFmtId="166" fontId="21" fillId="0" borderId="144" xfId="3" applyNumberFormat="1" applyFont="1" applyFill="1" applyBorder="1" applyAlignment="1" applyProtection="1">
      <alignment horizontal="right" vertical="center" indent="1"/>
    </xf>
    <xf numFmtId="14" fontId="21" fillId="6" borderId="144" xfId="3" applyNumberFormat="1" applyFont="1" applyFill="1" applyBorder="1" applyAlignment="1" applyProtection="1">
      <alignment horizontal="right" vertical="center" indent="1"/>
    </xf>
    <xf numFmtId="14" fontId="21" fillId="6" borderId="145" xfId="3" applyNumberFormat="1" applyFont="1" applyFill="1" applyBorder="1" applyAlignment="1" applyProtection="1">
      <alignment horizontal="right" vertical="center" indent="1"/>
    </xf>
    <xf numFmtId="14" fontId="21" fillId="6" borderId="149" xfId="3" applyNumberFormat="1" applyFont="1" applyFill="1" applyBorder="1" applyAlignment="1" applyProtection="1">
      <alignment horizontal="right" vertical="center" indent="1"/>
    </xf>
    <xf numFmtId="166" fontId="21" fillId="9" borderId="144" xfId="3" applyNumberFormat="1" applyFont="1" applyFill="1" applyBorder="1" applyAlignment="1" applyProtection="1">
      <alignment horizontal="right" vertical="center" indent="1"/>
    </xf>
    <xf numFmtId="166" fontId="21" fillId="0" borderId="155" xfId="3" applyNumberFormat="1" applyFont="1" applyFill="1" applyBorder="1" applyAlignment="1" applyProtection="1">
      <alignment horizontal="right" vertical="center" indent="1"/>
    </xf>
    <xf numFmtId="14" fontId="21" fillId="6" borderId="156" xfId="3" applyNumberFormat="1" applyFont="1" applyFill="1" applyBorder="1" applyAlignment="1" applyProtection="1">
      <alignment horizontal="right" vertical="center" indent="1"/>
    </xf>
    <xf numFmtId="166" fontId="21" fillId="0" borderId="50" xfId="3" applyNumberFormat="1" applyFont="1" applyFill="1" applyBorder="1" applyAlignment="1" applyProtection="1">
      <alignment horizontal="right" vertical="center" indent="1"/>
    </xf>
    <xf numFmtId="166" fontId="20" fillId="9" borderId="103" xfId="3" applyNumberFormat="1" applyFont="1" applyFill="1" applyBorder="1" applyAlignment="1" applyProtection="1">
      <alignment horizontal="right" vertical="center" indent="1"/>
    </xf>
    <xf numFmtId="166" fontId="21" fillId="9" borderId="103" xfId="3" applyNumberFormat="1" applyFont="1" applyFill="1" applyBorder="1" applyAlignment="1" applyProtection="1">
      <alignment horizontal="right" vertical="center" indent="1"/>
    </xf>
    <xf numFmtId="0" fontId="10" fillId="0" borderId="60" xfId="3" applyBorder="1" applyProtection="1"/>
    <xf numFmtId="14" fontId="21" fillId="9" borderId="103" xfId="3" applyNumberFormat="1" applyFont="1" applyFill="1" applyBorder="1" applyAlignment="1" applyProtection="1">
      <alignment horizontal="right" vertical="center" indent="1"/>
    </xf>
    <xf numFmtId="14" fontId="21" fillId="9" borderId="111" xfId="3" applyNumberFormat="1" applyFont="1" applyFill="1" applyBorder="1" applyAlignment="1" applyProtection="1">
      <alignment horizontal="right" vertical="center" indent="1"/>
    </xf>
    <xf numFmtId="166" fontId="21" fillId="0" borderId="103" xfId="3" applyNumberFormat="1" applyFont="1" applyFill="1" applyBorder="1" applyAlignment="1" applyProtection="1">
      <alignment horizontal="right" vertical="center" indent="1"/>
    </xf>
    <xf numFmtId="14" fontId="21" fillId="6" borderId="103" xfId="3" applyNumberFormat="1" applyFont="1" applyFill="1" applyBorder="1" applyAlignment="1" applyProtection="1">
      <alignment horizontal="right" vertical="center" indent="1"/>
    </xf>
    <xf numFmtId="14" fontId="21" fillId="6" borderId="111" xfId="3" applyNumberFormat="1" applyFont="1" applyFill="1" applyBorder="1" applyAlignment="1" applyProtection="1">
      <alignment horizontal="right" vertical="center" indent="1"/>
    </xf>
    <xf numFmtId="166" fontId="21" fillId="9" borderId="155" xfId="3" applyNumberFormat="1" applyFont="1" applyFill="1" applyBorder="1" applyAlignment="1" applyProtection="1">
      <alignment horizontal="right" vertical="center" indent="1"/>
    </xf>
    <xf numFmtId="14" fontId="21" fillId="9" borderId="149" xfId="3" applyNumberFormat="1" applyFont="1" applyFill="1" applyBorder="1" applyAlignment="1" applyProtection="1">
      <alignment horizontal="right" vertical="center" indent="1"/>
    </xf>
    <xf numFmtId="14" fontId="21" fillId="9" borderId="150" xfId="3" applyNumberFormat="1" applyFont="1" applyFill="1" applyBorder="1" applyAlignment="1" applyProtection="1">
      <alignment horizontal="right" vertical="center" indent="1"/>
    </xf>
    <xf numFmtId="14" fontId="21" fillId="9" borderId="156" xfId="3" applyNumberFormat="1" applyFont="1" applyFill="1" applyBorder="1" applyAlignment="1" applyProtection="1">
      <alignment horizontal="right" vertical="center" indent="1"/>
    </xf>
    <xf numFmtId="0" fontId="20" fillId="2" borderId="35" xfId="0" applyFont="1" applyFill="1" applyBorder="1" applyAlignment="1">
      <alignment horizontal="center" vertical="top" wrapText="1"/>
    </xf>
    <xf numFmtId="0" fontId="6" fillId="2" borderId="2" xfId="4" applyFont="1" applyFill="1" applyBorder="1" applyAlignment="1">
      <alignment horizontal="left" indent="1"/>
    </xf>
    <xf numFmtId="3" fontId="20" fillId="6" borderId="159" xfId="3" applyNumberFormat="1" applyFont="1" applyFill="1" applyBorder="1" applyAlignment="1" applyProtection="1">
      <alignment horizontal="right" vertical="center" indent="1"/>
      <protection locked="0"/>
    </xf>
    <xf numFmtId="3" fontId="20" fillId="6" borderId="160" xfId="3" applyNumberFormat="1" applyFont="1" applyFill="1" applyBorder="1" applyAlignment="1" applyProtection="1">
      <alignment horizontal="right" vertical="center" indent="1"/>
      <protection locked="0"/>
    </xf>
    <xf numFmtId="3" fontId="11" fillId="15" borderId="160" xfId="3" applyNumberFormat="1" applyFont="1" applyFill="1" applyBorder="1" applyAlignment="1" applyProtection="1">
      <alignment horizontal="right" vertical="center" indent="1"/>
      <protection locked="0"/>
    </xf>
    <xf numFmtId="0" fontId="0" fillId="0" borderId="0" xfId="0" applyFill="1"/>
    <xf numFmtId="0" fontId="24" fillId="0" borderId="0" xfId="0" applyFont="1" applyFill="1" applyAlignment="1">
      <alignment vertical="top"/>
    </xf>
    <xf numFmtId="14" fontId="20" fillId="6" borderId="157" xfId="3" applyNumberFormat="1" applyFont="1" applyFill="1" applyBorder="1" applyAlignment="1" applyProtection="1">
      <alignment horizontal="right" vertical="center" indent="1"/>
      <protection locked="0"/>
    </xf>
    <xf numFmtId="14" fontId="20" fillId="6" borderId="158" xfId="3" applyNumberFormat="1" applyFont="1" applyFill="1" applyBorder="1" applyAlignment="1" applyProtection="1">
      <alignment horizontal="right" vertical="center" indent="1"/>
      <protection locked="0"/>
    </xf>
    <xf numFmtId="0" fontId="7" fillId="14" borderId="0" xfId="0" applyFont="1" applyFill="1" applyAlignment="1">
      <alignment vertical="center"/>
    </xf>
    <xf numFmtId="0" fontId="21" fillId="0" borderId="0" xfId="0" applyFont="1" applyAlignment="1">
      <alignment wrapText="1"/>
    </xf>
    <xf numFmtId="0" fontId="21" fillId="0" borderId="44" xfId="3" applyFont="1" applyBorder="1" applyAlignment="1" applyProtection="1">
      <alignment vertical="center" wrapText="1"/>
    </xf>
    <xf numFmtId="0" fontId="21" fillId="0" borderId="52" xfId="3" applyFont="1" applyBorder="1" applyAlignment="1" applyProtection="1">
      <alignment vertical="center" wrapText="1"/>
    </xf>
    <xf numFmtId="0" fontId="21" fillId="0" borderId="71" xfId="3" applyFont="1" applyBorder="1" applyAlignment="1" applyProtection="1">
      <alignment vertical="center" wrapText="1"/>
    </xf>
    <xf numFmtId="0" fontId="21" fillId="0" borderId="0" xfId="7" applyFont="1" applyBorder="1"/>
    <xf numFmtId="0" fontId="21" fillId="0" borderId="0" xfId="7" applyNumberFormat="1" applyFont="1" applyBorder="1"/>
    <xf numFmtId="0" fontId="21" fillId="0" borderId="0" xfId="7" applyNumberFormat="1" applyFont="1" applyBorder="1" applyAlignment="1">
      <alignment horizontal="center"/>
    </xf>
    <xf numFmtId="0" fontId="20" fillId="0" borderId="0" xfId="7" applyFont="1" applyFill="1" applyBorder="1" applyAlignment="1">
      <alignment horizontal="center"/>
    </xf>
    <xf numFmtId="0" fontId="20" fillId="0" borderId="2" xfId="7" applyFont="1" applyFill="1" applyBorder="1" applyAlignment="1">
      <alignment horizontal="center"/>
    </xf>
    <xf numFmtId="0" fontId="20" fillId="2" borderId="13" xfId="7" applyNumberFormat="1" applyFont="1" applyFill="1" applyBorder="1" applyAlignment="1">
      <alignment horizontal="center" wrapText="1"/>
    </xf>
    <xf numFmtId="0" fontId="20" fillId="2" borderId="83" xfId="7" applyFont="1" applyFill="1" applyBorder="1" applyAlignment="1">
      <alignment horizontal="center"/>
    </xf>
    <xf numFmtId="0" fontId="20" fillId="2" borderId="55" xfId="7" applyNumberFormat="1" applyFont="1" applyFill="1" applyBorder="1" applyAlignment="1">
      <alignment horizontal="center"/>
    </xf>
    <xf numFmtId="0" fontId="20" fillId="2" borderId="16" xfId="7" applyFont="1" applyFill="1" applyBorder="1" applyAlignment="1">
      <alignment horizontal="center"/>
    </xf>
    <xf numFmtId="0" fontId="20" fillId="2" borderId="84" xfId="7" applyFont="1" applyFill="1" applyBorder="1" applyAlignment="1">
      <alignment horizontal="center"/>
    </xf>
    <xf numFmtId="0" fontId="20" fillId="2" borderId="14" xfId="7" applyFont="1" applyFill="1" applyBorder="1" applyAlignment="1">
      <alignment horizontal="center"/>
    </xf>
    <xf numFmtId="0" fontId="20" fillId="2" borderId="15" xfId="7" applyFont="1" applyFill="1" applyBorder="1" applyAlignment="1">
      <alignment horizontal="center"/>
    </xf>
    <xf numFmtId="0" fontId="20" fillId="0" borderId="60" xfId="7" applyFont="1" applyFill="1" applyBorder="1" applyAlignment="1">
      <alignment horizontal="center"/>
    </xf>
    <xf numFmtId="0" fontId="20" fillId="0" borderId="56" xfId="7" applyFont="1" applyFill="1" applyBorder="1" applyAlignment="1">
      <alignment horizontal="left"/>
    </xf>
    <xf numFmtId="0" fontId="21" fillId="0" borderId="0" xfId="7" applyFont="1" applyFill="1" applyBorder="1"/>
    <xf numFmtId="0" fontId="20" fillId="0" borderId="58" xfId="7" applyFont="1" applyFill="1" applyBorder="1" applyAlignment="1">
      <alignment horizontal="left"/>
    </xf>
    <xf numFmtId="0" fontId="21" fillId="0" borderId="58" xfId="7" applyFont="1" applyFill="1" applyBorder="1" applyAlignment="1">
      <alignment horizontal="left"/>
    </xf>
    <xf numFmtId="0" fontId="21" fillId="0" borderId="20" xfId="7" applyFont="1" applyFill="1" applyBorder="1" applyAlignment="1">
      <alignment horizontal="left"/>
    </xf>
    <xf numFmtId="0" fontId="21" fillId="0" borderId="37" xfId="7" applyFont="1" applyFill="1" applyBorder="1" applyAlignment="1">
      <alignment horizontal="center"/>
    </xf>
    <xf numFmtId="0" fontId="21" fillId="0" borderId="58" xfId="7" applyFont="1" applyFill="1" applyBorder="1" applyAlignment="1">
      <alignment horizontal="center"/>
    </xf>
    <xf numFmtId="1" fontId="21" fillId="0" borderId="110" xfId="7" applyNumberFormat="1" applyFont="1" applyFill="1" applyBorder="1" applyAlignment="1">
      <alignment horizontal="center"/>
    </xf>
    <xf numFmtId="168" fontId="21" fillId="0" borderId="58" xfId="7" applyNumberFormat="1" applyFont="1" applyFill="1" applyBorder="1" applyAlignment="1">
      <alignment horizontal="right" indent="1"/>
    </xf>
    <xf numFmtId="168" fontId="21" fillId="0" borderId="20" xfId="7" applyNumberFormat="1" applyFont="1" applyFill="1" applyBorder="1" applyAlignment="1">
      <alignment horizontal="right" indent="1"/>
    </xf>
    <xf numFmtId="168" fontId="21" fillId="0" borderId="110" xfId="7" applyNumberFormat="1" applyFont="1" applyFill="1" applyBorder="1" applyAlignment="1">
      <alignment horizontal="right" indent="1"/>
    </xf>
    <xf numFmtId="0" fontId="20" fillId="0" borderId="67" xfId="7" applyFont="1" applyFill="1" applyBorder="1" applyAlignment="1">
      <alignment horizontal="left"/>
    </xf>
    <xf numFmtId="0" fontId="21" fillId="0" borderId="67" xfId="7" applyFont="1" applyFill="1" applyBorder="1" applyAlignment="1">
      <alignment horizontal="left"/>
    </xf>
    <xf numFmtId="0" fontId="21" fillId="0" borderId="68" xfId="7" applyFont="1" applyFill="1" applyBorder="1" applyAlignment="1">
      <alignment horizontal="left"/>
    </xf>
    <xf numFmtId="0" fontId="21" fillId="0" borderId="108" xfId="7" applyFont="1" applyFill="1" applyBorder="1" applyAlignment="1">
      <alignment horizontal="center"/>
    </xf>
    <xf numFmtId="0" fontId="21" fillId="0" borderId="67" xfId="7" applyFont="1" applyFill="1" applyBorder="1" applyAlignment="1">
      <alignment horizontal="center"/>
    </xf>
    <xf numFmtId="1" fontId="21" fillId="0" borderId="118" xfId="7" applyNumberFormat="1" applyFont="1" applyFill="1" applyBorder="1" applyAlignment="1">
      <alignment horizontal="center"/>
    </xf>
    <xf numFmtId="168" fontId="21" fillId="0" borderId="67" xfId="7" applyNumberFormat="1" applyFont="1" applyFill="1" applyBorder="1" applyAlignment="1">
      <alignment horizontal="right" indent="1"/>
    </xf>
    <xf numFmtId="168" fontId="21" fillId="0" borderId="68" xfId="7" applyNumberFormat="1" applyFont="1" applyFill="1" applyBorder="1" applyAlignment="1">
      <alignment horizontal="right" indent="1"/>
    </xf>
    <xf numFmtId="168" fontId="21" fillId="0" borderId="118" xfId="7" applyNumberFormat="1" applyFont="1" applyFill="1" applyBorder="1" applyAlignment="1">
      <alignment horizontal="right" indent="1"/>
    </xf>
    <xf numFmtId="0" fontId="20" fillId="0" borderId="57" xfId="7" applyFont="1" applyFill="1" applyBorder="1" applyAlignment="1">
      <alignment horizontal="left"/>
    </xf>
    <xf numFmtId="0" fontId="21" fillId="0" borderId="57" xfId="7" applyFont="1" applyFill="1" applyBorder="1" applyAlignment="1">
      <alignment horizontal="left"/>
    </xf>
    <xf numFmtId="0" fontId="21" fillId="0" borderId="19" xfId="7" applyFont="1" applyFill="1" applyBorder="1" applyAlignment="1">
      <alignment horizontal="left"/>
    </xf>
    <xf numFmtId="0" fontId="21" fillId="0" borderId="38" xfId="7" applyFont="1" applyFill="1" applyBorder="1" applyAlignment="1">
      <alignment horizontal="center"/>
    </xf>
    <xf numFmtId="0" fontId="21" fillId="0" borderId="57" xfId="7" applyFont="1" applyFill="1" applyBorder="1" applyAlignment="1">
      <alignment horizontal="center"/>
    </xf>
    <xf numFmtId="1" fontId="21" fillId="0" borderId="109" xfId="7" applyNumberFormat="1" applyFont="1" applyFill="1" applyBorder="1" applyAlignment="1">
      <alignment horizontal="center"/>
    </xf>
    <xf numFmtId="168" fontId="21" fillId="0" borderId="57" xfId="7" applyNumberFormat="1" applyFont="1" applyFill="1" applyBorder="1" applyAlignment="1">
      <alignment horizontal="right" indent="1"/>
    </xf>
    <xf numFmtId="168" fontId="21" fillId="0" borderId="19" xfId="7" applyNumberFormat="1" applyFont="1" applyFill="1" applyBorder="1" applyAlignment="1">
      <alignment horizontal="right" indent="1"/>
    </xf>
    <xf numFmtId="168" fontId="21" fillId="0" borderId="109" xfId="7" applyNumberFormat="1" applyFont="1" applyFill="1" applyBorder="1" applyAlignment="1">
      <alignment horizontal="right" indent="1"/>
    </xf>
    <xf numFmtId="0" fontId="20" fillId="0" borderId="59" xfId="7" applyFont="1" applyFill="1" applyBorder="1" applyAlignment="1">
      <alignment horizontal="left"/>
    </xf>
    <xf numFmtId="0" fontId="21" fillId="0" borderId="59" xfId="7" applyFont="1" applyFill="1" applyBorder="1" applyAlignment="1">
      <alignment horizontal="left"/>
    </xf>
    <xf numFmtId="0" fontId="21" fillId="0" borderId="22" xfId="7" applyFont="1" applyFill="1" applyBorder="1" applyAlignment="1">
      <alignment horizontal="left"/>
    </xf>
    <xf numFmtId="0" fontId="21" fillId="0" borderId="113" xfId="7" applyFont="1" applyFill="1" applyBorder="1" applyAlignment="1">
      <alignment horizontal="center"/>
    </xf>
    <xf numFmtId="0" fontId="21" fillId="0" borderId="59" xfId="7" applyFont="1" applyFill="1" applyBorder="1" applyAlignment="1">
      <alignment horizontal="center"/>
    </xf>
    <xf numFmtId="1" fontId="21" fillId="0" borderId="111" xfId="7" applyNumberFormat="1" applyFont="1" applyFill="1" applyBorder="1" applyAlignment="1">
      <alignment horizontal="center"/>
    </xf>
    <xf numFmtId="168" fontId="21" fillId="0" borderId="59" xfId="7" applyNumberFormat="1" applyFont="1" applyFill="1" applyBorder="1" applyAlignment="1">
      <alignment horizontal="right" indent="1"/>
    </xf>
    <xf numFmtId="168" fontId="21" fillId="0" borderId="22" xfId="7" applyNumberFormat="1" applyFont="1" applyFill="1" applyBorder="1" applyAlignment="1">
      <alignment horizontal="right" indent="1"/>
    </xf>
    <xf numFmtId="168" fontId="21" fillId="0" borderId="111" xfId="7" applyNumberFormat="1" applyFont="1" applyFill="1" applyBorder="1" applyAlignment="1">
      <alignment horizontal="right" indent="1"/>
    </xf>
    <xf numFmtId="0" fontId="21" fillId="0" borderId="0" xfId="7" applyFont="1" applyFill="1" applyBorder="1" applyAlignment="1">
      <alignment vertical="center"/>
    </xf>
    <xf numFmtId="0" fontId="21" fillId="0" borderId="0" xfId="7" applyFont="1" applyFill="1" applyBorder="1" applyAlignment="1">
      <alignment horizontal="center" vertical="center"/>
    </xf>
    <xf numFmtId="167" fontId="21" fillId="0" borderId="0" xfId="7" applyNumberFormat="1" applyFont="1" applyFill="1" applyBorder="1" applyAlignment="1">
      <alignment horizontal="right" indent="1"/>
    </xf>
    <xf numFmtId="0" fontId="21" fillId="0" borderId="0" xfId="7" applyNumberFormat="1" applyFont="1" applyFill="1" applyBorder="1" applyAlignment="1">
      <alignment horizontal="right" indent="1"/>
    </xf>
    <xf numFmtId="0" fontId="21" fillId="0" borderId="0" xfId="7" applyNumberFormat="1" applyFont="1" applyFill="1" applyBorder="1" applyAlignment="1">
      <alignment horizontal="center"/>
    </xf>
    <xf numFmtId="0" fontId="21" fillId="0" borderId="0" xfId="7" applyFont="1" applyFill="1" applyBorder="1" applyAlignment="1">
      <alignment horizontal="right" indent="1"/>
    </xf>
    <xf numFmtId="168" fontId="21" fillId="0" borderId="0" xfId="7" applyNumberFormat="1" applyFont="1" applyFill="1" applyBorder="1" applyAlignment="1">
      <alignment horizontal="right" indent="1"/>
    </xf>
    <xf numFmtId="0" fontId="20" fillId="2" borderId="55" xfId="7" applyFont="1" applyFill="1" applyBorder="1" applyAlignment="1">
      <alignment horizontal="center"/>
    </xf>
    <xf numFmtId="0" fontId="20" fillId="2" borderId="34" xfId="7" applyFont="1" applyFill="1" applyBorder="1" applyAlignment="1">
      <alignment horizontal="center"/>
    </xf>
    <xf numFmtId="0" fontId="20" fillId="2" borderId="55" xfId="7" applyFont="1" applyFill="1" applyBorder="1" applyAlignment="1">
      <alignment horizontal="center" wrapText="1"/>
    </xf>
    <xf numFmtId="167" fontId="20" fillId="2" borderId="34" xfId="7" applyNumberFormat="1" applyFont="1" applyFill="1" applyBorder="1" applyAlignment="1">
      <alignment horizontal="center"/>
    </xf>
    <xf numFmtId="167" fontId="20" fillId="2" borderId="34" xfId="7" applyNumberFormat="1" applyFont="1" applyFill="1" applyBorder="1" applyAlignment="1">
      <alignment horizontal="center" wrapText="1"/>
    </xf>
    <xf numFmtId="0" fontId="20" fillId="2" borderId="55" xfId="7" applyNumberFormat="1" applyFont="1" applyFill="1" applyBorder="1" applyAlignment="1">
      <alignment horizontal="center" wrapText="1"/>
    </xf>
    <xf numFmtId="170" fontId="21" fillId="0" borderId="110" xfId="8" applyNumberFormat="1" applyFont="1" applyFill="1" applyBorder="1" applyAlignment="1">
      <alignment horizontal="center"/>
    </xf>
    <xf numFmtId="170" fontId="21" fillId="0" borderId="111" xfId="8" applyNumberFormat="1" applyFont="1" applyFill="1" applyBorder="1" applyAlignment="1">
      <alignment horizontal="center"/>
    </xf>
    <xf numFmtId="0" fontId="21" fillId="0" borderId="0" xfId="7" applyFont="1" applyFill="1" applyBorder="1" applyAlignment="1">
      <alignment vertical="center" wrapText="1"/>
    </xf>
    <xf numFmtId="170" fontId="21" fillId="0" borderId="0" xfId="7" applyNumberFormat="1" applyFont="1" applyFill="1" applyBorder="1" applyAlignment="1">
      <alignment horizontal="center"/>
    </xf>
    <xf numFmtId="0" fontId="21" fillId="0" borderId="0" xfId="7" applyFont="1" applyFill="1" applyBorder="1" applyAlignment="1">
      <alignment horizontal="left"/>
    </xf>
    <xf numFmtId="0" fontId="21" fillId="0" borderId="0" xfId="7" applyFont="1" applyFill="1" applyBorder="1" applyAlignment="1">
      <alignment horizontal="center"/>
    </xf>
    <xf numFmtId="1" fontId="21" fillId="0" borderId="0" xfId="7" applyNumberFormat="1" applyFont="1" applyFill="1" applyBorder="1" applyAlignment="1">
      <alignment horizontal="center"/>
    </xf>
    <xf numFmtId="170" fontId="21" fillId="0" borderId="0" xfId="8" applyNumberFormat="1" applyFont="1" applyFill="1" applyBorder="1" applyAlignment="1">
      <alignment horizontal="center"/>
    </xf>
    <xf numFmtId="0" fontId="4" fillId="0" borderId="0" xfId="7"/>
    <xf numFmtId="0" fontId="20" fillId="0" borderId="8" xfId="7" applyFont="1" applyFill="1" applyBorder="1" applyAlignment="1">
      <alignment vertical="center"/>
    </xf>
    <xf numFmtId="0" fontId="21" fillId="0" borderId="8" xfId="7" applyFont="1" applyFill="1" applyBorder="1" applyAlignment="1">
      <alignment horizontal="left"/>
    </xf>
    <xf numFmtId="0" fontId="21" fillId="0" borderId="8" xfId="7" applyFont="1" applyFill="1" applyBorder="1" applyAlignment="1">
      <alignment horizontal="center"/>
    </xf>
    <xf numFmtId="1" fontId="21" fillId="0" borderId="8" xfId="7" applyNumberFormat="1" applyFont="1" applyFill="1" applyBorder="1" applyAlignment="1">
      <alignment horizontal="center"/>
    </xf>
    <xf numFmtId="0" fontId="21" fillId="0" borderId="8" xfId="7" applyFont="1" applyFill="1" applyBorder="1"/>
    <xf numFmtId="170" fontId="21" fillId="0" borderId="8" xfId="8" applyNumberFormat="1" applyFont="1" applyFill="1" applyBorder="1" applyAlignment="1">
      <alignment horizontal="center"/>
    </xf>
    <xf numFmtId="0" fontId="21" fillId="0" borderId="0" xfId="9" applyFont="1" applyFill="1" applyBorder="1" applyAlignment="1">
      <alignment horizontal="center" vertical="center"/>
    </xf>
    <xf numFmtId="0" fontId="21" fillId="0" borderId="0" xfId="9" applyFont="1" applyFill="1" applyBorder="1" applyAlignment="1">
      <alignment vertical="center"/>
    </xf>
    <xf numFmtId="167" fontId="21" fillId="0" borderId="0" xfId="9" applyNumberFormat="1" applyFont="1" applyFill="1" applyBorder="1" applyAlignment="1">
      <alignment horizontal="right" indent="1"/>
    </xf>
    <xf numFmtId="0" fontId="21" fillId="0" borderId="0" xfId="9" applyNumberFormat="1" applyFont="1" applyFill="1" applyBorder="1" applyAlignment="1">
      <alignment horizontal="right" indent="1"/>
    </xf>
    <xf numFmtId="0" fontId="21" fillId="0" borderId="0" xfId="9" applyNumberFormat="1" applyFont="1" applyFill="1" applyBorder="1" applyAlignment="1">
      <alignment horizontal="center"/>
    </xf>
    <xf numFmtId="0" fontId="21" fillId="0" borderId="0" xfId="9" applyFont="1" applyFill="1" applyBorder="1" applyAlignment="1">
      <alignment horizontal="right" indent="1"/>
    </xf>
    <xf numFmtId="168" fontId="21" fillId="0" borderId="0" xfId="9" applyNumberFormat="1" applyFont="1" applyFill="1" applyBorder="1" applyAlignment="1">
      <alignment horizontal="right" indent="1"/>
    </xf>
    <xf numFmtId="0" fontId="21" fillId="0" borderId="0" xfId="9" applyFont="1" applyFill="1" applyBorder="1"/>
    <xf numFmtId="0" fontId="21" fillId="0" borderId="0" xfId="7" applyFont="1" applyBorder="1" applyAlignment="1">
      <alignment horizontal="center"/>
    </xf>
    <xf numFmtId="167" fontId="20" fillId="0" borderId="0" xfId="7" applyNumberFormat="1" applyFont="1" applyFill="1" applyBorder="1" applyAlignment="1">
      <alignment horizontal="center"/>
    </xf>
    <xf numFmtId="0" fontId="20" fillId="0" borderId="132" xfId="7" applyNumberFormat="1" applyFont="1" applyFill="1" applyBorder="1" applyAlignment="1">
      <alignment horizontal="center"/>
    </xf>
    <xf numFmtId="0" fontId="20" fillId="0" borderId="83" xfId="7" applyFont="1" applyFill="1" applyBorder="1" applyAlignment="1">
      <alignment horizontal="center"/>
    </xf>
    <xf numFmtId="0" fontId="20" fillId="2" borderId="14" xfId="7" applyFont="1" applyFill="1" applyBorder="1" applyAlignment="1">
      <alignment horizontal="center" wrapText="1"/>
    </xf>
    <xf numFmtId="0" fontId="20" fillId="2" borderId="70" xfId="7" applyFont="1" applyFill="1" applyBorder="1" applyAlignment="1">
      <alignment horizontal="center"/>
    </xf>
    <xf numFmtId="0" fontId="20" fillId="2" borderId="71" xfId="7" applyFont="1" applyFill="1" applyBorder="1" applyAlignment="1">
      <alignment horizontal="center"/>
    </xf>
    <xf numFmtId="0" fontId="21" fillId="0" borderId="88" xfId="7" applyFont="1" applyFill="1" applyBorder="1"/>
    <xf numFmtId="0" fontId="20" fillId="0" borderId="105" xfId="7" applyFont="1" applyFill="1" applyBorder="1" applyAlignment="1">
      <alignment horizontal="left"/>
    </xf>
    <xf numFmtId="171" fontId="21" fillId="0" borderId="44" xfId="3" applyNumberFormat="1" applyFont="1" applyBorder="1" applyAlignment="1" applyProtection="1">
      <alignment horizontal="right" vertical="center" wrapText="1" indent="1"/>
    </xf>
    <xf numFmtId="171" fontId="21" fillId="0" borderId="52" xfId="3" applyNumberFormat="1" applyFont="1" applyBorder="1" applyAlignment="1" applyProtection="1">
      <alignment horizontal="right" vertical="center" wrapText="1" indent="1"/>
    </xf>
    <xf numFmtId="0" fontId="31" fillId="2" borderId="33" xfId="3" applyFont="1" applyFill="1" applyBorder="1" applyAlignment="1" applyProtection="1">
      <alignment horizontal="center" vertical="center" wrapText="1"/>
    </xf>
    <xf numFmtId="0" fontId="31" fillId="2" borderId="14" xfId="3" applyFont="1" applyFill="1" applyBorder="1" applyAlignment="1" applyProtection="1">
      <alignment horizontal="center" vertical="center" wrapText="1"/>
    </xf>
    <xf numFmtId="0" fontId="31" fillId="2" borderId="84" xfId="3" applyFont="1" applyFill="1" applyBorder="1" applyAlignment="1" applyProtection="1">
      <alignment horizontal="center" vertical="center" wrapText="1"/>
    </xf>
    <xf numFmtId="0" fontId="37" fillId="0" borderId="61" xfId="3" applyFont="1" applyBorder="1" applyAlignment="1" applyProtection="1">
      <alignment horizontal="right" vertical="center" wrapText="1" indent="1"/>
    </xf>
    <xf numFmtId="0" fontId="29" fillId="0" borderId="0" xfId="0" applyFont="1" applyAlignment="1">
      <alignment horizontal="center"/>
    </xf>
    <xf numFmtId="14" fontId="29" fillId="0" borderId="70" xfId="3" applyNumberFormat="1" applyFont="1" applyBorder="1" applyAlignment="1" applyProtection="1">
      <alignment horizontal="right" vertical="center" wrapText="1" indent="1"/>
    </xf>
    <xf numFmtId="2" fontId="29" fillId="0" borderId="96" xfId="3" applyNumberFormat="1" applyFont="1" applyBorder="1" applyAlignment="1" applyProtection="1">
      <alignment horizontal="right" vertical="center" wrapText="1" indent="1"/>
    </xf>
    <xf numFmtId="0" fontId="29" fillId="0" borderId="64" xfId="3" applyFont="1" applyBorder="1" applyAlignment="1" applyProtection="1">
      <alignment horizontal="left" vertical="top" wrapText="1" indent="1"/>
    </xf>
    <xf numFmtId="14" fontId="29" fillId="0" borderId="99" xfId="3" applyNumberFormat="1" applyFont="1" applyBorder="1" applyAlignment="1" applyProtection="1">
      <alignment horizontal="right" vertical="center" wrapText="1" indent="1"/>
    </xf>
    <xf numFmtId="2" fontId="29" fillId="0" borderId="77" xfId="3" applyNumberFormat="1" applyFont="1" applyBorder="1" applyAlignment="1" applyProtection="1">
      <alignment horizontal="right" vertical="center" wrapText="1" indent="1"/>
    </xf>
    <xf numFmtId="0" fontId="37" fillId="0" borderId="66" xfId="3" applyFont="1" applyBorder="1" applyAlignment="1" applyProtection="1">
      <alignment horizontal="right" vertical="center" wrapText="1" indent="1"/>
    </xf>
    <xf numFmtId="14" fontId="29" fillId="0" borderId="144" xfId="3" applyNumberFormat="1" applyFont="1" applyBorder="1" applyAlignment="1" applyProtection="1">
      <alignment horizontal="right" vertical="center" wrapText="1" indent="1"/>
    </xf>
    <xf numFmtId="2" fontId="29" fillId="0" borderId="145" xfId="3" applyNumberFormat="1" applyFont="1" applyBorder="1" applyAlignment="1" applyProtection="1">
      <alignment horizontal="right" vertical="center" wrapText="1" indent="1"/>
    </xf>
    <xf numFmtId="0" fontId="29" fillId="0" borderId="174" xfId="3" applyFont="1" applyBorder="1" applyAlignment="1">
      <alignment horizontal="left" vertical="top" wrapText="1" indent="1"/>
    </xf>
    <xf numFmtId="14" fontId="29" fillId="0" borderId="92" xfId="3" applyNumberFormat="1" applyFont="1" applyBorder="1" applyAlignment="1" applyProtection="1">
      <alignment horizontal="right" vertical="center" wrapText="1" indent="1"/>
    </xf>
    <xf numFmtId="2" fontId="29" fillId="0" borderId="95" xfId="3" applyNumberFormat="1" applyFont="1" applyBorder="1" applyAlignment="1" applyProtection="1">
      <alignment horizontal="right" vertical="center" wrapText="1" indent="1"/>
    </xf>
    <xf numFmtId="0" fontId="37" fillId="0" borderId="66" xfId="3" applyFont="1" applyBorder="1" applyAlignment="1">
      <alignment horizontal="right" vertical="center" wrapText="1" indent="1"/>
    </xf>
    <xf numFmtId="0" fontId="29" fillId="0" borderId="174" xfId="3" applyFont="1" applyBorder="1" applyAlignment="1" applyProtection="1">
      <alignment horizontal="left" vertical="top" wrapText="1" indent="1"/>
    </xf>
    <xf numFmtId="0" fontId="38" fillId="0" borderId="8" xfId="0" applyFont="1" applyBorder="1"/>
    <xf numFmtId="0" fontId="29" fillId="0" borderId="8" xfId="0" applyFont="1" applyBorder="1"/>
    <xf numFmtId="0" fontId="29" fillId="0" borderId="8" xfId="0" applyFont="1" applyBorder="1" applyAlignment="1">
      <alignment horizontal="center"/>
    </xf>
    <xf numFmtId="0" fontId="20" fillId="2" borderId="33" xfId="3" applyFont="1" applyFill="1" applyBorder="1" applyAlignment="1">
      <alignment horizontal="center" vertical="center" wrapText="1"/>
    </xf>
    <xf numFmtId="0" fontId="27" fillId="0" borderId="102" xfId="3" applyFont="1" applyBorder="1" applyAlignment="1" applyProtection="1">
      <alignment horizontal="center" vertical="center"/>
    </xf>
    <xf numFmtId="0" fontId="20" fillId="0" borderId="90" xfId="0" applyFont="1" applyFill="1" applyBorder="1"/>
    <xf numFmtId="0" fontId="20" fillId="0" borderId="90" xfId="0" applyFont="1" applyBorder="1"/>
    <xf numFmtId="0" fontId="20" fillId="2" borderId="9" xfId="0" applyFont="1" applyFill="1" applyBorder="1" applyAlignment="1">
      <alignment horizontal="center" vertical="center" wrapText="1"/>
    </xf>
    <xf numFmtId="0" fontId="20" fillId="0" borderId="4" xfId="0" applyFont="1" applyBorder="1" applyAlignment="1">
      <alignment horizontal="left" indent="1"/>
    </xf>
    <xf numFmtId="0" fontId="21" fillId="11" borderId="4" xfId="0" applyFont="1" applyFill="1" applyBorder="1" applyAlignment="1">
      <alignment horizontal="right" indent="1"/>
    </xf>
    <xf numFmtId="10" fontId="21" fillId="0" borderId="4" xfId="5" applyNumberFormat="1" applyFont="1" applyBorder="1"/>
    <xf numFmtId="0" fontId="21" fillId="0" borderId="4" xfId="0" applyFont="1" applyBorder="1" applyAlignment="1">
      <alignment horizontal="right" indent="1"/>
    </xf>
    <xf numFmtId="0" fontId="20" fillId="0" borderId="40" xfId="0" applyFont="1" applyBorder="1" applyAlignment="1">
      <alignment horizontal="left" indent="1"/>
    </xf>
    <xf numFmtId="0" fontId="20" fillId="0" borderId="79" xfId="0" applyFont="1" applyBorder="1" applyAlignment="1">
      <alignment horizontal="left" indent="1"/>
    </xf>
    <xf numFmtId="0" fontId="21" fillId="11" borderId="79" xfId="0" applyFont="1" applyFill="1" applyBorder="1" applyAlignment="1">
      <alignment horizontal="right" indent="1"/>
    </xf>
    <xf numFmtId="10" fontId="21" fillId="0" borderId="79" xfId="5" applyNumberFormat="1" applyFont="1" applyBorder="1"/>
    <xf numFmtId="0" fontId="21" fillId="0" borderId="79" xfId="0" applyFont="1" applyBorder="1" applyAlignment="1">
      <alignment horizontal="right" indent="1"/>
    </xf>
    <xf numFmtId="0" fontId="33" fillId="17" borderId="2" xfId="0" applyFont="1" applyFill="1" applyBorder="1"/>
    <xf numFmtId="0" fontId="22" fillId="17" borderId="2" xfId="0" applyFont="1" applyFill="1" applyBorder="1"/>
    <xf numFmtId="0" fontId="20" fillId="2" borderId="9" xfId="0" applyFont="1" applyFill="1" applyBorder="1" applyAlignment="1">
      <alignment horizontal="center" vertical="top" wrapText="1"/>
    </xf>
    <xf numFmtId="0" fontId="21" fillId="0" borderId="6" xfId="0" applyFont="1" applyBorder="1" applyAlignment="1">
      <alignment vertical="top"/>
    </xf>
    <xf numFmtId="0" fontId="21" fillId="0" borderId="10" xfId="0" applyFont="1" applyBorder="1" applyAlignment="1">
      <alignment vertical="top"/>
    </xf>
    <xf numFmtId="0" fontId="21" fillId="0" borderId="7" xfId="0" applyFont="1" applyBorder="1" applyAlignment="1">
      <alignment vertical="top"/>
    </xf>
    <xf numFmtId="0" fontId="20" fillId="2" borderId="9" xfId="0" applyFont="1" applyFill="1" applyBorder="1" applyAlignment="1">
      <alignment horizontal="center" vertical="top"/>
    </xf>
    <xf numFmtId="0" fontId="20" fillId="0" borderId="6" xfId="0" applyFont="1" applyBorder="1" applyAlignment="1">
      <alignment horizontal="left" vertical="top" indent="1"/>
    </xf>
    <xf numFmtId="0" fontId="20" fillId="0" borderId="10" xfId="0" applyFont="1" applyBorder="1" applyAlignment="1">
      <alignment horizontal="left" vertical="top" indent="1"/>
    </xf>
    <xf numFmtId="0" fontId="20" fillId="0" borderId="7" xfId="0" applyFont="1" applyBorder="1" applyAlignment="1">
      <alignment horizontal="left" vertical="top" indent="1"/>
    </xf>
    <xf numFmtId="0" fontId="33" fillId="17" borderId="80" xfId="0" applyFont="1" applyFill="1" applyBorder="1"/>
    <xf numFmtId="0" fontId="20" fillId="2" borderId="9" xfId="0" applyFont="1" applyFill="1" applyBorder="1" applyAlignment="1">
      <alignment horizontal="center"/>
    </xf>
    <xf numFmtId="0" fontId="20" fillId="2" borderId="9" xfId="0" applyFont="1" applyFill="1" applyBorder="1" applyAlignment="1">
      <alignment horizontal="center" wrapText="1"/>
    </xf>
    <xf numFmtId="0" fontId="21" fillId="0" borderId="10" xfId="0" applyFont="1" applyBorder="1" applyAlignment="1">
      <alignment horizontal="right" vertical="top" indent="1"/>
    </xf>
    <xf numFmtId="0" fontId="20" fillId="4" borderId="10" xfId="0" applyFont="1" applyFill="1" applyBorder="1" applyAlignment="1">
      <alignment horizontal="center"/>
    </xf>
    <xf numFmtId="0" fontId="21" fillId="0" borderId="11" xfId="0" applyFont="1" applyFill="1" applyBorder="1" applyAlignment="1">
      <alignment vertical="top"/>
    </xf>
    <xf numFmtId="0" fontId="21" fillId="0" borderId="11" xfId="0" applyFont="1" applyBorder="1" applyAlignment="1">
      <alignment horizontal="right" indent="1"/>
    </xf>
    <xf numFmtId="0" fontId="20" fillId="4" borderId="0" xfId="0" applyFont="1" applyFill="1" applyBorder="1" applyAlignment="1">
      <alignment horizontal="center"/>
    </xf>
    <xf numFmtId="0" fontId="33" fillId="17" borderId="0" xfId="0" applyFont="1" applyFill="1" applyBorder="1" applyAlignment="1">
      <alignment vertical="top"/>
    </xf>
    <xf numFmtId="0" fontId="33" fillId="17" borderId="80" xfId="0" applyFont="1" applyFill="1" applyBorder="1" applyAlignment="1">
      <alignment vertical="top"/>
    </xf>
    <xf numFmtId="0" fontId="26" fillId="0" borderId="23" xfId="0" applyFont="1" applyFill="1" applyBorder="1"/>
    <xf numFmtId="0" fontId="26" fillId="0" borderId="23" xfId="0" applyFont="1" applyFill="1" applyBorder="1" applyAlignment="1">
      <alignment horizontal="center"/>
    </xf>
    <xf numFmtId="0" fontId="21" fillId="0" borderId="23" xfId="0" applyFont="1" applyBorder="1" applyAlignment="1">
      <alignment horizontal="center"/>
    </xf>
    <xf numFmtId="0" fontId="26" fillId="0" borderId="23" xfId="0" applyFont="1" applyBorder="1"/>
    <xf numFmtId="0" fontId="20" fillId="0" borderId="6" xfId="4" applyFont="1" applyBorder="1"/>
    <xf numFmtId="0" fontId="20" fillId="0" borderId="7" xfId="4" applyFont="1" applyBorder="1"/>
    <xf numFmtId="0" fontId="20" fillId="0" borderId="82" xfId="4" applyFont="1" applyBorder="1"/>
    <xf numFmtId="0" fontId="21" fillId="0" borderId="90" xfId="0" applyFont="1" applyBorder="1" applyAlignment="1">
      <alignment vertical="center"/>
    </xf>
    <xf numFmtId="0" fontId="21" fillId="0" borderId="91" xfId="0" applyFont="1" applyBorder="1" applyAlignment="1">
      <alignment vertical="center" wrapText="1"/>
    </xf>
    <xf numFmtId="0" fontId="21" fillId="0" borderId="91" xfId="0" applyFont="1" applyFill="1" applyBorder="1" applyAlignment="1">
      <alignment vertical="center"/>
    </xf>
    <xf numFmtId="0" fontId="21" fillId="0" borderId="94" xfId="0" applyFont="1" applyFill="1" applyBorder="1" applyAlignment="1">
      <alignment vertical="center"/>
    </xf>
    <xf numFmtId="0" fontId="20" fillId="2" borderId="34" xfId="4" applyFont="1" applyFill="1" applyBorder="1" applyAlignment="1">
      <alignment horizontal="center" wrapText="1"/>
    </xf>
    <xf numFmtId="0" fontId="10" fillId="0" borderId="0" xfId="3" applyFont="1"/>
    <xf numFmtId="166" fontId="21" fillId="0" borderId="58" xfId="4" applyNumberFormat="1" applyFont="1" applyBorder="1" applyAlignment="1">
      <alignment horizontal="right" wrapText="1" indent="1"/>
    </xf>
    <xf numFmtId="0" fontId="24" fillId="0" borderId="8" xfId="0" applyFont="1" applyBorder="1" applyAlignment="1">
      <alignment vertical="top"/>
    </xf>
    <xf numFmtId="0" fontId="20" fillId="0" borderId="0" xfId="3" applyFont="1" applyBorder="1"/>
    <xf numFmtId="0" fontId="20" fillId="0" borderId="0" xfId="3" applyFont="1" applyBorder="1" applyAlignment="1">
      <alignment horizontal="left" indent="1"/>
    </xf>
    <xf numFmtId="0" fontId="21" fillId="0" borderId="0" xfId="3" applyFont="1" applyBorder="1" applyAlignment="1">
      <alignment horizontal="left" vertical="center" indent="1"/>
    </xf>
    <xf numFmtId="0" fontId="21" fillId="0" borderId="0" xfId="3" applyFont="1" applyBorder="1" applyAlignment="1">
      <alignment horizontal="left" vertical="center" wrapText="1" indent="1"/>
    </xf>
    <xf numFmtId="0" fontId="21" fillId="0" borderId="0" xfId="3" applyFont="1" applyBorder="1" applyAlignment="1">
      <alignment vertical="center"/>
    </xf>
    <xf numFmtId="0" fontId="20" fillId="0" borderId="41" xfId="0" applyFont="1" applyBorder="1" applyAlignment="1">
      <alignment horizontal="right" indent="1"/>
    </xf>
    <xf numFmtId="1" fontId="33" fillId="5" borderId="114" xfId="0" applyNumberFormat="1" applyFont="1" applyFill="1" applyBorder="1" applyAlignment="1" applyProtection="1">
      <alignment horizontal="right" vertical="center" indent="1"/>
    </xf>
    <xf numFmtId="0" fontId="26" fillId="0" borderId="0" xfId="0" applyFont="1" applyFill="1" applyAlignment="1">
      <alignment horizontal="left" vertical="top" wrapText="1"/>
    </xf>
    <xf numFmtId="0" fontId="26" fillId="0" borderId="0" xfId="3" applyFont="1" applyAlignment="1">
      <alignment horizontal="center" vertical="center"/>
    </xf>
    <xf numFmtId="0" fontId="26" fillId="0" borderId="0" xfId="0" applyFont="1" applyAlignment="1">
      <alignment horizontal="center" vertical="center"/>
    </xf>
    <xf numFmtId="0" fontId="26" fillId="0" borderId="0" xfId="0" applyFont="1" applyFill="1" applyAlignment="1">
      <alignment horizontal="center" vertical="center"/>
    </xf>
    <xf numFmtId="0" fontId="26" fillId="0" borderId="0" xfId="3" applyFont="1" applyBorder="1" applyAlignment="1">
      <alignment horizontal="center" vertical="center"/>
    </xf>
    <xf numFmtId="0" fontId="26" fillId="0" borderId="0" xfId="3" applyFont="1" applyFill="1" applyAlignment="1">
      <alignment horizontal="center" vertical="center"/>
    </xf>
    <xf numFmtId="0" fontId="24" fillId="0" borderId="0" xfId="0" applyFont="1" applyAlignment="1">
      <alignment horizontal="left" vertical="top" wrapText="1"/>
    </xf>
    <xf numFmtId="0" fontId="26" fillId="0" borderId="0" xfId="0" applyFont="1" applyFill="1" applyAlignment="1">
      <alignment vertical="top"/>
    </xf>
    <xf numFmtId="3" fontId="20" fillId="6" borderId="135" xfId="3" applyNumberFormat="1" applyFont="1" applyFill="1" applyBorder="1" applyAlignment="1" applyProtection="1">
      <alignment horizontal="right" vertical="center" indent="1"/>
      <protection locked="0"/>
    </xf>
    <xf numFmtId="0" fontId="20" fillId="0" borderId="55" xfId="0" applyFont="1" applyFill="1" applyBorder="1" applyAlignment="1">
      <alignment vertical="top"/>
    </xf>
    <xf numFmtId="0" fontId="4" fillId="0" borderId="33" xfId="0" applyFont="1" applyBorder="1" applyProtection="1"/>
    <xf numFmtId="0" fontId="0" fillId="0" borderId="9" xfId="0" applyBorder="1" applyProtection="1"/>
    <xf numFmtId="0" fontId="0" fillId="0" borderId="34" xfId="0" applyBorder="1" applyProtection="1"/>
    <xf numFmtId="0" fontId="40" fillId="0" borderId="9" xfId="0" applyFont="1" applyBorder="1" applyProtection="1"/>
    <xf numFmtId="0" fontId="40" fillId="16" borderId="9" xfId="0" applyFont="1" applyFill="1" applyBorder="1" applyProtection="1"/>
    <xf numFmtId="14" fontId="21" fillId="0" borderId="57" xfId="3" applyNumberFormat="1" applyFont="1" applyFill="1" applyBorder="1" applyAlignment="1" applyProtection="1">
      <alignment horizontal="right" vertical="center" indent="1"/>
    </xf>
    <xf numFmtId="14" fontId="21" fillId="0" borderId="109" xfId="3" applyNumberFormat="1" applyFont="1" applyFill="1" applyBorder="1" applyAlignment="1" applyProtection="1">
      <alignment horizontal="right" vertical="center" indent="1"/>
    </xf>
    <xf numFmtId="14" fontId="21" fillId="0" borderId="58" xfId="3" applyNumberFormat="1" applyFont="1" applyFill="1" applyBorder="1" applyAlignment="1" applyProtection="1">
      <alignment horizontal="right" vertical="center" indent="1"/>
    </xf>
    <xf numFmtId="14" fontId="21" fillId="0" borderId="110" xfId="3" applyNumberFormat="1" applyFont="1" applyFill="1" applyBorder="1" applyAlignment="1" applyProtection="1">
      <alignment horizontal="right" vertical="center" indent="1"/>
    </xf>
    <xf numFmtId="14" fontId="21" fillId="0" borderId="62" xfId="3" applyNumberFormat="1" applyFont="1" applyFill="1" applyBorder="1" applyAlignment="1" applyProtection="1">
      <alignment horizontal="right" vertical="center" indent="1"/>
    </xf>
    <xf numFmtId="14" fontId="21" fillId="0" borderId="119" xfId="3" applyNumberFormat="1" applyFont="1" applyFill="1" applyBorder="1" applyAlignment="1" applyProtection="1">
      <alignment horizontal="right" vertical="center" indent="1"/>
    </xf>
    <xf numFmtId="14" fontId="21" fillId="0" borderId="67" xfId="3" applyNumberFormat="1" applyFont="1" applyFill="1" applyBorder="1" applyAlignment="1" applyProtection="1">
      <alignment horizontal="right" vertical="center" indent="1"/>
    </xf>
    <xf numFmtId="14" fontId="21" fillId="0" borderId="118" xfId="3" applyNumberFormat="1" applyFont="1" applyFill="1" applyBorder="1" applyAlignment="1" applyProtection="1">
      <alignment horizontal="right" vertical="center" indent="1"/>
    </xf>
    <xf numFmtId="14" fontId="21" fillId="0" borderId="146" xfId="3" applyNumberFormat="1" applyFont="1" applyFill="1" applyBorder="1" applyAlignment="1" applyProtection="1">
      <alignment horizontal="right" vertical="center" indent="1"/>
    </xf>
    <xf numFmtId="14" fontId="21" fillId="0" borderId="78" xfId="3" applyNumberFormat="1" applyFont="1" applyFill="1" applyBorder="1" applyAlignment="1" applyProtection="1">
      <alignment horizontal="right" vertical="center" indent="1"/>
    </xf>
    <xf numFmtId="14" fontId="21" fillId="0" borderId="144" xfId="3" applyNumberFormat="1" applyFont="1" applyFill="1" applyBorder="1" applyAlignment="1" applyProtection="1">
      <alignment horizontal="right" vertical="center" indent="1"/>
    </xf>
    <xf numFmtId="14" fontId="21" fillId="0" borderId="145" xfId="3" applyNumberFormat="1" applyFont="1" applyFill="1" applyBorder="1" applyAlignment="1" applyProtection="1">
      <alignment horizontal="right" vertical="center" indent="1"/>
    </xf>
    <xf numFmtId="14" fontId="21" fillId="0" borderId="60" xfId="3" applyNumberFormat="1" applyFont="1" applyFill="1" applyBorder="1" applyAlignment="1" applyProtection="1">
      <alignment horizontal="right" vertical="center" indent="1"/>
    </xf>
    <xf numFmtId="14" fontId="21" fillId="0" borderId="103" xfId="3" applyNumberFormat="1" applyFont="1" applyFill="1" applyBorder="1" applyAlignment="1" applyProtection="1">
      <alignment horizontal="right" vertical="center" indent="1"/>
    </xf>
    <xf numFmtId="14" fontId="21" fillId="0" borderId="111" xfId="3" applyNumberFormat="1" applyFont="1" applyFill="1" applyBorder="1" applyAlignment="1" applyProtection="1">
      <alignment horizontal="right" vertical="center" indent="1"/>
    </xf>
    <xf numFmtId="0" fontId="20" fillId="0" borderId="68" xfId="3" applyFont="1" applyFill="1" applyBorder="1" applyAlignment="1" applyProtection="1">
      <alignment horizontal="right" vertical="center" indent="1"/>
    </xf>
    <xf numFmtId="0" fontId="20" fillId="0" borderId="71" xfId="3" applyFont="1" applyFill="1" applyBorder="1" applyAlignment="1" applyProtection="1">
      <alignment horizontal="right" vertical="center" indent="1"/>
    </xf>
    <xf numFmtId="0" fontId="20" fillId="0" borderId="0" xfId="3" applyFont="1" applyFill="1" applyBorder="1" applyAlignment="1" applyProtection="1">
      <alignment horizontal="right" vertical="center" indent="1"/>
    </xf>
    <xf numFmtId="3" fontId="20" fillId="0" borderId="0" xfId="3" applyNumberFormat="1" applyFont="1" applyFill="1" applyBorder="1" applyAlignment="1" applyProtection="1">
      <alignment horizontal="right" vertical="center" indent="1"/>
    </xf>
    <xf numFmtId="10" fontId="20" fillId="0" borderId="0" xfId="5" applyNumberFormat="1" applyFont="1" applyFill="1" applyBorder="1" applyAlignment="1" applyProtection="1">
      <alignment horizontal="right" vertical="center" indent="1"/>
    </xf>
    <xf numFmtId="166" fontId="21" fillId="0" borderId="1" xfId="0" applyNumberFormat="1" applyFont="1" applyBorder="1" applyAlignment="1">
      <alignment horizontal="right" vertical="top" indent="1"/>
    </xf>
    <xf numFmtId="166" fontId="21" fillId="0" borderId="37" xfId="0" applyNumberFormat="1" applyFont="1" applyBorder="1" applyAlignment="1">
      <alignment horizontal="right" vertical="top" indent="1"/>
    </xf>
    <xf numFmtId="166" fontId="21" fillId="0" borderId="38" xfId="0" applyNumberFormat="1" applyFont="1" applyFill="1" applyBorder="1" applyAlignment="1">
      <alignment horizontal="right" vertical="top" indent="1"/>
    </xf>
    <xf numFmtId="166" fontId="21" fillId="0" borderId="38" xfId="0" applyNumberFormat="1" applyFont="1" applyBorder="1" applyAlignment="1">
      <alignment horizontal="right" vertical="top" indent="1"/>
    </xf>
    <xf numFmtId="166" fontId="21" fillId="0" borderId="39" xfId="0" applyNumberFormat="1" applyFont="1" applyBorder="1" applyAlignment="1">
      <alignment horizontal="right" vertical="top" indent="1"/>
    </xf>
    <xf numFmtId="0" fontId="11" fillId="0" borderId="147" xfId="10" applyFont="1" applyBorder="1" applyAlignment="1" applyProtection="1">
      <alignment horizontal="center" vertical="center" wrapText="1"/>
    </xf>
    <xf numFmtId="0" fontId="19" fillId="0" borderId="91" xfId="10" applyFont="1" applyBorder="1" applyAlignment="1" applyProtection="1">
      <alignment horizontal="center" vertical="center" wrapText="1"/>
    </xf>
    <xf numFmtId="0" fontId="19" fillId="0" borderId="97" xfId="10" applyFont="1" applyFill="1" applyBorder="1" applyAlignment="1" applyProtection="1">
      <alignment horizontal="center" vertical="center" wrapText="1"/>
    </xf>
    <xf numFmtId="0" fontId="19" fillId="0" borderId="25" xfId="10" applyFont="1" applyFill="1" applyBorder="1" applyAlignment="1" applyProtection="1">
      <alignment horizontal="center" vertical="center" wrapText="1"/>
    </xf>
    <xf numFmtId="0" fontId="19" fillId="0" borderId="98" xfId="10" applyFont="1" applyFill="1" applyBorder="1" applyAlignment="1" applyProtection="1">
      <alignment horizontal="center" vertical="center" wrapText="1"/>
    </xf>
    <xf numFmtId="0" fontId="19" fillId="0" borderId="177" xfId="10" applyFont="1" applyFill="1" applyBorder="1" applyAlignment="1" applyProtection="1">
      <alignment horizontal="center" vertical="center" wrapText="1"/>
    </xf>
    <xf numFmtId="0" fontId="11" fillId="9" borderId="13" xfId="10" applyFont="1" applyFill="1" applyBorder="1" applyAlignment="1" applyProtection="1">
      <alignment horizontal="center" vertical="center" wrapText="1"/>
    </xf>
    <xf numFmtId="0" fontId="41" fillId="0" borderId="0" xfId="7" applyFont="1" applyBorder="1" applyProtection="1"/>
    <xf numFmtId="0" fontId="11" fillId="0" borderId="2" xfId="10" applyFont="1" applyBorder="1" applyProtection="1"/>
    <xf numFmtId="0" fontId="41" fillId="0" borderId="0" xfId="7" applyFont="1" applyProtection="1"/>
    <xf numFmtId="0" fontId="19" fillId="19" borderId="72" xfId="7" applyFont="1" applyFill="1" applyBorder="1" applyAlignment="1" applyProtection="1">
      <alignment vertical="top" wrapText="1"/>
    </xf>
    <xf numFmtId="0" fontId="11" fillId="0" borderId="55" xfId="10" applyFont="1" applyBorder="1" applyAlignment="1" applyProtection="1">
      <alignment horizontal="left" indent="1"/>
    </xf>
    <xf numFmtId="0" fontId="11" fillId="19" borderId="55" xfId="10" applyFont="1" applyFill="1" applyBorder="1" applyAlignment="1" applyProtection="1">
      <alignment horizontal="center" vertical="center" wrapText="1"/>
    </xf>
    <xf numFmtId="0" fontId="11" fillId="0" borderId="142" xfId="10" applyFont="1" applyBorder="1" applyAlignment="1" applyProtection="1">
      <alignment horizontal="center" vertical="center" wrapText="1"/>
    </xf>
    <xf numFmtId="0" fontId="11" fillId="0" borderId="143" xfId="10" applyFont="1" applyBorder="1" applyAlignment="1" applyProtection="1">
      <alignment horizontal="center" vertical="center" wrapText="1"/>
    </xf>
    <xf numFmtId="0" fontId="11" fillId="0" borderId="175" xfId="10" applyFont="1" applyBorder="1" applyAlignment="1" applyProtection="1">
      <alignment horizontal="center" vertical="center" wrapText="1"/>
    </xf>
    <xf numFmtId="0" fontId="19" fillId="0" borderId="90" xfId="10" applyFont="1" applyBorder="1" applyAlignment="1" applyProtection="1">
      <alignment horizontal="center" vertical="center" wrapText="1"/>
    </xf>
    <xf numFmtId="0" fontId="19" fillId="0" borderId="94" xfId="10" applyFont="1" applyBorder="1" applyAlignment="1" applyProtection="1">
      <alignment horizontal="center" vertical="center" wrapText="1"/>
    </xf>
    <xf numFmtId="0" fontId="19" fillId="0" borderId="176" xfId="10" applyFont="1" applyBorder="1" applyAlignment="1" applyProtection="1">
      <alignment horizontal="center" vertical="center" wrapText="1"/>
    </xf>
    <xf numFmtId="0" fontId="19" fillId="0" borderId="190" xfId="10" applyFont="1" applyFill="1" applyBorder="1" applyAlignment="1" applyProtection="1">
      <alignment horizontal="center" vertical="center" wrapText="1"/>
    </xf>
    <xf numFmtId="0" fontId="20" fillId="2" borderId="25" xfId="7" applyFont="1" applyFill="1" applyBorder="1" applyAlignment="1" applyProtection="1">
      <alignment horizontal="center" vertical="top" wrapText="1"/>
    </xf>
    <xf numFmtId="0" fontId="5" fillId="0" borderId="0" xfId="7" applyFont="1" applyProtection="1"/>
    <xf numFmtId="0" fontId="5" fillId="9" borderId="0" xfId="7" applyFont="1" applyFill="1" applyProtection="1"/>
    <xf numFmtId="0" fontId="26" fillId="9" borderId="0" xfId="7" applyFont="1" applyFill="1" applyAlignment="1" applyProtection="1">
      <alignment horizontal="center" vertical="center"/>
    </xf>
    <xf numFmtId="0" fontId="20" fillId="9" borderId="100" xfId="7" applyFont="1" applyFill="1" applyBorder="1" applyAlignment="1" applyProtection="1">
      <alignment vertical="top" wrapText="1"/>
    </xf>
    <xf numFmtId="11" fontId="20" fillId="13" borderId="17" xfId="7" applyNumberFormat="1" applyFont="1" applyFill="1" applyBorder="1" applyAlignment="1" applyProtection="1">
      <alignment horizontal="center"/>
    </xf>
    <xf numFmtId="3" fontId="20" fillId="6" borderId="75" xfId="7" applyNumberFormat="1" applyFont="1" applyFill="1" applyBorder="1" applyAlignment="1" applyProtection="1">
      <alignment horizontal="right" indent="1"/>
    </xf>
    <xf numFmtId="3" fontId="20" fillId="10" borderId="75" xfId="7" applyNumberFormat="1" applyFont="1" applyFill="1" applyBorder="1" applyAlignment="1" applyProtection="1">
      <alignment horizontal="right" indent="1"/>
    </xf>
    <xf numFmtId="0" fontId="21" fillId="0" borderId="191" xfId="7" applyFont="1" applyBorder="1" applyAlignment="1" applyProtection="1">
      <alignment horizontal="left" vertical="top" indent="1"/>
    </xf>
    <xf numFmtId="11" fontId="20" fillId="13" borderId="192" xfId="7" applyNumberFormat="1" applyFont="1" applyFill="1" applyBorder="1" applyAlignment="1" applyProtection="1">
      <alignment horizontal="center"/>
    </xf>
    <xf numFmtId="0" fontId="21" fillId="0" borderId="28" xfId="7" applyFont="1" applyFill="1" applyBorder="1" applyAlignment="1" applyProtection="1">
      <alignment horizontal="left" vertical="top" indent="1"/>
    </xf>
    <xf numFmtId="0" fontId="21" fillId="0" borderId="28" xfId="7" applyFont="1" applyBorder="1" applyAlignment="1" applyProtection="1">
      <alignment horizontal="left" vertical="top" indent="1"/>
    </xf>
    <xf numFmtId="0" fontId="21" fillId="0" borderId="29" xfId="7" applyFont="1" applyFill="1" applyBorder="1" applyAlignment="1" applyProtection="1">
      <alignment horizontal="left" vertical="top" indent="1"/>
    </xf>
    <xf numFmtId="0" fontId="21" fillId="0" borderId="194" xfId="7" applyFont="1" applyBorder="1" applyAlignment="1" applyProtection="1">
      <alignment horizontal="left" vertical="top" indent="1"/>
    </xf>
    <xf numFmtId="11" fontId="20" fillId="13" borderId="195" xfId="7" applyNumberFormat="1" applyFont="1" applyFill="1" applyBorder="1" applyAlignment="1" applyProtection="1">
      <alignment horizontal="center"/>
    </xf>
    <xf numFmtId="3" fontId="20" fillId="6" borderId="121" xfId="7" applyNumberFormat="1" applyFont="1" applyFill="1" applyBorder="1" applyAlignment="1" applyProtection="1">
      <alignment horizontal="right" indent="1"/>
    </xf>
    <xf numFmtId="3" fontId="20" fillId="10" borderId="121" xfId="7" applyNumberFormat="1" applyFont="1" applyFill="1" applyBorder="1" applyAlignment="1" applyProtection="1">
      <alignment horizontal="right" indent="1"/>
    </xf>
    <xf numFmtId="0" fontId="20" fillId="9" borderId="0" xfId="7" applyFont="1" applyFill="1" applyBorder="1" applyAlignment="1" applyProtection="1">
      <alignment vertical="top" wrapText="1"/>
    </xf>
    <xf numFmtId="0" fontId="20" fillId="9" borderId="33" xfId="7" applyFont="1" applyFill="1" applyBorder="1" applyAlignment="1" applyProtection="1">
      <alignment vertical="top" wrapText="1"/>
    </xf>
    <xf numFmtId="0" fontId="20" fillId="9" borderId="9" xfId="7" applyFont="1" applyFill="1" applyBorder="1" applyAlignment="1" applyProtection="1">
      <alignment vertical="top" wrapText="1"/>
    </xf>
    <xf numFmtId="0" fontId="20" fillId="9" borderId="34" xfId="7" applyFont="1" applyFill="1" applyBorder="1" applyAlignment="1" applyProtection="1">
      <alignment vertical="top" wrapText="1"/>
    </xf>
    <xf numFmtId="0" fontId="21" fillId="0" borderId="31" xfId="7" applyFont="1" applyFill="1" applyBorder="1" applyAlignment="1" applyProtection="1">
      <alignment horizontal="left" vertical="top" indent="1"/>
    </xf>
    <xf numFmtId="3" fontId="20" fillId="6" borderId="122" xfId="7" applyNumberFormat="1" applyFont="1" applyFill="1" applyBorder="1" applyAlignment="1" applyProtection="1">
      <alignment horizontal="right" indent="1"/>
    </xf>
    <xf numFmtId="3" fontId="20" fillId="10" borderId="122" xfId="7" applyNumberFormat="1" applyFont="1" applyFill="1" applyBorder="1" applyAlignment="1" applyProtection="1">
      <alignment horizontal="right" indent="1"/>
    </xf>
    <xf numFmtId="3" fontId="20" fillId="6" borderId="120" xfId="7" applyNumberFormat="1" applyFont="1" applyFill="1" applyBorder="1" applyAlignment="1" applyProtection="1">
      <alignment horizontal="right" indent="1"/>
    </xf>
    <xf numFmtId="3" fontId="20" fillId="10" borderId="120" xfId="7" applyNumberFormat="1" applyFont="1" applyFill="1" applyBorder="1" applyAlignment="1" applyProtection="1">
      <alignment horizontal="right" indent="1"/>
    </xf>
    <xf numFmtId="11" fontId="20" fillId="13" borderId="197" xfId="7" applyNumberFormat="1" applyFont="1" applyFill="1" applyBorder="1" applyAlignment="1" applyProtection="1">
      <alignment horizontal="center"/>
    </xf>
    <xf numFmtId="0" fontId="5" fillId="9" borderId="9" xfId="7" applyFont="1" applyFill="1" applyBorder="1" applyProtection="1"/>
    <xf numFmtId="0" fontId="26" fillId="9" borderId="9" xfId="7" applyFont="1" applyFill="1" applyBorder="1" applyAlignment="1" applyProtection="1">
      <alignment horizontal="center" vertical="center"/>
    </xf>
    <xf numFmtId="0" fontId="5" fillId="9" borderId="34" xfId="7" applyFont="1" applyFill="1" applyBorder="1" applyProtection="1"/>
    <xf numFmtId="0" fontId="21" fillId="0" borderId="199" xfId="7" applyFont="1" applyBorder="1" applyAlignment="1" applyProtection="1">
      <alignment horizontal="left" vertical="top" indent="1"/>
    </xf>
    <xf numFmtId="0" fontId="33" fillId="17" borderId="200" xfId="7" applyFont="1" applyFill="1" applyBorder="1" applyAlignment="1" applyProtection="1">
      <alignment horizontal="right" vertical="top" wrapText="1" indent="1"/>
    </xf>
    <xf numFmtId="1" fontId="42" fillId="17" borderId="201" xfId="7" applyNumberFormat="1" applyFont="1" applyFill="1" applyBorder="1" applyAlignment="1" applyProtection="1">
      <alignment horizontal="right" vertical="center" indent="1"/>
    </xf>
    <xf numFmtId="1" fontId="42" fillId="17" borderId="91" xfId="7" applyNumberFormat="1" applyFont="1" applyFill="1" applyBorder="1" applyAlignment="1" applyProtection="1">
      <alignment horizontal="right" vertical="center" indent="1"/>
    </xf>
    <xf numFmtId="1" fontId="42" fillId="17" borderId="25" xfId="7" applyNumberFormat="1" applyFont="1" applyFill="1" applyBorder="1" applyAlignment="1" applyProtection="1">
      <alignment horizontal="right" vertical="center" indent="1"/>
    </xf>
    <xf numFmtId="0" fontId="20" fillId="0" borderId="55" xfId="10" applyFont="1" applyBorder="1" applyProtection="1"/>
    <xf numFmtId="0" fontId="21" fillId="2" borderId="202" xfId="7" applyFont="1" applyFill="1" applyBorder="1" applyAlignment="1" applyProtection="1">
      <alignment vertical="top" wrapText="1"/>
    </xf>
    <xf numFmtId="0" fontId="20" fillId="2" borderId="14" xfId="10" applyFont="1" applyFill="1" applyBorder="1" applyAlignment="1" applyProtection="1">
      <alignment horizontal="center" vertical="center" wrapText="1"/>
    </xf>
    <xf numFmtId="0" fontId="20" fillId="2" borderId="15" xfId="10" applyFont="1" applyFill="1" applyBorder="1" applyAlignment="1" applyProtection="1">
      <alignment horizontal="center" vertical="center" wrapText="1"/>
    </xf>
    <xf numFmtId="0" fontId="20" fillId="2" borderId="16" xfId="10" applyFont="1" applyFill="1" applyBorder="1" applyAlignment="1" applyProtection="1">
      <alignment horizontal="center" vertical="center" wrapText="1"/>
    </xf>
    <xf numFmtId="0" fontId="33" fillId="17" borderId="14" xfId="7" applyFont="1" applyFill="1" applyBorder="1" applyAlignment="1" applyProtection="1">
      <alignment horizontal="right" vertical="top" wrapText="1" indent="1"/>
    </xf>
    <xf numFmtId="0" fontId="33" fillId="17" borderId="15" xfId="7" applyFont="1" applyFill="1" applyBorder="1" applyAlignment="1" applyProtection="1">
      <alignment horizontal="right" vertical="top" wrapText="1" indent="1"/>
    </xf>
    <xf numFmtId="0" fontId="33" fillId="17" borderId="34" xfId="7" applyFont="1" applyFill="1" applyBorder="1" applyAlignment="1" applyProtection="1">
      <alignment horizontal="right" vertical="top" wrapText="1" indent="1"/>
    </xf>
    <xf numFmtId="0" fontId="20" fillId="0" borderId="203" xfId="10" applyFont="1" applyBorder="1" applyProtection="1"/>
    <xf numFmtId="0" fontId="20" fillId="0" borderId="204" xfId="10" applyFont="1" applyBorder="1" applyAlignment="1" applyProtection="1">
      <alignment horizontal="left" indent="1"/>
    </xf>
    <xf numFmtId="0" fontId="21" fillId="0" borderId="56" xfId="10" applyFont="1" applyBorder="1" applyAlignment="1" applyProtection="1">
      <alignment horizontal="left" vertical="center" indent="1"/>
    </xf>
    <xf numFmtId="0" fontId="21" fillId="0" borderId="17" xfId="10" applyFont="1" applyBorder="1" applyAlignment="1" applyProtection="1">
      <alignment horizontal="left" vertical="center" wrapText="1" indent="1"/>
    </xf>
    <xf numFmtId="0" fontId="21" fillId="0" borderId="17" xfId="10" applyFont="1" applyBorder="1" applyAlignment="1" applyProtection="1">
      <alignment vertical="center"/>
    </xf>
    <xf numFmtId="0" fontId="21" fillId="0" borderId="17" xfId="10" applyFont="1" applyBorder="1" applyAlignment="1" applyProtection="1">
      <alignment vertical="center" wrapText="1"/>
    </xf>
    <xf numFmtId="0" fontId="21" fillId="0" borderId="17" xfId="10" applyFont="1" applyFill="1" applyBorder="1" applyAlignment="1" applyProtection="1">
      <alignment horizontal="right" vertical="center" indent="1"/>
    </xf>
    <xf numFmtId="0" fontId="21" fillId="0" borderId="44" xfId="10" applyFont="1" applyBorder="1" applyAlignment="1" applyProtection="1">
      <alignment vertical="center"/>
    </xf>
    <xf numFmtId="1" fontId="42" fillId="17" borderId="57" xfId="7" applyNumberFormat="1" applyFont="1" applyFill="1" applyBorder="1" applyAlignment="1" applyProtection="1">
      <alignment horizontal="right" vertical="center" indent="1"/>
    </xf>
    <xf numFmtId="1" fontId="42" fillId="17" borderId="19" xfId="7" applyNumberFormat="1" applyFont="1" applyFill="1" applyBorder="1" applyAlignment="1" applyProtection="1">
      <alignment horizontal="right" vertical="center" indent="1"/>
    </xf>
    <xf numFmtId="1" fontId="42" fillId="17" borderId="205" xfId="7" applyNumberFormat="1" applyFont="1" applyFill="1" applyBorder="1" applyAlignment="1" applyProtection="1">
      <alignment horizontal="right" vertical="center" indent="1"/>
    </xf>
    <xf numFmtId="0" fontId="20" fillId="0" borderId="18" xfId="10" applyFont="1" applyBorder="1" applyProtection="1"/>
    <xf numFmtId="0" fontId="20" fillId="0" borderId="60" xfId="10" applyFont="1" applyBorder="1" applyAlignment="1" applyProtection="1">
      <alignment horizontal="left" indent="1"/>
    </xf>
    <xf numFmtId="0" fontId="19" fillId="0" borderId="57" xfId="10" applyFont="1" applyBorder="1" applyAlignment="1" applyProtection="1">
      <alignment horizontal="left" vertical="center" indent="1"/>
    </xf>
    <xf numFmtId="0" fontId="19" fillId="0" borderId="19" xfId="10" applyFont="1" applyBorder="1" applyAlignment="1" applyProtection="1">
      <alignment horizontal="left" vertical="center" wrapText="1" indent="1"/>
    </xf>
    <xf numFmtId="0" fontId="19" fillId="0" borderId="19" xfId="10" applyFont="1" applyBorder="1" applyAlignment="1" applyProtection="1">
      <alignment vertical="center"/>
    </xf>
    <xf numFmtId="0" fontId="19" fillId="0" borderId="19" xfId="10" applyFont="1" applyBorder="1" applyAlignment="1" applyProtection="1">
      <alignment vertical="center" wrapText="1"/>
    </xf>
    <xf numFmtId="0" fontId="19" fillId="0" borderId="19" xfId="10" applyFont="1" applyFill="1" applyBorder="1" applyAlignment="1" applyProtection="1">
      <alignment horizontal="right" vertical="center" indent="1"/>
    </xf>
    <xf numFmtId="0" fontId="21" fillId="0" borderId="52" xfId="10" applyFont="1" applyBorder="1" applyAlignment="1" applyProtection="1">
      <alignment vertical="center"/>
    </xf>
    <xf numFmtId="1" fontId="42" fillId="17" borderId="206" xfId="7" applyNumberFormat="1" applyFont="1" applyFill="1" applyBorder="1" applyAlignment="1" applyProtection="1">
      <alignment horizontal="right" vertical="center" indent="1"/>
    </xf>
    <xf numFmtId="1" fontId="42" fillId="17" borderId="192" xfId="7" applyNumberFormat="1" applyFont="1" applyFill="1" applyBorder="1" applyAlignment="1" applyProtection="1">
      <alignment horizontal="right" vertical="center" indent="1"/>
    </xf>
    <xf numFmtId="1" fontId="42" fillId="17" borderId="207" xfId="7" applyNumberFormat="1" applyFont="1" applyFill="1" applyBorder="1" applyAlignment="1" applyProtection="1">
      <alignment horizontal="right" vertical="center" indent="1"/>
    </xf>
    <xf numFmtId="0" fontId="21" fillId="0" borderId="57" xfId="10" applyFont="1" applyBorder="1" applyAlignment="1" applyProtection="1">
      <alignment horizontal="left" vertical="center" indent="1"/>
    </xf>
    <xf numFmtId="0" fontId="21" fillId="0" borderId="19" xfId="10" applyFont="1" applyBorder="1" applyAlignment="1" applyProtection="1">
      <alignment horizontal="left" vertical="center" wrapText="1" indent="1"/>
    </xf>
    <xf numFmtId="0" fontId="21" fillId="0" borderId="19" xfId="10" applyFont="1" applyBorder="1" applyAlignment="1" applyProtection="1">
      <alignment vertical="center"/>
    </xf>
    <xf numFmtId="0" fontId="21" fillId="0" borderId="19" xfId="10" applyFont="1" applyBorder="1" applyAlignment="1" applyProtection="1">
      <alignment vertical="center" wrapText="1"/>
    </xf>
    <xf numFmtId="0" fontId="21" fillId="0" borderId="19" xfId="10" applyFont="1" applyFill="1" applyBorder="1" applyAlignment="1" applyProtection="1">
      <alignment horizontal="right" vertical="center" indent="1"/>
    </xf>
    <xf numFmtId="0" fontId="21" fillId="0" borderId="206" xfId="10" applyFont="1" applyBorder="1" applyAlignment="1" applyProtection="1">
      <alignment horizontal="left" vertical="center" indent="1"/>
    </xf>
    <xf numFmtId="0" fontId="21" fillId="0" borderId="192" xfId="10" applyFont="1" applyBorder="1" applyAlignment="1" applyProtection="1">
      <alignment horizontal="left" vertical="center" wrapText="1" indent="1"/>
    </xf>
    <xf numFmtId="0" fontId="21" fillId="0" borderId="192" xfId="10" applyFont="1" applyBorder="1" applyAlignment="1" applyProtection="1">
      <alignment vertical="center"/>
    </xf>
    <xf numFmtId="0" fontId="21" fillId="0" borderId="192" xfId="10" applyFont="1" applyBorder="1" applyAlignment="1" applyProtection="1">
      <alignment vertical="center" wrapText="1"/>
    </xf>
    <xf numFmtId="0" fontId="21" fillId="0" borderId="192" xfId="10" applyFont="1" applyFill="1" applyBorder="1" applyAlignment="1" applyProtection="1">
      <alignment horizontal="right" vertical="center" indent="1"/>
    </xf>
    <xf numFmtId="0" fontId="21" fillId="0" borderId="193" xfId="10" applyFont="1" applyBorder="1" applyAlignment="1" applyProtection="1">
      <alignment vertical="center"/>
    </xf>
    <xf numFmtId="0" fontId="20" fillId="0" borderId="18" xfId="10" applyFont="1" applyBorder="1" applyAlignment="1" applyProtection="1">
      <alignment horizontal="left" indent="1"/>
    </xf>
    <xf numFmtId="0" fontId="20" fillId="0" borderId="65" xfId="10" applyFont="1" applyBorder="1" applyProtection="1"/>
    <xf numFmtId="0" fontId="20" fillId="0" borderId="66" xfId="10" applyFont="1" applyBorder="1" applyAlignment="1" applyProtection="1">
      <alignment horizontal="left" indent="1"/>
    </xf>
    <xf numFmtId="0" fontId="21" fillId="0" borderId="208" xfId="10" applyFont="1" applyBorder="1" applyAlignment="1" applyProtection="1">
      <alignment horizontal="left" vertical="center" indent="1"/>
    </xf>
    <xf numFmtId="0" fontId="21" fillId="0" borderId="209" xfId="10" applyFont="1" applyBorder="1" applyAlignment="1" applyProtection="1">
      <alignment horizontal="left" vertical="center" wrapText="1" indent="1"/>
    </xf>
    <xf numFmtId="0" fontId="21" fillId="0" borderId="69" xfId="10" applyFont="1" applyBorder="1" applyAlignment="1" applyProtection="1">
      <alignment vertical="center" wrapText="1"/>
    </xf>
    <xf numFmtId="0" fontId="21" fillId="0" borderId="209" xfId="10" applyFont="1" applyBorder="1" applyAlignment="1" applyProtection="1">
      <alignment vertical="center" wrapText="1"/>
    </xf>
    <xf numFmtId="0" fontId="21" fillId="0" borderId="209" xfId="10" applyFont="1" applyFill="1" applyBorder="1" applyAlignment="1" applyProtection="1">
      <alignment horizontal="right" vertical="center" indent="1"/>
    </xf>
    <xf numFmtId="0" fontId="21" fillId="0" borderId="210" xfId="10" applyFont="1" applyBorder="1" applyAlignment="1" applyProtection="1">
      <alignment vertical="center"/>
    </xf>
    <xf numFmtId="0" fontId="21" fillId="0" borderId="211" xfId="10" applyFont="1" applyBorder="1" applyAlignment="1" applyProtection="1">
      <alignment horizontal="left" vertical="center" indent="1"/>
    </xf>
    <xf numFmtId="0" fontId="21" fillId="0" borderId="197" xfId="10" applyFont="1" applyBorder="1" applyAlignment="1" applyProtection="1">
      <alignment horizontal="left" vertical="center" wrapText="1" indent="1"/>
    </xf>
    <xf numFmtId="0" fontId="21" fillId="0" borderId="197" xfId="10" applyFont="1" applyBorder="1" applyAlignment="1" applyProtection="1">
      <alignment vertical="center" wrapText="1"/>
    </xf>
    <xf numFmtId="0" fontId="21" fillId="0" borderId="197" xfId="10" applyFont="1" applyFill="1" applyBorder="1" applyAlignment="1" applyProtection="1">
      <alignment horizontal="right" vertical="center" indent="1"/>
    </xf>
    <xf numFmtId="0" fontId="21" fillId="0" borderId="198" xfId="10" applyFont="1" applyBorder="1" applyAlignment="1" applyProtection="1">
      <alignment vertical="center"/>
    </xf>
    <xf numFmtId="0" fontId="21" fillId="0" borderId="209" xfId="10" applyFont="1" applyBorder="1" applyAlignment="1" applyProtection="1">
      <alignment vertical="center"/>
    </xf>
    <xf numFmtId="0" fontId="20" fillId="0" borderId="60" xfId="10" applyFont="1" applyBorder="1" applyProtection="1"/>
    <xf numFmtId="0" fontId="21" fillId="0" borderId="197" xfId="10" applyFont="1" applyBorder="1" applyAlignment="1" applyProtection="1">
      <alignment vertical="center"/>
    </xf>
    <xf numFmtId="1" fontId="11" fillId="9" borderId="206" xfId="7" applyNumberFormat="1" applyFont="1" applyFill="1" applyBorder="1" applyAlignment="1" applyProtection="1">
      <alignment horizontal="right" vertical="center" indent="1"/>
    </xf>
    <xf numFmtId="1" fontId="11" fillId="9" borderId="192" xfId="7" applyNumberFormat="1" applyFont="1" applyFill="1" applyBorder="1" applyAlignment="1" applyProtection="1">
      <alignment horizontal="right" vertical="center" indent="1"/>
    </xf>
    <xf numFmtId="1" fontId="11" fillId="9" borderId="207" xfId="7" applyNumberFormat="1" applyFont="1" applyFill="1" applyBorder="1" applyAlignment="1" applyProtection="1">
      <alignment horizontal="right" vertical="center" indent="1"/>
    </xf>
    <xf numFmtId="0" fontId="19" fillId="0" borderId="206" xfId="10" applyFont="1" applyBorder="1" applyAlignment="1" applyProtection="1">
      <alignment horizontal="left" vertical="center" indent="1"/>
    </xf>
    <xf numFmtId="0" fontId="19" fillId="0" borderId="192" xfId="10" applyFont="1" applyBorder="1" applyAlignment="1" applyProtection="1">
      <alignment horizontal="left" vertical="center" wrapText="1" indent="1"/>
    </xf>
    <xf numFmtId="0" fontId="11" fillId="0" borderId="21" xfId="10" applyFont="1" applyBorder="1" applyProtection="1"/>
    <xf numFmtId="0" fontId="11" fillId="0" borderId="61" xfId="10" applyFont="1" applyBorder="1" applyAlignment="1" applyProtection="1">
      <alignment horizontal="left" indent="1"/>
    </xf>
    <xf numFmtId="0" fontId="19" fillId="0" borderId="212" xfId="10" applyFont="1" applyBorder="1" applyAlignment="1" applyProtection="1">
      <alignment horizontal="left" vertical="center" indent="1"/>
    </xf>
    <xf numFmtId="0" fontId="19" fillId="0" borderId="195" xfId="10" applyFont="1" applyBorder="1" applyAlignment="1" applyProtection="1">
      <alignment horizontal="left" vertical="center" wrapText="1" indent="1"/>
    </xf>
    <xf numFmtId="0" fontId="19" fillId="0" borderId="195" xfId="10" applyFont="1" applyBorder="1" applyAlignment="1" applyProtection="1">
      <alignment vertical="center"/>
    </xf>
    <xf numFmtId="0" fontId="19" fillId="0" borderId="195" xfId="10" applyFont="1" applyBorder="1" applyAlignment="1" applyProtection="1">
      <alignment vertical="center" wrapText="1"/>
    </xf>
    <xf numFmtId="0" fontId="19" fillId="0" borderId="195" xfId="10" applyFont="1" applyFill="1" applyBorder="1" applyAlignment="1" applyProtection="1">
      <alignment horizontal="right" vertical="center" indent="1"/>
    </xf>
    <xf numFmtId="0" fontId="19" fillId="0" borderId="196" xfId="10" applyFont="1" applyBorder="1" applyAlignment="1" applyProtection="1">
      <alignment vertical="center"/>
    </xf>
    <xf numFmtId="1" fontId="42" fillId="17" borderId="212" xfId="7" applyNumberFormat="1" applyFont="1" applyFill="1" applyBorder="1" applyAlignment="1" applyProtection="1">
      <alignment horizontal="right" vertical="center" indent="1"/>
    </xf>
    <xf numFmtId="1" fontId="42" fillId="17" borderId="195" xfId="7" applyNumberFormat="1" applyFont="1" applyFill="1" applyBorder="1" applyAlignment="1" applyProtection="1">
      <alignment horizontal="right" vertical="center" indent="1"/>
    </xf>
    <xf numFmtId="1" fontId="42" fillId="17" borderId="213" xfId="7" applyNumberFormat="1" applyFont="1" applyFill="1" applyBorder="1" applyAlignment="1" applyProtection="1">
      <alignment horizontal="right" vertical="center" indent="1"/>
    </xf>
    <xf numFmtId="0" fontId="19" fillId="19" borderId="99" xfId="7" applyFont="1" applyFill="1" applyBorder="1" applyAlignment="1" applyProtection="1">
      <alignment vertical="top" wrapText="1"/>
    </xf>
    <xf numFmtId="0" fontId="11" fillId="0" borderId="0" xfId="10" applyFont="1" applyBorder="1" applyAlignment="1" applyProtection="1">
      <alignment horizontal="left" indent="1"/>
    </xf>
    <xf numFmtId="0" fontId="19" fillId="0" borderId="0" xfId="10" applyFont="1" applyBorder="1" applyAlignment="1" applyProtection="1">
      <alignment horizontal="left" vertical="center" indent="1"/>
    </xf>
    <xf numFmtId="0" fontId="5" fillId="0" borderId="0" xfId="0" applyFont="1" applyBorder="1" applyProtection="1"/>
    <xf numFmtId="0" fontId="19" fillId="0" borderId="0" xfId="10" applyFont="1" applyBorder="1" applyAlignment="1" applyProtection="1">
      <alignment horizontal="left" vertical="center" wrapText="1" indent="1"/>
    </xf>
    <xf numFmtId="0" fontId="5" fillId="0" borderId="0" xfId="0" applyFont="1" applyProtection="1"/>
    <xf numFmtId="0" fontId="5" fillId="9" borderId="0" xfId="7" applyFont="1" applyFill="1" applyBorder="1" applyProtection="1"/>
    <xf numFmtId="0" fontId="26" fillId="9" borderId="0" xfId="7" applyFont="1" applyFill="1" applyBorder="1" applyAlignment="1" applyProtection="1">
      <alignment horizontal="center" vertical="center"/>
    </xf>
    <xf numFmtId="0" fontId="5" fillId="9" borderId="132" xfId="7" applyFont="1" applyFill="1" applyBorder="1" applyProtection="1"/>
    <xf numFmtId="0" fontId="5" fillId="9" borderId="55" xfId="7" applyFont="1" applyFill="1" applyBorder="1" applyProtection="1"/>
    <xf numFmtId="0" fontId="20" fillId="0" borderId="105" xfId="7" applyNumberFormat="1" applyFont="1" applyBorder="1" applyAlignment="1" applyProtection="1">
      <alignment horizontal="center"/>
    </xf>
    <xf numFmtId="0" fontId="20" fillId="0" borderId="186" xfId="7" applyNumberFormat="1" applyFont="1" applyBorder="1" applyAlignment="1" applyProtection="1">
      <alignment horizontal="center"/>
    </xf>
    <xf numFmtId="0" fontId="20" fillId="0" borderId="183" xfId="7" applyNumberFormat="1" applyFont="1" applyBorder="1" applyAlignment="1" applyProtection="1">
      <alignment horizontal="center"/>
    </xf>
    <xf numFmtId="0" fontId="20" fillId="0" borderId="188" xfId="7" applyNumberFormat="1" applyFont="1" applyBorder="1" applyAlignment="1" applyProtection="1">
      <alignment horizontal="center"/>
    </xf>
    <xf numFmtId="0" fontId="20" fillId="0" borderId="189" xfId="7" applyNumberFormat="1" applyFont="1" applyBorder="1" applyAlignment="1" applyProtection="1">
      <alignment horizontal="center"/>
    </xf>
    <xf numFmtId="11" fontId="20" fillId="20" borderId="179" xfId="7" applyNumberFormat="1" applyFont="1" applyFill="1" applyBorder="1" applyAlignment="1" applyProtection="1">
      <alignment horizontal="center"/>
      <protection locked="0"/>
    </xf>
    <xf numFmtId="11" fontId="20" fillId="20" borderId="180" xfId="7" applyNumberFormat="1" applyFont="1" applyFill="1" applyBorder="1" applyAlignment="1" applyProtection="1">
      <alignment horizontal="center"/>
      <protection locked="0"/>
    </xf>
    <xf numFmtId="11" fontId="24" fillId="20" borderId="180" xfId="7" applyNumberFormat="1" applyFont="1" applyFill="1" applyBorder="1" applyAlignment="1" applyProtection="1">
      <alignment horizontal="center" vertical="center"/>
      <protection locked="0"/>
    </xf>
    <xf numFmtId="11" fontId="20" fillId="20" borderId="181" xfId="7" applyNumberFormat="1" applyFont="1" applyFill="1" applyBorder="1" applyAlignment="1" applyProtection="1">
      <alignment horizontal="center"/>
      <protection locked="0"/>
    </xf>
    <xf numFmtId="11" fontId="20" fillId="20" borderId="180" xfId="7" applyNumberFormat="1" applyFont="1" applyFill="1" applyBorder="1" applyAlignment="1" applyProtection="1">
      <alignment horizontal="center" vertical="center"/>
      <protection locked="0"/>
    </xf>
    <xf numFmtId="0" fontId="20" fillId="2" borderId="35" xfId="0" applyFont="1" applyFill="1" applyBorder="1" applyAlignment="1">
      <alignment horizontal="center" vertical="top" wrapText="1"/>
    </xf>
    <xf numFmtId="0" fontId="20" fillId="2" borderId="9" xfId="4" applyFont="1" applyFill="1" applyBorder="1" applyAlignment="1">
      <alignment horizontal="center" vertical="center" wrapText="1"/>
    </xf>
    <xf numFmtId="166" fontId="20" fillId="5" borderId="186" xfId="0" applyNumberFormat="1" applyFont="1" applyFill="1" applyBorder="1" applyAlignment="1" applyProtection="1">
      <alignment horizontal="right" vertical="center" indent="1"/>
    </xf>
    <xf numFmtId="1" fontId="10" fillId="0" borderId="0" xfId="3" applyNumberFormat="1" applyProtection="1"/>
    <xf numFmtId="0" fontId="43" fillId="0" borderId="0" xfId="0" applyFont="1" applyAlignment="1">
      <alignment vertical="top"/>
    </xf>
    <xf numFmtId="1" fontId="42" fillId="17" borderId="214" xfId="7" applyNumberFormat="1" applyFont="1" applyFill="1" applyBorder="1" applyAlignment="1" applyProtection="1">
      <alignment horizontal="right" vertical="center" indent="1"/>
    </xf>
    <xf numFmtId="1" fontId="42" fillId="17" borderId="3" xfId="7" applyNumberFormat="1" applyFont="1" applyFill="1" applyBorder="1" applyAlignment="1" applyProtection="1">
      <alignment horizontal="right" vertical="center" indent="1"/>
    </xf>
    <xf numFmtId="1" fontId="42" fillId="17" borderId="43" xfId="7" applyNumberFormat="1" applyFont="1" applyFill="1" applyBorder="1" applyAlignment="1" applyProtection="1">
      <alignment horizontal="right" vertical="center" indent="1"/>
    </xf>
    <xf numFmtId="3" fontId="33" fillId="0" borderId="215" xfId="7" applyNumberFormat="1" applyFont="1" applyFill="1" applyBorder="1" applyAlignment="1" applyProtection="1">
      <alignment horizontal="right" vertical="top" indent="1"/>
    </xf>
    <xf numFmtId="3" fontId="33" fillId="0" borderId="216" xfId="7" applyNumberFormat="1" applyFont="1" applyFill="1" applyBorder="1" applyAlignment="1" applyProtection="1">
      <alignment horizontal="right" vertical="top" indent="1"/>
    </xf>
    <xf numFmtId="3" fontId="33" fillId="0" borderId="60" xfId="7" applyNumberFormat="1" applyFont="1" applyFill="1" applyBorder="1" applyAlignment="1" applyProtection="1">
      <alignment horizontal="right" vertical="top" indent="1"/>
    </xf>
    <xf numFmtId="3" fontId="33" fillId="0" borderId="0" xfId="7" applyNumberFormat="1" applyFont="1" applyFill="1" applyBorder="1" applyAlignment="1" applyProtection="1">
      <alignment horizontal="right" vertical="top" indent="1"/>
    </xf>
    <xf numFmtId="3" fontId="27" fillId="0" borderId="14" xfId="7" applyNumberFormat="1" applyFont="1" applyFill="1" applyBorder="1" applyAlignment="1" applyProtection="1">
      <alignment horizontal="right" vertical="center" indent="1"/>
    </xf>
    <xf numFmtId="3" fontId="27" fillId="0" borderId="15" xfId="7" applyNumberFormat="1" applyFont="1" applyFill="1" applyBorder="1" applyAlignment="1" applyProtection="1">
      <alignment horizontal="right" vertical="center" indent="1"/>
    </xf>
    <xf numFmtId="3" fontId="27" fillId="0" borderId="84" xfId="7" applyNumberFormat="1" applyFont="1" applyFill="1" applyBorder="1" applyAlignment="1" applyProtection="1">
      <alignment horizontal="right" vertical="center" indent="1"/>
    </xf>
    <xf numFmtId="0" fontId="4" fillId="0" borderId="0" xfId="0" applyFont="1"/>
    <xf numFmtId="0" fontId="26" fillId="0" borderId="0" xfId="0" applyFont="1"/>
    <xf numFmtId="0" fontId="20" fillId="0" borderId="8" xfId="0" applyFont="1" applyBorder="1"/>
    <xf numFmtId="0" fontId="21" fillId="0" borderId="8" xfId="0" applyFont="1" applyBorder="1" applyProtection="1"/>
    <xf numFmtId="0" fontId="21" fillId="0" borderId="8" xfId="0" applyFont="1" applyBorder="1"/>
    <xf numFmtId="0" fontId="6" fillId="2" borderId="2" xfId="4" applyFont="1" applyFill="1" applyBorder="1" applyAlignment="1">
      <alignment horizontal="left" indent="1"/>
    </xf>
    <xf numFmtId="0" fontId="5" fillId="0" borderId="60" xfId="7" applyFont="1" applyBorder="1" applyProtection="1"/>
    <xf numFmtId="0" fontId="5" fillId="0" borderId="0" xfId="7" applyFont="1" applyBorder="1" applyProtection="1"/>
    <xf numFmtId="172" fontId="20" fillId="6" borderId="122" xfId="7" applyNumberFormat="1" applyFont="1" applyFill="1" applyBorder="1" applyAlignment="1" applyProtection="1">
      <alignment horizontal="right" indent="1"/>
    </xf>
    <xf numFmtId="172" fontId="20" fillId="6" borderId="75" xfId="7" applyNumberFormat="1" applyFont="1" applyFill="1" applyBorder="1" applyAlignment="1" applyProtection="1">
      <alignment horizontal="right" indent="1"/>
    </xf>
    <xf numFmtId="172" fontId="20" fillId="6" borderId="121" xfId="7" applyNumberFormat="1" applyFont="1" applyFill="1" applyBorder="1" applyAlignment="1" applyProtection="1">
      <alignment horizontal="right" indent="1"/>
    </xf>
    <xf numFmtId="0" fontId="4" fillId="0" borderId="0" xfId="0" applyFont="1" applyProtection="1"/>
    <xf numFmtId="0" fontId="44" fillId="0" borderId="0" xfId="0" applyFont="1" applyProtection="1"/>
    <xf numFmtId="0" fontId="21" fillId="0" borderId="52" xfId="3" applyFont="1" applyBorder="1" applyAlignment="1">
      <alignment horizontal="left" indent="1"/>
    </xf>
    <xf numFmtId="165" fontId="21" fillId="0" borderId="38" xfId="6" applyNumberFormat="1" applyFont="1" applyBorder="1"/>
    <xf numFmtId="165" fontId="21" fillId="0" borderId="39" xfId="6" applyNumberFormat="1" applyFont="1" applyBorder="1"/>
    <xf numFmtId="0" fontId="21" fillId="0" borderId="24" xfId="3" applyFont="1" applyBorder="1" applyAlignment="1">
      <alignment horizontal="left" indent="1"/>
    </xf>
    <xf numFmtId="0" fontId="21" fillId="0" borderId="1" xfId="3" applyFont="1" applyBorder="1" applyAlignment="1">
      <alignment horizontal="right" vertical="top" indent="1"/>
    </xf>
    <xf numFmtId="3" fontId="20" fillId="0" borderId="8" xfId="3" applyNumberFormat="1" applyFont="1" applyBorder="1"/>
    <xf numFmtId="0" fontId="20" fillId="2" borderId="40" xfId="3" applyFont="1" applyFill="1" applyBorder="1" applyAlignment="1">
      <alignment horizontal="center" vertical="top"/>
    </xf>
    <xf numFmtId="0" fontId="20" fillId="2" borderId="35" xfId="3" applyFont="1" applyFill="1" applyBorder="1" applyAlignment="1">
      <alignment horizontal="center" vertical="top" wrapText="1"/>
    </xf>
    <xf numFmtId="9" fontId="20" fillId="6" borderId="133" xfId="5" applyFont="1" applyFill="1" applyBorder="1" applyAlignment="1" applyProtection="1">
      <alignment horizontal="right" indent="1"/>
      <protection locked="0"/>
    </xf>
    <xf numFmtId="0" fontId="21" fillId="0" borderId="38" xfId="6" applyNumberFormat="1" applyFont="1" applyBorder="1" applyAlignment="1">
      <alignment horizontal="right" indent="1"/>
    </xf>
    <xf numFmtId="0" fontId="20" fillId="2" borderId="9" xfId="0" applyFont="1" applyFill="1" applyBorder="1" applyAlignment="1">
      <alignment vertical="top" wrapText="1"/>
    </xf>
    <xf numFmtId="9" fontId="20" fillId="0" borderId="8" xfId="3" applyNumberFormat="1" applyFont="1" applyBorder="1"/>
    <xf numFmtId="0" fontId="25" fillId="0" borderId="0" xfId="3" applyFont="1" applyAlignment="1">
      <alignment horizontal="left" vertical="top" wrapText="1"/>
    </xf>
    <xf numFmtId="0" fontId="20" fillId="0" borderId="8" xfId="0" applyFont="1" applyBorder="1" applyAlignment="1">
      <alignment horizontal="left" indent="1"/>
    </xf>
    <xf numFmtId="0" fontId="21" fillId="11" borderId="8" xfId="0" applyFont="1" applyFill="1" applyBorder="1" applyAlignment="1">
      <alignment horizontal="right" indent="1"/>
    </xf>
    <xf numFmtId="10" fontId="21" fillId="0" borderId="8" xfId="5" applyNumberFormat="1" applyFont="1" applyBorder="1"/>
    <xf numFmtId="0" fontId="21" fillId="0" borderId="8" xfId="0" applyFont="1" applyBorder="1" applyAlignment="1">
      <alignment horizontal="right" indent="1"/>
    </xf>
    <xf numFmtId="0" fontId="20" fillId="0" borderId="0" xfId="0" applyFont="1" applyBorder="1" applyAlignment="1">
      <alignment horizontal="left" vertical="top" indent="1"/>
    </xf>
    <xf numFmtId="0" fontId="21" fillId="0" borderId="0" xfId="0" applyFont="1" applyBorder="1" applyAlignment="1">
      <alignment vertical="top"/>
    </xf>
    <xf numFmtId="9" fontId="21" fillId="11" borderId="6" xfId="0" applyNumberFormat="1" applyFont="1" applyFill="1" applyBorder="1" applyAlignment="1">
      <alignment horizontal="right" vertical="top" indent="1"/>
    </xf>
    <xf numFmtId="0" fontId="21" fillId="11" borderId="6" xfId="0" applyFont="1" applyFill="1" applyBorder="1" applyAlignment="1">
      <alignment horizontal="right" vertical="top" indent="1"/>
    </xf>
    <xf numFmtId="0" fontId="21" fillId="0" borderId="6" xfId="0" applyFont="1" applyBorder="1" applyAlignment="1">
      <alignment horizontal="right" vertical="top" indent="1"/>
    </xf>
    <xf numFmtId="9" fontId="21" fillId="11" borderId="10" xfId="0" applyNumberFormat="1" applyFont="1" applyFill="1" applyBorder="1" applyAlignment="1">
      <alignment horizontal="right" vertical="top" indent="1"/>
    </xf>
    <xf numFmtId="0" fontId="21" fillId="11" borderId="10" xfId="0" applyFont="1" applyFill="1" applyBorder="1" applyAlignment="1">
      <alignment horizontal="right" vertical="top" indent="1"/>
    </xf>
    <xf numFmtId="9" fontId="21" fillId="11" borderId="7" xfId="0" applyNumberFormat="1" applyFont="1" applyFill="1" applyBorder="1" applyAlignment="1">
      <alignment horizontal="right" vertical="top" indent="1"/>
    </xf>
    <xf numFmtId="0" fontId="21" fillId="11" borderId="7" xfId="0" applyFont="1" applyFill="1" applyBorder="1" applyAlignment="1">
      <alignment horizontal="right" vertical="top" indent="1"/>
    </xf>
    <xf numFmtId="0" fontId="21" fillId="0" borderId="7" xfId="0" applyFont="1" applyBorder="1" applyAlignment="1">
      <alignment horizontal="right" vertical="top" indent="1"/>
    </xf>
    <xf numFmtId="9" fontId="21" fillId="11" borderId="0" xfId="0" applyNumberFormat="1" applyFont="1" applyFill="1" applyBorder="1" applyAlignment="1">
      <alignment horizontal="right" vertical="top" indent="1"/>
    </xf>
    <xf numFmtId="0" fontId="21" fillId="11" borderId="0" xfId="0" applyFont="1" applyFill="1" applyBorder="1" applyAlignment="1">
      <alignment horizontal="right" vertical="top" indent="1"/>
    </xf>
    <xf numFmtId="0" fontId="21" fillId="0" borderId="0" xfId="0" applyFont="1" applyBorder="1" applyAlignment="1">
      <alignment horizontal="right" vertical="top" indent="1"/>
    </xf>
    <xf numFmtId="0" fontId="33" fillId="17" borderId="80" xfId="0" applyFont="1" applyFill="1" applyBorder="1" applyAlignment="1">
      <alignment horizontal="right" indent="1"/>
    </xf>
    <xf numFmtId="0" fontId="21" fillId="0" borderId="219" xfId="0" applyFont="1" applyBorder="1" applyAlignment="1">
      <alignment vertical="top"/>
    </xf>
    <xf numFmtId="0" fontId="20" fillId="2" borderId="0" xfId="4" applyFont="1" applyFill="1" applyBorder="1" applyAlignment="1">
      <alignment horizontal="center" wrapText="1"/>
    </xf>
    <xf numFmtId="0" fontId="20" fillId="0" borderId="220" xfId="4" applyFont="1" applyBorder="1"/>
    <xf numFmtId="166" fontId="20" fillId="0" borderId="220" xfId="4" applyNumberFormat="1" applyFont="1" applyBorder="1"/>
    <xf numFmtId="1" fontId="20" fillId="0" borderId="220" xfId="4" applyNumberFormat="1" applyFont="1" applyBorder="1"/>
    <xf numFmtId="0" fontId="21" fillId="0" borderId="155" xfId="3" applyFont="1" applyBorder="1" applyAlignment="1">
      <alignment horizontal="left" indent="1"/>
    </xf>
    <xf numFmtId="9" fontId="21" fillId="11" borderId="219" xfId="6" applyFont="1" applyFill="1" applyBorder="1" applyAlignment="1">
      <alignment vertical="top"/>
    </xf>
    <xf numFmtId="166" fontId="21" fillId="13" borderId="219" xfId="4" applyNumberFormat="1" applyFont="1" applyFill="1" applyBorder="1" applyAlignment="1">
      <alignment vertical="top"/>
    </xf>
    <xf numFmtId="166" fontId="21" fillId="0" borderId="219" xfId="4" applyNumberFormat="1" applyFont="1" applyBorder="1" applyAlignment="1">
      <alignment vertical="top"/>
    </xf>
    <xf numFmtId="166" fontId="20" fillId="4" borderId="221" xfId="4" applyNumberFormat="1" applyFont="1" applyFill="1" applyBorder="1" applyAlignment="1">
      <alignment horizontal="center"/>
    </xf>
    <xf numFmtId="9" fontId="21" fillId="11" borderId="222" xfId="6" applyFont="1" applyFill="1" applyBorder="1" applyAlignment="1">
      <alignment vertical="top"/>
    </xf>
    <xf numFmtId="166" fontId="21" fillId="13" borderId="222" xfId="4" applyNumberFormat="1" applyFont="1" applyFill="1" applyBorder="1" applyAlignment="1">
      <alignment vertical="top"/>
    </xf>
    <xf numFmtId="166" fontId="21" fillId="0" borderId="222" xfId="4" applyNumberFormat="1" applyFont="1" applyBorder="1" applyAlignment="1">
      <alignment vertical="top"/>
    </xf>
    <xf numFmtId="166" fontId="20" fillId="4" borderId="223" xfId="4" applyNumberFormat="1" applyFont="1" applyFill="1" applyBorder="1" applyAlignment="1">
      <alignment horizontal="center"/>
    </xf>
    <xf numFmtId="0" fontId="20" fillId="0" borderId="10" xfId="4" applyFont="1" applyBorder="1"/>
    <xf numFmtId="0" fontId="21" fillId="0" borderId="10" xfId="4" applyFont="1" applyBorder="1" applyAlignment="1">
      <alignment horizontal="right" indent="1"/>
    </xf>
    <xf numFmtId="0" fontId="21" fillId="9" borderId="10" xfId="4" applyFont="1" applyFill="1" applyBorder="1"/>
    <xf numFmtId="166" fontId="21" fillId="0" borderId="10" xfId="4" applyNumberFormat="1" applyFont="1" applyBorder="1" applyAlignment="1">
      <alignment horizontal="right" indent="1"/>
    </xf>
    <xf numFmtId="0" fontId="20" fillId="0" borderId="0" xfId="4" applyFont="1" applyBorder="1"/>
    <xf numFmtId="0" fontId="20" fillId="2" borderId="216" xfId="4" applyFont="1" applyFill="1" applyBorder="1" applyAlignment="1">
      <alignment horizontal="center" wrapText="1"/>
    </xf>
    <xf numFmtId="0" fontId="21" fillId="9" borderId="6" xfId="4" applyFont="1" applyFill="1" applyBorder="1" applyAlignment="1">
      <alignment horizontal="right" indent="1"/>
    </xf>
    <xf numFmtId="0" fontId="21" fillId="9" borderId="10" xfId="4" applyFont="1" applyFill="1" applyBorder="1" applyAlignment="1">
      <alignment horizontal="right" indent="1"/>
    </xf>
    <xf numFmtId="0" fontId="21" fillId="9" borderId="7" xfId="4" applyFont="1" applyFill="1" applyBorder="1" applyAlignment="1">
      <alignment horizontal="right" indent="1"/>
    </xf>
    <xf numFmtId="0" fontId="21" fillId="9" borderId="82" xfId="4" applyFont="1" applyFill="1" applyBorder="1" applyAlignment="1">
      <alignment horizontal="right" indent="1"/>
    </xf>
    <xf numFmtId="0" fontId="20" fillId="2" borderId="9" xfId="0" applyFont="1" applyFill="1" applyBorder="1" applyAlignment="1">
      <alignment horizontal="right" vertical="top" wrapText="1" indent="1"/>
    </xf>
    <xf numFmtId="166" fontId="21" fillId="9" borderId="7" xfId="4" applyNumberFormat="1" applyFont="1" applyFill="1" applyBorder="1" applyAlignment="1">
      <alignment horizontal="right" indent="1"/>
    </xf>
    <xf numFmtId="0" fontId="20" fillId="2" borderId="200" xfId="4" applyFont="1" applyFill="1" applyBorder="1" applyAlignment="1">
      <alignment horizontal="center" vertical="center" wrapText="1"/>
    </xf>
    <xf numFmtId="0" fontId="20" fillId="2" borderId="90" xfId="4" applyFont="1" applyFill="1" applyBorder="1" applyAlignment="1">
      <alignment horizontal="center" vertical="center" wrapText="1"/>
    </xf>
    <xf numFmtId="0" fontId="20" fillId="0" borderId="90" xfId="4" applyFont="1" applyBorder="1"/>
    <xf numFmtId="0" fontId="20" fillId="0" borderId="97" xfId="4" applyFont="1" applyBorder="1"/>
    <xf numFmtId="11" fontId="20" fillId="9" borderId="91" xfId="4" applyNumberFormat="1" applyFont="1" applyFill="1" applyBorder="1" applyAlignment="1">
      <alignment horizontal="center"/>
    </xf>
    <xf numFmtId="11" fontId="20" fillId="9" borderId="94" xfId="4" applyNumberFormat="1" applyFont="1" applyFill="1" applyBorder="1" applyAlignment="1">
      <alignment horizontal="center"/>
    </xf>
    <xf numFmtId="0" fontId="20" fillId="9" borderId="90" xfId="0" applyFont="1" applyFill="1" applyBorder="1" applyAlignment="1">
      <alignment vertical="top"/>
    </xf>
    <xf numFmtId="0" fontId="20" fillId="0" borderId="90" xfId="4" applyFont="1" applyFill="1" applyBorder="1"/>
    <xf numFmtId="0" fontId="20" fillId="0" borderId="97" xfId="4" applyFont="1" applyFill="1" applyBorder="1"/>
    <xf numFmtId="0" fontId="10" fillId="0" borderId="0" xfId="4" applyFont="1" applyAlignment="1">
      <alignment wrapText="1"/>
    </xf>
    <xf numFmtId="0" fontId="20" fillId="0" borderId="0" xfId="4" applyFont="1" applyAlignment="1">
      <alignment wrapText="1"/>
    </xf>
    <xf numFmtId="0" fontId="21" fillId="0" borderId="0" xfId="4" applyFont="1" applyAlignment="1">
      <alignment wrapText="1"/>
    </xf>
    <xf numFmtId="0" fontId="20" fillId="9" borderId="200" xfId="4" applyFont="1" applyFill="1" applyBorder="1" applyAlignment="1">
      <alignment wrapText="1"/>
    </xf>
    <xf numFmtId="0" fontId="33" fillId="17" borderId="90" xfId="4" applyFont="1" applyFill="1" applyBorder="1" applyAlignment="1">
      <alignment wrapText="1"/>
    </xf>
    <xf numFmtId="0" fontId="16" fillId="0" borderId="0" xfId="4" applyFont="1" applyAlignment="1">
      <alignment wrapText="1"/>
    </xf>
    <xf numFmtId="0" fontId="13" fillId="0" borderId="0" xfId="4" applyAlignment="1">
      <alignment wrapText="1"/>
    </xf>
    <xf numFmtId="0" fontId="20" fillId="0" borderId="91" xfId="0" applyFont="1" applyFill="1" applyBorder="1" applyAlignment="1">
      <alignment vertical="center" wrapText="1"/>
    </xf>
    <xf numFmtId="0" fontId="20" fillId="0" borderId="91" xfId="0" applyFont="1" applyBorder="1" applyAlignment="1">
      <alignment vertical="center" wrapText="1"/>
    </xf>
    <xf numFmtId="0" fontId="20" fillId="0" borderId="94" xfId="0" applyFont="1" applyFill="1" applyBorder="1" applyAlignment="1">
      <alignment vertical="center" wrapText="1"/>
    </xf>
    <xf numFmtId="0" fontId="20" fillId="0" borderId="61" xfId="4" applyFont="1" applyBorder="1" applyAlignment="1">
      <alignment wrapText="1"/>
    </xf>
    <xf numFmtId="0" fontId="14" fillId="5" borderId="0" xfId="4" applyFont="1" applyFill="1" applyBorder="1" applyAlignment="1">
      <alignment horizontal="left" vertical="top"/>
    </xf>
    <xf numFmtId="0" fontId="17" fillId="5" borderId="0" xfId="4" applyFont="1" applyFill="1" applyBorder="1" applyAlignment="1">
      <alignment horizontal="left" vertical="top"/>
    </xf>
    <xf numFmtId="0" fontId="6" fillId="2" borderId="2" xfId="4" applyFont="1" applyFill="1" applyBorder="1" applyAlignment="1">
      <alignment horizontal="left" indent="1"/>
    </xf>
    <xf numFmtId="0" fontId="15" fillId="2" borderId="2" xfId="4" applyFont="1" applyFill="1" applyBorder="1" applyAlignment="1">
      <alignment horizontal="left" indent="1"/>
    </xf>
    <xf numFmtId="0" fontId="21" fillId="0" borderId="39" xfId="4" applyFont="1" applyBorder="1" applyAlignment="1">
      <alignment horizontal="right" indent="1"/>
    </xf>
    <xf numFmtId="0" fontId="20" fillId="0" borderId="94" xfId="4" applyFont="1" applyBorder="1" applyAlignment="1">
      <alignment horizontal="right" indent="1"/>
    </xf>
    <xf numFmtId="0" fontId="20" fillId="9" borderId="201" xfId="4" applyFont="1" applyFill="1" applyBorder="1" applyAlignment="1">
      <alignment horizontal="right" wrapText="1" indent="1"/>
    </xf>
    <xf numFmtId="0" fontId="20" fillId="9" borderId="143" xfId="4" applyFont="1" applyFill="1" applyBorder="1" applyAlignment="1">
      <alignment horizontal="right" wrapText="1" indent="1"/>
    </xf>
    <xf numFmtId="0" fontId="20" fillId="9" borderId="91" xfId="4" applyFont="1" applyFill="1" applyBorder="1" applyAlignment="1">
      <alignment horizontal="right" wrapText="1" indent="1"/>
    </xf>
    <xf numFmtId="0" fontId="20" fillId="9" borderId="94" xfId="4" applyFont="1" applyFill="1" applyBorder="1" applyAlignment="1">
      <alignment horizontal="right" wrapText="1" indent="1"/>
    </xf>
    <xf numFmtId="0" fontId="33" fillId="17" borderId="91" xfId="4" applyFont="1" applyFill="1" applyBorder="1" applyAlignment="1">
      <alignment horizontal="right" wrapText="1" indent="1"/>
    </xf>
    <xf numFmtId="0" fontId="33" fillId="17" borderId="25" xfId="4" applyFont="1" applyFill="1" applyBorder="1" applyAlignment="1">
      <alignment horizontal="right" wrapText="1" indent="1"/>
    </xf>
    <xf numFmtId="0" fontId="33" fillId="17" borderId="94" xfId="4" applyFont="1" applyFill="1" applyBorder="1" applyAlignment="1">
      <alignment horizontal="right" wrapText="1" indent="1"/>
    </xf>
    <xf numFmtId="0" fontId="33" fillId="17" borderId="98" xfId="4" applyFont="1" applyFill="1" applyBorder="1" applyAlignment="1">
      <alignment horizontal="right" wrapText="1" indent="1"/>
    </xf>
    <xf numFmtId="0" fontId="20" fillId="2" borderId="215" xfId="4" applyFont="1" applyFill="1" applyBorder="1" applyAlignment="1">
      <alignment horizontal="center" wrapText="1"/>
    </xf>
    <xf numFmtId="0" fontId="20" fillId="2" borderId="85" xfId="4" applyFont="1" applyFill="1" applyBorder="1" applyAlignment="1">
      <alignment horizontal="center" wrapText="1"/>
    </xf>
    <xf numFmtId="166" fontId="21" fillId="0" borderId="104" xfId="4" applyNumberFormat="1" applyFont="1" applyBorder="1" applyAlignment="1">
      <alignment horizontal="right" indent="1"/>
    </xf>
    <xf numFmtId="166" fontId="21" fillId="0" borderId="86" xfId="4" applyNumberFormat="1" applyFont="1" applyBorder="1" applyAlignment="1">
      <alignment horizontal="right" indent="1"/>
    </xf>
    <xf numFmtId="166" fontId="21" fillId="12" borderId="225" xfId="4" applyNumberFormat="1" applyFont="1" applyFill="1" applyBorder="1" applyAlignment="1">
      <alignment horizontal="right" indent="1"/>
    </xf>
    <xf numFmtId="166" fontId="21" fillId="0" borderId="225" xfId="4" applyNumberFormat="1" applyFont="1" applyBorder="1" applyAlignment="1">
      <alignment horizontal="right" indent="1"/>
    </xf>
    <xf numFmtId="166" fontId="21" fillId="0" borderId="87" xfId="4" applyNumberFormat="1" applyFont="1" applyBorder="1" applyAlignment="1">
      <alignment horizontal="right" indent="1"/>
    </xf>
    <xf numFmtId="166" fontId="21" fillId="0" borderId="227" xfId="4" applyNumberFormat="1" applyFont="1" applyBorder="1" applyAlignment="1">
      <alignment horizontal="right" indent="1"/>
    </xf>
    <xf numFmtId="166" fontId="21" fillId="0" borderId="229" xfId="4" applyNumberFormat="1" applyFont="1" applyBorder="1" applyAlignment="1">
      <alignment horizontal="right" indent="1"/>
    </xf>
    <xf numFmtId="166" fontId="21" fillId="0" borderId="104" xfId="4" applyNumberFormat="1" applyFont="1" applyFill="1" applyBorder="1" applyAlignment="1">
      <alignment horizontal="right" indent="1"/>
    </xf>
    <xf numFmtId="166" fontId="21" fillId="0" borderId="86" xfId="4" applyNumberFormat="1" applyFont="1" applyFill="1" applyBorder="1" applyAlignment="1">
      <alignment horizontal="right" indent="1"/>
    </xf>
    <xf numFmtId="166" fontId="21" fillId="0" borderId="224" xfId="4" applyNumberFormat="1" applyFont="1" applyFill="1" applyBorder="1" applyAlignment="1">
      <alignment horizontal="right" indent="1"/>
    </xf>
    <xf numFmtId="166" fontId="21" fillId="0" borderId="225" xfId="4" applyNumberFormat="1" applyFont="1" applyFill="1" applyBorder="1" applyAlignment="1">
      <alignment horizontal="right" indent="1"/>
    </xf>
    <xf numFmtId="166" fontId="21" fillId="0" borderId="101" xfId="4" applyNumberFormat="1" applyFont="1" applyFill="1" applyBorder="1" applyAlignment="1">
      <alignment horizontal="right" indent="1"/>
    </xf>
    <xf numFmtId="166" fontId="21" fillId="0" borderId="87" xfId="4" applyNumberFormat="1" applyFont="1" applyFill="1" applyBorder="1" applyAlignment="1">
      <alignment horizontal="right" indent="1"/>
    </xf>
    <xf numFmtId="166" fontId="21" fillId="0" borderId="226" xfId="4" applyNumberFormat="1" applyFont="1" applyFill="1" applyBorder="1" applyAlignment="1">
      <alignment horizontal="right" indent="1"/>
    </xf>
    <xf numFmtId="166" fontId="21" fillId="0" borderId="227" xfId="4" applyNumberFormat="1" applyFont="1" applyFill="1" applyBorder="1" applyAlignment="1">
      <alignment horizontal="right" indent="1"/>
    </xf>
    <xf numFmtId="166" fontId="21" fillId="0" borderId="228" xfId="4" applyNumberFormat="1" applyFont="1" applyFill="1" applyBorder="1" applyAlignment="1">
      <alignment horizontal="right" indent="1"/>
    </xf>
    <xf numFmtId="166" fontId="21" fillId="0" borderId="229" xfId="4" applyNumberFormat="1" applyFont="1" applyFill="1" applyBorder="1" applyAlignment="1">
      <alignment horizontal="right" indent="1"/>
    </xf>
    <xf numFmtId="0" fontId="21" fillId="2" borderId="85" xfId="4" applyFont="1" applyFill="1" applyBorder="1" applyAlignment="1">
      <alignment horizontal="center" wrapText="1"/>
    </xf>
    <xf numFmtId="0" fontId="13" fillId="0" borderId="9" xfId="4" applyBorder="1"/>
    <xf numFmtId="0" fontId="13" fillId="0" borderId="34" xfId="4" applyBorder="1"/>
    <xf numFmtId="0" fontId="14" fillId="5" borderId="0" xfId="4" applyFont="1" applyFill="1" applyBorder="1" applyAlignment="1">
      <alignment horizontal="left" vertical="top"/>
    </xf>
    <xf numFmtId="0" fontId="17" fillId="5" borderId="0" xfId="4" applyFont="1" applyFill="1" applyBorder="1" applyAlignment="1">
      <alignment horizontal="left" vertical="top"/>
    </xf>
    <xf numFmtId="2" fontId="8" fillId="0" borderId="9" xfId="4" applyNumberFormat="1" applyFont="1" applyBorder="1" applyAlignment="1"/>
    <xf numFmtId="2" fontId="8" fillId="0" borderId="34" xfId="4" applyNumberFormat="1" applyFont="1" applyBorder="1" applyAlignment="1"/>
    <xf numFmtId="2" fontId="8" fillId="0" borderId="33" xfId="4" applyNumberFormat="1" applyFont="1" applyBorder="1" applyAlignment="1"/>
    <xf numFmtId="0" fontId="20" fillId="0" borderId="94" xfId="0" applyFont="1" applyBorder="1" applyAlignment="1">
      <alignment horizontal="right" indent="1"/>
    </xf>
    <xf numFmtId="0" fontId="20" fillId="0" borderId="98" xfId="4" applyFont="1" applyBorder="1" applyAlignment="1">
      <alignment horizontal="right" indent="1"/>
    </xf>
    <xf numFmtId="0" fontId="21" fillId="0" borderId="221" xfId="4" applyFont="1" applyBorder="1" applyAlignment="1">
      <alignment horizontal="right" indent="1"/>
    </xf>
    <xf numFmtId="0" fontId="20" fillId="0" borderId="61" xfId="4" applyFont="1" applyFill="1" applyBorder="1" applyAlignment="1">
      <alignment vertical="center" wrapText="1"/>
    </xf>
    <xf numFmtId="0" fontId="13" fillId="0" borderId="2" xfId="4" applyBorder="1"/>
    <xf numFmtId="0" fontId="20" fillId="0" borderId="3" xfId="0" applyFont="1" applyBorder="1" applyAlignment="1">
      <alignment vertical="center" wrapText="1"/>
    </xf>
    <xf numFmtId="11" fontId="20" fillId="9" borderId="3" xfId="4" applyNumberFormat="1" applyFont="1" applyFill="1" applyBorder="1" applyAlignment="1">
      <alignment horizontal="center"/>
    </xf>
    <xf numFmtId="0" fontId="20" fillId="0" borderId="2" xfId="4" applyFont="1" applyBorder="1" applyAlignment="1">
      <alignment wrapText="1"/>
    </xf>
    <xf numFmtId="166" fontId="21" fillId="0" borderId="6" xfId="4" applyNumberFormat="1" applyFont="1" applyFill="1" applyBorder="1" applyAlignment="1">
      <alignment horizontal="right" indent="1"/>
    </xf>
    <xf numFmtId="166" fontId="21" fillId="0" borderId="219" xfId="4" applyNumberFormat="1" applyFont="1" applyFill="1" applyBorder="1" applyAlignment="1">
      <alignment horizontal="right" indent="1"/>
    </xf>
    <xf numFmtId="166" fontId="21" fillId="0" borderId="10" xfId="4" applyNumberFormat="1" applyFont="1" applyFill="1" applyBorder="1" applyAlignment="1">
      <alignment horizontal="right" indent="1"/>
    </xf>
    <xf numFmtId="166" fontId="21" fillId="0" borderId="231" xfId="4" applyNumberFormat="1" applyFont="1" applyFill="1" applyBorder="1" applyAlignment="1">
      <alignment horizontal="right" indent="1"/>
    </xf>
    <xf numFmtId="166" fontId="21" fillId="0" borderId="232" xfId="4" applyNumberFormat="1" applyFont="1" applyFill="1" applyBorder="1" applyAlignment="1">
      <alignment horizontal="right" indent="1"/>
    </xf>
    <xf numFmtId="0" fontId="20" fillId="0" borderId="90" xfId="0" applyFont="1" applyFill="1" applyBorder="1" applyAlignment="1">
      <alignment vertical="center" wrapText="1"/>
    </xf>
    <xf numFmtId="11" fontId="20" fillId="9" borderId="90" xfId="4" applyNumberFormat="1" applyFont="1" applyFill="1" applyBorder="1" applyAlignment="1">
      <alignment horizontal="center"/>
    </xf>
    <xf numFmtId="0" fontId="20" fillId="9" borderId="200" xfId="4" applyFont="1" applyFill="1" applyBorder="1" applyAlignment="1">
      <alignment horizontal="right" wrapText="1" indent="1"/>
    </xf>
    <xf numFmtId="0" fontId="20" fillId="9" borderId="90" xfId="4" applyFont="1" applyFill="1" applyBorder="1" applyAlignment="1">
      <alignment horizontal="right" wrapText="1" indent="1"/>
    </xf>
    <xf numFmtId="0" fontId="33" fillId="17" borderId="90" xfId="4" applyFont="1" applyFill="1" applyBorder="1" applyAlignment="1">
      <alignment horizontal="right" wrapText="1" indent="1"/>
    </xf>
    <xf numFmtId="0" fontId="33" fillId="17" borderId="97" xfId="4" applyFont="1" applyFill="1" applyBorder="1" applyAlignment="1">
      <alignment horizontal="right" wrapText="1" indent="1"/>
    </xf>
    <xf numFmtId="166" fontId="21" fillId="12" borderId="219" xfId="4" applyNumberFormat="1" applyFont="1" applyFill="1" applyBorder="1" applyAlignment="1">
      <alignment horizontal="right" indent="1"/>
    </xf>
    <xf numFmtId="166" fontId="21" fillId="0" borderId="219" xfId="4" applyNumberFormat="1" applyFont="1" applyBorder="1" applyAlignment="1">
      <alignment horizontal="right" indent="1"/>
    </xf>
    <xf numFmtId="166" fontId="21" fillId="0" borderId="231" xfId="4" applyNumberFormat="1" applyFont="1" applyBorder="1" applyAlignment="1">
      <alignment horizontal="right" indent="1"/>
    </xf>
    <xf numFmtId="166" fontId="21" fillId="0" borderId="232" xfId="4" applyNumberFormat="1" applyFont="1" applyBorder="1" applyAlignment="1">
      <alignment horizontal="right" indent="1"/>
    </xf>
    <xf numFmtId="0" fontId="21" fillId="2" borderId="216" xfId="4" applyFont="1" applyFill="1" applyBorder="1" applyAlignment="1">
      <alignment horizontal="center" wrapText="1"/>
    </xf>
    <xf numFmtId="0" fontId="20" fillId="0" borderId="214" xfId="4" applyFont="1" applyBorder="1"/>
    <xf numFmtId="0" fontId="20" fillId="0" borderId="23" xfId="4" applyFont="1" applyBorder="1" applyAlignment="1">
      <alignment vertical="center"/>
    </xf>
    <xf numFmtId="0" fontId="20" fillId="0" borderId="23" xfId="4" applyFont="1" applyBorder="1"/>
    <xf numFmtId="0" fontId="20" fillId="0" borderId="23" xfId="4" applyFont="1" applyFill="1" applyBorder="1" applyAlignment="1">
      <alignment vertical="center"/>
    </xf>
    <xf numFmtId="0" fontId="20" fillId="0" borderId="233" xfId="4" applyFont="1" applyFill="1" applyBorder="1" applyAlignment="1">
      <alignment vertical="center"/>
    </xf>
    <xf numFmtId="166" fontId="20" fillId="0" borderId="112" xfId="4" applyNumberFormat="1" applyFont="1" applyBorder="1" applyAlignment="1">
      <alignment horizontal="right" indent="1"/>
    </xf>
    <xf numFmtId="166" fontId="20" fillId="0" borderId="230" xfId="4" applyNumberFormat="1" applyFont="1" applyBorder="1" applyAlignment="1">
      <alignment horizontal="right" indent="1"/>
    </xf>
    <xf numFmtId="166" fontId="20" fillId="0" borderId="119" xfId="4" applyNumberFormat="1" applyFont="1" applyBorder="1" applyAlignment="1">
      <alignment horizontal="right" indent="1"/>
    </xf>
    <xf numFmtId="0" fontId="21" fillId="0" borderId="17" xfId="4" applyFont="1" applyBorder="1" applyAlignment="1">
      <alignment horizontal="right" vertical="center" indent="1"/>
    </xf>
    <xf numFmtId="0" fontId="21" fillId="0" borderId="19" xfId="4" applyFont="1" applyBorder="1" applyAlignment="1">
      <alignment horizontal="right" vertical="center" indent="1"/>
    </xf>
    <xf numFmtId="0" fontId="21" fillId="0" borderId="20" xfId="4" applyFont="1" applyBorder="1" applyAlignment="1">
      <alignment horizontal="right" vertical="center" indent="1"/>
    </xf>
    <xf numFmtId="0" fontId="21" fillId="0" borderId="192" xfId="4" applyFont="1" applyBorder="1" applyAlignment="1">
      <alignment horizontal="right" vertical="center" indent="1"/>
    </xf>
    <xf numFmtId="0" fontId="21" fillId="0" borderId="197" xfId="4" applyFont="1" applyBorder="1" applyAlignment="1">
      <alignment horizontal="right" vertical="center" indent="1"/>
    </xf>
    <xf numFmtId="0" fontId="21" fillId="0" borderId="22" xfId="4" applyFont="1" applyBorder="1" applyAlignment="1">
      <alignment horizontal="right" vertical="center" indent="1"/>
    </xf>
    <xf numFmtId="0" fontId="21" fillId="0" borderId="192" xfId="3" applyFont="1" applyBorder="1" applyAlignment="1">
      <alignment horizontal="left" vertical="center" wrapText="1" indent="1"/>
    </xf>
    <xf numFmtId="0" fontId="21" fillId="0" borderId="192" xfId="3" applyFont="1" applyBorder="1" applyAlignment="1" applyProtection="1">
      <alignment horizontal="left" vertical="center" wrapText="1" indent="1"/>
    </xf>
    <xf numFmtId="0" fontId="21" fillId="0" borderId="146" xfId="3" applyFont="1" applyBorder="1" applyAlignment="1">
      <alignment horizontal="left" vertical="center" indent="1"/>
    </xf>
    <xf numFmtId="0" fontId="21" fillId="0" borderId="130" xfId="3" applyFont="1" applyBorder="1" applyAlignment="1">
      <alignment horizontal="left" vertical="center" wrapText="1" indent="1"/>
    </xf>
    <xf numFmtId="0" fontId="21" fillId="0" borderId="130" xfId="3" applyFont="1" applyBorder="1" applyAlignment="1">
      <alignment vertical="center"/>
    </xf>
    <xf numFmtId="0" fontId="21" fillId="0" borderId="130" xfId="3" applyFont="1" applyBorder="1" applyAlignment="1">
      <alignment vertical="center" wrapText="1"/>
    </xf>
    <xf numFmtId="0" fontId="21" fillId="0" borderId="24" xfId="10" applyFont="1" applyBorder="1" applyAlignment="1" applyProtection="1">
      <alignment vertical="center"/>
    </xf>
    <xf numFmtId="0" fontId="19" fillId="0" borderId="60" xfId="3" applyFont="1" applyBorder="1" applyAlignment="1" applyProtection="1">
      <alignment horizontal="left" vertical="center" indent="1"/>
    </xf>
    <xf numFmtId="0" fontId="21" fillId="0" borderId="24" xfId="3" applyFont="1" applyBorder="1" applyAlignment="1" applyProtection="1">
      <alignment vertical="center" wrapText="1"/>
    </xf>
    <xf numFmtId="171" fontId="21" fillId="0" borderId="24" xfId="3" applyNumberFormat="1" applyFont="1" applyBorder="1" applyAlignment="1" applyProtection="1">
      <alignment horizontal="right" vertical="center" wrapText="1" indent="1"/>
    </xf>
    <xf numFmtId="0" fontId="21" fillId="0" borderId="0" xfId="0" applyFont="1" applyBorder="1"/>
    <xf numFmtId="2" fontId="33" fillId="17" borderId="91" xfId="4" applyNumberFormat="1" applyFont="1" applyFill="1" applyBorder="1" applyAlignment="1">
      <alignment horizontal="right" wrapText="1" indent="1"/>
    </xf>
    <xf numFmtId="2" fontId="33" fillId="17" borderId="25" xfId="4" applyNumberFormat="1" applyFont="1" applyFill="1" applyBorder="1" applyAlignment="1">
      <alignment horizontal="right" wrapText="1" indent="1"/>
    </xf>
    <xf numFmtId="0" fontId="20" fillId="9" borderId="90" xfId="0" applyFont="1" applyFill="1" applyBorder="1" applyAlignment="1">
      <alignment vertical="top" wrapText="1"/>
    </xf>
    <xf numFmtId="0" fontId="21" fillId="0" borderId="0" xfId="3" applyFont="1" applyAlignment="1">
      <alignment horizontal="left" wrapText="1"/>
    </xf>
    <xf numFmtId="0" fontId="21" fillId="0" borderId="0" xfId="3" applyFont="1" applyAlignment="1">
      <alignment horizontal="left" wrapText="1"/>
    </xf>
    <xf numFmtId="0" fontId="21" fillId="0" borderId="0" xfId="3" applyFont="1" applyAlignment="1">
      <alignment horizontal="left"/>
    </xf>
    <xf numFmtId="0" fontId="20" fillId="0" borderId="0" xfId="3" applyFont="1" applyAlignment="1">
      <alignment wrapText="1"/>
    </xf>
    <xf numFmtId="0" fontId="20" fillId="0" borderId="0" xfId="3" applyFont="1" applyAlignment="1">
      <alignment vertical="top"/>
    </xf>
    <xf numFmtId="0" fontId="20" fillId="0" borderId="0" xfId="3" applyFont="1" applyAlignment="1"/>
    <xf numFmtId="1" fontId="29" fillId="0" borderId="145" xfId="0" applyNumberFormat="1" applyFont="1" applyBorder="1" applyAlignment="1">
      <alignment horizontal="right" indent="1"/>
    </xf>
    <xf numFmtId="1" fontId="29" fillId="0" borderId="95" xfId="0" applyNumberFormat="1" applyFont="1" applyBorder="1" applyAlignment="1">
      <alignment horizontal="right" indent="1"/>
    </xf>
    <xf numFmtId="0" fontId="31" fillId="0" borderId="14" xfId="0" applyFont="1" applyBorder="1" applyAlignment="1">
      <alignment horizontal="left" indent="1"/>
    </xf>
    <xf numFmtId="0" fontId="31" fillId="0" borderId="0" xfId="0" applyFont="1" applyBorder="1" applyAlignment="1">
      <alignment horizontal="left" wrapText="1" indent="1"/>
    </xf>
    <xf numFmtId="10" fontId="31" fillId="0" borderId="0" xfId="5" applyNumberFormat="1" applyFont="1" applyBorder="1" applyAlignment="1">
      <alignment horizontal="right" indent="1"/>
    </xf>
    <xf numFmtId="166" fontId="31" fillId="0" borderId="0" xfId="0" applyNumberFormat="1" applyFont="1" applyBorder="1" applyAlignment="1">
      <alignment horizontal="right" indent="1"/>
    </xf>
    <xf numFmtId="0" fontId="31" fillId="0" borderId="0" xfId="0" applyFont="1" applyBorder="1" applyAlignment="1">
      <alignment horizontal="left" indent="1"/>
    </xf>
    <xf numFmtId="2" fontId="31" fillId="0" borderId="0" xfId="5" applyNumberFormat="1" applyFont="1" applyBorder="1" applyAlignment="1">
      <alignment horizontal="right" indent="1"/>
    </xf>
    <xf numFmtId="166" fontId="31" fillId="0" borderId="0" xfId="0" applyNumberFormat="1" applyFont="1" applyBorder="1" applyAlignment="1">
      <alignment horizontal="left" wrapText="1" indent="1"/>
    </xf>
    <xf numFmtId="0" fontId="46" fillId="0" borderId="0" xfId="7" applyNumberFormat="1" applyFont="1" applyBorder="1" applyProtection="1"/>
    <xf numFmtId="0" fontId="47" fillId="0" borderId="2" xfId="10" applyNumberFormat="1" applyFont="1" applyBorder="1" applyProtection="1"/>
    <xf numFmtId="0" fontId="45" fillId="19" borderId="99" xfId="7" applyNumberFormat="1" applyFont="1" applyFill="1" applyBorder="1" applyAlignment="1" applyProtection="1">
      <alignment vertical="top" wrapText="1"/>
    </xf>
    <xf numFmtId="0" fontId="47" fillId="0" borderId="55" xfId="10" applyNumberFormat="1" applyFont="1" applyBorder="1" applyAlignment="1" applyProtection="1">
      <alignment horizontal="left" indent="1"/>
    </xf>
    <xf numFmtId="0" fontId="47" fillId="19" borderId="55" xfId="10" applyNumberFormat="1" applyFont="1" applyFill="1" applyBorder="1" applyAlignment="1" applyProtection="1">
      <alignment horizontal="center" vertical="center" wrapText="1"/>
    </xf>
    <xf numFmtId="0" fontId="47" fillId="0" borderId="143" xfId="10" applyNumberFormat="1" applyFont="1" applyBorder="1" applyAlignment="1" applyProtection="1">
      <alignment horizontal="center" vertical="center" wrapText="1"/>
    </xf>
    <xf numFmtId="0" fontId="47" fillId="0" borderId="175" xfId="10" applyNumberFormat="1" applyFont="1" applyBorder="1" applyAlignment="1" applyProtection="1">
      <alignment horizontal="center" vertical="center" wrapText="1"/>
    </xf>
    <xf numFmtId="0" fontId="45" fillId="0" borderId="90" xfId="10" applyNumberFormat="1" applyFont="1" applyBorder="1" applyAlignment="1" applyProtection="1">
      <alignment horizontal="center" vertical="center" wrapText="1"/>
    </xf>
    <xf numFmtId="0" fontId="45" fillId="0" borderId="91" xfId="10" applyNumberFormat="1" applyFont="1" applyBorder="1" applyAlignment="1" applyProtection="1">
      <alignment horizontal="center" vertical="center" wrapText="1"/>
    </xf>
    <xf numFmtId="0" fontId="45" fillId="0" borderId="94" xfId="10" applyNumberFormat="1" applyFont="1" applyBorder="1" applyAlignment="1" applyProtection="1">
      <alignment horizontal="center" vertical="center" wrapText="1"/>
    </xf>
    <xf numFmtId="0" fontId="45" fillId="0" borderId="176" xfId="10" applyNumberFormat="1" applyFont="1" applyBorder="1" applyAlignment="1" applyProtection="1">
      <alignment horizontal="center" vertical="center" wrapText="1"/>
    </xf>
    <xf numFmtId="0" fontId="45" fillId="0" borderId="97" xfId="10" applyNumberFormat="1" applyFont="1" applyFill="1" applyBorder="1" applyAlignment="1" applyProtection="1">
      <alignment horizontal="center" vertical="center" wrapText="1"/>
    </xf>
    <xf numFmtId="0" fontId="45" fillId="0" borderId="25" xfId="10" applyNumberFormat="1" applyFont="1" applyFill="1" applyBorder="1" applyAlignment="1" applyProtection="1">
      <alignment horizontal="center" vertical="center" wrapText="1"/>
    </xf>
    <xf numFmtId="0" fontId="45" fillId="0" borderId="98" xfId="10" applyNumberFormat="1" applyFont="1" applyFill="1" applyBorder="1" applyAlignment="1" applyProtection="1">
      <alignment horizontal="center" vertical="center" wrapText="1"/>
    </xf>
    <xf numFmtId="0" fontId="45" fillId="0" borderId="177" xfId="10" applyNumberFormat="1" applyFont="1" applyFill="1" applyBorder="1" applyAlignment="1" applyProtection="1">
      <alignment horizontal="center" vertical="center" wrapText="1"/>
    </xf>
    <xf numFmtId="0" fontId="45" fillId="9" borderId="0" xfId="7" applyNumberFormat="1" applyFont="1" applyFill="1" applyBorder="1" applyProtection="1"/>
    <xf numFmtId="0" fontId="48" fillId="9" borderId="0" xfId="7" applyNumberFormat="1" applyFont="1" applyFill="1" applyBorder="1" applyAlignment="1" applyProtection="1">
      <alignment horizontal="center" vertical="center"/>
    </xf>
    <xf numFmtId="0" fontId="45" fillId="9" borderId="132" xfId="7" applyNumberFormat="1" applyFont="1" applyFill="1" applyBorder="1" applyProtection="1"/>
    <xf numFmtId="0" fontId="45" fillId="0" borderId="178" xfId="7" applyNumberFormat="1" applyFont="1" applyBorder="1" applyAlignment="1" applyProtection="1">
      <alignment horizontal="left" vertical="top" indent="1"/>
    </xf>
    <xf numFmtId="0" fontId="45" fillId="0" borderId="182" xfId="7" applyNumberFormat="1" applyFont="1" applyFill="1" applyBorder="1" applyAlignment="1" applyProtection="1">
      <alignment horizontal="left" vertical="top" indent="1"/>
    </xf>
    <xf numFmtId="0" fontId="45" fillId="0" borderId="182" xfId="7" applyNumberFormat="1" applyFont="1" applyBorder="1" applyAlignment="1" applyProtection="1">
      <alignment horizontal="left" vertical="top" indent="1"/>
    </xf>
    <xf numFmtId="0" fontId="45" fillId="0" borderId="187" xfId="7" applyNumberFormat="1" applyFont="1" applyBorder="1" applyAlignment="1" applyProtection="1">
      <alignment horizontal="left" vertical="top" indent="1"/>
    </xf>
    <xf numFmtId="0" fontId="47" fillId="9" borderId="60" xfId="7" applyNumberFormat="1" applyFont="1" applyFill="1" applyBorder="1" applyAlignment="1" applyProtection="1">
      <alignment vertical="top" wrapText="1"/>
    </xf>
    <xf numFmtId="0" fontId="45" fillId="0" borderId="184" xfId="7" applyNumberFormat="1" applyFont="1" applyFill="1" applyBorder="1" applyAlignment="1" applyProtection="1">
      <alignment horizontal="left" vertical="top" indent="1"/>
    </xf>
    <xf numFmtId="0" fontId="45" fillId="0" borderId="185" xfId="7" applyNumberFormat="1" applyFont="1" applyFill="1" applyBorder="1" applyAlignment="1" applyProtection="1">
      <alignment horizontal="left" vertical="top" indent="1"/>
    </xf>
    <xf numFmtId="0" fontId="47" fillId="9" borderId="33" xfId="7" applyNumberFormat="1" applyFont="1" applyFill="1" applyBorder="1" applyAlignment="1" applyProtection="1">
      <alignment vertical="top" wrapText="1"/>
    </xf>
    <xf numFmtId="0" fontId="45" fillId="9" borderId="9" xfId="7" applyNumberFormat="1" applyFont="1" applyFill="1" applyBorder="1" applyProtection="1"/>
    <xf numFmtId="0" fontId="48" fillId="9" borderId="9" xfId="7" applyNumberFormat="1" applyFont="1" applyFill="1" applyBorder="1" applyAlignment="1" applyProtection="1">
      <alignment horizontal="center" vertical="center"/>
    </xf>
    <xf numFmtId="0" fontId="45" fillId="9" borderId="34" xfId="7" applyNumberFormat="1" applyFont="1" applyFill="1" applyBorder="1" applyProtection="1"/>
    <xf numFmtId="0" fontId="29" fillId="0" borderId="50" xfId="0" applyFont="1" applyBorder="1" applyAlignment="1">
      <alignment horizontal="right" indent="1"/>
    </xf>
    <xf numFmtId="0" fontId="29" fillId="0" borderId="3" xfId="0" applyFont="1" applyBorder="1" applyAlignment="1">
      <alignment horizontal="right" indent="1"/>
    </xf>
    <xf numFmtId="0" fontId="29" fillId="0" borderId="43" xfId="0" applyFont="1" applyBorder="1" applyAlignment="1">
      <alignment horizontal="right" indent="1"/>
    </xf>
    <xf numFmtId="0" fontId="29" fillId="0" borderId="176" xfId="0" applyFont="1" applyBorder="1" applyAlignment="1">
      <alignment horizontal="right" indent="1"/>
    </xf>
    <xf numFmtId="0" fontId="29" fillId="0" borderId="177" xfId="0" applyFont="1" applyBorder="1" applyAlignment="1">
      <alignment horizontal="right" indent="1"/>
    </xf>
    <xf numFmtId="3" fontId="29" fillId="0" borderId="65" xfId="0" applyNumberFormat="1" applyFont="1" applyBorder="1" applyAlignment="1">
      <alignment horizontal="right" indent="1"/>
    </xf>
    <xf numFmtId="3" fontId="29" fillId="0" borderId="145" xfId="0" applyNumberFormat="1" applyFont="1" applyBorder="1" applyAlignment="1">
      <alignment horizontal="right" indent="1"/>
    </xf>
    <xf numFmtId="3" fontId="29" fillId="0" borderId="176" xfId="0" applyNumberFormat="1" applyFont="1" applyBorder="1" applyAlignment="1">
      <alignment horizontal="right" indent="1"/>
    </xf>
    <xf numFmtId="3" fontId="29" fillId="0" borderId="94" xfId="0" applyNumberFormat="1" applyFont="1" applyBorder="1" applyAlignment="1">
      <alignment horizontal="right" indent="1"/>
    </xf>
    <xf numFmtId="0" fontId="47" fillId="0" borderId="179" xfId="7" applyNumberFormat="1" applyFont="1" applyFill="1" applyBorder="1" applyAlignment="1" applyProtection="1">
      <alignment horizontal="center"/>
    </xf>
    <xf numFmtId="0" fontId="47" fillId="0" borderId="180" xfId="7" applyNumberFormat="1" applyFont="1" applyFill="1" applyBorder="1" applyAlignment="1" applyProtection="1">
      <alignment horizontal="center"/>
    </xf>
    <xf numFmtId="0" fontId="49" fillId="0" borderId="180" xfId="7" applyNumberFormat="1" applyFont="1" applyFill="1" applyBorder="1" applyAlignment="1" applyProtection="1">
      <alignment horizontal="center" vertical="center"/>
    </xf>
    <xf numFmtId="0" fontId="47" fillId="0" borderId="181" xfId="7" applyNumberFormat="1" applyFont="1" applyFill="1" applyBorder="1" applyAlignment="1" applyProtection="1">
      <alignment horizontal="center"/>
    </xf>
    <xf numFmtId="0" fontId="47" fillId="0" borderId="180" xfId="7" applyNumberFormat="1" applyFont="1" applyFill="1" applyBorder="1" applyAlignment="1" applyProtection="1">
      <alignment horizontal="center" vertical="center"/>
    </xf>
    <xf numFmtId="0" fontId="45" fillId="0" borderId="0" xfId="0" applyFont="1" applyBorder="1" applyProtection="1"/>
    <xf numFmtId="0" fontId="47" fillId="0" borderId="234" xfId="10" applyNumberFormat="1" applyFont="1" applyBorder="1" applyAlignment="1" applyProtection="1">
      <alignment horizontal="center" vertical="center" wrapText="1"/>
    </xf>
    <xf numFmtId="0" fontId="47" fillId="0" borderId="201" xfId="10" applyNumberFormat="1" applyFont="1" applyBorder="1" applyAlignment="1" applyProtection="1">
      <alignment horizontal="center" vertical="center" wrapText="1"/>
    </xf>
    <xf numFmtId="0" fontId="47" fillId="9" borderId="215" xfId="7" applyNumberFormat="1" applyFont="1" applyFill="1" applyBorder="1" applyAlignment="1" applyProtection="1">
      <alignment vertical="top" wrapText="1"/>
    </xf>
    <xf numFmtId="0" fontId="45" fillId="0" borderId="235" xfId="7" applyNumberFormat="1" applyFont="1" applyBorder="1" applyAlignment="1" applyProtection="1">
      <alignment horizontal="left" vertical="top" indent="1"/>
    </xf>
    <xf numFmtId="0" fontId="47" fillId="0" borderId="236" xfId="7" applyNumberFormat="1" applyFont="1" applyFill="1" applyBorder="1" applyAlignment="1" applyProtection="1">
      <alignment horizontal="center"/>
    </xf>
    <xf numFmtId="0" fontId="47" fillId="0" borderId="237" xfId="7" applyNumberFormat="1" applyFont="1" applyFill="1" applyBorder="1" applyAlignment="1" applyProtection="1">
      <alignment horizontal="center"/>
    </xf>
    <xf numFmtId="0" fontId="49" fillId="0" borderId="237" xfId="7" applyNumberFormat="1" applyFont="1" applyFill="1" applyBorder="1" applyAlignment="1" applyProtection="1">
      <alignment horizontal="center" vertical="center"/>
    </xf>
    <xf numFmtId="0" fontId="47" fillId="0" borderId="239" xfId="7" applyNumberFormat="1" applyFont="1" applyFill="1" applyBorder="1" applyAlignment="1" applyProtection="1">
      <alignment horizontal="center"/>
    </xf>
    <xf numFmtId="0" fontId="47" fillId="0" borderId="240" xfId="7" applyNumberFormat="1" applyFont="1" applyFill="1" applyBorder="1" applyAlignment="1" applyProtection="1">
      <alignment horizontal="center"/>
    </xf>
    <xf numFmtId="0" fontId="49" fillId="0" borderId="240" xfId="7" applyNumberFormat="1" applyFont="1" applyFill="1" applyBorder="1" applyAlignment="1" applyProtection="1">
      <alignment horizontal="center" vertical="center"/>
    </xf>
    <xf numFmtId="0" fontId="47" fillId="0" borderId="237" xfId="7" applyNumberFormat="1" applyFont="1" applyFill="1" applyBorder="1" applyAlignment="1" applyProtection="1">
      <alignment horizontal="center" vertical="center"/>
    </xf>
    <xf numFmtId="0" fontId="47" fillId="0" borderId="240" xfId="7" applyNumberFormat="1" applyFont="1" applyFill="1" applyBorder="1" applyAlignment="1" applyProtection="1">
      <alignment horizontal="center" vertical="center"/>
    </xf>
    <xf numFmtId="14" fontId="29" fillId="0" borderId="0" xfId="0" applyNumberFormat="1" applyFont="1"/>
    <xf numFmtId="9" fontId="21" fillId="0" borderId="8" xfId="3" applyNumberFormat="1" applyFont="1" applyBorder="1"/>
    <xf numFmtId="165" fontId="21" fillId="0" borderId="49" xfId="3" applyNumberFormat="1" applyFont="1" applyBorder="1"/>
    <xf numFmtId="0" fontId="20" fillId="2" borderId="43" xfId="3" applyFont="1" applyFill="1" applyBorder="1" applyAlignment="1">
      <alignment horizontal="center" vertical="top" wrapText="1"/>
    </xf>
    <xf numFmtId="0" fontId="31" fillId="0" borderId="33" xfId="0" applyFont="1" applyBorder="1"/>
    <xf numFmtId="0" fontId="29" fillId="0" borderId="34" xfId="0" applyFont="1" applyBorder="1"/>
    <xf numFmtId="0" fontId="29" fillId="0" borderId="9" xfId="0" applyFont="1" applyBorder="1"/>
    <xf numFmtId="0" fontId="31" fillId="0" borderId="0" xfId="0" applyFont="1" applyAlignment="1">
      <alignment vertical="top"/>
    </xf>
    <xf numFmtId="0" fontId="29" fillId="0" borderId="0" xfId="0" applyFont="1" applyAlignment="1">
      <alignment vertical="top"/>
    </xf>
    <xf numFmtId="0" fontId="31" fillId="0" borderId="33" xfId="0" applyFont="1" applyBorder="1" applyAlignment="1">
      <alignment vertical="top"/>
    </xf>
    <xf numFmtId="0" fontId="29" fillId="0" borderId="9" xfId="0" applyFont="1" applyBorder="1" applyAlignment="1">
      <alignment vertical="top"/>
    </xf>
    <xf numFmtId="0" fontId="29" fillId="0" borderId="34" xfId="0" applyFont="1" applyBorder="1" applyAlignment="1">
      <alignment vertical="top"/>
    </xf>
    <xf numFmtId="0" fontId="31" fillId="9" borderId="142" xfId="0" applyFont="1" applyFill="1" applyBorder="1" applyAlignment="1">
      <alignment vertical="top"/>
    </xf>
    <xf numFmtId="11" fontId="31" fillId="9" borderId="147" xfId="0" applyNumberFormat="1" applyFont="1" applyFill="1" applyBorder="1" applyAlignment="1">
      <alignment horizontal="center" vertical="top"/>
    </xf>
    <xf numFmtId="11" fontId="31" fillId="9" borderId="143" xfId="0" applyNumberFormat="1" applyFont="1" applyFill="1" applyBorder="1" applyAlignment="1">
      <alignment horizontal="center" vertical="top"/>
    </xf>
    <xf numFmtId="0" fontId="29" fillId="0" borderId="0" xfId="0" applyFont="1" applyAlignment="1">
      <alignment vertical="top" wrapText="1"/>
    </xf>
    <xf numFmtId="0" fontId="29" fillId="0" borderId="97" xfId="0" applyFont="1" applyBorder="1" applyAlignment="1">
      <alignment vertical="top"/>
    </xf>
    <xf numFmtId="9" fontId="31" fillId="0" borderId="25" xfId="5" applyFont="1" applyBorder="1" applyAlignment="1">
      <alignment horizontal="right" vertical="top" indent="1"/>
    </xf>
    <xf numFmtId="9" fontId="31" fillId="0" borderId="98" xfId="5" applyFont="1" applyBorder="1" applyAlignment="1">
      <alignment horizontal="right" vertical="top" indent="1"/>
    </xf>
    <xf numFmtId="0" fontId="31" fillId="0" borderId="0" xfId="0" applyFont="1" applyAlignment="1">
      <alignment horizontal="left" vertical="top" indent="1"/>
    </xf>
    <xf numFmtId="0" fontId="31" fillId="9" borderId="14" xfId="0" applyFont="1" applyFill="1" applyBorder="1" applyAlignment="1">
      <alignment horizontal="center" vertical="top" wrapText="1"/>
    </xf>
    <xf numFmtId="0" fontId="31" fillId="9" borderId="15" xfId="0" applyFont="1" applyFill="1" applyBorder="1" applyAlignment="1">
      <alignment horizontal="center" vertical="top" wrapText="1"/>
    </xf>
    <xf numFmtId="0" fontId="31" fillId="9" borderId="84" xfId="0" applyFont="1" applyFill="1" applyBorder="1" applyAlignment="1">
      <alignment horizontal="center" vertical="top" wrapText="1"/>
    </xf>
    <xf numFmtId="0" fontId="29" fillId="0" borderId="9" xfId="0" applyFont="1" applyBorder="1" applyAlignment="1">
      <alignment horizontal="right" vertical="top"/>
    </xf>
    <xf numFmtId="0" fontId="29" fillId="0" borderId="34" xfId="0" applyFont="1" applyBorder="1" applyAlignment="1">
      <alignment horizontal="right" vertical="top"/>
    </xf>
    <xf numFmtId="0" fontId="29" fillId="0" borderId="144" xfId="0" applyFont="1" applyBorder="1" applyAlignment="1">
      <alignment horizontal="left" vertical="top"/>
    </xf>
    <xf numFmtId="9" fontId="31" fillId="0" borderId="69" xfId="5" applyFont="1" applyBorder="1" applyAlignment="1">
      <alignment horizontal="right" vertical="top" indent="1"/>
    </xf>
    <xf numFmtId="0" fontId="31" fillId="0" borderId="145" xfId="0" applyFont="1" applyBorder="1" applyAlignment="1">
      <alignment horizontal="right" vertical="top" indent="1"/>
    </xf>
    <xf numFmtId="0" fontId="29" fillId="0" borderId="90" xfId="0" applyFont="1" applyBorder="1" applyAlignment="1">
      <alignment horizontal="left" vertical="top"/>
    </xf>
    <xf numFmtId="9" fontId="31" fillId="0" borderId="91" xfId="5" applyFont="1" applyBorder="1" applyAlignment="1">
      <alignment horizontal="right" vertical="top" indent="1"/>
    </xf>
    <xf numFmtId="0" fontId="31" fillId="0" borderId="94" xfId="0" applyFont="1" applyBorder="1" applyAlignment="1">
      <alignment horizontal="right" vertical="top" indent="1"/>
    </xf>
    <xf numFmtId="0" fontId="31" fillId="9" borderId="99" xfId="0" applyFont="1" applyFill="1" applyBorder="1" applyAlignment="1">
      <alignment horizontal="center" vertical="top" wrapText="1"/>
    </xf>
    <xf numFmtId="0" fontId="31" fillId="9" borderId="72" xfId="0" applyFont="1" applyFill="1" applyBorder="1" applyAlignment="1">
      <alignment horizontal="center" vertical="top" wrapText="1"/>
    </xf>
    <xf numFmtId="0" fontId="31" fillId="9" borderId="77" xfId="0" applyFont="1" applyFill="1" applyBorder="1" applyAlignment="1">
      <alignment horizontal="center" vertical="top" wrapText="1"/>
    </xf>
    <xf numFmtId="0" fontId="31" fillId="0" borderId="14" xfId="0" applyFont="1" applyBorder="1" applyAlignment="1">
      <alignment horizontal="right" vertical="top"/>
    </xf>
    <xf numFmtId="9" fontId="31" fillId="0" borderId="15" xfId="5" applyFont="1" applyBorder="1" applyAlignment="1">
      <alignment horizontal="right" vertical="top" indent="1"/>
    </xf>
    <xf numFmtId="0" fontId="31" fillId="0" borderId="84" xfId="0" applyFont="1" applyBorder="1" applyAlignment="1">
      <alignment horizontal="right" vertical="top" indent="1"/>
    </xf>
    <xf numFmtId="1" fontId="31" fillId="0" borderId="91" xfId="0" applyNumberFormat="1" applyFont="1" applyBorder="1" applyAlignment="1">
      <alignment horizontal="right" vertical="top" indent="1"/>
    </xf>
    <xf numFmtId="165" fontId="31" fillId="0" borderId="94" xfId="5" applyNumberFormat="1" applyFont="1" applyBorder="1" applyAlignment="1">
      <alignment horizontal="right" vertical="top" indent="1"/>
    </xf>
    <xf numFmtId="10" fontId="31" fillId="0" borderId="0" xfId="5" applyNumberFormat="1" applyFont="1" applyAlignment="1">
      <alignment vertical="top"/>
    </xf>
    <xf numFmtId="0" fontId="29" fillId="0" borderId="9" xfId="0" applyFont="1" applyBorder="1" applyAlignment="1">
      <alignment horizontal="right" vertical="top" indent="1"/>
    </xf>
    <xf numFmtId="0" fontId="29" fillId="0" borderId="34" xfId="0" applyFont="1" applyBorder="1" applyAlignment="1">
      <alignment horizontal="right" vertical="top" indent="1"/>
    </xf>
    <xf numFmtId="9" fontId="29" fillId="0" borderId="91" xfId="5" applyFont="1" applyBorder="1" applyAlignment="1">
      <alignment horizontal="right" vertical="top" indent="1"/>
    </xf>
    <xf numFmtId="0" fontId="29" fillId="0" borderId="94" xfId="0" applyFont="1" applyBorder="1" applyAlignment="1">
      <alignment horizontal="right" vertical="top" indent="1"/>
    </xf>
    <xf numFmtId="0" fontId="29" fillId="0" borderId="70" xfId="0" applyFont="1" applyBorder="1" applyAlignment="1">
      <alignment horizontal="left" vertical="top"/>
    </xf>
    <xf numFmtId="0" fontId="31" fillId="0" borderId="70" xfId="0" applyFont="1" applyBorder="1" applyAlignment="1">
      <alignment horizontal="right" vertical="top"/>
    </xf>
    <xf numFmtId="0" fontId="31" fillId="0" borderId="15" xfId="0" applyFont="1" applyBorder="1" applyAlignment="1">
      <alignment horizontal="right" vertical="top" indent="1"/>
    </xf>
    <xf numFmtId="9" fontId="31" fillId="0" borderId="84" xfId="5" applyFont="1" applyBorder="1" applyAlignment="1">
      <alignment horizontal="right" vertical="top" indent="1"/>
    </xf>
    <xf numFmtId="0" fontId="20" fillId="6" borderId="0" xfId="3" applyFont="1" applyFill="1"/>
    <xf numFmtId="0" fontId="20" fillId="7" borderId="0" xfId="3" applyFont="1" applyFill="1"/>
    <xf numFmtId="0" fontId="33" fillId="8" borderId="0" xfId="3" applyFont="1" applyFill="1"/>
    <xf numFmtId="0" fontId="20" fillId="9" borderId="0" xfId="3" applyFont="1" applyFill="1"/>
    <xf numFmtId="14" fontId="31" fillId="0" borderId="0" xfId="0" applyNumberFormat="1" applyFont="1"/>
    <xf numFmtId="0" fontId="23" fillId="0" borderId="135" xfId="3" applyFont="1" applyBorder="1" applyAlignment="1">
      <alignment vertical="top"/>
    </xf>
    <xf numFmtId="0" fontId="23" fillId="0" borderId="136" xfId="3" applyFont="1" applyBorder="1" applyAlignment="1">
      <alignment vertical="top"/>
    </xf>
    <xf numFmtId="0" fontId="10" fillId="0" borderId="137" xfId="3" applyBorder="1"/>
    <xf numFmtId="0" fontId="20" fillId="0" borderId="8" xfId="3" applyFont="1" applyBorder="1"/>
    <xf numFmtId="0" fontId="27" fillId="0" borderId="0" xfId="3" applyFont="1"/>
    <xf numFmtId="0" fontId="21" fillId="0" borderId="0" xfId="3" applyFont="1" applyFill="1" applyBorder="1"/>
    <xf numFmtId="0" fontId="21" fillId="0" borderId="0" xfId="3" applyFont="1" applyBorder="1" applyAlignment="1">
      <alignment horizontal="left" indent="1"/>
    </xf>
    <xf numFmtId="0" fontId="23" fillId="0" borderId="0" xfId="3" applyFont="1" applyBorder="1" applyAlignment="1">
      <alignment vertical="top"/>
    </xf>
    <xf numFmtId="0" fontId="10" fillId="0" borderId="242" xfId="10" applyBorder="1"/>
    <xf numFmtId="0" fontId="10" fillId="0" borderId="243" xfId="10" applyBorder="1"/>
    <xf numFmtId="0" fontId="10" fillId="0" borderId="244" xfId="10" applyBorder="1"/>
    <xf numFmtId="0" fontId="10" fillId="0" borderId="245" xfId="10" applyBorder="1"/>
    <xf numFmtId="0" fontId="10" fillId="0" borderId="0" xfId="10" applyBorder="1"/>
    <xf numFmtId="0" fontId="10" fillId="0" borderId="246" xfId="10" applyBorder="1"/>
    <xf numFmtId="0" fontId="51" fillId="0" borderId="0" xfId="11" applyFont="1" applyBorder="1" applyAlignment="1" applyProtection="1"/>
    <xf numFmtId="0" fontId="0" fillId="0" borderId="0" xfId="0" applyAlignment="1">
      <alignment vertical="center"/>
    </xf>
    <xf numFmtId="0" fontId="10" fillId="0" borderId="245" xfId="10" applyBorder="1" applyAlignment="1">
      <alignment vertical="center"/>
    </xf>
    <xf numFmtId="0" fontId="20" fillId="0" borderId="0" xfId="10" applyFont="1" applyBorder="1" applyAlignment="1">
      <alignment vertical="center"/>
    </xf>
    <xf numFmtId="0" fontId="10" fillId="0" borderId="0" xfId="10" applyBorder="1" applyAlignment="1">
      <alignment vertical="center"/>
    </xf>
    <xf numFmtId="0" fontId="10" fillId="0" borderId="246" xfId="10" applyBorder="1" applyAlignment="1">
      <alignment vertical="center"/>
    </xf>
    <xf numFmtId="0" fontId="20" fillId="0" borderId="0" xfId="10" applyFont="1" applyBorder="1" applyAlignment="1">
      <alignment horizontal="left" vertical="center"/>
    </xf>
    <xf numFmtId="0" fontId="24" fillId="0" borderId="0" xfId="10" applyFont="1" applyBorder="1" applyAlignment="1">
      <alignment vertical="center"/>
    </xf>
    <xf numFmtId="0" fontId="24" fillId="0" borderId="0" xfId="10" applyFont="1" applyBorder="1"/>
    <xf numFmtId="0" fontId="10" fillId="0" borderId="247" xfId="10" applyBorder="1"/>
    <xf numFmtId="0" fontId="10" fillId="0" borderId="11" xfId="10" applyBorder="1"/>
    <xf numFmtId="0" fontId="24" fillId="0" borderId="11" xfId="10" applyFont="1" applyBorder="1"/>
    <xf numFmtId="0" fontId="10" fillId="0" borderId="248" xfId="10" applyBorder="1"/>
    <xf numFmtId="11" fontId="20" fillId="20" borderId="236" xfId="7" applyNumberFormat="1" applyFont="1" applyFill="1" applyBorder="1" applyAlignment="1" applyProtection="1">
      <alignment horizontal="center"/>
      <protection locked="0"/>
    </xf>
    <xf numFmtId="11" fontId="20" fillId="20" borderId="237" xfId="7" applyNumberFormat="1" applyFont="1" applyFill="1" applyBorder="1" applyAlignment="1" applyProtection="1">
      <alignment horizontal="center"/>
      <protection locked="0"/>
    </xf>
    <xf numFmtId="11" fontId="24" fillId="20" borderId="237" xfId="7" applyNumberFormat="1" applyFont="1" applyFill="1" applyBorder="1" applyAlignment="1" applyProtection="1">
      <alignment horizontal="center" vertical="center"/>
      <protection locked="0"/>
    </xf>
    <xf numFmtId="11" fontId="20" fillId="20" borderId="238" xfId="7" applyNumberFormat="1" applyFont="1" applyFill="1" applyBorder="1" applyAlignment="1" applyProtection="1">
      <alignment horizontal="center"/>
      <protection locked="0"/>
    </xf>
    <xf numFmtId="11" fontId="20" fillId="20" borderId="239" xfId="7" applyNumberFormat="1" applyFont="1" applyFill="1" applyBorder="1" applyAlignment="1" applyProtection="1">
      <alignment horizontal="center"/>
      <protection locked="0"/>
    </xf>
    <xf numFmtId="11" fontId="20" fillId="20" borderId="240" xfId="7" applyNumberFormat="1" applyFont="1" applyFill="1" applyBorder="1" applyAlignment="1" applyProtection="1">
      <alignment horizontal="center"/>
      <protection locked="0"/>
    </xf>
    <xf numFmtId="11" fontId="24" fillId="20" borderId="240" xfId="7" applyNumberFormat="1" applyFont="1" applyFill="1" applyBorder="1" applyAlignment="1" applyProtection="1">
      <alignment horizontal="center" vertical="center"/>
      <protection locked="0"/>
    </xf>
    <xf numFmtId="11" fontId="20" fillId="20" borderId="241" xfId="7" applyNumberFormat="1" applyFont="1" applyFill="1" applyBorder="1" applyAlignment="1" applyProtection="1">
      <alignment horizontal="center"/>
      <protection locked="0"/>
    </xf>
    <xf numFmtId="11" fontId="20" fillId="20" borderId="237" xfId="7" applyNumberFormat="1" applyFont="1" applyFill="1" applyBorder="1" applyAlignment="1" applyProtection="1">
      <alignment horizontal="center" vertical="center"/>
      <protection locked="0"/>
    </xf>
    <xf numFmtId="11" fontId="20" fillId="20" borderId="240" xfId="7" applyNumberFormat="1" applyFont="1" applyFill="1" applyBorder="1" applyAlignment="1" applyProtection="1">
      <alignment horizontal="center" vertical="center"/>
      <protection locked="0"/>
    </xf>
    <xf numFmtId="3" fontId="20" fillId="6" borderId="249" xfId="0" applyNumberFormat="1" applyFont="1" applyFill="1" applyBorder="1" applyAlignment="1" applyProtection="1">
      <alignment horizontal="right" indent="1"/>
      <protection locked="0"/>
    </xf>
    <xf numFmtId="3" fontId="20" fillId="6" borderId="250" xfId="0" applyNumberFormat="1" applyFont="1" applyFill="1" applyBorder="1" applyAlignment="1" applyProtection="1">
      <alignment horizontal="right" indent="1"/>
      <protection locked="0"/>
    </xf>
    <xf numFmtId="0" fontId="20" fillId="2" borderId="35" xfId="0" applyFont="1" applyFill="1" applyBorder="1" applyAlignment="1">
      <alignment horizontal="center" vertical="top" wrapText="1"/>
    </xf>
    <xf numFmtId="0" fontId="21" fillId="0" borderId="192" xfId="3" applyFont="1" applyFill="1" applyBorder="1" applyAlignment="1" applyProtection="1">
      <alignment horizontal="right" vertical="center" indent="1"/>
    </xf>
    <xf numFmtId="0" fontId="21" fillId="0" borderId="197" xfId="3" applyFont="1" applyFill="1" applyBorder="1" applyAlignment="1" applyProtection="1">
      <alignment horizontal="right" vertical="center" indent="1"/>
    </xf>
    <xf numFmtId="0" fontId="21" fillId="0" borderId="198" xfId="3" applyFont="1" applyBorder="1" applyAlignment="1" applyProtection="1">
      <alignment vertical="center"/>
    </xf>
    <xf numFmtId="0" fontId="19" fillId="0" borderId="197" xfId="3" applyFont="1" applyFill="1" applyBorder="1" applyAlignment="1" applyProtection="1">
      <alignment horizontal="right" vertical="center" indent="1"/>
    </xf>
    <xf numFmtId="0" fontId="21" fillId="9" borderId="146" xfId="3" applyFont="1" applyFill="1" applyBorder="1" applyAlignment="1">
      <alignment horizontal="left" vertical="center" indent="1"/>
    </xf>
    <xf numFmtId="0" fontId="21" fillId="9" borderId="130" xfId="3" applyFont="1" applyFill="1" applyBorder="1" applyAlignment="1">
      <alignment horizontal="left" vertical="center" wrapText="1" indent="1"/>
    </xf>
    <xf numFmtId="0" fontId="21" fillId="9" borderId="130" xfId="3" applyFont="1" applyFill="1" applyBorder="1" applyAlignment="1">
      <alignment vertical="center"/>
    </xf>
    <xf numFmtId="0" fontId="21" fillId="9" borderId="130" xfId="3" applyFont="1" applyFill="1" applyBorder="1" applyAlignment="1">
      <alignment vertical="center" wrapText="1"/>
    </xf>
    <xf numFmtId="0" fontId="21" fillId="9" borderId="130" xfId="3" applyFont="1" applyFill="1" applyBorder="1" applyAlignment="1" applyProtection="1">
      <alignment horizontal="right" vertical="center" indent="1"/>
    </xf>
    <xf numFmtId="0" fontId="21" fillId="9" borderId="24" xfId="3" applyFont="1" applyFill="1" applyBorder="1" applyAlignment="1" applyProtection="1">
      <alignment vertical="center"/>
    </xf>
    <xf numFmtId="3" fontId="20" fillId="9" borderId="133" xfId="3" applyNumberFormat="1" applyFont="1" applyFill="1" applyBorder="1" applyAlignment="1" applyProtection="1">
      <alignment horizontal="right" vertical="center" indent="1"/>
      <protection locked="0"/>
    </xf>
    <xf numFmtId="0" fontId="27" fillId="9" borderId="63" xfId="3" applyFont="1" applyFill="1" applyBorder="1" applyAlignment="1">
      <alignment horizontal="left" vertical="center" wrapText="1" indent="1"/>
    </xf>
    <xf numFmtId="0" fontId="19" fillId="9" borderId="67" xfId="3" applyFont="1" applyFill="1" applyBorder="1" applyAlignment="1">
      <alignment horizontal="left" vertical="center" indent="1"/>
    </xf>
    <xf numFmtId="0" fontId="19" fillId="9" borderId="68" xfId="3" applyFont="1" applyFill="1" applyBorder="1" applyAlignment="1">
      <alignment horizontal="left" vertical="center" wrapText="1" indent="1"/>
    </xf>
    <xf numFmtId="0" fontId="19" fillId="9" borderId="68" xfId="3" applyFont="1" applyFill="1" applyBorder="1" applyAlignment="1">
      <alignment vertical="center"/>
    </xf>
    <xf numFmtId="0" fontId="19" fillId="9" borderId="68" xfId="3" applyFont="1" applyFill="1" applyBorder="1" applyAlignment="1">
      <alignment vertical="center" wrapText="1"/>
    </xf>
    <xf numFmtId="0" fontId="19" fillId="9" borderId="68" xfId="3" applyFont="1" applyFill="1" applyBorder="1" applyAlignment="1" applyProtection="1">
      <alignment horizontal="right" vertical="center" indent="1"/>
    </xf>
    <xf numFmtId="0" fontId="19" fillId="9" borderId="73" xfId="3" applyFont="1" applyFill="1" applyBorder="1" applyAlignment="1" applyProtection="1">
      <alignment vertical="center"/>
    </xf>
    <xf numFmtId="0" fontId="21" fillId="9" borderId="192" xfId="3" applyFont="1" applyFill="1" applyBorder="1" applyAlignment="1">
      <alignment horizontal="left" vertical="center" wrapText="1" indent="1"/>
    </xf>
    <xf numFmtId="0" fontId="21" fillId="9" borderId="69" xfId="3" applyFont="1" applyFill="1" applyBorder="1" applyAlignment="1">
      <alignment vertical="center" wrapText="1"/>
    </xf>
    <xf numFmtId="0" fontId="19" fillId="9" borderId="57" xfId="3" applyFont="1" applyFill="1" applyBorder="1" applyAlignment="1">
      <alignment horizontal="left" vertical="center" indent="1"/>
    </xf>
    <xf numFmtId="0" fontId="19" fillId="9" borderId="19" xfId="3" applyFont="1" applyFill="1" applyBorder="1" applyAlignment="1">
      <alignment horizontal="left" vertical="center" wrapText="1" indent="1"/>
    </xf>
    <xf numFmtId="0" fontId="19" fillId="9" borderId="19" xfId="3" applyFont="1" applyFill="1" applyBorder="1" applyAlignment="1">
      <alignment vertical="center"/>
    </xf>
    <xf numFmtId="0" fontId="19" fillId="9" borderId="19" xfId="3" applyFont="1" applyFill="1" applyBorder="1" applyAlignment="1">
      <alignment vertical="center" wrapText="1"/>
    </xf>
    <xf numFmtId="0" fontId="19" fillId="9" borderId="19" xfId="3" applyFont="1" applyFill="1" applyBorder="1" applyAlignment="1" applyProtection="1">
      <alignment horizontal="right" vertical="center" indent="1"/>
    </xf>
    <xf numFmtId="0" fontId="21" fillId="13" borderId="52" xfId="3" applyFont="1" applyFill="1" applyBorder="1" applyAlignment="1" applyProtection="1">
      <alignment horizontal="right" vertical="center" indent="1"/>
    </xf>
    <xf numFmtId="0" fontId="20" fillId="13" borderId="192" xfId="3" applyFont="1" applyFill="1" applyBorder="1" applyAlignment="1" applyProtection="1">
      <alignment horizontal="right" vertical="center" indent="1"/>
    </xf>
    <xf numFmtId="0" fontId="21" fillId="13" borderId="193" xfId="3" applyFont="1" applyFill="1" applyBorder="1" applyAlignment="1" applyProtection="1">
      <alignment horizontal="right" vertical="center" indent="1"/>
    </xf>
    <xf numFmtId="0" fontId="20" fillId="13" borderId="209" xfId="3" applyFont="1" applyFill="1" applyBorder="1" applyAlignment="1" applyProtection="1">
      <alignment horizontal="right" vertical="center" indent="1"/>
    </xf>
    <xf numFmtId="0" fontId="21" fillId="13" borderId="210" xfId="3" applyFont="1" applyFill="1" applyBorder="1" applyAlignment="1" applyProtection="1">
      <alignment horizontal="right" vertical="center" indent="1"/>
    </xf>
    <xf numFmtId="0" fontId="27" fillId="13" borderId="74" xfId="3" applyFont="1" applyFill="1" applyBorder="1" applyAlignment="1" applyProtection="1">
      <alignment horizontal="right" vertical="center" indent="1"/>
    </xf>
    <xf numFmtId="0" fontId="20" fillId="0" borderId="0" xfId="0" applyFont="1" applyFill="1" applyBorder="1" applyAlignment="1">
      <alignment horizontal="center"/>
    </xf>
    <xf numFmtId="0" fontId="20" fillId="0" borderId="2" xfId="0" applyFont="1" applyFill="1" applyBorder="1" applyAlignment="1">
      <alignment horizontal="center"/>
    </xf>
    <xf numFmtId="167" fontId="20" fillId="0" borderId="2" xfId="0" applyNumberFormat="1" applyFont="1" applyFill="1" applyBorder="1" applyAlignment="1">
      <alignment horizontal="center"/>
    </xf>
    <xf numFmtId="0" fontId="20" fillId="0" borderId="83" xfId="0" applyNumberFormat="1" applyFont="1" applyFill="1" applyBorder="1" applyAlignment="1">
      <alignment horizontal="center"/>
    </xf>
    <xf numFmtId="0" fontId="20" fillId="2" borderId="251" xfId="0" applyNumberFormat="1" applyFont="1" applyFill="1" applyBorder="1" applyAlignment="1">
      <alignment horizontal="center" wrapText="1"/>
    </xf>
    <xf numFmtId="0" fontId="20" fillId="2" borderId="21" xfId="0" applyFont="1" applyFill="1" applyBorder="1" applyAlignment="1">
      <alignment horizontal="center"/>
    </xf>
    <xf numFmtId="0" fontId="20" fillId="2" borderId="83" xfId="0" applyFont="1" applyFill="1" applyBorder="1" applyAlignment="1">
      <alignment horizontal="center"/>
    </xf>
    <xf numFmtId="0" fontId="20" fillId="2" borderId="255" xfId="0" applyFont="1" applyFill="1" applyBorder="1" applyAlignment="1">
      <alignment horizontal="center" wrapText="1"/>
    </xf>
    <xf numFmtId="167" fontId="20" fillId="2" borderId="83" xfId="0" applyNumberFormat="1" applyFont="1" applyFill="1" applyBorder="1" applyAlignment="1">
      <alignment horizontal="center"/>
    </xf>
    <xf numFmtId="0" fontId="20" fillId="2" borderId="21" xfId="0" applyNumberFormat="1" applyFont="1" applyFill="1" applyBorder="1" applyAlignment="1">
      <alignment horizontal="center" wrapText="1"/>
    </xf>
    <xf numFmtId="0" fontId="20" fillId="2" borderId="55" xfId="0" applyNumberFormat="1" applyFont="1" applyFill="1" applyBorder="1" applyAlignment="1">
      <alignment horizontal="center"/>
    </xf>
    <xf numFmtId="0" fontId="20" fillId="2" borderId="16" xfId="0" applyFont="1" applyFill="1" applyBorder="1" applyAlignment="1">
      <alignment horizontal="center"/>
    </xf>
    <xf numFmtId="0" fontId="20" fillId="2" borderId="84" xfId="0" applyFont="1" applyFill="1" applyBorder="1" applyAlignment="1">
      <alignment horizontal="center"/>
    </xf>
    <xf numFmtId="0" fontId="20" fillId="2" borderId="14" xfId="0" applyFont="1" applyFill="1" applyBorder="1" applyAlignment="1">
      <alignment horizontal="center"/>
    </xf>
    <xf numFmtId="0" fontId="20" fillId="2" borderId="15" xfId="0" applyFont="1" applyFill="1" applyBorder="1" applyAlignment="1">
      <alignment horizontal="center"/>
    </xf>
    <xf numFmtId="0" fontId="20" fillId="2" borderId="0" xfId="0" applyFont="1" applyFill="1" applyBorder="1" applyAlignment="1">
      <alignment horizontal="center"/>
    </xf>
    <xf numFmtId="0" fontId="20" fillId="0" borderId="56" xfId="0" applyFont="1" applyFill="1" applyBorder="1" applyAlignment="1">
      <alignment horizontal="left"/>
    </xf>
    <xf numFmtId="0" fontId="21" fillId="0" borderId="56" xfId="0" applyFont="1" applyFill="1" applyBorder="1" applyAlignment="1">
      <alignment horizontal="left"/>
    </xf>
    <xf numFmtId="0" fontId="21" fillId="0" borderId="17" xfId="0" applyFont="1" applyFill="1" applyBorder="1" applyAlignment="1">
      <alignment horizontal="left"/>
    </xf>
    <xf numFmtId="0" fontId="21" fillId="0" borderId="45" xfId="0" applyFont="1" applyFill="1" applyBorder="1" applyAlignment="1">
      <alignment horizontal="center"/>
    </xf>
    <xf numFmtId="0" fontId="21" fillId="0" borderId="56" xfId="0" applyFont="1" applyFill="1" applyBorder="1" applyAlignment="1">
      <alignment horizontal="center"/>
    </xf>
    <xf numFmtId="1" fontId="21" fillId="0" borderId="112" xfId="0" applyNumberFormat="1" applyFont="1" applyFill="1" applyBorder="1" applyAlignment="1">
      <alignment horizontal="center"/>
    </xf>
    <xf numFmtId="0" fontId="21" fillId="0" borderId="56" xfId="0" applyFont="1" applyFill="1" applyBorder="1" applyAlignment="1">
      <alignment horizontal="right" indent="1"/>
    </xf>
    <xf numFmtId="0" fontId="21" fillId="0" borderId="17" xfId="0" applyFont="1" applyFill="1" applyBorder="1" applyAlignment="1">
      <alignment horizontal="right" indent="1"/>
    </xf>
    <xf numFmtId="0" fontId="21" fillId="0" borderId="112" xfId="0" applyFont="1" applyFill="1" applyBorder="1" applyAlignment="1">
      <alignment horizontal="right" indent="1"/>
    </xf>
    <xf numFmtId="168" fontId="21" fillId="0" borderId="56" xfId="0" applyNumberFormat="1" applyFont="1" applyFill="1" applyBorder="1" applyAlignment="1">
      <alignment horizontal="right" indent="1"/>
    </xf>
    <xf numFmtId="168" fontId="21" fillId="0" borderId="17" xfId="0" applyNumberFormat="1" applyFont="1" applyFill="1" applyBorder="1" applyAlignment="1">
      <alignment horizontal="right" indent="1"/>
    </xf>
    <xf numFmtId="168" fontId="21" fillId="0" borderId="112" xfId="0" applyNumberFormat="1" applyFont="1" applyFill="1" applyBorder="1" applyAlignment="1">
      <alignment horizontal="right" indent="1"/>
    </xf>
    <xf numFmtId="0" fontId="21" fillId="0" borderId="0" xfId="0" applyFont="1" applyFill="1" applyBorder="1"/>
    <xf numFmtId="0" fontId="20" fillId="0" borderId="206" xfId="0" applyFont="1" applyFill="1" applyBorder="1" applyAlignment="1">
      <alignment horizontal="left"/>
    </xf>
    <xf numFmtId="0" fontId="21" fillId="0" borderId="206" xfId="0" applyFont="1" applyFill="1" applyBorder="1" applyAlignment="1">
      <alignment horizontal="left"/>
    </xf>
    <xf numFmtId="0" fontId="21" fillId="0" borderId="192" xfId="0" applyFont="1" applyFill="1" applyBorder="1" applyAlignment="1">
      <alignment horizontal="left"/>
    </xf>
    <xf numFmtId="0" fontId="21" fillId="0" borderId="221" xfId="0" applyFont="1" applyFill="1" applyBorder="1" applyAlignment="1">
      <alignment horizontal="center"/>
    </xf>
    <xf numFmtId="0" fontId="21" fillId="0" borderId="206" xfId="0" applyFont="1" applyFill="1" applyBorder="1" applyAlignment="1">
      <alignment horizontal="center"/>
    </xf>
    <xf numFmtId="1" fontId="21" fillId="0" borderId="230" xfId="0" applyNumberFormat="1" applyFont="1" applyFill="1" applyBorder="1" applyAlignment="1">
      <alignment horizontal="center"/>
    </xf>
    <xf numFmtId="0" fontId="21" fillId="0" borderId="206" xfId="0" applyFont="1" applyFill="1" applyBorder="1" applyAlignment="1">
      <alignment horizontal="right" indent="1"/>
    </xf>
    <xf numFmtId="0" fontId="21" fillId="0" borderId="192" xfId="0" applyFont="1" applyFill="1" applyBorder="1" applyAlignment="1">
      <alignment horizontal="right" indent="1"/>
    </xf>
    <xf numFmtId="0" fontId="21" fillId="0" borderId="230" xfId="0" applyFont="1" applyFill="1" applyBorder="1" applyAlignment="1">
      <alignment horizontal="right" indent="1"/>
    </xf>
    <xf numFmtId="168" fontId="21" fillId="0" borderId="206" xfId="0" applyNumberFormat="1" applyFont="1" applyFill="1" applyBorder="1" applyAlignment="1">
      <alignment horizontal="right" indent="1"/>
    </xf>
    <xf numFmtId="168" fontId="21" fillId="0" borderId="192" xfId="0" applyNumberFormat="1" applyFont="1" applyFill="1" applyBorder="1" applyAlignment="1">
      <alignment horizontal="right" indent="1"/>
    </xf>
    <xf numFmtId="168" fontId="21" fillId="0" borderId="230" xfId="0" applyNumberFormat="1" applyFont="1" applyFill="1" applyBorder="1" applyAlignment="1">
      <alignment horizontal="right" indent="1"/>
    </xf>
    <xf numFmtId="0" fontId="20" fillId="0" borderId="208" xfId="0" applyFont="1" applyFill="1" applyBorder="1" applyAlignment="1">
      <alignment horizontal="left"/>
    </xf>
    <xf numFmtId="0" fontId="21" fillId="0" borderId="208" xfId="0" applyFont="1" applyFill="1" applyBorder="1" applyAlignment="1">
      <alignment horizontal="left"/>
    </xf>
    <xf numFmtId="0" fontId="21" fillId="0" borderId="209" xfId="0" applyFont="1" applyFill="1" applyBorder="1" applyAlignment="1">
      <alignment horizontal="left"/>
    </xf>
    <xf numFmtId="0" fontId="21" fillId="0" borderId="108" xfId="0" applyFont="1" applyFill="1" applyBorder="1" applyAlignment="1">
      <alignment horizontal="center"/>
    </xf>
    <xf numFmtId="0" fontId="21" fillId="0" borderId="208" xfId="0" applyFont="1" applyFill="1" applyBorder="1" applyAlignment="1">
      <alignment horizontal="center"/>
    </xf>
    <xf numFmtId="1" fontId="21" fillId="0" borderId="118" xfId="0" applyNumberFormat="1" applyFont="1" applyFill="1" applyBorder="1" applyAlignment="1">
      <alignment horizontal="center"/>
    </xf>
    <xf numFmtId="0" fontId="21" fillId="0" borderId="208" xfId="0" applyFont="1" applyFill="1" applyBorder="1" applyAlignment="1">
      <alignment horizontal="right" indent="1"/>
    </xf>
    <xf numFmtId="0" fontId="21" fillId="0" borderId="209" xfId="0" applyFont="1" applyFill="1" applyBorder="1" applyAlignment="1">
      <alignment horizontal="right" indent="1"/>
    </xf>
    <xf numFmtId="0" fontId="21" fillId="0" borderId="118" xfId="0" applyFont="1" applyFill="1" applyBorder="1" applyAlignment="1">
      <alignment horizontal="right" indent="1"/>
    </xf>
    <xf numFmtId="168" fontId="21" fillId="0" borderId="208" xfId="0" applyNumberFormat="1" applyFont="1" applyFill="1" applyBorder="1" applyAlignment="1">
      <alignment horizontal="right" indent="1"/>
    </xf>
    <xf numFmtId="168" fontId="21" fillId="0" borderId="209" xfId="0" applyNumberFormat="1" applyFont="1" applyFill="1" applyBorder="1" applyAlignment="1">
      <alignment horizontal="right" indent="1"/>
    </xf>
    <xf numFmtId="168" fontId="21" fillId="0" borderId="118" xfId="0" applyNumberFormat="1" applyFont="1" applyFill="1" applyBorder="1" applyAlignment="1">
      <alignment horizontal="right" indent="1"/>
    </xf>
    <xf numFmtId="0" fontId="20" fillId="0" borderId="57" xfId="0" applyFont="1" applyFill="1" applyBorder="1" applyAlignment="1">
      <alignment horizontal="left"/>
    </xf>
    <xf numFmtId="0" fontId="21" fillId="0" borderId="19" xfId="0" applyFont="1" applyFill="1" applyBorder="1" applyAlignment="1">
      <alignment horizontal="left"/>
    </xf>
    <xf numFmtId="0" fontId="21" fillId="0" borderId="57" xfId="0" applyFont="1" applyFill="1" applyBorder="1" applyAlignment="1">
      <alignment horizontal="right" indent="1"/>
    </xf>
    <xf numFmtId="0" fontId="21" fillId="0" borderId="19" xfId="0" applyFont="1" applyFill="1" applyBorder="1" applyAlignment="1">
      <alignment horizontal="right" indent="1"/>
    </xf>
    <xf numFmtId="0" fontId="21" fillId="0" borderId="109" xfId="0" applyFont="1" applyFill="1" applyBorder="1" applyAlignment="1">
      <alignment horizontal="right" indent="1"/>
    </xf>
    <xf numFmtId="168" fontId="21" fillId="0" borderId="57" xfId="0" applyNumberFormat="1" applyFont="1" applyFill="1" applyBorder="1" applyAlignment="1">
      <alignment horizontal="right" indent="1"/>
    </xf>
    <xf numFmtId="168" fontId="21" fillId="0" borderId="19" xfId="0" applyNumberFormat="1" applyFont="1" applyFill="1" applyBorder="1" applyAlignment="1">
      <alignment horizontal="right" indent="1"/>
    </xf>
    <xf numFmtId="168" fontId="21" fillId="0" borderId="109" xfId="0" applyNumberFormat="1" applyFont="1" applyFill="1" applyBorder="1" applyAlignment="1">
      <alignment horizontal="right" indent="1"/>
    </xf>
    <xf numFmtId="0" fontId="20" fillId="0" borderId="212" xfId="0" applyFont="1" applyFill="1" applyBorder="1" applyAlignment="1">
      <alignment horizontal="left"/>
    </xf>
    <xf numFmtId="0" fontId="21" fillId="0" borderId="212" xfId="0" applyFont="1" applyFill="1" applyBorder="1" applyAlignment="1">
      <alignment horizontal="left"/>
    </xf>
    <xf numFmtId="0" fontId="21" fillId="0" borderId="195" xfId="0" applyFont="1" applyFill="1" applyBorder="1" applyAlignment="1">
      <alignment horizontal="left"/>
    </xf>
    <xf numFmtId="0" fontId="21" fillId="0" borderId="113" xfId="0" applyFont="1" applyFill="1" applyBorder="1" applyAlignment="1">
      <alignment horizontal="center"/>
    </xf>
    <xf numFmtId="0" fontId="21" fillId="0" borderId="212" xfId="0" applyFont="1" applyFill="1" applyBorder="1" applyAlignment="1">
      <alignment horizontal="center"/>
    </xf>
    <xf numFmtId="1" fontId="21" fillId="0" borderId="111" xfId="0" applyNumberFormat="1" applyFont="1" applyFill="1" applyBorder="1" applyAlignment="1">
      <alignment horizontal="center"/>
    </xf>
    <xf numFmtId="0" fontId="21" fillId="0" borderId="212" xfId="0" applyFont="1" applyFill="1" applyBorder="1" applyAlignment="1">
      <alignment horizontal="right" indent="1"/>
    </xf>
    <xf numFmtId="0" fontId="21" fillId="0" borderId="195" xfId="0" applyFont="1" applyFill="1" applyBorder="1" applyAlignment="1">
      <alignment horizontal="right" indent="1"/>
    </xf>
    <xf numFmtId="0" fontId="21" fillId="0" borderId="111" xfId="0" applyFont="1" applyFill="1" applyBorder="1" applyAlignment="1">
      <alignment horizontal="right" indent="1"/>
    </xf>
    <xf numFmtId="168" fontId="21" fillId="0" borderId="212" xfId="0" applyNumberFormat="1" applyFont="1" applyFill="1" applyBorder="1" applyAlignment="1">
      <alignment horizontal="right" indent="1"/>
    </xf>
    <xf numFmtId="168" fontId="21" fillId="0" borderId="195" xfId="0" applyNumberFormat="1" applyFont="1" applyFill="1" applyBorder="1" applyAlignment="1">
      <alignment horizontal="right" indent="1"/>
    </xf>
    <xf numFmtId="168" fontId="21" fillId="0" borderId="111" xfId="0" applyNumberFormat="1" applyFont="1" applyFill="1" applyBorder="1" applyAlignment="1">
      <alignment horizontal="right" indent="1"/>
    </xf>
    <xf numFmtId="0" fontId="20" fillId="0" borderId="211" xfId="0" applyFont="1" applyFill="1" applyBorder="1" applyAlignment="1">
      <alignment horizontal="left"/>
    </xf>
    <xf numFmtId="0" fontId="21" fillId="0" borderId="211" xfId="0" applyFont="1" applyFill="1" applyBorder="1" applyAlignment="1">
      <alignment horizontal="center"/>
    </xf>
    <xf numFmtId="1" fontId="21" fillId="0" borderId="119" xfId="0" applyNumberFormat="1" applyFont="1" applyFill="1" applyBorder="1" applyAlignment="1">
      <alignment horizontal="center"/>
    </xf>
    <xf numFmtId="0" fontId="21" fillId="0" borderId="211" xfId="0" applyFont="1" applyFill="1" applyBorder="1" applyAlignment="1">
      <alignment horizontal="right" indent="1"/>
    </xf>
    <xf numFmtId="0" fontId="21" fillId="0" borderId="197" xfId="0" applyFont="1" applyFill="1" applyBorder="1" applyAlignment="1">
      <alignment horizontal="right" indent="1"/>
    </xf>
    <xf numFmtId="0" fontId="21" fillId="0" borderId="119" xfId="0" applyFont="1" applyFill="1" applyBorder="1" applyAlignment="1">
      <alignment horizontal="right" indent="1"/>
    </xf>
    <xf numFmtId="0" fontId="21" fillId="0" borderId="0" xfId="0" applyFont="1" applyFill="1" applyBorder="1" applyAlignment="1">
      <alignment horizontal="right" indent="1"/>
    </xf>
    <xf numFmtId="0" fontId="21" fillId="0" borderId="0" xfId="0" applyFont="1" applyFill="1" applyBorder="1" applyAlignment="1">
      <alignment horizontal="center" vertical="center"/>
    </xf>
    <xf numFmtId="167" fontId="21" fillId="0" borderId="0" xfId="0" applyNumberFormat="1" applyFont="1" applyFill="1" applyBorder="1" applyAlignment="1">
      <alignment horizontal="right" indent="1"/>
    </xf>
    <xf numFmtId="0" fontId="21" fillId="0" borderId="0" xfId="0" applyNumberFormat="1" applyFont="1" applyFill="1" applyBorder="1" applyAlignment="1">
      <alignment horizontal="right" indent="1"/>
    </xf>
    <xf numFmtId="0" fontId="21" fillId="0" borderId="0" xfId="0" applyNumberFormat="1" applyFont="1" applyFill="1" applyBorder="1" applyAlignment="1">
      <alignment horizontal="center"/>
    </xf>
    <xf numFmtId="0" fontId="21" fillId="0" borderId="0" xfId="0" applyFont="1" applyFill="1" applyBorder="1" applyAlignment="1">
      <alignment horizontal="left"/>
    </xf>
    <xf numFmtId="0" fontId="21" fillId="0" borderId="0" xfId="0" applyNumberFormat="1" applyFont="1" applyBorder="1"/>
    <xf numFmtId="0" fontId="21" fillId="0" borderId="0" xfId="0" applyNumberFormat="1" applyFont="1" applyBorder="1" applyAlignment="1">
      <alignment horizontal="center"/>
    </xf>
    <xf numFmtId="0" fontId="26" fillId="0" borderId="0" xfId="0" applyFont="1" applyBorder="1"/>
    <xf numFmtId="0" fontId="36" fillId="0" borderId="0" xfId="0" applyFont="1" applyBorder="1"/>
    <xf numFmtId="0" fontId="20" fillId="21" borderId="0" xfId="3" applyFont="1" applyFill="1"/>
    <xf numFmtId="0" fontId="26" fillId="0" borderId="0" xfId="3" applyFont="1" applyAlignment="1" applyProtection="1">
      <alignment horizontal="center" vertical="center"/>
    </xf>
    <xf numFmtId="0" fontId="24" fillId="0" borderId="0" xfId="0" applyFont="1" applyFill="1" applyAlignment="1" applyProtection="1">
      <alignment vertical="top"/>
    </xf>
    <xf numFmtId="0" fontId="26" fillId="0" borderId="0" xfId="0" applyFont="1" applyFill="1" applyAlignment="1" applyProtection="1">
      <alignment horizontal="left" vertical="top"/>
    </xf>
    <xf numFmtId="0" fontId="20" fillId="0" borderId="251" xfId="3" applyFont="1" applyBorder="1" applyProtection="1"/>
    <xf numFmtId="3" fontId="21" fillId="0" borderId="144" xfId="0" applyNumberFormat="1" applyFont="1" applyBorder="1" applyAlignment="1" applyProtection="1">
      <alignment horizontal="right" vertical="center" indent="1"/>
    </xf>
    <xf numFmtId="3" fontId="21" fillId="0" borderId="69" xfId="0" applyNumberFormat="1" applyFont="1" applyBorder="1" applyAlignment="1" applyProtection="1">
      <alignment horizontal="right" vertical="center" indent="1"/>
    </xf>
    <xf numFmtId="170" fontId="21" fillId="9" borderId="65" xfId="0" applyNumberFormat="1" applyFont="1" applyFill="1" applyBorder="1" applyAlignment="1" applyProtection="1">
      <alignment vertical="center"/>
    </xf>
    <xf numFmtId="3" fontId="21" fillId="0" borderId="90" xfId="0" applyNumberFormat="1" applyFont="1" applyBorder="1" applyAlignment="1" applyProtection="1">
      <alignment horizontal="right" vertical="center" indent="1"/>
    </xf>
    <xf numFmtId="3" fontId="21" fillId="0" borderId="91" xfId="0" applyNumberFormat="1" applyFont="1" applyBorder="1" applyAlignment="1" applyProtection="1">
      <alignment horizontal="right" vertical="center" indent="1"/>
    </xf>
    <xf numFmtId="170" fontId="21" fillId="9" borderId="176" xfId="0" applyNumberFormat="1" applyFont="1" applyFill="1" applyBorder="1" applyAlignment="1" applyProtection="1">
      <alignment vertical="center"/>
    </xf>
    <xf numFmtId="0" fontId="21" fillId="0" borderId="206" xfId="3" applyFont="1" applyBorder="1" applyAlignment="1" applyProtection="1">
      <alignment horizontal="left" vertical="center" indent="1"/>
    </xf>
    <xf numFmtId="0" fontId="21" fillId="0" borderId="192" xfId="3" applyFont="1" applyBorder="1" applyAlignment="1" applyProtection="1">
      <alignment vertical="center"/>
    </xf>
    <xf numFmtId="0" fontId="21" fillId="0" borderId="208" xfId="3" applyFont="1" applyBorder="1" applyAlignment="1" applyProtection="1">
      <alignment horizontal="left" vertical="center" indent="1"/>
    </xf>
    <xf numFmtId="0" fontId="21" fillId="0" borderId="209" xfId="3" applyFont="1" applyBorder="1" applyAlignment="1" applyProtection="1">
      <alignment horizontal="left" vertical="center" wrapText="1" indent="1"/>
    </xf>
    <xf numFmtId="0" fontId="21" fillId="0" borderId="209" xfId="3" applyFont="1" applyBorder="1" applyAlignment="1" applyProtection="1">
      <alignment vertical="center"/>
    </xf>
    <xf numFmtId="3" fontId="21" fillId="0" borderId="93" xfId="0" applyNumberFormat="1" applyFont="1" applyBorder="1" applyAlignment="1" applyProtection="1">
      <alignment horizontal="right" vertical="center" indent="1"/>
    </xf>
    <xf numFmtId="0" fontId="21" fillId="0" borderId="234" xfId="0" applyFont="1" applyBorder="1" applyAlignment="1" applyProtection="1">
      <alignment horizontal="right" vertical="center"/>
    </xf>
    <xf numFmtId="0" fontId="21" fillId="0" borderId="253" xfId="0" applyFont="1" applyBorder="1" applyAlignment="1" applyProtection="1">
      <alignment horizontal="right" vertical="center"/>
    </xf>
    <xf numFmtId="170" fontId="20" fillId="0" borderId="254" xfId="0" applyNumberFormat="1" applyFont="1" applyBorder="1" applyAlignment="1" applyProtection="1">
      <alignment vertical="center"/>
    </xf>
    <xf numFmtId="170" fontId="20" fillId="9" borderId="175" xfId="0" applyNumberFormat="1" applyFont="1" applyFill="1" applyBorder="1" applyAlignment="1" applyProtection="1">
      <alignment vertical="center"/>
    </xf>
    <xf numFmtId="0" fontId="21" fillId="0" borderId="146" xfId="0" applyFont="1" applyBorder="1" applyAlignment="1" applyProtection="1">
      <alignment horizontal="right" vertical="center"/>
    </xf>
    <xf numFmtId="0" fontId="21" fillId="0" borderId="130" xfId="0" applyFont="1" applyBorder="1" applyAlignment="1" applyProtection="1">
      <alignment horizontal="right" vertical="center"/>
    </xf>
    <xf numFmtId="170" fontId="20" fillId="0" borderId="24" xfId="0" quotePrefix="1" applyNumberFormat="1" applyFont="1" applyBorder="1" applyAlignment="1" applyProtection="1">
      <alignment horizontal="right" vertical="center"/>
    </xf>
    <xf numFmtId="170" fontId="20" fillId="9" borderId="18" xfId="0" applyNumberFormat="1" applyFont="1" applyFill="1" applyBorder="1" applyAlignment="1" applyProtection="1">
      <alignment vertical="center"/>
    </xf>
    <xf numFmtId="0" fontId="21" fillId="0" borderId="97" xfId="0" applyFont="1" applyBorder="1" applyAlignment="1" applyProtection="1">
      <alignment horizontal="right" vertical="center"/>
    </xf>
    <xf numFmtId="0" fontId="21" fillId="0" borderId="25" xfId="0" applyFont="1" applyBorder="1" applyAlignment="1" applyProtection="1">
      <alignment horizontal="right" vertical="center"/>
    </xf>
    <xf numFmtId="170" fontId="20" fillId="0" borderId="43" xfId="0" quotePrefix="1" applyNumberFormat="1" applyFont="1" applyBorder="1" applyAlignment="1" applyProtection="1">
      <alignment horizontal="right" vertical="center"/>
    </xf>
    <xf numFmtId="170" fontId="20" fillId="9" borderId="177" xfId="0" applyNumberFormat="1" applyFont="1" applyFill="1" applyBorder="1" applyAlignment="1" applyProtection="1">
      <alignment vertical="center"/>
    </xf>
    <xf numFmtId="0" fontId="19" fillId="0" borderId="0" xfId="3" applyFont="1"/>
    <xf numFmtId="0" fontId="27" fillId="0" borderId="0" xfId="3" applyFont="1" applyProtection="1"/>
    <xf numFmtId="0" fontId="26" fillId="0" borderId="0" xfId="0" applyFont="1" applyAlignment="1">
      <alignment horizontal="left" vertical="top" wrapText="1"/>
    </xf>
    <xf numFmtId="0" fontId="26" fillId="0" borderId="8" xfId="0" applyFont="1" applyBorder="1" applyAlignment="1">
      <alignment horizontal="left" vertical="top" wrapText="1"/>
    </xf>
    <xf numFmtId="0" fontId="26" fillId="0" borderId="40" xfId="0" applyFont="1" applyBorder="1" applyAlignment="1">
      <alignment horizontal="left" vertical="top" wrapText="1"/>
    </xf>
    <xf numFmtId="0" fontId="26" fillId="0" borderId="0" xfId="0" applyFont="1" applyFill="1" applyAlignment="1" applyProtection="1">
      <alignment horizontal="left" vertical="top" wrapText="1"/>
    </xf>
    <xf numFmtId="0" fontId="20" fillId="2" borderId="33" xfId="7" applyFont="1" applyFill="1" applyBorder="1" applyAlignment="1">
      <alignment horizontal="center"/>
    </xf>
    <xf numFmtId="0" fontId="20" fillId="2" borderId="9" xfId="7" applyFont="1" applyFill="1" applyBorder="1" applyAlignment="1">
      <alignment horizontal="center"/>
    </xf>
    <xf numFmtId="0" fontId="20" fillId="2" borderId="34" xfId="7" applyFont="1" applyFill="1" applyBorder="1" applyAlignment="1">
      <alignment horizontal="center"/>
    </xf>
    <xf numFmtId="0" fontId="21" fillId="0" borderId="0" xfId="7" applyFont="1" applyFill="1" applyBorder="1" applyAlignment="1">
      <alignment horizontal="left" vertical="center" wrapText="1"/>
    </xf>
    <xf numFmtId="0" fontId="20" fillId="2" borderId="33" xfId="0" applyFont="1" applyFill="1" applyBorder="1" applyAlignment="1">
      <alignment horizontal="center"/>
    </xf>
    <xf numFmtId="0" fontId="0" fillId="12" borderId="0" xfId="0" applyFill="1" applyProtection="1"/>
    <xf numFmtId="0" fontId="52" fillId="12" borderId="0" xfId="0" applyFont="1" applyFill="1" applyProtection="1"/>
    <xf numFmtId="0" fontId="26" fillId="0" borderId="0" xfId="0" applyFont="1" applyBorder="1" applyAlignment="1">
      <alignment horizontal="left" vertical="top" wrapText="1"/>
    </xf>
    <xf numFmtId="0" fontId="52" fillId="12" borderId="55" xfId="0" applyFont="1" applyFill="1" applyBorder="1" applyProtection="1"/>
    <xf numFmtId="0" fontId="24" fillId="0" borderId="0" xfId="0" applyFont="1" applyBorder="1" applyAlignment="1">
      <alignment vertical="top"/>
    </xf>
    <xf numFmtId="0" fontId="39" fillId="0" borderId="0" xfId="3" applyFont="1"/>
    <xf numFmtId="0" fontId="4" fillId="0" borderId="0" xfId="0" applyFont="1" applyAlignment="1" applyProtection="1">
      <alignment vertical="center" wrapText="1"/>
    </xf>
    <xf numFmtId="0" fontId="20" fillId="0" borderId="146" xfId="7" applyFont="1" applyFill="1" applyBorder="1" applyAlignment="1">
      <alignment horizontal="left"/>
    </xf>
    <xf numFmtId="0" fontId="21" fillId="0" borderId="146" xfId="7" applyFont="1" applyFill="1" applyBorder="1" applyAlignment="1">
      <alignment horizontal="left"/>
    </xf>
    <xf numFmtId="0" fontId="21" fillId="0" borderId="130" xfId="7" applyFont="1" applyFill="1" applyBorder="1" applyAlignment="1">
      <alignment horizontal="left"/>
    </xf>
    <xf numFmtId="0" fontId="21" fillId="0" borderId="1" xfId="7" applyFont="1" applyFill="1" applyBorder="1" applyAlignment="1">
      <alignment horizontal="center"/>
    </xf>
    <xf numFmtId="0" fontId="21" fillId="0" borderId="146" xfId="7" applyFont="1" applyFill="1" applyBorder="1" applyAlignment="1">
      <alignment horizontal="center"/>
    </xf>
    <xf numFmtId="1" fontId="21" fillId="0" borderId="78" xfId="7" applyNumberFormat="1" applyFont="1" applyFill="1" applyBorder="1" applyAlignment="1">
      <alignment horizontal="center"/>
    </xf>
    <xf numFmtId="0" fontId="21" fillId="0" borderId="146" xfId="0" applyFont="1" applyFill="1" applyBorder="1" applyAlignment="1">
      <alignment horizontal="right" indent="1"/>
    </xf>
    <xf numFmtId="0" fontId="21" fillId="0" borderId="130" xfId="0" applyFont="1" applyFill="1" applyBorder="1" applyAlignment="1">
      <alignment horizontal="right" indent="1"/>
    </xf>
    <xf numFmtId="0" fontId="21" fillId="0" borderId="78" xfId="0" applyFont="1" applyFill="1" applyBorder="1" applyAlignment="1">
      <alignment horizontal="right" indent="1"/>
    </xf>
    <xf numFmtId="168" fontId="21" fillId="0" borderId="146" xfId="7" applyNumberFormat="1" applyFont="1" applyFill="1" applyBorder="1" applyAlignment="1">
      <alignment horizontal="right" indent="1"/>
    </xf>
    <xf numFmtId="168" fontId="21" fillId="0" borderId="130" xfId="7" applyNumberFormat="1" applyFont="1" applyFill="1" applyBorder="1" applyAlignment="1">
      <alignment horizontal="right" indent="1"/>
    </xf>
    <xf numFmtId="168" fontId="21" fillId="0" borderId="78" xfId="7" applyNumberFormat="1" applyFont="1" applyFill="1" applyBorder="1" applyAlignment="1">
      <alignment horizontal="right" indent="1"/>
    </xf>
    <xf numFmtId="0" fontId="21" fillId="0" borderId="130" xfId="0" applyFont="1" applyFill="1" applyBorder="1" applyAlignment="1">
      <alignment horizontal="left"/>
    </xf>
    <xf numFmtId="168" fontId="21" fillId="0" borderId="146" xfId="0" applyNumberFormat="1" applyFont="1" applyFill="1" applyBorder="1" applyAlignment="1">
      <alignment horizontal="right" indent="1"/>
    </xf>
    <xf numFmtId="168" fontId="21" fillId="0" borderId="130" xfId="0" applyNumberFormat="1" applyFont="1" applyFill="1" applyBorder="1" applyAlignment="1">
      <alignment horizontal="right" indent="1"/>
    </xf>
    <xf numFmtId="168" fontId="21" fillId="0" borderId="78" xfId="0" applyNumberFormat="1" applyFont="1" applyFill="1" applyBorder="1" applyAlignment="1">
      <alignment horizontal="right" indent="1"/>
    </xf>
    <xf numFmtId="0" fontId="26" fillId="0" borderId="8" xfId="0" applyFont="1" applyBorder="1"/>
    <xf numFmtId="0" fontId="26" fillId="0" borderId="8" xfId="0" applyFont="1" applyFill="1" applyBorder="1" applyAlignment="1">
      <alignment horizontal="center" vertical="center"/>
    </xf>
    <xf numFmtId="167" fontId="26" fillId="0" borderId="8" xfId="0" applyNumberFormat="1" applyFont="1" applyFill="1" applyBorder="1" applyAlignment="1">
      <alignment horizontal="right" indent="1"/>
    </xf>
    <xf numFmtId="0" fontId="26" fillId="0" borderId="8" xfId="0" applyNumberFormat="1" applyFont="1" applyFill="1" applyBorder="1" applyAlignment="1">
      <alignment horizontal="right" indent="1"/>
    </xf>
    <xf numFmtId="0" fontId="26" fillId="0" borderId="8" xfId="0" applyNumberFormat="1" applyFont="1" applyFill="1" applyBorder="1" applyAlignment="1">
      <alignment horizontal="center"/>
    </xf>
    <xf numFmtId="0" fontId="26" fillId="0" borderId="8" xfId="0" applyFont="1" applyFill="1" applyBorder="1" applyAlignment="1">
      <alignment horizontal="right" indent="1"/>
    </xf>
    <xf numFmtId="1" fontId="21" fillId="0" borderId="206" xfId="0" applyNumberFormat="1" applyFont="1" applyFill="1" applyBorder="1" applyAlignment="1">
      <alignment horizontal="right" indent="1"/>
    </xf>
    <xf numFmtId="1" fontId="21" fillId="0" borderId="192" xfId="0" applyNumberFormat="1" applyFont="1" applyFill="1" applyBorder="1" applyAlignment="1">
      <alignment horizontal="right" indent="1"/>
    </xf>
    <xf numFmtId="1" fontId="21" fillId="0" borderId="230" xfId="0" applyNumberFormat="1" applyFont="1" applyFill="1" applyBorder="1" applyAlignment="1">
      <alignment horizontal="right" indent="1"/>
    </xf>
    <xf numFmtId="1" fontId="21" fillId="0" borderId="57" xfId="0" applyNumberFormat="1" applyFont="1" applyFill="1" applyBorder="1" applyAlignment="1">
      <alignment horizontal="right" indent="1"/>
    </xf>
    <xf numFmtId="1" fontId="21" fillId="0" borderId="19" xfId="0" applyNumberFormat="1" applyFont="1" applyFill="1" applyBorder="1" applyAlignment="1">
      <alignment horizontal="right" indent="1"/>
    </xf>
    <xf numFmtId="1" fontId="21" fillId="0" borderId="109" xfId="0" applyNumberFormat="1" applyFont="1" applyFill="1" applyBorder="1" applyAlignment="1">
      <alignment horizontal="right" indent="1"/>
    </xf>
    <xf numFmtId="0" fontId="21" fillId="0" borderId="211" xfId="0" applyFont="1" applyFill="1" applyBorder="1" applyAlignment="1">
      <alignment horizontal="left"/>
    </xf>
    <xf numFmtId="0" fontId="21" fillId="0" borderId="197" xfId="0" applyFont="1" applyFill="1" applyBorder="1" applyAlignment="1">
      <alignment horizontal="left"/>
    </xf>
    <xf numFmtId="0" fontId="21" fillId="0" borderId="39" xfId="0" applyFont="1" applyFill="1" applyBorder="1" applyAlignment="1">
      <alignment horizontal="center"/>
    </xf>
    <xf numFmtId="0" fontId="20" fillId="0" borderId="90" xfId="0" applyFont="1" applyFill="1" applyBorder="1" applyAlignment="1">
      <alignment horizontal="left"/>
    </xf>
    <xf numFmtId="0" fontId="21" fillId="0" borderId="90" xfId="0" applyFont="1" applyFill="1" applyBorder="1" applyAlignment="1">
      <alignment horizontal="left"/>
    </xf>
    <xf numFmtId="0" fontId="21" fillId="0" borderId="91" xfId="0" applyFont="1" applyFill="1" applyBorder="1" applyAlignment="1">
      <alignment horizontal="left"/>
    </xf>
    <xf numFmtId="0" fontId="21" fillId="0" borderId="5" xfId="0" applyFont="1" applyFill="1" applyBorder="1" applyAlignment="1">
      <alignment horizontal="center"/>
    </xf>
    <xf numFmtId="0" fontId="21" fillId="0" borderId="90" xfId="0" applyFont="1" applyFill="1" applyBorder="1" applyAlignment="1">
      <alignment horizontal="center"/>
    </xf>
    <xf numFmtId="1" fontId="21" fillId="0" borderId="94" xfId="0" applyNumberFormat="1" applyFont="1" applyFill="1" applyBorder="1" applyAlignment="1">
      <alignment horizontal="center"/>
    </xf>
    <xf numFmtId="0" fontId="21" fillId="0" borderId="90" xfId="0" applyFont="1" applyFill="1" applyBorder="1" applyAlignment="1">
      <alignment horizontal="right" indent="1"/>
    </xf>
    <xf numFmtId="0" fontId="21" fillId="0" borderId="91" xfId="0" applyFont="1" applyFill="1" applyBorder="1" applyAlignment="1">
      <alignment horizontal="right" indent="1"/>
    </xf>
    <xf numFmtId="0" fontId="21" fillId="0" borderId="94" xfId="0" applyFont="1" applyFill="1" applyBorder="1" applyAlignment="1">
      <alignment horizontal="right" indent="1"/>
    </xf>
    <xf numFmtId="168" fontId="21" fillId="0" borderId="90" xfId="0" applyNumberFormat="1" applyFont="1" applyFill="1" applyBorder="1" applyAlignment="1">
      <alignment horizontal="right" indent="1"/>
    </xf>
    <xf numFmtId="168" fontId="21" fillId="0" borderId="91" xfId="0" applyNumberFormat="1" applyFont="1" applyFill="1" applyBorder="1" applyAlignment="1">
      <alignment horizontal="right" indent="1"/>
    </xf>
    <xf numFmtId="168" fontId="21" fillId="0" borderId="94" xfId="0" applyNumberFormat="1" applyFont="1" applyFill="1" applyBorder="1" applyAlignment="1">
      <alignment horizontal="right" indent="1"/>
    </xf>
    <xf numFmtId="0" fontId="20" fillId="0" borderId="97" xfId="0" applyFont="1" applyFill="1" applyBorder="1" applyAlignment="1">
      <alignment horizontal="left"/>
    </xf>
    <xf numFmtId="0" fontId="21" fillId="0" borderId="97" xfId="0" applyFont="1" applyFill="1" applyBorder="1" applyAlignment="1">
      <alignment horizontal="left"/>
    </xf>
    <xf numFmtId="0" fontId="21" fillId="0" borderId="25" xfId="0" applyFont="1" applyFill="1" applyBorder="1" applyAlignment="1">
      <alignment horizontal="left"/>
    </xf>
    <xf numFmtId="0" fontId="21" fillId="0" borderId="35" xfId="0" applyFont="1" applyFill="1" applyBorder="1" applyAlignment="1">
      <alignment horizontal="center"/>
    </xf>
    <xf numFmtId="0" fontId="21" fillId="0" borderId="97" xfId="0" applyFont="1" applyFill="1" applyBorder="1" applyAlignment="1">
      <alignment horizontal="center"/>
    </xf>
    <xf numFmtId="1" fontId="21" fillId="0" borderId="98" xfId="0" applyNumberFormat="1" applyFont="1" applyFill="1" applyBorder="1" applyAlignment="1">
      <alignment horizontal="center"/>
    </xf>
    <xf numFmtId="0" fontId="21" fillId="0" borderId="97" xfId="0" applyFont="1" applyFill="1" applyBorder="1" applyAlignment="1">
      <alignment horizontal="right" indent="1"/>
    </xf>
    <xf numFmtId="0" fontId="21" fillId="0" borderId="25" xfId="0" applyFont="1" applyFill="1" applyBorder="1" applyAlignment="1">
      <alignment horizontal="right" indent="1"/>
    </xf>
    <xf numFmtId="0" fontId="21" fillId="0" borderId="98" xfId="0" applyFont="1" applyFill="1" applyBorder="1" applyAlignment="1">
      <alignment horizontal="right" indent="1"/>
    </xf>
    <xf numFmtId="168" fontId="21" fillId="0" borderId="97" xfId="0" applyNumberFormat="1" applyFont="1" applyFill="1" applyBorder="1" applyAlignment="1">
      <alignment horizontal="right" indent="1"/>
    </xf>
    <xf numFmtId="168" fontId="21" fillId="0" borderId="25" xfId="0" applyNumberFormat="1" applyFont="1" applyFill="1" applyBorder="1" applyAlignment="1">
      <alignment horizontal="right" indent="1"/>
    </xf>
    <xf numFmtId="168" fontId="21" fillId="0" borderId="98" xfId="0" applyNumberFormat="1" applyFont="1" applyFill="1" applyBorder="1" applyAlignment="1">
      <alignment horizontal="right" indent="1"/>
    </xf>
    <xf numFmtId="0" fontId="20" fillId="0" borderId="206" xfId="7" applyFont="1" applyFill="1" applyBorder="1" applyAlignment="1">
      <alignment horizontal="left"/>
    </xf>
    <xf numFmtId="0" fontId="21" fillId="0" borderId="206" xfId="7" applyFont="1" applyFill="1" applyBorder="1" applyAlignment="1">
      <alignment horizontal="left"/>
    </xf>
    <xf numFmtId="0" fontId="21" fillId="0" borderId="192" xfId="7" applyFont="1" applyFill="1" applyBorder="1" applyAlignment="1">
      <alignment horizontal="left"/>
    </xf>
    <xf numFmtId="0" fontId="21" fillId="0" borderId="221" xfId="7" applyFont="1" applyFill="1" applyBorder="1" applyAlignment="1">
      <alignment horizontal="center"/>
    </xf>
    <xf numFmtId="0" fontId="21" fillId="0" borderId="206" xfId="7" applyFont="1" applyFill="1" applyBorder="1" applyAlignment="1">
      <alignment horizontal="center"/>
    </xf>
    <xf numFmtId="1" fontId="21" fillId="0" borderId="230" xfId="7" applyNumberFormat="1" applyFont="1" applyFill="1" applyBorder="1" applyAlignment="1">
      <alignment horizontal="center"/>
    </xf>
    <xf numFmtId="168" fontId="21" fillId="0" borderId="206" xfId="7" applyNumberFormat="1" applyFont="1" applyFill="1" applyBorder="1" applyAlignment="1">
      <alignment horizontal="right" indent="1"/>
    </xf>
    <xf numFmtId="168" fontId="21" fillId="0" borderId="192" xfId="7" applyNumberFormat="1" applyFont="1" applyFill="1" applyBorder="1" applyAlignment="1">
      <alignment horizontal="right" indent="1"/>
    </xf>
    <xf numFmtId="168" fontId="21" fillId="0" borderId="230" xfId="7" applyNumberFormat="1" applyFont="1" applyFill="1" applyBorder="1" applyAlignment="1">
      <alignment horizontal="right" indent="1"/>
    </xf>
    <xf numFmtId="0" fontId="20" fillId="0" borderId="60" xfId="7" applyFont="1" applyFill="1" applyBorder="1" applyAlignment="1">
      <alignment horizontal="left"/>
    </xf>
    <xf numFmtId="0" fontId="21" fillId="0" borderId="0" xfId="3" applyFont="1" applyProtection="1"/>
    <xf numFmtId="0" fontId="20" fillId="6" borderId="133" xfId="0" applyFont="1" applyFill="1" applyBorder="1" applyAlignment="1" applyProtection="1">
      <alignment horizontal="right" indent="1"/>
      <protection locked="0"/>
    </xf>
    <xf numFmtId="0" fontId="51" fillId="0" borderId="0" xfId="11" applyFont="1" applyAlignment="1" applyProtection="1"/>
    <xf numFmtId="0" fontId="26" fillId="0" borderId="0" xfId="0" applyFont="1" applyAlignment="1" applyProtection="1">
      <alignment horizontal="right" indent="1"/>
    </xf>
    <xf numFmtId="0" fontId="23" fillId="0" borderId="0" xfId="0" applyFont="1" applyProtection="1"/>
    <xf numFmtId="0" fontId="23" fillId="0" borderId="0" xfId="0" applyFont="1" applyAlignment="1" applyProtection="1">
      <alignment horizontal="right" indent="1"/>
    </xf>
    <xf numFmtId="0" fontId="26" fillId="0" borderId="0" xfId="0" applyFont="1" applyProtection="1"/>
    <xf numFmtId="0" fontId="22" fillId="0" borderId="0" xfId="0" applyFont="1" applyProtection="1"/>
    <xf numFmtId="0" fontId="19" fillId="0" borderId="197" xfId="3" applyFont="1" applyBorder="1" applyAlignment="1">
      <alignment horizontal="left" vertical="center" wrapText="1" indent="1"/>
    </xf>
    <xf numFmtId="0" fontId="19" fillId="0" borderId="197" xfId="3" applyFont="1" applyBorder="1" applyAlignment="1">
      <alignment vertical="center"/>
    </xf>
    <xf numFmtId="0" fontId="19" fillId="0" borderId="197" xfId="3" applyFont="1" applyBorder="1" applyAlignment="1">
      <alignment vertical="center" wrapText="1"/>
    </xf>
    <xf numFmtId="171" fontId="21" fillId="0" borderId="193" xfId="3" applyNumberFormat="1" applyFont="1" applyBorder="1" applyAlignment="1" applyProtection="1">
      <alignment horizontal="right" vertical="center" wrapText="1" indent="1"/>
    </xf>
    <xf numFmtId="0" fontId="21" fillId="9" borderId="197" xfId="3" applyFont="1" applyFill="1" applyBorder="1" applyAlignment="1">
      <alignment horizontal="left" vertical="center" wrapText="1" indent="1"/>
    </xf>
    <xf numFmtId="0" fontId="21" fillId="9" borderId="198" xfId="3" applyFont="1" applyFill="1" applyBorder="1" applyAlignment="1" applyProtection="1">
      <alignment vertical="center"/>
    </xf>
    <xf numFmtId="0" fontId="19" fillId="9" borderId="211" xfId="3" applyFont="1" applyFill="1" applyBorder="1" applyAlignment="1">
      <alignment horizontal="left" vertical="center" indent="1"/>
    </xf>
    <xf numFmtId="0" fontId="19" fillId="9" borderId="197" xfId="3" applyFont="1" applyFill="1" applyBorder="1" applyAlignment="1">
      <alignment horizontal="left" vertical="center" wrapText="1" indent="1"/>
    </xf>
    <xf numFmtId="0" fontId="19" fillId="9" borderId="197" xfId="3" applyFont="1" applyFill="1" applyBorder="1" applyAlignment="1">
      <alignment vertical="center"/>
    </xf>
    <xf numFmtId="0" fontId="19" fillId="9" borderId="197" xfId="3" applyFont="1" applyFill="1" applyBorder="1" applyAlignment="1">
      <alignment vertical="center" wrapText="1"/>
    </xf>
    <xf numFmtId="0" fontId="19" fillId="9" borderId="197" xfId="3" applyFont="1" applyFill="1" applyBorder="1" applyAlignment="1" applyProtection="1">
      <alignment horizontal="right" vertical="center" indent="1"/>
    </xf>
    <xf numFmtId="0" fontId="21" fillId="0" borderId="211" xfId="3" applyFont="1" applyBorder="1" applyAlignment="1">
      <alignment horizontal="left" vertical="center" indent="1"/>
    </xf>
    <xf numFmtId="0" fontId="21" fillId="0" borderId="197" xfId="3" applyFont="1" applyBorder="1" applyAlignment="1">
      <alignment horizontal="left" vertical="center" wrapText="1" indent="1"/>
    </xf>
    <xf numFmtId="0" fontId="21" fillId="0" borderId="197" xfId="3" applyFont="1" applyBorder="1" applyAlignment="1">
      <alignment vertical="center" wrapText="1"/>
    </xf>
    <xf numFmtId="0" fontId="21" fillId="9" borderId="69" xfId="3" applyFont="1" applyFill="1" applyBorder="1" applyAlignment="1">
      <alignment horizontal="left" vertical="center" wrapText="1" indent="1"/>
    </xf>
    <xf numFmtId="0" fontId="21" fillId="0" borderId="69" xfId="3" applyFont="1" applyBorder="1" applyAlignment="1">
      <alignment horizontal="left" vertical="center" wrapText="1" indent="1"/>
    </xf>
    <xf numFmtId="0" fontId="21" fillId="9" borderId="209" xfId="3" applyFont="1" applyFill="1" applyBorder="1" applyAlignment="1">
      <alignment horizontal="left" vertical="center" wrapText="1" indent="1"/>
    </xf>
    <xf numFmtId="0" fontId="19" fillId="9" borderId="209" xfId="3" applyFont="1" applyFill="1" applyBorder="1" applyAlignment="1">
      <alignment horizontal="left" vertical="center" wrapText="1" indent="1"/>
    </xf>
    <xf numFmtId="0" fontId="21" fillId="0" borderId="209" xfId="3" applyFont="1" applyBorder="1" applyAlignment="1">
      <alignment horizontal="left" vertical="center" wrapText="1" indent="1"/>
    </xf>
    <xf numFmtId="0" fontId="19" fillId="0" borderId="209" xfId="3" applyFont="1" applyBorder="1" applyAlignment="1">
      <alignment horizontal="left" vertical="center" wrapText="1" indent="1"/>
    </xf>
    <xf numFmtId="0" fontId="21" fillId="0" borderId="193" xfId="3" applyFont="1" applyBorder="1" applyAlignment="1" applyProtection="1">
      <alignment vertical="center" wrapText="1"/>
    </xf>
    <xf numFmtId="0" fontId="21" fillId="0" borderId="198" xfId="3" applyFont="1" applyBorder="1" applyAlignment="1" applyProtection="1">
      <alignment vertical="center" wrapText="1"/>
    </xf>
    <xf numFmtId="171" fontId="21" fillId="0" borderId="198" xfId="3" applyNumberFormat="1" applyFont="1" applyBorder="1" applyAlignment="1" applyProtection="1">
      <alignment horizontal="right" vertical="center" wrapText="1" indent="1"/>
    </xf>
    <xf numFmtId="0" fontId="21" fillId="0" borderId="130" xfId="10" applyFont="1" applyBorder="1" applyAlignment="1" applyProtection="1">
      <alignment horizontal="left" vertical="center" wrapText="1" indent="1"/>
    </xf>
    <xf numFmtId="0" fontId="21" fillId="0" borderId="130" xfId="10" applyFont="1" applyBorder="1" applyAlignment="1" applyProtection="1">
      <alignment vertical="center" wrapText="1"/>
    </xf>
    <xf numFmtId="166" fontId="20" fillId="5" borderId="188" xfId="0" applyNumberFormat="1" applyFont="1" applyFill="1" applyBorder="1" applyAlignment="1" applyProtection="1">
      <alignment horizontal="right" vertical="center" indent="1"/>
    </xf>
    <xf numFmtId="0" fontId="21" fillId="0" borderId="198" xfId="3" applyFont="1" applyBorder="1" applyAlignment="1" applyProtection="1">
      <alignment horizontal="right" vertical="center" indent="1"/>
    </xf>
    <xf numFmtId="0" fontId="20" fillId="13" borderId="198" xfId="3" applyFont="1" applyFill="1" applyBorder="1" applyAlignment="1" applyProtection="1">
      <alignment horizontal="right" vertical="center" indent="1"/>
    </xf>
    <xf numFmtId="0" fontId="21" fillId="0" borderId="69" xfId="10" applyFont="1" applyBorder="1" applyAlignment="1" applyProtection="1">
      <alignment horizontal="left" vertical="center" wrapText="1" indent="1"/>
    </xf>
    <xf numFmtId="0" fontId="21" fillId="0" borderId="56" xfId="3" applyFont="1" applyFill="1" applyBorder="1" applyAlignment="1">
      <alignment horizontal="left" vertical="center" indent="1"/>
    </xf>
    <xf numFmtId="0" fontId="21" fillId="0" borderId="17" xfId="3" applyFont="1" applyFill="1" applyBorder="1" applyAlignment="1">
      <alignment horizontal="left" vertical="center" wrapText="1" indent="1"/>
    </xf>
    <xf numFmtId="0" fontId="19" fillId="0" borderId="57" xfId="3" applyFont="1" applyFill="1" applyBorder="1" applyAlignment="1">
      <alignment horizontal="left" vertical="center" indent="1"/>
    </xf>
    <xf numFmtId="0" fontId="19" fillId="0" borderId="19" xfId="3" applyFont="1" applyFill="1" applyBorder="1" applyAlignment="1">
      <alignment horizontal="left" vertical="center" wrapText="1" indent="1"/>
    </xf>
    <xf numFmtId="0" fontId="21" fillId="0" borderId="57" xfId="3" applyFont="1" applyFill="1" applyBorder="1" applyAlignment="1">
      <alignment horizontal="left" vertical="center" indent="1"/>
    </xf>
    <xf numFmtId="0" fontId="21" fillId="0" borderId="19" xfId="3" applyFont="1" applyFill="1" applyBorder="1" applyAlignment="1">
      <alignment horizontal="left" vertical="center" wrapText="1" indent="1"/>
    </xf>
    <xf numFmtId="0" fontId="21" fillId="0" borderId="58" xfId="3" applyFont="1" applyFill="1" applyBorder="1" applyAlignment="1">
      <alignment horizontal="left" vertical="center" indent="1"/>
    </xf>
    <xf numFmtId="0" fontId="21" fillId="0" borderId="20" xfId="3" applyFont="1" applyFill="1" applyBorder="1" applyAlignment="1">
      <alignment horizontal="left" vertical="center" wrapText="1" indent="1"/>
    </xf>
    <xf numFmtId="0" fontId="21" fillId="0" borderId="192" xfId="3" applyFont="1" applyFill="1" applyBorder="1" applyAlignment="1">
      <alignment horizontal="left" vertical="center" wrapText="1" indent="1"/>
    </xf>
    <xf numFmtId="0" fontId="21" fillId="0" borderId="67" xfId="3" applyFont="1" applyFill="1" applyBorder="1" applyAlignment="1">
      <alignment horizontal="left" vertical="center" indent="1"/>
    </xf>
    <xf numFmtId="0" fontId="21" fillId="0" borderId="68" xfId="3" applyFont="1" applyFill="1" applyBorder="1" applyAlignment="1">
      <alignment horizontal="left" vertical="center" wrapText="1" indent="1"/>
    </xf>
    <xf numFmtId="0" fontId="21" fillId="0" borderId="62" xfId="3" applyFont="1" applyFill="1" applyBorder="1" applyAlignment="1">
      <alignment horizontal="left" vertical="center" indent="1"/>
    </xf>
    <xf numFmtId="0" fontId="21" fillId="0" borderId="63" xfId="3" applyFont="1" applyFill="1" applyBorder="1" applyAlignment="1">
      <alignment horizontal="left" vertical="center" wrapText="1" indent="1"/>
    </xf>
    <xf numFmtId="0" fontId="21" fillId="0" borderId="211" xfId="3" applyFont="1" applyFill="1" applyBorder="1" applyAlignment="1">
      <alignment horizontal="left" vertical="center" indent="1"/>
    </xf>
    <xf numFmtId="0" fontId="21" fillId="0" borderId="197" xfId="3" applyFont="1" applyFill="1" applyBorder="1" applyAlignment="1">
      <alignment horizontal="left" vertical="center" wrapText="1" indent="1"/>
    </xf>
    <xf numFmtId="0" fontId="21" fillId="0" borderId="57" xfId="3" applyFont="1" applyFill="1" applyBorder="1" applyAlignment="1" applyProtection="1">
      <alignment horizontal="left" vertical="center" indent="1"/>
    </xf>
    <xf numFmtId="0" fontId="21" fillId="0" borderId="19" xfId="3" applyFont="1" applyFill="1" applyBorder="1" applyAlignment="1" applyProtection="1">
      <alignment horizontal="left" vertical="center" wrapText="1" indent="1"/>
    </xf>
    <xf numFmtId="0" fontId="21" fillId="0" borderId="20" xfId="3" applyFont="1" applyFill="1" applyBorder="1" applyAlignment="1" applyProtection="1">
      <alignment horizontal="left" vertical="center" wrapText="1" indent="1"/>
    </xf>
    <xf numFmtId="0" fontId="21" fillId="0" borderId="146" xfId="3" applyFont="1" applyFill="1" applyBorder="1" applyAlignment="1">
      <alignment horizontal="left" vertical="center" indent="1"/>
    </xf>
    <xf numFmtId="0" fontId="21" fillId="0" borderId="130" xfId="3" applyFont="1" applyFill="1" applyBorder="1" applyAlignment="1">
      <alignment horizontal="left" vertical="center" wrapText="1" indent="1"/>
    </xf>
    <xf numFmtId="0" fontId="19" fillId="0" borderId="58" xfId="3" applyFont="1" applyFill="1" applyBorder="1" applyAlignment="1">
      <alignment horizontal="left" vertical="center" indent="1"/>
    </xf>
    <xf numFmtId="0" fontId="19" fillId="0" borderId="20" xfId="3" applyFont="1" applyFill="1" applyBorder="1" applyAlignment="1">
      <alignment horizontal="left" vertical="center" wrapText="1" indent="1"/>
    </xf>
    <xf numFmtId="0" fontId="19" fillId="0" borderId="63" xfId="3" applyFont="1" applyFill="1" applyBorder="1" applyAlignment="1">
      <alignment horizontal="left" vertical="center" wrapText="1" indent="1"/>
    </xf>
    <xf numFmtId="0" fontId="19" fillId="0" borderId="211" xfId="3" applyFont="1" applyFill="1" applyBorder="1" applyAlignment="1">
      <alignment horizontal="left" vertical="center" indent="1"/>
    </xf>
    <xf numFmtId="0" fontId="19" fillId="0" borderId="197" xfId="3" applyFont="1" applyFill="1" applyBorder="1" applyAlignment="1">
      <alignment horizontal="left" vertical="center" wrapText="1" indent="1"/>
    </xf>
    <xf numFmtId="0" fontId="27" fillId="0" borderId="63" xfId="3" applyFont="1" applyFill="1" applyBorder="1" applyAlignment="1">
      <alignment horizontal="left" vertical="center" wrapText="1" indent="1"/>
    </xf>
    <xf numFmtId="0" fontId="19" fillId="0" borderId="67" xfId="3" applyFont="1" applyFill="1" applyBorder="1" applyAlignment="1">
      <alignment horizontal="left" vertical="center" indent="1"/>
    </xf>
    <xf numFmtId="0" fontId="19" fillId="0" borderId="68" xfId="3" applyFont="1" applyFill="1" applyBorder="1" applyAlignment="1">
      <alignment horizontal="left" vertical="center" wrapText="1" indent="1"/>
    </xf>
    <xf numFmtId="0" fontId="20" fillId="6" borderId="192" xfId="3" applyFont="1" applyFill="1" applyBorder="1" applyAlignment="1" applyProtection="1">
      <alignment horizontal="right" vertical="center" indent="1"/>
      <protection locked="0"/>
    </xf>
    <xf numFmtId="0" fontId="20" fillId="6" borderId="209" xfId="3" applyFont="1" applyFill="1" applyBorder="1" applyAlignment="1" applyProtection="1">
      <alignment horizontal="right" vertical="center" indent="1"/>
      <protection locked="0"/>
    </xf>
    <xf numFmtId="170" fontId="21" fillId="9" borderId="177" xfId="0" applyNumberFormat="1" applyFont="1" applyFill="1" applyBorder="1" applyAlignment="1" applyProtection="1">
      <alignment vertical="center"/>
    </xf>
    <xf numFmtId="0" fontId="47" fillId="0" borderId="34" xfId="10" applyNumberFormat="1" applyFont="1" applyBorder="1" applyAlignment="1" applyProtection="1">
      <alignment horizontal="left" indent="1"/>
    </xf>
    <xf numFmtId="0" fontId="11" fillId="0" borderId="33" xfId="10" applyFont="1" applyBorder="1" applyAlignment="1" applyProtection="1"/>
    <xf numFmtId="0" fontId="11" fillId="0" borderId="9" xfId="10" applyFont="1" applyBorder="1" applyAlignment="1" applyProtection="1"/>
    <xf numFmtId="0" fontId="11" fillId="0" borderId="34" xfId="10" applyFont="1" applyBorder="1" applyAlignment="1" applyProtection="1"/>
    <xf numFmtId="0" fontId="11" fillId="0" borderId="253" xfId="10" applyFont="1" applyBorder="1" applyAlignment="1" applyProtection="1">
      <alignment horizontal="center" vertical="center" wrapText="1"/>
    </xf>
    <xf numFmtId="1" fontId="42" fillId="17" borderId="253" xfId="7" applyNumberFormat="1" applyFont="1" applyFill="1" applyBorder="1" applyAlignment="1" applyProtection="1">
      <alignment horizontal="right" vertical="center" indent="1"/>
    </xf>
    <xf numFmtId="0" fontId="11" fillId="0" borderId="257" xfId="10" applyFont="1" applyBorder="1" applyAlignment="1" applyProtection="1">
      <alignment horizontal="center" vertical="center" wrapText="1"/>
    </xf>
    <xf numFmtId="0" fontId="19" fillId="0" borderId="4" xfId="10" applyFont="1" applyBorder="1" applyAlignment="1" applyProtection="1">
      <alignment horizontal="center" vertical="center" wrapText="1"/>
    </xf>
    <xf numFmtId="0" fontId="19" fillId="0" borderId="51" xfId="10" applyFont="1" applyFill="1" applyBorder="1" applyAlignment="1" applyProtection="1">
      <alignment horizontal="center" vertical="center" wrapText="1"/>
    </xf>
    <xf numFmtId="0" fontId="11" fillId="0" borderId="254" xfId="10" applyFont="1" applyBorder="1" applyAlignment="1" applyProtection="1">
      <alignment horizontal="center" vertical="center" wrapText="1"/>
    </xf>
    <xf numFmtId="0" fontId="19" fillId="0" borderId="3" xfId="10" applyFont="1" applyBorder="1" applyAlignment="1" applyProtection="1">
      <alignment horizontal="center" vertical="center" wrapText="1"/>
    </xf>
    <xf numFmtId="0" fontId="19" fillId="0" borderId="43" xfId="10" applyFont="1" applyFill="1" applyBorder="1" applyAlignment="1" applyProtection="1">
      <alignment horizontal="center" vertical="center" wrapText="1"/>
    </xf>
    <xf numFmtId="0" fontId="11" fillId="0" borderId="258" xfId="10" applyFont="1" applyBorder="1" applyAlignment="1" applyProtection="1">
      <alignment horizontal="center" vertical="center" wrapText="1"/>
    </xf>
    <xf numFmtId="0" fontId="19" fillId="0" borderId="5" xfId="10" applyFont="1" applyBorder="1" applyAlignment="1" applyProtection="1">
      <alignment horizontal="center" vertical="center" wrapText="1"/>
    </xf>
    <xf numFmtId="0" fontId="19" fillId="0" borderId="35" xfId="10" applyFont="1" applyFill="1" applyBorder="1" applyAlignment="1" applyProtection="1">
      <alignment horizontal="center" vertical="center" wrapText="1"/>
    </xf>
    <xf numFmtId="11" fontId="20" fillId="20" borderId="259" xfId="7" applyNumberFormat="1" applyFont="1" applyFill="1" applyBorder="1" applyAlignment="1" applyProtection="1">
      <alignment horizontal="center"/>
      <protection locked="0"/>
    </xf>
    <xf numFmtId="11" fontId="20" fillId="20" borderId="260" xfId="7" applyNumberFormat="1" applyFont="1" applyFill="1" applyBorder="1" applyAlignment="1" applyProtection="1">
      <alignment horizontal="center"/>
      <protection locked="0"/>
    </xf>
    <xf numFmtId="11" fontId="24" fillId="20" borderId="260" xfId="7" applyNumberFormat="1" applyFont="1" applyFill="1" applyBorder="1" applyAlignment="1" applyProtection="1">
      <alignment horizontal="center" vertical="center"/>
      <protection locked="0"/>
    </xf>
    <xf numFmtId="11" fontId="20" fillId="20" borderId="260" xfId="7" applyNumberFormat="1" applyFont="1" applyFill="1" applyBorder="1" applyAlignment="1" applyProtection="1">
      <alignment horizontal="center" vertical="center"/>
      <protection locked="0"/>
    </xf>
    <xf numFmtId="11" fontId="20" fillId="20" borderId="261" xfId="7" applyNumberFormat="1" applyFont="1" applyFill="1" applyBorder="1" applyAlignment="1" applyProtection="1">
      <alignment horizontal="center"/>
      <protection locked="0"/>
    </xf>
    <xf numFmtId="11" fontId="20" fillId="20" borderId="262" xfId="7" applyNumberFormat="1" applyFont="1" applyFill="1" applyBorder="1" applyAlignment="1" applyProtection="1">
      <alignment horizontal="center"/>
      <protection locked="0"/>
    </xf>
    <xf numFmtId="11" fontId="20" fillId="20" borderId="263" xfId="7" applyNumberFormat="1" applyFont="1" applyFill="1" applyBorder="1" applyAlignment="1" applyProtection="1">
      <alignment horizontal="center"/>
      <protection locked="0"/>
    </xf>
    <xf numFmtId="11" fontId="24" fillId="20" borderId="263" xfId="7" applyNumberFormat="1" applyFont="1" applyFill="1" applyBorder="1" applyAlignment="1" applyProtection="1">
      <alignment horizontal="center" vertical="center"/>
      <protection locked="0"/>
    </xf>
    <xf numFmtId="11" fontId="20" fillId="20" borderId="263" xfId="7" applyNumberFormat="1" applyFont="1" applyFill="1" applyBorder="1" applyAlignment="1" applyProtection="1">
      <alignment horizontal="center" vertical="center"/>
      <protection locked="0"/>
    </xf>
    <xf numFmtId="11" fontId="20" fillId="20" borderId="264" xfId="7" applyNumberFormat="1" applyFont="1" applyFill="1" applyBorder="1" applyAlignment="1" applyProtection="1">
      <alignment horizontal="center"/>
      <protection locked="0"/>
    </xf>
    <xf numFmtId="0" fontId="20" fillId="0" borderId="265" xfId="7" applyNumberFormat="1" applyFont="1" applyBorder="1" applyAlignment="1" applyProtection="1">
      <alignment horizontal="center"/>
    </xf>
    <xf numFmtId="0" fontId="21" fillId="0" borderId="29" xfId="7" applyFont="1" applyBorder="1" applyAlignment="1" applyProtection="1">
      <alignment horizontal="left" vertical="top" indent="1"/>
    </xf>
    <xf numFmtId="11" fontId="21" fillId="0" borderId="26" xfId="7" applyNumberFormat="1" applyFont="1" applyBorder="1" applyAlignment="1" applyProtection="1">
      <alignment horizontal="left" vertical="top" indent="1"/>
    </xf>
    <xf numFmtId="0" fontId="54" fillId="0" borderId="0" xfId="3" applyFont="1"/>
    <xf numFmtId="0" fontId="55" fillId="0" borderId="0" xfId="3" applyFont="1" applyAlignment="1">
      <alignment horizontal="center" vertical="center"/>
    </xf>
    <xf numFmtId="0" fontId="53" fillId="2" borderId="2" xfId="3" applyFont="1" applyFill="1" applyBorder="1" applyAlignment="1">
      <alignment horizontal="left" indent="1"/>
    </xf>
    <xf numFmtId="0" fontId="20" fillId="2" borderId="256" xfId="0" applyFont="1" applyFill="1" applyBorder="1" applyAlignment="1" applyProtection="1">
      <alignment horizontal="center" vertical="top" wrapText="1"/>
    </xf>
    <xf numFmtId="0" fontId="21" fillId="0" borderId="0" xfId="0" applyFont="1" applyFill="1" applyProtection="1"/>
    <xf numFmtId="0" fontId="26" fillId="0" borderId="0" xfId="0" applyFont="1" applyFill="1" applyProtection="1"/>
    <xf numFmtId="0" fontId="22" fillId="0" borderId="0" xfId="0" applyFont="1" applyFill="1" applyProtection="1"/>
    <xf numFmtId="0" fontId="21" fillId="0" borderId="192" xfId="3" applyFont="1" applyBorder="1" applyAlignment="1" applyProtection="1">
      <alignment vertical="center" wrapText="1"/>
    </xf>
    <xf numFmtId="166" fontId="21" fillId="0" borderId="206" xfId="3" applyNumberFormat="1" applyFont="1" applyFill="1" applyBorder="1" applyAlignment="1" applyProtection="1">
      <alignment horizontal="right" vertical="center" indent="1"/>
    </xf>
    <xf numFmtId="0" fontId="21" fillId="0" borderId="268" xfId="3" applyFont="1" applyBorder="1" applyAlignment="1" applyProtection="1">
      <alignment horizontal="left" vertical="center" indent="1"/>
    </xf>
    <xf numFmtId="0" fontId="21" fillId="0" borderId="266" xfId="3" applyFont="1" applyBorder="1" applyAlignment="1" applyProtection="1">
      <alignment horizontal="left" vertical="center" wrapText="1" indent="1"/>
    </xf>
    <xf numFmtId="0" fontId="21" fillId="0" borderId="266" xfId="3" applyFont="1" applyBorder="1" applyAlignment="1" applyProtection="1">
      <alignment horizontal="right" vertical="center" wrapText="1" indent="1"/>
    </xf>
    <xf numFmtId="0" fontId="21" fillId="0" borderId="266" xfId="3" applyFont="1" applyFill="1" applyBorder="1" applyAlignment="1" applyProtection="1">
      <alignment horizontal="right" vertical="center" indent="1"/>
    </xf>
    <xf numFmtId="0" fontId="21" fillId="0" borderId="267" xfId="3" applyFont="1" applyBorder="1" applyAlignment="1" applyProtection="1">
      <alignment horizontal="right" vertical="center" wrapText="1" indent="1"/>
    </xf>
    <xf numFmtId="166" fontId="20" fillId="9" borderId="265" xfId="3" applyNumberFormat="1" applyFont="1" applyFill="1" applyBorder="1" applyAlignment="1" applyProtection="1">
      <alignment horizontal="right" vertical="center" indent="1"/>
    </xf>
    <xf numFmtId="166" fontId="21" fillId="0" borderId="268" xfId="3" applyNumberFormat="1" applyFont="1" applyFill="1" applyBorder="1" applyAlignment="1" applyProtection="1">
      <alignment horizontal="right" vertical="center" indent="1"/>
    </xf>
    <xf numFmtId="166" fontId="21" fillId="0" borderId="267" xfId="3" applyNumberFormat="1" applyFont="1" applyFill="1" applyBorder="1" applyAlignment="1" applyProtection="1">
      <alignment horizontal="right" vertical="center" indent="1"/>
    </xf>
    <xf numFmtId="14" fontId="21" fillId="6" borderId="268" xfId="3" applyNumberFormat="1" applyFont="1" applyFill="1" applyBorder="1" applyAlignment="1" applyProtection="1">
      <alignment horizontal="right" vertical="center" indent="1"/>
    </xf>
    <xf numFmtId="14" fontId="21" fillId="6" borderId="269" xfId="3" applyNumberFormat="1" applyFont="1" applyFill="1" applyBorder="1" applyAlignment="1" applyProtection="1">
      <alignment horizontal="right" vertical="center" indent="1"/>
    </xf>
    <xf numFmtId="166" fontId="21" fillId="0" borderId="269" xfId="3" applyNumberFormat="1" applyFont="1" applyFill="1" applyBorder="1" applyAlignment="1" applyProtection="1">
      <alignment horizontal="right" vertical="center" indent="1"/>
    </xf>
    <xf numFmtId="166" fontId="20" fillId="9" borderId="270" xfId="3" applyNumberFormat="1" applyFont="1" applyFill="1" applyBorder="1" applyAlignment="1" applyProtection="1">
      <alignment horizontal="right" vertical="center" indent="1"/>
    </xf>
    <xf numFmtId="0" fontId="47" fillId="0" borderId="33" xfId="10" applyNumberFormat="1" applyFont="1" applyBorder="1" applyAlignment="1" applyProtection="1"/>
    <xf numFmtId="0" fontId="47" fillId="0" borderId="9" xfId="10" applyNumberFormat="1" applyFont="1" applyBorder="1" applyAlignment="1" applyProtection="1"/>
    <xf numFmtId="0" fontId="47" fillId="0" borderId="34" xfId="10" applyNumberFormat="1" applyFont="1" applyBorder="1" applyAlignment="1" applyProtection="1"/>
    <xf numFmtId="0" fontId="47" fillId="0" borderId="271" xfId="10" applyNumberFormat="1" applyFont="1" applyBorder="1" applyAlignment="1" applyProtection="1">
      <alignment horizontal="center" vertical="center" wrapText="1"/>
    </xf>
    <xf numFmtId="0" fontId="47" fillId="0" borderId="272" xfId="7" applyNumberFormat="1" applyFont="1" applyFill="1" applyBorder="1" applyAlignment="1" applyProtection="1">
      <alignment horizontal="center"/>
    </xf>
    <xf numFmtId="0" fontId="47" fillId="0" borderId="273" xfId="7" applyNumberFormat="1" applyFont="1" applyFill="1" applyBorder="1" applyAlignment="1" applyProtection="1">
      <alignment horizontal="center"/>
    </xf>
    <xf numFmtId="0" fontId="47" fillId="0" borderId="274" xfId="10" applyNumberFormat="1" applyFont="1" applyBorder="1" applyAlignment="1" applyProtection="1">
      <alignment horizontal="center" vertical="center" wrapText="1"/>
    </xf>
    <xf numFmtId="0" fontId="45" fillId="0" borderId="4" xfId="10" applyNumberFormat="1" applyFont="1" applyBorder="1" applyAlignment="1" applyProtection="1">
      <alignment horizontal="center" vertical="center" wrapText="1"/>
    </xf>
    <xf numFmtId="0" fontId="45" fillId="0" borderId="51" xfId="10" applyNumberFormat="1" applyFont="1" applyFill="1" applyBorder="1" applyAlignment="1" applyProtection="1">
      <alignment horizontal="center" vertical="center" wrapText="1"/>
    </xf>
    <xf numFmtId="0" fontId="47" fillId="0" borderId="275" xfId="10" applyNumberFormat="1" applyFont="1" applyBorder="1" applyAlignment="1" applyProtection="1">
      <alignment horizontal="center" vertical="center" wrapText="1"/>
    </xf>
    <xf numFmtId="0" fontId="45" fillId="0" borderId="3" xfId="10" applyNumberFormat="1" applyFont="1" applyBorder="1" applyAlignment="1" applyProtection="1">
      <alignment horizontal="center" vertical="center" wrapText="1"/>
    </xf>
    <xf numFmtId="0" fontId="45" fillId="0" borderId="43" xfId="10" applyNumberFormat="1" applyFont="1" applyFill="1" applyBorder="1" applyAlignment="1" applyProtection="1">
      <alignment horizontal="center" vertical="center" wrapText="1"/>
    </xf>
    <xf numFmtId="0" fontId="47" fillId="0" borderId="276" xfId="10" applyNumberFormat="1" applyFont="1" applyBorder="1" applyAlignment="1" applyProtection="1">
      <alignment horizontal="center" vertical="center" wrapText="1"/>
    </xf>
    <xf numFmtId="0" fontId="45" fillId="0" borderId="5" xfId="10" applyNumberFormat="1" applyFont="1" applyBorder="1" applyAlignment="1" applyProtection="1">
      <alignment horizontal="center" vertical="center" wrapText="1"/>
    </xf>
    <xf numFmtId="0" fontId="45" fillId="0" borderId="35" xfId="10" applyNumberFormat="1" applyFont="1" applyFill="1" applyBorder="1" applyAlignment="1" applyProtection="1">
      <alignment horizontal="center" vertical="center" wrapText="1"/>
    </xf>
    <xf numFmtId="0" fontId="49" fillId="0" borderId="272" xfId="7" applyNumberFormat="1" applyFont="1" applyFill="1" applyBorder="1" applyAlignment="1" applyProtection="1">
      <alignment horizontal="center" vertical="center"/>
    </xf>
    <xf numFmtId="0" fontId="49" fillId="0" borderId="273" xfId="7" applyNumberFormat="1" applyFont="1" applyFill="1" applyBorder="1" applyAlignment="1" applyProtection="1">
      <alignment horizontal="center" vertical="center"/>
    </xf>
    <xf numFmtId="0" fontId="47" fillId="0" borderId="272" xfId="7" applyNumberFormat="1" applyFont="1" applyFill="1" applyBorder="1" applyAlignment="1" applyProtection="1">
      <alignment horizontal="center" vertical="center"/>
    </xf>
    <xf numFmtId="0" fontId="47" fillId="0" borderId="277" xfId="7" applyNumberFormat="1" applyFont="1" applyFill="1" applyBorder="1" applyAlignment="1" applyProtection="1">
      <alignment horizontal="center"/>
    </xf>
    <xf numFmtId="0" fontId="47" fillId="0" borderId="278" xfId="7" applyNumberFormat="1" applyFont="1" applyFill="1" applyBorder="1" applyAlignment="1" applyProtection="1">
      <alignment horizontal="center"/>
    </xf>
    <xf numFmtId="0" fontId="47" fillId="0" borderId="279" xfId="7" applyNumberFormat="1" applyFont="1" applyFill="1" applyBorder="1" applyAlignment="1" applyProtection="1">
      <alignment horizontal="center"/>
    </xf>
    <xf numFmtId="0" fontId="45" fillId="9" borderId="18" xfId="7" applyNumberFormat="1" applyFont="1" applyFill="1" applyBorder="1" applyProtection="1"/>
    <xf numFmtId="0" fontId="47" fillId="0" borderId="280" xfId="7" applyNumberFormat="1" applyFont="1" applyFill="1" applyBorder="1" applyAlignment="1" applyProtection="1">
      <alignment horizontal="center"/>
    </xf>
    <xf numFmtId="0" fontId="47" fillId="0" borderId="281" xfId="7" applyNumberFormat="1" applyFont="1" applyFill="1" applyBorder="1" applyAlignment="1" applyProtection="1">
      <alignment horizontal="center"/>
    </xf>
    <xf numFmtId="0" fontId="47" fillId="0" borderId="282" xfId="7" applyNumberFormat="1" applyFont="1" applyFill="1" applyBorder="1" applyAlignment="1" applyProtection="1">
      <alignment horizontal="center"/>
    </xf>
    <xf numFmtId="0" fontId="45" fillId="9" borderId="55" xfId="7" applyNumberFormat="1" applyFont="1" applyFill="1" applyBorder="1" applyProtection="1"/>
    <xf numFmtId="0" fontId="47" fillId="0" borderId="14" xfId="10" applyNumberFormat="1" applyFont="1" applyBorder="1" applyAlignment="1" applyProtection="1"/>
    <xf numFmtId="0" fontId="47" fillId="0" borderId="81" xfId="10" applyNumberFormat="1" applyFont="1" applyBorder="1" applyAlignment="1" applyProtection="1"/>
    <xf numFmtId="0" fontId="47" fillId="0" borderId="283" xfId="10" applyNumberFormat="1" applyFont="1" applyBorder="1" applyAlignment="1" applyProtection="1">
      <alignment horizontal="center" vertical="center" wrapText="1"/>
    </xf>
    <xf numFmtId="0" fontId="45" fillId="0" borderId="284" xfId="10" applyNumberFormat="1" applyFont="1" applyBorder="1" applyAlignment="1" applyProtection="1">
      <alignment horizontal="center" vertical="center" wrapText="1"/>
    </xf>
    <xf numFmtId="0" fontId="45" fillId="0" borderId="285" xfId="10" applyNumberFormat="1" applyFont="1" applyFill="1" applyBorder="1" applyAlignment="1" applyProtection="1">
      <alignment horizontal="center" vertical="center" wrapText="1"/>
    </xf>
    <xf numFmtId="0" fontId="45" fillId="9" borderId="60" xfId="7" applyNumberFormat="1" applyFont="1" applyFill="1" applyBorder="1" applyProtection="1"/>
    <xf numFmtId="0" fontId="47" fillId="0" borderId="289" xfId="7" applyNumberFormat="1" applyFont="1" applyFill="1" applyBorder="1" applyAlignment="1" applyProtection="1">
      <alignment horizontal="center"/>
    </xf>
    <xf numFmtId="0" fontId="47" fillId="0" borderId="290" xfId="7" applyNumberFormat="1" applyFont="1" applyFill="1" applyBorder="1" applyAlignment="1" applyProtection="1">
      <alignment horizontal="center"/>
    </xf>
    <xf numFmtId="0" fontId="47" fillId="0" borderId="291" xfId="7" applyNumberFormat="1" applyFont="1" applyFill="1" applyBorder="1" applyAlignment="1" applyProtection="1">
      <alignment horizontal="center"/>
    </xf>
    <xf numFmtId="0" fontId="47" fillId="0" borderId="292" xfId="7" applyNumberFormat="1" applyFont="1" applyFill="1" applyBorder="1" applyAlignment="1" applyProtection="1">
      <alignment horizontal="center"/>
    </xf>
    <xf numFmtId="0" fontId="47" fillId="0" borderId="293" xfId="7" applyNumberFormat="1" applyFont="1" applyFill="1" applyBorder="1" applyAlignment="1" applyProtection="1">
      <alignment horizontal="center"/>
    </xf>
    <xf numFmtId="0" fontId="45" fillId="9" borderId="33" xfId="7" applyNumberFormat="1" applyFont="1" applyFill="1" applyBorder="1" applyProtection="1"/>
    <xf numFmtId="0" fontId="49" fillId="0" borderId="286" xfId="7" applyNumberFormat="1" applyFont="1" applyFill="1" applyBorder="1" applyAlignment="1" applyProtection="1">
      <alignment horizontal="center" vertical="center"/>
    </xf>
    <xf numFmtId="0" fontId="49" fillId="0" borderId="287" xfId="7" applyNumberFormat="1" applyFont="1" applyFill="1" applyBorder="1" applyAlignment="1" applyProtection="1">
      <alignment horizontal="center" vertical="center"/>
    </xf>
    <xf numFmtId="0" fontId="49" fillId="0" borderId="288" xfId="7" applyNumberFormat="1" applyFont="1" applyFill="1" applyBorder="1" applyAlignment="1" applyProtection="1">
      <alignment horizontal="center" vertical="center"/>
    </xf>
    <xf numFmtId="0" fontId="47" fillId="0" borderId="286" xfId="7" applyNumberFormat="1" applyFont="1" applyFill="1" applyBorder="1" applyAlignment="1" applyProtection="1">
      <alignment horizontal="center" vertical="center"/>
    </xf>
    <xf numFmtId="0" fontId="47" fillId="0" borderId="287" xfId="7" applyNumberFormat="1" applyFont="1" applyFill="1" applyBorder="1" applyAlignment="1" applyProtection="1">
      <alignment horizontal="center" vertical="center"/>
    </xf>
    <xf numFmtId="0" fontId="47" fillId="0" borderId="288" xfId="7" applyNumberFormat="1" applyFont="1" applyFill="1" applyBorder="1" applyAlignment="1" applyProtection="1">
      <alignment horizontal="center" vertical="center"/>
    </xf>
    <xf numFmtId="0" fontId="47" fillId="0" borderId="259" xfId="7" applyNumberFormat="1" applyFont="1" applyFill="1" applyBorder="1" applyAlignment="1" applyProtection="1">
      <alignment horizontal="center"/>
    </xf>
    <xf numFmtId="0" fontId="47" fillId="0" borderId="260" xfId="7" applyNumberFormat="1" applyFont="1" applyFill="1" applyBorder="1" applyAlignment="1" applyProtection="1">
      <alignment horizontal="center"/>
    </xf>
    <xf numFmtId="0" fontId="47" fillId="0" borderId="294" xfId="7" applyNumberFormat="1" applyFont="1" applyFill="1" applyBorder="1" applyAlignment="1" applyProtection="1">
      <alignment horizontal="center"/>
    </xf>
    <xf numFmtId="0" fontId="47" fillId="0" borderId="295" xfId="7" applyNumberFormat="1" applyFont="1" applyFill="1" applyBorder="1" applyAlignment="1" applyProtection="1">
      <alignment horizontal="center"/>
    </xf>
    <xf numFmtId="0" fontId="47" fillId="0" borderId="261" xfId="7" applyNumberFormat="1" applyFont="1" applyFill="1" applyBorder="1" applyAlignment="1" applyProtection="1">
      <alignment horizontal="center"/>
    </xf>
    <xf numFmtId="0" fontId="47" fillId="0" borderId="296" xfId="7" applyNumberFormat="1" applyFont="1" applyFill="1" applyBorder="1" applyAlignment="1" applyProtection="1">
      <alignment horizontal="center" vertical="center"/>
    </xf>
    <xf numFmtId="0" fontId="47" fillId="0" borderId="260" xfId="7" applyNumberFormat="1" applyFont="1" applyFill="1" applyBorder="1" applyAlignment="1" applyProtection="1">
      <alignment horizontal="center" vertical="center"/>
    </xf>
    <xf numFmtId="0" fontId="49" fillId="0" borderId="260" xfId="7" applyNumberFormat="1" applyFont="1" applyFill="1" applyBorder="1" applyAlignment="1" applyProtection="1">
      <alignment horizontal="center" vertical="center"/>
    </xf>
    <xf numFmtId="0" fontId="47" fillId="0" borderId="297" xfId="7" applyNumberFormat="1" applyFont="1" applyFill="1" applyBorder="1" applyAlignment="1" applyProtection="1">
      <alignment horizontal="center"/>
    </xf>
    <xf numFmtId="0" fontId="45" fillId="0" borderId="0" xfId="0" applyNumberFormat="1" applyFont="1" applyBorder="1" applyProtection="1"/>
    <xf numFmtId="0" fontId="47" fillId="0" borderId="83" xfId="0" applyFont="1" applyBorder="1" applyAlignment="1" applyProtection="1">
      <alignment horizontal="center"/>
    </xf>
    <xf numFmtId="0" fontId="45" fillId="0" borderId="114" xfId="7" applyNumberFormat="1" applyFont="1" applyFill="1" applyBorder="1" applyAlignment="1" applyProtection="1">
      <alignment horizontal="left" vertical="top" indent="1"/>
    </xf>
    <xf numFmtId="0" fontId="45" fillId="0" borderId="105" xfId="7" applyNumberFormat="1" applyFont="1" applyBorder="1" applyAlignment="1" applyProtection="1">
      <alignment horizontal="left" vertical="top" indent="1"/>
    </xf>
    <xf numFmtId="0" fontId="45" fillId="0" borderId="21" xfId="7" applyNumberFormat="1" applyFont="1" applyFill="1" applyBorder="1" applyAlignment="1" applyProtection="1">
      <alignment horizontal="left" vertical="top" indent="1"/>
    </xf>
    <xf numFmtId="14" fontId="29" fillId="0" borderId="146" xfId="3" applyNumberFormat="1" applyFont="1" applyBorder="1" applyAlignment="1" applyProtection="1">
      <alignment horizontal="right" vertical="center" wrapText="1" indent="1"/>
    </xf>
    <xf numFmtId="2" fontId="29" fillId="0" borderId="78" xfId="3" applyNumberFormat="1" applyFont="1" applyBorder="1" applyAlignment="1" applyProtection="1">
      <alignment horizontal="right" vertical="center" wrapText="1" indent="1"/>
    </xf>
    <xf numFmtId="0" fontId="20" fillId="2" borderId="300" xfId="3" applyFont="1" applyFill="1" applyBorder="1" applyAlignment="1" applyProtection="1">
      <alignment horizontal="center" vertical="center" wrapText="1"/>
    </xf>
    <xf numFmtId="0" fontId="21" fillId="0" borderId="209" xfId="3" applyFont="1" applyBorder="1" applyAlignment="1" applyProtection="1">
      <alignment vertical="center" wrapText="1"/>
    </xf>
    <xf numFmtId="0" fontId="21" fillId="0" borderId="210" xfId="3" applyFont="1" applyBorder="1" applyAlignment="1" applyProtection="1">
      <alignment vertical="center" wrapText="1"/>
    </xf>
    <xf numFmtId="171" fontId="21" fillId="0" borderId="210" xfId="3" applyNumberFormat="1" applyFont="1" applyBorder="1" applyAlignment="1" applyProtection="1">
      <alignment horizontal="right" vertical="center" wrapText="1" indent="1"/>
    </xf>
    <xf numFmtId="0" fontId="21" fillId="0" borderId="195" xfId="3" applyFont="1" applyFill="1" applyBorder="1" applyAlignment="1" applyProtection="1">
      <alignment horizontal="right" vertical="center" indent="1"/>
    </xf>
    <xf numFmtId="0" fontId="21" fillId="0" borderId="74" xfId="3" applyFont="1" applyBorder="1" applyAlignment="1" applyProtection="1">
      <alignment vertical="center" wrapText="1"/>
    </xf>
    <xf numFmtId="171" fontId="21" fillId="0" borderId="74" xfId="3" applyNumberFormat="1" applyFont="1" applyBorder="1" applyAlignment="1" applyProtection="1">
      <alignment horizontal="right" vertical="center" wrapText="1" indent="1"/>
    </xf>
    <xf numFmtId="0" fontId="21" fillId="0" borderId="195" xfId="3" applyFont="1" applyBorder="1" applyAlignment="1" applyProtection="1">
      <alignment vertical="center" wrapText="1"/>
    </xf>
    <xf numFmtId="0" fontId="21" fillId="0" borderId="196" xfId="3" applyFont="1" applyBorder="1" applyAlignment="1" applyProtection="1">
      <alignment vertical="center" wrapText="1"/>
    </xf>
    <xf numFmtId="171" fontId="21" fillId="0" borderId="196" xfId="3" applyNumberFormat="1" applyFont="1" applyBorder="1" applyAlignment="1" applyProtection="1">
      <alignment horizontal="right" vertical="center" wrapText="1" indent="1"/>
    </xf>
    <xf numFmtId="0" fontId="19" fillId="0" borderId="69" xfId="3" applyFont="1" applyFill="1" applyBorder="1" applyAlignment="1" applyProtection="1">
      <alignment horizontal="right" vertical="center" indent="1"/>
    </xf>
    <xf numFmtId="0" fontId="19" fillId="0" borderId="50" xfId="3" applyFont="1" applyBorder="1" applyAlignment="1" applyProtection="1">
      <alignment vertical="center" wrapText="1"/>
    </xf>
    <xf numFmtId="171" fontId="19" fillId="0" borderId="50" xfId="3" applyNumberFormat="1" applyFont="1" applyBorder="1" applyAlignment="1" applyProtection="1">
      <alignment horizontal="right" vertical="center" wrapText="1" indent="1"/>
    </xf>
    <xf numFmtId="0" fontId="21" fillId="0" borderId="197" xfId="3" applyFont="1" applyBorder="1" applyAlignment="1" applyProtection="1">
      <alignment vertical="center" wrapText="1"/>
    </xf>
    <xf numFmtId="0" fontId="29" fillId="0" borderId="60" xfId="3" applyFont="1" applyBorder="1" applyAlignment="1" applyProtection="1">
      <alignment horizontal="left" vertical="top" wrapText="1" indent="1"/>
    </xf>
    <xf numFmtId="0" fontId="29" fillId="0" borderId="322" xfId="3" applyFont="1" applyBorder="1" applyAlignment="1" applyProtection="1">
      <alignment horizontal="left" vertical="top" wrapText="1" indent="1"/>
    </xf>
    <xf numFmtId="14" fontId="29" fillId="0" borderId="299" xfId="3" applyNumberFormat="1" applyFont="1" applyBorder="1" applyAlignment="1" applyProtection="1">
      <alignment horizontal="right" vertical="center" wrapText="1" indent="1"/>
    </xf>
    <xf numFmtId="2" fontId="29" fillId="0" borderId="302" xfId="3" applyNumberFormat="1" applyFont="1" applyBorder="1" applyAlignment="1" applyProtection="1">
      <alignment horizontal="right" vertical="center" wrapText="1" indent="1"/>
    </xf>
    <xf numFmtId="0" fontId="26" fillId="0" borderId="0" xfId="0" applyFont="1" applyAlignment="1">
      <alignment horizontal="left" vertical="top"/>
    </xf>
    <xf numFmtId="0" fontId="26" fillId="0" borderId="40" xfId="0" applyFont="1" applyBorder="1" applyAlignment="1">
      <alignment horizontal="left" vertical="top"/>
    </xf>
    <xf numFmtId="0" fontId="56" fillId="17" borderId="0" xfId="3" applyFont="1" applyFill="1"/>
    <xf numFmtId="0" fontId="21" fillId="0" borderId="192" xfId="3" applyFont="1" applyFill="1" applyBorder="1" applyAlignment="1" applyProtection="1">
      <alignment horizontal="left" vertical="center" wrapText="1" indent="1"/>
    </xf>
    <xf numFmtId="0" fontId="21" fillId="22" borderId="198" xfId="10" applyFont="1" applyFill="1" applyBorder="1" applyAlignment="1" applyProtection="1">
      <alignment vertical="center"/>
    </xf>
    <xf numFmtId="0" fontId="21" fillId="22" borderId="210" xfId="10" applyFont="1" applyFill="1" applyBorder="1" applyAlignment="1" applyProtection="1">
      <alignment vertical="center"/>
    </xf>
    <xf numFmtId="0" fontId="19" fillId="22" borderId="91" xfId="10" applyFont="1" applyFill="1" applyBorder="1" applyAlignment="1" applyProtection="1">
      <alignment horizontal="center" vertical="center" wrapText="1"/>
    </xf>
    <xf numFmtId="166" fontId="20" fillId="13" borderId="114" xfId="3" applyNumberFormat="1" applyFont="1" applyFill="1" applyBorder="1" applyAlignment="1" applyProtection="1">
      <alignment horizontal="right" vertical="center" indent="1"/>
    </xf>
    <xf numFmtId="166" fontId="20" fillId="13" borderId="105" xfId="3" applyNumberFormat="1" applyFont="1" applyFill="1" applyBorder="1" applyAlignment="1" applyProtection="1">
      <alignment horizontal="right" vertical="center" indent="1"/>
    </xf>
    <xf numFmtId="166" fontId="20" fillId="13" borderId="106" xfId="3" applyNumberFormat="1" applyFont="1" applyFill="1" applyBorder="1" applyAlignment="1" applyProtection="1">
      <alignment horizontal="right" vertical="center" indent="1"/>
    </xf>
    <xf numFmtId="166" fontId="20" fillId="13" borderId="115" xfId="3" applyNumberFormat="1" applyFont="1" applyFill="1" applyBorder="1" applyAlignment="1" applyProtection="1">
      <alignment horizontal="right" vertical="center" indent="1"/>
    </xf>
    <xf numFmtId="166" fontId="20" fillId="13" borderId="116" xfId="3" applyNumberFormat="1" applyFont="1" applyFill="1" applyBorder="1" applyAlignment="1" applyProtection="1">
      <alignment horizontal="right" vertical="center" indent="1"/>
    </xf>
    <xf numFmtId="166" fontId="20" fillId="13" borderId="265" xfId="3" applyNumberFormat="1" applyFont="1" applyFill="1" applyBorder="1" applyAlignment="1" applyProtection="1">
      <alignment horizontal="right" vertical="center" indent="1"/>
    </xf>
    <xf numFmtId="166" fontId="20" fillId="13" borderId="21" xfId="3" applyNumberFormat="1" applyFont="1" applyFill="1" applyBorder="1" applyAlignment="1" applyProtection="1">
      <alignment horizontal="right" vertical="center" indent="1"/>
    </xf>
    <xf numFmtId="0" fontId="20" fillId="2" borderId="255" xfId="0" applyFont="1" applyFill="1" applyBorder="1" applyAlignment="1" applyProtection="1">
      <alignment horizontal="center" vertical="center" wrapText="1"/>
    </xf>
    <xf numFmtId="0" fontId="20" fillId="2" borderId="9" xfId="3" applyFont="1" applyFill="1" applyBorder="1" applyAlignment="1" applyProtection="1">
      <alignment horizontal="center" vertical="center" wrapText="1"/>
    </xf>
    <xf numFmtId="0" fontId="20" fillId="0" borderId="298" xfId="3" applyFont="1" applyBorder="1" applyProtection="1"/>
    <xf numFmtId="0" fontId="20" fillId="0" borderId="322" xfId="3" applyFont="1" applyBorder="1" applyAlignment="1" applyProtection="1">
      <alignment horizontal="left" indent="1"/>
    </xf>
    <xf numFmtId="2" fontId="21" fillId="6" borderId="112" xfId="3" applyNumberFormat="1" applyFont="1" applyFill="1" applyBorder="1" applyAlignment="1" applyProtection="1">
      <alignment horizontal="right" vertical="center" indent="1"/>
    </xf>
    <xf numFmtId="166" fontId="21" fillId="0" borderId="6" xfId="3" applyNumberFormat="1" applyFont="1" applyFill="1" applyBorder="1" applyAlignment="1" applyProtection="1">
      <alignment horizontal="right" vertical="center" indent="1"/>
    </xf>
    <xf numFmtId="2" fontId="21" fillId="6" borderId="109" xfId="3" applyNumberFormat="1" applyFont="1" applyFill="1" applyBorder="1" applyAlignment="1" applyProtection="1">
      <alignment horizontal="right" vertical="center" indent="1"/>
    </xf>
    <xf numFmtId="166" fontId="21" fillId="0" borderId="10" xfId="3" applyNumberFormat="1" applyFont="1" applyFill="1" applyBorder="1" applyAlignment="1" applyProtection="1">
      <alignment horizontal="right" vertical="center" indent="1"/>
    </xf>
    <xf numFmtId="0" fontId="21" fillId="0" borderId="192" xfId="3" applyFont="1" applyBorder="1" applyAlignment="1" applyProtection="1">
      <alignment horizontal="right" vertical="center" wrapText="1" indent="1"/>
    </xf>
    <xf numFmtId="0" fontId="21" fillId="0" borderId="193" xfId="3" applyFont="1" applyBorder="1" applyAlignment="1" applyProtection="1">
      <alignment horizontal="right" vertical="center" wrapText="1" indent="1"/>
    </xf>
    <xf numFmtId="166" fontId="20" fillId="9" borderId="188" xfId="3" applyNumberFormat="1" applyFont="1" applyFill="1" applyBorder="1" applyAlignment="1" applyProtection="1">
      <alignment horizontal="right" vertical="center" indent="1"/>
    </xf>
    <xf numFmtId="166" fontId="21" fillId="0" borderId="193" xfId="3" applyNumberFormat="1" applyFont="1" applyFill="1" applyBorder="1" applyAlignment="1" applyProtection="1">
      <alignment horizontal="right" vertical="center" indent="1"/>
    </xf>
    <xf numFmtId="14" fontId="21" fillId="6" borderId="206" xfId="3" applyNumberFormat="1" applyFont="1" applyFill="1" applyBorder="1" applyAlignment="1" applyProtection="1">
      <alignment horizontal="right" vertical="center" indent="1"/>
    </xf>
    <xf numFmtId="14" fontId="21" fillId="6" borderId="230" xfId="3" applyNumberFormat="1" applyFont="1" applyFill="1" applyBorder="1" applyAlignment="1" applyProtection="1">
      <alignment horizontal="right" vertical="center" indent="1"/>
    </xf>
    <xf numFmtId="166" fontId="21" fillId="0" borderId="230" xfId="3" applyNumberFormat="1" applyFont="1" applyFill="1" applyBorder="1" applyAlignment="1" applyProtection="1">
      <alignment horizontal="right" vertical="center" indent="1"/>
    </xf>
    <xf numFmtId="2" fontId="21" fillId="6" borderId="230" xfId="3" applyNumberFormat="1" applyFont="1" applyFill="1" applyBorder="1" applyAlignment="1" applyProtection="1">
      <alignment horizontal="right" vertical="center" indent="1"/>
    </xf>
    <xf numFmtId="166" fontId="21" fillId="0" borderId="219" xfId="3" applyNumberFormat="1" applyFont="1" applyFill="1" applyBorder="1" applyAlignment="1" applyProtection="1">
      <alignment horizontal="right" vertical="center" indent="1"/>
    </xf>
    <xf numFmtId="0" fontId="21" fillId="0" borderId="211" xfId="3" applyFont="1" applyBorder="1" applyAlignment="1" applyProtection="1">
      <alignment horizontal="left" vertical="center" indent="1"/>
    </xf>
    <xf numFmtId="0" fontId="21" fillId="0" borderId="197" xfId="3" applyFont="1" applyBorder="1" applyAlignment="1" applyProtection="1">
      <alignment horizontal="left" vertical="center" wrapText="1" indent="1"/>
    </xf>
    <xf numFmtId="0" fontId="21" fillId="0" borderId="197" xfId="3" applyFont="1" applyBorder="1" applyAlignment="1" applyProtection="1">
      <alignment horizontal="right" vertical="center" wrapText="1" indent="1"/>
    </xf>
    <xf numFmtId="0" fontId="21" fillId="0" borderId="198" xfId="3" applyFont="1" applyBorder="1" applyAlignment="1" applyProtection="1">
      <alignment horizontal="right" vertical="center" wrapText="1" indent="1"/>
    </xf>
    <xf numFmtId="166" fontId="20" fillId="9" borderId="183" xfId="3" applyNumberFormat="1" applyFont="1" applyFill="1" applyBorder="1" applyAlignment="1" applyProtection="1">
      <alignment horizontal="right" vertical="center" indent="1"/>
    </xf>
    <xf numFmtId="166" fontId="21" fillId="0" borderId="211" xfId="3" applyNumberFormat="1" applyFont="1" applyFill="1" applyBorder="1" applyAlignment="1" applyProtection="1">
      <alignment horizontal="right" vertical="center" indent="1"/>
    </xf>
    <xf numFmtId="166" fontId="21" fillId="0" borderId="198" xfId="3" applyNumberFormat="1" applyFont="1" applyFill="1" applyBorder="1" applyAlignment="1" applyProtection="1">
      <alignment horizontal="right" vertical="center" indent="1"/>
    </xf>
    <xf numFmtId="14" fontId="21" fillId="6" borderId="211" xfId="3" applyNumberFormat="1" applyFont="1" applyFill="1" applyBorder="1" applyAlignment="1" applyProtection="1">
      <alignment horizontal="right" vertical="center" indent="1"/>
    </xf>
    <xf numFmtId="2" fontId="21" fillId="6" borderId="119" xfId="3" applyNumberFormat="1" applyFont="1" applyFill="1" applyBorder="1" applyAlignment="1" applyProtection="1">
      <alignment horizontal="right" vertical="center" indent="1"/>
    </xf>
    <xf numFmtId="166" fontId="21" fillId="0" borderId="323" xfId="3" applyNumberFormat="1" applyFont="1" applyFill="1" applyBorder="1" applyAlignment="1" applyProtection="1">
      <alignment horizontal="right" vertical="center" indent="1"/>
    </xf>
    <xf numFmtId="0" fontId="21" fillId="0" borderId="209" xfId="3" applyFont="1" applyBorder="1" applyAlignment="1" applyProtection="1">
      <alignment horizontal="right" vertical="center" wrapText="1" indent="1"/>
    </xf>
    <xf numFmtId="0" fontId="21" fillId="0" borderId="209" xfId="3" applyFont="1" applyFill="1" applyBorder="1" applyAlignment="1" applyProtection="1">
      <alignment horizontal="right" vertical="center" indent="1"/>
    </xf>
    <xf numFmtId="0" fontId="21" fillId="0" borderId="210" xfId="3" applyFont="1" applyBorder="1" applyAlignment="1" applyProtection="1">
      <alignment horizontal="right" vertical="center" wrapText="1" indent="1"/>
    </xf>
    <xf numFmtId="166" fontId="21" fillId="0" borderId="210" xfId="3" applyNumberFormat="1" applyFont="1" applyFill="1" applyBorder="1" applyAlignment="1" applyProtection="1">
      <alignment horizontal="right" vertical="center" indent="1"/>
    </xf>
    <xf numFmtId="14" fontId="21" fillId="6" borderId="208" xfId="3" applyNumberFormat="1" applyFont="1" applyFill="1" applyBorder="1" applyAlignment="1" applyProtection="1">
      <alignment horizontal="right" vertical="center" indent="1"/>
    </xf>
    <xf numFmtId="166" fontId="21" fillId="0" borderId="208" xfId="3" applyNumberFormat="1" applyFont="1" applyFill="1" applyBorder="1" applyAlignment="1" applyProtection="1">
      <alignment horizontal="right" vertical="center" indent="1"/>
    </xf>
    <xf numFmtId="2" fontId="21" fillId="6" borderId="118" xfId="3" applyNumberFormat="1" applyFont="1" applyFill="1" applyBorder="1" applyAlignment="1" applyProtection="1">
      <alignment horizontal="right" vertical="center" indent="1"/>
    </xf>
    <xf numFmtId="166" fontId="21" fillId="0" borderId="231" xfId="3" applyNumberFormat="1" applyFont="1" applyFill="1" applyBorder="1" applyAlignment="1" applyProtection="1">
      <alignment horizontal="right" vertical="center" indent="1"/>
    </xf>
    <xf numFmtId="166" fontId="21" fillId="0" borderId="0" xfId="3" applyNumberFormat="1" applyFont="1" applyFill="1" applyBorder="1" applyAlignment="1" applyProtection="1">
      <alignment horizontal="right" vertical="center" indent="1"/>
    </xf>
    <xf numFmtId="0" fontId="21" fillId="0" borderId="197" xfId="3" applyFont="1" applyBorder="1" applyAlignment="1" applyProtection="1">
      <alignment vertical="center"/>
    </xf>
    <xf numFmtId="0" fontId="19" fillId="0" borderId="206" xfId="3" applyFont="1" applyBorder="1" applyAlignment="1">
      <alignment horizontal="left" vertical="center" indent="1"/>
    </xf>
    <xf numFmtId="0" fontId="19" fillId="0" borderId="192" xfId="3" applyFont="1" applyBorder="1" applyAlignment="1">
      <alignment horizontal="left" vertical="center" wrapText="1" indent="1"/>
    </xf>
    <xf numFmtId="166" fontId="21" fillId="0" borderId="97" xfId="3" applyNumberFormat="1" applyFont="1" applyFill="1" applyBorder="1" applyAlignment="1" applyProtection="1">
      <alignment horizontal="right" vertical="center" indent="1"/>
    </xf>
    <xf numFmtId="166" fontId="21" fillId="0" borderId="98" xfId="3" applyNumberFormat="1" applyFont="1" applyFill="1" applyBorder="1" applyAlignment="1" applyProtection="1">
      <alignment horizontal="right" vertical="center" indent="1"/>
    </xf>
    <xf numFmtId="0" fontId="21" fillId="0" borderId="193" xfId="3" applyFont="1" applyFill="1" applyBorder="1" applyAlignment="1" applyProtection="1">
      <alignment horizontal="right" vertical="center" indent="1"/>
    </xf>
    <xf numFmtId="0" fontId="21" fillId="0" borderId="210" xfId="3" applyFont="1" applyFill="1" applyBorder="1" applyAlignment="1" applyProtection="1">
      <alignment horizontal="right" vertical="center" indent="1"/>
    </xf>
    <xf numFmtId="166" fontId="21" fillId="0" borderId="2" xfId="3" applyNumberFormat="1" applyFont="1" applyFill="1" applyBorder="1" applyAlignment="1" applyProtection="1">
      <alignment horizontal="right" vertical="center" indent="1"/>
    </xf>
    <xf numFmtId="166" fontId="20" fillId="13" borderId="188" xfId="3" applyNumberFormat="1" applyFont="1" applyFill="1" applyBorder="1" applyAlignment="1" applyProtection="1">
      <alignment horizontal="right" vertical="center" indent="1"/>
    </xf>
    <xf numFmtId="166" fontId="20" fillId="13" borderId="183" xfId="3" applyNumberFormat="1" applyFont="1" applyFill="1" applyBorder="1" applyAlignment="1" applyProtection="1">
      <alignment horizontal="right" vertical="center" indent="1"/>
    </xf>
    <xf numFmtId="0" fontId="18" fillId="13" borderId="33" xfId="0" applyFont="1" applyFill="1" applyBorder="1" applyAlignment="1" applyProtection="1"/>
    <xf numFmtId="0" fontId="0" fillId="0" borderId="9" xfId="0" applyBorder="1" applyAlignment="1"/>
    <xf numFmtId="0" fontId="0" fillId="0" borderId="34" xfId="0" applyBorder="1" applyAlignment="1"/>
    <xf numFmtId="0" fontId="18" fillId="13" borderId="9" xfId="0" applyFont="1" applyFill="1" applyBorder="1" applyAlignment="1" applyProtection="1"/>
    <xf numFmtId="0" fontId="18" fillId="13" borderId="34" xfId="0" applyFont="1" applyFill="1" applyBorder="1" applyAlignment="1" applyProtection="1"/>
    <xf numFmtId="0" fontId="18" fillId="0" borderId="9" xfId="0" applyFont="1" applyBorder="1" applyAlignment="1" applyProtection="1">
      <alignment vertical="top" wrapText="1"/>
    </xf>
    <xf numFmtId="0" fontId="18" fillId="0" borderId="33" xfId="0" applyFont="1" applyBorder="1" applyAlignment="1" applyProtection="1">
      <alignment vertical="top" wrapText="1"/>
    </xf>
    <xf numFmtId="0" fontId="18" fillId="0" borderId="34" xfId="0" applyFont="1" applyBorder="1" applyAlignment="1" applyProtection="1">
      <alignment vertical="top" wrapText="1"/>
    </xf>
    <xf numFmtId="0" fontId="18" fillId="0" borderId="61" xfId="0" applyFont="1" applyBorder="1" applyAlignment="1" applyProtection="1">
      <alignment vertical="top" wrapText="1"/>
    </xf>
    <xf numFmtId="0" fontId="18" fillId="0" borderId="2" xfId="0" applyFont="1" applyBorder="1" applyAlignment="1" applyProtection="1">
      <alignment vertical="top" wrapText="1"/>
    </xf>
    <xf numFmtId="0" fontId="18" fillId="0" borderId="83" xfId="0" applyFont="1" applyBorder="1" applyAlignment="1" applyProtection="1">
      <alignment vertical="top" wrapText="1"/>
    </xf>
    <xf numFmtId="0" fontId="0" fillId="0" borderId="9" xfId="0" applyBorder="1" applyAlignment="1">
      <alignment vertical="top" wrapText="1"/>
    </xf>
    <xf numFmtId="0" fontId="0" fillId="0" borderId="34" xfId="0" applyBorder="1" applyAlignment="1">
      <alignment vertical="top" wrapText="1"/>
    </xf>
    <xf numFmtId="11" fontId="20" fillId="13" borderId="19" xfId="7" applyNumberFormat="1" applyFont="1" applyFill="1" applyBorder="1" applyAlignment="1" applyProtection="1">
      <alignment horizontal="center"/>
    </xf>
    <xf numFmtId="0" fontId="0" fillId="0" borderId="33" xfId="0" applyBorder="1" applyProtection="1"/>
    <xf numFmtId="14" fontId="21" fillId="0" borderId="2" xfId="0" applyNumberFormat="1" applyFont="1" applyBorder="1" applyAlignment="1" applyProtection="1">
      <alignment horizontal="left" indent="1"/>
    </xf>
    <xf numFmtId="14" fontId="10" fillId="0" borderId="0" xfId="3" applyNumberFormat="1" applyProtection="1"/>
    <xf numFmtId="0" fontId="21" fillId="0" borderId="0" xfId="0" applyFont="1" applyAlignment="1" applyProtection="1">
      <alignment wrapText="1"/>
    </xf>
    <xf numFmtId="0" fontId="21" fillId="0" borderId="0" xfId="0" applyFont="1" applyAlignment="1" applyProtection="1">
      <alignment horizontal="center" wrapText="1"/>
    </xf>
    <xf numFmtId="14" fontId="21" fillId="0" borderId="0" xfId="0" applyNumberFormat="1" applyFont="1" applyAlignment="1" applyProtection="1">
      <alignment wrapText="1"/>
    </xf>
    <xf numFmtId="0" fontId="33" fillId="17" borderId="33" xfId="3" applyFont="1" applyFill="1" applyBorder="1" applyAlignment="1" applyProtection="1">
      <alignment wrapText="1"/>
    </xf>
    <xf numFmtId="0" fontId="33" fillId="17" borderId="9" xfId="3" applyFont="1" applyFill="1" applyBorder="1" applyAlignment="1" applyProtection="1">
      <alignment wrapText="1"/>
    </xf>
    <xf numFmtId="0" fontId="33" fillId="17" borderId="34" xfId="3" applyFont="1" applyFill="1" applyBorder="1" applyAlignment="1" applyProtection="1">
      <alignment wrapText="1"/>
    </xf>
    <xf numFmtId="0" fontId="20" fillId="2" borderId="299" xfId="3" applyFont="1" applyFill="1" applyBorder="1" applyAlignment="1" applyProtection="1">
      <alignment horizontal="center" vertical="center" wrapText="1"/>
    </xf>
    <xf numFmtId="0" fontId="20" fillId="2" borderId="301" xfId="3" applyFont="1" applyFill="1" applyBorder="1" applyAlignment="1" applyProtection="1">
      <alignment horizontal="center" vertical="center" wrapText="1"/>
    </xf>
    <xf numFmtId="0" fontId="20" fillId="2" borderId="303" xfId="3" applyFont="1" applyFill="1" applyBorder="1" applyAlignment="1" applyProtection="1">
      <alignment horizontal="center" vertical="center" wrapText="1"/>
    </xf>
    <xf numFmtId="0" fontId="20" fillId="2" borderId="304" xfId="3" applyFont="1" applyFill="1" applyBorder="1" applyAlignment="1" applyProtection="1">
      <alignment horizontal="center" vertical="center" wrapText="1"/>
    </xf>
    <xf numFmtId="14" fontId="20" fillId="2" borderId="300" xfId="3" applyNumberFormat="1" applyFont="1" applyFill="1" applyBorder="1" applyAlignment="1" applyProtection="1">
      <alignment horizontal="center" vertical="center" wrapText="1"/>
    </xf>
    <xf numFmtId="0" fontId="21" fillId="0" borderId="56" xfId="3" applyFont="1" applyFill="1" applyBorder="1" applyAlignment="1" applyProtection="1">
      <alignment horizontal="left" vertical="center" indent="1"/>
    </xf>
    <xf numFmtId="0" fontId="21" fillId="0" borderId="17" xfId="3" applyFont="1" applyFill="1" applyBorder="1" applyAlignment="1" applyProtection="1">
      <alignment horizontal="left" vertical="center" wrapText="1" indent="1"/>
    </xf>
    <xf numFmtId="3" fontId="11" fillId="18" borderId="305" xfId="3" applyNumberFormat="1" applyFont="1" applyFill="1" applyBorder="1" applyAlignment="1" applyProtection="1">
      <alignment horizontal="right" vertical="center" wrapText="1" indent="1"/>
    </xf>
    <xf numFmtId="2" fontId="20" fillId="13" borderId="306" xfId="3" applyNumberFormat="1" applyFont="1" applyFill="1" applyBorder="1" applyAlignment="1" applyProtection="1">
      <alignment horizontal="right" vertical="center" wrapText="1" indent="1"/>
    </xf>
    <xf numFmtId="2" fontId="20" fillId="13" borderId="307" xfId="3" applyNumberFormat="1" applyFont="1" applyFill="1" applyBorder="1" applyAlignment="1" applyProtection="1">
      <alignment horizontal="right" vertical="center" wrapText="1" indent="1"/>
    </xf>
    <xf numFmtId="14" fontId="11" fillId="18" borderId="308" xfId="3" applyNumberFormat="1" applyFont="1" applyFill="1" applyBorder="1" applyAlignment="1" applyProtection="1">
      <alignment horizontal="right" vertical="center" wrapText="1" indent="1"/>
    </xf>
    <xf numFmtId="3" fontId="20" fillId="13" borderId="309" xfId="3" applyNumberFormat="1" applyFont="1" applyFill="1" applyBorder="1" applyAlignment="1" applyProtection="1">
      <alignment horizontal="right" vertical="center" wrapText="1" indent="1"/>
    </xf>
    <xf numFmtId="2" fontId="20" fillId="0" borderId="306" xfId="3" applyNumberFormat="1" applyFont="1" applyFill="1" applyBorder="1" applyAlignment="1" applyProtection="1">
      <alignment horizontal="right" vertical="center" wrapText="1" indent="1"/>
    </xf>
    <xf numFmtId="4" fontId="20" fillId="0" borderId="306" xfId="3" applyNumberFormat="1" applyFont="1" applyFill="1" applyBorder="1" applyAlignment="1" applyProtection="1">
      <alignment horizontal="right" vertical="center" wrapText="1" indent="1"/>
    </xf>
    <xf numFmtId="170" fontId="20" fillId="0" borderId="310" xfId="3" applyNumberFormat="1" applyFont="1" applyFill="1" applyBorder="1" applyAlignment="1" applyProtection="1">
      <alignment horizontal="right" vertical="center" wrapText="1" indent="1"/>
    </xf>
    <xf numFmtId="3" fontId="20" fillId="0" borderId="306" xfId="3" applyNumberFormat="1" applyFont="1" applyFill="1" applyBorder="1" applyAlignment="1" applyProtection="1">
      <alignment horizontal="right" vertical="center" wrapText="1" indent="1"/>
    </xf>
    <xf numFmtId="3" fontId="20" fillId="23" borderId="325" xfId="3" applyNumberFormat="1" applyFont="1" applyFill="1" applyBorder="1" applyAlignment="1" applyProtection="1">
      <alignment horizontal="right" vertical="center" wrapText="1" indent="1"/>
    </xf>
    <xf numFmtId="0" fontId="19" fillId="0" borderId="57" xfId="3" applyFont="1" applyFill="1" applyBorder="1" applyAlignment="1" applyProtection="1">
      <alignment horizontal="left" vertical="center" indent="1"/>
    </xf>
    <xf numFmtId="0" fontId="19" fillId="0" borderId="19" xfId="3" applyFont="1" applyFill="1" applyBorder="1" applyAlignment="1" applyProtection="1">
      <alignment horizontal="left" vertical="center" wrapText="1" indent="1"/>
    </xf>
    <xf numFmtId="0" fontId="19" fillId="0" borderId="19" xfId="3" applyFont="1" applyBorder="1" applyAlignment="1" applyProtection="1">
      <alignment horizontal="left" vertical="center" wrapText="1" indent="1"/>
    </xf>
    <xf numFmtId="0" fontId="19" fillId="0" borderId="19" xfId="3" applyFont="1" applyBorder="1" applyAlignment="1" applyProtection="1">
      <alignment vertical="center" wrapText="1"/>
    </xf>
    <xf numFmtId="3" fontId="11" fillId="18" borderId="165" xfId="3" applyNumberFormat="1" applyFont="1" applyFill="1" applyBorder="1" applyAlignment="1" applyProtection="1">
      <alignment horizontal="right" vertical="center" wrapText="1" indent="1"/>
    </xf>
    <xf numFmtId="2" fontId="20" fillId="13" borderId="138" xfId="3" applyNumberFormat="1" applyFont="1" applyFill="1" applyBorder="1" applyAlignment="1" applyProtection="1">
      <alignment horizontal="right" vertical="center" wrapText="1" indent="1"/>
    </xf>
    <xf numFmtId="2" fontId="20" fillId="13" borderId="139" xfId="3" applyNumberFormat="1" applyFont="1" applyFill="1" applyBorder="1" applyAlignment="1" applyProtection="1">
      <alignment horizontal="right" vertical="center" wrapText="1" indent="1"/>
    </xf>
    <xf numFmtId="14" fontId="20" fillId="13" borderId="166" xfId="3" applyNumberFormat="1" applyFont="1" applyFill="1" applyBorder="1" applyAlignment="1" applyProtection="1">
      <alignment horizontal="right" vertical="center" wrapText="1" indent="1"/>
    </xf>
    <xf numFmtId="3" fontId="20" fillId="13" borderId="167" xfId="3" applyNumberFormat="1" applyFont="1" applyFill="1" applyBorder="1" applyAlignment="1" applyProtection="1">
      <alignment horizontal="right" vertical="center" wrapText="1" indent="1"/>
    </xf>
    <xf numFmtId="2" fontId="20" fillId="0" borderId="138" xfId="3" applyNumberFormat="1" applyFont="1" applyFill="1" applyBorder="1" applyAlignment="1" applyProtection="1">
      <alignment horizontal="right" vertical="center" wrapText="1" indent="1"/>
    </xf>
    <xf numFmtId="4" fontId="20" fillId="0" borderId="138" xfId="3" applyNumberFormat="1" applyFont="1" applyFill="1" applyBorder="1" applyAlignment="1" applyProtection="1">
      <alignment horizontal="right" vertical="center" wrapText="1" indent="1"/>
    </xf>
    <xf numFmtId="3" fontId="20" fillId="0" borderId="138" xfId="3" applyNumberFormat="1" applyFont="1" applyFill="1" applyBorder="1" applyAlignment="1" applyProtection="1">
      <alignment horizontal="right" vertical="center" wrapText="1" indent="1"/>
    </xf>
    <xf numFmtId="170" fontId="20" fillId="0" borderId="168" xfId="3" applyNumberFormat="1" applyFont="1" applyFill="1" applyBorder="1" applyAlignment="1" applyProtection="1">
      <alignment horizontal="right" vertical="center" wrapText="1" indent="1"/>
    </xf>
    <xf numFmtId="3" fontId="20" fillId="23" borderId="326" xfId="3" applyNumberFormat="1" applyFont="1" applyFill="1" applyBorder="1" applyAlignment="1" applyProtection="1">
      <alignment horizontal="right" vertical="center" wrapText="1" indent="1"/>
    </xf>
    <xf numFmtId="0" fontId="21" fillId="0" borderId="206" xfId="3" applyFont="1" applyFill="1" applyBorder="1" applyAlignment="1" applyProtection="1">
      <alignment horizontal="left" vertical="center" indent="1"/>
    </xf>
    <xf numFmtId="0" fontId="21" fillId="0" borderId="212" xfId="3" applyFont="1" applyFill="1" applyBorder="1" applyAlignment="1" applyProtection="1">
      <alignment horizontal="left" vertical="center" indent="1"/>
    </xf>
    <xf numFmtId="0" fontId="21" fillId="0" borderId="195" xfId="3" applyFont="1" applyFill="1" applyBorder="1" applyAlignment="1" applyProtection="1">
      <alignment horizontal="left" vertical="center" wrapText="1" indent="1"/>
    </xf>
    <xf numFmtId="3" fontId="11" fillId="18" borderId="311" xfId="3" applyNumberFormat="1" applyFont="1" applyFill="1" applyBorder="1" applyAlignment="1" applyProtection="1">
      <alignment horizontal="right" vertical="center" wrapText="1" indent="1"/>
    </xf>
    <xf numFmtId="2" fontId="20" fillId="13" borderId="312" xfId="3" applyNumberFormat="1" applyFont="1" applyFill="1" applyBorder="1" applyAlignment="1" applyProtection="1">
      <alignment horizontal="right" vertical="center" wrapText="1" indent="1"/>
    </xf>
    <xf numFmtId="2" fontId="20" fillId="13" borderId="313" xfId="3" applyNumberFormat="1" applyFont="1" applyFill="1" applyBorder="1" applyAlignment="1" applyProtection="1">
      <alignment horizontal="right" vertical="center" wrapText="1" indent="1"/>
    </xf>
    <xf numFmtId="14" fontId="20" fillId="13" borderId="314" xfId="3" applyNumberFormat="1" applyFont="1" applyFill="1" applyBorder="1" applyAlignment="1" applyProtection="1">
      <alignment horizontal="right" vertical="center" wrapText="1" indent="1"/>
    </xf>
    <xf numFmtId="3" fontId="20" fillId="13" borderId="315" xfId="3" applyNumberFormat="1" applyFont="1" applyFill="1" applyBorder="1" applyAlignment="1" applyProtection="1">
      <alignment horizontal="right" vertical="center" wrapText="1" indent="1"/>
    </xf>
    <xf numFmtId="2" fontId="20" fillId="0" borderId="312" xfId="3" applyNumberFormat="1" applyFont="1" applyFill="1" applyBorder="1" applyAlignment="1" applyProtection="1">
      <alignment horizontal="right" vertical="center" wrapText="1" indent="1"/>
    </xf>
    <xf numFmtId="4" fontId="20" fillId="0" borderId="312" xfId="3" applyNumberFormat="1" applyFont="1" applyFill="1" applyBorder="1" applyAlignment="1" applyProtection="1">
      <alignment horizontal="right" vertical="center" wrapText="1" indent="1"/>
    </xf>
    <xf numFmtId="3" fontId="20" fillId="0" borderId="312" xfId="3" applyNumberFormat="1" applyFont="1" applyFill="1" applyBorder="1" applyAlignment="1" applyProtection="1">
      <alignment horizontal="right" vertical="center" wrapText="1" indent="1"/>
    </xf>
    <xf numFmtId="170" fontId="20" fillId="0" borderId="316" xfId="3" applyNumberFormat="1" applyFont="1" applyFill="1" applyBorder="1" applyAlignment="1" applyProtection="1">
      <alignment horizontal="right" vertical="center" wrapText="1" indent="1"/>
    </xf>
    <xf numFmtId="3" fontId="20" fillId="23" borderId="327" xfId="3" applyNumberFormat="1" applyFont="1" applyFill="1" applyBorder="1" applyAlignment="1" applyProtection="1">
      <alignment horizontal="right" vertical="center" wrapText="1" indent="1"/>
    </xf>
    <xf numFmtId="14" fontId="20" fillId="13" borderId="308" xfId="3" applyNumberFormat="1" applyFont="1" applyFill="1" applyBorder="1" applyAlignment="1" applyProtection="1">
      <alignment horizontal="right" vertical="center" wrapText="1" indent="1"/>
    </xf>
    <xf numFmtId="0" fontId="21" fillId="0" borderId="211" xfId="3" applyFont="1" applyFill="1" applyBorder="1" applyAlignment="1" applyProtection="1">
      <alignment horizontal="left" vertical="center" indent="1"/>
    </xf>
    <xf numFmtId="0" fontId="21" fillId="0" borderId="197" xfId="3" applyFont="1" applyFill="1" applyBorder="1" applyAlignment="1" applyProtection="1">
      <alignment horizontal="left" vertical="center" wrapText="1" indent="1"/>
    </xf>
    <xf numFmtId="0" fontId="21" fillId="0" borderId="195" xfId="3" applyFont="1" applyBorder="1" applyAlignment="1" applyProtection="1">
      <alignment horizontal="left" vertical="center" wrapText="1" indent="1"/>
    </xf>
    <xf numFmtId="0" fontId="21" fillId="0" borderId="146" xfId="3" applyFont="1" applyFill="1" applyBorder="1" applyAlignment="1" applyProtection="1">
      <alignment horizontal="left" vertical="center" indent="1"/>
    </xf>
    <xf numFmtId="0" fontId="21" fillId="0" borderId="130" xfId="3" applyFont="1" applyFill="1" applyBorder="1" applyAlignment="1" applyProtection="1">
      <alignment horizontal="left" vertical="center" wrapText="1" indent="1"/>
    </xf>
    <xf numFmtId="0" fontId="19" fillId="0" borderId="206" xfId="3" applyFont="1" applyFill="1" applyBorder="1" applyAlignment="1" applyProtection="1">
      <alignment horizontal="left" vertical="center" indent="1"/>
    </xf>
    <xf numFmtId="0" fontId="19" fillId="0" borderId="192" xfId="3" applyFont="1" applyFill="1" applyBorder="1" applyAlignment="1" applyProtection="1">
      <alignment horizontal="left" vertical="center" wrapText="1" indent="1"/>
    </xf>
    <xf numFmtId="0" fontId="19" fillId="0" borderId="197" xfId="3" applyFont="1" applyFill="1" applyBorder="1" applyAlignment="1" applyProtection="1">
      <alignment horizontal="left" vertical="center" wrapText="1" indent="1"/>
    </xf>
    <xf numFmtId="0" fontId="19" fillId="0" borderId="197" xfId="3" applyFont="1" applyBorder="1" applyAlignment="1" applyProtection="1">
      <alignment horizontal="left" vertical="center" wrapText="1" indent="1"/>
    </xf>
    <xf numFmtId="0" fontId="19" fillId="0" borderId="211" xfId="3" applyFont="1" applyFill="1" applyBorder="1" applyAlignment="1" applyProtection="1">
      <alignment horizontal="left" vertical="center" indent="1"/>
    </xf>
    <xf numFmtId="0" fontId="27" fillId="0" borderId="197" xfId="3" applyFont="1" applyFill="1" applyBorder="1" applyAlignment="1" applyProtection="1">
      <alignment horizontal="left" vertical="center" wrapText="1" indent="1"/>
    </xf>
    <xf numFmtId="0" fontId="11" fillId="0" borderId="18" xfId="3" applyFont="1" applyBorder="1" applyProtection="1"/>
    <xf numFmtId="0" fontId="11" fillId="0" borderId="66" xfId="3" applyFont="1" applyBorder="1" applyAlignment="1" applyProtection="1">
      <alignment horizontal="left" indent="1"/>
    </xf>
    <xf numFmtId="0" fontId="19" fillId="0" borderId="144" xfId="3" applyFont="1" applyFill="1" applyBorder="1" applyAlignment="1" applyProtection="1">
      <alignment horizontal="left" vertical="center" indent="1"/>
    </xf>
    <xf numFmtId="0" fontId="19" fillId="0" borderId="69" xfId="3" applyFont="1" applyFill="1" applyBorder="1" applyAlignment="1" applyProtection="1">
      <alignment horizontal="left" vertical="center" wrapText="1" indent="1"/>
    </xf>
    <xf numFmtId="0" fontId="19" fillId="0" borderId="69" xfId="3" applyFont="1" applyBorder="1" applyAlignment="1" applyProtection="1">
      <alignment horizontal="left" vertical="center" wrapText="1" indent="1"/>
    </xf>
    <xf numFmtId="3" fontId="11" fillId="18" borderId="134" xfId="3" applyNumberFormat="1" applyFont="1" applyFill="1" applyBorder="1" applyAlignment="1" applyProtection="1">
      <alignment horizontal="right" vertical="center" wrapText="1" indent="1"/>
    </xf>
    <xf numFmtId="2" fontId="11" fillId="18" borderId="317" xfId="3" applyNumberFormat="1" applyFont="1" applyFill="1" applyBorder="1" applyAlignment="1" applyProtection="1">
      <alignment horizontal="right" vertical="center" wrapText="1" indent="1"/>
    </xf>
    <xf numFmtId="2" fontId="11" fillId="18" borderId="318" xfId="3" applyNumberFormat="1" applyFont="1" applyFill="1" applyBorder="1" applyAlignment="1" applyProtection="1">
      <alignment horizontal="right" vertical="center" wrapText="1" indent="1"/>
    </xf>
    <xf numFmtId="14" fontId="11" fillId="18" borderId="319" xfId="3" applyNumberFormat="1" applyFont="1" applyFill="1" applyBorder="1" applyAlignment="1" applyProtection="1">
      <alignment horizontal="right" vertical="center" wrapText="1" indent="1"/>
    </xf>
    <xf numFmtId="3" fontId="11" fillId="18" borderId="320" xfId="3" applyNumberFormat="1" applyFont="1" applyFill="1" applyBorder="1" applyAlignment="1" applyProtection="1">
      <alignment horizontal="right" vertical="center" wrapText="1" indent="1"/>
    </xf>
    <xf numFmtId="2" fontId="11" fillId="0" borderId="317" xfId="3" applyNumberFormat="1" applyFont="1" applyFill="1" applyBorder="1" applyAlignment="1" applyProtection="1">
      <alignment horizontal="right" vertical="center" wrapText="1" indent="1"/>
    </xf>
    <xf numFmtId="4" fontId="11" fillId="0" borderId="317" xfId="3" applyNumberFormat="1" applyFont="1" applyFill="1" applyBorder="1" applyAlignment="1" applyProtection="1">
      <alignment horizontal="right" vertical="center" wrapText="1" indent="1"/>
    </xf>
    <xf numFmtId="3" fontId="11" fillId="0" borderId="317" xfId="3" applyNumberFormat="1" applyFont="1" applyFill="1" applyBorder="1" applyAlignment="1" applyProtection="1">
      <alignment horizontal="right" vertical="center" wrapText="1" indent="1"/>
    </xf>
    <xf numFmtId="170" fontId="20" fillId="0" borderId="321" xfId="3" applyNumberFormat="1" applyFont="1" applyFill="1" applyBorder="1" applyAlignment="1" applyProtection="1">
      <alignment horizontal="right" vertical="center" wrapText="1" indent="1"/>
    </xf>
    <xf numFmtId="3" fontId="11" fillId="24" borderId="324" xfId="3" applyNumberFormat="1" applyFont="1" applyFill="1" applyBorder="1" applyAlignment="1" applyProtection="1">
      <alignment horizontal="right" vertical="center" wrapText="1" indent="1"/>
    </xf>
    <xf numFmtId="0" fontId="20" fillId="9" borderId="13" xfId="3" applyFont="1" applyFill="1" applyBorder="1" applyAlignment="1" applyProtection="1">
      <alignment wrapText="1"/>
    </xf>
    <xf numFmtId="0" fontId="20" fillId="9" borderId="64" xfId="3" applyFont="1" applyFill="1" applyBorder="1" applyAlignment="1" applyProtection="1">
      <alignment wrapText="1"/>
    </xf>
    <xf numFmtId="0" fontId="20" fillId="2" borderId="78" xfId="0" applyFont="1" applyFill="1" applyBorder="1" applyAlignment="1" applyProtection="1">
      <alignment horizontal="center" vertical="center" wrapText="1"/>
    </xf>
    <xf numFmtId="0" fontId="20" fillId="2" borderId="24" xfId="3" applyFont="1" applyFill="1" applyBorder="1" applyAlignment="1" applyProtection="1">
      <alignment horizontal="center" vertical="center" wrapText="1"/>
    </xf>
    <xf numFmtId="0" fontId="20" fillId="2" borderId="0" xfId="3" applyFont="1" applyFill="1" applyBorder="1" applyAlignment="1" applyProtection="1">
      <alignment horizontal="center" vertical="center" wrapText="1"/>
    </xf>
    <xf numFmtId="0" fontId="20" fillId="2" borderId="146" xfId="3" applyFont="1" applyFill="1" applyBorder="1" applyAlignment="1" applyProtection="1">
      <alignment horizontal="center" vertical="center" wrapText="1"/>
    </xf>
    <xf numFmtId="0" fontId="20" fillId="2" borderId="130" xfId="3" applyFont="1" applyFill="1" applyBorder="1" applyAlignment="1" applyProtection="1">
      <alignment horizontal="center" vertical="center" wrapText="1"/>
    </xf>
    <xf numFmtId="0" fontId="20" fillId="2" borderId="173" xfId="3" applyFont="1" applyFill="1" applyBorder="1" applyAlignment="1" applyProtection="1">
      <alignment horizontal="center" vertical="center" wrapText="1"/>
    </xf>
    <xf numFmtId="0" fontId="20" fillId="0" borderId="13" xfId="3" applyFont="1" applyBorder="1" applyAlignment="1" applyProtection="1">
      <alignment wrapText="1"/>
    </xf>
    <xf numFmtId="0" fontId="20" fillId="0" borderId="64" xfId="3" applyFont="1" applyBorder="1" applyAlignment="1" applyProtection="1">
      <alignment horizontal="left" wrapText="1"/>
    </xf>
    <xf numFmtId="0" fontId="21" fillId="0" borderId="56" xfId="3" applyFont="1" applyBorder="1" applyAlignment="1" applyProtection="1">
      <alignment horizontal="left" vertical="center" wrapText="1"/>
    </xf>
    <xf numFmtId="0" fontId="21" fillId="0" borderId="17" xfId="3" applyFont="1" applyBorder="1" applyAlignment="1" applyProtection="1">
      <alignment horizontal="left" vertical="center" wrapText="1"/>
    </xf>
    <xf numFmtId="0" fontId="20" fillId="13" borderId="17" xfId="3" applyFont="1" applyFill="1" applyBorder="1" applyAlignment="1" applyProtection="1">
      <alignment horizontal="right" vertical="center" wrapText="1" indent="1"/>
    </xf>
    <xf numFmtId="171" fontId="20" fillId="13" borderId="17" xfId="3" applyNumberFormat="1" applyFont="1" applyFill="1" applyBorder="1" applyAlignment="1" applyProtection="1">
      <alignment horizontal="right" vertical="center" wrapText="1" indent="1"/>
    </xf>
    <xf numFmtId="3" fontId="20" fillId="13" borderId="162" xfId="3" applyNumberFormat="1" applyFont="1" applyFill="1" applyBorder="1" applyAlignment="1" applyProtection="1">
      <alignment horizontal="right" vertical="center" wrapText="1" indent="1"/>
    </xf>
    <xf numFmtId="3" fontId="20" fillId="13" borderId="163" xfId="3" applyNumberFormat="1" applyFont="1" applyFill="1" applyBorder="1" applyAlignment="1" applyProtection="1">
      <alignment horizontal="right" vertical="center" wrapText="1" indent="1"/>
    </xf>
    <xf numFmtId="3" fontId="20" fillId="13" borderId="161" xfId="3" applyNumberFormat="1" applyFont="1" applyFill="1" applyBorder="1" applyAlignment="1" applyProtection="1">
      <alignment horizontal="right" vertical="center" wrapText="1"/>
    </xf>
    <xf numFmtId="14" fontId="20" fillId="13" borderId="161" xfId="3" applyNumberFormat="1" applyFont="1" applyFill="1" applyBorder="1" applyAlignment="1" applyProtection="1">
      <alignment horizontal="right" vertical="center" wrapText="1" indent="1"/>
    </xf>
    <xf numFmtId="3" fontId="20" fillId="13" borderId="161" xfId="3" applyNumberFormat="1" applyFont="1" applyFill="1" applyBorder="1" applyAlignment="1" applyProtection="1">
      <alignment horizontal="right" vertical="center" wrapText="1" indent="1"/>
    </xf>
    <xf numFmtId="2" fontId="11" fillId="0" borderId="161" xfId="3" applyNumberFormat="1" applyFont="1" applyFill="1" applyBorder="1" applyAlignment="1" applyProtection="1">
      <alignment horizontal="right" vertical="center" wrapText="1" indent="1"/>
    </xf>
    <xf numFmtId="4" fontId="11" fillId="0" borderId="161" xfId="3" applyNumberFormat="1" applyFont="1" applyFill="1" applyBorder="1" applyAlignment="1" applyProtection="1">
      <alignment horizontal="right" vertical="center" wrapText="1" indent="1"/>
    </xf>
    <xf numFmtId="2" fontId="11" fillId="0" borderId="161" xfId="3" applyNumberFormat="1" applyFont="1" applyFill="1" applyBorder="1" applyAlignment="1" applyProtection="1">
      <alignment horizontal="center" vertical="center" wrapText="1"/>
    </xf>
    <xf numFmtId="170" fontId="20" fillId="0" borderId="164" xfId="3" applyNumberFormat="1" applyFont="1" applyFill="1" applyBorder="1" applyAlignment="1" applyProtection="1">
      <alignment horizontal="right" vertical="center" wrapText="1" indent="1"/>
    </xf>
    <xf numFmtId="14" fontId="20" fillId="13" borderId="162" xfId="3" applyNumberFormat="1" applyFont="1" applyFill="1" applyBorder="1" applyAlignment="1" applyProtection="1">
      <alignment horizontal="right" vertical="center" wrapText="1"/>
    </xf>
    <xf numFmtId="3" fontId="20" fillId="0" borderId="161" xfId="3" applyNumberFormat="1" applyFont="1" applyFill="1" applyBorder="1" applyAlignment="1" applyProtection="1">
      <alignment horizontal="right" vertical="center" wrapText="1" indent="1"/>
    </xf>
    <xf numFmtId="14" fontId="20" fillId="13" borderId="162" xfId="3" applyNumberFormat="1" applyFont="1" applyFill="1" applyBorder="1" applyAlignment="1" applyProtection="1">
      <alignment horizontal="right" vertical="center" wrapText="1" indent="1"/>
    </xf>
    <xf numFmtId="2" fontId="20" fillId="0" borderId="161" xfId="3" applyNumberFormat="1" applyFont="1" applyFill="1" applyBorder="1" applyAlignment="1" applyProtection="1">
      <alignment horizontal="right" vertical="center" wrapText="1" indent="1"/>
    </xf>
    <xf numFmtId="3" fontId="11" fillId="0" borderId="161" xfId="3" applyNumberFormat="1" applyFont="1" applyFill="1" applyBorder="1" applyAlignment="1" applyProtection="1">
      <alignment horizontal="right" vertical="center" wrapText="1" indent="1"/>
    </xf>
    <xf numFmtId="0" fontId="20" fillId="0" borderId="18" xfId="3" applyFont="1" applyBorder="1" applyAlignment="1" applyProtection="1">
      <alignment wrapText="1"/>
    </xf>
    <xf numFmtId="0" fontId="20" fillId="0" borderId="60" xfId="3" applyFont="1" applyBorder="1" applyAlignment="1" applyProtection="1">
      <alignment horizontal="left" wrapText="1"/>
    </xf>
    <xf numFmtId="0" fontId="21" fillId="0" borderId="57" xfId="3" applyFont="1" applyBorder="1" applyAlignment="1" applyProtection="1">
      <alignment horizontal="left" vertical="center" wrapText="1"/>
    </xf>
    <xf numFmtId="0" fontId="21" fillId="0" borderId="19" xfId="3" applyFont="1" applyBorder="1" applyAlignment="1" applyProtection="1">
      <alignment horizontal="left" vertical="center" wrapText="1"/>
    </xf>
    <xf numFmtId="0" fontId="20" fillId="13" borderId="19" xfId="3" applyFont="1" applyFill="1" applyBorder="1" applyAlignment="1" applyProtection="1">
      <alignment horizontal="right" vertical="center" wrapText="1" indent="1"/>
    </xf>
    <xf numFmtId="0" fontId="21" fillId="13" borderId="52" xfId="3" applyFont="1" applyFill="1" applyBorder="1" applyAlignment="1" applyProtection="1">
      <alignment horizontal="right" vertical="center" wrapText="1" indent="1"/>
    </xf>
    <xf numFmtId="171" fontId="21" fillId="13" borderId="52" xfId="3" applyNumberFormat="1" applyFont="1" applyFill="1" applyBorder="1" applyAlignment="1" applyProtection="1">
      <alignment horizontal="right" vertical="center" wrapText="1" indent="1"/>
    </xf>
    <xf numFmtId="3" fontId="20" fillId="13" borderId="166" xfId="3" applyNumberFormat="1" applyFont="1" applyFill="1" applyBorder="1" applyAlignment="1" applyProtection="1">
      <alignment horizontal="right" vertical="center" wrapText="1" indent="1"/>
    </xf>
    <xf numFmtId="3" fontId="20" fillId="13" borderId="138" xfId="3" applyNumberFormat="1" applyFont="1" applyFill="1" applyBorder="1" applyAlignment="1" applyProtection="1">
      <alignment horizontal="right" vertical="center" wrapText="1"/>
    </xf>
    <xf numFmtId="14" fontId="20" fillId="13" borderId="138" xfId="3" applyNumberFormat="1" applyFont="1" applyFill="1" applyBorder="1" applyAlignment="1" applyProtection="1">
      <alignment horizontal="right" vertical="center" wrapText="1" indent="1"/>
    </xf>
    <xf numFmtId="3" fontId="20" fillId="13" borderId="138" xfId="3" applyNumberFormat="1" applyFont="1" applyFill="1" applyBorder="1" applyAlignment="1" applyProtection="1">
      <alignment horizontal="right" vertical="center" wrapText="1" indent="1"/>
    </xf>
    <xf numFmtId="2" fontId="11" fillId="0" borderId="138" xfId="3" applyNumberFormat="1" applyFont="1" applyFill="1" applyBorder="1" applyAlignment="1" applyProtection="1">
      <alignment horizontal="right" vertical="center" wrapText="1" indent="1"/>
    </xf>
    <xf numFmtId="4" fontId="11" fillId="0" borderId="138" xfId="3" applyNumberFormat="1" applyFont="1" applyFill="1" applyBorder="1" applyAlignment="1" applyProtection="1">
      <alignment horizontal="right" vertical="center" wrapText="1" indent="1"/>
    </xf>
    <xf numFmtId="2" fontId="11" fillId="0" borderId="138" xfId="3" applyNumberFormat="1" applyFont="1" applyFill="1" applyBorder="1" applyAlignment="1" applyProtection="1">
      <alignment horizontal="center" vertical="center" wrapText="1"/>
    </xf>
    <xf numFmtId="14" fontId="20" fillId="13" borderId="166" xfId="3" applyNumberFormat="1" applyFont="1" applyFill="1" applyBorder="1" applyAlignment="1" applyProtection="1">
      <alignment horizontal="right" vertical="center" wrapText="1"/>
    </xf>
    <xf numFmtId="0" fontId="21" fillId="0" borderId="58" xfId="3" applyFont="1" applyBorder="1" applyAlignment="1" applyProtection="1">
      <alignment horizontal="left" vertical="center" wrapText="1"/>
    </xf>
    <xf numFmtId="0" fontId="21" fillId="0" borderId="20" xfId="3" applyFont="1" applyBorder="1" applyAlignment="1" applyProtection="1">
      <alignment horizontal="left" vertical="center" wrapText="1"/>
    </xf>
    <xf numFmtId="0" fontId="21" fillId="0" borderId="192" xfId="3" applyFont="1" applyBorder="1" applyAlignment="1" applyProtection="1">
      <alignment horizontal="left" vertical="center" wrapText="1"/>
    </xf>
    <xf numFmtId="0" fontId="20" fillId="13" borderId="20" xfId="3" applyFont="1" applyFill="1" applyBorder="1" applyAlignment="1" applyProtection="1">
      <alignment horizontal="right" vertical="center" wrapText="1" indent="1"/>
    </xf>
    <xf numFmtId="0" fontId="21" fillId="13" borderId="46" xfId="3" applyFont="1" applyFill="1" applyBorder="1" applyAlignment="1" applyProtection="1">
      <alignment horizontal="right" vertical="center" wrapText="1" indent="1"/>
    </xf>
    <xf numFmtId="171" fontId="21" fillId="13" borderId="46" xfId="3" applyNumberFormat="1" applyFont="1" applyFill="1" applyBorder="1" applyAlignment="1" applyProtection="1">
      <alignment horizontal="right" vertical="center" wrapText="1" indent="1"/>
    </xf>
    <xf numFmtId="0" fontId="20" fillId="0" borderId="18" xfId="3" applyFont="1" applyBorder="1" applyAlignment="1" applyProtection="1">
      <alignment horizontal="left" wrapText="1"/>
    </xf>
    <xf numFmtId="0" fontId="20" fillId="0" borderId="66" xfId="3" applyFont="1" applyBorder="1" applyAlignment="1" applyProtection="1">
      <alignment horizontal="left" wrapText="1"/>
    </xf>
    <xf numFmtId="0" fontId="21" fillId="0" borderId="67" xfId="3" applyFont="1" applyBorder="1" applyAlignment="1" applyProtection="1">
      <alignment horizontal="left" vertical="center" wrapText="1"/>
    </xf>
    <xf numFmtId="0" fontId="21" fillId="0" borderId="68" xfId="3" applyFont="1" applyBorder="1" applyAlignment="1" applyProtection="1">
      <alignment horizontal="left" vertical="center" wrapText="1"/>
    </xf>
    <xf numFmtId="0" fontId="21" fillId="0" borderId="209" xfId="3" applyFont="1" applyBorder="1" applyAlignment="1" applyProtection="1">
      <alignment horizontal="left" vertical="center" wrapText="1"/>
    </xf>
    <xf numFmtId="0" fontId="20" fillId="13" borderId="68" xfId="3" applyFont="1" applyFill="1" applyBorder="1" applyAlignment="1" applyProtection="1">
      <alignment horizontal="right" vertical="center" wrapText="1" indent="1"/>
    </xf>
    <xf numFmtId="0" fontId="21" fillId="13" borderId="73" xfId="3" applyFont="1" applyFill="1" applyBorder="1" applyAlignment="1" applyProtection="1">
      <alignment horizontal="right" vertical="center" wrapText="1" indent="1"/>
    </xf>
    <xf numFmtId="171" fontId="21" fillId="13" borderId="73" xfId="3" applyNumberFormat="1" applyFont="1" applyFill="1" applyBorder="1" applyAlignment="1" applyProtection="1">
      <alignment horizontal="right" vertical="center" wrapText="1" indent="1"/>
    </xf>
    <xf numFmtId="0" fontId="20" fillId="0" borderId="21" xfId="3" applyFont="1" applyBorder="1" applyAlignment="1" applyProtection="1">
      <alignment wrapText="1"/>
    </xf>
    <xf numFmtId="0" fontId="20" fillId="0" borderId="61" xfId="3" applyFont="1" applyBorder="1" applyAlignment="1" applyProtection="1">
      <alignment horizontal="left" wrapText="1"/>
    </xf>
    <xf numFmtId="0" fontId="21" fillId="0" borderId="70" xfId="3" applyFont="1" applyBorder="1" applyAlignment="1" applyProtection="1">
      <alignment horizontal="left" vertical="center" wrapText="1"/>
    </xf>
    <xf numFmtId="0" fontId="21" fillId="0" borderId="71" xfId="3" applyFont="1" applyBorder="1" applyAlignment="1" applyProtection="1">
      <alignment horizontal="left" vertical="center" wrapText="1"/>
    </xf>
    <xf numFmtId="0" fontId="20" fillId="13" borderId="71" xfId="3" applyFont="1" applyFill="1" applyBorder="1" applyAlignment="1" applyProtection="1">
      <alignment horizontal="right" vertical="center" wrapText="1" indent="1"/>
    </xf>
    <xf numFmtId="0" fontId="27" fillId="13" borderId="74" xfId="3" applyFont="1" applyFill="1" applyBorder="1" applyAlignment="1" applyProtection="1">
      <alignment horizontal="right" vertical="center" wrapText="1" indent="1"/>
    </xf>
    <xf numFmtId="171" fontId="27" fillId="13" borderId="74" xfId="3" applyNumberFormat="1" applyFont="1" applyFill="1" applyBorder="1" applyAlignment="1" applyProtection="1">
      <alignment horizontal="right" vertical="center" wrapText="1" indent="1"/>
    </xf>
    <xf numFmtId="3" fontId="20" fillId="13" borderId="170" xfId="3" applyNumberFormat="1" applyFont="1" applyFill="1" applyBorder="1" applyAlignment="1" applyProtection="1">
      <alignment horizontal="right" vertical="center" wrapText="1" indent="1"/>
    </xf>
    <xf numFmtId="3" fontId="20" fillId="13" borderId="171" xfId="3" applyNumberFormat="1" applyFont="1" applyFill="1" applyBorder="1" applyAlignment="1" applyProtection="1">
      <alignment horizontal="right" vertical="center" wrapText="1" indent="1"/>
    </xf>
    <xf numFmtId="3" fontId="20" fillId="13" borderId="169" xfId="3" applyNumberFormat="1" applyFont="1" applyFill="1" applyBorder="1" applyAlignment="1" applyProtection="1">
      <alignment horizontal="right" vertical="center" wrapText="1"/>
    </xf>
    <xf numFmtId="14" fontId="20" fillId="13" borderId="169" xfId="3" applyNumberFormat="1" applyFont="1" applyFill="1" applyBorder="1" applyAlignment="1" applyProtection="1">
      <alignment horizontal="right" vertical="center" wrapText="1" indent="1"/>
    </xf>
    <xf numFmtId="3" fontId="20" fillId="13" borderId="169" xfId="3" applyNumberFormat="1" applyFont="1" applyFill="1" applyBorder="1" applyAlignment="1" applyProtection="1">
      <alignment horizontal="right" vertical="center" wrapText="1" indent="1"/>
    </xf>
    <xf numFmtId="2" fontId="11" fillId="0" borderId="169" xfId="3" applyNumberFormat="1" applyFont="1" applyFill="1" applyBorder="1" applyAlignment="1" applyProtection="1">
      <alignment horizontal="right" vertical="center" wrapText="1" indent="1"/>
    </xf>
    <xf numFmtId="4" fontId="11" fillId="0" borderId="169" xfId="3" applyNumberFormat="1" applyFont="1" applyFill="1" applyBorder="1" applyAlignment="1" applyProtection="1">
      <alignment horizontal="right" vertical="center" wrapText="1" indent="1"/>
    </xf>
    <xf numFmtId="2" fontId="11" fillId="0" borderId="169" xfId="3" applyNumberFormat="1" applyFont="1" applyFill="1" applyBorder="1" applyAlignment="1" applyProtection="1">
      <alignment horizontal="center" vertical="center" wrapText="1"/>
    </xf>
    <xf numFmtId="170" fontId="20" fillId="0" borderId="172" xfId="3" applyNumberFormat="1" applyFont="1" applyFill="1" applyBorder="1" applyAlignment="1" applyProtection="1">
      <alignment horizontal="right" vertical="center" wrapText="1" indent="1"/>
    </xf>
    <xf numFmtId="14" fontId="20" fillId="13" borderId="170" xfId="3" applyNumberFormat="1" applyFont="1" applyFill="1" applyBorder="1" applyAlignment="1" applyProtection="1">
      <alignment horizontal="right" vertical="center" wrapText="1"/>
    </xf>
    <xf numFmtId="3" fontId="20" fillId="0" borderId="169" xfId="3" applyNumberFormat="1" applyFont="1" applyFill="1" applyBorder="1" applyAlignment="1" applyProtection="1">
      <alignment horizontal="right" vertical="center" wrapText="1" indent="1"/>
    </xf>
    <xf numFmtId="14" fontId="20" fillId="13" borderId="170" xfId="3" applyNumberFormat="1" applyFont="1" applyFill="1" applyBorder="1" applyAlignment="1" applyProtection="1">
      <alignment horizontal="right" vertical="center" wrapText="1" indent="1"/>
    </xf>
    <xf numFmtId="14" fontId="21" fillId="0" borderId="271" xfId="3" applyNumberFormat="1" applyFont="1" applyFill="1" applyBorder="1" applyAlignment="1" applyProtection="1">
      <alignment horizontal="right" vertical="center" wrapText="1" indent="1"/>
    </xf>
    <xf numFmtId="3" fontId="21" fillId="0" borderId="271" xfId="3" applyNumberFormat="1" applyFont="1" applyFill="1" applyBorder="1" applyAlignment="1" applyProtection="1">
      <alignment horizontal="right" vertical="center" wrapText="1" indent="1"/>
    </xf>
    <xf numFmtId="14" fontId="21" fillId="0" borderId="326" xfId="3" applyNumberFormat="1" applyFont="1" applyFill="1" applyBorder="1" applyAlignment="1" applyProtection="1">
      <alignment horizontal="right" vertical="center" wrapText="1" indent="1"/>
    </xf>
    <xf numFmtId="14" fontId="21" fillId="0" borderId="91" xfId="3" applyNumberFormat="1" applyFont="1" applyFill="1" applyBorder="1" applyAlignment="1" applyProtection="1">
      <alignment horizontal="right" vertical="center" wrapText="1" indent="1"/>
    </xf>
    <xf numFmtId="3" fontId="21" fillId="0" borderId="91" xfId="3" applyNumberFormat="1" applyFont="1" applyFill="1" applyBorder="1" applyAlignment="1" applyProtection="1">
      <alignment horizontal="right" vertical="center" wrapText="1" indent="1"/>
    </xf>
    <xf numFmtId="14" fontId="21" fillId="0" borderId="25" xfId="3" applyNumberFormat="1" applyFont="1" applyFill="1" applyBorder="1" applyAlignment="1" applyProtection="1">
      <alignment horizontal="right" vertical="center" wrapText="1" indent="1"/>
    </xf>
    <xf numFmtId="3" fontId="21" fillId="0" borderId="25" xfId="3" applyNumberFormat="1" applyFont="1" applyFill="1" applyBorder="1" applyAlignment="1" applyProtection="1">
      <alignment horizontal="right" vertical="center" wrapText="1" indent="1"/>
    </xf>
    <xf numFmtId="14" fontId="19" fillId="0" borderId="15" xfId="3" applyNumberFormat="1" applyFont="1" applyFill="1" applyBorder="1" applyAlignment="1" applyProtection="1">
      <alignment horizontal="right" vertical="center" wrapText="1" indent="1"/>
    </xf>
    <xf numFmtId="3" fontId="19" fillId="0" borderId="15" xfId="3" applyNumberFormat="1" applyFont="1" applyFill="1" applyBorder="1" applyAlignment="1" applyProtection="1">
      <alignment horizontal="right" vertical="center" wrapText="1" indent="1"/>
    </xf>
    <xf numFmtId="0" fontId="10" fillId="0" borderId="0" xfId="3" applyAlignment="1" applyProtection="1">
      <alignment wrapText="1"/>
    </xf>
    <xf numFmtId="170" fontId="11" fillId="0" borderId="321" xfId="3" applyNumberFormat="1" applyFont="1" applyFill="1" applyBorder="1" applyAlignment="1" applyProtection="1">
      <alignment horizontal="right" vertical="center" wrapText="1" indent="1"/>
    </xf>
    <xf numFmtId="14" fontId="0" fillId="0" borderId="0" xfId="0" applyNumberFormat="1"/>
    <xf numFmtId="0" fontId="21" fillId="0" borderId="0" xfId="0" applyFont="1" applyAlignment="1" applyProtection="1">
      <alignment vertical="center" wrapText="1"/>
    </xf>
    <xf numFmtId="0" fontId="20" fillId="0" borderId="55" xfId="3" applyFont="1" applyBorder="1" applyAlignment="1" applyProtection="1">
      <alignment vertical="center"/>
    </xf>
    <xf numFmtId="0" fontId="21" fillId="2" borderId="72" xfId="0" applyFont="1" applyFill="1" applyBorder="1" applyAlignment="1" applyProtection="1">
      <alignment vertical="center" wrapText="1"/>
    </xf>
    <xf numFmtId="0" fontId="20" fillId="2" borderId="302" xfId="0" applyFont="1" applyFill="1" applyBorder="1" applyAlignment="1" applyProtection="1">
      <alignment horizontal="center" vertical="center" wrapText="1"/>
    </xf>
    <xf numFmtId="0" fontId="57" fillId="0" borderId="90" xfId="3" applyFont="1" applyBorder="1" applyAlignment="1" applyProtection="1">
      <alignment wrapText="1"/>
    </xf>
    <xf numFmtId="0" fontId="57" fillId="0" borderId="91" xfId="3" applyFont="1" applyBorder="1" applyAlignment="1" applyProtection="1">
      <alignment wrapText="1"/>
    </xf>
    <xf numFmtId="0" fontId="57" fillId="0" borderId="94" xfId="3" applyFont="1" applyBorder="1" applyAlignment="1" applyProtection="1">
      <alignment wrapText="1"/>
    </xf>
    <xf numFmtId="3" fontId="10" fillId="0" borderId="90" xfId="3" applyNumberFormat="1" applyBorder="1" applyAlignment="1" applyProtection="1">
      <alignment wrapText="1"/>
    </xf>
    <xf numFmtId="0" fontId="10" fillId="0" borderId="91" xfId="3" applyBorder="1" applyAlignment="1" applyProtection="1">
      <alignment wrapText="1"/>
    </xf>
    <xf numFmtId="0" fontId="10" fillId="0" borderId="94" xfId="3" applyBorder="1" applyAlignment="1" applyProtection="1">
      <alignment wrapText="1"/>
    </xf>
    <xf numFmtId="3" fontId="10" fillId="0" borderId="97" xfId="3" applyNumberFormat="1" applyBorder="1" applyAlignment="1" applyProtection="1">
      <alignment wrapText="1"/>
    </xf>
    <xf numFmtId="0" fontId="10" fillId="0" borderId="25" xfId="3" applyBorder="1" applyAlignment="1" applyProtection="1">
      <alignment wrapText="1"/>
    </xf>
    <xf numFmtId="0" fontId="10" fillId="0" borderId="98" xfId="3" applyBorder="1" applyAlignment="1" applyProtection="1">
      <alignment wrapText="1"/>
    </xf>
    <xf numFmtId="0" fontId="57" fillId="0" borderId="3" xfId="3" applyFont="1" applyBorder="1" applyAlignment="1" applyProtection="1">
      <alignment wrapText="1"/>
    </xf>
    <xf numFmtId="0" fontId="10" fillId="0" borderId="3" xfId="3" applyBorder="1" applyAlignment="1" applyProtection="1">
      <alignment wrapText="1"/>
    </xf>
    <xf numFmtId="0" fontId="10" fillId="0" borderId="43" xfId="3" applyBorder="1" applyAlignment="1" applyProtection="1">
      <alignment wrapText="1"/>
    </xf>
    <xf numFmtId="0" fontId="10" fillId="0" borderId="90" xfId="3" applyBorder="1" applyAlignment="1" applyProtection="1">
      <alignment wrapText="1"/>
    </xf>
    <xf numFmtId="0" fontId="10" fillId="0" borderId="97" xfId="3" applyBorder="1" applyAlignment="1" applyProtection="1">
      <alignment wrapText="1"/>
    </xf>
    <xf numFmtId="3" fontId="10" fillId="0" borderId="144" xfId="3" applyNumberFormat="1" applyBorder="1" applyAlignment="1" applyProtection="1">
      <alignment wrapText="1"/>
    </xf>
    <xf numFmtId="0" fontId="10" fillId="0" borderId="69" xfId="3" applyBorder="1" applyAlignment="1" applyProtection="1">
      <alignment wrapText="1"/>
    </xf>
    <xf numFmtId="0" fontId="10" fillId="0" borderId="50" xfId="3" applyBorder="1" applyAlignment="1" applyProtection="1">
      <alignment wrapText="1"/>
    </xf>
    <xf numFmtId="0" fontId="10" fillId="0" borderId="144" xfId="3" applyBorder="1" applyAlignment="1" applyProtection="1">
      <alignment wrapText="1"/>
    </xf>
    <xf numFmtId="0" fontId="10" fillId="0" borderId="145" xfId="3" applyBorder="1" applyAlignment="1" applyProtection="1">
      <alignment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8" fillId="9" borderId="16" xfId="0" applyFont="1" applyFill="1" applyBorder="1" applyAlignment="1" applyProtection="1">
      <alignment horizontal="center" vertical="center" wrapText="1"/>
    </xf>
    <xf numFmtId="0" fontId="18" fillId="9" borderId="84" xfId="0" applyFont="1" applyFill="1" applyBorder="1" applyAlignment="1" applyProtection="1">
      <alignment horizontal="center" vertical="center" wrapText="1"/>
    </xf>
    <xf numFmtId="0" fontId="19" fillId="0" borderId="0" xfId="3" applyFont="1" applyProtection="1"/>
    <xf numFmtId="2" fontId="21" fillId="6" borderId="78" xfId="3" applyNumberFormat="1" applyFont="1" applyFill="1" applyBorder="1" applyAlignment="1" applyProtection="1">
      <alignment horizontal="right" vertical="center" indent="1"/>
    </xf>
    <xf numFmtId="2" fontId="21" fillId="6" borderId="96" xfId="3" applyNumberFormat="1" applyFont="1" applyFill="1" applyBorder="1" applyAlignment="1" applyProtection="1">
      <alignment horizontal="right" vertical="center" indent="1"/>
    </xf>
    <xf numFmtId="0" fontId="21" fillId="0" borderId="0" xfId="0" applyFont="1" applyAlignment="1">
      <alignment horizontal="right" wrapText="1" indent="1"/>
    </xf>
    <xf numFmtId="2" fontId="8" fillId="0" borderId="0" xfId="9" applyNumberFormat="1" applyFont="1" applyBorder="1" applyAlignment="1" applyProtection="1">
      <alignment horizontal="left" indent="1"/>
    </xf>
    <xf numFmtId="0" fontId="20" fillId="0" borderId="0" xfId="0" applyFont="1" applyBorder="1" applyAlignment="1" applyProtection="1">
      <alignment vertical="center"/>
    </xf>
    <xf numFmtId="0" fontId="21" fillId="0" borderId="0" xfId="0" applyFont="1" applyBorder="1" applyAlignment="1" applyProtection="1">
      <alignment vertical="center" wrapText="1"/>
    </xf>
    <xf numFmtId="0" fontId="21" fillId="0" borderId="0" xfId="0" applyFont="1" applyBorder="1" applyAlignment="1" applyProtection="1">
      <alignment vertical="center"/>
    </xf>
    <xf numFmtId="0" fontId="20" fillId="2" borderId="14"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1" fillId="0" borderId="56" xfId="0" applyFont="1" applyBorder="1" applyAlignment="1" applyProtection="1">
      <alignment vertical="center"/>
    </xf>
    <xf numFmtId="0" fontId="20" fillId="25" borderId="17" xfId="9" applyFont="1" applyFill="1" applyBorder="1" applyAlignment="1" applyProtection="1">
      <alignment horizontal="right" vertical="center" wrapText="1" indent="1"/>
      <protection locked="0"/>
    </xf>
    <xf numFmtId="0" fontId="21" fillId="0" borderId="17" xfId="9" applyFont="1" applyBorder="1" applyAlignment="1" applyProtection="1">
      <alignment horizontal="right" vertical="center" wrapText="1" indent="1"/>
    </xf>
    <xf numFmtId="0" fontId="21" fillId="26" borderId="17" xfId="0" applyFont="1" applyFill="1" applyBorder="1" applyAlignment="1" applyProtection="1">
      <alignment vertical="center"/>
    </xf>
    <xf numFmtId="0" fontId="21" fillId="0" borderId="17" xfId="9" applyFont="1" applyFill="1" applyBorder="1" applyAlignment="1" applyProtection="1">
      <alignment horizontal="right" vertical="center" indent="1"/>
    </xf>
    <xf numFmtId="0" fontId="21" fillId="0" borderId="57" xfId="0" applyFont="1" applyBorder="1" applyAlignment="1" applyProtection="1">
      <alignment vertical="center"/>
    </xf>
    <xf numFmtId="0" fontId="20" fillId="25" borderId="19" xfId="9" applyFont="1" applyFill="1" applyBorder="1" applyAlignment="1" applyProtection="1">
      <alignment horizontal="right" vertical="center" wrapText="1" indent="1"/>
      <protection locked="0"/>
    </xf>
    <xf numFmtId="0" fontId="21" fillId="0" borderId="19" xfId="9" applyFont="1" applyBorder="1" applyAlignment="1" applyProtection="1">
      <alignment horizontal="right" vertical="center" wrapText="1" indent="1"/>
    </xf>
    <xf numFmtId="0" fontId="21" fillId="26" borderId="19" xfId="0" applyFont="1" applyFill="1" applyBorder="1" applyAlignment="1" applyProtection="1">
      <alignment vertical="center"/>
    </xf>
    <xf numFmtId="0" fontId="21" fillId="0" borderId="19" xfId="9" applyFont="1" applyFill="1" applyBorder="1" applyAlignment="1" applyProtection="1">
      <alignment horizontal="right" vertical="center" indent="1"/>
    </xf>
    <xf numFmtId="0" fontId="21" fillId="0" borderId="206" xfId="0" applyFont="1" applyBorder="1" applyAlignment="1" applyProtection="1">
      <alignment vertical="center"/>
    </xf>
    <xf numFmtId="0" fontId="20" fillId="25" borderId="192" xfId="9" applyFont="1" applyFill="1" applyBorder="1" applyAlignment="1" applyProtection="1">
      <alignment horizontal="right" vertical="center" wrapText="1" indent="1"/>
      <protection locked="0"/>
    </xf>
    <xf numFmtId="0" fontId="21" fillId="0" borderId="192" xfId="9" applyFont="1" applyBorder="1" applyAlignment="1" applyProtection="1">
      <alignment horizontal="right" vertical="center" wrapText="1" indent="1"/>
    </xf>
    <xf numFmtId="0" fontId="21" fillId="26" borderId="192" xfId="0" applyFont="1" applyFill="1" applyBorder="1" applyAlignment="1" applyProtection="1">
      <alignment vertical="center"/>
    </xf>
    <xf numFmtId="0" fontId="21" fillId="0" borderId="192" xfId="9" applyFont="1" applyFill="1" applyBorder="1" applyAlignment="1" applyProtection="1">
      <alignment horizontal="right" vertical="center" indent="1"/>
    </xf>
    <xf numFmtId="0" fontId="21" fillId="0" borderId="192" xfId="9" applyFont="1" applyBorder="1" applyAlignment="1" applyProtection="1">
      <alignment horizontal="right" vertical="center" indent="1"/>
    </xf>
    <xf numFmtId="0" fontId="21" fillId="0" borderId="206" xfId="9" applyFont="1" applyBorder="1" applyAlignment="1" applyProtection="1">
      <alignment vertical="center"/>
    </xf>
    <xf numFmtId="0" fontId="21" fillId="26" borderId="266" xfId="0" applyFont="1" applyFill="1" applyBorder="1" applyAlignment="1" applyProtection="1">
      <alignment vertical="center"/>
    </xf>
    <xf numFmtId="0" fontId="21" fillId="0" borderId="212" xfId="0" applyFont="1" applyBorder="1" applyAlignment="1" applyProtection="1">
      <alignment vertical="center"/>
    </xf>
    <xf numFmtId="0" fontId="20" fillId="25" borderId="195" xfId="9" applyFont="1" applyFill="1" applyBorder="1" applyAlignment="1" applyProtection="1">
      <alignment horizontal="right" vertical="center" wrapText="1" indent="1"/>
      <protection locked="0"/>
    </xf>
    <xf numFmtId="0" fontId="21" fillId="0" borderId="195" xfId="9" applyFont="1" applyBorder="1" applyAlignment="1" applyProtection="1">
      <alignment horizontal="right" vertical="center" wrapText="1" indent="1"/>
    </xf>
    <xf numFmtId="0" fontId="21" fillId="26" borderId="195" xfId="0" applyFont="1" applyFill="1" applyBorder="1" applyAlignment="1" applyProtection="1">
      <alignment vertical="center"/>
    </xf>
    <xf numFmtId="0" fontId="21" fillId="0" borderId="195" xfId="9" applyFont="1" applyBorder="1" applyAlignment="1" applyProtection="1">
      <alignment horizontal="right" vertical="center" indent="1"/>
    </xf>
    <xf numFmtId="0" fontId="20" fillId="0" borderId="8" xfId="0" applyFont="1" applyBorder="1" applyAlignment="1" applyProtection="1">
      <alignment vertical="center"/>
    </xf>
    <xf numFmtId="0" fontId="21" fillId="0" borderId="8" xfId="0" applyFont="1" applyBorder="1" applyAlignment="1" applyProtection="1">
      <alignment vertical="center" wrapText="1"/>
    </xf>
    <xf numFmtId="0" fontId="21" fillId="0" borderId="8" xfId="0" applyFont="1" applyBorder="1" applyAlignment="1" applyProtection="1">
      <alignment vertical="center"/>
    </xf>
    <xf numFmtId="0" fontId="26" fillId="0" borderId="0" xfId="0" applyFont="1" applyBorder="1" applyAlignment="1" applyProtection="1">
      <alignment vertical="center"/>
    </xf>
    <xf numFmtId="0" fontId="20" fillId="2" borderId="9" xfId="0" applyFont="1" applyFill="1" applyBorder="1" applyAlignment="1" applyProtection="1">
      <alignment horizontal="center" wrapText="1"/>
    </xf>
    <xf numFmtId="0" fontId="20" fillId="0" borderId="90" xfId="0" applyFont="1" applyFill="1" applyBorder="1" applyAlignment="1" applyProtection="1">
      <alignment vertical="center"/>
    </xf>
    <xf numFmtId="0" fontId="20" fillId="25" borderId="91" xfId="0" applyFont="1" applyFill="1" applyBorder="1" applyAlignment="1" applyProtection="1">
      <alignment horizontal="right" indent="1"/>
      <protection locked="0"/>
    </xf>
    <xf numFmtId="0" fontId="20" fillId="25" borderId="94" xfId="0" applyFont="1" applyFill="1" applyBorder="1" applyAlignment="1" applyProtection="1">
      <alignment horizontal="right" indent="1"/>
      <protection locked="0"/>
    </xf>
    <xf numFmtId="0" fontId="20" fillId="0" borderId="92" xfId="0" applyFont="1" applyFill="1" applyBorder="1" applyAlignment="1" applyProtection="1">
      <alignment vertical="center"/>
    </xf>
    <xf numFmtId="0" fontId="20" fillId="0" borderId="97" xfId="0" applyFont="1" applyFill="1" applyBorder="1" applyAlignment="1" applyProtection="1">
      <alignment vertical="center"/>
    </xf>
    <xf numFmtId="0" fontId="20" fillId="25" borderId="25" xfId="0" applyFont="1" applyFill="1" applyBorder="1" applyAlignment="1" applyProtection="1">
      <alignment horizontal="right" indent="1"/>
      <protection locked="0"/>
    </xf>
    <xf numFmtId="0" fontId="20" fillId="25" borderId="98" xfId="0" applyFont="1" applyFill="1" applyBorder="1" applyAlignment="1" applyProtection="1">
      <alignment horizontal="right" indent="1"/>
      <protection locked="0"/>
    </xf>
    <xf numFmtId="2" fontId="8" fillId="0" borderId="0" xfId="4" applyNumberFormat="1" applyFont="1" applyBorder="1" applyAlignment="1"/>
    <xf numFmtId="0" fontId="13" fillId="0" borderId="0" xfId="4" applyBorder="1"/>
    <xf numFmtId="2" fontId="8" fillId="0" borderId="2" xfId="4" applyNumberFormat="1" applyFont="1" applyBorder="1" applyAlignment="1"/>
    <xf numFmtId="0" fontId="20" fillId="2" borderId="9" xfId="0" applyFont="1" applyFill="1" applyBorder="1" applyAlignment="1" applyProtection="1">
      <alignment horizontal="center" vertical="center" wrapText="1"/>
    </xf>
    <xf numFmtId="0" fontId="14" fillId="5" borderId="0" xfId="4" applyFont="1" applyFill="1" applyBorder="1" applyAlignment="1">
      <alignment horizontal="left" vertical="top"/>
    </xf>
    <xf numFmtId="0" fontId="20" fillId="2" borderId="9" xfId="4" applyFont="1" applyFill="1" applyBorder="1" applyAlignment="1">
      <alignment horizontal="center" vertical="center" wrapText="1"/>
    </xf>
    <xf numFmtId="0" fontId="20" fillId="2" borderId="34" xfId="4" applyFont="1" applyFill="1" applyBorder="1" applyAlignment="1">
      <alignment horizontal="center" vertical="center" wrapText="1"/>
    </xf>
    <xf numFmtId="0" fontId="18" fillId="0" borderId="2" xfId="0" applyFont="1" applyBorder="1" applyAlignment="1" applyProtection="1">
      <alignment horizontal="center" vertical="top" wrapText="1"/>
    </xf>
    <xf numFmtId="2" fontId="21" fillId="0" borderId="0" xfId="0" applyNumberFormat="1" applyFont="1" applyAlignment="1" applyProtection="1">
      <alignment horizontal="right" indent="1"/>
    </xf>
    <xf numFmtId="14" fontId="0" fillId="0" borderId="0" xfId="0" applyNumberFormat="1" applyProtection="1"/>
    <xf numFmtId="0" fontId="4" fillId="0" borderId="0" xfId="0" quotePrefix="1" applyFont="1" applyProtection="1"/>
    <xf numFmtId="0" fontId="0" fillId="0" borderId="0" xfId="0" applyFill="1" applyBorder="1" applyProtection="1"/>
    <xf numFmtId="14" fontId="20" fillId="0" borderId="24" xfId="3" applyNumberFormat="1" applyFont="1" applyFill="1" applyBorder="1" applyAlignment="1" applyProtection="1">
      <alignment horizontal="center" vertical="center" wrapText="1"/>
    </xf>
    <xf numFmtId="14" fontId="20" fillId="0" borderId="0" xfId="3" applyNumberFormat="1" applyFont="1" applyFill="1" applyBorder="1" applyAlignment="1" applyProtection="1">
      <alignment horizontal="center" vertical="center" wrapText="1"/>
    </xf>
    <xf numFmtId="14" fontId="21" fillId="0" borderId="24" xfId="3" applyNumberFormat="1" applyFont="1" applyFill="1" applyBorder="1" applyAlignment="1" applyProtection="1">
      <alignment horizontal="right" vertical="center" indent="1"/>
    </xf>
    <xf numFmtId="14" fontId="21" fillId="0" borderId="0" xfId="3" applyNumberFormat="1" applyFont="1" applyFill="1" applyBorder="1" applyAlignment="1" applyProtection="1">
      <alignment horizontal="right" vertical="center" indent="1"/>
    </xf>
    <xf numFmtId="0" fontId="18" fillId="0" borderId="0" xfId="0" applyFont="1" applyAlignment="1" applyProtection="1">
      <alignment wrapText="1"/>
    </xf>
    <xf numFmtId="14" fontId="21" fillId="0" borderId="0" xfId="0" applyNumberFormat="1" applyFont="1" applyAlignment="1" applyProtection="1">
      <alignment horizontal="right" wrapText="1"/>
    </xf>
    <xf numFmtId="0" fontId="0" fillId="0" borderId="0" xfId="0" applyFill="1" applyAlignment="1" applyProtection="1">
      <alignment wrapText="1"/>
    </xf>
    <xf numFmtId="0" fontId="0" fillId="0" borderId="0" xfId="0" applyAlignment="1">
      <alignment wrapText="1"/>
    </xf>
    <xf numFmtId="0" fontId="18" fillId="16" borderId="0" xfId="0" applyFont="1" applyFill="1" applyAlignment="1" applyProtection="1">
      <alignment wrapText="1"/>
    </xf>
    <xf numFmtId="0" fontId="0" fillId="16" borderId="0" xfId="0" applyFill="1" applyAlignment="1" applyProtection="1">
      <alignment wrapText="1"/>
    </xf>
    <xf numFmtId="14" fontId="21" fillId="16" borderId="0" xfId="0" applyNumberFormat="1" applyFont="1" applyFill="1" applyAlignment="1" applyProtection="1">
      <alignment horizontal="right" wrapText="1"/>
    </xf>
    <xf numFmtId="0" fontId="16" fillId="0" borderId="0" xfId="3" applyFont="1" applyAlignment="1" applyProtection="1">
      <alignment wrapText="1"/>
    </xf>
    <xf numFmtId="14" fontId="21" fillId="0" borderId="0" xfId="3" applyNumberFormat="1" applyFont="1" applyAlignment="1" applyProtection="1">
      <alignment horizontal="right" wrapText="1"/>
    </xf>
    <xf numFmtId="0" fontId="10" fillId="0" borderId="0" xfId="3" applyFill="1" applyAlignment="1" applyProtection="1">
      <alignment wrapText="1"/>
    </xf>
    <xf numFmtId="14" fontId="21" fillId="0" borderId="2" xfId="0" applyNumberFormat="1" applyFont="1" applyBorder="1" applyAlignment="1" applyProtection="1">
      <alignment horizontal="right" wrapText="1"/>
    </xf>
    <xf numFmtId="14" fontId="21" fillId="0" borderId="0" xfId="0" applyNumberFormat="1" applyFont="1" applyBorder="1" applyAlignment="1" applyProtection="1">
      <alignment horizontal="right" wrapText="1"/>
    </xf>
    <xf numFmtId="166" fontId="20" fillId="9" borderId="114" xfId="3" applyNumberFormat="1" applyFont="1" applyFill="1" applyBorder="1" applyAlignment="1" applyProtection="1">
      <alignment horizontal="right" vertical="center" wrapText="1"/>
    </xf>
    <xf numFmtId="166" fontId="21" fillId="0" borderId="56" xfId="3" applyNumberFormat="1" applyFont="1" applyFill="1" applyBorder="1" applyAlignment="1" applyProtection="1">
      <alignment horizontal="right" vertical="center" wrapText="1"/>
    </xf>
    <xf numFmtId="166" fontId="21" fillId="0" borderId="44" xfId="3" applyNumberFormat="1" applyFont="1" applyFill="1" applyBorder="1" applyAlignment="1" applyProtection="1">
      <alignment horizontal="right" vertical="center" wrapText="1"/>
    </xf>
    <xf numFmtId="14" fontId="21" fillId="6" borderId="56" xfId="3" applyNumberFormat="1" applyFont="1" applyFill="1" applyBorder="1" applyAlignment="1" applyProtection="1">
      <alignment horizontal="right" vertical="center" wrapText="1"/>
    </xf>
    <xf numFmtId="14" fontId="21" fillId="6" borderId="112" xfId="3" applyNumberFormat="1" applyFont="1" applyFill="1" applyBorder="1" applyAlignment="1" applyProtection="1">
      <alignment horizontal="right" vertical="center" wrapText="1"/>
    </xf>
    <xf numFmtId="166" fontId="20" fillId="9" borderId="104" xfId="3" applyNumberFormat="1" applyFont="1" applyFill="1" applyBorder="1" applyAlignment="1" applyProtection="1">
      <alignment horizontal="right" vertical="center" wrapText="1"/>
    </xf>
    <xf numFmtId="166" fontId="21" fillId="0" borderId="112" xfId="3" applyNumberFormat="1" applyFont="1" applyFill="1" applyBorder="1" applyAlignment="1" applyProtection="1">
      <alignment horizontal="right" vertical="center" wrapText="1"/>
    </xf>
    <xf numFmtId="166" fontId="20" fillId="9" borderId="105" xfId="3" applyNumberFormat="1" applyFont="1" applyFill="1" applyBorder="1" applyAlignment="1" applyProtection="1">
      <alignment horizontal="right" vertical="center" wrapText="1"/>
    </xf>
    <xf numFmtId="166" fontId="21" fillId="0" borderId="57" xfId="3" applyNumberFormat="1" applyFont="1" applyFill="1" applyBorder="1" applyAlignment="1" applyProtection="1">
      <alignment horizontal="right" vertical="center" wrapText="1"/>
    </xf>
    <xf numFmtId="166" fontId="21" fillId="0" borderId="52" xfId="3" applyNumberFormat="1" applyFont="1" applyFill="1" applyBorder="1" applyAlignment="1" applyProtection="1">
      <alignment horizontal="right" vertical="center" wrapText="1"/>
    </xf>
    <xf numFmtId="14" fontId="21" fillId="6" borderId="57" xfId="3" applyNumberFormat="1" applyFont="1" applyFill="1" applyBorder="1" applyAlignment="1" applyProtection="1">
      <alignment horizontal="right" vertical="center" wrapText="1"/>
    </xf>
    <xf numFmtId="14" fontId="21" fillId="6" borderId="109" xfId="3" applyNumberFormat="1" applyFont="1" applyFill="1" applyBorder="1" applyAlignment="1" applyProtection="1">
      <alignment horizontal="right" vertical="center" wrapText="1"/>
    </xf>
    <xf numFmtId="166" fontId="20" fillId="9" borderId="101" xfId="3" applyNumberFormat="1" applyFont="1" applyFill="1" applyBorder="1" applyAlignment="1" applyProtection="1">
      <alignment horizontal="right" vertical="center" wrapText="1"/>
    </xf>
    <xf numFmtId="166" fontId="21" fillId="0" borderId="109" xfId="3" applyNumberFormat="1" applyFont="1" applyFill="1" applyBorder="1" applyAlignment="1" applyProtection="1">
      <alignment horizontal="right" vertical="center" wrapText="1"/>
    </xf>
    <xf numFmtId="166" fontId="20" fillId="9" borderId="106" xfId="3" applyNumberFormat="1" applyFont="1" applyFill="1" applyBorder="1" applyAlignment="1" applyProtection="1">
      <alignment horizontal="right" vertical="center" wrapText="1"/>
    </xf>
    <xf numFmtId="166" fontId="21" fillId="0" borderId="46" xfId="3" applyNumberFormat="1" applyFont="1" applyFill="1" applyBorder="1" applyAlignment="1" applyProtection="1">
      <alignment horizontal="right" vertical="center" wrapText="1"/>
    </xf>
    <xf numFmtId="14" fontId="21" fillId="6" borderId="58" xfId="3" applyNumberFormat="1" applyFont="1" applyFill="1" applyBorder="1" applyAlignment="1" applyProtection="1">
      <alignment horizontal="right" vertical="center" wrapText="1"/>
    </xf>
    <xf numFmtId="14" fontId="21" fillId="6" borderId="110" xfId="3" applyNumberFormat="1" applyFont="1" applyFill="1" applyBorder="1" applyAlignment="1" applyProtection="1">
      <alignment horizontal="right" vertical="center" wrapText="1"/>
    </xf>
    <xf numFmtId="166" fontId="20" fillId="9" borderId="102" xfId="3" applyNumberFormat="1" applyFont="1" applyFill="1" applyBorder="1" applyAlignment="1" applyProtection="1">
      <alignment horizontal="right" vertical="center" wrapText="1"/>
    </xf>
    <xf numFmtId="166" fontId="21" fillId="0" borderId="58" xfId="3" applyNumberFormat="1" applyFont="1" applyFill="1" applyBorder="1" applyAlignment="1" applyProtection="1">
      <alignment horizontal="right" vertical="center" wrapText="1"/>
    </xf>
    <xf numFmtId="166" fontId="21" fillId="0" borderId="110" xfId="3" applyNumberFormat="1" applyFont="1" applyFill="1" applyBorder="1" applyAlignment="1" applyProtection="1">
      <alignment horizontal="right" vertical="center" wrapText="1"/>
    </xf>
    <xf numFmtId="166" fontId="20" fillId="9" borderId="115" xfId="3" applyNumberFormat="1" applyFont="1" applyFill="1" applyBorder="1" applyAlignment="1" applyProtection="1">
      <alignment horizontal="right" vertical="center" wrapText="1"/>
    </xf>
    <xf numFmtId="166" fontId="21" fillId="0" borderId="62" xfId="3" applyNumberFormat="1" applyFont="1" applyFill="1" applyBorder="1" applyAlignment="1" applyProtection="1">
      <alignment horizontal="right" vertical="center" wrapText="1"/>
    </xf>
    <xf numFmtId="166" fontId="21" fillId="0" borderId="73" xfId="3" applyNumberFormat="1" applyFont="1" applyFill="1" applyBorder="1" applyAlignment="1" applyProtection="1">
      <alignment horizontal="right" vertical="center" wrapText="1"/>
    </xf>
    <xf numFmtId="14" fontId="21" fillId="6" borderId="67" xfId="3" applyNumberFormat="1" applyFont="1" applyFill="1" applyBorder="1" applyAlignment="1" applyProtection="1">
      <alignment horizontal="right" vertical="center" wrapText="1"/>
    </xf>
    <xf numFmtId="14" fontId="21" fillId="6" borderId="118" xfId="3" applyNumberFormat="1" applyFont="1" applyFill="1" applyBorder="1" applyAlignment="1" applyProtection="1">
      <alignment horizontal="right" vertical="center" wrapText="1"/>
    </xf>
    <xf numFmtId="166" fontId="20" fillId="9" borderId="151" xfId="3" applyNumberFormat="1" applyFont="1" applyFill="1" applyBorder="1" applyAlignment="1" applyProtection="1">
      <alignment horizontal="right" vertical="center" wrapText="1"/>
    </xf>
    <xf numFmtId="166" fontId="21" fillId="0" borderId="67" xfId="3" applyNumberFormat="1" applyFont="1" applyFill="1" applyBorder="1" applyAlignment="1" applyProtection="1">
      <alignment horizontal="right" vertical="center" wrapText="1"/>
    </xf>
    <xf numFmtId="166" fontId="21" fillId="0" borderId="118" xfId="3" applyNumberFormat="1" applyFont="1" applyFill="1" applyBorder="1" applyAlignment="1" applyProtection="1">
      <alignment horizontal="right" vertical="center" wrapText="1"/>
    </xf>
    <xf numFmtId="166" fontId="21" fillId="0" borderId="149" xfId="3" applyNumberFormat="1" applyFont="1" applyFill="1" applyBorder="1" applyAlignment="1" applyProtection="1">
      <alignment horizontal="right" vertical="center" wrapText="1"/>
    </xf>
    <xf numFmtId="166" fontId="20" fillId="9" borderId="116" xfId="3" applyNumberFormat="1" applyFont="1" applyFill="1" applyBorder="1" applyAlignment="1" applyProtection="1">
      <alignment horizontal="right" vertical="center" wrapText="1"/>
    </xf>
    <xf numFmtId="166" fontId="21" fillId="0" borderId="117" xfId="3" applyNumberFormat="1" applyFont="1" applyFill="1" applyBorder="1" applyAlignment="1" applyProtection="1">
      <alignment horizontal="right" vertical="center" wrapText="1"/>
    </xf>
    <xf numFmtId="14" fontId="21" fillId="6" borderId="62" xfId="3" applyNumberFormat="1" applyFont="1" applyFill="1" applyBorder="1" applyAlignment="1" applyProtection="1">
      <alignment horizontal="right" vertical="center" wrapText="1"/>
    </xf>
    <xf numFmtId="14" fontId="21" fillId="6" borderId="119" xfId="3" applyNumberFormat="1" applyFont="1" applyFill="1" applyBorder="1" applyAlignment="1" applyProtection="1">
      <alignment horizontal="right" vertical="center" wrapText="1"/>
    </xf>
    <xf numFmtId="166" fontId="20" fillId="9" borderId="152" xfId="3" applyNumberFormat="1" applyFont="1" applyFill="1" applyBorder="1" applyAlignment="1" applyProtection="1">
      <alignment horizontal="right" vertical="center" wrapText="1"/>
    </xf>
    <xf numFmtId="166" fontId="21" fillId="0" borderId="119" xfId="3" applyNumberFormat="1" applyFont="1" applyFill="1" applyBorder="1" applyAlignment="1" applyProtection="1">
      <alignment horizontal="right" vertical="center" wrapText="1"/>
    </xf>
    <xf numFmtId="166" fontId="20" fillId="9" borderId="265" xfId="3" applyNumberFormat="1" applyFont="1" applyFill="1" applyBorder="1" applyAlignment="1" applyProtection="1">
      <alignment horizontal="right" vertical="center" wrapText="1"/>
    </xf>
    <xf numFmtId="166" fontId="21" fillId="0" borderId="268" xfId="3" applyNumberFormat="1" applyFont="1" applyFill="1" applyBorder="1" applyAlignment="1" applyProtection="1">
      <alignment horizontal="right" vertical="center" wrapText="1"/>
    </xf>
    <xf numFmtId="166" fontId="21" fillId="0" borderId="267" xfId="3" applyNumberFormat="1" applyFont="1" applyFill="1" applyBorder="1" applyAlignment="1" applyProtection="1">
      <alignment horizontal="right" vertical="center" wrapText="1"/>
    </xf>
    <xf numFmtId="14" fontId="21" fillId="6" borderId="268" xfId="3" applyNumberFormat="1" applyFont="1" applyFill="1" applyBorder="1" applyAlignment="1" applyProtection="1">
      <alignment horizontal="right" vertical="center" wrapText="1"/>
    </xf>
    <xf numFmtId="14" fontId="21" fillId="6" borderId="269" xfId="3" applyNumberFormat="1" applyFont="1" applyFill="1" applyBorder="1" applyAlignment="1" applyProtection="1">
      <alignment horizontal="right" vertical="center" wrapText="1"/>
    </xf>
    <xf numFmtId="166" fontId="20" fillId="9" borderId="270" xfId="3" applyNumberFormat="1" applyFont="1" applyFill="1" applyBorder="1" applyAlignment="1" applyProtection="1">
      <alignment horizontal="right" vertical="center" wrapText="1"/>
    </xf>
    <xf numFmtId="166" fontId="21" fillId="0" borderId="269" xfId="3" applyNumberFormat="1" applyFont="1" applyFill="1" applyBorder="1" applyAlignment="1" applyProtection="1">
      <alignment horizontal="right" vertical="center" wrapText="1"/>
    </xf>
    <xf numFmtId="166" fontId="21" fillId="0" borderId="206" xfId="3" applyNumberFormat="1" applyFont="1" applyFill="1" applyBorder="1" applyAlignment="1" applyProtection="1">
      <alignment horizontal="right" vertical="center" wrapText="1"/>
    </xf>
    <xf numFmtId="166" fontId="20" fillId="9" borderId="21" xfId="3" applyNumberFormat="1" applyFont="1" applyFill="1" applyBorder="1" applyAlignment="1" applyProtection="1">
      <alignment horizontal="right" vertical="center" wrapText="1"/>
    </xf>
    <xf numFmtId="166" fontId="21" fillId="0" borderId="70" xfId="3" applyNumberFormat="1" applyFont="1" applyFill="1" applyBorder="1" applyAlignment="1" applyProtection="1">
      <alignment horizontal="right" vertical="center" wrapText="1"/>
    </xf>
    <xf numFmtId="166" fontId="21" fillId="0" borderId="74" xfId="3" applyNumberFormat="1" applyFont="1" applyFill="1" applyBorder="1" applyAlignment="1" applyProtection="1">
      <alignment horizontal="right" vertical="center" wrapText="1"/>
    </xf>
    <xf numFmtId="14" fontId="21" fillId="6" borderId="70" xfId="3" applyNumberFormat="1" applyFont="1" applyFill="1" applyBorder="1" applyAlignment="1" applyProtection="1">
      <alignment horizontal="right" vertical="center" wrapText="1"/>
    </xf>
    <xf numFmtId="14" fontId="21" fillId="6" borderId="96" xfId="3" applyNumberFormat="1" applyFont="1" applyFill="1" applyBorder="1" applyAlignment="1" applyProtection="1">
      <alignment horizontal="right" vertical="center" wrapText="1"/>
    </xf>
    <xf numFmtId="166" fontId="20" fillId="9" borderId="61" xfId="3" applyNumberFormat="1" applyFont="1" applyFill="1" applyBorder="1" applyAlignment="1" applyProtection="1">
      <alignment horizontal="right" vertical="center" wrapText="1"/>
    </xf>
    <xf numFmtId="166" fontId="21" fillId="0" borderId="96" xfId="3" applyNumberFormat="1" applyFont="1" applyFill="1" applyBorder="1" applyAlignment="1" applyProtection="1">
      <alignment horizontal="right" vertical="center" wrapText="1"/>
    </xf>
    <xf numFmtId="0" fontId="0" fillId="0" borderId="0" xfId="0" applyFill="1" applyBorder="1" applyAlignment="1" applyProtection="1">
      <alignment wrapText="1"/>
    </xf>
    <xf numFmtId="14" fontId="21" fillId="0" borderId="24" xfId="3" applyNumberFormat="1" applyFont="1" applyFill="1" applyBorder="1" applyAlignment="1" applyProtection="1">
      <alignment horizontal="right" vertical="center" wrapText="1"/>
    </xf>
    <xf numFmtId="14" fontId="21" fillId="0" borderId="0" xfId="3" applyNumberFormat="1" applyFont="1" applyFill="1" applyBorder="1" applyAlignment="1" applyProtection="1">
      <alignment horizontal="right" vertical="center" wrapText="1"/>
    </xf>
    <xf numFmtId="2" fontId="21" fillId="6" borderId="112" xfId="3" applyNumberFormat="1" applyFont="1" applyFill="1" applyBorder="1" applyAlignment="1" applyProtection="1">
      <alignment horizontal="right" vertical="center" wrapText="1"/>
    </xf>
    <xf numFmtId="166" fontId="21" fillId="0" borderId="6" xfId="3" applyNumberFormat="1" applyFont="1" applyFill="1" applyBorder="1" applyAlignment="1" applyProtection="1">
      <alignment horizontal="right" vertical="center" wrapText="1"/>
    </xf>
    <xf numFmtId="2" fontId="21" fillId="6" borderId="109" xfId="3" applyNumberFormat="1" applyFont="1" applyFill="1" applyBorder="1" applyAlignment="1" applyProtection="1">
      <alignment horizontal="right" vertical="center" wrapText="1"/>
    </xf>
    <xf numFmtId="166" fontId="21" fillId="0" borderId="10" xfId="3" applyNumberFormat="1" applyFont="1" applyFill="1" applyBorder="1" applyAlignment="1" applyProtection="1">
      <alignment horizontal="right" vertical="center" wrapText="1"/>
    </xf>
    <xf numFmtId="166" fontId="20" fillId="9" borderId="188" xfId="3" applyNumberFormat="1" applyFont="1" applyFill="1" applyBorder="1" applyAlignment="1" applyProtection="1">
      <alignment horizontal="right" vertical="center" wrapText="1"/>
    </xf>
    <xf numFmtId="166" fontId="21" fillId="0" borderId="193" xfId="3" applyNumberFormat="1" applyFont="1" applyFill="1" applyBorder="1" applyAlignment="1" applyProtection="1">
      <alignment horizontal="right" vertical="center" wrapText="1"/>
    </xf>
    <xf numFmtId="14" fontId="21" fillId="6" borderId="206" xfId="3" applyNumberFormat="1" applyFont="1" applyFill="1" applyBorder="1" applyAlignment="1" applyProtection="1">
      <alignment horizontal="right" vertical="center" wrapText="1"/>
    </xf>
    <xf numFmtId="14" fontId="21" fillId="6" borderId="230" xfId="3" applyNumberFormat="1" applyFont="1" applyFill="1" applyBorder="1" applyAlignment="1" applyProtection="1">
      <alignment horizontal="right" vertical="center" wrapText="1"/>
    </xf>
    <xf numFmtId="166" fontId="21" fillId="0" borderId="230" xfId="3" applyNumberFormat="1" applyFont="1" applyFill="1" applyBorder="1" applyAlignment="1" applyProtection="1">
      <alignment horizontal="right" vertical="center" wrapText="1"/>
    </xf>
    <xf numFmtId="2" fontId="21" fillId="6" borderId="230" xfId="3" applyNumberFormat="1" applyFont="1" applyFill="1" applyBorder="1" applyAlignment="1" applyProtection="1">
      <alignment horizontal="right" vertical="center" wrapText="1"/>
    </xf>
    <xf numFmtId="166" fontId="21" fillId="0" borderId="219" xfId="3" applyNumberFormat="1" applyFont="1" applyFill="1" applyBorder="1" applyAlignment="1" applyProtection="1">
      <alignment horizontal="right" vertical="center" wrapText="1"/>
    </xf>
    <xf numFmtId="166" fontId="20" fillId="9" borderId="183" xfId="3" applyNumberFormat="1" applyFont="1" applyFill="1" applyBorder="1" applyAlignment="1" applyProtection="1">
      <alignment horizontal="right" vertical="center" wrapText="1"/>
    </xf>
    <xf numFmtId="166" fontId="21" fillId="0" borderId="211" xfId="3" applyNumberFormat="1" applyFont="1" applyFill="1" applyBorder="1" applyAlignment="1" applyProtection="1">
      <alignment horizontal="right" vertical="center" wrapText="1"/>
    </xf>
    <xf numFmtId="166" fontId="21" fillId="0" borderId="198" xfId="3" applyNumberFormat="1" applyFont="1" applyFill="1" applyBorder="1" applyAlignment="1" applyProtection="1">
      <alignment horizontal="right" vertical="center" wrapText="1"/>
    </xf>
    <xf numFmtId="14" fontId="21" fillId="6" borderId="211" xfId="3" applyNumberFormat="1" applyFont="1" applyFill="1" applyBorder="1" applyAlignment="1" applyProtection="1">
      <alignment horizontal="right" vertical="center" wrapText="1"/>
    </xf>
    <xf numFmtId="2" fontId="21" fillId="6" borderId="119" xfId="3" applyNumberFormat="1" applyFont="1" applyFill="1" applyBorder="1" applyAlignment="1" applyProtection="1">
      <alignment horizontal="right" vertical="center" wrapText="1"/>
    </xf>
    <xf numFmtId="166" fontId="21" fillId="0" borderId="323" xfId="3" applyNumberFormat="1" applyFont="1" applyFill="1" applyBorder="1" applyAlignment="1" applyProtection="1">
      <alignment horizontal="right" vertical="center" wrapText="1"/>
    </xf>
    <xf numFmtId="166" fontId="21" fillId="0" borderId="210" xfId="3" applyNumberFormat="1" applyFont="1" applyFill="1" applyBorder="1" applyAlignment="1" applyProtection="1">
      <alignment horizontal="right" vertical="center" wrapText="1"/>
    </xf>
    <xf numFmtId="14" fontId="21" fillId="6" borderId="208" xfId="3" applyNumberFormat="1" applyFont="1" applyFill="1" applyBorder="1" applyAlignment="1" applyProtection="1">
      <alignment horizontal="right" vertical="center" wrapText="1"/>
    </xf>
    <xf numFmtId="166" fontId="21" fillId="0" borderId="208" xfId="3" applyNumberFormat="1" applyFont="1" applyFill="1" applyBorder="1" applyAlignment="1" applyProtection="1">
      <alignment horizontal="right" vertical="center" wrapText="1"/>
    </xf>
    <xf numFmtId="2" fontId="21" fillId="6" borderId="118" xfId="3" applyNumberFormat="1" applyFont="1" applyFill="1" applyBorder="1" applyAlignment="1" applyProtection="1">
      <alignment horizontal="right" vertical="center" wrapText="1"/>
    </xf>
    <xf numFmtId="166" fontId="21" fillId="0" borderId="231" xfId="3" applyNumberFormat="1" applyFont="1" applyFill="1" applyBorder="1" applyAlignment="1" applyProtection="1">
      <alignment horizontal="right" vertical="center" wrapText="1"/>
    </xf>
    <xf numFmtId="166" fontId="20" fillId="9" borderId="18" xfId="3" applyNumberFormat="1" applyFont="1" applyFill="1" applyBorder="1" applyAlignment="1" applyProtection="1">
      <alignment horizontal="right" vertical="center" wrapText="1"/>
    </xf>
    <xf numFmtId="166" fontId="21" fillId="0" borderId="146" xfId="3" applyNumberFormat="1" applyFont="1" applyFill="1" applyBorder="1" applyAlignment="1" applyProtection="1">
      <alignment horizontal="right" vertical="center" wrapText="1"/>
    </xf>
    <xf numFmtId="14" fontId="21" fillId="6" borderId="146" xfId="3" applyNumberFormat="1" applyFont="1" applyFill="1" applyBorder="1" applyAlignment="1" applyProtection="1">
      <alignment horizontal="right" vertical="center" wrapText="1"/>
    </xf>
    <xf numFmtId="14" fontId="21" fillId="6" borderId="78" xfId="3" applyNumberFormat="1" applyFont="1" applyFill="1" applyBorder="1" applyAlignment="1" applyProtection="1">
      <alignment horizontal="right" vertical="center" wrapText="1"/>
    </xf>
    <xf numFmtId="2" fontId="21" fillId="6" borderId="78" xfId="3" applyNumberFormat="1" applyFont="1" applyFill="1" applyBorder="1" applyAlignment="1" applyProtection="1">
      <alignment horizontal="right" vertical="center" wrapText="1"/>
    </xf>
    <xf numFmtId="166" fontId="21" fillId="0" borderId="0" xfId="3" applyNumberFormat="1" applyFont="1" applyFill="1" applyBorder="1" applyAlignment="1" applyProtection="1">
      <alignment horizontal="right" vertical="center" wrapText="1"/>
    </xf>
    <xf numFmtId="166" fontId="21" fillId="0" borderId="97" xfId="3" applyNumberFormat="1" applyFont="1" applyFill="1" applyBorder="1" applyAlignment="1" applyProtection="1">
      <alignment horizontal="right" vertical="center" wrapText="1"/>
    </xf>
    <xf numFmtId="166" fontId="21" fillId="0" borderId="98" xfId="3" applyNumberFormat="1" applyFont="1" applyFill="1" applyBorder="1" applyAlignment="1" applyProtection="1">
      <alignment horizontal="right" vertical="center" wrapText="1"/>
    </xf>
    <xf numFmtId="2" fontId="21" fillId="6" borderId="96" xfId="3" applyNumberFormat="1" applyFont="1" applyFill="1" applyBorder="1" applyAlignment="1" applyProtection="1">
      <alignment horizontal="right" vertical="center" wrapText="1"/>
    </xf>
    <xf numFmtId="166" fontId="21" fillId="0" borderId="2" xfId="3" applyNumberFormat="1" applyFont="1" applyFill="1" applyBorder="1" applyAlignment="1" applyProtection="1">
      <alignment horizontal="right" vertical="center" wrapText="1"/>
    </xf>
    <xf numFmtId="3" fontId="0" fillId="0" borderId="0" xfId="0" applyNumberFormat="1" applyProtection="1"/>
    <xf numFmtId="1" fontId="10" fillId="0" borderId="91" xfId="3" applyNumberFormat="1" applyBorder="1" applyAlignment="1" applyProtection="1">
      <alignment wrapText="1"/>
    </xf>
    <xf numFmtId="2" fontId="21" fillId="0" borderId="17" xfId="9" applyNumberFormat="1" applyFont="1" applyFill="1" applyBorder="1" applyAlignment="1" applyProtection="1">
      <alignment horizontal="right" vertical="center" indent="1"/>
    </xf>
    <xf numFmtId="2" fontId="21" fillId="0" borderId="192" xfId="9" applyNumberFormat="1" applyFont="1" applyFill="1" applyBorder="1" applyAlignment="1" applyProtection="1">
      <alignment horizontal="right" vertical="center" indent="1"/>
    </xf>
    <xf numFmtId="2" fontId="21" fillId="0" borderId="192" xfId="9" applyNumberFormat="1" applyFont="1" applyBorder="1" applyAlignment="1" applyProtection="1">
      <alignment horizontal="right" vertical="center" indent="1"/>
    </xf>
    <xf numFmtId="2" fontId="21" fillId="0" borderId="195" xfId="9" applyNumberFormat="1" applyFont="1" applyBorder="1" applyAlignment="1" applyProtection="1">
      <alignment horizontal="right" vertical="center" indent="1"/>
    </xf>
    <xf numFmtId="2" fontId="21" fillId="0" borderId="19" xfId="9" applyNumberFormat="1" applyFont="1" applyFill="1" applyBorder="1" applyAlignment="1" applyProtection="1">
      <alignment horizontal="right" vertical="center" indent="1"/>
    </xf>
    <xf numFmtId="0" fontId="21" fillId="12" borderId="206" xfId="9" applyFont="1" applyFill="1" applyBorder="1" applyAlignment="1" applyProtection="1">
      <alignment vertical="center"/>
    </xf>
    <xf numFmtId="0" fontId="20" fillId="12" borderId="192" xfId="9" applyFont="1" applyFill="1" applyBorder="1" applyAlignment="1" applyProtection="1">
      <alignment horizontal="right" vertical="center" wrapText="1" indent="1"/>
      <protection locked="0"/>
    </xf>
    <xf numFmtId="166" fontId="21" fillId="0" borderId="192" xfId="4" applyNumberFormat="1" applyFont="1" applyBorder="1" applyAlignment="1">
      <alignment horizontal="right" indent="1"/>
    </xf>
    <xf numFmtId="0" fontId="20" fillId="0" borderId="215" xfId="4" applyFont="1" applyBorder="1" applyAlignment="1">
      <alignment vertical="center"/>
    </xf>
    <xf numFmtId="0" fontId="58" fillId="5" borderId="329" xfId="0" applyFont="1" applyFill="1" applyBorder="1" applyAlignment="1" applyProtection="1">
      <alignment horizontal="center" vertical="center" wrapText="1"/>
    </xf>
    <xf numFmtId="0" fontId="21" fillId="0" borderId="17" xfId="0" applyFont="1" applyBorder="1" applyAlignment="1" applyProtection="1">
      <alignment vertical="center" wrapText="1"/>
    </xf>
    <xf numFmtId="3" fontId="58" fillId="5" borderId="114" xfId="0" applyNumberFormat="1" applyFont="1" applyFill="1" applyBorder="1" applyAlignment="1" applyProtection="1">
      <alignment horizontal="right" vertical="center" indent="1"/>
    </xf>
    <xf numFmtId="0" fontId="21" fillId="0" borderId="19" xfId="0" applyFont="1" applyBorder="1" applyAlignment="1" applyProtection="1">
      <alignment vertical="center" wrapText="1"/>
    </xf>
    <xf numFmtId="3" fontId="58" fillId="5" borderId="188" xfId="0" applyNumberFormat="1" applyFont="1" applyFill="1" applyBorder="1" applyAlignment="1" applyProtection="1">
      <alignment horizontal="right" vertical="center" indent="1"/>
    </xf>
    <xf numFmtId="0" fontId="21" fillId="0" borderId="192" xfId="0" applyFont="1" applyBorder="1" applyAlignment="1" applyProtection="1">
      <alignment vertical="center" wrapText="1"/>
    </xf>
    <xf numFmtId="3" fontId="58" fillId="5" borderId="189" xfId="0" applyNumberFormat="1" applyFont="1" applyFill="1" applyBorder="1" applyAlignment="1" applyProtection="1">
      <alignment horizontal="right" vertical="center" indent="1"/>
    </xf>
    <xf numFmtId="0" fontId="21" fillId="0" borderId="57" xfId="0" applyFont="1" applyBorder="1" applyAlignment="1">
      <alignment vertical="center"/>
    </xf>
    <xf numFmtId="0" fontId="21" fillId="0" borderId="19" xfId="0" applyFont="1" applyBorder="1" applyAlignment="1">
      <alignment vertical="center" wrapText="1"/>
    </xf>
    <xf numFmtId="0" fontId="21" fillId="0" borderId="195" xfId="0" applyFont="1" applyBorder="1" applyAlignment="1" applyProtection="1">
      <alignment vertical="center" wrapText="1"/>
    </xf>
    <xf numFmtId="166" fontId="20" fillId="0" borderId="269" xfId="4" applyNumberFormat="1" applyFont="1" applyBorder="1" applyAlignment="1">
      <alignment horizontal="right" indent="1"/>
    </xf>
    <xf numFmtId="0" fontId="21" fillId="0" borderId="331" xfId="4" applyFont="1" applyBorder="1" applyAlignment="1">
      <alignment horizontal="right" indent="1"/>
    </xf>
    <xf numFmtId="0" fontId="13" fillId="0" borderId="216" xfId="4" applyBorder="1"/>
    <xf numFmtId="0" fontId="20" fillId="0" borderId="330" xfId="4" applyFont="1" applyFill="1" applyBorder="1" applyAlignment="1">
      <alignment vertical="center"/>
    </xf>
    <xf numFmtId="0" fontId="20" fillId="0" borderId="330" xfId="4" applyFont="1" applyBorder="1"/>
    <xf numFmtId="0" fontId="20" fillId="2" borderId="333" xfId="4" applyFont="1" applyFill="1" applyBorder="1" applyAlignment="1">
      <alignment horizontal="center" vertical="center" wrapText="1"/>
    </xf>
    <xf numFmtId="0" fontId="20" fillId="0" borderId="60" xfId="4" applyFont="1" applyFill="1" applyBorder="1" applyAlignment="1">
      <alignment vertical="center" wrapText="1"/>
    </xf>
    <xf numFmtId="0" fontId="20" fillId="0" borderId="216" xfId="4" applyFont="1" applyBorder="1"/>
    <xf numFmtId="0" fontId="20" fillId="0" borderId="216" xfId="4" applyFont="1" applyFill="1" applyBorder="1" applyAlignment="1">
      <alignment vertical="center"/>
    </xf>
    <xf numFmtId="0" fontId="20" fillId="9" borderId="144" xfId="0" applyFont="1" applyFill="1" applyBorder="1" applyAlignment="1">
      <alignment vertical="top"/>
    </xf>
    <xf numFmtId="11" fontId="20" fillId="9" borderId="69" xfId="4" applyNumberFormat="1" applyFont="1" applyFill="1" applyBorder="1" applyAlignment="1">
      <alignment horizontal="center"/>
    </xf>
    <xf numFmtId="11" fontId="20" fillId="9" borderId="144" xfId="4" applyNumberFormat="1" applyFont="1" applyFill="1" applyBorder="1" applyAlignment="1">
      <alignment horizontal="center"/>
    </xf>
    <xf numFmtId="11" fontId="20" fillId="9" borderId="145" xfId="4" applyNumberFormat="1" applyFont="1" applyFill="1" applyBorder="1" applyAlignment="1">
      <alignment horizontal="center"/>
    </xf>
    <xf numFmtId="0" fontId="20" fillId="2" borderId="234" xfId="4" applyFont="1" applyFill="1" applyBorder="1" applyAlignment="1">
      <alignment horizontal="center" vertical="center" wrapText="1"/>
    </xf>
    <xf numFmtId="0" fontId="20" fillId="0" borderId="201" xfId="0" applyFont="1" applyBorder="1" applyAlignment="1">
      <alignment vertical="center" wrapText="1"/>
    </xf>
    <xf numFmtId="0" fontId="20" fillId="0" borderId="201" xfId="0" applyFont="1" applyFill="1" applyBorder="1" applyAlignment="1">
      <alignment vertical="center" wrapText="1"/>
    </xf>
    <xf numFmtId="0" fontId="20" fillId="0" borderId="234" xfId="0" applyFont="1" applyFill="1" applyBorder="1" applyAlignment="1">
      <alignment vertical="center" wrapText="1"/>
    </xf>
    <xf numFmtId="0" fontId="20" fillId="0" borderId="328" xfId="0" applyFont="1" applyFill="1" applyBorder="1" applyAlignment="1">
      <alignment vertical="center" wrapText="1"/>
    </xf>
    <xf numFmtId="0" fontId="20" fillId="0" borderId="0" xfId="4" applyFont="1" applyAlignment="1">
      <alignment vertical="center"/>
    </xf>
    <xf numFmtId="0" fontId="21" fillId="0" borderId="0" xfId="4" applyFont="1" applyAlignment="1">
      <alignment vertical="center"/>
    </xf>
    <xf numFmtId="0" fontId="20" fillId="9" borderId="97" xfId="0" applyFont="1" applyFill="1" applyBorder="1" applyAlignment="1">
      <alignment vertical="center" wrapText="1"/>
    </xf>
    <xf numFmtId="0" fontId="20" fillId="0" borderId="25" xfId="0" applyFont="1" applyBorder="1" applyAlignment="1">
      <alignment horizontal="right" vertical="center"/>
    </xf>
    <xf numFmtId="0" fontId="20" fillId="0" borderId="25" xfId="4" applyFont="1" applyBorder="1" applyAlignment="1">
      <alignment horizontal="right" vertical="center"/>
    </xf>
    <xf numFmtId="0" fontId="20" fillId="0" borderId="97" xfId="4" applyFont="1" applyBorder="1" applyAlignment="1">
      <alignment horizontal="right" vertical="center"/>
    </xf>
    <xf numFmtId="0" fontId="20" fillId="0" borderId="98" xfId="4" applyFont="1" applyBorder="1" applyAlignment="1">
      <alignment horizontal="right" vertical="center"/>
    </xf>
    <xf numFmtId="0" fontId="20" fillId="2" borderId="33" xfId="0" applyFont="1" applyFill="1" applyBorder="1" applyAlignment="1" applyProtection="1">
      <alignment vertical="center" wrapText="1"/>
    </xf>
    <xf numFmtId="0" fontId="20" fillId="2" borderId="9" xfId="0" applyFont="1" applyFill="1" applyBorder="1" applyAlignment="1" applyProtection="1">
      <alignment vertical="center" wrapText="1"/>
    </xf>
    <xf numFmtId="0" fontId="20" fillId="2" borderId="34" xfId="0" applyFont="1" applyFill="1" applyBorder="1" applyAlignment="1" applyProtection="1">
      <alignment vertical="center" wrapText="1"/>
    </xf>
    <xf numFmtId="0" fontId="20" fillId="0" borderId="5" xfId="0" applyFont="1" applyFill="1" applyBorder="1" applyAlignment="1" applyProtection="1">
      <alignment vertical="center"/>
    </xf>
    <xf numFmtId="0" fontId="20" fillId="0" borderId="5" xfId="0" applyFont="1" applyBorder="1" applyProtection="1"/>
    <xf numFmtId="0" fontId="20" fillId="0" borderId="5" xfId="0" applyFont="1" applyFill="1" applyBorder="1" applyProtection="1"/>
    <xf numFmtId="0" fontId="20" fillId="0" borderId="1" xfId="0" applyFont="1" applyBorder="1" applyAlignment="1" applyProtection="1">
      <alignment vertical="center"/>
    </xf>
    <xf numFmtId="0" fontId="20" fillId="0" borderId="148" xfId="0" applyFont="1" applyFill="1" applyBorder="1" applyAlignment="1" applyProtection="1">
      <alignment vertical="center"/>
    </xf>
    <xf numFmtId="0" fontId="20" fillId="0" borderId="35" xfId="0" applyFont="1" applyFill="1" applyBorder="1" applyAlignment="1" applyProtection="1">
      <alignment vertical="center"/>
    </xf>
    <xf numFmtId="0" fontId="20" fillId="25" borderId="93" xfId="0" applyFont="1" applyFill="1" applyBorder="1" applyAlignment="1" applyProtection="1">
      <alignment horizontal="right" indent="1"/>
      <protection locked="0"/>
    </xf>
    <xf numFmtId="0" fontId="20" fillId="25" borderId="95" xfId="0" applyFont="1" applyFill="1" applyBorder="1" applyAlignment="1" applyProtection="1">
      <alignment horizontal="right" indent="1"/>
      <protection locked="0"/>
    </xf>
    <xf numFmtId="0" fontId="20" fillId="12" borderId="93" xfId="0" applyFont="1" applyFill="1" applyBorder="1" applyAlignment="1" applyProtection="1">
      <alignment horizontal="right" indent="1"/>
      <protection locked="0"/>
    </xf>
    <xf numFmtId="0" fontId="20" fillId="0" borderId="91" xfId="4" applyNumberFormat="1" applyFont="1" applyBorder="1" applyAlignment="1">
      <alignment horizontal="center"/>
    </xf>
    <xf numFmtId="0" fontId="20" fillId="0" borderId="90" xfId="4" applyNumberFormat="1" applyFont="1" applyBorder="1" applyAlignment="1">
      <alignment horizontal="center"/>
    </xf>
    <xf numFmtId="0" fontId="20" fillId="0" borderId="94" xfId="4" applyNumberFormat="1" applyFont="1" applyBorder="1" applyAlignment="1">
      <alignment horizontal="center"/>
    </xf>
    <xf numFmtId="0" fontId="20" fillId="9" borderId="91" xfId="4" applyNumberFormat="1" applyFont="1" applyFill="1" applyBorder="1" applyAlignment="1">
      <alignment horizontal="center"/>
    </xf>
    <xf numFmtId="0" fontId="20" fillId="9" borderId="90" xfId="4" applyNumberFormat="1" applyFont="1" applyFill="1" applyBorder="1" applyAlignment="1">
      <alignment horizontal="center"/>
    </xf>
    <xf numFmtId="0" fontId="20" fillId="9" borderId="94" xfId="4" applyNumberFormat="1" applyFont="1" applyFill="1" applyBorder="1" applyAlignment="1">
      <alignment horizontal="center"/>
    </xf>
    <xf numFmtId="0" fontId="20" fillId="0" borderId="25" xfId="4" applyNumberFormat="1" applyFont="1" applyBorder="1" applyAlignment="1">
      <alignment horizontal="center"/>
    </xf>
    <xf numFmtId="0" fontId="20" fillId="0" borderId="97" xfId="4" applyNumberFormat="1" applyFont="1" applyBorder="1" applyAlignment="1">
      <alignment horizontal="center"/>
    </xf>
    <xf numFmtId="0" fontId="20" fillId="0" borderId="98" xfId="4" applyNumberFormat="1" applyFont="1" applyBorder="1" applyAlignment="1">
      <alignment horizontal="center"/>
    </xf>
    <xf numFmtId="0" fontId="21" fillId="13" borderId="91" xfId="4" applyFont="1" applyFill="1" applyBorder="1" applyAlignment="1">
      <alignment vertical="center" wrapText="1"/>
    </xf>
    <xf numFmtId="0" fontId="21" fillId="13" borderId="91" xfId="0" applyFont="1" applyFill="1" applyBorder="1" applyAlignment="1">
      <alignment vertical="center" wrapText="1"/>
    </xf>
    <xf numFmtId="0" fontId="21" fillId="13" borderId="93" xfId="4" applyFont="1" applyFill="1" applyBorder="1" applyAlignment="1">
      <alignment vertical="center" wrapText="1"/>
    </xf>
    <xf numFmtId="0" fontId="21" fillId="13" borderId="71" xfId="4" applyFont="1" applyFill="1" applyBorder="1" applyAlignment="1">
      <alignment vertical="center" wrapText="1"/>
    </xf>
    <xf numFmtId="2" fontId="20" fillId="0" borderId="91" xfId="0" applyNumberFormat="1" applyFont="1" applyBorder="1" applyAlignment="1">
      <alignment horizontal="right" indent="1"/>
    </xf>
    <xf numFmtId="2" fontId="20" fillId="0" borderId="91" xfId="4" applyNumberFormat="1" applyFont="1" applyBorder="1" applyAlignment="1">
      <alignment horizontal="right" indent="1"/>
    </xf>
    <xf numFmtId="2" fontId="20" fillId="12" borderId="91" xfId="0" applyNumberFormat="1" applyFont="1" applyFill="1" applyBorder="1" applyAlignment="1">
      <alignment horizontal="right" indent="1"/>
    </xf>
    <xf numFmtId="0" fontId="28" fillId="13" borderId="33" xfId="4" applyFont="1" applyFill="1" applyBorder="1"/>
    <xf numFmtId="0" fontId="28" fillId="13" borderId="34" xfId="4" applyFont="1" applyFill="1" applyBorder="1"/>
    <xf numFmtId="0" fontId="20" fillId="13" borderId="91" xfId="0" applyFont="1" applyFill="1" applyBorder="1" applyAlignment="1" applyProtection="1">
      <alignment horizontal="right" indent="1"/>
    </xf>
    <xf numFmtId="0" fontId="20" fillId="13" borderId="94" xfId="0" applyFont="1" applyFill="1" applyBorder="1" applyAlignment="1" applyProtection="1">
      <alignment horizontal="right" indent="1"/>
    </xf>
    <xf numFmtId="0" fontId="20" fillId="13" borderId="93" xfId="0" applyFont="1" applyFill="1" applyBorder="1" applyAlignment="1" applyProtection="1">
      <alignment horizontal="right" indent="1"/>
    </xf>
    <xf numFmtId="0" fontId="20" fillId="13" borderId="95" xfId="0" applyFont="1" applyFill="1" applyBorder="1" applyAlignment="1" applyProtection="1">
      <alignment horizontal="right" indent="1"/>
    </xf>
    <xf numFmtId="0" fontId="20" fillId="13" borderId="25" xfId="0" applyFont="1" applyFill="1" applyBorder="1" applyAlignment="1" applyProtection="1">
      <alignment horizontal="right" indent="1"/>
    </xf>
    <xf numFmtId="0" fontId="20" fillId="13" borderId="98" xfId="0" applyFont="1" applyFill="1" applyBorder="1" applyAlignment="1" applyProtection="1">
      <alignment horizontal="right" indent="1"/>
    </xf>
    <xf numFmtId="0" fontId="21" fillId="0" borderId="215" xfId="4" applyFont="1" applyBorder="1"/>
    <xf numFmtId="0" fontId="20" fillId="0" borderId="234" xfId="0" applyFont="1" applyFill="1" applyBorder="1" applyAlignment="1" applyProtection="1">
      <alignment vertical="center"/>
    </xf>
    <xf numFmtId="0" fontId="20" fillId="0" borderId="332" xfId="0" applyFont="1" applyFill="1" applyBorder="1" applyAlignment="1" applyProtection="1">
      <alignment vertical="center"/>
    </xf>
    <xf numFmtId="0" fontId="20" fillId="13" borderId="201" xfId="0" applyFont="1" applyFill="1" applyBorder="1" applyAlignment="1" applyProtection="1">
      <alignment horizontal="right" indent="1"/>
    </xf>
    <xf numFmtId="0" fontId="20" fillId="13" borderId="328" xfId="0" applyFont="1" applyFill="1" applyBorder="1" applyAlignment="1" applyProtection="1">
      <alignment horizontal="right" indent="1"/>
    </xf>
    <xf numFmtId="0" fontId="21" fillId="0" borderId="60" xfId="4" applyFont="1" applyBorder="1"/>
    <xf numFmtId="0" fontId="21" fillId="0" borderId="61" xfId="4" applyFont="1" applyBorder="1"/>
    <xf numFmtId="0" fontId="20" fillId="0" borderId="234" xfId="0" applyFont="1" applyFill="1" applyBorder="1"/>
    <xf numFmtId="0" fontId="20" fillId="0" borderId="332" xfId="0" applyFont="1" applyBorder="1" applyProtection="1"/>
    <xf numFmtId="2" fontId="20" fillId="0" borderId="201" xfId="0" applyNumberFormat="1" applyFont="1" applyBorder="1" applyAlignment="1">
      <alignment horizontal="right" indent="1"/>
    </xf>
    <xf numFmtId="2" fontId="20" fillId="0" borderId="201" xfId="4" applyNumberFormat="1" applyFont="1" applyBorder="1" applyAlignment="1">
      <alignment horizontal="right" indent="1"/>
    </xf>
    <xf numFmtId="0" fontId="20" fillId="0" borderId="328" xfId="0" applyFont="1" applyBorder="1" applyAlignment="1">
      <alignment horizontal="right" indent="1"/>
    </xf>
    <xf numFmtId="0" fontId="20" fillId="0" borderId="97" xfId="0" applyFont="1" applyBorder="1"/>
    <xf numFmtId="2" fontId="20" fillId="0" borderId="25" xfId="4" applyNumberFormat="1" applyFont="1" applyBorder="1" applyAlignment="1">
      <alignment horizontal="right" indent="1"/>
    </xf>
    <xf numFmtId="166" fontId="21" fillId="0" borderId="109" xfId="4" applyNumberFormat="1" applyFont="1" applyBorder="1" applyAlignment="1">
      <alignment horizontal="right" indent="1"/>
    </xf>
    <xf numFmtId="166" fontId="21" fillId="0" borderId="110" xfId="4" applyNumberFormat="1" applyFont="1" applyBorder="1" applyAlignment="1">
      <alignment horizontal="right" indent="1"/>
    </xf>
    <xf numFmtId="166" fontId="21" fillId="0" borderId="111" xfId="4" applyNumberFormat="1" applyFont="1" applyBorder="1" applyAlignment="1">
      <alignment horizontal="right" indent="1"/>
    </xf>
    <xf numFmtId="166" fontId="21" fillId="0" borderId="230" xfId="4" applyNumberFormat="1" applyFont="1" applyBorder="1" applyAlignment="1">
      <alignment horizontal="right" indent="1"/>
    </xf>
    <xf numFmtId="166" fontId="21" fillId="0" borderId="211" xfId="4" applyNumberFormat="1" applyFont="1" applyBorder="1" applyAlignment="1">
      <alignment horizontal="right" indent="1"/>
    </xf>
    <xf numFmtId="166" fontId="21" fillId="0" borderId="197" xfId="4" applyNumberFormat="1" applyFont="1" applyBorder="1" applyAlignment="1">
      <alignment horizontal="right" indent="1"/>
    </xf>
    <xf numFmtId="166" fontId="21" fillId="0" borderId="119" xfId="4" applyNumberFormat="1" applyFont="1" applyBorder="1" applyAlignment="1">
      <alignment horizontal="right" indent="1"/>
    </xf>
    <xf numFmtId="166" fontId="21" fillId="0" borderId="268" xfId="4" applyNumberFormat="1" applyFont="1" applyBorder="1" applyAlignment="1">
      <alignment horizontal="right" indent="1"/>
    </xf>
    <xf numFmtId="166" fontId="21" fillId="0" borderId="266" xfId="4" applyNumberFormat="1" applyFont="1" applyBorder="1" applyAlignment="1">
      <alignment horizontal="right" indent="1"/>
    </xf>
    <xf numFmtId="166" fontId="21" fillId="0" borderId="269" xfId="4" applyNumberFormat="1" applyFont="1" applyBorder="1" applyAlignment="1">
      <alignment horizontal="right" indent="1"/>
    </xf>
    <xf numFmtId="0" fontId="20" fillId="0" borderId="55" xfId="4" applyFont="1" applyBorder="1"/>
    <xf numFmtId="166" fontId="21" fillId="12" borderId="268" xfId="4" applyNumberFormat="1" applyFont="1" applyFill="1" applyBorder="1" applyAlignment="1">
      <alignment horizontal="right" indent="1"/>
    </xf>
    <xf numFmtId="166" fontId="20" fillId="0" borderId="17" xfId="4" applyNumberFormat="1" applyFont="1" applyBorder="1" applyAlignment="1">
      <alignment horizontal="right" indent="1"/>
    </xf>
    <xf numFmtId="166" fontId="20" fillId="0" borderId="192" xfId="4" applyNumberFormat="1" applyFont="1" applyBorder="1" applyAlignment="1">
      <alignment horizontal="right" indent="1"/>
    </xf>
    <xf numFmtId="166" fontId="20" fillId="0" borderId="195" xfId="4" applyNumberFormat="1" applyFont="1" applyBorder="1" applyAlignment="1">
      <alignment horizontal="right" indent="1"/>
    </xf>
    <xf numFmtId="166" fontId="20" fillId="0" borderId="266" xfId="4" applyNumberFormat="1" applyFont="1" applyBorder="1" applyAlignment="1">
      <alignment horizontal="right" indent="1"/>
    </xf>
    <xf numFmtId="0" fontId="16" fillId="0" borderId="175" xfId="4" applyFont="1" applyBorder="1" applyAlignment="1">
      <alignment horizontal="center" vertical="center" wrapText="1"/>
    </xf>
    <xf numFmtId="0" fontId="16" fillId="0" borderId="176" xfId="4" applyFont="1" applyBorder="1" applyAlignment="1">
      <alignment horizontal="center"/>
    </xf>
    <xf numFmtId="0" fontId="16" fillId="0" borderId="177" xfId="4" applyFont="1" applyBorder="1" applyAlignment="1">
      <alignment horizontal="center"/>
    </xf>
    <xf numFmtId="0" fontId="40" fillId="0" borderId="175" xfId="0" applyFont="1" applyBorder="1" applyProtection="1"/>
    <xf numFmtId="0" fontId="40" fillId="0" borderId="176" xfId="0" applyFont="1" applyBorder="1" applyProtection="1"/>
    <xf numFmtId="0" fontId="40" fillId="0" borderId="177" xfId="0" applyFont="1" applyBorder="1" applyProtection="1"/>
    <xf numFmtId="0" fontId="21" fillId="0" borderId="234" xfId="0" applyFont="1" applyBorder="1"/>
    <xf numFmtId="0" fontId="21" fillId="0" borderId="334" xfId="0" applyFont="1" applyBorder="1" applyAlignment="1">
      <alignment horizontal="left" indent="1"/>
    </xf>
    <xf numFmtId="0" fontId="21" fillId="0" borderId="335" xfId="0" applyFont="1" applyBorder="1"/>
    <xf numFmtId="0" fontId="21" fillId="0" borderId="336" xfId="0" applyFont="1" applyBorder="1"/>
    <xf numFmtId="0" fontId="20" fillId="25" borderId="328" xfId="0" applyFont="1" applyFill="1" applyBorder="1" applyAlignment="1" applyProtection="1">
      <alignment horizontal="center"/>
      <protection locked="0"/>
    </xf>
    <xf numFmtId="0" fontId="21" fillId="0" borderId="90" xfId="0" applyFont="1" applyBorder="1"/>
    <xf numFmtId="0" fontId="21" fillId="0" borderId="4" xfId="0" applyFont="1" applyBorder="1"/>
    <xf numFmtId="0" fontId="21" fillId="0" borderId="5" xfId="0" applyFont="1" applyBorder="1"/>
    <xf numFmtId="0" fontId="20" fillId="25" borderId="94" xfId="0" applyFont="1" applyFill="1" applyBorder="1" applyAlignment="1" applyProtection="1">
      <alignment horizontal="center"/>
      <protection locked="0"/>
    </xf>
    <xf numFmtId="0" fontId="21" fillId="0" borderId="97" xfId="0" applyFont="1" applyBorder="1"/>
    <xf numFmtId="0" fontId="21" fillId="0" borderId="51" xfId="0" applyFont="1" applyBorder="1"/>
    <xf numFmtId="0" fontId="21" fillId="0" borderId="35" xfId="0" applyFont="1" applyBorder="1"/>
    <xf numFmtId="0" fontId="20" fillId="25" borderId="98" xfId="0" applyFont="1" applyFill="1" applyBorder="1" applyAlignment="1" applyProtection="1">
      <alignment horizontal="center"/>
      <protection locked="0"/>
    </xf>
    <xf numFmtId="0" fontId="21" fillId="0" borderId="144" xfId="0" applyFont="1" applyBorder="1"/>
    <xf numFmtId="0" fontId="21" fillId="0" borderId="49" xfId="0" applyFont="1" applyBorder="1"/>
    <xf numFmtId="0" fontId="20" fillId="25" borderId="145" xfId="0" applyFont="1" applyFill="1" applyBorder="1" applyAlignment="1" applyProtection="1">
      <alignment horizontal="center"/>
      <protection locked="0"/>
    </xf>
    <xf numFmtId="2" fontId="10" fillId="0" borderId="0" xfId="3" applyNumberFormat="1" applyProtection="1"/>
    <xf numFmtId="2" fontId="10" fillId="0" borderId="69" xfId="3" applyNumberFormat="1" applyBorder="1" applyAlignment="1" applyProtection="1">
      <alignment wrapText="1"/>
    </xf>
    <xf numFmtId="2" fontId="10" fillId="0" borderId="50" xfId="3" applyNumberFormat="1" applyBorder="1" applyAlignment="1" applyProtection="1">
      <alignment wrapText="1"/>
    </xf>
    <xf numFmtId="2" fontId="10" fillId="0" borderId="91" xfId="3" applyNumberFormat="1" applyBorder="1" applyAlignment="1" applyProtection="1">
      <alignment wrapText="1"/>
    </xf>
    <xf numFmtId="2" fontId="10" fillId="0" borderId="3" xfId="3" applyNumberFormat="1" applyBorder="1" applyAlignment="1" applyProtection="1">
      <alignment wrapText="1"/>
    </xf>
    <xf numFmtId="2" fontId="10" fillId="0" borderId="25" xfId="3" applyNumberFormat="1" applyBorder="1" applyAlignment="1" applyProtection="1">
      <alignment wrapText="1"/>
    </xf>
    <xf numFmtId="2" fontId="10" fillId="0" borderId="43" xfId="3" applyNumberFormat="1" applyBorder="1" applyAlignment="1" applyProtection="1">
      <alignment wrapText="1"/>
    </xf>
    <xf numFmtId="0" fontId="20" fillId="0" borderId="0" xfId="0" applyFont="1" applyAlignment="1" applyProtection="1">
      <alignment wrapText="1"/>
    </xf>
    <xf numFmtId="0" fontId="20" fillId="2" borderId="84" xfId="0" applyFont="1" applyFill="1" applyBorder="1" applyAlignment="1" applyProtection="1">
      <alignment horizontal="center" vertical="center" wrapText="1"/>
    </xf>
    <xf numFmtId="0" fontId="21" fillId="0" borderId="17" xfId="0" applyFont="1" applyBorder="1" applyAlignment="1" applyProtection="1">
      <alignment vertical="center"/>
    </xf>
    <xf numFmtId="0" fontId="21" fillId="0" borderId="112" xfId="0" applyFont="1" applyBorder="1" applyAlignment="1" applyProtection="1">
      <alignment horizontal="center" vertical="center"/>
    </xf>
    <xf numFmtId="0" fontId="21" fillId="0" borderId="19" xfId="0" applyFont="1" applyBorder="1" applyAlignment="1" applyProtection="1">
      <alignment vertical="center"/>
    </xf>
    <xf numFmtId="0" fontId="21" fillId="0" borderId="109" xfId="0" applyFont="1" applyBorder="1" applyAlignment="1" applyProtection="1">
      <alignment horizontal="center" vertical="center"/>
    </xf>
    <xf numFmtId="0" fontId="21" fillId="0" borderId="195" xfId="0" applyFont="1" applyBorder="1" applyAlignment="1" applyProtection="1">
      <alignment vertical="center"/>
    </xf>
    <xf numFmtId="0" fontId="21" fillId="0" borderId="111" xfId="0" applyFont="1" applyBorder="1" applyAlignment="1" applyProtection="1">
      <alignment horizontal="center" vertical="center"/>
    </xf>
    <xf numFmtId="0" fontId="31" fillId="0" borderId="0" xfId="0" applyFont="1" applyBorder="1" applyAlignment="1">
      <alignment horizontal="right" vertical="top"/>
    </xf>
    <xf numFmtId="0" fontId="31" fillId="0" borderId="0" xfId="0" applyFont="1" applyBorder="1" applyAlignment="1">
      <alignment horizontal="right" vertical="top" indent="1"/>
    </xf>
    <xf numFmtId="9" fontId="31" fillId="0" borderId="0" xfId="5" applyFont="1" applyBorder="1" applyAlignment="1">
      <alignment horizontal="right" vertical="top" indent="1"/>
    </xf>
    <xf numFmtId="2" fontId="31" fillId="0" borderId="33" xfId="0" applyNumberFormat="1" applyFont="1" applyBorder="1" applyAlignment="1">
      <alignment vertical="top"/>
    </xf>
    <xf numFmtId="0" fontId="31" fillId="0" borderId="91" xfId="0" applyFont="1" applyBorder="1" applyAlignment="1">
      <alignment horizontal="center" vertical="top"/>
    </xf>
    <xf numFmtId="0" fontId="31" fillId="0" borderId="25" xfId="0" applyFont="1" applyBorder="1" applyAlignment="1">
      <alignment horizontal="center" vertical="top"/>
    </xf>
    <xf numFmtId="0" fontId="29" fillId="0" borderId="284" xfId="0" applyFont="1" applyBorder="1" applyAlignment="1">
      <alignment horizontal="center" vertical="top"/>
    </xf>
    <xf numFmtId="0" fontId="31" fillId="9" borderId="69" xfId="0" applyFont="1" applyFill="1" applyBorder="1" applyAlignment="1">
      <alignment horizontal="center" vertical="top"/>
    </xf>
    <xf numFmtId="0" fontId="31" fillId="9" borderId="234" xfId="0" applyFont="1" applyFill="1" applyBorder="1" applyAlignment="1">
      <alignment horizontal="center" vertical="top"/>
    </xf>
    <xf numFmtId="0" fontId="31" fillId="9" borderId="271" xfId="0" applyFont="1" applyFill="1" applyBorder="1" applyAlignment="1">
      <alignment horizontal="center" vertical="top"/>
    </xf>
    <xf numFmtId="0" fontId="31" fillId="9" borderId="328" xfId="0" applyFont="1" applyFill="1" applyBorder="1" applyAlignment="1">
      <alignment horizontal="center" vertical="top"/>
    </xf>
    <xf numFmtId="0" fontId="31" fillId="0" borderId="94" xfId="0" applyFont="1" applyBorder="1" applyAlignment="1">
      <alignment horizontal="center" vertical="top"/>
    </xf>
    <xf numFmtId="0" fontId="31" fillId="0" borderId="98" xfId="0" applyFont="1" applyBorder="1" applyAlignment="1">
      <alignment horizontal="center" vertical="top"/>
    </xf>
    <xf numFmtId="0" fontId="29" fillId="0" borderId="283" xfId="0" applyFont="1" applyBorder="1" applyAlignment="1">
      <alignment horizontal="center" vertical="top"/>
    </xf>
    <xf numFmtId="0" fontId="29" fillId="0" borderId="285" xfId="0" applyFont="1" applyBorder="1" applyAlignment="1">
      <alignment horizontal="center" vertical="top"/>
    </xf>
    <xf numFmtId="0" fontId="31" fillId="0" borderId="9" xfId="0" applyFont="1" applyBorder="1" applyAlignment="1">
      <alignment vertical="top"/>
    </xf>
    <xf numFmtId="0" fontId="31" fillId="0" borderId="34" xfId="0" applyFont="1" applyBorder="1" applyAlignment="1">
      <alignment vertical="top"/>
    </xf>
    <xf numFmtId="0" fontId="31" fillId="0" borderId="90" xfId="0" applyFont="1" applyBorder="1" applyAlignment="1">
      <alignment horizontal="center" vertical="top"/>
    </xf>
    <xf numFmtId="0" fontId="31" fillId="0" borderId="97" xfId="0" applyFont="1" applyBorder="1" applyAlignment="1">
      <alignment horizontal="center" vertical="top"/>
    </xf>
    <xf numFmtId="0" fontId="31" fillId="9" borderId="144" xfId="0" applyFont="1" applyFill="1" applyBorder="1" applyAlignment="1">
      <alignment horizontal="center" vertical="top"/>
    </xf>
    <xf numFmtId="0" fontId="31" fillId="9" borderId="145" xfId="0" applyFont="1" applyFill="1" applyBorder="1" applyAlignment="1">
      <alignment horizontal="center" vertical="top"/>
    </xf>
    <xf numFmtId="0" fontId="29" fillId="0" borderId="338" xfId="0" applyFont="1" applyBorder="1" applyAlignment="1">
      <alignment horizontal="center" vertical="top"/>
    </xf>
    <xf numFmtId="0" fontId="29" fillId="9" borderId="175" xfId="0" applyFont="1" applyFill="1" applyBorder="1" applyAlignment="1">
      <alignment horizontal="center" vertical="top" wrapText="1"/>
    </xf>
    <xf numFmtId="0" fontId="29" fillId="0" borderId="0" xfId="0" applyFont="1" applyBorder="1" applyAlignment="1">
      <alignment vertical="top" wrapText="1"/>
    </xf>
    <xf numFmtId="0" fontId="29" fillId="0" borderId="132" xfId="0" applyFont="1" applyBorder="1" applyAlignment="1">
      <alignment vertical="top" wrapText="1"/>
    </xf>
    <xf numFmtId="0" fontId="31" fillId="0" borderId="234" xfId="0" applyFont="1" applyBorder="1" applyAlignment="1">
      <alignment horizontal="center" vertical="top" wrapText="1"/>
    </xf>
    <xf numFmtId="0" fontId="31" fillId="0" borderId="271" xfId="0" applyFont="1" applyBorder="1" applyAlignment="1">
      <alignment horizontal="center" vertical="top" wrapText="1"/>
    </xf>
    <xf numFmtId="0" fontId="31" fillId="0" borderId="328" xfId="0" applyFont="1" applyBorder="1" applyAlignment="1">
      <alignment horizontal="center" vertical="top" wrapText="1"/>
    </xf>
    <xf numFmtId="0" fontId="29" fillId="0" borderId="283" xfId="0" applyFont="1" applyBorder="1" applyAlignment="1">
      <alignment horizontal="center" vertical="top" wrapText="1"/>
    </xf>
    <xf numFmtId="0" fontId="29" fillId="0" borderId="83" xfId="0" applyFont="1" applyBorder="1" applyAlignment="1">
      <alignment vertical="top" wrapText="1"/>
    </xf>
    <xf numFmtId="0" fontId="29" fillId="9" borderId="177" xfId="0" applyFont="1" applyFill="1" applyBorder="1" applyAlignment="1">
      <alignment horizontal="center" vertical="top" wrapText="1"/>
    </xf>
    <xf numFmtId="0" fontId="29" fillId="0" borderId="92" xfId="0" applyFont="1" applyBorder="1" applyAlignment="1">
      <alignment horizontal="center" vertical="top" wrapText="1"/>
    </xf>
    <xf numFmtId="0" fontId="29" fillId="0" borderId="93" xfId="0" applyFont="1" applyBorder="1" applyAlignment="1">
      <alignment horizontal="center" vertical="top" wrapText="1"/>
    </xf>
    <xf numFmtId="0" fontId="29" fillId="0" borderId="95" xfId="0" applyFont="1" applyBorder="1" applyAlignment="1">
      <alignment horizontal="center" vertical="top" wrapText="1"/>
    </xf>
    <xf numFmtId="0" fontId="29" fillId="0" borderId="337" xfId="0" applyFont="1" applyBorder="1" applyAlignment="1">
      <alignment horizontal="center" vertical="top" wrapText="1"/>
    </xf>
    <xf numFmtId="0" fontId="29" fillId="0" borderId="4" xfId="0" applyFont="1" applyBorder="1" applyAlignment="1">
      <alignment horizontal="left" vertical="top" indent="1"/>
    </xf>
    <xf numFmtId="0" fontId="29" fillId="0" borderId="51" xfId="0" applyFont="1" applyBorder="1" applyAlignment="1">
      <alignment horizontal="left" vertical="top" indent="1"/>
    </xf>
    <xf numFmtId="0" fontId="31" fillId="9" borderId="8" xfId="0" applyFont="1" applyFill="1" applyBorder="1" applyAlignment="1">
      <alignment horizontal="left" vertical="top"/>
    </xf>
    <xf numFmtId="0" fontId="31" fillId="9" borderId="335" xfId="0" applyFont="1" applyFill="1" applyBorder="1" applyAlignment="1">
      <alignment horizontal="left" vertical="top"/>
    </xf>
    <xf numFmtId="0" fontId="40" fillId="0" borderId="0" xfId="0" applyFont="1" applyBorder="1" applyProtection="1"/>
    <xf numFmtId="0" fontId="0" fillId="0" borderId="0" xfId="0" applyFont="1" applyFill="1" applyBorder="1" applyProtection="1"/>
    <xf numFmtId="0" fontId="31" fillId="0" borderId="9" xfId="0" applyFont="1" applyBorder="1"/>
    <xf numFmtId="0" fontId="59" fillId="0" borderId="9" xfId="0" applyFont="1" applyBorder="1"/>
    <xf numFmtId="0" fontId="31" fillId="0" borderId="34" xfId="0" applyFont="1" applyBorder="1" applyAlignment="1">
      <alignment horizontal="left" wrapText="1"/>
    </xf>
    <xf numFmtId="0" fontId="31" fillId="0" borderId="9" xfId="0" applyFont="1" applyBorder="1" applyAlignment="1">
      <alignment horizontal="left" wrapText="1"/>
    </xf>
    <xf numFmtId="2" fontId="31" fillId="9" borderId="55" xfId="0" applyNumberFormat="1" applyFont="1" applyFill="1" applyBorder="1" applyAlignment="1">
      <alignment horizontal="left" wrapText="1"/>
    </xf>
    <xf numFmtId="2" fontId="31" fillId="9" borderId="65" xfId="0" applyNumberFormat="1" applyFont="1" applyFill="1" applyBorder="1" applyAlignment="1">
      <alignment horizontal="right" indent="1"/>
    </xf>
    <xf numFmtId="2" fontId="31" fillId="9" borderId="176" xfId="0" applyNumberFormat="1" applyFont="1" applyFill="1" applyBorder="1" applyAlignment="1">
      <alignment horizontal="right" indent="1"/>
    </xf>
    <xf numFmtId="2" fontId="31" fillId="9" borderId="177" xfId="0" applyNumberFormat="1" applyFont="1" applyFill="1" applyBorder="1" applyAlignment="1">
      <alignment horizontal="right" indent="1"/>
    </xf>
    <xf numFmtId="3" fontId="29" fillId="0" borderId="8" xfId="0" applyNumberFormat="1" applyFont="1" applyBorder="1" applyAlignment="1">
      <alignment horizontal="right" indent="1"/>
    </xf>
    <xf numFmtId="3" fontId="29" fillId="0" borderId="4" xfId="0" applyNumberFormat="1" applyFont="1" applyBorder="1" applyAlignment="1">
      <alignment horizontal="right" indent="1"/>
    </xf>
    <xf numFmtId="0" fontId="29" fillId="0" borderId="4" xfId="0" applyFont="1" applyBorder="1" applyAlignment="1">
      <alignment horizontal="right" indent="1"/>
    </xf>
    <xf numFmtId="0" fontId="29" fillId="0" borderId="51" xfId="0" applyFont="1" applyBorder="1" applyAlignment="1">
      <alignment horizontal="right" indent="1"/>
    </xf>
    <xf numFmtId="0" fontId="19" fillId="0" borderId="19" xfId="3" applyFont="1" applyFill="1" applyBorder="1" applyAlignment="1">
      <alignment vertical="center"/>
    </xf>
    <xf numFmtId="0" fontId="19" fillId="0" borderId="19" xfId="3" applyFont="1" applyFill="1" applyBorder="1" applyAlignment="1">
      <alignment vertical="center" wrapText="1"/>
    </xf>
    <xf numFmtId="0" fontId="21" fillId="0" borderId="20" xfId="3" applyFont="1" applyFill="1" applyBorder="1" applyAlignment="1">
      <alignment vertical="center"/>
    </xf>
    <xf numFmtId="0" fontId="21" fillId="0" borderId="20" xfId="3" applyFont="1" applyFill="1" applyBorder="1" applyAlignment="1">
      <alignment vertical="center" wrapText="1"/>
    </xf>
    <xf numFmtId="0" fontId="21" fillId="0" borderId="19" xfId="3" applyFont="1" applyFill="1" applyBorder="1" applyAlignment="1">
      <alignment vertical="center" wrapText="1"/>
    </xf>
    <xf numFmtId="0" fontId="21" fillId="0" borderId="69" xfId="3" applyFont="1" applyFill="1" applyBorder="1" applyAlignment="1">
      <alignment horizontal="left" vertical="center" wrapText="1" indent="1"/>
    </xf>
    <xf numFmtId="0" fontId="21" fillId="0" borderId="69" xfId="3" applyFont="1" applyFill="1" applyBorder="1" applyAlignment="1">
      <alignment vertical="center" wrapText="1"/>
    </xf>
    <xf numFmtId="0" fontId="21" fillId="0" borderId="68" xfId="3" applyFont="1" applyFill="1" applyBorder="1" applyAlignment="1">
      <alignment vertical="center" wrapText="1"/>
    </xf>
    <xf numFmtId="0" fontId="21" fillId="0" borderId="63" xfId="3" applyFont="1" applyFill="1" applyBorder="1" applyAlignment="1">
      <alignment vertical="center" wrapText="1"/>
    </xf>
    <xf numFmtId="0" fontId="21" fillId="0" borderId="130" xfId="3" applyFont="1" applyFill="1" applyBorder="1" applyAlignment="1">
      <alignment vertical="center" wrapText="1"/>
    </xf>
    <xf numFmtId="0" fontId="21" fillId="0" borderId="197" xfId="3" applyFont="1" applyFill="1" applyBorder="1" applyAlignment="1">
      <alignment vertical="center" wrapText="1"/>
    </xf>
    <xf numFmtId="0" fontId="21" fillId="0" borderId="19" xfId="3" applyFont="1" applyFill="1" applyBorder="1" applyAlignment="1">
      <alignment vertical="center"/>
    </xf>
    <xf numFmtId="0" fontId="21" fillId="0" borderId="19" xfId="3" applyFont="1" applyFill="1" applyBorder="1" applyAlignment="1" applyProtection="1">
      <alignment vertical="center"/>
    </xf>
    <xf numFmtId="0" fontId="21" fillId="0" borderId="19" xfId="3" applyFont="1" applyFill="1" applyBorder="1" applyAlignment="1" applyProtection="1">
      <alignment vertical="center" wrapText="1"/>
    </xf>
    <xf numFmtId="0" fontId="21" fillId="0" borderId="209" xfId="3" applyFont="1" applyFill="1" applyBorder="1" applyAlignment="1">
      <alignment horizontal="left" vertical="center" wrapText="1" indent="1"/>
    </xf>
    <xf numFmtId="0" fontId="21" fillId="0" borderId="68" xfId="3" applyFont="1" applyFill="1" applyBorder="1" applyAlignment="1">
      <alignment vertical="center"/>
    </xf>
    <xf numFmtId="0" fontId="21" fillId="0" borderId="130" xfId="3" applyFont="1" applyFill="1" applyBorder="1" applyAlignment="1">
      <alignment vertical="center"/>
    </xf>
    <xf numFmtId="0" fontId="19" fillId="0" borderId="20" xfId="3" applyFont="1" applyFill="1" applyBorder="1" applyAlignment="1">
      <alignment vertical="center"/>
    </xf>
    <xf numFmtId="0" fontId="19" fillId="0" borderId="20" xfId="3" applyFont="1" applyFill="1" applyBorder="1" applyAlignment="1">
      <alignment vertical="center" wrapText="1"/>
    </xf>
    <xf numFmtId="0" fontId="19" fillId="0" borderId="197" xfId="3" applyFont="1" applyFill="1" applyBorder="1" applyAlignment="1">
      <alignment vertical="center"/>
    </xf>
    <xf numFmtId="0" fontId="19" fillId="0" borderId="197" xfId="3" applyFont="1" applyFill="1" applyBorder="1" applyAlignment="1">
      <alignment vertical="center" wrapText="1"/>
    </xf>
    <xf numFmtId="0" fontId="21" fillId="0" borderId="63" xfId="3" applyFont="1" applyFill="1" applyBorder="1" applyAlignment="1">
      <alignment vertical="center"/>
    </xf>
    <xf numFmtId="0" fontId="31" fillId="0" borderId="16" xfId="0" applyFont="1" applyBorder="1" applyAlignment="1">
      <alignment horizontal="left" wrapText="1"/>
    </xf>
    <xf numFmtId="3" fontId="31" fillId="0" borderId="34" xfId="0" applyNumberFormat="1" applyFont="1" applyBorder="1"/>
    <xf numFmtId="14" fontId="31" fillId="0" borderId="34" xfId="0" applyNumberFormat="1" applyFont="1" applyBorder="1"/>
    <xf numFmtId="0" fontId="29" fillId="0" borderId="0" xfId="0" applyFont="1" applyFill="1" applyBorder="1"/>
    <xf numFmtId="0" fontId="31" fillId="27" borderId="55" xfId="0" applyFont="1" applyFill="1" applyBorder="1" applyAlignment="1">
      <alignment horizontal="left" wrapText="1"/>
    </xf>
    <xf numFmtId="0" fontId="29" fillId="0" borderId="93" xfId="0" applyFont="1" applyBorder="1"/>
    <xf numFmtId="0" fontId="29" fillId="0" borderId="252" xfId="0" applyFont="1" applyBorder="1" applyAlignment="1">
      <alignment horizontal="right" indent="1"/>
    </xf>
    <xf numFmtId="3" fontId="29" fillId="0" borderId="153" xfId="0" applyNumberFormat="1" applyFont="1" applyBorder="1" applyAlignment="1">
      <alignment horizontal="right" indent="1"/>
    </xf>
    <xf numFmtId="3" fontId="29" fillId="0" borderId="95" xfId="0" applyNumberFormat="1" applyFont="1" applyBorder="1" applyAlignment="1">
      <alignment horizontal="right" indent="1"/>
    </xf>
    <xf numFmtId="2" fontId="31" fillId="9" borderId="153" xfId="0" applyNumberFormat="1" applyFont="1" applyFill="1" applyBorder="1" applyAlignment="1">
      <alignment horizontal="right" indent="1"/>
    </xf>
    <xf numFmtId="3" fontId="29" fillId="0" borderId="40" xfId="0" applyNumberFormat="1" applyFont="1" applyBorder="1" applyAlignment="1">
      <alignment horizontal="right" indent="1"/>
    </xf>
    <xf numFmtId="0" fontId="31" fillId="0" borderId="322" xfId="0" applyFont="1" applyBorder="1" applyAlignment="1">
      <alignment wrapText="1"/>
    </xf>
    <xf numFmtId="0" fontId="31" fillId="0" borderId="216" xfId="0" applyFont="1" applyBorder="1"/>
    <xf numFmtId="0" fontId="29" fillId="0" borderId="271" xfId="0" applyFont="1" applyBorder="1"/>
    <xf numFmtId="0" fontId="29" fillId="0" borderId="334" xfId="0" applyFont="1" applyBorder="1" applyAlignment="1">
      <alignment horizontal="right" indent="1"/>
    </xf>
    <xf numFmtId="0" fontId="29" fillId="0" borderId="328" xfId="0" applyFont="1" applyBorder="1" applyAlignment="1">
      <alignment horizontal="right" indent="1"/>
    </xf>
    <xf numFmtId="2" fontId="31" fillId="9" borderId="175" xfId="0" applyNumberFormat="1" applyFont="1" applyFill="1" applyBorder="1" applyAlignment="1">
      <alignment horizontal="right" indent="1"/>
    </xf>
    <xf numFmtId="0" fontId="20" fillId="0" borderId="0" xfId="0" applyFont="1" applyFill="1" applyProtection="1"/>
    <xf numFmtId="0" fontId="53" fillId="2" borderId="2" xfId="3" applyFont="1" applyFill="1" applyBorder="1" applyAlignment="1">
      <alignment horizontal="left" indent="1"/>
    </xf>
    <xf numFmtId="0" fontId="26" fillId="0" borderId="0" xfId="0" applyFont="1" applyAlignment="1">
      <alignment horizontal="left" vertical="top" wrapText="1"/>
    </xf>
    <xf numFmtId="14" fontId="20" fillId="6" borderId="133" xfId="0" applyNumberFormat="1" applyFont="1" applyFill="1" applyBorder="1" applyAlignment="1" applyProtection="1">
      <alignment horizontal="right" indent="1"/>
      <protection locked="0"/>
    </xf>
    <xf numFmtId="1" fontId="26" fillId="0" borderId="0" xfId="0" applyNumberFormat="1" applyFont="1" applyAlignment="1" applyProtection="1">
      <alignment horizontal="right" indent="1"/>
    </xf>
    <xf numFmtId="0" fontId="24" fillId="0" borderId="8" xfId="0" applyFont="1" applyBorder="1" applyProtection="1"/>
    <xf numFmtId="1" fontId="20" fillId="5" borderId="13" xfId="0" applyNumberFormat="1" applyFont="1" applyFill="1" applyBorder="1" applyAlignment="1" applyProtection="1">
      <alignment horizontal="center" vertical="center" wrapText="1"/>
    </xf>
    <xf numFmtId="0" fontId="43" fillId="0" borderId="0" xfId="0" applyFont="1" applyAlignment="1" applyProtection="1">
      <alignment horizontal="center"/>
    </xf>
    <xf numFmtId="1" fontId="43" fillId="0" borderId="0" xfId="0" applyNumberFormat="1" applyFont="1" applyAlignment="1" applyProtection="1">
      <alignment horizontal="center"/>
    </xf>
    <xf numFmtId="0" fontId="20" fillId="0" borderId="0" xfId="0" applyFont="1" applyAlignment="1" applyProtection="1">
      <alignment horizontal="right" indent="1"/>
    </xf>
    <xf numFmtId="14" fontId="21" fillId="0" borderId="0" xfId="0" applyNumberFormat="1" applyFont="1" applyProtection="1"/>
    <xf numFmtId="14" fontId="23" fillId="0" borderId="0" xfId="0" applyNumberFormat="1" applyFont="1" applyProtection="1"/>
    <xf numFmtId="0" fontId="24" fillId="0" borderId="0" xfId="0" applyFont="1" applyFill="1" applyBorder="1" applyAlignment="1" applyProtection="1">
      <alignment vertical="top"/>
    </xf>
    <xf numFmtId="0" fontId="26" fillId="0" borderId="0" xfId="0" applyFont="1" applyFill="1" applyBorder="1" applyAlignment="1" applyProtection="1">
      <alignment horizontal="left" vertical="top" wrapText="1"/>
    </xf>
    <xf numFmtId="0" fontId="21" fillId="0" borderId="0" xfId="0" applyFont="1" applyBorder="1" applyProtection="1"/>
    <xf numFmtId="0" fontId="20" fillId="0" borderId="55" xfId="3" applyFont="1" applyBorder="1" applyAlignment="1">
      <alignment horizontal="center" vertical="center"/>
    </xf>
    <xf numFmtId="0" fontId="20" fillId="2" borderId="72" xfId="0" applyFont="1" applyFill="1" applyBorder="1" applyAlignment="1">
      <alignment horizontal="center" vertical="center" wrapText="1"/>
    </xf>
    <xf numFmtId="0" fontId="27" fillId="0" borderId="192" xfId="3" applyFont="1" applyFill="1" applyBorder="1" applyAlignment="1">
      <alignment horizontal="left" vertical="center" wrapText="1" indent="1"/>
    </xf>
    <xf numFmtId="170" fontId="21" fillId="27" borderId="50" xfId="0" applyNumberFormat="1" applyFont="1" applyFill="1" applyBorder="1" applyAlignment="1" applyProtection="1">
      <alignment vertical="center"/>
    </xf>
    <xf numFmtId="170" fontId="21" fillId="27" borderId="3" xfId="0" applyNumberFormat="1" applyFont="1" applyFill="1" applyBorder="1" applyAlignment="1" applyProtection="1">
      <alignment vertical="center"/>
    </xf>
    <xf numFmtId="170" fontId="21" fillId="27" borderId="252" xfId="0" applyNumberFormat="1" applyFont="1" applyFill="1" applyBorder="1" applyAlignment="1" applyProtection="1">
      <alignment vertical="center"/>
    </xf>
    <xf numFmtId="11" fontId="20" fillId="20" borderId="91" xfId="4" applyNumberFormat="1" applyFont="1" applyFill="1" applyBorder="1" applyAlignment="1" applyProtection="1">
      <alignment horizontal="center"/>
      <protection locked="0"/>
    </xf>
    <xf numFmtId="11" fontId="20" fillId="20" borderId="3" xfId="4" applyNumberFormat="1" applyFont="1" applyFill="1" applyBorder="1" applyAlignment="1" applyProtection="1">
      <alignment horizontal="center"/>
      <protection locked="0"/>
    </xf>
    <xf numFmtId="11" fontId="20" fillId="20" borderId="90" xfId="4" applyNumberFormat="1" applyFont="1" applyFill="1" applyBorder="1" applyAlignment="1" applyProtection="1">
      <alignment horizontal="center"/>
      <protection locked="0"/>
    </xf>
    <xf numFmtId="11" fontId="20" fillId="9" borderId="91" xfId="4" applyNumberFormat="1" applyFont="1" applyFill="1" applyBorder="1" applyAlignment="1" applyProtection="1">
      <alignment horizontal="center"/>
      <protection locked="0"/>
    </xf>
    <xf numFmtId="11" fontId="20" fillId="9" borderId="3" xfId="4" applyNumberFormat="1" applyFont="1" applyFill="1" applyBorder="1" applyAlignment="1" applyProtection="1">
      <alignment horizontal="center"/>
      <protection locked="0"/>
    </xf>
    <xf numFmtId="11" fontId="20" fillId="9" borderId="90" xfId="4" applyNumberFormat="1" applyFont="1" applyFill="1" applyBorder="1" applyAlignment="1" applyProtection="1">
      <alignment horizontal="center"/>
      <protection locked="0"/>
    </xf>
    <xf numFmtId="11" fontId="20" fillId="20" borderId="25" xfId="4" applyNumberFormat="1" applyFont="1" applyFill="1" applyBorder="1" applyAlignment="1" applyProtection="1">
      <alignment horizontal="center"/>
      <protection locked="0"/>
    </xf>
    <xf numFmtId="11" fontId="20" fillId="20" borderId="43" xfId="4" applyNumberFormat="1" applyFont="1" applyFill="1" applyBorder="1" applyAlignment="1" applyProtection="1">
      <alignment horizontal="center"/>
      <protection locked="0"/>
    </xf>
    <xf numFmtId="11" fontId="20" fillId="20" borderId="97" xfId="4" applyNumberFormat="1" applyFont="1" applyFill="1" applyBorder="1" applyAlignment="1" applyProtection="1">
      <alignment horizontal="center"/>
      <protection locked="0"/>
    </xf>
    <xf numFmtId="11" fontId="20" fillId="20" borderId="94" xfId="4" applyNumberFormat="1" applyFont="1" applyFill="1" applyBorder="1" applyAlignment="1" applyProtection="1">
      <alignment horizontal="center"/>
      <protection locked="0"/>
    </xf>
    <xf numFmtId="11" fontId="20" fillId="9" borderId="94" xfId="4" applyNumberFormat="1" applyFont="1" applyFill="1" applyBorder="1" applyAlignment="1" applyProtection="1">
      <alignment horizontal="center"/>
      <protection locked="0"/>
    </xf>
    <xf numFmtId="11" fontId="20" fillId="20" borderId="98" xfId="4" applyNumberFormat="1" applyFont="1" applyFill="1" applyBorder="1" applyAlignment="1" applyProtection="1">
      <alignment horizontal="center"/>
      <protection locked="0"/>
    </xf>
    <xf numFmtId="9" fontId="21" fillId="0" borderId="0" xfId="0" applyNumberFormat="1" applyFont="1" applyAlignment="1" applyProtection="1">
      <alignment wrapText="1"/>
    </xf>
    <xf numFmtId="0" fontId="27" fillId="0" borderId="0" xfId="0" applyFont="1" applyAlignment="1">
      <alignment horizontal="left" vertical="top"/>
    </xf>
    <xf numFmtId="0" fontId="20" fillId="0" borderId="0" xfId="0" applyFont="1" applyAlignment="1" applyProtection="1"/>
    <xf numFmtId="0" fontId="26" fillId="0" borderId="0" xfId="0" applyFont="1" applyFill="1" applyAlignment="1" applyProtection="1">
      <alignment vertical="top"/>
    </xf>
    <xf numFmtId="0" fontId="21" fillId="0" borderId="0" xfId="0" applyFont="1" applyFill="1" applyAlignment="1" applyProtection="1">
      <alignment vertical="top"/>
    </xf>
    <xf numFmtId="0" fontId="51" fillId="0" borderId="0" xfId="11" applyFont="1" applyFill="1" applyAlignment="1" applyProtection="1"/>
    <xf numFmtId="0" fontId="0" fillId="0" borderId="8" xfId="0" applyBorder="1"/>
    <xf numFmtId="0" fontId="20" fillId="0" borderId="0" xfId="0" applyFont="1" applyFill="1" applyBorder="1" applyAlignment="1" applyProtection="1">
      <alignment horizontal="right" indent="1"/>
    </xf>
    <xf numFmtId="0" fontId="26" fillId="0" borderId="0" xfId="0" applyFont="1" applyFill="1"/>
    <xf numFmtId="0" fontId="26" fillId="0" borderId="0" xfId="3" applyFont="1" applyFill="1" applyBorder="1"/>
    <xf numFmtId="0" fontId="61" fillId="0" borderId="0" xfId="3" applyFont="1" applyFill="1" applyBorder="1" applyAlignment="1">
      <alignment vertical="top"/>
    </xf>
    <xf numFmtId="0" fontId="26" fillId="0" borderId="0" xfId="3" applyFont="1" applyFill="1" applyBorder="1" applyAlignment="1">
      <alignment horizontal="center" vertical="center"/>
    </xf>
    <xf numFmtId="0" fontId="25" fillId="0" borderId="0" xfId="3" applyFont="1"/>
    <xf numFmtId="0" fontId="62" fillId="0" borderId="0" xfId="3" applyFont="1"/>
    <xf numFmtId="0" fontId="20" fillId="29" borderId="8" xfId="0" applyFont="1" applyFill="1" applyBorder="1" applyAlignment="1">
      <alignment horizontal="left" indent="1"/>
    </xf>
    <xf numFmtId="0" fontId="31" fillId="0" borderId="55" xfId="0" applyFont="1" applyBorder="1" applyAlignment="1">
      <alignment horizontal="left" vertical="center" wrapText="1"/>
    </xf>
    <xf numFmtId="0" fontId="0" fillId="0" borderId="0" xfId="0"/>
    <xf numFmtId="0" fontId="21" fillId="0" borderId="94" xfId="0" applyFont="1" applyFill="1" applyBorder="1" applyAlignment="1">
      <alignment vertical="center"/>
    </xf>
    <xf numFmtId="0" fontId="20" fillId="0" borderId="90" xfId="0" applyFont="1" applyFill="1" applyBorder="1" applyAlignment="1" applyProtection="1">
      <alignment vertical="center"/>
    </xf>
    <xf numFmtId="0" fontId="33" fillId="17" borderId="33" xfId="3" applyFont="1" applyFill="1" applyBorder="1" applyAlignment="1" applyProtection="1">
      <alignment horizontal="left" wrapText="1"/>
    </xf>
    <xf numFmtId="0" fontId="20" fillId="9" borderId="90" xfId="0" applyFont="1" applyFill="1" applyBorder="1" applyAlignment="1">
      <alignment horizontal="center" vertical="center"/>
    </xf>
    <xf numFmtId="0" fontId="0" fillId="0" borderId="0" xfId="0" applyAlignment="1" applyProtection="1">
      <alignment horizontal="left" vertical="center"/>
    </xf>
    <xf numFmtId="0" fontId="20" fillId="9" borderId="0" xfId="7" applyFont="1" applyFill="1" applyBorder="1" applyAlignment="1" applyProtection="1">
      <alignment horizontal="center" vertical="top" wrapText="1"/>
    </xf>
    <xf numFmtId="0" fontId="20" fillId="9" borderId="90" xfId="0" applyFont="1" applyFill="1" applyBorder="1" applyAlignment="1">
      <alignment horizontal="center" vertical="center" wrapText="1"/>
    </xf>
    <xf numFmtId="0" fontId="26" fillId="0" borderId="0" xfId="0" applyFont="1" applyAlignment="1">
      <alignment horizontal="left" vertical="top" wrapText="1"/>
    </xf>
    <xf numFmtId="2" fontId="33" fillId="12" borderId="138" xfId="3" applyNumberFormat="1" applyFont="1" applyFill="1" applyBorder="1" applyAlignment="1" applyProtection="1">
      <alignment horizontal="right" vertical="center" wrapText="1" indent="1"/>
    </xf>
    <xf numFmtId="2" fontId="33" fillId="12" borderId="306" xfId="3" applyNumberFormat="1" applyFont="1" applyFill="1" applyBorder="1" applyAlignment="1" applyProtection="1">
      <alignment horizontal="right" vertical="center" wrapText="1" indent="1"/>
    </xf>
    <xf numFmtId="2" fontId="33" fillId="12" borderId="312" xfId="3" applyNumberFormat="1" applyFont="1" applyFill="1" applyBorder="1" applyAlignment="1" applyProtection="1">
      <alignment horizontal="right" vertical="center" wrapText="1" indent="1"/>
    </xf>
    <xf numFmtId="3" fontId="33" fillId="12" borderId="163" xfId="3" applyNumberFormat="1" applyFont="1" applyFill="1" applyBorder="1" applyAlignment="1" applyProtection="1">
      <alignment horizontal="right" vertical="center" wrapText="1" indent="1"/>
    </xf>
    <xf numFmtId="3" fontId="33" fillId="12" borderId="167" xfId="3" applyNumberFormat="1" applyFont="1" applyFill="1" applyBorder="1" applyAlignment="1" applyProtection="1">
      <alignment horizontal="right" vertical="center" wrapText="1" indent="1"/>
    </xf>
    <xf numFmtId="2" fontId="33" fillId="12" borderId="139" xfId="3" applyNumberFormat="1" applyFont="1" applyFill="1" applyBorder="1" applyAlignment="1" applyProtection="1">
      <alignment horizontal="right" vertical="center" wrapText="1" indent="1"/>
    </xf>
    <xf numFmtId="3" fontId="33" fillId="12" borderId="306" xfId="3" applyNumberFormat="1" applyFont="1" applyFill="1" applyBorder="1" applyAlignment="1" applyProtection="1">
      <alignment horizontal="right" vertical="center" wrapText="1" indent="1"/>
    </xf>
    <xf numFmtId="3" fontId="33" fillId="12" borderId="138" xfId="3" applyNumberFormat="1" applyFont="1" applyFill="1" applyBorder="1" applyAlignment="1" applyProtection="1">
      <alignment horizontal="right" vertical="center" wrapText="1" indent="1"/>
    </xf>
    <xf numFmtId="0" fontId="63" fillId="0" borderId="0" xfId="0" applyFont="1"/>
    <xf numFmtId="0" fontId="10" fillId="0" borderId="90" xfId="3" applyBorder="1" applyAlignment="1" applyProtection="1">
      <alignment horizontal="left" wrapText="1"/>
    </xf>
    <xf numFmtId="0" fontId="57" fillId="0" borderId="94" xfId="3" applyFont="1" applyBorder="1" applyAlignment="1" applyProtection="1">
      <alignment vertical="center" wrapText="1"/>
    </xf>
    <xf numFmtId="0" fontId="64" fillId="0" borderId="66" xfId="3" applyFont="1" applyBorder="1" applyAlignment="1" applyProtection="1">
      <alignment horizontal="right" vertical="center" wrapText="1" indent="1"/>
    </xf>
    <xf numFmtId="0" fontId="64" fillId="0" borderId="61" xfId="3" applyFont="1" applyBorder="1" applyAlignment="1" applyProtection="1">
      <alignment horizontal="right" vertical="center" wrapText="1" indent="1"/>
    </xf>
    <xf numFmtId="0" fontId="64" fillId="0" borderId="60" xfId="3" applyFont="1" applyBorder="1" applyAlignment="1" applyProtection="1">
      <alignment horizontal="right" vertical="center" wrapText="1" indent="1"/>
    </xf>
    <xf numFmtId="0" fontId="21" fillId="0" borderId="0" xfId="0" applyFont="1" applyFill="1" applyBorder="1" applyAlignment="1">
      <alignment horizontal="left" vertical="top" wrapText="1"/>
    </xf>
    <xf numFmtId="0" fontId="21" fillId="0" borderId="0" xfId="3" applyFont="1" applyFill="1" applyBorder="1" applyAlignment="1" applyProtection="1">
      <alignment vertical="top" wrapText="1"/>
    </xf>
    <xf numFmtId="0" fontId="21" fillId="0" borderId="0" xfId="0" applyFont="1" applyFill="1" applyBorder="1" applyAlignment="1" applyProtection="1">
      <alignment vertical="top" wrapText="1"/>
    </xf>
    <xf numFmtId="0" fontId="21" fillId="0" borderId="0" xfId="3" applyFont="1" applyFill="1" applyBorder="1" applyAlignment="1" applyProtection="1">
      <alignment horizontal="left" vertical="top" wrapText="1"/>
    </xf>
    <xf numFmtId="0" fontId="20" fillId="0" borderId="0" xfId="0" applyFont="1" applyFill="1" applyBorder="1" applyAlignment="1" applyProtection="1">
      <alignment vertical="top" wrapText="1"/>
    </xf>
    <xf numFmtId="0" fontId="21" fillId="0" borderId="0" xfId="0" applyFont="1" applyFill="1" applyBorder="1" applyAlignment="1">
      <alignment vertical="top" wrapText="1"/>
    </xf>
    <xf numFmtId="0" fontId="21" fillId="0" borderId="0" xfId="7" applyFont="1" applyFill="1" applyBorder="1" applyAlignment="1" applyProtection="1">
      <alignment horizontal="left" vertical="top" wrapText="1"/>
    </xf>
    <xf numFmtId="0" fontId="21" fillId="0" borderId="0" xfId="7" applyFont="1" applyFill="1" applyBorder="1" applyAlignment="1" applyProtection="1">
      <alignment vertical="top" wrapText="1"/>
    </xf>
    <xf numFmtId="0" fontId="21" fillId="0" borderId="0" xfId="0" applyFont="1" applyFill="1" applyBorder="1" applyAlignment="1" applyProtection="1">
      <alignment horizontal="left" vertical="top" wrapText="1"/>
    </xf>
    <xf numFmtId="0" fontId="21" fillId="0" borderId="0" xfId="3" applyFont="1" applyFill="1" applyBorder="1" applyAlignment="1">
      <alignment horizontal="left" vertical="top" wrapText="1"/>
    </xf>
    <xf numFmtId="0" fontId="21" fillId="0" borderId="0" xfId="3" applyFont="1" applyFill="1" applyBorder="1" applyAlignment="1">
      <alignment vertical="top" wrapText="1"/>
    </xf>
    <xf numFmtId="0" fontId="21" fillId="0" borderId="0" xfId="0" applyFont="1" applyFill="1" applyBorder="1" applyAlignment="1" applyProtection="1">
      <alignment horizontal="left" vertical="top" wrapText="1"/>
      <protection locked="0"/>
    </xf>
    <xf numFmtId="0" fontId="20" fillId="0" borderId="0" xfId="3" applyFont="1" applyFill="1" applyBorder="1" applyAlignment="1">
      <alignment vertical="top" wrapText="1"/>
    </xf>
    <xf numFmtId="0" fontId="26" fillId="0" borderId="0" xfId="0" applyFont="1" applyFill="1" applyBorder="1" applyAlignment="1">
      <alignment horizontal="left" vertical="top" wrapText="1"/>
    </xf>
    <xf numFmtId="0" fontId="24" fillId="0" borderId="0" xfId="0" applyFont="1" applyFill="1" applyBorder="1" applyAlignment="1">
      <alignment vertical="top" wrapText="1"/>
    </xf>
    <xf numFmtId="0" fontId="21" fillId="0" borderId="0" xfId="0" applyNumberFormat="1" applyFont="1" applyFill="1" applyBorder="1" applyAlignment="1">
      <alignment horizontal="left" vertical="top" wrapText="1"/>
    </xf>
    <xf numFmtId="167" fontId="21" fillId="0" borderId="0" xfId="7" applyNumberFormat="1" applyFont="1" applyFill="1" applyBorder="1" applyAlignment="1">
      <alignment horizontal="left" vertical="top" wrapText="1"/>
    </xf>
    <xf numFmtId="0" fontId="21" fillId="0" borderId="0" xfId="7" applyFont="1" applyFill="1" applyBorder="1" applyAlignment="1">
      <alignment vertical="top" wrapText="1"/>
    </xf>
    <xf numFmtId="0" fontId="21" fillId="0" borderId="0" xfId="7" applyNumberFormat="1" applyFont="1" applyFill="1" applyBorder="1" applyAlignment="1">
      <alignment vertical="top" wrapText="1"/>
    </xf>
    <xf numFmtId="0" fontId="21" fillId="0" borderId="0" xfId="7" applyNumberFormat="1" applyFont="1" applyFill="1" applyBorder="1" applyAlignment="1">
      <alignment horizontal="left" vertical="top" wrapText="1"/>
    </xf>
    <xf numFmtId="14" fontId="21" fillId="0" borderId="0" xfId="3" applyNumberFormat="1" applyFont="1" applyFill="1" applyBorder="1" applyAlignment="1" applyProtection="1">
      <alignment vertical="top" wrapText="1"/>
    </xf>
    <xf numFmtId="14" fontId="20" fillId="0" borderId="0" xfId="3" applyNumberFormat="1" applyFont="1" applyFill="1" applyBorder="1" applyAlignment="1" applyProtection="1">
      <alignment horizontal="center" vertical="top" wrapText="1"/>
    </xf>
    <xf numFmtId="0" fontId="20" fillId="0" borderId="0" xfId="3"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6" fillId="0" borderId="0" xfId="3" applyFont="1" applyFill="1" applyBorder="1" applyAlignment="1" applyProtection="1">
      <alignment vertical="top" wrapText="1"/>
    </xf>
    <xf numFmtId="14" fontId="21" fillId="0" borderId="0" xfId="0" applyNumberFormat="1" applyFont="1" applyFill="1" applyBorder="1" applyAlignment="1" applyProtection="1">
      <alignment vertical="top" wrapText="1"/>
    </xf>
    <xf numFmtId="171" fontId="21" fillId="0" borderId="0" xfId="3" applyNumberFormat="1" applyFont="1" applyFill="1" applyBorder="1" applyAlignment="1" applyProtection="1">
      <alignment vertical="top" wrapText="1"/>
    </xf>
    <xf numFmtId="3" fontId="21" fillId="0" borderId="0" xfId="3" applyNumberFormat="1" applyFont="1" applyFill="1" applyBorder="1" applyAlignment="1" applyProtection="1">
      <alignment vertical="top" wrapText="1"/>
    </xf>
    <xf numFmtId="2" fontId="21" fillId="0" borderId="0" xfId="3" applyNumberFormat="1" applyFont="1" applyFill="1" applyBorder="1" applyAlignment="1" applyProtection="1">
      <alignment vertical="top" wrapText="1"/>
    </xf>
    <xf numFmtId="4" fontId="21" fillId="0" borderId="0" xfId="3" applyNumberFormat="1" applyFont="1" applyFill="1" applyBorder="1" applyAlignment="1" applyProtection="1">
      <alignment vertical="top" wrapText="1"/>
    </xf>
    <xf numFmtId="170" fontId="21" fillId="0" borderId="0" xfId="3" applyNumberFormat="1" applyFont="1" applyFill="1" applyBorder="1" applyAlignment="1" applyProtection="1">
      <alignment vertical="top" wrapText="1"/>
    </xf>
    <xf numFmtId="0" fontId="21" fillId="0" borderId="0" xfId="14" applyFont="1" applyFill="1" applyBorder="1" applyAlignment="1">
      <alignment vertical="top" wrapText="1"/>
    </xf>
    <xf numFmtId="0" fontId="20" fillId="0" borderId="0" xfId="14" applyFont="1" applyFill="1" applyBorder="1" applyAlignment="1">
      <alignment horizontal="center" vertical="top" wrapText="1"/>
    </xf>
    <xf numFmtId="0" fontId="20" fillId="0" borderId="0" xfId="0" applyFont="1" applyFill="1" applyBorder="1" applyAlignment="1">
      <alignment vertical="top" wrapText="1"/>
    </xf>
    <xf numFmtId="0" fontId="21" fillId="0" borderId="0" xfId="10" applyFont="1" applyFill="1" applyBorder="1" applyAlignment="1" applyProtection="1">
      <alignment horizontal="left" vertical="top" wrapText="1"/>
    </xf>
    <xf numFmtId="1" fontId="21" fillId="0" borderId="0" xfId="0" applyNumberFormat="1" applyFont="1" applyFill="1" applyBorder="1" applyAlignment="1" applyProtection="1">
      <alignment horizontal="left" vertical="top" wrapText="1"/>
    </xf>
    <xf numFmtId="0" fontId="21" fillId="0" borderId="0" xfId="10" applyFont="1" applyFill="1" applyBorder="1" applyAlignment="1" applyProtection="1">
      <alignment vertical="top" wrapText="1"/>
    </xf>
    <xf numFmtId="0" fontId="21" fillId="0" borderId="0" xfId="4" applyFont="1" applyFill="1" applyBorder="1" applyAlignment="1">
      <alignment vertical="top" wrapText="1"/>
    </xf>
    <xf numFmtId="0" fontId="21" fillId="0" borderId="0" xfId="3" applyFont="1" applyFill="1" applyBorder="1" applyAlignment="1" applyProtection="1">
      <alignment horizontal="center" vertical="top" wrapText="1"/>
    </xf>
    <xf numFmtId="0" fontId="68" fillId="0" borderId="0" xfId="10" applyFont="1" applyFill="1" applyBorder="1" applyAlignment="1">
      <alignment horizontal="left" vertical="top" wrapText="1"/>
    </xf>
    <xf numFmtId="0" fontId="20" fillId="0" borderId="0" xfId="3" applyFont="1" applyFill="1" applyBorder="1" applyAlignment="1">
      <alignment horizontal="left" vertical="top" wrapText="1"/>
    </xf>
    <xf numFmtId="3" fontId="20" fillId="0" borderId="0" xfId="0" applyNumberFormat="1" applyFont="1" applyFill="1" applyBorder="1" applyAlignment="1" applyProtection="1">
      <alignment horizontal="center" vertical="top" wrapText="1"/>
      <protection locked="0"/>
    </xf>
    <xf numFmtId="14" fontId="20" fillId="0" borderId="0" xfId="0" applyNumberFormat="1" applyFont="1" applyFill="1" applyBorder="1" applyAlignment="1" applyProtection="1">
      <alignment horizontal="right" vertical="top" wrapText="1"/>
      <protection locked="0"/>
    </xf>
    <xf numFmtId="14" fontId="21" fillId="0" borderId="0" xfId="0" applyNumberFormat="1" applyFont="1" applyFill="1" applyBorder="1" applyAlignment="1">
      <alignment vertical="top" wrapText="1"/>
    </xf>
    <xf numFmtId="0" fontId="20" fillId="0" borderId="0" xfId="0" applyFont="1" applyFill="1" applyBorder="1" applyAlignment="1" applyProtection="1">
      <alignment horizontal="right" vertical="top" wrapText="1"/>
      <protection locked="0"/>
    </xf>
    <xf numFmtId="0" fontId="68" fillId="0" borderId="0" xfId="0" applyFont="1" applyFill="1" applyBorder="1" applyAlignment="1">
      <alignment vertical="top" wrapText="1"/>
    </xf>
    <xf numFmtId="0" fontId="68" fillId="0" borderId="0" xfId="3" applyFont="1" applyFill="1" applyBorder="1" applyAlignment="1">
      <alignment vertical="top" wrapText="1"/>
    </xf>
    <xf numFmtId="0" fontId="68" fillId="0" borderId="0" xfId="10" applyFont="1" applyFill="1" applyBorder="1" applyAlignment="1">
      <alignment vertical="top" wrapText="1"/>
    </xf>
    <xf numFmtId="0" fontId="68" fillId="0" borderId="0" xfId="3" applyFont="1" applyFill="1" applyBorder="1" applyAlignment="1">
      <alignment horizontal="left" vertical="top" wrapText="1"/>
    </xf>
    <xf numFmtId="0" fontId="69" fillId="0" borderId="0" xfId="10" applyFont="1" applyFill="1" applyBorder="1" applyAlignment="1">
      <alignment vertical="top" wrapText="1"/>
    </xf>
    <xf numFmtId="0" fontId="65" fillId="0" borderId="0" xfId="0" applyFont="1" applyFill="1" applyBorder="1" applyAlignment="1">
      <alignment vertical="top" wrapText="1"/>
    </xf>
    <xf numFmtId="0" fontId="36" fillId="0" borderId="0" xfId="0" applyFont="1" applyFill="1" applyBorder="1" applyAlignment="1">
      <alignment vertical="top" wrapText="1"/>
    </xf>
    <xf numFmtId="0" fontId="21" fillId="0" borderId="0" xfId="0" applyNumberFormat="1" applyFont="1" applyFill="1" applyBorder="1" applyAlignment="1">
      <alignment vertical="top" wrapText="1"/>
    </xf>
    <xf numFmtId="0" fontId="26" fillId="0" borderId="0" xfId="0" applyFont="1" applyFill="1" applyBorder="1" applyAlignment="1">
      <alignment vertical="top" wrapText="1"/>
    </xf>
    <xf numFmtId="167" fontId="26" fillId="0" borderId="0" xfId="0" applyNumberFormat="1" applyFont="1" applyFill="1" applyBorder="1" applyAlignment="1">
      <alignment vertical="top" wrapText="1"/>
    </xf>
    <xf numFmtId="0" fontId="26" fillId="0" borderId="0" xfId="0" applyNumberFormat="1" applyFont="1" applyFill="1" applyBorder="1" applyAlignment="1">
      <alignment vertical="top" wrapText="1"/>
    </xf>
    <xf numFmtId="0" fontId="21" fillId="0" borderId="0" xfId="7" applyFont="1" applyFill="1" applyBorder="1" applyAlignment="1">
      <alignment horizontal="left" vertical="top" wrapText="1"/>
    </xf>
    <xf numFmtId="0" fontId="20" fillId="0" borderId="0" xfId="7" applyFont="1" applyFill="1" applyBorder="1" applyAlignment="1">
      <alignment vertical="top" wrapText="1"/>
    </xf>
    <xf numFmtId="0" fontId="20" fillId="0" borderId="0" xfId="0" applyFont="1" applyFill="1" applyBorder="1" applyAlignment="1">
      <alignment horizontal="center" vertical="top" wrapText="1"/>
    </xf>
    <xf numFmtId="167" fontId="21" fillId="0" borderId="0" xfId="0" applyNumberFormat="1" applyFont="1" applyFill="1" applyBorder="1" applyAlignment="1">
      <alignment vertical="top" wrapText="1"/>
    </xf>
    <xf numFmtId="167" fontId="21" fillId="0" borderId="0" xfId="0" applyNumberFormat="1" applyFont="1" applyFill="1" applyBorder="1" applyAlignment="1">
      <alignment horizontal="left" vertical="top" wrapText="1"/>
    </xf>
    <xf numFmtId="0" fontId="20" fillId="0" borderId="0" xfId="7" applyFont="1" applyFill="1" applyBorder="1" applyAlignment="1">
      <alignment horizontal="center" vertical="top" wrapText="1"/>
    </xf>
    <xf numFmtId="167" fontId="21" fillId="0" borderId="0" xfId="7" applyNumberFormat="1" applyFont="1" applyFill="1" applyBorder="1" applyAlignment="1">
      <alignment vertical="top" wrapText="1"/>
    </xf>
    <xf numFmtId="3" fontId="21" fillId="0" borderId="0" xfId="0" applyNumberFormat="1" applyFont="1" applyFill="1" applyBorder="1" applyAlignment="1">
      <alignment horizontal="left" vertical="top" wrapText="1"/>
    </xf>
    <xf numFmtId="14" fontId="21" fillId="0" borderId="0" xfId="0" applyNumberFormat="1" applyFont="1" applyFill="1" applyBorder="1" applyAlignment="1">
      <alignment horizontal="left" vertical="top" wrapText="1"/>
    </xf>
    <xf numFmtId="0" fontId="66" fillId="0" borderId="0" xfId="11" applyFont="1" applyFill="1" applyBorder="1" applyAlignment="1" applyProtection="1">
      <alignment vertical="top" wrapText="1"/>
    </xf>
    <xf numFmtId="0" fontId="21" fillId="0" borderId="0" xfId="0" applyFont="1" applyFill="1" applyBorder="1" applyAlignment="1" applyProtection="1">
      <alignment vertical="top" wrapText="1"/>
      <protection locked="0"/>
    </xf>
    <xf numFmtId="14" fontId="21" fillId="0" borderId="0" xfId="0" applyNumberFormat="1" applyFont="1" applyFill="1" applyBorder="1" applyAlignment="1" applyProtection="1">
      <alignment vertical="top" wrapText="1"/>
      <protection locked="0"/>
    </xf>
    <xf numFmtId="1" fontId="21" fillId="0" borderId="0" xfId="0" applyNumberFormat="1" applyFont="1" applyFill="1" applyBorder="1" applyAlignment="1" applyProtection="1">
      <alignment vertical="top" wrapText="1"/>
    </xf>
    <xf numFmtId="9" fontId="21" fillId="0" borderId="0" xfId="5" applyFont="1" applyFill="1" applyBorder="1" applyAlignment="1" applyProtection="1">
      <alignment vertical="top" wrapText="1"/>
      <protection locked="0"/>
    </xf>
    <xf numFmtId="170" fontId="21" fillId="0" borderId="0" xfId="0" quotePrefix="1" applyNumberFormat="1" applyFont="1" applyFill="1" applyBorder="1" applyAlignment="1" applyProtection="1">
      <alignment vertical="top" wrapText="1"/>
    </xf>
    <xf numFmtId="3" fontId="21" fillId="0" borderId="0" xfId="3" applyNumberFormat="1" applyFont="1" applyFill="1" applyBorder="1" applyAlignment="1" applyProtection="1">
      <alignment vertical="top" wrapText="1"/>
      <protection locked="0"/>
    </xf>
    <xf numFmtId="0" fontId="67" fillId="0" borderId="0" xfId="0" applyFont="1" applyFill="1" applyBorder="1" applyAlignment="1">
      <alignment horizontal="left" vertical="top" wrapText="1"/>
    </xf>
    <xf numFmtId="2" fontId="21" fillId="0" borderId="0" xfId="0" applyNumberFormat="1" applyFont="1" applyFill="1" applyBorder="1" applyAlignment="1">
      <alignment horizontal="left" vertical="top" wrapText="1"/>
    </xf>
    <xf numFmtId="0" fontId="20" fillId="0" borderId="0" xfId="3" applyFont="1" applyFill="1" applyBorder="1" applyAlignment="1" applyProtection="1">
      <alignment vertical="top" wrapText="1"/>
    </xf>
    <xf numFmtId="14" fontId="21" fillId="0" borderId="0" xfId="0" applyNumberFormat="1" applyFont="1" applyFill="1" applyBorder="1" applyAlignment="1" applyProtection="1">
      <alignment horizontal="right" vertical="top" wrapText="1"/>
    </xf>
    <xf numFmtId="14" fontId="21" fillId="0" borderId="0" xfId="3" applyNumberFormat="1" applyFont="1" applyFill="1" applyBorder="1" applyAlignment="1" applyProtection="1">
      <alignment horizontal="right" vertical="top" wrapText="1"/>
    </xf>
    <xf numFmtId="0" fontId="20" fillId="0" borderId="0" xfId="14" applyFont="1" applyFill="1" applyBorder="1" applyAlignment="1">
      <alignment vertical="top" wrapText="1"/>
    </xf>
    <xf numFmtId="10" fontId="21" fillId="0" borderId="0" xfId="5" applyNumberFormat="1" applyFont="1" applyFill="1" applyBorder="1" applyAlignment="1">
      <alignment vertical="top" wrapText="1"/>
    </xf>
    <xf numFmtId="0" fontId="20" fillId="0" borderId="0" xfId="14" applyFont="1" applyFill="1" applyBorder="1" applyAlignment="1">
      <alignment horizontal="left" vertical="top" wrapText="1"/>
    </xf>
    <xf numFmtId="0" fontId="58" fillId="0" borderId="0" xfId="14" applyFont="1" applyFill="1" applyBorder="1" applyAlignment="1">
      <alignment horizontal="left" vertical="top" wrapText="1"/>
    </xf>
    <xf numFmtId="0" fontId="58" fillId="0" borderId="0" xfId="14" applyFont="1" applyFill="1" applyBorder="1" applyAlignment="1">
      <alignment vertical="top" wrapText="1"/>
    </xf>
    <xf numFmtId="0" fontId="21" fillId="0" borderId="0" xfId="14" applyFont="1" applyFill="1" applyBorder="1" applyAlignment="1">
      <alignment horizontal="center" vertical="top" wrapText="1"/>
    </xf>
    <xf numFmtId="9" fontId="21" fillId="0" borderId="0" xfId="15" applyFont="1" applyFill="1" applyBorder="1" applyAlignment="1">
      <alignment vertical="top" wrapText="1"/>
    </xf>
    <xf numFmtId="166" fontId="21" fillId="0" borderId="0" xfId="14" applyNumberFormat="1" applyFont="1" applyFill="1" applyBorder="1" applyAlignment="1">
      <alignment vertical="top" wrapText="1"/>
    </xf>
    <xf numFmtId="9" fontId="21" fillId="0" borderId="0" xfId="14" applyNumberFormat="1" applyFont="1" applyFill="1" applyBorder="1" applyAlignment="1">
      <alignment vertical="top" wrapText="1"/>
    </xf>
    <xf numFmtId="2" fontId="21" fillId="0" borderId="0" xfId="14" applyNumberFormat="1" applyFont="1" applyFill="1" applyBorder="1" applyAlignment="1">
      <alignment vertical="top" wrapText="1"/>
    </xf>
    <xf numFmtId="2" fontId="20" fillId="0" borderId="0" xfId="14" applyNumberFormat="1" applyFont="1" applyFill="1" applyBorder="1" applyAlignment="1">
      <alignment vertical="top" wrapText="1"/>
    </xf>
    <xf numFmtId="0" fontId="20" fillId="0" borderId="0" xfId="0" applyFont="1" applyFill="1" applyBorder="1" applyAlignment="1">
      <alignment horizontal="right" vertical="top" wrapText="1"/>
    </xf>
    <xf numFmtId="0" fontId="20" fillId="0" borderId="0" xfId="14" applyFont="1" applyFill="1" applyBorder="1" applyAlignment="1">
      <alignment horizontal="right" vertical="top" wrapText="1"/>
    </xf>
    <xf numFmtId="11" fontId="20" fillId="0" borderId="0" xfId="14" applyNumberFormat="1" applyFont="1" applyFill="1" applyBorder="1" applyAlignment="1">
      <alignment horizontal="center" vertical="top" wrapText="1"/>
    </xf>
    <xf numFmtId="0" fontId="21" fillId="0" borderId="0" xfId="7" applyFont="1" applyFill="1" applyBorder="1" applyAlignment="1" applyProtection="1">
      <alignment horizontal="left" vertical="top" textRotation="255" wrapText="1"/>
    </xf>
    <xf numFmtId="2" fontId="21" fillId="0" borderId="0" xfId="0" applyNumberFormat="1" applyFont="1" applyFill="1" applyBorder="1" applyAlignment="1">
      <alignment vertical="top" wrapText="1"/>
    </xf>
    <xf numFmtId="0" fontId="27" fillId="0" borderId="0" xfId="3" applyFont="1" applyFill="1" applyBorder="1" applyAlignment="1" applyProtection="1">
      <alignment vertical="top" wrapText="1"/>
    </xf>
    <xf numFmtId="0" fontId="21" fillId="0" borderId="0" xfId="0" quotePrefix="1" applyFont="1" applyFill="1" applyBorder="1" applyAlignment="1" applyProtection="1">
      <alignment horizontal="left" vertical="top" wrapText="1"/>
    </xf>
    <xf numFmtId="10" fontId="21" fillId="0" borderId="0" xfId="5" applyNumberFormat="1" applyFont="1" applyFill="1" applyBorder="1" applyAlignment="1" applyProtection="1">
      <alignment vertical="top" wrapText="1"/>
      <protection locked="0"/>
    </xf>
    <xf numFmtId="0" fontId="20" fillId="0" borderId="0" xfId="3" applyFont="1" applyFill="1" applyBorder="1" applyAlignment="1" applyProtection="1">
      <alignment horizontal="right" vertical="top" wrapText="1"/>
    </xf>
    <xf numFmtId="0" fontId="27" fillId="0" borderId="0" xfId="3" applyFont="1" applyFill="1" applyBorder="1" applyAlignment="1" applyProtection="1">
      <alignment horizontal="right" vertical="top" wrapText="1"/>
    </xf>
    <xf numFmtId="3" fontId="20" fillId="0" borderId="0" xfId="3" applyNumberFormat="1" applyFont="1" applyFill="1" applyBorder="1" applyAlignment="1" applyProtection="1">
      <alignment horizontal="right" vertical="top" wrapText="1"/>
    </xf>
    <xf numFmtId="10" fontId="20" fillId="0" borderId="0" xfId="5" applyNumberFormat="1" applyFont="1" applyFill="1" applyBorder="1" applyAlignment="1" applyProtection="1">
      <alignment horizontal="right" vertical="top" wrapText="1"/>
    </xf>
    <xf numFmtId="0" fontId="25" fillId="0" borderId="0" xfId="0" applyFont="1" applyFill="1" applyBorder="1" applyAlignment="1">
      <alignment horizontal="left" vertical="top" wrapText="1"/>
    </xf>
    <xf numFmtId="0" fontId="25" fillId="0" borderId="0" xfId="0" applyFont="1" applyFill="1" applyBorder="1" applyAlignment="1">
      <alignment vertical="top" wrapText="1"/>
    </xf>
    <xf numFmtId="0" fontId="21" fillId="0" borderId="0" xfId="0" applyFont="1" applyFill="1" applyBorder="1" applyAlignment="1">
      <alignment horizontal="center" vertical="top" wrapText="1"/>
    </xf>
    <xf numFmtId="2" fontId="21" fillId="0" borderId="0" xfId="4" applyNumberFormat="1" applyFont="1" applyFill="1" applyBorder="1" applyAlignment="1">
      <alignment vertical="top" wrapText="1"/>
    </xf>
    <xf numFmtId="2" fontId="21" fillId="0" borderId="0" xfId="9" applyNumberFormat="1" applyFont="1" applyFill="1" applyBorder="1" applyAlignment="1" applyProtection="1">
      <alignment horizontal="left" vertical="top" wrapText="1"/>
    </xf>
    <xf numFmtId="2" fontId="21" fillId="0" borderId="0" xfId="9" applyNumberFormat="1" applyFont="1" applyFill="1" applyBorder="1" applyAlignment="1" applyProtection="1">
      <alignment vertical="top" wrapText="1"/>
    </xf>
    <xf numFmtId="2" fontId="20" fillId="0" borderId="0" xfId="9" applyNumberFormat="1" applyFont="1" applyFill="1" applyBorder="1" applyAlignment="1" applyProtection="1">
      <alignment horizontal="left" vertical="top" wrapText="1"/>
    </xf>
    <xf numFmtId="3" fontId="21" fillId="0" borderId="0" xfId="3" applyNumberFormat="1" applyFont="1" applyFill="1" applyBorder="1" applyAlignment="1" applyProtection="1">
      <alignment horizontal="left" vertical="top" wrapText="1"/>
      <protection locked="0"/>
    </xf>
    <xf numFmtId="49" fontId="21" fillId="0" borderId="0" xfId="3" applyNumberFormat="1" applyFont="1" applyFill="1" applyBorder="1" applyAlignment="1">
      <alignment horizontal="left" vertical="top" wrapText="1"/>
    </xf>
    <xf numFmtId="0" fontId="69" fillId="0" borderId="0" xfId="3" applyFont="1" applyFill="1" applyBorder="1" applyAlignment="1">
      <alignment vertical="top" wrapText="1"/>
    </xf>
    <xf numFmtId="0" fontId="20" fillId="0" borderId="0" xfId="0" applyFont="1" applyFill="1" applyBorder="1" applyAlignment="1">
      <alignment horizontal="left" vertical="top" wrapText="1"/>
    </xf>
    <xf numFmtId="0" fontId="20" fillId="9" borderId="339" xfId="7" applyFont="1" applyFill="1" applyBorder="1" applyAlignment="1" applyProtection="1">
      <alignment vertical="top" wrapText="1"/>
    </xf>
    <xf numFmtId="0" fontId="20" fillId="9" borderId="235" xfId="7" applyFont="1" applyFill="1" applyBorder="1" applyAlignment="1" applyProtection="1">
      <alignment vertical="top" wrapText="1"/>
    </xf>
    <xf numFmtId="0" fontId="20" fillId="9" borderId="187" xfId="7" applyFont="1" applyFill="1" applyBorder="1" applyAlignment="1" applyProtection="1">
      <alignment vertical="top" wrapText="1"/>
    </xf>
    <xf numFmtId="0" fontId="21" fillId="0" borderId="4" xfId="0" applyFont="1" applyBorder="1" applyAlignment="1">
      <alignment horizontal="left" indent="1"/>
    </xf>
    <xf numFmtId="0" fontId="21" fillId="0" borderId="51" xfId="0" applyFont="1" applyBorder="1" applyAlignment="1">
      <alignment horizontal="left" indent="1"/>
    </xf>
    <xf numFmtId="0" fontId="21" fillId="0" borderId="8" xfId="0" applyFont="1" applyBorder="1" applyAlignment="1">
      <alignment horizontal="left" indent="1"/>
    </xf>
    <xf numFmtId="0" fontId="0" fillId="30" borderId="0" xfId="0" applyFill="1" applyProtection="1"/>
    <xf numFmtId="20" fontId="20" fillId="2" borderId="55" xfId="0" applyNumberFormat="1" applyFont="1" applyFill="1" applyBorder="1" applyAlignment="1" applyProtection="1">
      <alignment horizontal="center" vertical="center" wrapText="1"/>
    </xf>
    <xf numFmtId="20" fontId="20" fillId="2" borderId="255" xfId="0" applyNumberFormat="1" applyFont="1" applyFill="1" applyBorder="1" applyAlignment="1" applyProtection="1">
      <alignment horizontal="center" vertical="center" wrapText="1"/>
    </xf>
    <xf numFmtId="20" fontId="20" fillId="2" borderId="14" xfId="3" applyNumberFormat="1" applyFont="1" applyFill="1" applyBorder="1" applyAlignment="1" applyProtection="1">
      <alignment horizontal="center" vertical="center" wrapText="1"/>
    </xf>
    <xf numFmtId="20" fontId="20" fillId="2" borderId="15" xfId="3" applyNumberFormat="1" applyFont="1" applyFill="1" applyBorder="1" applyAlignment="1" applyProtection="1">
      <alignment horizontal="center" vertical="center" wrapText="1"/>
    </xf>
    <xf numFmtId="20" fontId="20" fillId="2" borderId="16" xfId="3" applyNumberFormat="1" applyFont="1" applyFill="1" applyBorder="1" applyAlignment="1" applyProtection="1">
      <alignment horizontal="center" vertical="center" wrapText="1"/>
    </xf>
    <xf numFmtId="20" fontId="20" fillId="9" borderId="55" xfId="3" applyNumberFormat="1" applyFont="1" applyFill="1" applyBorder="1" applyAlignment="1" applyProtection="1">
      <alignment horizontal="center" vertical="center" wrapText="1"/>
    </xf>
    <xf numFmtId="20" fontId="20" fillId="2" borderId="302" xfId="0" applyNumberFormat="1" applyFont="1" applyFill="1" applyBorder="1" applyAlignment="1" applyProtection="1">
      <alignment horizontal="center" vertical="center" wrapText="1"/>
    </xf>
    <xf numFmtId="20" fontId="20" fillId="0" borderId="298" xfId="3" applyNumberFormat="1" applyFont="1" applyBorder="1" applyProtection="1"/>
    <xf numFmtId="20" fontId="20" fillId="0" borderId="322" xfId="3" applyNumberFormat="1" applyFont="1" applyBorder="1" applyAlignment="1" applyProtection="1">
      <alignment horizontal="left" indent="1"/>
    </xf>
    <xf numFmtId="20" fontId="21" fillId="0" borderId="56" xfId="3" applyNumberFormat="1" applyFont="1" applyBorder="1" applyAlignment="1" applyProtection="1">
      <alignment horizontal="left" vertical="center" indent="1"/>
    </xf>
    <xf numFmtId="20" fontId="21" fillId="0" borderId="17" xfId="3" applyNumberFormat="1" applyFont="1" applyBorder="1" applyAlignment="1" applyProtection="1">
      <alignment horizontal="left" vertical="center" wrapText="1" indent="1"/>
    </xf>
    <xf numFmtId="20" fontId="21" fillId="0" borderId="17" xfId="3" applyNumberFormat="1" applyFont="1" applyBorder="1" applyAlignment="1" applyProtection="1">
      <alignment vertical="center"/>
    </xf>
    <xf numFmtId="20" fontId="21" fillId="0" borderId="17" xfId="3" applyNumberFormat="1" applyFont="1" applyBorder="1" applyAlignment="1" applyProtection="1">
      <alignment vertical="center" wrapText="1"/>
    </xf>
    <xf numFmtId="20" fontId="21" fillId="0" borderId="17" xfId="3" applyNumberFormat="1" applyFont="1" applyFill="1" applyBorder="1" applyAlignment="1" applyProtection="1">
      <alignment horizontal="right" vertical="center" indent="1"/>
    </xf>
    <xf numFmtId="20" fontId="21" fillId="0" borderId="44" xfId="3" applyNumberFormat="1" applyFont="1" applyBorder="1" applyAlignment="1" applyProtection="1">
      <alignment horizontal="right" vertical="center" wrapText="1" indent="1"/>
    </xf>
    <xf numFmtId="20" fontId="20" fillId="13" borderId="114" xfId="3" applyNumberFormat="1" applyFont="1" applyFill="1" applyBorder="1" applyAlignment="1" applyProtection="1">
      <alignment horizontal="right" vertical="center" indent="1"/>
    </xf>
    <xf numFmtId="20" fontId="20" fillId="0" borderId="18" xfId="3" applyNumberFormat="1" applyFont="1" applyBorder="1" applyProtection="1"/>
    <xf numFmtId="20" fontId="20" fillId="0" borderId="60" xfId="3" applyNumberFormat="1" applyFont="1" applyBorder="1" applyAlignment="1" applyProtection="1">
      <alignment horizontal="left" indent="1"/>
    </xf>
    <xf numFmtId="20" fontId="19" fillId="0" borderId="57" xfId="3" applyNumberFormat="1" applyFont="1" applyBorder="1" applyAlignment="1">
      <alignment horizontal="left" vertical="center" indent="1"/>
    </xf>
    <xf numFmtId="20" fontId="19" fillId="0" borderId="19" xfId="3" applyNumberFormat="1" applyFont="1" applyBorder="1" applyAlignment="1">
      <alignment horizontal="left" vertical="center" wrapText="1" indent="1"/>
    </xf>
    <xf numFmtId="20" fontId="19" fillId="0" borderId="19" xfId="3" applyNumberFormat="1" applyFont="1" applyBorder="1" applyAlignment="1">
      <alignment vertical="center"/>
    </xf>
    <xf numFmtId="20" fontId="19" fillId="0" borderId="19" xfId="3" applyNumberFormat="1" applyFont="1" applyBorder="1" applyAlignment="1">
      <alignment vertical="center" wrapText="1"/>
    </xf>
    <xf numFmtId="20" fontId="21" fillId="0" borderId="19" xfId="3" applyNumberFormat="1" applyFont="1" applyFill="1" applyBorder="1" applyAlignment="1" applyProtection="1">
      <alignment horizontal="right" vertical="center" indent="1"/>
    </xf>
    <xf numFmtId="20" fontId="21" fillId="0" borderId="52" xfId="3" applyNumberFormat="1" applyFont="1" applyBorder="1" applyAlignment="1" applyProtection="1">
      <alignment horizontal="right" vertical="center" wrapText="1" indent="1"/>
    </xf>
    <xf numFmtId="20" fontId="20" fillId="13" borderId="105" xfId="3" applyNumberFormat="1" applyFont="1" applyFill="1" applyBorder="1" applyAlignment="1" applyProtection="1">
      <alignment horizontal="right" vertical="center" indent="1"/>
    </xf>
    <xf numFmtId="20" fontId="21" fillId="0" borderId="57" xfId="3" applyNumberFormat="1" applyFont="1" applyBorder="1" applyAlignment="1" applyProtection="1">
      <alignment horizontal="left" vertical="center" indent="1"/>
    </xf>
    <xf numFmtId="20" fontId="21" fillId="0" borderId="19" xfId="3" applyNumberFormat="1" applyFont="1" applyBorder="1" applyAlignment="1" applyProtection="1">
      <alignment horizontal="left" vertical="center" wrapText="1" indent="1"/>
    </xf>
    <xf numFmtId="20" fontId="21" fillId="0" borderId="19" xfId="3" applyNumberFormat="1" applyFont="1" applyBorder="1" applyAlignment="1" applyProtection="1">
      <alignment vertical="center"/>
    </xf>
    <xf numFmtId="20" fontId="21" fillId="0" borderId="19" xfId="3" applyNumberFormat="1" applyFont="1" applyBorder="1" applyAlignment="1" applyProtection="1">
      <alignment vertical="center" wrapText="1"/>
    </xf>
    <xf numFmtId="20" fontId="21" fillId="0" borderId="206" xfId="3" applyNumberFormat="1" applyFont="1" applyBorder="1" applyAlignment="1" applyProtection="1">
      <alignment horizontal="left" vertical="center" indent="1"/>
    </xf>
    <xf numFmtId="20" fontId="21" fillId="0" borderId="192" xfId="3" applyNumberFormat="1" applyFont="1" applyBorder="1" applyAlignment="1" applyProtection="1">
      <alignment horizontal="left" vertical="center" wrapText="1" indent="1"/>
    </xf>
    <xf numFmtId="20" fontId="21" fillId="0" borderId="192" xfId="3" applyNumberFormat="1" applyFont="1" applyBorder="1" applyAlignment="1" applyProtection="1">
      <alignment vertical="center"/>
    </xf>
    <xf numFmtId="20" fontId="21" fillId="0" borderId="192" xfId="3" applyNumberFormat="1" applyFont="1" applyBorder="1" applyAlignment="1" applyProtection="1">
      <alignment vertical="center" wrapText="1"/>
    </xf>
    <xf numFmtId="20" fontId="21" fillId="0" borderId="192" xfId="3" applyNumberFormat="1" applyFont="1" applyFill="1" applyBorder="1" applyAlignment="1" applyProtection="1">
      <alignment horizontal="right" vertical="center" indent="1"/>
    </xf>
    <xf numFmtId="20" fontId="21" fillId="0" borderId="193" xfId="3" applyNumberFormat="1" applyFont="1" applyBorder="1" applyAlignment="1" applyProtection="1">
      <alignment horizontal="right" vertical="center" wrapText="1" indent="1"/>
    </xf>
    <xf numFmtId="20" fontId="20" fillId="13" borderId="188" xfId="3" applyNumberFormat="1" applyFont="1" applyFill="1" applyBorder="1" applyAlignment="1" applyProtection="1">
      <alignment horizontal="right" vertical="center" indent="1"/>
    </xf>
    <xf numFmtId="20" fontId="21" fillId="0" borderId="192" xfId="3" applyNumberFormat="1" applyFont="1" applyBorder="1" applyAlignment="1" applyProtection="1">
      <alignment horizontal="right" vertical="center" wrapText="1" indent="1"/>
    </xf>
    <xf numFmtId="20" fontId="21" fillId="0" borderId="211" xfId="3" applyNumberFormat="1" applyFont="1" applyBorder="1" applyAlignment="1" applyProtection="1">
      <alignment horizontal="left" vertical="center" indent="1"/>
    </xf>
    <xf numFmtId="20" fontId="21" fillId="0" borderId="197" xfId="3" applyNumberFormat="1" applyFont="1" applyBorder="1" applyAlignment="1" applyProtection="1">
      <alignment horizontal="left" vertical="center" wrapText="1" indent="1"/>
    </xf>
    <xf numFmtId="20" fontId="21" fillId="0" borderId="130" xfId="3" applyNumberFormat="1" applyFont="1" applyBorder="1" applyAlignment="1" applyProtection="1">
      <alignment vertical="center" wrapText="1"/>
    </xf>
    <xf numFmtId="20" fontId="21" fillId="0" borderId="197" xfId="3" applyNumberFormat="1" applyFont="1" applyBorder="1" applyAlignment="1" applyProtection="1">
      <alignment vertical="center" wrapText="1"/>
    </xf>
    <xf numFmtId="20" fontId="21" fillId="0" borderId="197" xfId="3" applyNumberFormat="1" applyFont="1" applyBorder="1" applyAlignment="1" applyProtection="1">
      <alignment horizontal="right" vertical="center" wrapText="1" indent="1"/>
    </xf>
    <xf numFmtId="20" fontId="21" fillId="0" borderId="197" xfId="3" applyNumberFormat="1" applyFont="1" applyFill="1" applyBorder="1" applyAlignment="1" applyProtection="1">
      <alignment horizontal="right" vertical="center" indent="1"/>
    </xf>
    <xf numFmtId="20" fontId="21" fillId="0" borderId="198" xfId="3" applyNumberFormat="1" applyFont="1" applyBorder="1" applyAlignment="1" applyProtection="1">
      <alignment horizontal="right" vertical="center" wrapText="1" indent="1"/>
    </xf>
    <xf numFmtId="20" fontId="20" fillId="13" borderId="183" xfId="3" applyNumberFormat="1" applyFont="1" applyFill="1" applyBorder="1" applyAlignment="1" applyProtection="1">
      <alignment horizontal="right" vertical="center" indent="1"/>
    </xf>
    <xf numFmtId="20" fontId="20" fillId="0" borderId="65" xfId="3" applyNumberFormat="1" applyFont="1" applyBorder="1" applyProtection="1"/>
    <xf numFmtId="20" fontId="20" fillId="0" borderId="66" xfId="3" applyNumberFormat="1" applyFont="1" applyBorder="1" applyAlignment="1" applyProtection="1">
      <alignment horizontal="left" indent="1"/>
    </xf>
    <xf numFmtId="20" fontId="21" fillId="0" borderId="208" xfId="3" applyNumberFormat="1" applyFont="1" applyBorder="1" applyAlignment="1" applyProtection="1">
      <alignment horizontal="left" vertical="center" indent="1"/>
    </xf>
    <xf numFmtId="20" fontId="21" fillId="0" borderId="209" xfId="3" applyNumberFormat="1" applyFont="1" applyBorder="1" applyAlignment="1" applyProtection="1">
      <alignment horizontal="left" vertical="center" wrapText="1" indent="1"/>
    </xf>
    <xf numFmtId="20" fontId="21" fillId="0" borderId="69" xfId="3" applyNumberFormat="1" applyFont="1" applyBorder="1" applyAlignment="1" applyProtection="1">
      <alignment vertical="center" wrapText="1"/>
    </xf>
    <xf numFmtId="20" fontId="21" fillId="0" borderId="209" xfId="3" applyNumberFormat="1" applyFont="1" applyBorder="1" applyAlignment="1" applyProtection="1">
      <alignment vertical="center" wrapText="1"/>
    </xf>
    <xf numFmtId="20" fontId="21" fillId="0" borderId="209" xfId="3" applyNumberFormat="1" applyFont="1" applyBorder="1" applyAlignment="1" applyProtection="1">
      <alignment horizontal="right" vertical="center" wrapText="1" indent="1"/>
    </xf>
    <xf numFmtId="20" fontId="21" fillId="0" borderId="209" xfId="3" applyNumberFormat="1" applyFont="1" applyFill="1" applyBorder="1" applyAlignment="1" applyProtection="1">
      <alignment horizontal="right" vertical="center" indent="1"/>
    </xf>
    <xf numFmtId="20" fontId="21" fillId="0" borderId="210" xfId="3" applyNumberFormat="1" applyFont="1" applyBorder="1" applyAlignment="1" applyProtection="1">
      <alignment horizontal="right" vertical="center" wrapText="1" indent="1"/>
    </xf>
    <xf numFmtId="20" fontId="20" fillId="13" borderId="115" xfId="3" applyNumberFormat="1" applyFont="1" applyFill="1" applyBorder="1" applyAlignment="1" applyProtection="1">
      <alignment horizontal="right" vertical="center" indent="1"/>
    </xf>
    <xf numFmtId="20" fontId="21" fillId="0" borderId="209" xfId="3" applyNumberFormat="1" applyFont="1" applyBorder="1" applyAlignment="1" applyProtection="1">
      <alignment vertical="center"/>
    </xf>
    <xf numFmtId="20" fontId="21" fillId="0" borderId="146" xfId="3" applyNumberFormat="1" applyFont="1" applyBorder="1" applyAlignment="1" applyProtection="1">
      <alignment horizontal="left" vertical="center" indent="1"/>
    </xf>
    <xf numFmtId="20" fontId="21" fillId="0" borderId="130" xfId="3" applyNumberFormat="1" applyFont="1" applyBorder="1" applyAlignment="1" applyProtection="1">
      <alignment horizontal="left" vertical="center" wrapText="1" indent="1"/>
    </xf>
    <xf numFmtId="20" fontId="21" fillId="0" borderId="130" xfId="3" applyNumberFormat="1" applyFont="1" applyBorder="1" applyAlignment="1" applyProtection="1">
      <alignment vertical="center"/>
    </xf>
    <xf numFmtId="20" fontId="21" fillId="0" borderId="130" xfId="3" applyNumberFormat="1" applyFont="1" applyFill="1" applyBorder="1" applyAlignment="1" applyProtection="1">
      <alignment horizontal="right" vertical="center" indent="1"/>
    </xf>
    <xf numFmtId="20" fontId="21" fillId="0" borderId="24" xfId="3" applyNumberFormat="1" applyFont="1" applyBorder="1" applyAlignment="1" applyProtection="1">
      <alignment horizontal="right" vertical="center" wrapText="1" indent="1"/>
    </xf>
    <xf numFmtId="20" fontId="20" fillId="13" borderId="18" xfId="3" applyNumberFormat="1" applyFont="1" applyFill="1" applyBorder="1" applyAlignment="1" applyProtection="1">
      <alignment horizontal="right" vertical="center" indent="1"/>
    </xf>
    <xf numFmtId="20" fontId="20" fillId="0" borderId="60" xfId="3" applyNumberFormat="1" applyFont="1" applyBorder="1" applyProtection="1"/>
    <xf numFmtId="20" fontId="21" fillId="0" borderId="197" xfId="3" applyNumberFormat="1" applyFont="1" applyBorder="1" applyAlignment="1" applyProtection="1">
      <alignment vertical="center"/>
    </xf>
    <xf numFmtId="20" fontId="19" fillId="0" borderId="206" xfId="3" applyNumberFormat="1" applyFont="1" applyBorder="1" applyAlignment="1">
      <alignment horizontal="left" vertical="center" indent="1"/>
    </xf>
    <xf numFmtId="20" fontId="19" fillId="0" borderId="192" xfId="3" applyNumberFormat="1" applyFont="1" applyBorder="1" applyAlignment="1">
      <alignment horizontal="left" vertical="center" wrapText="1" indent="1"/>
    </xf>
    <xf numFmtId="20" fontId="19" fillId="0" borderId="197" xfId="3" applyNumberFormat="1" applyFont="1" applyBorder="1" applyAlignment="1">
      <alignment horizontal="left" vertical="center" wrapText="1" indent="1"/>
    </xf>
    <xf numFmtId="20" fontId="19" fillId="0" borderId="192" xfId="3" applyNumberFormat="1" applyFont="1" applyBorder="1" applyAlignment="1">
      <alignment vertical="center"/>
    </xf>
    <xf numFmtId="20" fontId="19" fillId="0" borderId="197" xfId="3" applyNumberFormat="1" applyFont="1" applyFill="1" applyBorder="1" applyAlignment="1" applyProtection="1">
      <alignment horizontal="right" vertical="center" indent="1"/>
    </xf>
    <xf numFmtId="20" fontId="21" fillId="0" borderId="211" xfId="3" applyNumberFormat="1" applyFont="1" applyBorder="1" applyAlignment="1">
      <alignment horizontal="left" vertical="center" indent="1"/>
    </xf>
    <xf numFmtId="20" fontId="21" fillId="0" borderId="197" xfId="3" applyNumberFormat="1" applyFont="1" applyBorder="1" applyAlignment="1">
      <alignment horizontal="left" vertical="center" wrapText="1" indent="1"/>
    </xf>
    <xf numFmtId="20" fontId="21" fillId="0" borderId="197" xfId="3" applyNumberFormat="1" applyFont="1" applyBorder="1" applyAlignment="1">
      <alignment vertical="center"/>
    </xf>
    <xf numFmtId="20" fontId="21" fillId="0" borderId="17" xfId="3" applyNumberFormat="1" applyFont="1" applyBorder="1" applyAlignment="1">
      <alignment horizontal="left" vertical="center" wrapText="1" indent="1"/>
    </xf>
    <xf numFmtId="20" fontId="21" fillId="0" borderId="44" xfId="3" applyNumberFormat="1" applyFont="1" applyFill="1" applyBorder="1" applyAlignment="1" applyProtection="1">
      <alignment horizontal="right" vertical="center" indent="1"/>
    </xf>
    <xf numFmtId="20" fontId="21" fillId="0" borderId="19" xfId="3" applyNumberFormat="1" applyFont="1" applyBorder="1" applyAlignment="1">
      <alignment horizontal="left" vertical="center" wrapText="1" indent="1"/>
    </xf>
    <xf numFmtId="20" fontId="21" fillId="0" borderId="52" xfId="3" applyNumberFormat="1" applyFont="1" applyFill="1" applyBorder="1" applyAlignment="1" applyProtection="1">
      <alignment horizontal="right" vertical="center" indent="1"/>
    </xf>
    <xf numFmtId="20" fontId="21" fillId="0" borderId="192" xfId="3" applyNumberFormat="1" applyFont="1" applyBorder="1" applyAlignment="1">
      <alignment horizontal="left" vertical="center" wrapText="1" indent="1"/>
    </xf>
    <xf numFmtId="20" fontId="21" fillId="0" borderId="193" xfId="3" applyNumberFormat="1" applyFont="1" applyFill="1" applyBorder="1" applyAlignment="1" applyProtection="1">
      <alignment horizontal="right" vertical="center" indent="1"/>
    </xf>
    <xf numFmtId="20" fontId="20" fillId="0" borderId="18" xfId="3" applyNumberFormat="1" applyFont="1" applyBorder="1" applyAlignment="1" applyProtection="1">
      <alignment horizontal="left" indent="1"/>
    </xf>
    <xf numFmtId="20" fontId="21" fillId="0" borderId="209" xfId="3" applyNumberFormat="1" applyFont="1" applyBorder="1" applyAlignment="1">
      <alignment horizontal="left" vertical="center" wrapText="1" indent="1"/>
    </xf>
    <xf numFmtId="20" fontId="21" fillId="0" borderId="210" xfId="3" applyNumberFormat="1" applyFont="1" applyFill="1" applyBorder="1" applyAlignment="1" applyProtection="1">
      <alignment horizontal="right" vertical="center" indent="1"/>
    </xf>
    <xf numFmtId="20" fontId="20" fillId="0" borderId="21" xfId="3" applyNumberFormat="1" applyFont="1" applyBorder="1" applyProtection="1"/>
    <xf numFmtId="20" fontId="20" fillId="0" borderId="61" xfId="3" applyNumberFormat="1" applyFont="1" applyBorder="1" applyAlignment="1" applyProtection="1">
      <alignment horizontal="left" indent="1"/>
    </xf>
    <xf numFmtId="20" fontId="21" fillId="0" borderId="70" xfId="3" applyNumberFormat="1" applyFont="1" applyBorder="1" applyAlignment="1" applyProtection="1">
      <alignment horizontal="left" vertical="center" indent="1"/>
    </xf>
    <xf numFmtId="20" fontId="21" fillId="0" borderId="71" xfId="3" applyNumberFormat="1" applyFont="1" applyBorder="1" applyAlignment="1" applyProtection="1">
      <alignment horizontal="left" vertical="center" wrapText="1" indent="1"/>
    </xf>
    <xf numFmtId="20" fontId="21" fillId="0" borderId="71" xfId="3" applyNumberFormat="1" applyFont="1" applyBorder="1" applyAlignment="1">
      <alignment horizontal="left" vertical="center" wrapText="1" indent="1"/>
    </xf>
    <xf numFmtId="20" fontId="21" fillId="0" borderId="71" xfId="3" applyNumberFormat="1" applyFont="1" applyBorder="1" applyAlignment="1" applyProtection="1">
      <alignment vertical="center"/>
    </xf>
    <xf numFmtId="20" fontId="21" fillId="0" borderId="71" xfId="3" applyNumberFormat="1" applyFont="1" applyFill="1" applyBorder="1" applyAlignment="1" applyProtection="1">
      <alignment horizontal="right" vertical="center" indent="1"/>
    </xf>
    <xf numFmtId="20" fontId="27" fillId="0" borderId="74" xfId="3" applyNumberFormat="1" applyFont="1" applyFill="1" applyBorder="1" applyAlignment="1" applyProtection="1">
      <alignment horizontal="right" vertical="center" indent="1"/>
    </xf>
    <xf numFmtId="20" fontId="20" fillId="13" borderId="21" xfId="3" applyNumberFormat="1" applyFont="1" applyFill="1" applyBorder="1" applyAlignment="1" applyProtection="1">
      <alignment horizontal="right" vertical="center" indent="1"/>
    </xf>
    <xf numFmtId="0" fontId="28" fillId="20" borderId="21" xfId="0" applyFont="1" applyFill="1" applyBorder="1" applyAlignment="1" applyProtection="1">
      <alignment horizontal="center"/>
      <protection locked="0"/>
    </xf>
    <xf numFmtId="0" fontId="31" fillId="0" borderId="0" xfId="0" applyFont="1" applyAlignment="1">
      <alignment horizontal="left" indent="1"/>
    </xf>
    <xf numFmtId="0" fontId="28" fillId="20" borderId="55" xfId="0" applyFont="1" applyFill="1" applyBorder="1" applyAlignment="1" applyProtection="1">
      <alignment horizontal="center"/>
      <protection locked="0"/>
    </xf>
    <xf numFmtId="3" fontId="31" fillId="0" borderId="0" xfId="0" applyNumberFormat="1" applyFont="1"/>
    <xf numFmtId="0" fontId="20" fillId="28" borderId="0" xfId="3" applyFont="1" applyFill="1" applyAlignment="1" applyProtection="1">
      <alignment horizontal="center" vertical="center"/>
      <protection locked="0"/>
    </xf>
    <xf numFmtId="0" fontId="20" fillId="0" borderId="0" xfId="3" applyFont="1" applyFill="1"/>
    <xf numFmtId="0" fontId="21" fillId="0" borderId="0" xfId="7" applyFont="1" applyFill="1" applyBorder="1" applyAlignment="1">
      <alignment horizontal="left" vertical="center" wrapText="1"/>
    </xf>
    <xf numFmtId="0" fontId="35" fillId="2" borderId="33" xfId="7" applyFont="1" applyFill="1" applyBorder="1" applyAlignment="1">
      <alignment horizontal="left" indent="1"/>
    </xf>
    <xf numFmtId="0" fontId="35" fillId="2" borderId="9" xfId="7" applyFont="1" applyFill="1" applyBorder="1" applyAlignment="1">
      <alignment horizontal="left" indent="1"/>
    </xf>
    <xf numFmtId="0" fontId="35" fillId="2" borderId="34" xfId="7" applyFont="1" applyFill="1" applyBorder="1" applyAlignment="1">
      <alignment horizontal="left" indent="1"/>
    </xf>
    <xf numFmtId="0" fontId="20" fillId="2" borderId="33" xfId="7" applyFont="1" applyFill="1" applyBorder="1" applyAlignment="1">
      <alignment horizontal="center"/>
    </xf>
    <xf numFmtId="0" fontId="20" fillId="2" borderId="9" xfId="7" applyFont="1" applyFill="1" applyBorder="1" applyAlignment="1">
      <alignment horizontal="center"/>
    </xf>
    <xf numFmtId="0" fontId="20" fillId="2" borderId="34" xfId="7" applyFont="1" applyFill="1" applyBorder="1" applyAlignment="1">
      <alignment horizontal="center"/>
    </xf>
    <xf numFmtId="0" fontId="72" fillId="0" borderId="0" xfId="0" applyFont="1" applyProtection="1"/>
    <xf numFmtId="0" fontId="21" fillId="0" borderId="0" xfId="16" applyFont="1" applyBorder="1"/>
    <xf numFmtId="0" fontId="21" fillId="0" borderId="0" xfId="16" applyFont="1" applyBorder="1" applyAlignment="1">
      <alignment horizontal="center"/>
    </xf>
    <xf numFmtId="0" fontId="21" fillId="0" borderId="0" xfId="16" applyFont="1" applyBorder="1" applyAlignment="1">
      <alignment horizontal="right"/>
    </xf>
    <xf numFmtId="170" fontId="21" fillId="0" borderId="0" xfId="16" applyNumberFormat="1" applyFont="1" applyBorder="1"/>
    <xf numFmtId="0" fontId="26" fillId="0" borderId="0" xfId="16" applyFont="1" applyBorder="1"/>
    <xf numFmtId="0" fontId="36" fillId="0" borderId="0" xfId="16" applyFont="1" applyBorder="1"/>
    <xf numFmtId="0" fontId="26" fillId="0" borderId="8" xfId="16" applyFont="1" applyBorder="1"/>
    <xf numFmtId="0" fontId="26" fillId="0" borderId="8" xfId="16" applyFont="1" applyFill="1" applyBorder="1" applyAlignment="1">
      <alignment horizontal="center" vertical="center"/>
    </xf>
    <xf numFmtId="167" fontId="26" fillId="0" borderId="8" xfId="16" applyNumberFormat="1" applyFont="1" applyFill="1" applyBorder="1" applyAlignment="1">
      <alignment horizontal="right" indent="1"/>
    </xf>
    <xf numFmtId="0" fontId="26" fillId="0" borderId="8" xfId="16" applyFont="1" applyFill="1" applyBorder="1" applyAlignment="1">
      <alignment horizontal="right" indent="1"/>
    </xf>
    <xf numFmtId="0" fontId="26" fillId="0" borderId="8" xfId="16" applyFont="1" applyFill="1" applyBorder="1" applyAlignment="1">
      <alignment horizontal="center"/>
    </xf>
    <xf numFmtId="0" fontId="21" fillId="0" borderId="0" xfId="16" applyFont="1" applyFill="1" applyBorder="1" applyAlignment="1">
      <alignment horizontal="right" indent="1"/>
    </xf>
    <xf numFmtId="0" fontId="21" fillId="0" borderId="0" xfId="16" applyFont="1" applyFill="1" applyBorder="1"/>
    <xf numFmtId="0" fontId="21" fillId="0" borderId="0" xfId="16" applyFont="1" applyFill="1" applyBorder="1" applyAlignment="1">
      <alignment horizontal="right"/>
    </xf>
    <xf numFmtId="170" fontId="21" fillId="0" borderId="0" xfId="16" applyNumberFormat="1" applyFont="1" applyFill="1" applyBorder="1"/>
    <xf numFmtId="0" fontId="21" fillId="0" borderId="0" xfId="16" applyFont="1" applyFill="1" applyBorder="1" applyAlignment="1">
      <alignment horizontal="center" vertical="center"/>
    </xf>
    <xf numFmtId="167" fontId="21" fillId="0" borderId="0" xfId="16" applyNumberFormat="1" applyFont="1" applyFill="1" applyBorder="1" applyAlignment="1">
      <alignment horizontal="right" indent="1"/>
    </xf>
    <xf numFmtId="0" fontId="21" fillId="0" borderId="0" xfId="16" applyFont="1" applyFill="1" applyBorder="1" applyAlignment="1">
      <alignment horizontal="center"/>
    </xf>
    <xf numFmtId="0" fontId="21" fillId="0" borderId="0" xfId="7" applyFont="1" applyBorder="1" applyAlignment="1">
      <alignment horizontal="right"/>
    </xf>
    <xf numFmtId="170" fontId="21" fillId="0" borderId="0" xfId="7" applyNumberFormat="1" applyFont="1" applyBorder="1"/>
    <xf numFmtId="0" fontId="20" fillId="0" borderId="0" xfId="16" applyFont="1" applyFill="1" applyBorder="1" applyAlignment="1">
      <alignment horizontal="center"/>
    </xf>
    <xf numFmtId="0" fontId="20" fillId="0" borderId="2" xfId="16" applyFont="1" applyFill="1" applyBorder="1" applyAlignment="1">
      <alignment horizontal="center"/>
    </xf>
    <xf numFmtId="167" fontId="20" fillId="0" borderId="2" xfId="16" applyNumberFormat="1" applyFont="1" applyFill="1" applyBorder="1" applyAlignment="1">
      <alignment horizontal="center"/>
    </xf>
    <xf numFmtId="0" fontId="20" fillId="2" borderId="298" xfId="16" applyFont="1" applyFill="1" applyBorder="1" applyAlignment="1">
      <alignment horizontal="center" wrapText="1"/>
    </xf>
    <xf numFmtId="0" fontId="20" fillId="2" borderId="21" xfId="16" applyFont="1" applyFill="1" applyBorder="1" applyAlignment="1">
      <alignment horizontal="center"/>
    </xf>
    <xf numFmtId="0" fontId="20" fillId="2" borderId="83" xfId="16" applyFont="1" applyFill="1" applyBorder="1" applyAlignment="1">
      <alignment horizontal="center"/>
    </xf>
    <xf numFmtId="0" fontId="20" fillId="2" borderId="255" xfId="16" applyFont="1" applyFill="1" applyBorder="1" applyAlignment="1">
      <alignment horizontal="center" wrapText="1"/>
    </xf>
    <xf numFmtId="167" fontId="20" fillId="2" borderId="83" xfId="16" applyNumberFormat="1" applyFont="1" applyFill="1" applyBorder="1" applyAlignment="1">
      <alignment horizontal="center"/>
    </xf>
    <xf numFmtId="0" fontId="20" fillId="2" borderId="55" xfId="16" applyFont="1" applyFill="1" applyBorder="1" applyAlignment="1">
      <alignment horizontal="center"/>
    </xf>
    <xf numFmtId="0" fontId="20" fillId="2" borderId="33" xfId="16" applyFont="1" applyFill="1" applyBorder="1" applyAlignment="1">
      <alignment horizontal="center"/>
    </xf>
    <xf numFmtId="0" fontId="20" fillId="2" borderId="16" xfId="16" applyFont="1" applyFill="1" applyBorder="1" applyAlignment="1">
      <alignment horizontal="center"/>
    </xf>
    <xf numFmtId="0" fontId="20" fillId="0" borderId="56" xfId="16" applyFont="1" applyFill="1" applyBorder="1" applyAlignment="1">
      <alignment horizontal="left"/>
    </xf>
    <xf numFmtId="0" fontId="21" fillId="0" borderId="56" xfId="16" applyFont="1" applyFill="1" applyBorder="1" applyAlignment="1">
      <alignment horizontal="left"/>
    </xf>
    <xf numFmtId="0" fontId="21" fillId="0" borderId="45" xfId="16" applyFont="1" applyFill="1" applyBorder="1" applyAlignment="1">
      <alignment horizontal="left"/>
    </xf>
    <xf numFmtId="0" fontId="21" fillId="0" borderId="17" xfId="16" applyFont="1" applyFill="1" applyBorder="1" applyAlignment="1">
      <alignment horizontal="left"/>
    </xf>
    <xf numFmtId="0" fontId="21" fillId="0" borderId="45" xfId="16" applyFont="1" applyFill="1" applyBorder="1" applyAlignment="1">
      <alignment horizontal="center"/>
    </xf>
    <xf numFmtId="1" fontId="21" fillId="0" borderId="112" xfId="16" applyNumberFormat="1" applyFont="1" applyFill="1" applyBorder="1" applyAlignment="1">
      <alignment horizontal="center"/>
    </xf>
    <xf numFmtId="0" fontId="21" fillId="0" borderId="56" xfId="16" applyFont="1" applyFill="1" applyBorder="1" applyAlignment="1">
      <alignment horizontal="right" indent="1"/>
    </xf>
    <xf numFmtId="0" fontId="21" fillId="0" borderId="17" xfId="16" applyFont="1" applyFill="1" applyBorder="1" applyAlignment="1">
      <alignment horizontal="right" indent="1"/>
    </xf>
    <xf numFmtId="0" fontId="21" fillId="0" borderId="112" xfId="16" applyFont="1" applyFill="1" applyBorder="1" applyAlignment="1">
      <alignment horizontal="right" indent="1"/>
    </xf>
    <xf numFmtId="168" fontId="21" fillId="0" borderId="56" xfId="16" applyNumberFormat="1" applyFont="1" applyFill="1" applyBorder="1" applyAlignment="1">
      <alignment horizontal="right" indent="1"/>
    </xf>
    <xf numFmtId="168" fontId="21" fillId="0" borderId="17" xfId="16" applyNumberFormat="1" applyFont="1" applyFill="1" applyBorder="1" applyAlignment="1">
      <alignment horizontal="right" indent="1"/>
    </xf>
    <xf numFmtId="168" fontId="21" fillId="0" borderId="112" xfId="16" applyNumberFormat="1" applyFont="1" applyFill="1" applyBorder="1" applyAlignment="1">
      <alignment horizontal="right" indent="1"/>
    </xf>
    <xf numFmtId="0" fontId="21" fillId="0" borderId="0" xfId="7" applyFont="1" applyFill="1" applyBorder="1" applyAlignment="1">
      <alignment horizontal="right"/>
    </xf>
    <xf numFmtId="170" fontId="21" fillId="0" borderId="0" xfId="7" applyNumberFormat="1" applyFont="1" applyFill="1" applyBorder="1"/>
    <xf numFmtId="0" fontId="20" fillId="0" borderId="206" xfId="16" applyFont="1" applyFill="1" applyBorder="1" applyAlignment="1">
      <alignment horizontal="left"/>
    </xf>
    <xf numFmtId="0" fontId="21" fillId="0" borderId="206" xfId="16" applyFont="1" applyFill="1" applyBorder="1" applyAlignment="1">
      <alignment horizontal="left"/>
    </xf>
    <xf numFmtId="0" fontId="21" fillId="0" borderId="221" xfId="16" applyFont="1" applyFill="1" applyBorder="1" applyAlignment="1">
      <alignment horizontal="left"/>
    </xf>
    <xf numFmtId="0" fontId="21" fillId="0" borderId="192" xfId="16" applyFont="1" applyFill="1" applyBorder="1" applyAlignment="1">
      <alignment horizontal="left"/>
    </xf>
    <xf numFmtId="0" fontId="21" fillId="0" borderId="221" xfId="16" applyFont="1" applyFill="1" applyBorder="1" applyAlignment="1">
      <alignment horizontal="center"/>
    </xf>
    <xf numFmtId="1" fontId="21" fillId="0" borderId="230" xfId="16" applyNumberFormat="1" applyFont="1" applyFill="1" applyBorder="1" applyAlignment="1">
      <alignment horizontal="center"/>
    </xf>
    <xf numFmtId="0" fontId="21" fillId="0" borderId="206" xfId="16" applyFont="1" applyFill="1" applyBorder="1" applyAlignment="1">
      <alignment horizontal="right" indent="1"/>
    </xf>
    <xf numFmtId="0" fontId="21" fillId="0" borderId="192" xfId="16" applyFont="1" applyFill="1" applyBorder="1" applyAlignment="1">
      <alignment horizontal="right" indent="1"/>
    </xf>
    <xf numFmtId="0" fontId="21" fillId="0" borderId="230" xfId="16" applyFont="1" applyFill="1" applyBorder="1" applyAlignment="1">
      <alignment horizontal="right" indent="1"/>
    </xf>
    <xf numFmtId="168" fontId="21" fillId="0" borderId="206" xfId="16" applyNumberFormat="1" applyFont="1" applyFill="1" applyBorder="1" applyAlignment="1">
      <alignment horizontal="right" indent="1"/>
    </xf>
    <xf numFmtId="168" fontId="21" fillId="0" borderId="192" xfId="16" applyNumberFormat="1" applyFont="1" applyFill="1" applyBorder="1" applyAlignment="1">
      <alignment horizontal="right" indent="1"/>
    </xf>
    <xf numFmtId="168" fontId="21" fillId="0" borderId="230" xfId="16" applyNumberFormat="1" applyFont="1" applyFill="1" applyBorder="1" applyAlignment="1">
      <alignment horizontal="right" indent="1"/>
    </xf>
    <xf numFmtId="0" fontId="20" fillId="0" borderId="57" xfId="16" applyFont="1" applyFill="1" applyBorder="1" applyAlignment="1">
      <alignment horizontal="left"/>
    </xf>
    <xf numFmtId="0" fontId="20" fillId="0" borderId="208" xfId="16" applyFont="1" applyFill="1" applyBorder="1" applyAlignment="1">
      <alignment horizontal="left"/>
    </xf>
    <xf numFmtId="0" fontId="21" fillId="0" borderId="208" xfId="16" applyFont="1" applyFill="1" applyBorder="1" applyAlignment="1">
      <alignment horizontal="left"/>
    </xf>
    <xf numFmtId="0" fontId="21" fillId="0" borderId="108" xfId="16" applyFont="1" applyFill="1" applyBorder="1" applyAlignment="1">
      <alignment horizontal="left"/>
    </xf>
    <xf numFmtId="0" fontId="21" fillId="0" borderId="209" xfId="16" applyFont="1" applyFill="1" applyBorder="1" applyAlignment="1">
      <alignment horizontal="left"/>
    </xf>
    <xf numFmtId="0" fontId="21" fillId="0" borderId="108" xfId="16" applyFont="1" applyFill="1" applyBorder="1" applyAlignment="1">
      <alignment horizontal="center"/>
    </xf>
    <xf numFmtId="1" fontId="21" fillId="0" borderId="118" xfId="16" applyNumberFormat="1" applyFont="1" applyFill="1" applyBorder="1" applyAlignment="1">
      <alignment horizontal="center"/>
    </xf>
    <xf numFmtId="0" fontId="21" fillId="0" borderId="208" xfId="16" applyFont="1" applyFill="1" applyBorder="1" applyAlignment="1">
      <alignment horizontal="right" indent="1"/>
    </xf>
    <xf numFmtId="0" fontId="21" fillId="0" borderId="209" xfId="16" applyFont="1" applyFill="1" applyBorder="1" applyAlignment="1">
      <alignment horizontal="right" indent="1"/>
    </xf>
    <xf numFmtId="0" fontId="21" fillId="0" borderId="118" xfId="16" applyFont="1" applyFill="1" applyBorder="1" applyAlignment="1">
      <alignment horizontal="right" indent="1"/>
    </xf>
    <xf numFmtId="168" fontId="21" fillId="0" borderId="208" xfId="16" applyNumberFormat="1" applyFont="1" applyFill="1" applyBorder="1" applyAlignment="1">
      <alignment horizontal="right" indent="1"/>
    </xf>
    <xf numFmtId="168" fontId="21" fillId="0" borderId="209" xfId="16" applyNumberFormat="1" applyFont="1" applyFill="1" applyBorder="1" applyAlignment="1">
      <alignment horizontal="right" indent="1"/>
    </xf>
    <xf numFmtId="168" fontId="21" fillId="0" borderId="118" xfId="16" applyNumberFormat="1" applyFont="1" applyFill="1" applyBorder="1" applyAlignment="1">
      <alignment horizontal="right" indent="1"/>
    </xf>
    <xf numFmtId="0" fontId="20" fillId="0" borderId="212" xfId="16" applyFont="1" applyFill="1" applyBorder="1" applyAlignment="1">
      <alignment horizontal="left"/>
    </xf>
    <xf numFmtId="0" fontId="21" fillId="0" borderId="212" xfId="16" applyFont="1" applyFill="1" applyBorder="1" applyAlignment="1">
      <alignment horizontal="left"/>
    </xf>
    <xf numFmtId="0" fontId="21" fillId="0" borderId="113" xfId="16" applyFont="1" applyFill="1" applyBorder="1" applyAlignment="1">
      <alignment horizontal="left"/>
    </xf>
    <xf numFmtId="0" fontId="21" fillId="0" borderId="195" xfId="16" applyFont="1" applyFill="1" applyBorder="1" applyAlignment="1">
      <alignment horizontal="left"/>
    </xf>
    <xf numFmtId="0" fontId="21" fillId="0" borderId="113" xfId="16" applyFont="1" applyFill="1" applyBorder="1" applyAlignment="1">
      <alignment horizontal="center"/>
    </xf>
    <xf numFmtId="1" fontId="21" fillId="0" borderId="111" xfId="16" applyNumberFormat="1" applyFont="1" applyFill="1" applyBorder="1" applyAlignment="1">
      <alignment horizontal="center"/>
    </xf>
    <xf numFmtId="0" fontId="21" fillId="0" borderId="212" xfId="16" applyFont="1" applyFill="1" applyBorder="1" applyAlignment="1">
      <alignment horizontal="right" indent="1"/>
    </xf>
    <xf numFmtId="0" fontId="21" fillId="0" borderId="195" xfId="16" applyFont="1" applyFill="1" applyBorder="1" applyAlignment="1">
      <alignment horizontal="right" indent="1"/>
    </xf>
    <xf numFmtId="0" fontId="21" fillId="0" borderId="111" xfId="16" applyFont="1" applyFill="1" applyBorder="1" applyAlignment="1">
      <alignment horizontal="right" indent="1"/>
    </xf>
    <xf numFmtId="168" fontId="21" fillId="0" borderId="212" xfId="16" applyNumberFormat="1" applyFont="1" applyFill="1" applyBorder="1" applyAlignment="1">
      <alignment horizontal="right" indent="1"/>
    </xf>
    <xf numFmtId="168" fontId="21" fillId="0" borderId="195" xfId="16" applyNumberFormat="1" applyFont="1" applyFill="1" applyBorder="1" applyAlignment="1">
      <alignment horizontal="right" indent="1"/>
    </xf>
    <xf numFmtId="168" fontId="21" fillId="0" borderId="111" xfId="16" applyNumberFormat="1" applyFont="1" applyFill="1" applyBorder="1" applyAlignment="1">
      <alignment horizontal="right" indent="1"/>
    </xf>
    <xf numFmtId="1" fontId="21" fillId="0" borderId="206" xfId="16" applyNumberFormat="1" applyFont="1" applyFill="1" applyBorder="1" applyAlignment="1">
      <alignment horizontal="right" indent="1"/>
    </xf>
    <xf numFmtId="1" fontId="21" fillId="0" borderId="192" xfId="16" applyNumberFormat="1" applyFont="1" applyFill="1" applyBorder="1" applyAlignment="1">
      <alignment horizontal="right" indent="1"/>
    </xf>
    <xf numFmtId="1" fontId="21" fillId="0" borderId="230" xfId="16" applyNumberFormat="1" applyFont="1" applyFill="1" applyBorder="1" applyAlignment="1">
      <alignment horizontal="right" indent="1"/>
    </xf>
    <xf numFmtId="0" fontId="21" fillId="0" borderId="0" xfId="9" applyFont="1" applyFill="1" applyBorder="1" applyAlignment="1">
      <alignment horizontal="right"/>
    </xf>
    <xf numFmtId="0" fontId="21" fillId="0" borderId="19" xfId="16" applyFont="1" applyFill="1" applyBorder="1" applyAlignment="1">
      <alignment horizontal="left"/>
    </xf>
    <xf numFmtId="1" fontId="21" fillId="0" borderId="57" xfId="16" applyNumberFormat="1" applyFont="1" applyFill="1" applyBorder="1" applyAlignment="1">
      <alignment horizontal="right" indent="1"/>
    </xf>
    <xf numFmtId="1" fontId="21" fillId="0" borderId="19" xfId="16" applyNumberFormat="1" applyFont="1" applyFill="1" applyBorder="1" applyAlignment="1">
      <alignment horizontal="right" indent="1"/>
    </xf>
    <xf numFmtId="1" fontId="21" fillId="0" borderId="109" xfId="16" applyNumberFormat="1" applyFont="1" applyFill="1" applyBorder="1" applyAlignment="1">
      <alignment horizontal="right" indent="1"/>
    </xf>
    <xf numFmtId="168" fontId="21" fillId="0" borderId="57" xfId="16" applyNumberFormat="1" applyFont="1" applyFill="1" applyBorder="1" applyAlignment="1">
      <alignment horizontal="right" indent="1"/>
    </xf>
    <xf numFmtId="168" fontId="21" fillId="0" borderId="19" xfId="16" applyNumberFormat="1" applyFont="1" applyFill="1" applyBorder="1" applyAlignment="1">
      <alignment horizontal="right" indent="1"/>
    </xf>
    <xf numFmtId="168" fontId="21" fillId="0" borderId="109" xfId="16" applyNumberFormat="1" applyFont="1" applyFill="1" applyBorder="1" applyAlignment="1">
      <alignment horizontal="right" indent="1"/>
    </xf>
    <xf numFmtId="0" fontId="20" fillId="0" borderId="211" xfId="16" applyFont="1" applyFill="1" applyBorder="1" applyAlignment="1">
      <alignment horizontal="left"/>
    </xf>
    <xf numFmtId="0" fontId="21" fillId="0" borderId="211" xfId="16" applyFont="1" applyFill="1" applyBorder="1" applyAlignment="1">
      <alignment horizontal="left"/>
    </xf>
    <xf numFmtId="0" fontId="21" fillId="0" borderId="331" xfId="16" applyFont="1" applyFill="1" applyBorder="1" applyAlignment="1">
      <alignment horizontal="left"/>
    </xf>
    <xf numFmtId="0" fontId="21" fillId="0" borderId="197" xfId="16" applyFont="1" applyFill="1" applyBorder="1" applyAlignment="1">
      <alignment horizontal="left"/>
    </xf>
    <xf numFmtId="0" fontId="21" fillId="0" borderId="130" xfId="16" applyFont="1" applyFill="1" applyBorder="1" applyAlignment="1">
      <alignment horizontal="left"/>
    </xf>
    <xf numFmtId="0" fontId="21" fillId="0" borderId="331" xfId="16" applyFont="1" applyFill="1" applyBorder="1" applyAlignment="1">
      <alignment horizontal="center"/>
    </xf>
    <xf numFmtId="1" fontId="21" fillId="0" borderId="119" xfId="16" applyNumberFormat="1" applyFont="1" applyFill="1" applyBorder="1" applyAlignment="1">
      <alignment horizontal="center"/>
    </xf>
    <xf numFmtId="0" fontId="21" fillId="0" borderId="211" xfId="16" applyFont="1" applyFill="1" applyBorder="1" applyAlignment="1">
      <alignment horizontal="right" indent="1"/>
    </xf>
    <xf numFmtId="0" fontId="21" fillId="0" borderId="197" xfId="16" applyFont="1" applyFill="1" applyBorder="1" applyAlignment="1">
      <alignment horizontal="right" indent="1"/>
    </xf>
    <xf numFmtId="0" fontId="21" fillId="0" borderId="119" xfId="16" applyFont="1" applyFill="1" applyBorder="1" applyAlignment="1">
      <alignment horizontal="right" indent="1"/>
    </xf>
    <xf numFmtId="168" fontId="21" fillId="0" borderId="146" xfId="16" applyNumberFormat="1" applyFont="1" applyFill="1" applyBorder="1" applyAlignment="1">
      <alignment horizontal="right" indent="1"/>
    </xf>
    <xf numFmtId="168" fontId="21" fillId="0" borderId="130" xfId="16" applyNumberFormat="1" applyFont="1" applyFill="1" applyBorder="1" applyAlignment="1">
      <alignment horizontal="right" indent="1"/>
    </xf>
    <xf numFmtId="168" fontId="21" fillId="0" borderId="78" xfId="16" applyNumberFormat="1" applyFont="1" applyFill="1" applyBorder="1" applyAlignment="1">
      <alignment horizontal="right" indent="1"/>
    </xf>
    <xf numFmtId="0" fontId="20" fillId="0" borderId="90" xfId="16" applyFont="1" applyFill="1" applyBorder="1" applyAlignment="1">
      <alignment horizontal="left"/>
    </xf>
    <xf numFmtId="0" fontId="21" fillId="0" borderId="90" xfId="16" applyFont="1" applyFill="1" applyBorder="1" applyAlignment="1">
      <alignment horizontal="left"/>
    </xf>
    <xf numFmtId="0" fontId="21" fillId="0" borderId="5" xfId="16" applyFont="1" applyFill="1" applyBorder="1" applyAlignment="1">
      <alignment horizontal="left"/>
    </xf>
    <xf numFmtId="0" fontId="21" fillId="0" borderId="91" xfId="16" applyFont="1" applyFill="1" applyBorder="1" applyAlignment="1">
      <alignment horizontal="left"/>
    </xf>
    <xf numFmtId="0" fontId="21" fillId="0" borderId="5" xfId="16" applyFont="1" applyFill="1" applyBorder="1" applyAlignment="1">
      <alignment horizontal="center"/>
    </xf>
    <xf numFmtId="1" fontId="21" fillId="0" borderId="94" xfId="16" applyNumberFormat="1" applyFont="1" applyFill="1" applyBorder="1" applyAlignment="1">
      <alignment horizontal="center"/>
    </xf>
    <xf numFmtId="0" fontId="21" fillId="0" borderId="90" xfId="16" applyFont="1" applyFill="1" applyBorder="1" applyAlignment="1">
      <alignment horizontal="right" indent="1"/>
    </xf>
    <xf numFmtId="0" fontId="21" fillId="0" borderId="91" xfId="16" applyFont="1" applyFill="1" applyBorder="1" applyAlignment="1">
      <alignment horizontal="right" indent="1"/>
    </xf>
    <xf numFmtId="0" fontId="21" fillId="0" borderId="94" xfId="16" applyFont="1" applyFill="1" applyBorder="1" applyAlignment="1">
      <alignment horizontal="right" indent="1"/>
    </xf>
    <xf numFmtId="168" fontId="21" fillId="0" borderId="90" xfId="16" applyNumberFormat="1" applyFont="1" applyFill="1" applyBorder="1" applyAlignment="1">
      <alignment horizontal="right" indent="1"/>
    </xf>
    <xf numFmtId="168" fontId="21" fillId="0" borderId="91" xfId="16" applyNumberFormat="1" applyFont="1" applyFill="1" applyBorder="1" applyAlignment="1">
      <alignment horizontal="right" indent="1"/>
    </xf>
    <xf numFmtId="168" fontId="21" fillId="0" borderId="94" xfId="16" applyNumberFormat="1" applyFont="1" applyFill="1" applyBorder="1" applyAlignment="1">
      <alignment horizontal="right" indent="1"/>
    </xf>
    <xf numFmtId="0" fontId="20" fillId="0" borderId="97" xfId="16" applyFont="1" applyFill="1" applyBorder="1" applyAlignment="1">
      <alignment horizontal="left"/>
    </xf>
    <xf numFmtId="0" fontId="21" fillId="0" borderId="97" xfId="16" applyFont="1" applyFill="1" applyBorder="1" applyAlignment="1">
      <alignment horizontal="left"/>
    </xf>
    <xf numFmtId="0" fontId="21" fillId="0" borderId="35" xfId="16" applyFont="1" applyFill="1" applyBorder="1" applyAlignment="1">
      <alignment horizontal="left"/>
    </xf>
    <xf numFmtId="0" fontId="21" fillId="0" borderId="25" xfId="16" applyFont="1" applyFill="1" applyBorder="1" applyAlignment="1">
      <alignment horizontal="left"/>
    </xf>
    <xf numFmtId="0" fontId="21" fillId="0" borderId="35" xfId="16" applyFont="1" applyFill="1" applyBorder="1" applyAlignment="1">
      <alignment horizontal="center"/>
    </xf>
    <xf numFmtId="1" fontId="21" fillId="0" borderId="98" xfId="16" applyNumberFormat="1" applyFont="1" applyFill="1" applyBorder="1" applyAlignment="1">
      <alignment horizontal="center"/>
    </xf>
    <xf numFmtId="0" fontId="21" fillId="0" borderId="97" xfId="16" applyFont="1" applyFill="1" applyBorder="1" applyAlignment="1">
      <alignment horizontal="right" indent="1"/>
    </xf>
    <xf numFmtId="0" fontId="21" fillId="0" borderId="25" xfId="16" applyFont="1" applyFill="1" applyBorder="1" applyAlignment="1">
      <alignment horizontal="right" indent="1"/>
    </xf>
    <xf numFmtId="0" fontId="21" fillId="0" borderId="98" xfId="16" applyFont="1" applyFill="1" applyBorder="1" applyAlignment="1">
      <alignment horizontal="right" indent="1"/>
    </xf>
    <xf numFmtId="168" fontId="21" fillId="0" borderId="97" xfId="16" applyNumberFormat="1" applyFont="1" applyFill="1" applyBorder="1" applyAlignment="1">
      <alignment horizontal="right" indent="1"/>
    </xf>
    <xf numFmtId="168" fontId="21" fillId="0" borderId="25" xfId="16" applyNumberFormat="1" applyFont="1" applyFill="1" applyBorder="1" applyAlignment="1">
      <alignment horizontal="right" indent="1"/>
    </xf>
    <xf numFmtId="168" fontId="21" fillId="0" borderId="98" xfId="16" applyNumberFormat="1" applyFont="1" applyFill="1" applyBorder="1" applyAlignment="1">
      <alignment horizontal="right" indent="1"/>
    </xf>
    <xf numFmtId="0" fontId="21" fillId="0" borderId="221" xfId="7" applyFont="1" applyFill="1" applyBorder="1" applyAlignment="1">
      <alignment horizontal="left"/>
    </xf>
    <xf numFmtId="170" fontId="21" fillId="0" borderId="230" xfId="8" applyNumberFormat="1" applyFont="1" applyFill="1" applyBorder="1" applyAlignment="1">
      <alignment horizontal="center"/>
    </xf>
    <xf numFmtId="0" fontId="21" fillId="0" borderId="212" xfId="7" applyFont="1" applyFill="1" applyBorder="1" applyAlignment="1">
      <alignment horizontal="left"/>
    </xf>
    <xf numFmtId="0" fontId="21" fillId="0" borderId="113" xfId="7" applyFont="1" applyFill="1" applyBorder="1" applyAlignment="1">
      <alignment horizontal="left"/>
    </xf>
    <xf numFmtId="0" fontId="21" fillId="0" borderId="195" xfId="7" applyFont="1" applyFill="1" applyBorder="1" applyAlignment="1">
      <alignment horizontal="left"/>
    </xf>
    <xf numFmtId="0" fontId="21" fillId="0" borderId="212" xfId="7" applyFont="1" applyFill="1" applyBorder="1" applyAlignment="1">
      <alignment horizontal="center"/>
    </xf>
    <xf numFmtId="0" fontId="21" fillId="0" borderId="212" xfId="16" applyFont="1" applyFill="1" applyBorder="1" applyAlignment="1">
      <alignment horizontal="center"/>
    </xf>
    <xf numFmtId="0" fontId="21" fillId="0" borderId="0" xfId="16" applyFont="1" applyFill="1" applyBorder="1" applyAlignment="1">
      <alignment horizontal="left"/>
    </xf>
    <xf numFmtId="0" fontId="21" fillId="0" borderId="0" xfId="9" applyFont="1" applyFill="1" applyBorder="1" applyAlignment="1">
      <alignment horizontal="center"/>
    </xf>
    <xf numFmtId="0" fontId="20" fillId="2" borderId="298" xfId="7" applyFont="1" applyFill="1" applyBorder="1" applyAlignment="1">
      <alignment horizontal="center" wrapText="1"/>
    </xf>
    <xf numFmtId="0" fontId="21" fillId="0" borderId="10" xfId="7" applyFont="1" applyFill="1" applyBorder="1" applyAlignment="1">
      <alignment horizontal="center"/>
    </xf>
    <xf numFmtId="0" fontId="21" fillId="0" borderId="57" xfId="16" applyFont="1" applyFill="1" applyBorder="1" applyAlignment="1">
      <alignment horizontal="right" indent="1"/>
    </xf>
    <xf numFmtId="0" fontId="21" fillId="0" borderId="19" xfId="16" applyFont="1" applyFill="1" applyBorder="1" applyAlignment="1">
      <alignment horizontal="right" indent="1"/>
    </xf>
    <xf numFmtId="0" fontId="21" fillId="0" borderId="109" xfId="16" applyFont="1" applyFill="1" applyBorder="1" applyAlignment="1">
      <alignment horizontal="right" indent="1"/>
    </xf>
    <xf numFmtId="170" fontId="21" fillId="0" borderId="57" xfId="7" applyNumberFormat="1" applyFont="1" applyFill="1" applyBorder="1" applyAlignment="1">
      <alignment horizontal="right" indent="1"/>
    </xf>
    <xf numFmtId="170" fontId="21" fillId="0" borderId="19" xfId="7" applyNumberFormat="1" applyFont="1" applyFill="1" applyBorder="1" applyAlignment="1">
      <alignment horizontal="right" indent="1"/>
    </xf>
    <xf numFmtId="170" fontId="21" fillId="0" borderId="109" xfId="7" applyNumberFormat="1" applyFont="1" applyFill="1" applyBorder="1" applyAlignment="1">
      <alignment horizontal="right" indent="1"/>
    </xf>
    <xf numFmtId="0" fontId="21" fillId="0" borderId="219" xfId="7" applyFont="1" applyFill="1" applyBorder="1" applyAlignment="1">
      <alignment horizontal="center"/>
    </xf>
    <xf numFmtId="170" fontId="21" fillId="0" borderId="206" xfId="7" applyNumberFormat="1" applyFont="1" applyFill="1" applyBorder="1" applyAlignment="1">
      <alignment horizontal="right" indent="1"/>
    </xf>
    <xf numFmtId="170" fontId="21" fillId="0" borderId="192" xfId="7" applyNumberFormat="1" applyFont="1" applyFill="1" applyBorder="1" applyAlignment="1">
      <alignment horizontal="right" indent="1"/>
    </xf>
    <xf numFmtId="170" fontId="21" fillId="0" borderId="230" xfId="7" applyNumberFormat="1" applyFont="1" applyFill="1" applyBorder="1" applyAlignment="1">
      <alignment horizontal="right" indent="1"/>
    </xf>
    <xf numFmtId="0" fontId="21" fillId="0" borderId="225" xfId="7" applyFont="1" applyFill="1" applyBorder="1"/>
    <xf numFmtId="0" fontId="21" fillId="0" borderId="38" xfId="7" applyFont="1" applyFill="1" applyBorder="1" applyAlignment="1">
      <alignment horizontal="left"/>
    </xf>
    <xf numFmtId="0" fontId="21" fillId="0" borderId="206" xfId="7" applyFont="1" applyFill="1" applyBorder="1" applyAlignment="1">
      <alignment horizontal="right" indent="1"/>
    </xf>
    <xf numFmtId="0" fontId="21" fillId="0" borderId="192" xfId="7" applyFont="1" applyFill="1" applyBorder="1" applyAlignment="1">
      <alignment horizontal="right" indent="1"/>
    </xf>
    <xf numFmtId="0" fontId="21" fillId="0" borderId="230" xfId="7" applyFont="1" applyFill="1" applyBorder="1" applyAlignment="1">
      <alignment horizontal="right" indent="1"/>
    </xf>
    <xf numFmtId="0" fontId="20" fillId="0" borderId="208" xfId="7" applyFont="1" applyFill="1" applyBorder="1" applyAlignment="1">
      <alignment horizontal="left"/>
    </xf>
    <xf numFmtId="0" fontId="21" fillId="0" borderId="208" xfId="7" applyFont="1" applyFill="1" applyBorder="1" applyAlignment="1">
      <alignment horizontal="left"/>
    </xf>
    <xf numFmtId="0" fontId="21" fillId="0" borderId="108" xfId="7" applyFont="1" applyFill="1" applyBorder="1" applyAlignment="1">
      <alignment horizontal="left"/>
    </xf>
    <xf numFmtId="0" fontId="21" fillId="0" borderId="209" xfId="7" applyFont="1" applyFill="1" applyBorder="1" applyAlignment="1">
      <alignment horizontal="left"/>
    </xf>
    <xf numFmtId="0" fontId="21" fillId="0" borderId="231" xfId="7" applyFont="1" applyFill="1" applyBorder="1" applyAlignment="1">
      <alignment horizontal="center"/>
    </xf>
    <xf numFmtId="170" fontId="21" fillId="0" borderId="208" xfId="7" applyNumberFormat="1" applyFont="1" applyFill="1" applyBorder="1" applyAlignment="1">
      <alignment horizontal="right" indent="1"/>
    </xf>
    <xf numFmtId="170" fontId="21" fillId="0" borderId="209" xfId="7" applyNumberFormat="1" applyFont="1" applyFill="1" applyBorder="1" applyAlignment="1">
      <alignment horizontal="right" indent="1"/>
    </xf>
    <xf numFmtId="170" fontId="21" fillId="0" borderId="118" xfId="7" applyNumberFormat="1" applyFont="1" applyFill="1" applyBorder="1" applyAlignment="1">
      <alignment horizontal="right" indent="1"/>
    </xf>
    <xf numFmtId="0" fontId="21" fillId="0" borderId="57" xfId="7" applyFont="1" applyFill="1" applyBorder="1" applyAlignment="1">
      <alignment horizontal="right" indent="1"/>
    </xf>
    <xf numFmtId="0" fontId="21" fillId="0" borderId="19" xfId="7" applyFont="1" applyFill="1" applyBorder="1" applyAlignment="1">
      <alignment horizontal="right" indent="1"/>
    </xf>
    <xf numFmtId="0" fontId="21" fillId="0" borderId="109" xfId="7" applyFont="1" applyFill="1" applyBorder="1" applyAlignment="1">
      <alignment horizontal="right" indent="1"/>
    </xf>
    <xf numFmtId="0" fontId="20" fillId="0" borderId="212" xfId="7" applyFont="1" applyFill="1" applyBorder="1" applyAlignment="1">
      <alignment horizontal="left"/>
    </xf>
    <xf numFmtId="0" fontId="21" fillId="0" borderId="232" xfId="7" applyFont="1" applyFill="1" applyBorder="1" applyAlignment="1">
      <alignment horizontal="center"/>
    </xf>
    <xf numFmtId="0" fontId="21" fillId="0" borderId="212" xfId="7" applyFont="1" applyFill="1" applyBorder="1" applyAlignment="1">
      <alignment horizontal="right" indent="1"/>
    </xf>
    <xf numFmtId="0" fontId="21" fillId="0" borderId="195" xfId="7" applyFont="1" applyFill="1" applyBorder="1" applyAlignment="1">
      <alignment horizontal="right" indent="1"/>
    </xf>
    <xf numFmtId="0" fontId="21" fillId="0" borderId="111" xfId="7" applyFont="1" applyFill="1" applyBorder="1" applyAlignment="1">
      <alignment horizontal="right" indent="1"/>
    </xf>
    <xf numFmtId="0" fontId="21" fillId="0" borderId="1" xfId="7" applyFont="1" applyFill="1" applyBorder="1" applyAlignment="1">
      <alignment horizontal="left"/>
    </xf>
    <xf numFmtId="0" fontId="21" fillId="0" borderId="146" xfId="16" applyFont="1" applyFill="1" applyBorder="1" applyAlignment="1">
      <alignment horizontal="right" indent="1"/>
    </xf>
    <xf numFmtId="0" fontId="21" fillId="0" borderId="130" xfId="16" applyFont="1" applyFill="1" applyBorder="1" applyAlignment="1">
      <alignment horizontal="right" indent="1"/>
    </xf>
    <xf numFmtId="0" fontId="21" fillId="0" borderId="78" xfId="16" applyFont="1" applyFill="1" applyBorder="1" applyAlignment="1">
      <alignment horizontal="right" indent="1"/>
    </xf>
    <xf numFmtId="170" fontId="21" fillId="0" borderId="146" xfId="7" applyNumberFormat="1" applyFont="1" applyFill="1" applyBorder="1" applyAlignment="1">
      <alignment horizontal="right" indent="1"/>
    </xf>
    <xf numFmtId="170" fontId="21" fillId="0" borderId="130" xfId="7" applyNumberFormat="1" applyFont="1" applyFill="1" applyBorder="1" applyAlignment="1">
      <alignment horizontal="right" indent="1"/>
    </xf>
    <xf numFmtId="170" fontId="21" fillId="0" borderId="78" xfId="7" applyNumberFormat="1" applyFont="1" applyFill="1" applyBorder="1" applyAlignment="1">
      <alignment horizontal="right" indent="1"/>
    </xf>
    <xf numFmtId="0" fontId="21" fillId="0" borderId="208" xfId="7" applyFont="1" applyFill="1" applyBorder="1" applyAlignment="1">
      <alignment horizontal="right" indent="1"/>
    </xf>
    <xf numFmtId="0" fontId="21" fillId="0" borderId="209" xfId="7" applyFont="1" applyFill="1" applyBorder="1" applyAlignment="1">
      <alignment horizontal="right" indent="1"/>
    </xf>
    <xf numFmtId="0" fontId="21" fillId="0" borderId="118" xfId="7" applyFont="1" applyFill="1" applyBorder="1" applyAlignment="1">
      <alignment horizontal="right" indent="1"/>
    </xf>
    <xf numFmtId="0" fontId="34" fillId="2" borderId="33" xfId="16" applyFont="1" applyFill="1" applyBorder="1" applyAlignment="1">
      <alignment horizontal="left" indent="1"/>
    </xf>
    <xf numFmtId="0" fontId="34" fillId="2" borderId="9" xfId="16" applyFont="1" applyFill="1" applyBorder="1" applyAlignment="1">
      <alignment horizontal="left" indent="1"/>
    </xf>
    <xf numFmtId="0" fontId="34" fillId="2" borderId="34" xfId="16" applyFont="1" applyFill="1" applyBorder="1" applyAlignment="1">
      <alignment horizontal="left" indent="1"/>
    </xf>
    <xf numFmtId="0" fontId="35" fillId="2" borderId="33" xfId="16" applyFont="1" applyFill="1" applyBorder="1" applyAlignment="1">
      <alignment horizontal="left" indent="1"/>
    </xf>
    <xf numFmtId="0" fontId="35" fillId="2" borderId="9" xfId="16" applyFont="1" applyFill="1" applyBorder="1" applyAlignment="1">
      <alignment horizontal="left" indent="1"/>
    </xf>
    <xf numFmtId="0" fontId="35" fillId="2" borderId="34" xfId="16" applyFont="1" applyFill="1" applyBorder="1" applyAlignment="1">
      <alignment horizontal="left" indent="1"/>
    </xf>
    <xf numFmtId="0" fontId="21" fillId="0" borderId="0" xfId="16" applyFont="1" applyFill="1" applyBorder="1" applyAlignment="1">
      <alignment horizontal="left" wrapText="1"/>
    </xf>
    <xf numFmtId="0" fontId="20" fillId="2" borderId="9" xfId="16" applyFont="1" applyFill="1" applyBorder="1" applyAlignment="1">
      <alignment horizontal="center"/>
    </xf>
    <xf numFmtId="0" fontId="20" fillId="2" borderId="34" xfId="16" applyFont="1" applyFill="1" applyBorder="1" applyAlignment="1">
      <alignment horizontal="center"/>
    </xf>
    <xf numFmtId="0" fontId="21" fillId="0" borderId="57" xfId="0" applyFont="1" applyFill="1" applyBorder="1" applyAlignment="1">
      <alignment horizontal="left"/>
    </xf>
    <xf numFmtId="0" fontId="21" fillId="0" borderId="38" xfId="0" applyFont="1" applyFill="1" applyBorder="1" applyAlignment="1">
      <alignment horizontal="center"/>
    </xf>
    <xf numFmtId="0" fontId="21" fillId="0" borderId="57" xfId="0" applyFont="1" applyFill="1" applyBorder="1" applyAlignment="1">
      <alignment horizontal="center"/>
    </xf>
    <xf numFmtId="1" fontId="21" fillId="0" borderId="109" xfId="0" applyNumberFormat="1" applyFont="1" applyFill="1" applyBorder="1" applyAlignment="1">
      <alignment horizontal="center"/>
    </xf>
    <xf numFmtId="170" fontId="21" fillId="0" borderId="195" xfId="7" applyNumberFormat="1" applyFont="1" applyFill="1" applyBorder="1" applyAlignment="1">
      <alignment horizontal="right" indent="1"/>
    </xf>
    <xf numFmtId="170" fontId="21" fillId="0" borderId="212" xfId="7" applyNumberFormat="1" applyFont="1" applyFill="1" applyBorder="1" applyAlignment="1">
      <alignment horizontal="right" indent="1"/>
    </xf>
    <xf numFmtId="170" fontId="21" fillId="0" borderId="111" xfId="7" applyNumberFormat="1" applyFont="1" applyFill="1" applyBorder="1" applyAlignment="1">
      <alignment horizontal="right" indent="1"/>
    </xf>
    <xf numFmtId="0" fontId="21" fillId="0" borderId="57" xfId="16" applyFont="1" applyFill="1" applyBorder="1" applyAlignment="1">
      <alignment horizontal="left"/>
    </xf>
    <xf numFmtId="0" fontId="21" fillId="0" borderId="38" xfId="16" applyFont="1" applyFill="1" applyBorder="1" applyAlignment="1">
      <alignment horizontal="left"/>
    </xf>
    <xf numFmtId="0" fontId="21" fillId="0" borderId="38" xfId="16" applyFont="1" applyFill="1" applyBorder="1" applyAlignment="1">
      <alignment horizontal="center"/>
    </xf>
    <xf numFmtId="1" fontId="21" fillId="0" borderId="109" xfId="16" applyNumberFormat="1" applyFont="1" applyFill="1" applyBorder="1" applyAlignment="1">
      <alignment horizontal="center"/>
    </xf>
    <xf numFmtId="0" fontId="20" fillId="0" borderId="0" xfId="7" applyFont="1" applyFill="1" applyBorder="1" applyAlignment="1">
      <alignment horizontal="left"/>
    </xf>
    <xf numFmtId="170" fontId="21" fillId="13" borderId="52" xfId="3" applyNumberFormat="1" applyFont="1" applyFill="1" applyBorder="1" applyAlignment="1" applyProtection="1">
      <alignment horizontal="right" vertical="center" wrapText="1" indent="1"/>
    </xf>
    <xf numFmtId="170" fontId="21" fillId="13" borderId="46" xfId="3" applyNumberFormat="1" applyFont="1" applyFill="1" applyBorder="1" applyAlignment="1" applyProtection="1">
      <alignment horizontal="right" vertical="center" wrapText="1" indent="1"/>
    </xf>
    <xf numFmtId="170" fontId="21" fillId="13" borderId="73" xfId="3" applyNumberFormat="1" applyFont="1" applyFill="1" applyBorder="1" applyAlignment="1" applyProtection="1">
      <alignment horizontal="right" vertical="center" wrapText="1" indent="1"/>
    </xf>
    <xf numFmtId="170" fontId="27" fillId="13" borderId="74" xfId="3" applyNumberFormat="1" applyFont="1" applyFill="1" applyBorder="1" applyAlignment="1" applyProtection="1">
      <alignment horizontal="right" vertical="center" wrapText="1" indent="1"/>
    </xf>
    <xf numFmtId="3" fontId="29" fillId="0" borderId="335" xfId="0" applyNumberFormat="1" applyFont="1" applyBorder="1" applyAlignment="1">
      <alignment horizontal="right" indent="1"/>
    </xf>
    <xf numFmtId="0" fontId="63" fillId="0" borderId="0" xfId="0" applyFont="1" applyAlignment="1">
      <alignment horizontal="center"/>
    </xf>
    <xf numFmtId="1" fontId="29" fillId="0" borderId="175" xfId="0" applyNumberFormat="1" applyFont="1" applyBorder="1" applyAlignment="1">
      <alignment horizontal="right" indent="1"/>
    </xf>
    <xf numFmtId="10" fontId="20" fillId="0" borderId="42" xfId="5" applyNumberFormat="1" applyFont="1" applyBorder="1" applyAlignment="1">
      <alignment horizontal="right" vertical="top" indent="1"/>
    </xf>
    <xf numFmtId="0" fontId="20" fillId="2" borderId="35" xfId="0" applyFont="1" applyFill="1" applyBorder="1" applyAlignment="1">
      <alignment horizontal="center" vertical="top" wrapText="1"/>
    </xf>
    <xf numFmtId="0" fontId="20" fillId="2" borderId="341" xfId="0" applyFont="1" applyFill="1" applyBorder="1" applyAlignment="1">
      <alignment vertical="top" wrapText="1"/>
    </xf>
    <xf numFmtId="0" fontId="20" fillId="2" borderId="342" xfId="0" applyFont="1" applyFill="1" applyBorder="1" applyAlignment="1">
      <alignment vertical="top" wrapText="1"/>
    </xf>
    <xf numFmtId="0" fontId="20" fillId="2" borderId="343" xfId="0" applyFont="1" applyFill="1" applyBorder="1" applyAlignment="1">
      <alignment vertical="top" wrapText="1"/>
    </xf>
    <xf numFmtId="0" fontId="20" fillId="2" borderId="252" xfId="0" applyFont="1" applyFill="1" applyBorder="1" applyAlignment="1">
      <alignment vertical="top" wrapText="1"/>
    </xf>
    <xf numFmtId="0" fontId="20" fillId="2" borderId="40" xfId="0" applyFont="1" applyFill="1" applyBorder="1" applyAlignment="1">
      <alignment vertical="top" wrapText="1"/>
    </xf>
    <xf numFmtId="0" fontId="20" fillId="2" borderId="148" xfId="0" applyFont="1" applyFill="1" applyBorder="1" applyAlignment="1">
      <alignment vertical="top" wrapText="1"/>
    </xf>
    <xf numFmtId="0" fontId="21" fillId="0" borderId="156" xfId="0" applyFont="1" applyBorder="1" applyAlignment="1">
      <alignment horizontal="left" vertical="top" indent="1"/>
    </xf>
    <xf numFmtId="166" fontId="21" fillId="0" borderId="156" xfId="0" applyNumberFormat="1" applyFont="1" applyBorder="1" applyAlignment="1">
      <alignment horizontal="right" vertical="top" indent="1"/>
    </xf>
    <xf numFmtId="0" fontId="21" fillId="0" borderId="192" xfId="0" applyFont="1" applyBorder="1" applyAlignment="1">
      <alignment horizontal="left" vertical="top" indent="1"/>
    </xf>
    <xf numFmtId="166" fontId="21" fillId="0" borderId="192" xfId="0" applyNumberFormat="1" applyFont="1" applyFill="1" applyBorder="1" applyAlignment="1">
      <alignment horizontal="right" vertical="top" indent="1"/>
    </xf>
    <xf numFmtId="166" fontId="21" fillId="0" borderId="192" xfId="0" applyNumberFormat="1" applyFont="1" applyBorder="1" applyAlignment="1">
      <alignment horizontal="right" vertical="top" indent="1"/>
    </xf>
    <xf numFmtId="0" fontId="21" fillId="0" borderId="192" xfId="0" applyFont="1" applyFill="1" applyBorder="1" applyAlignment="1">
      <alignment horizontal="left" vertical="top" indent="1"/>
    </xf>
    <xf numFmtId="0" fontId="21" fillId="0" borderId="209" xfId="0" applyFont="1" applyBorder="1" applyAlignment="1">
      <alignment horizontal="left" vertical="top" indent="1"/>
    </xf>
    <xf numFmtId="166" fontId="21" fillId="0" borderId="209" xfId="0" applyNumberFormat="1" applyFont="1" applyBorder="1" applyAlignment="1">
      <alignment horizontal="right" vertical="top" indent="1"/>
    </xf>
    <xf numFmtId="165" fontId="20" fillId="20" borderId="340" xfId="5" applyNumberFormat="1" applyFont="1" applyFill="1" applyBorder="1" applyAlignment="1" applyProtection="1">
      <alignment horizontal="right" indent="1"/>
      <protection locked="0"/>
    </xf>
    <xf numFmtId="165" fontId="20" fillId="20" borderId="346" xfId="5" applyNumberFormat="1" applyFont="1" applyFill="1" applyBorder="1" applyAlignment="1" applyProtection="1">
      <alignment horizontal="left" indent="1"/>
      <protection locked="0"/>
    </xf>
    <xf numFmtId="165" fontId="20" fillId="20" borderId="347" xfId="5" applyNumberFormat="1" applyFont="1" applyFill="1" applyBorder="1" applyAlignment="1" applyProtection="1">
      <alignment horizontal="left" indent="1"/>
      <protection locked="0"/>
    </xf>
    <xf numFmtId="165" fontId="20" fillId="20" borderId="348" xfId="5" applyNumberFormat="1" applyFont="1" applyFill="1" applyBorder="1" applyAlignment="1" applyProtection="1">
      <alignment horizontal="right" indent="1"/>
      <protection locked="0"/>
    </xf>
    <xf numFmtId="10" fontId="21" fillId="0" borderId="156" xfId="0" applyNumberFormat="1" applyFont="1" applyFill="1" applyBorder="1" applyAlignment="1" applyProtection="1">
      <alignment horizontal="right" indent="1"/>
    </xf>
    <xf numFmtId="10" fontId="21" fillId="0" borderId="192" xfId="0" applyNumberFormat="1" applyFont="1" applyFill="1" applyBorder="1" applyAlignment="1" applyProtection="1">
      <alignment horizontal="right" indent="1"/>
    </xf>
    <xf numFmtId="10" fontId="21" fillId="0" borderId="209" xfId="0" applyNumberFormat="1" applyFont="1" applyFill="1" applyBorder="1" applyAlignment="1" applyProtection="1">
      <alignment horizontal="right" indent="1"/>
    </xf>
    <xf numFmtId="0" fontId="20" fillId="2" borderId="35" xfId="0" applyFont="1" applyFill="1" applyBorder="1" applyAlignment="1" applyProtection="1">
      <alignment horizontal="center" vertical="top" wrapText="1"/>
    </xf>
    <xf numFmtId="0" fontId="20" fillId="2" borderId="341" xfId="0" applyFont="1" applyFill="1" applyBorder="1" applyAlignment="1" applyProtection="1">
      <alignment vertical="top" wrapText="1"/>
    </xf>
    <xf numFmtId="0" fontId="5" fillId="0" borderId="1" xfId="0" applyFont="1" applyBorder="1" applyProtection="1"/>
    <xf numFmtId="0" fontId="21" fillId="0" borderId="17" xfId="0" applyFont="1" applyBorder="1" applyAlignment="1" applyProtection="1">
      <alignment horizontal="left" vertical="top" indent="1"/>
    </xf>
    <xf numFmtId="0" fontId="21" fillId="0" borderId="192" xfId="0" applyFont="1" applyBorder="1" applyAlignment="1" applyProtection="1">
      <alignment horizontal="left" vertical="top" indent="1"/>
    </xf>
    <xf numFmtId="0" fontId="21" fillId="0" borderId="192" xfId="0" applyFont="1" applyFill="1" applyBorder="1" applyAlignment="1" applyProtection="1">
      <alignment horizontal="left" vertical="top" indent="1"/>
    </xf>
    <xf numFmtId="0" fontId="21" fillId="0" borderId="195" xfId="0" applyFont="1" applyBorder="1" applyAlignment="1" applyProtection="1">
      <alignment horizontal="left" vertical="top" indent="1"/>
    </xf>
    <xf numFmtId="0" fontId="20" fillId="20" borderId="349" xfId="7" applyFont="1" applyFill="1" applyBorder="1" applyAlignment="1" applyProtection="1">
      <alignment horizontal="left" vertical="top" indent="1"/>
      <protection locked="0"/>
    </xf>
    <xf numFmtId="0" fontId="20" fillId="20" borderId="350" xfId="7" applyFont="1" applyFill="1" applyBorder="1" applyAlignment="1" applyProtection="1">
      <alignment horizontal="left" vertical="top" indent="1"/>
      <protection locked="0"/>
    </xf>
    <xf numFmtId="0" fontId="20" fillId="20" borderId="351" xfId="7" applyFont="1" applyFill="1" applyBorder="1" applyAlignment="1" applyProtection="1">
      <alignment horizontal="left" vertical="top" indent="1"/>
      <protection locked="0"/>
    </xf>
    <xf numFmtId="0" fontId="20" fillId="20" borderId="350" xfId="7" applyFont="1" applyFill="1" applyBorder="1" applyAlignment="1" applyProtection="1">
      <alignment horizontal="left" vertical="top" indent="1"/>
    </xf>
    <xf numFmtId="0" fontId="20" fillId="20" borderId="351" xfId="7" applyFont="1" applyFill="1" applyBorder="1" applyAlignment="1" applyProtection="1">
      <alignment horizontal="left" vertical="top" indent="1"/>
    </xf>
    <xf numFmtId="3" fontId="20" fillId="20" borderId="129" xfId="0" applyNumberFormat="1" applyFont="1" applyFill="1" applyBorder="1" applyAlignment="1" applyProtection="1">
      <alignment horizontal="center" vertical="center"/>
      <protection locked="0"/>
    </xf>
    <xf numFmtId="3" fontId="20" fillId="20" borderId="121" xfId="0" applyNumberFormat="1" applyFont="1" applyFill="1" applyBorder="1" applyAlignment="1" applyProtection="1">
      <alignment horizontal="center" vertical="center"/>
      <protection locked="0"/>
    </xf>
    <xf numFmtId="3" fontId="20" fillId="20" borderId="340" xfId="0" applyNumberFormat="1" applyFont="1" applyFill="1" applyBorder="1" applyAlignment="1" applyProtection="1">
      <alignment horizontal="right" indent="1"/>
      <protection locked="0"/>
    </xf>
    <xf numFmtId="3" fontId="20" fillId="20" borderId="249" xfId="0" applyNumberFormat="1" applyFont="1" applyFill="1" applyBorder="1" applyAlignment="1" applyProtection="1">
      <alignment horizontal="right" indent="1"/>
      <protection locked="0"/>
    </xf>
    <xf numFmtId="3" fontId="20" fillId="20" borderId="250" xfId="0" applyNumberFormat="1" applyFont="1" applyFill="1" applyBorder="1" applyAlignment="1" applyProtection="1">
      <alignment horizontal="right" indent="1"/>
      <protection locked="0"/>
    </xf>
    <xf numFmtId="3" fontId="20" fillId="20" borderId="120" xfId="0" applyNumberFormat="1" applyFont="1" applyFill="1" applyBorder="1" applyAlignment="1" applyProtection="1">
      <alignment horizontal="right" indent="1"/>
      <protection locked="0"/>
    </xf>
    <xf numFmtId="0" fontId="20" fillId="20" borderId="133" xfId="3" applyFont="1" applyFill="1" applyBorder="1" applyAlignment="1" applyProtection="1">
      <alignment horizontal="right" indent="1"/>
      <protection locked="0"/>
    </xf>
    <xf numFmtId="165" fontId="20" fillId="20" borderId="122" xfId="5" applyNumberFormat="1" applyFont="1" applyFill="1" applyBorder="1" applyAlignment="1" applyProtection="1">
      <alignment horizontal="right" indent="1"/>
      <protection locked="0"/>
    </xf>
    <xf numFmtId="165" fontId="20" fillId="20" borderId="249" xfId="5" applyNumberFormat="1" applyFont="1" applyFill="1" applyBorder="1" applyAlignment="1" applyProtection="1">
      <alignment horizontal="right" indent="1"/>
      <protection locked="0"/>
    </xf>
    <xf numFmtId="10" fontId="21" fillId="20" borderId="133" xfId="5" applyNumberFormat="1" applyFont="1" applyFill="1" applyBorder="1" applyAlignment="1" applyProtection="1">
      <alignment horizontal="right" indent="1"/>
      <protection locked="0"/>
    </xf>
    <xf numFmtId="3" fontId="20" fillId="20" borderId="134" xfId="3" applyNumberFormat="1" applyFont="1" applyFill="1" applyBorder="1" applyAlignment="1" applyProtection="1">
      <alignment horizontal="right" indent="1"/>
      <protection locked="0"/>
    </xf>
    <xf numFmtId="3" fontId="20" fillId="20" borderId="133" xfId="3" applyNumberFormat="1" applyFont="1" applyFill="1" applyBorder="1" applyAlignment="1" applyProtection="1">
      <alignment horizontal="right" indent="1"/>
      <protection locked="0"/>
    </xf>
    <xf numFmtId="3" fontId="20" fillId="20" borderId="217" xfId="3" applyNumberFormat="1" applyFont="1" applyFill="1" applyBorder="1" applyAlignment="1" applyProtection="1">
      <alignment horizontal="right" indent="1"/>
      <protection locked="0"/>
    </xf>
    <xf numFmtId="1" fontId="20" fillId="20" borderId="218" xfId="5" applyNumberFormat="1" applyFont="1" applyFill="1" applyBorder="1" applyAlignment="1" applyProtection="1">
      <alignment horizontal="right" indent="1"/>
      <protection locked="0"/>
    </xf>
    <xf numFmtId="9" fontId="20" fillId="20" borderId="133" xfId="3" applyNumberFormat="1" applyFont="1" applyFill="1" applyBorder="1" applyAlignment="1" applyProtection="1">
      <alignment horizontal="center"/>
      <protection locked="0"/>
    </xf>
    <xf numFmtId="0" fontId="20" fillId="2" borderId="76" xfId="3" quotePrefix="1" applyFont="1" applyFill="1" applyBorder="1" applyAlignment="1">
      <alignment horizontal="center" wrapText="1"/>
    </xf>
    <xf numFmtId="9" fontId="20" fillId="20" borderId="133" xfId="6" applyFont="1" applyFill="1" applyBorder="1" applyAlignment="1" applyProtection="1">
      <alignment horizontal="right" vertical="top" indent="1"/>
      <protection locked="0"/>
    </xf>
    <xf numFmtId="9" fontId="20" fillId="20" borderId="217" xfId="6" applyFont="1" applyFill="1" applyBorder="1" applyAlignment="1" applyProtection="1">
      <alignment horizontal="right" vertical="top" indent="1"/>
      <protection locked="0"/>
    </xf>
    <xf numFmtId="9" fontId="20" fillId="20" borderId="218" xfId="5" applyFont="1" applyFill="1" applyBorder="1" applyAlignment="1" applyProtection="1">
      <alignment horizontal="right" indent="1"/>
      <protection locked="0"/>
    </xf>
    <xf numFmtId="10" fontId="20" fillId="20" borderId="133" xfId="5" applyNumberFormat="1" applyFont="1" applyFill="1" applyBorder="1" applyAlignment="1" applyProtection="1">
      <alignment horizontal="right" indent="1"/>
      <protection locked="0"/>
    </xf>
    <xf numFmtId="9" fontId="20" fillId="20" borderId="133" xfId="5" applyFont="1" applyFill="1" applyBorder="1" applyAlignment="1" applyProtection="1">
      <alignment horizontal="right" indent="1"/>
      <protection locked="0"/>
    </xf>
    <xf numFmtId="0" fontId="21" fillId="9" borderId="211" xfId="3" applyFont="1" applyFill="1" applyBorder="1" applyAlignment="1">
      <alignment horizontal="left" vertical="center" indent="1"/>
    </xf>
    <xf numFmtId="0" fontId="21" fillId="9" borderId="197" xfId="3" applyFont="1" applyFill="1" applyBorder="1" applyAlignment="1">
      <alignment vertical="center" wrapText="1"/>
    </xf>
    <xf numFmtId="0" fontId="21" fillId="9" borderId="197" xfId="3" applyFont="1" applyFill="1" applyBorder="1" applyAlignment="1" applyProtection="1">
      <alignment horizontal="right" vertical="center" indent="1"/>
    </xf>
    <xf numFmtId="0" fontId="21" fillId="0" borderId="117" xfId="3" applyFont="1" applyFill="1" applyBorder="1" applyAlignment="1" applyProtection="1">
      <alignment vertical="center"/>
    </xf>
    <xf numFmtId="3" fontId="20" fillId="20" borderId="133" xfId="3" applyNumberFormat="1" applyFont="1" applyFill="1" applyBorder="1" applyAlignment="1" applyProtection="1">
      <alignment horizontal="right" vertical="center" indent="1"/>
      <protection locked="0"/>
    </xf>
    <xf numFmtId="0" fontId="20" fillId="2" borderId="16" xfId="0" applyFont="1" applyFill="1" applyBorder="1" applyAlignment="1">
      <alignment vertical="top" wrapText="1"/>
    </xf>
    <xf numFmtId="0" fontId="20" fillId="2" borderId="81" xfId="0" applyFont="1" applyFill="1" applyBorder="1" applyAlignment="1">
      <alignment vertical="top" wrapText="1"/>
    </xf>
    <xf numFmtId="166" fontId="21" fillId="0" borderId="45" xfId="3" applyNumberFormat="1" applyFont="1" applyBorder="1" applyAlignment="1">
      <alignment horizontal="right" vertical="top" indent="1"/>
    </xf>
    <xf numFmtId="166" fontId="21" fillId="0" borderId="38" xfId="6" applyNumberFormat="1" applyFont="1" applyBorder="1" applyAlignment="1">
      <alignment horizontal="right" indent="1"/>
    </xf>
    <xf numFmtId="166" fontId="21" fillId="0" borderId="48" xfId="6" applyNumberFormat="1" applyFont="1" applyBorder="1" applyAlignment="1">
      <alignment horizontal="right" indent="1"/>
    </xf>
    <xf numFmtId="166" fontId="21" fillId="0" borderId="112" xfId="3" applyNumberFormat="1" applyFont="1" applyBorder="1" applyAlignment="1" applyProtection="1">
      <alignment horizontal="right" indent="1"/>
    </xf>
    <xf numFmtId="166" fontId="21" fillId="0" borderId="230" xfId="3" applyNumberFormat="1" applyFont="1" applyBorder="1" applyAlignment="1" applyProtection="1">
      <alignment horizontal="right" indent="1"/>
    </xf>
    <xf numFmtId="166" fontId="21" fillId="0" borderId="7" xfId="4" applyNumberFormat="1" applyFont="1" applyFill="1" applyBorder="1" applyAlignment="1">
      <alignment horizontal="right" indent="1"/>
    </xf>
    <xf numFmtId="0" fontId="21" fillId="0" borderId="6" xfId="0" applyFont="1" applyBorder="1" applyAlignment="1">
      <alignment horizontal="left" vertical="top" indent="1"/>
    </xf>
    <xf numFmtId="166" fontId="20" fillId="0" borderId="49" xfId="3" applyNumberFormat="1" applyFont="1" applyFill="1" applyBorder="1" applyAlignment="1">
      <alignment horizontal="right" indent="1"/>
    </xf>
    <xf numFmtId="165" fontId="21" fillId="0" borderId="17" xfId="5" applyNumberFormat="1" applyFont="1" applyBorder="1" applyAlignment="1" applyProtection="1">
      <alignment horizontal="right" indent="1"/>
    </xf>
    <xf numFmtId="165" fontId="21" fillId="0" borderId="192" xfId="5" applyNumberFormat="1" applyFont="1" applyBorder="1" applyAlignment="1" applyProtection="1">
      <alignment horizontal="right" indent="1"/>
    </xf>
    <xf numFmtId="165" fontId="21" fillId="0" borderId="195" xfId="5" applyNumberFormat="1" applyFont="1" applyBorder="1" applyAlignment="1" applyProtection="1">
      <alignment horizontal="right" indent="1"/>
    </xf>
    <xf numFmtId="165" fontId="21" fillId="0" borderId="48" xfId="5" applyNumberFormat="1" applyFont="1" applyBorder="1" applyAlignment="1">
      <alignment horizontal="right" indent="1"/>
    </xf>
    <xf numFmtId="0" fontId="21" fillId="0" borderId="91" xfId="4" applyFont="1" applyBorder="1"/>
    <xf numFmtId="0" fontId="21" fillId="30" borderId="91" xfId="4" applyFont="1" applyFill="1" applyBorder="1"/>
    <xf numFmtId="0" fontId="21" fillId="0" borderId="44" xfId="3" applyFont="1" applyBorder="1" applyAlignment="1" applyProtection="1">
      <alignment horizontal="left" vertical="top" indent="1"/>
    </xf>
    <xf numFmtId="3" fontId="21" fillId="0" borderId="45" xfId="3" applyNumberFormat="1" applyFont="1" applyBorder="1" applyAlignment="1" applyProtection="1">
      <alignment horizontal="right" vertical="top" indent="1"/>
    </xf>
    <xf numFmtId="0" fontId="21" fillId="0" borderId="52" xfId="3" applyFont="1" applyBorder="1" applyAlignment="1" applyProtection="1">
      <alignment horizontal="left" indent="1"/>
    </xf>
    <xf numFmtId="0" fontId="21" fillId="0" borderId="38" xfId="3" applyFont="1" applyBorder="1" applyAlignment="1" applyProtection="1">
      <alignment horizontal="right" vertical="top" indent="1"/>
    </xf>
    <xf numFmtId="0" fontId="21" fillId="0" borderId="52" xfId="3" applyFont="1" applyBorder="1" applyAlignment="1" applyProtection="1">
      <alignment horizontal="left" vertical="top" indent="1"/>
    </xf>
    <xf numFmtId="0" fontId="21" fillId="0" borderId="46" xfId="3" applyFont="1" applyBorder="1" applyAlignment="1" applyProtection="1">
      <alignment horizontal="left" vertical="top" indent="1"/>
    </xf>
    <xf numFmtId="0" fontId="21" fillId="0" borderId="196" xfId="3" applyFont="1" applyBorder="1" applyAlignment="1" applyProtection="1">
      <alignment horizontal="left" indent="1"/>
    </xf>
    <xf numFmtId="0" fontId="21" fillId="0" borderId="113" xfId="3" applyFont="1" applyBorder="1" applyAlignment="1" applyProtection="1">
      <alignment horizontal="right" vertical="top" indent="1"/>
    </xf>
    <xf numFmtId="166" fontId="21" fillId="0" borderId="111" xfId="3" applyNumberFormat="1" applyFont="1" applyBorder="1" applyAlignment="1" applyProtection="1">
      <alignment horizontal="right" indent="1"/>
    </xf>
    <xf numFmtId="0" fontId="20" fillId="9" borderId="35" xfId="3" applyFont="1" applyFill="1" applyBorder="1" applyAlignment="1">
      <alignment horizontal="center" vertical="top" wrapText="1"/>
    </xf>
    <xf numFmtId="0" fontId="20" fillId="9" borderId="344" xfId="0" applyFont="1" applyFill="1" applyBorder="1" applyAlignment="1" applyProtection="1">
      <alignment horizontal="center" vertical="center"/>
    </xf>
    <xf numFmtId="0" fontId="20" fillId="9" borderId="343" xfId="0" applyFont="1" applyFill="1" applyBorder="1" applyAlignment="1" applyProtection="1">
      <alignment horizontal="center" vertical="center"/>
    </xf>
    <xf numFmtId="0" fontId="20" fillId="9" borderId="345" xfId="0" applyFont="1" applyFill="1" applyBorder="1" applyAlignment="1" applyProtection="1">
      <alignment horizontal="center" vertical="center"/>
    </xf>
    <xf numFmtId="0" fontId="20" fillId="27" borderId="60" xfId="0" applyFont="1" applyFill="1" applyBorder="1" applyAlignment="1" applyProtection="1">
      <alignment horizontal="center" vertical="center" wrapText="1"/>
    </xf>
    <xf numFmtId="0" fontId="20" fillId="27" borderId="0" xfId="0" applyFont="1" applyFill="1" applyBorder="1" applyAlignment="1" applyProtection="1">
      <alignment horizontal="center" vertical="center" wrapText="1"/>
    </xf>
    <xf numFmtId="0" fontId="20" fillId="27" borderId="132" xfId="3" applyFont="1" applyFill="1" applyBorder="1" applyAlignment="1" applyProtection="1">
      <alignment horizontal="center" vertical="center" wrapText="1"/>
    </xf>
    <xf numFmtId="3" fontId="21" fillId="13" borderId="17" xfId="3" applyNumberFormat="1" applyFont="1" applyFill="1" applyBorder="1" applyAlignment="1" applyProtection="1">
      <alignment horizontal="right" indent="1"/>
    </xf>
    <xf numFmtId="0" fontId="21" fillId="0" borderId="17" xfId="3" applyFont="1" applyBorder="1" applyAlignment="1" applyProtection="1">
      <alignment horizontal="right" indent="1"/>
    </xf>
    <xf numFmtId="3" fontId="21" fillId="13" borderId="192" xfId="3" applyNumberFormat="1" applyFont="1" applyFill="1" applyBorder="1" applyAlignment="1" applyProtection="1">
      <alignment horizontal="right" indent="1"/>
    </xf>
    <xf numFmtId="0" fontId="21" fillId="0" borderId="192" xfId="3" applyFont="1" applyBorder="1" applyAlignment="1" applyProtection="1">
      <alignment horizontal="right" indent="1"/>
    </xf>
    <xf numFmtId="3" fontId="21" fillId="13" borderId="195" xfId="3" applyNumberFormat="1" applyFont="1" applyFill="1" applyBorder="1" applyAlignment="1" applyProtection="1">
      <alignment horizontal="right" indent="1"/>
    </xf>
    <xf numFmtId="0" fontId="21" fillId="0" borderId="195" xfId="3" applyFont="1" applyBorder="1" applyAlignment="1" applyProtection="1">
      <alignment horizontal="right" indent="1"/>
    </xf>
    <xf numFmtId="0" fontId="25" fillId="0" borderId="0" xfId="3" applyFont="1" applyFill="1"/>
    <xf numFmtId="3" fontId="20" fillId="20" borderId="75" xfId="7" applyNumberFormat="1" applyFont="1" applyFill="1" applyBorder="1" applyAlignment="1" applyProtection="1">
      <alignment horizontal="right" indent="1"/>
    </xf>
    <xf numFmtId="3" fontId="20" fillId="20" borderId="121" xfId="7" applyNumberFormat="1" applyFont="1" applyFill="1" applyBorder="1" applyAlignment="1" applyProtection="1">
      <alignment horizontal="right" indent="1"/>
    </xf>
    <xf numFmtId="0" fontId="27" fillId="0" borderId="0" xfId="0" applyFont="1"/>
    <xf numFmtId="0" fontId="59" fillId="0" borderId="0" xfId="0" applyFont="1"/>
    <xf numFmtId="0" fontId="73" fillId="0" borderId="0" xfId="0" applyFont="1" applyBorder="1" applyProtection="1"/>
    <xf numFmtId="0" fontId="73" fillId="0" borderId="0" xfId="0" applyNumberFormat="1" applyFont="1" applyBorder="1" applyProtection="1"/>
    <xf numFmtId="0" fontId="27" fillId="0" borderId="91" xfId="0" applyFont="1" applyFill="1" applyBorder="1" applyAlignment="1">
      <alignment vertical="center" wrapText="1"/>
    </xf>
    <xf numFmtId="3" fontId="21" fillId="0" borderId="97" xfId="0" applyNumberFormat="1" applyFont="1" applyBorder="1" applyAlignment="1" applyProtection="1">
      <alignment horizontal="right" vertical="center" indent="1"/>
    </xf>
    <xf numFmtId="3" fontId="21" fillId="0" borderId="25" xfId="0" applyNumberFormat="1" applyFont="1" applyBorder="1" applyAlignment="1" applyProtection="1">
      <alignment horizontal="right" vertical="center" indent="1"/>
    </xf>
    <xf numFmtId="0" fontId="35" fillId="2" borderId="33" xfId="7" applyFont="1" applyFill="1" applyBorder="1" applyAlignment="1">
      <alignment horizontal="left" indent="1"/>
    </xf>
    <xf numFmtId="0" fontId="35" fillId="2" borderId="9" xfId="7" applyFont="1" applyFill="1" applyBorder="1" applyAlignment="1">
      <alignment horizontal="left" indent="1"/>
    </xf>
    <xf numFmtId="0" fontId="35" fillId="2" borderId="34" xfId="7" applyFont="1" applyFill="1" applyBorder="1" applyAlignment="1">
      <alignment horizontal="left" indent="1"/>
    </xf>
    <xf numFmtId="0" fontId="43" fillId="0" borderId="0" xfId="0" applyFont="1"/>
    <xf numFmtId="0" fontId="20" fillId="0" borderId="251" xfId="3" applyFont="1" applyBorder="1" applyAlignment="1" applyProtection="1">
      <alignment wrapText="1"/>
    </xf>
    <xf numFmtId="0" fontId="20" fillId="13" borderId="44" xfId="3" applyFont="1" applyFill="1" applyBorder="1" applyAlignment="1" applyProtection="1">
      <alignment horizontal="right" vertical="center" indent="1"/>
    </xf>
    <xf numFmtId="0" fontId="20" fillId="13" borderId="193" xfId="3" applyFont="1" applyFill="1" applyBorder="1" applyAlignment="1" applyProtection="1">
      <alignment horizontal="right" vertical="center" indent="1"/>
    </xf>
    <xf numFmtId="0" fontId="20" fillId="13" borderId="210" xfId="3" applyFont="1" applyFill="1" applyBorder="1" applyAlignment="1" applyProtection="1">
      <alignment horizontal="right" vertical="center" indent="1"/>
    </xf>
    <xf numFmtId="0" fontId="20" fillId="13" borderId="74" xfId="3" applyFont="1" applyFill="1" applyBorder="1" applyAlignment="1" applyProtection="1">
      <alignment horizontal="right" vertical="center" indent="1"/>
    </xf>
    <xf numFmtId="170" fontId="20" fillId="0" borderId="45" xfId="3" applyNumberFormat="1" applyFont="1" applyFill="1" applyBorder="1" applyAlignment="1" applyProtection="1">
      <alignment horizontal="right" vertical="center" indent="1"/>
    </xf>
    <xf numFmtId="170" fontId="20" fillId="0" borderId="38" xfId="3" applyNumberFormat="1" applyFont="1" applyFill="1" applyBorder="1" applyAlignment="1" applyProtection="1">
      <alignment horizontal="right" vertical="center" indent="1"/>
    </xf>
    <xf numFmtId="170" fontId="20" fillId="0" borderId="221" xfId="3" applyNumberFormat="1" applyFont="1" applyFill="1" applyBorder="1" applyAlignment="1" applyProtection="1">
      <alignment horizontal="right" vertical="center" indent="1"/>
    </xf>
    <xf numFmtId="170" fontId="20" fillId="0" borderId="108" xfId="3" applyNumberFormat="1" applyFont="1" applyFill="1" applyBorder="1" applyAlignment="1" applyProtection="1">
      <alignment horizontal="right" vertical="center" indent="1"/>
    </xf>
    <xf numFmtId="170" fontId="20" fillId="0" borderId="131" xfId="3" applyNumberFormat="1" applyFont="1" applyFill="1" applyBorder="1" applyAlignment="1" applyProtection="1">
      <alignment horizontal="right" vertical="center" indent="1"/>
    </xf>
    <xf numFmtId="0" fontId="20" fillId="2" borderId="300" xfId="3" applyFont="1" applyFill="1" applyBorder="1" applyAlignment="1">
      <alignment horizontal="center" vertical="center" wrapText="1"/>
    </xf>
    <xf numFmtId="0" fontId="21" fillId="0" borderId="44" xfId="3" applyFont="1" applyBorder="1" applyAlignment="1">
      <alignment horizontal="right" vertical="center" wrapText="1" indent="1"/>
    </xf>
    <xf numFmtId="0" fontId="21" fillId="0" borderId="198" xfId="3" applyFont="1" applyFill="1" applyBorder="1" applyAlignment="1" applyProtection="1">
      <alignment horizontal="right" vertical="center" indent="1"/>
    </xf>
    <xf numFmtId="170" fontId="21" fillId="0" borderId="38" xfId="3" applyNumberFormat="1" applyFont="1" applyFill="1" applyBorder="1" applyAlignment="1" applyProtection="1">
      <alignment horizontal="right" vertical="center" indent="1"/>
    </xf>
    <xf numFmtId="170" fontId="21" fillId="0" borderId="221" xfId="3" applyNumberFormat="1" applyFont="1" applyFill="1" applyBorder="1" applyAlignment="1" applyProtection="1">
      <alignment horizontal="right" vertical="center" indent="1"/>
    </xf>
    <xf numFmtId="170" fontId="21" fillId="0" borderId="108" xfId="3" applyNumberFormat="1" applyFont="1" applyFill="1" applyBorder="1" applyAlignment="1" applyProtection="1">
      <alignment horizontal="right" vertical="center" indent="1"/>
    </xf>
    <xf numFmtId="170" fontId="21" fillId="0" borderId="39" xfId="3" applyNumberFormat="1" applyFont="1" applyFill="1" applyBorder="1" applyAlignment="1" applyProtection="1">
      <alignment horizontal="right" vertical="center" indent="1"/>
    </xf>
    <xf numFmtId="170" fontId="21" fillId="0" borderId="1" xfId="3" applyNumberFormat="1" applyFont="1" applyFill="1" applyBorder="1" applyAlignment="1" applyProtection="1">
      <alignment horizontal="right" vertical="center" indent="1"/>
    </xf>
    <xf numFmtId="0" fontId="20" fillId="2" borderId="130" xfId="3" applyFont="1" applyFill="1" applyBorder="1" applyAlignment="1">
      <alignment horizontal="center" vertical="center" wrapText="1"/>
    </xf>
    <xf numFmtId="170" fontId="20" fillId="20" borderId="133" xfId="3" applyNumberFormat="1" applyFont="1" applyFill="1" applyBorder="1" applyAlignment="1" applyProtection="1">
      <alignment horizontal="right" vertical="center" indent="1"/>
      <protection locked="0"/>
    </xf>
    <xf numFmtId="170" fontId="21" fillId="0" borderId="45" xfId="3" applyNumberFormat="1" applyFont="1" applyBorder="1" applyAlignment="1">
      <alignment horizontal="right" vertical="center" indent="1"/>
    </xf>
    <xf numFmtId="0" fontId="20" fillId="2" borderId="70" xfId="3" applyFont="1" applyFill="1" applyBorder="1" applyAlignment="1" applyProtection="1">
      <alignment horizontal="center" vertical="center" wrapText="1"/>
    </xf>
    <xf numFmtId="0" fontId="20" fillId="2" borderId="71" xfId="3" applyFont="1" applyFill="1" applyBorder="1" applyAlignment="1" applyProtection="1">
      <alignment horizontal="center" vertical="center" wrapText="1"/>
    </xf>
    <xf numFmtId="0" fontId="20" fillId="2" borderId="96" xfId="3" applyFont="1" applyFill="1" applyBorder="1" applyAlignment="1" applyProtection="1">
      <alignment horizontal="center" vertical="center" wrapText="1"/>
    </xf>
    <xf numFmtId="0" fontId="20" fillId="27" borderId="343" xfId="0" applyFont="1" applyFill="1" applyBorder="1" applyAlignment="1">
      <alignment horizontal="center" vertical="center"/>
    </xf>
    <xf numFmtId="0" fontId="20" fillId="27" borderId="345" xfId="0" applyFont="1" applyFill="1" applyBorder="1" applyAlignment="1">
      <alignment vertical="center"/>
    </xf>
    <xf numFmtId="0" fontId="26" fillId="0" borderId="352" xfId="0" applyFont="1" applyBorder="1"/>
    <xf numFmtId="0" fontId="26" fillId="0" borderId="353" xfId="0" applyFont="1" applyBorder="1" applyAlignment="1">
      <alignment horizontal="center"/>
    </xf>
    <xf numFmtId="0" fontId="21" fillId="0" borderId="354" xfId="0" applyFont="1" applyBorder="1"/>
    <xf numFmtId="0" fontId="26" fillId="0" borderId="228" xfId="0" applyFont="1" applyBorder="1" applyAlignment="1">
      <alignment vertical="center" wrapText="1"/>
    </xf>
    <xf numFmtId="1" fontId="26" fillId="0" borderId="232" xfId="0" applyNumberFormat="1" applyFont="1" applyBorder="1" applyAlignment="1">
      <alignment horizontal="center" vertical="center"/>
    </xf>
    <xf numFmtId="0" fontId="21" fillId="0" borderId="229" xfId="0" applyFont="1" applyBorder="1"/>
    <xf numFmtId="0" fontId="20" fillId="27" borderId="344" xfId="0" applyFont="1" applyFill="1" applyBorder="1" applyAlignment="1">
      <alignment horizontal="left" vertical="center" indent="1"/>
    </xf>
    <xf numFmtId="0" fontId="20" fillId="27" borderId="175" xfId="0" applyFont="1" applyFill="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vertical="center"/>
    </xf>
    <xf numFmtId="170" fontId="21" fillId="0" borderId="0" xfId="0" applyNumberFormat="1" applyFont="1"/>
    <xf numFmtId="170" fontId="20" fillId="20" borderId="133" xfId="3" applyNumberFormat="1" applyFont="1" applyFill="1" applyBorder="1" applyAlignment="1" applyProtection="1">
      <alignment horizontal="right" vertical="center" indent="3"/>
      <protection locked="0"/>
    </xf>
    <xf numFmtId="0" fontId="25" fillId="0" borderId="0" xfId="0" applyFont="1" applyProtection="1"/>
    <xf numFmtId="3" fontId="21" fillId="0" borderId="0" xfId="0" applyNumberFormat="1" applyFont="1"/>
    <xf numFmtId="0" fontId="20" fillId="2" borderId="74" xfId="3" applyFont="1" applyFill="1" applyBorder="1" applyAlignment="1" applyProtection="1">
      <alignment horizontal="center" vertical="center" wrapText="1"/>
    </xf>
    <xf numFmtId="0" fontId="20" fillId="2" borderId="55" xfId="3" applyFont="1" applyFill="1" applyBorder="1" applyAlignment="1" applyProtection="1">
      <alignment horizontal="center" vertical="center" wrapText="1"/>
    </xf>
    <xf numFmtId="3" fontId="21" fillId="0" borderId="176" xfId="0" applyNumberFormat="1" applyFont="1" applyBorder="1" applyAlignment="1" applyProtection="1">
      <alignment horizontal="right" vertical="center" indent="1"/>
    </xf>
    <xf numFmtId="3" fontId="21" fillId="0" borderId="177" xfId="0" applyNumberFormat="1" applyFont="1" applyBorder="1" applyAlignment="1" applyProtection="1">
      <alignment horizontal="right" vertical="center" indent="1"/>
    </xf>
    <xf numFmtId="0" fontId="26" fillId="0" borderId="154" xfId="0" applyFont="1" applyBorder="1" applyAlignment="1">
      <alignment horizontal="center"/>
    </xf>
    <xf numFmtId="1" fontId="26" fillId="0" borderId="21" xfId="0" applyNumberFormat="1" applyFont="1" applyBorder="1" applyAlignment="1">
      <alignment horizontal="center" wrapText="1"/>
    </xf>
    <xf numFmtId="0" fontId="20" fillId="2" borderId="55" xfId="0" applyFont="1" applyFill="1" applyBorder="1" applyAlignment="1" applyProtection="1">
      <alignment horizontal="center" vertical="top" wrapText="1"/>
    </xf>
    <xf numFmtId="3" fontId="20" fillId="27" borderId="94" xfId="0" applyNumberFormat="1" applyFont="1" applyFill="1" applyBorder="1" applyAlignment="1" applyProtection="1">
      <alignment horizontal="right" vertical="center" indent="1"/>
    </xf>
    <xf numFmtId="3" fontId="20" fillId="27" borderId="98" xfId="0" applyNumberFormat="1" applyFont="1" applyFill="1" applyBorder="1" applyAlignment="1" applyProtection="1">
      <alignment horizontal="right" vertical="center" indent="1"/>
    </xf>
    <xf numFmtId="3" fontId="26" fillId="13" borderId="144" xfId="0" applyNumberFormat="1" applyFont="1" applyFill="1" applyBorder="1" applyAlignment="1" applyProtection="1">
      <alignment horizontal="right" vertical="center" indent="1"/>
    </xf>
    <xf numFmtId="3" fontId="26" fillId="13" borderId="50" xfId="0" applyNumberFormat="1" applyFont="1" applyFill="1" applyBorder="1" applyAlignment="1" applyProtection="1">
      <alignment horizontal="right" vertical="center" indent="1"/>
    </xf>
    <xf numFmtId="3" fontId="26" fillId="13" borderId="65" xfId="0" applyNumberFormat="1" applyFont="1" applyFill="1" applyBorder="1" applyAlignment="1" applyProtection="1">
      <alignment horizontal="right" vertical="center" indent="1"/>
    </xf>
    <xf numFmtId="3" fontId="26" fillId="13" borderId="90" xfId="0" applyNumberFormat="1" applyFont="1" applyFill="1" applyBorder="1" applyAlignment="1" applyProtection="1">
      <alignment horizontal="right" vertical="center" indent="1"/>
    </xf>
    <xf numFmtId="3" fontId="26" fillId="13" borderId="176" xfId="0" applyNumberFormat="1" applyFont="1" applyFill="1" applyBorder="1" applyAlignment="1" applyProtection="1">
      <alignment horizontal="right" vertical="center" indent="1"/>
    </xf>
    <xf numFmtId="3" fontId="21" fillId="13" borderId="90" xfId="0" applyNumberFormat="1" applyFont="1" applyFill="1" applyBorder="1" applyAlignment="1" applyProtection="1">
      <alignment horizontal="right" vertical="center" indent="1"/>
    </xf>
    <xf numFmtId="3" fontId="21" fillId="13" borderId="3" xfId="0" applyNumberFormat="1" applyFont="1" applyFill="1" applyBorder="1" applyAlignment="1" applyProtection="1">
      <alignment horizontal="right" vertical="center" indent="1"/>
    </xf>
    <xf numFmtId="3" fontId="21" fillId="13" borderId="176" xfId="0" applyNumberFormat="1" applyFont="1" applyFill="1" applyBorder="1" applyAlignment="1" applyProtection="1">
      <alignment horizontal="right" vertical="center" indent="1"/>
    </xf>
    <xf numFmtId="3" fontId="21" fillId="13" borderId="97" xfId="0" applyNumberFormat="1" applyFont="1" applyFill="1" applyBorder="1" applyAlignment="1" applyProtection="1">
      <alignment horizontal="right" vertical="center" indent="1"/>
    </xf>
    <xf numFmtId="3" fontId="21" fillId="13" borderId="43" xfId="0" applyNumberFormat="1" applyFont="1" applyFill="1" applyBorder="1" applyAlignment="1" applyProtection="1">
      <alignment horizontal="right" vertical="center" indent="1"/>
    </xf>
    <xf numFmtId="3" fontId="21" fillId="13" borderId="177" xfId="0" applyNumberFormat="1" applyFont="1" applyFill="1" applyBorder="1" applyAlignment="1" applyProtection="1">
      <alignment horizontal="right" vertical="center" indent="1"/>
    </xf>
    <xf numFmtId="170" fontId="20" fillId="20" borderId="133" xfId="3" applyNumberFormat="1" applyFont="1" applyFill="1" applyBorder="1" applyAlignment="1" applyProtection="1">
      <alignment horizontal="left" vertical="center" indent="1"/>
      <protection locked="0"/>
    </xf>
    <xf numFmtId="170" fontId="21" fillId="13" borderId="17" xfId="3" applyNumberFormat="1" applyFont="1" applyFill="1" applyBorder="1" applyAlignment="1" applyProtection="1">
      <alignment horizontal="right" vertical="center" wrapText="1" indent="1"/>
    </xf>
    <xf numFmtId="0" fontId="20" fillId="0" borderId="33" xfId="0" applyFont="1" applyBorder="1" applyAlignment="1">
      <alignment horizontal="left" vertical="center"/>
    </xf>
    <xf numFmtId="0" fontId="21" fillId="0" borderId="9" xfId="0" applyFont="1" applyBorder="1" applyAlignment="1"/>
    <xf numFmtId="3" fontId="26" fillId="13" borderId="92" xfId="0" applyNumberFormat="1" applyFont="1" applyFill="1" applyBorder="1" applyAlignment="1" applyProtection="1">
      <alignment horizontal="right" vertical="center" indent="1"/>
    </xf>
    <xf numFmtId="3" fontId="26" fillId="13" borderId="24" xfId="0" applyNumberFormat="1" applyFont="1" applyFill="1" applyBorder="1" applyAlignment="1" applyProtection="1">
      <alignment horizontal="right" vertical="center" indent="1"/>
    </xf>
    <xf numFmtId="0" fontId="20" fillId="2" borderId="21" xfId="3" applyFont="1" applyFill="1" applyBorder="1" applyAlignment="1" applyProtection="1">
      <alignment horizontal="center" vertical="center" wrapText="1"/>
    </xf>
    <xf numFmtId="0" fontId="20" fillId="2" borderId="21" xfId="0" applyFont="1" applyFill="1" applyBorder="1" applyAlignment="1" applyProtection="1">
      <alignment horizontal="center" vertical="top" wrapText="1"/>
    </xf>
    <xf numFmtId="3" fontId="26" fillId="13" borderId="234" xfId="0" applyNumberFormat="1" applyFont="1" applyFill="1" applyBorder="1" applyAlignment="1" applyProtection="1">
      <alignment horizontal="right" vertical="center" indent="1"/>
    </xf>
    <xf numFmtId="3" fontId="26" fillId="13" borderId="334" xfId="0" applyNumberFormat="1" applyFont="1" applyFill="1" applyBorder="1" applyAlignment="1" applyProtection="1">
      <alignment horizontal="right" vertical="center" indent="1"/>
    </xf>
    <xf numFmtId="3" fontId="26" fillId="13" borderId="175" xfId="0" applyNumberFormat="1" applyFont="1" applyFill="1" applyBorder="1" applyAlignment="1" applyProtection="1">
      <alignment horizontal="right" vertical="center" indent="1"/>
    </xf>
    <xf numFmtId="3" fontId="21" fillId="0" borderId="175" xfId="0" applyNumberFormat="1" applyFont="1" applyBorder="1" applyAlignment="1" applyProtection="1">
      <alignment horizontal="right" vertical="center" indent="1"/>
    </xf>
    <xf numFmtId="3" fontId="21" fillId="0" borderId="234" xfId="0" applyNumberFormat="1" applyFont="1" applyBorder="1" applyAlignment="1" applyProtection="1">
      <alignment horizontal="right" vertical="center" indent="1"/>
    </xf>
    <xf numFmtId="3" fontId="20" fillId="27" borderId="328" xfId="0" applyNumberFormat="1" applyFont="1" applyFill="1" applyBorder="1" applyAlignment="1" applyProtection="1">
      <alignment horizontal="right" vertical="center" indent="1"/>
    </xf>
    <xf numFmtId="3" fontId="21" fillId="0" borderId="271" xfId="0" applyNumberFormat="1" applyFont="1" applyBorder="1" applyAlignment="1" applyProtection="1">
      <alignment horizontal="right" vertical="center" indent="1"/>
    </xf>
    <xf numFmtId="3" fontId="26" fillId="13" borderId="97" xfId="0" applyNumberFormat="1" applyFont="1" applyFill="1" applyBorder="1" applyAlignment="1" applyProtection="1">
      <alignment horizontal="right" vertical="center" indent="1"/>
    </xf>
    <xf numFmtId="3" fontId="26" fillId="13" borderId="74" xfId="0" applyNumberFormat="1" applyFont="1" applyFill="1" applyBorder="1" applyAlignment="1" applyProtection="1">
      <alignment horizontal="right" vertical="center" indent="1"/>
    </xf>
    <xf numFmtId="3" fontId="26" fillId="13" borderId="177" xfId="0" applyNumberFormat="1" applyFont="1" applyFill="1" applyBorder="1" applyAlignment="1" applyProtection="1">
      <alignment horizontal="right" vertical="center" indent="1"/>
    </xf>
    <xf numFmtId="3" fontId="21" fillId="0" borderId="71" xfId="0" applyNumberFormat="1" applyFont="1" applyBorder="1" applyAlignment="1" applyProtection="1">
      <alignment horizontal="right" vertical="center" indent="1"/>
    </xf>
    <xf numFmtId="2" fontId="29" fillId="27" borderId="65" xfId="0" applyNumberFormat="1" applyFont="1" applyFill="1" applyBorder="1" applyAlignment="1">
      <alignment horizontal="right" indent="1"/>
    </xf>
    <xf numFmtId="2" fontId="29" fillId="27" borderId="176" xfId="0" applyNumberFormat="1" applyFont="1" applyFill="1" applyBorder="1" applyAlignment="1">
      <alignment horizontal="right" indent="1"/>
    </xf>
    <xf numFmtId="2" fontId="29" fillId="27" borderId="153" xfId="0" applyNumberFormat="1" applyFont="1" applyFill="1" applyBorder="1" applyAlignment="1">
      <alignment horizontal="right" indent="1"/>
    </xf>
    <xf numFmtId="2" fontId="29" fillId="27" borderId="175" xfId="0" applyNumberFormat="1" applyFont="1" applyFill="1" applyBorder="1" applyAlignment="1">
      <alignment horizontal="right" indent="1"/>
    </xf>
    <xf numFmtId="2" fontId="29" fillId="27" borderId="177" xfId="0" applyNumberFormat="1" applyFont="1" applyFill="1" applyBorder="1" applyAlignment="1">
      <alignment horizontal="right" indent="1"/>
    </xf>
    <xf numFmtId="0" fontId="2" fillId="0" borderId="0" xfId="0" applyFont="1"/>
    <xf numFmtId="0" fontId="74" fillId="20" borderId="33" xfId="0" applyFont="1" applyFill="1" applyBorder="1"/>
    <xf numFmtId="0" fontId="74" fillId="20" borderId="9" xfId="0" applyFont="1" applyFill="1" applyBorder="1"/>
    <xf numFmtId="0" fontId="74" fillId="20" borderId="34" xfId="0" applyFont="1" applyFill="1" applyBorder="1"/>
    <xf numFmtId="0" fontId="2" fillId="0" borderId="91" xfId="0" applyFont="1" applyBorder="1" applyAlignment="1">
      <alignment horizontal="right" vertical="center" wrapText="1"/>
    </xf>
    <xf numFmtId="0" fontId="2" fillId="0" borderId="91" xfId="0" applyFont="1" applyBorder="1" applyAlignment="1">
      <alignment horizontal="left" vertical="center" wrapText="1"/>
    </xf>
    <xf numFmtId="0" fontId="2" fillId="0" borderId="91" xfId="0" applyFont="1" applyBorder="1"/>
    <xf numFmtId="0" fontId="18" fillId="0" borderId="0" xfId="0" applyFont="1"/>
    <xf numFmtId="0" fontId="18" fillId="0" borderId="0" xfId="0" applyFont="1" applyAlignment="1">
      <alignment horizontal="center"/>
    </xf>
    <xf numFmtId="0" fontId="2" fillId="0" borderId="0" xfId="10" applyFont="1" applyFill="1" applyBorder="1" applyAlignment="1">
      <alignment horizontal="left" vertical="top" wrapText="1"/>
    </xf>
    <xf numFmtId="0" fontId="18" fillId="11" borderId="55" xfId="0" applyFont="1" applyFill="1" applyBorder="1"/>
    <xf numFmtId="0" fontId="18" fillId="11" borderId="55" xfId="0" applyNumberFormat="1" applyFont="1" applyFill="1" applyBorder="1"/>
    <xf numFmtId="0" fontId="18" fillId="6" borderId="217" xfId="0" applyFont="1" applyFill="1" applyBorder="1" applyAlignment="1" applyProtection="1">
      <alignment horizontal="right" indent="1"/>
      <protection locked="0"/>
    </xf>
    <xf numFmtId="0" fontId="18" fillId="11" borderId="55" xfId="0" applyFont="1" applyFill="1" applyBorder="1" applyAlignment="1">
      <alignment horizontal="right" indent="1"/>
    </xf>
    <xf numFmtId="174" fontId="20" fillId="6" borderId="158" xfId="3" applyNumberFormat="1" applyFont="1" applyFill="1" applyBorder="1" applyAlignment="1" applyProtection="1">
      <alignment horizontal="right" vertical="center" indent="1"/>
      <protection locked="0"/>
    </xf>
    <xf numFmtId="0" fontId="20" fillId="6" borderId="158" xfId="3" applyNumberFormat="1" applyFont="1" applyFill="1" applyBorder="1" applyAlignment="1" applyProtection="1">
      <alignment horizontal="right" vertical="center" indent="1"/>
      <protection locked="0"/>
    </xf>
    <xf numFmtId="0" fontId="11" fillId="15" borderId="158" xfId="3" applyNumberFormat="1" applyFont="1" applyFill="1" applyBorder="1" applyAlignment="1" applyProtection="1">
      <alignment horizontal="right" vertical="center" indent="1"/>
      <protection locked="0"/>
    </xf>
    <xf numFmtId="173" fontId="0" fillId="0" borderId="0" xfId="0" applyNumberFormat="1"/>
    <xf numFmtId="14" fontId="18" fillId="11" borderId="55" xfId="0" applyNumberFormat="1" applyFont="1" applyFill="1" applyBorder="1"/>
    <xf numFmtId="174" fontId="31" fillId="0" borderId="34" xfId="0" applyNumberFormat="1" applyFont="1" applyBorder="1"/>
    <xf numFmtId="0" fontId="1" fillId="0" borderId="0" xfId="10" applyFont="1" applyFill="1" applyBorder="1" applyAlignment="1">
      <alignment vertical="top" wrapText="1"/>
    </xf>
    <xf numFmtId="0" fontId="1" fillId="0" borderId="0" xfId="3" applyFont="1" applyFill="1" applyBorder="1" applyAlignment="1">
      <alignment vertical="top" wrapText="1"/>
    </xf>
    <xf numFmtId="0" fontId="14" fillId="5" borderId="138" xfId="3" applyFont="1" applyFill="1" applyBorder="1" applyAlignment="1">
      <alignment horizontal="left" vertical="top" indent="1"/>
    </xf>
    <xf numFmtId="0" fontId="14" fillId="5" borderId="139" xfId="3" applyFont="1" applyFill="1" applyBorder="1" applyAlignment="1">
      <alignment horizontal="left" vertical="top" indent="1"/>
    </xf>
    <xf numFmtId="0" fontId="14" fillId="5" borderId="140" xfId="3" applyFont="1" applyFill="1" applyBorder="1" applyAlignment="1">
      <alignment horizontal="left" vertical="top" indent="1"/>
    </xf>
    <xf numFmtId="0" fontId="21" fillId="0" borderId="0" xfId="3" applyFont="1" applyAlignment="1">
      <alignment horizontal="left" wrapText="1"/>
    </xf>
    <xf numFmtId="0" fontId="14" fillId="5" borderId="8" xfId="3" applyFont="1" applyFill="1" applyBorder="1" applyAlignment="1">
      <alignment horizontal="left" vertical="top" indent="1"/>
    </xf>
    <xf numFmtId="0" fontId="20" fillId="0" borderId="0" xfId="3" applyFont="1" applyAlignment="1">
      <alignment horizontal="left" wrapText="1" indent="1"/>
    </xf>
    <xf numFmtId="0" fontId="9" fillId="14" borderId="0" xfId="0" applyFont="1" applyFill="1" applyAlignment="1">
      <alignment horizontal="center" vertical="center"/>
    </xf>
    <xf numFmtId="0" fontId="6" fillId="2" borderId="2" xfId="3" applyFont="1" applyFill="1" applyBorder="1" applyAlignment="1">
      <alignment horizontal="left" indent="1"/>
    </xf>
    <xf numFmtId="0" fontId="53" fillId="2" borderId="2" xfId="3" applyFont="1" applyFill="1" applyBorder="1" applyAlignment="1">
      <alignment horizontal="left" indent="1"/>
    </xf>
    <xf numFmtId="3" fontId="28" fillId="6" borderId="123" xfId="0" applyNumberFormat="1" applyFont="1" applyFill="1" applyBorder="1" applyAlignment="1" applyProtection="1">
      <alignment horizontal="center"/>
      <protection locked="0"/>
    </xf>
    <xf numFmtId="3" fontId="28" fillId="6" borderId="124" xfId="0" applyNumberFormat="1" applyFont="1" applyFill="1" applyBorder="1" applyAlignment="1" applyProtection="1">
      <alignment horizontal="center"/>
      <protection locked="0"/>
    </xf>
    <xf numFmtId="0" fontId="33" fillId="17" borderId="33" xfId="3" applyFont="1" applyFill="1" applyBorder="1"/>
    <xf numFmtId="0" fontId="33" fillId="17" borderId="9" xfId="3" applyFont="1" applyFill="1" applyBorder="1"/>
    <xf numFmtId="0" fontId="33" fillId="17" borderId="34" xfId="3" applyFont="1" applyFill="1" applyBorder="1"/>
    <xf numFmtId="0" fontId="20" fillId="2" borderId="141" xfId="0" applyFont="1" applyFill="1" applyBorder="1" applyAlignment="1">
      <alignment horizontal="center" vertical="top" wrapText="1"/>
    </xf>
    <xf numFmtId="0" fontId="20" fillId="2" borderId="100" xfId="0" applyFont="1" applyFill="1" applyBorder="1" applyAlignment="1">
      <alignment horizontal="center" vertical="top" wrapText="1"/>
    </xf>
    <xf numFmtId="0" fontId="20" fillId="2" borderId="24" xfId="0" applyFont="1" applyFill="1" applyBorder="1" applyAlignment="1">
      <alignment horizontal="center" vertical="top" wrapText="1"/>
    </xf>
    <xf numFmtId="0" fontId="20" fillId="2" borderId="1" xfId="0" applyFont="1" applyFill="1" applyBorder="1" applyAlignment="1">
      <alignment horizontal="center" vertical="top" wrapText="1"/>
    </xf>
    <xf numFmtId="2" fontId="8" fillId="0" borderId="33" xfId="9" applyNumberFormat="1" applyFont="1" applyBorder="1" applyAlignment="1" applyProtection="1">
      <alignment horizontal="left" indent="1"/>
    </xf>
    <xf numFmtId="2" fontId="8" fillId="0" borderId="9" xfId="9" applyNumberFormat="1" applyFont="1" applyBorder="1" applyAlignment="1" applyProtection="1">
      <alignment horizontal="left" indent="1"/>
    </xf>
    <xf numFmtId="2" fontId="8" fillId="0" borderId="34" xfId="9" applyNumberFormat="1" applyFont="1" applyBorder="1" applyAlignment="1" applyProtection="1">
      <alignment horizontal="left" indent="1"/>
    </xf>
    <xf numFmtId="0" fontId="25" fillId="0" borderId="0" xfId="0" applyFont="1" applyAlignment="1">
      <alignment horizontal="left" vertical="top" wrapText="1"/>
    </xf>
    <xf numFmtId="2" fontId="20" fillId="0" borderId="33" xfId="0" applyNumberFormat="1" applyFont="1" applyBorder="1" applyAlignment="1">
      <alignment horizontal="left" indent="1"/>
    </xf>
    <xf numFmtId="2" fontId="20" fillId="0" borderId="9" xfId="0" applyNumberFormat="1" applyFont="1" applyBorder="1" applyAlignment="1">
      <alignment horizontal="left" indent="1"/>
    </xf>
    <xf numFmtId="2" fontId="20" fillId="0" borderId="34" xfId="0" applyNumberFormat="1" applyFont="1" applyBorder="1" applyAlignment="1">
      <alignment horizontal="left" indent="1"/>
    </xf>
    <xf numFmtId="0" fontId="20" fillId="0" borderId="2" xfId="0" applyFont="1" applyBorder="1" applyAlignment="1" applyProtection="1">
      <alignment horizontal="center"/>
    </xf>
    <xf numFmtId="0" fontId="20" fillId="2" borderId="16" xfId="0" applyFont="1" applyFill="1" applyBorder="1" applyAlignment="1">
      <alignment horizontal="center" vertical="top" wrapText="1"/>
    </xf>
    <xf numFmtId="0" fontId="20" fillId="2" borderId="9" xfId="0" applyFont="1" applyFill="1" applyBorder="1" applyAlignment="1">
      <alignment horizontal="center" vertical="top" wrapText="1"/>
    </xf>
    <xf numFmtId="0" fontId="20" fillId="2" borderId="81" xfId="0" applyFont="1" applyFill="1" applyBorder="1" applyAlignment="1">
      <alignment horizontal="center" vertical="top" wrapText="1"/>
    </xf>
    <xf numFmtId="0" fontId="25" fillId="0" borderId="0" xfId="3" applyFont="1" applyAlignment="1">
      <alignment horizontal="left" vertical="top" wrapText="1"/>
    </xf>
    <xf numFmtId="0" fontId="26" fillId="0" borderId="0" xfId="0" applyFont="1" applyAlignment="1">
      <alignment horizontal="left" vertical="top" wrapText="1"/>
    </xf>
    <xf numFmtId="2" fontId="20" fillId="0" borderId="33" xfId="0" applyNumberFormat="1" applyFont="1" applyBorder="1" applyAlignment="1">
      <alignment horizontal="left"/>
    </xf>
    <xf numFmtId="2" fontId="20" fillId="0" borderId="9" xfId="0" applyNumberFormat="1" applyFont="1" applyBorder="1" applyAlignment="1">
      <alignment horizontal="left"/>
    </xf>
    <xf numFmtId="2" fontId="20" fillId="0" borderId="34" xfId="0" applyNumberFormat="1" applyFont="1" applyBorder="1" applyAlignment="1">
      <alignment horizontal="left"/>
    </xf>
    <xf numFmtId="2" fontId="8" fillId="0" borderId="8" xfId="9" applyNumberFormat="1" applyFont="1" applyBorder="1" applyAlignment="1" applyProtection="1">
      <alignment horizontal="left" indent="1"/>
    </xf>
    <xf numFmtId="0" fontId="20" fillId="2" borderId="44" xfId="0" applyFont="1" applyFill="1" applyBorder="1" applyAlignment="1">
      <alignment horizontal="center" vertical="top" wrapText="1"/>
    </xf>
    <xf numFmtId="0" fontId="20" fillId="2" borderId="6" xfId="0" applyFont="1" applyFill="1" applyBorder="1" applyAlignment="1">
      <alignment horizontal="center" vertical="top" wrapText="1"/>
    </xf>
    <xf numFmtId="0" fontId="20" fillId="2" borderId="45" xfId="0" applyFont="1" applyFill="1" applyBorder="1" applyAlignment="1">
      <alignment horizontal="center" vertical="top" wrapText="1"/>
    </xf>
    <xf numFmtId="0" fontId="20" fillId="2" borderId="43" xfId="0" applyFont="1" applyFill="1" applyBorder="1" applyAlignment="1">
      <alignment horizontal="center" vertical="top" wrapText="1"/>
    </xf>
    <xf numFmtId="0" fontId="20" fillId="2" borderId="51" xfId="0" applyFont="1" applyFill="1" applyBorder="1" applyAlignment="1">
      <alignment horizontal="center" vertical="top" wrapText="1"/>
    </xf>
    <xf numFmtId="0" fontId="20" fillId="2" borderId="35" xfId="0" applyFont="1" applyFill="1" applyBorder="1" applyAlignment="1">
      <alignment horizontal="center" vertical="top" wrapText="1"/>
    </xf>
    <xf numFmtId="0" fontId="20" fillId="2" borderId="196" xfId="0" applyFont="1" applyFill="1" applyBorder="1" applyAlignment="1">
      <alignment horizontal="center" vertical="top" wrapText="1"/>
    </xf>
    <xf numFmtId="0" fontId="20" fillId="2" borderId="232" xfId="0" applyFont="1" applyFill="1" applyBorder="1" applyAlignment="1">
      <alignment horizontal="center" vertical="top" wrapText="1"/>
    </xf>
    <xf numFmtId="0" fontId="20" fillId="2" borderId="113" xfId="0" applyFont="1" applyFill="1" applyBorder="1" applyAlignment="1">
      <alignment horizontal="center" vertical="top" wrapText="1"/>
    </xf>
    <xf numFmtId="0" fontId="20" fillId="2" borderId="3" xfId="0" applyFont="1" applyFill="1" applyBorder="1" applyAlignment="1">
      <alignment horizontal="center" vertical="top" wrapText="1"/>
    </xf>
    <xf numFmtId="0" fontId="20" fillId="2" borderId="4" xfId="0" applyFont="1" applyFill="1" applyBorder="1" applyAlignment="1">
      <alignment horizontal="center" vertical="top" wrapText="1"/>
    </xf>
    <xf numFmtId="0" fontId="20" fillId="2" borderId="5" xfId="0" applyFont="1" applyFill="1" applyBorder="1" applyAlignment="1">
      <alignment horizontal="center" vertical="top" wrapText="1"/>
    </xf>
    <xf numFmtId="0" fontId="28" fillId="2" borderId="64" xfId="7" applyFont="1" applyFill="1" applyBorder="1" applyAlignment="1" applyProtection="1">
      <alignment horizontal="left" vertical="top" textRotation="255" wrapText="1" indent="2"/>
    </xf>
    <xf numFmtId="0" fontId="28" fillId="2" borderId="60" xfId="7" applyFont="1" applyFill="1" applyBorder="1" applyAlignment="1" applyProtection="1">
      <alignment horizontal="left" vertical="top" textRotation="255" wrapText="1" indent="2"/>
    </xf>
    <xf numFmtId="0" fontId="28" fillId="2" borderId="61" xfId="7" applyFont="1" applyFill="1" applyBorder="1" applyAlignment="1" applyProtection="1">
      <alignment horizontal="left" vertical="top" textRotation="255" wrapText="1" indent="2"/>
    </xf>
    <xf numFmtId="0" fontId="26" fillId="0" borderId="0" xfId="3" applyFont="1" applyAlignment="1">
      <alignment horizontal="left" vertical="top" wrapText="1"/>
    </xf>
    <xf numFmtId="0" fontId="26" fillId="0" borderId="0" xfId="0" applyFont="1" applyFill="1" applyAlignment="1">
      <alignment horizontal="left" vertical="top" wrapText="1"/>
    </xf>
    <xf numFmtId="0" fontId="15" fillId="2" borderId="2" xfId="3" applyFont="1" applyFill="1" applyBorder="1" applyAlignment="1" applyProtection="1">
      <alignment horizontal="left" indent="1"/>
    </xf>
    <xf numFmtId="0" fontId="6" fillId="2" borderId="2" xfId="3" applyFont="1" applyFill="1" applyBorder="1" applyAlignment="1" applyProtection="1">
      <alignment horizontal="left" indent="1"/>
    </xf>
    <xf numFmtId="0" fontId="28" fillId="2" borderId="18" xfId="7" applyFont="1" applyFill="1" applyBorder="1" applyAlignment="1" applyProtection="1">
      <alignment horizontal="left" vertical="top" textRotation="255" wrapText="1" indent="2"/>
    </xf>
    <xf numFmtId="0" fontId="28" fillId="2" borderId="21" xfId="7" applyFont="1" applyFill="1" applyBorder="1" applyAlignment="1" applyProtection="1">
      <alignment horizontal="left" vertical="top" textRotation="255" wrapText="1" indent="2"/>
    </xf>
    <xf numFmtId="0" fontId="6" fillId="2" borderId="2" xfId="4" applyFont="1" applyFill="1" applyBorder="1" applyAlignment="1">
      <alignment horizontal="left" indent="1"/>
    </xf>
    <xf numFmtId="0" fontId="14" fillId="5" borderId="0" xfId="4" applyFont="1" applyFill="1" applyBorder="1" applyAlignment="1">
      <alignment horizontal="left" vertical="top"/>
    </xf>
    <xf numFmtId="0" fontId="20" fillId="0" borderId="2" xfId="4" applyFont="1" applyBorder="1" applyAlignment="1">
      <alignment horizontal="center"/>
    </xf>
    <xf numFmtId="0" fontId="20" fillId="0" borderId="131" xfId="4" applyFont="1" applyBorder="1" applyAlignment="1">
      <alignment horizontal="center"/>
    </xf>
    <xf numFmtId="0" fontId="17" fillId="5" borderId="0" xfId="4" applyFont="1" applyFill="1" applyBorder="1" applyAlignment="1">
      <alignment horizontal="left" vertical="top"/>
    </xf>
    <xf numFmtId="2" fontId="8" fillId="0" borderId="33" xfId="4" applyNumberFormat="1" applyFont="1" applyBorder="1" applyAlignment="1">
      <alignment horizontal="left"/>
    </xf>
    <xf numFmtId="2" fontId="8" fillId="0" borderId="9" xfId="4" applyNumberFormat="1" applyFont="1" applyBorder="1" applyAlignment="1">
      <alignment horizontal="left"/>
    </xf>
    <xf numFmtId="2" fontId="8" fillId="0" borderId="34" xfId="4" applyNumberFormat="1" applyFont="1" applyBorder="1" applyAlignment="1">
      <alignment horizontal="left"/>
    </xf>
    <xf numFmtId="0" fontId="17" fillId="0" borderId="0" xfId="4" applyFont="1" applyFill="1" applyBorder="1" applyAlignment="1">
      <alignment horizontal="left" vertical="top"/>
    </xf>
    <xf numFmtId="2" fontId="8" fillId="0" borderId="33" xfId="4" applyNumberFormat="1" applyFont="1" applyBorder="1" applyAlignment="1">
      <alignment horizontal="left" indent="1"/>
    </xf>
    <xf numFmtId="2" fontId="8" fillId="0" borderId="9" xfId="4" applyNumberFormat="1" applyFont="1" applyBorder="1" applyAlignment="1">
      <alignment horizontal="left" indent="1"/>
    </xf>
    <xf numFmtId="2" fontId="8" fillId="0" borderId="34" xfId="4" applyNumberFormat="1" applyFont="1" applyBorder="1" applyAlignment="1">
      <alignment horizontal="left" indent="1"/>
    </xf>
    <xf numFmtId="0" fontId="20" fillId="0" borderId="33" xfId="4" applyFont="1" applyBorder="1" applyAlignment="1">
      <alignment horizontal="center"/>
    </xf>
    <xf numFmtId="0" fontId="20" fillId="0" borderId="9" xfId="4" applyFont="1" applyBorder="1" applyAlignment="1">
      <alignment horizontal="center"/>
    </xf>
    <xf numFmtId="0" fontId="20" fillId="0" borderId="34" xfId="4" applyFont="1" applyBorder="1" applyAlignment="1">
      <alignment horizontal="center"/>
    </xf>
    <xf numFmtId="0" fontId="20" fillId="2" borderId="215" xfId="4" applyFont="1" applyFill="1" applyBorder="1" applyAlignment="1">
      <alignment horizontal="center" vertical="center" wrapText="1"/>
    </xf>
    <xf numFmtId="0" fontId="20" fillId="2" borderId="216" xfId="4" applyFont="1" applyFill="1" applyBorder="1" applyAlignment="1">
      <alignment horizontal="center" vertical="center" wrapText="1"/>
    </xf>
    <xf numFmtId="0" fontId="20" fillId="2" borderId="0" xfId="0" applyFont="1" applyFill="1" applyBorder="1" applyAlignment="1">
      <alignment horizontal="center" vertical="top" wrapText="1"/>
    </xf>
    <xf numFmtId="0" fontId="14" fillId="5" borderId="8" xfId="4" applyFont="1" applyFill="1" applyBorder="1" applyAlignment="1">
      <alignment horizontal="left" vertical="top"/>
    </xf>
    <xf numFmtId="0" fontId="17" fillId="5" borderId="8" xfId="4" applyFont="1" applyFill="1" applyBorder="1" applyAlignment="1">
      <alignment horizontal="left" vertical="top"/>
    </xf>
    <xf numFmtId="0" fontId="33" fillId="17" borderId="33" xfId="3" applyFont="1" applyFill="1" applyBorder="1" applyAlignment="1" applyProtection="1">
      <alignment horizontal="center" wrapText="1"/>
    </xf>
    <xf numFmtId="0" fontId="33" fillId="17" borderId="9" xfId="3" applyFont="1" applyFill="1" applyBorder="1" applyAlignment="1" applyProtection="1">
      <alignment horizontal="center" wrapText="1"/>
    </xf>
    <xf numFmtId="0" fontId="33" fillId="17" borderId="34" xfId="3" applyFont="1" applyFill="1" applyBorder="1" applyAlignment="1" applyProtection="1">
      <alignment horizontal="center" wrapText="1"/>
    </xf>
    <xf numFmtId="0" fontId="18" fillId="0" borderId="33" xfId="0" applyFont="1" applyBorder="1" applyAlignment="1" applyProtection="1">
      <alignment horizontal="center" vertical="top" wrapText="1"/>
    </xf>
    <xf numFmtId="0" fontId="18" fillId="0" borderId="9" xfId="0" applyFont="1" applyBorder="1" applyAlignment="1" applyProtection="1">
      <alignment horizontal="center" vertical="top" wrapText="1"/>
    </xf>
    <xf numFmtId="0" fontId="18" fillId="0" borderId="34" xfId="0" applyFont="1" applyBorder="1" applyAlignment="1" applyProtection="1">
      <alignment horizontal="center" vertical="top" wrapText="1"/>
    </xf>
    <xf numFmtId="0" fontId="18" fillId="13" borderId="33" xfId="0" applyFont="1" applyFill="1" applyBorder="1" applyAlignment="1" applyProtection="1">
      <alignment horizontal="center"/>
    </xf>
    <xf numFmtId="0" fontId="18" fillId="13" borderId="9" xfId="0" applyFont="1" applyFill="1" applyBorder="1" applyAlignment="1" applyProtection="1">
      <alignment horizontal="center"/>
    </xf>
    <xf numFmtId="0" fontId="18" fillId="13" borderId="34" xfId="0" applyFont="1" applyFill="1" applyBorder="1" applyAlignment="1" applyProtection="1">
      <alignment horizontal="center"/>
    </xf>
    <xf numFmtId="0" fontId="18" fillId="0" borderId="2" xfId="0" applyFont="1" applyBorder="1" applyAlignment="1" applyProtection="1">
      <alignment horizontal="center" vertical="top" wrapText="1"/>
    </xf>
    <xf numFmtId="0" fontId="6" fillId="2" borderId="0" xfId="3" applyFont="1" applyFill="1" applyBorder="1" applyAlignment="1" applyProtection="1">
      <alignment horizontal="left" indent="1"/>
    </xf>
    <xf numFmtId="0" fontId="18" fillId="0" borderId="61" xfId="0" applyFont="1" applyBorder="1" applyAlignment="1" applyProtection="1">
      <alignment horizontal="center" vertical="top" wrapText="1"/>
    </xf>
    <xf numFmtId="0" fontId="18" fillId="0" borderId="83" xfId="0" applyFont="1" applyBorder="1" applyAlignment="1" applyProtection="1">
      <alignment horizontal="center" vertical="top" wrapText="1"/>
    </xf>
    <xf numFmtId="0" fontId="18" fillId="13" borderId="33" xfId="0" applyFont="1" applyFill="1" applyBorder="1" applyAlignment="1" applyProtection="1">
      <alignment horizontal="center" wrapText="1"/>
    </xf>
    <xf numFmtId="0" fontId="18" fillId="13" borderId="9" xfId="0" applyFont="1" applyFill="1" applyBorder="1" applyAlignment="1" applyProtection="1">
      <alignment horizontal="center" wrapText="1"/>
    </xf>
    <xf numFmtId="0" fontId="18" fillId="13" borderId="34" xfId="0" applyFont="1" applyFill="1" applyBorder="1" applyAlignment="1" applyProtection="1">
      <alignment horizontal="center" wrapText="1"/>
    </xf>
    <xf numFmtId="0" fontId="20" fillId="0" borderId="0" xfId="0" applyFont="1" applyAlignment="1">
      <alignment horizontal="center" wrapText="1"/>
    </xf>
    <xf numFmtId="0" fontId="30" fillId="2" borderId="0" xfId="3" applyFont="1" applyFill="1" applyBorder="1" applyAlignment="1">
      <alignment horizontal="left"/>
    </xf>
    <xf numFmtId="0" fontId="60" fillId="17" borderId="33" xfId="3" applyFont="1" applyFill="1" applyBorder="1" applyAlignment="1" applyProtection="1">
      <alignment horizontal="left" vertical="center" wrapText="1" indent="1"/>
    </xf>
    <xf numFmtId="0" fontId="60" fillId="17" borderId="9" xfId="3" applyFont="1" applyFill="1" applyBorder="1" applyAlignment="1" applyProtection="1">
      <alignment horizontal="left" vertical="center" wrapText="1" indent="1"/>
    </xf>
    <xf numFmtId="0" fontId="60" fillId="17" borderId="34" xfId="3" applyFont="1" applyFill="1" applyBorder="1" applyAlignment="1" applyProtection="1">
      <alignment horizontal="left" vertical="center" wrapText="1" indent="1"/>
    </xf>
    <xf numFmtId="0" fontId="35" fillId="2" borderId="2" xfId="3" applyFont="1" applyFill="1" applyBorder="1" applyAlignment="1" applyProtection="1">
      <alignment horizontal="left" indent="1"/>
    </xf>
    <xf numFmtId="0" fontId="26" fillId="0" borderId="0" xfId="0" applyFont="1" applyFill="1" applyAlignment="1" applyProtection="1">
      <alignment wrapText="1"/>
    </xf>
    <xf numFmtId="0" fontId="20" fillId="0" borderId="33" xfId="0" applyFont="1" applyBorder="1" applyAlignment="1">
      <alignment horizontal="center" vertical="center" wrapText="1"/>
    </xf>
    <xf numFmtId="0" fontId="20" fillId="0" borderId="34" xfId="0" applyFont="1" applyBorder="1" applyAlignment="1">
      <alignment horizontal="center" vertical="center" wrapText="1"/>
    </xf>
    <xf numFmtId="0" fontId="30" fillId="2" borderId="2" xfId="3" applyFont="1" applyFill="1" applyBorder="1" applyAlignment="1">
      <alignment horizontal="left" indent="1"/>
    </xf>
    <xf numFmtId="0" fontId="31" fillId="2" borderId="2" xfId="3" applyFont="1" applyFill="1" applyBorder="1" applyAlignment="1">
      <alignment horizontal="left" indent="1"/>
    </xf>
    <xf numFmtId="0" fontId="47" fillId="2" borderId="298" xfId="7" applyNumberFormat="1" applyFont="1" applyFill="1" applyBorder="1" applyAlignment="1" applyProtection="1">
      <alignment horizontal="center" vertical="top" textRotation="255" wrapText="1" indent="2"/>
    </xf>
    <xf numFmtId="0" fontId="47" fillId="2" borderId="18" xfId="7" applyNumberFormat="1" applyFont="1" applyFill="1" applyBorder="1" applyAlignment="1" applyProtection="1">
      <alignment horizontal="center" vertical="top" textRotation="255" wrapText="1" indent="2"/>
    </xf>
    <xf numFmtId="0" fontId="47" fillId="2" borderId="21" xfId="7" applyNumberFormat="1" applyFont="1" applyFill="1" applyBorder="1" applyAlignment="1" applyProtection="1">
      <alignment horizontal="center" vertical="top" textRotation="255" wrapText="1" indent="2"/>
    </xf>
    <xf numFmtId="0" fontId="30" fillId="2" borderId="2" xfId="3" applyFont="1" applyFill="1" applyBorder="1" applyAlignment="1">
      <alignment horizontal="left" vertical="top"/>
    </xf>
    <xf numFmtId="0" fontId="31" fillId="2" borderId="2" xfId="3" applyFont="1" applyFill="1" applyBorder="1" applyAlignment="1">
      <alignment horizontal="left" vertical="top"/>
    </xf>
    <xf numFmtId="0" fontId="31" fillId="9" borderId="175" xfId="0" applyFont="1" applyFill="1" applyBorder="1" applyAlignment="1">
      <alignment horizontal="center" textRotation="255"/>
    </xf>
    <xf numFmtId="0" fontId="31" fillId="9" borderId="176" xfId="0" applyFont="1" applyFill="1" applyBorder="1" applyAlignment="1">
      <alignment horizontal="center" textRotation="255"/>
    </xf>
    <xf numFmtId="0" fontId="31" fillId="9" borderId="177" xfId="0" applyFont="1" applyFill="1" applyBorder="1" applyAlignment="1">
      <alignment horizontal="center" textRotation="255"/>
    </xf>
    <xf numFmtId="0" fontId="34" fillId="2" borderId="33" xfId="0" applyFont="1" applyFill="1" applyBorder="1" applyAlignment="1">
      <alignment horizontal="left" indent="1"/>
    </xf>
    <xf numFmtId="0" fontId="34" fillId="2" borderId="9" xfId="0" applyFont="1" applyFill="1" applyBorder="1" applyAlignment="1">
      <alignment horizontal="left" indent="1"/>
    </xf>
    <xf numFmtId="0" fontId="34" fillId="2" borderId="34" xfId="0" applyFont="1" applyFill="1" applyBorder="1" applyAlignment="1">
      <alignment horizontal="left" indent="1"/>
    </xf>
    <xf numFmtId="0" fontId="35" fillId="2" borderId="33" xfId="0" applyFont="1" applyFill="1" applyBorder="1" applyAlignment="1">
      <alignment horizontal="left" indent="1"/>
    </xf>
    <xf numFmtId="0" fontId="35" fillId="2" borderId="9" xfId="0" applyFont="1" applyFill="1" applyBorder="1" applyAlignment="1">
      <alignment horizontal="left" indent="1"/>
    </xf>
    <xf numFmtId="0" fontId="35" fillId="2" borderId="34" xfId="0" applyFont="1" applyFill="1" applyBorder="1" applyAlignment="1">
      <alignment horizontal="left" indent="1"/>
    </xf>
    <xf numFmtId="0" fontId="35" fillId="2" borderId="33" xfId="7" applyFont="1" applyFill="1" applyBorder="1" applyAlignment="1">
      <alignment horizontal="left" indent="1"/>
    </xf>
    <xf numFmtId="0" fontId="35" fillId="2" borderId="9" xfId="7" applyFont="1" applyFill="1" applyBorder="1" applyAlignment="1">
      <alignment horizontal="left" indent="1"/>
    </xf>
    <xf numFmtId="0" fontId="35" fillId="2" borderId="34" xfId="7" applyFont="1" applyFill="1" applyBorder="1" applyAlignment="1">
      <alignment horizontal="left" indent="1"/>
    </xf>
    <xf numFmtId="0" fontId="20" fillId="2" borderId="33" xfId="0" applyFont="1" applyFill="1" applyBorder="1" applyAlignment="1">
      <alignment horizontal="center"/>
    </xf>
    <xf numFmtId="0" fontId="20" fillId="2" borderId="9" xfId="0" applyFont="1" applyFill="1" applyBorder="1" applyAlignment="1">
      <alignment horizontal="center"/>
    </xf>
    <xf numFmtId="0" fontId="20" fillId="2" borderId="34" xfId="0" applyFont="1" applyFill="1" applyBorder="1" applyAlignment="1">
      <alignment horizontal="center"/>
    </xf>
    <xf numFmtId="0" fontId="21" fillId="0" borderId="0" xfId="0" applyFont="1" applyFill="1" applyBorder="1" applyAlignment="1">
      <alignment horizontal="left" wrapText="1"/>
    </xf>
    <xf numFmtId="0" fontId="21" fillId="0" borderId="0" xfId="7" applyFont="1" applyFill="1" applyBorder="1" applyAlignment="1">
      <alignment horizontal="left" vertical="center" wrapText="1"/>
    </xf>
    <xf numFmtId="0" fontId="20" fillId="2" borderId="33" xfId="7" applyFont="1" applyFill="1" applyBorder="1" applyAlignment="1">
      <alignment horizontal="center"/>
    </xf>
    <xf numFmtId="0" fontId="20" fillId="2" borderId="9" xfId="7" applyFont="1" applyFill="1" applyBorder="1" applyAlignment="1">
      <alignment horizontal="center"/>
    </xf>
    <xf numFmtId="0" fontId="20" fillId="2" borderId="34" xfId="7" applyFont="1" applyFill="1" applyBorder="1" applyAlignment="1">
      <alignment horizontal="center"/>
    </xf>
  </cellXfs>
  <cellStyles count="19">
    <cellStyle name="Euro" xfId="1"/>
    <cellStyle name="Euro 2" xfId="2"/>
    <cellStyle name="Euro 2 2" xfId="13"/>
    <cellStyle name="Euro 3" xfId="12"/>
    <cellStyle name="Hyperlink" xfId="11" builtinId="8"/>
    <cellStyle name="Monétaire 2" xfId="8"/>
    <cellStyle name="Normal" xfId="0" builtinId="0"/>
    <cellStyle name="Normal 2" xfId="3"/>
    <cellStyle name="Normal 2 2" xfId="10"/>
    <cellStyle name="Normal 2 3" xfId="16"/>
    <cellStyle name="Normal 3" xfId="4"/>
    <cellStyle name="Normal 3 2" xfId="9"/>
    <cellStyle name="Normal 3 3" xfId="14"/>
    <cellStyle name="Normal 4" xfId="7"/>
    <cellStyle name="Normal 5" xfId="17"/>
    <cellStyle name="Percent" xfId="5" builtinId="5"/>
    <cellStyle name="Percent 2" xfId="18"/>
    <cellStyle name="Pourcentage 2" xfId="6"/>
    <cellStyle name="Pourcentage 2 2" xfId="15"/>
  </cellStyles>
  <dxfs count="155">
    <dxf>
      <font>
        <b val="0"/>
        <i/>
        <color theme="0" tint="-4.9989318521683403E-2"/>
      </font>
    </dxf>
    <dxf>
      <font>
        <b val="0"/>
        <i/>
        <color theme="0"/>
      </font>
    </dxf>
    <dxf>
      <font>
        <b val="0"/>
        <i/>
        <color theme="0" tint="-0.14996795556505021"/>
      </font>
    </dxf>
    <dxf>
      <font>
        <b val="0"/>
        <i/>
        <color theme="0" tint="-0.14996795556505021"/>
      </font>
    </dxf>
    <dxf>
      <font>
        <b val="0"/>
        <i/>
        <color theme="0" tint="-0.14996795556505021"/>
      </font>
    </dxf>
    <dxf>
      <font>
        <b val="0"/>
        <i/>
        <color theme="0" tint="-0.14996795556505021"/>
      </font>
    </dxf>
    <dxf>
      <font>
        <b val="0"/>
        <i/>
        <color theme="0"/>
      </font>
    </dxf>
    <dxf>
      <font>
        <b val="0"/>
        <i/>
        <color theme="0" tint="-0.14996795556505021"/>
      </font>
    </dxf>
    <dxf>
      <font>
        <b val="0"/>
        <i/>
        <color theme="0" tint="-4.9989318521683403E-2"/>
      </font>
    </dxf>
    <dxf>
      <font>
        <b/>
        <i/>
        <color rgb="FFFF0000"/>
      </font>
      <fill>
        <patternFill patternType="none">
          <bgColor auto="1"/>
        </patternFill>
      </fill>
    </dxf>
    <dxf>
      <font>
        <b/>
        <i val="0"/>
        <color rgb="FFFF0000"/>
      </font>
      <fill>
        <patternFill>
          <bgColor rgb="FFFFC000"/>
        </patternFill>
      </fill>
    </dxf>
    <dxf>
      <font>
        <b/>
        <i/>
        <color rgb="FFFF0000"/>
      </font>
      <fill>
        <patternFill patternType="none">
          <bgColor auto="1"/>
        </patternFill>
      </fill>
    </dxf>
    <dxf>
      <font>
        <b/>
        <i val="0"/>
        <color theme="0"/>
      </font>
      <fill>
        <patternFill>
          <bgColor rgb="FFFF0000"/>
        </patternFill>
      </fill>
    </dxf>
    <dxf>
      <font>
        <b/>
        <i val="0"/>
        <color theme="0"/>
      </font>
      <fill>
        <patternFill>
          <bgColor theme="6"/>
        </patternFill>
      </fill>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numFmt numFmtId="174" formatCode="yyyy/m/d"/>
    </dxf>
    <dxf>
      <numFmt numFmtId="19" formatCode="dd/mm/yyyy"/>
    </dxf>
    <dxf>
      <font>
        <b val="0"/>
        <i/>
        <color theme="0" tint="-4.9989318521683403E-2"/>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92D050"/>
        </patternFill>
      </fill>
    </dxf>
    <dxf>
      <font>
        <b/>
        <i val="0"/>
        <color theme="0"/>
      </font>
      <fill>
        <patternFill>
          <bgColor rgb="FFFF0000"/>
        </patternFill>
      </fill>
    </dxf>
    <dxf>
      <font>
        <b/>
        <i val="0"/>
        <color theme="0"/>
      </font>
      <fill>
        <patternFill>
          <bgColor rgb="FFFF0000"/>
        </patternFill>
      </fill>
    </dxf>
    <dxf>
      <font>
        <b val="0"/>
        <i/>
        <color theme="0" tint="-0.34998626667073579"/>
      </font>
    </dxf>
    <dxf>
      <font>
        <b val="0"/>
        <i/>
        <color theme="0" tint="-0.14996795556505021"/>
      </font>
    </dxf>
    <dxf>
      <font>
        <b val="0"/>
        <i/>
        <color theme="0" tint="-4.9989318521683403E-2"/>
      </font>
    </dxf>
    <dxf>
      <numFmt numFmtId="174" formatCode="yyyy/m/d"/>
    </dxf>
    <dxf>
      <numFmt numFmtId="19" formatCode="dd/mm/yyyy"/>
    </dxf>
    <dxf>
      <numFmt numFmtId="19" formatCode="dd/mm/yyyy"/>
    </dxf>
    <dxf>
      <numFmt numFmtId="174" formatCode="yyyy/m/d"/>
    </dxf>
    <dxf>
      <font>
        <b val="0"/>
        <i/>
        <color theme="0" tint="-4.9989318521683403E-2"/>
      </font>
    </dxf>
    <dxf>
      <numFmt numFmtId="174" formatCode="yyyy/m/d"/>
    </dxf>
    <dxf>
      <numFmt numFmtId="19" formatCode="dd/mm/yyyy"/>
    </dxf>
    <dxf>
      <font>
        <b val="0"/>
        <i/>
        <color theme="0" tint="-4.9989318521683403E-2"/>
      </font>
    </dxf>
  </dxfs>
  <tableStyles count="0" defaultTableStyle="TableStyleMedium9" defaultPivotStyle="PivotStyleLight16"/>
  <colors>
    <mruColors>
      <color rgb="FF993366"/>
      <color rgb="FF9E5ECE"/>
      <color rgb="FFB889DB"/>
      <color rgb="FF8823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hartsheet" Target="chartsheets/sheet12.xml"/><Relationship Id="rId21" Type="http://schemas.openxmlformats.org/officeDocument/2006/relationships/worksheet" Target="worksheets/sheet21.xml"/><Relationship Id="rId34" Type="http://schemas.openxmlformats.org/officeDocument/2006/relationships/chartsheet" Target="chartsheets/sheet7.xml"/><Relationship Id="rId42" Type="http://schemas.openxmlformats.org/officeDocument/2006/relationships/chartsheet" Target="chartsheets/sheet15.xml"/><Relationship Id="rId47" Type="http://schemas.openxmlformats.org/officeDocument/2006/relationships/chartsheet" Target="chartsheets/sheet20.xml"/><Relationship Id="rId50" Type="http://schemas.openxmlformats.org/officeDocument/2006/relationships/worksheet" Target="worksheets/sheet29.xml"/><Relationship Id="rId55" Type="http://schemas.openxmlformats.org/officeDocument/2006/relationships/worksheet" Target="worksheets/sheet34.xml"/><Relationship Id="rId63" Type="http://schemas.openxmlformats.org/officeDocument/2006/relationships/worksheet" Target="worksheets/sheet4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hartsheet" Target="chart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hartsheet" Target="chartsheets/sheet5.xml"/><Relationship Id="rId37" Type="http://schemas.openxmlformats.org/officeDocument/2006/relationships/chartsheet" Target="chartsheets/sheet10.xml"/><Relationship Id="rId40" Type="http://schemas.openxmlformats.org/officeDocument/2006/relationships/chartsheet" Target="chartsheets/sheet13.xml"/><Relationship Id="rId45" Type="http://schemas.openxmlformats.org/officeDocument/2006/relationships/chartsheet" Target="chartsheets/sheet18.xml"/><Relationship Id="rId53" Type="http://schemas.openxmlformats.org/officeDocument/2006/relationships/worksheet" Target="worksheets/sheet32.xml"/><Relationship Id="rId58" Type="http://schemas.openxmlformats.org/officeDocument/2006/relationships/worksheet" Target="worksheets/sheet37.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hartsheet" Target="chartsheets/sheet1.xml"/><Relationship Id="rId36" Type="http://schemas.openxmlformats.org/officeDocument/2006/relationships/chartsheet" Target="chartsheets/sheet9.xml"/><Relationship Id="rId49" Type="http://schemas.openxmlformats.org/officeDocument/2006/relationships/worksheet" Target="worksheets/sheet28.xml"/><Relationship Id="rId57" Type="http://schemas.openxmlformats.org/officeDocument/2006/relationships/worksheet" Target="worksheets/sheet36.xml"/><Relationship Id="rId61" Type="http://schemas.openxmlformats.org/officeDocument/2006/relationships/worksheet" Target="worksheets/sheet4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hartsheet" Target="chartsheets/sheet4.xml"/><Relationship Id="rId44" Type="http://schemas.openxmlformats.org/officeDocument/2006/relationships/chartsheet" Target="chartsheets/sheet17.xml"/><Relationship Id="rId52" Type="http://schemas.openxmlformats.org/officeDocument/2006/relationships/worksheet" Target="worksheets/sheet31.xml"/><Relationship Id="rId60" Type="http://schemas.openxmlformats.org/officeDocument/2006/relationships/worksheet" Target="worksheets/sheet39.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hartsheet" Target="chartsheets/sheet3.xml"/><Relationship Id="rId35" Type="http://schemas.openxmlformats.org/officeDocument/2006/relationships/chartsheet" Target="chartsheets/sheet8.xml"/><Relationship Id="rId43" Type="http://schemas.openxmlformats.org/officeDocument/2006/relationships/chartsheet" Target="chartsheets/sheet16.xml"/><Relationship Id="rId48" Type="http://schemas.openxmlformats.org/officeDocument/2006/relationships/chartsheet" Target="chartsheets/sheet21.xml"/><Relationship Id="rId56" Type="http://schemas.openxmlformats.org/officeDocument/2006/relationships/worksheet" Target="worksheets/sheet35.xml"/><Relationship Id="rId64" Type="http://schemas.openxmlformats.org/officeDocument/2006/relationships/worksheet" Target="worksheets/sheet43.xml"/><Relationship Id="rId8" Type="http://schemas.openxmlformats.org/officeDocument/2006/relationships/worksheet" Target="worksheets/sheet8.xml"/><Relationship Id="rId51" Type="http://schemas.openxmlformats.org/officeDocument/2006/relationships/worksheet" Target="worksheets/sheet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hartsheet" Target="chartsheets/sheet6.xml"/><Relationship Id="rId38" Type="http://schemas.openxmlformats.org/officeDocument/2006/relationships/chartsheet" Target="chartsheets/sheet11.xml"/><Relationship Id="rId46" Type="http://schemas.openxmlformats.org/officeDocument/2006/relationships/chartsheet" Target="chartsheets/sheet19.xml"/><Relationship Id="rId59" Type="http://schemas.openxmlformats.org/officeDocument/2006/relationships/worksheet" Target="worksheets/sheet38.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chartsheet" Target="chartsheets/sheet14.xml"/><Relationship Id="rId54" Type="http://schemas.openxmlformats.org/officeDocument/2006/relationships/worksheet" Target="worksheets/sheet33.xml"/><Relationship Id="rId62"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lgn="l">
            <a:defRPr lang="fr-FR" sz="1600"/>
          </a:pPr>
          <a:endParaRPr lang="en-US"/>
        </a:p>
      </c:txPr>
    </c:title>
    <c:autoTitleDeleted val="0"/>
    <c:plotArea>
      <c:layout>
        <c:manualLayout>
          <c:layoutTarget val="inner"/>
          <c:xMode val="edge"/>
          <c:yMode val="edge"/>
          <c:x val="0.21437449442288489"/>
          <c:y val="0.17961825605133275"/>
          <c:w val="0.60488995425995884"/>
          <c:h val="0.76009521726455087"/>
        </c:manualLayout>
      </c:layout>
      <c:barChart>
        <c:barDir val="bar"/>
        <c:grouping val="stacked"/>
        <c:varyColors val="0"/>
        <c:ser>
          <c:idx val="0"/>
          <c:order val="0"/>
          <c:tx>
            <c:strRef>
              <c:f>'Calculs dispo Données FA'!$X$124</c:f>
              <c:strCache>
                <c:ptCount val="1"/>
                <c:pt idx="0">
                  <c:v>Nombre de mois de disponibilité de produits hors ST</c:v>
                </c:pt>
              </c:strCache>
            </c:strRef>
          </c:tx>
          <c:invertIfNegative val="1"/>
          <c:cat>
            <c:strRef>
              <c:f>'Calculs dispo Données FA'!$H$125:$H$139</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FA'!$X$125:$X$139</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ser>
        <c:ser>
          <c:idx val="1"/>
          <c:order val="1"/>
          <c:tx>
            <c:strRef>
              <c:f>'Calculs dispo Données FA'!$Y$124</c:f>
              <c:strCache>
                <c:ptCount val="1"/>
                <c:pt idx="0">
                  <c:v>Nombre de mois de stock tampon (ST - max 3 mois))</c:v>
                </c:pt>
              </c:strCache>
            </c:strRef>
          </c:tx>
          <c:invertIfNegative val="0"/>
          <c:dLbls>
            <c:dLbl>
              <c:idx val="0"/>
              <c:tx>
                <c:strRef>
                  <c:f>'Calculs dispo Données FA'!$AA$125</c:f>
                  <c:strCache>
                    <c:ptCount val="1"/>
                    <c:pt idx="0">
                      <c:v>71892 B &amp; conso =0</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{A5B4A91C-A13B-4223-9A83-602069FDA704}</c15:txfldGUID>
                      <c15:f>'Calculs dispo Données FA'!$AA$125</c15:f>
                      <c15:dlblFieldTableCache>
                        <c:ptCount val="1"/>
                        <c:pt idx="0">
                          <c:v>71892 B &amp; Consumption =0</c:v>
                        </c:pt>
                      </c15:dlblFieldTableCache>
                    </c15:dlblFTEntry>
                  </c15:dlblFieldTable>
                  <c15:showDataLabelsRange val="0"/>
                </c:ext>
              </c:extLst>
            </c:dLbl>
            <c:dLbl>
              <c:idx val="1"/>
              <c:tx>
                <c:strRef>
                  <c:f>'Calculs dispo Données FA'!$AA$126</c:f>
                  <c:strCache>
                    <c:ptCount val="1"/>
                    <c:pt idx="0">
                      <c:v>1522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{9731EE7D-C385-4552-9698-6BE178CCFBED}</c15:txfldGUID>
                      <c15:f>'Calculs dispo Données FA'!$AA$126</c15:f>
                      <c15:dlblFieldTableCache>
                        <c:ptCount val="1"/>
                        <c:pt idx="0">
                          <c:v>1522 B &amp; Consumption =0</c:v>
                        </c:pt>
                      </c15:dlblFieldTableCache>
                    </c15:dlblFTEntry>
                  </c15:dlblFieldTable>
                  <c15:showDataLabelsRange val="0"/>
                </c:ext>
              </c:extLst>
            </c:dLbl>
            <c:dLbl>
              <c:idx val="2"/>
              <c:tx>
                <c:strRef>
                  <c:f>'Calculs dispo Données FA'!$AA$127</c:f>
                  <c:strCache>
                    <c:ptCount val="1"/>
                    <c:pt idx="0">
                      <c:v>666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{F276C78A-791F-459B-A73B-60516DB0841B}</c15:txfldGUID>
                      <c15:f>'Calculs dispo Données FA'!$AA$127</c15:f>
                      <c15:dlblFieldTableCache>
                        <c:ptCount val="1"/>
                        <c:pt idx="0">
                          <c:v>666 B &amp; Consumption =0</c:v>
                        </c:pt>
                      </c15:dlblFieldTableCache>
                    </c15:dlblFTEntry>
                  </c15:dlblFieldTable>
                  <c15:showDataLabelsRange val="0"/>
                </c:ext>
              </c:extLst>
            </c:dLbl>
            <c:dLbl>
              <c:idx val="3"/>
              <c:tx>
                <c:strRef>
                  <c:f>'Calculs dispo Données FA'!$AA$128</c:f>
                  <c:strCache>
                    <c:ptCount val="1"/>
                    <c:pt idx="0">
                      <c:v>12350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{3E54BF7F-21F9-45C6-B43E-BC644F973D4E}</c15:txfldGUID>
                      <c15:f>'Calculs dispo Données FA'!$AA$128</c15:f>
                      <c15:dlblFieldTableCache>
                        <c:ptCount val="1"/>
                        <c:pt idx="0">
                          <c:v>12350 B &amp; Consumption =0</c:v>
                        </c:pt>
                      </c15:dlblFieldTableCache>
                    </c15:dlblFTEntry>
                  </c15:dlblFieldTable>
                  <c15:showDataLabelsRange val="0"/>
                </c:ext>
              </c:extLst>
            </c:dLbl>
            <c:dLbl>
              <c:idx val="4"/>
              <c:tx>
                <c:strRef>
                  <c:f>'Calculs dispo Données FA'!$AA$129</c:f>
                  <c:strCache>
                    <c:ptCount val="1"/>
                    <c:pt idx="0">
                      <c:v>903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{B9924440-623A-4836-8316-84AE3B3F4D3B}</c15:txfldGUID>
                      <c15:f>'Calculs dispo Données FA'!$AA$129</c15:f>
                      <c15:dlblFieldTableCache>
                        <c:ptCount val="1"/>
                        <c:pt idx="0">
                          <c:v>903 B &amp; Consumption =0</c:v>
                        </c:pt>
                      </c15:dlblFieldTableCache>
                    </c15:dlblFTEntry>
                  </c15:dlblFieldTable>
                  <c15:showDataLabelsRange val="0"/>
                </c:ext>
              </c:extLst>
            </c:dLbl>
            <c:dLbl>
              <c:idx val="5"/>
              <c:tx>
                <c:strRef>
                  <c:f>'Calculs dispo Données FA'!$AA$130</c:f>
                  <c:strCache>
                    <c:ptCount val="1"/>
                    <c:pt idx="0">
                      <c:v>187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{E1C21CC2-B3B5-4742-A34D-C6ACA196471D}</c15:txfldGUID>
                      <c15:f>'Calculs dispo Données FA'!$AA$130</c15:f>
                      <c15:dlblFieldTableCache>
                        <c:ptCount val="1"/>
                        <c:pt idx="0">
                          <c:v>187 B &amp; Consumption =0</c:v>
                        </c:pt>
                      </c15:dlblFieldTableCache>
                    </c15:dlblFTEntry>
                  </c15:dlblFieldTable>
                  <c15:showDataLabelsRange val="0"/>
                </c:ext>
              </c:extLst>
            </c:dLbl>
            <c:dLbl>
              <c:idx val="6"/>
              <c:tx>
                <c:strRef>
                  <c:f>'Calculs dispo Données FA'!$AA$131</c:f>
                  <c:strCache>
                    <c:ptCount val="1"/>
                    <c:pt idx="0">
                      <c:v>231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{06800958-4911-454F-A509-50989032417B}</c15:txfldGUID>
                      <c15:f>'Calculs dispo Données FA'!$AA$131</c15:f>
                      <c15:dlblFieldTableCache>
                        <c:ptCount val="1"/>
                        <c:pt idx="0">
                          <c:v>231 B &amp; Consumption =0</c:v>
                        </c:pt>
                      </c15:dlblFieldTableCache>
                    </c15:dlblFTEntry>
                  </c15:dlblFieldTable>
                  <c15:showDataLabelsRange val="0"/>
                </c:ext>
              </c:extLst>
            </c:dLbl>
            <c:dLbl>
              <c:idx val="7"/>
              <c:tx>
                <c:strRef>
                  <c:f>'Calculs dispo Données FA'!$AA$132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{6A9A31D3-AC16-47EC-A53C-46048976B592}</c15:txfldGUID>
                      <c15:f>'Calculs dispo Données FA'!$AA$132</c15:f>
                      <c15:dlblFieldTableCache>
                        <c:ptCount val="1"/>
                      </c15:dlblFieldTableCache>
                    </c15:dlblFTEntry>
                  </c15:dlblFieldTable>
                  <c15:showDataLabelsRange val="0"/>
                </c:ext>
              </c:extLst>
            </c:dLbl>
            <c:dLbl>
              <c:idx val="8"/>
              <c:tx>
                <c:strRef>
                  <c:f>'Calculs dispo Données FA'!$AA$133</c:f>
                  <c:strCache>
                    <c:ptCount val="1"/>
                    <c:pt idx="0">
                      <c:v>121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{B4918F2E-B607-4996-8C93-B52E974BA434}</c15:txfldGUID>
                      <c15:f>'Calculs dispo Données FA'!$AA$133</c15:f>
                      <c15:dlblFieldTableCache>
                        <c:ptCount val="1"/>
                        <c:pt idx="0">
                          <c:v>121 B &amp; Consumption =0</c:v>
                        </c:pt>
                      </c15:dlblFieldTableCache>
                    </c15:dlblFTEntry>
                  </c15:dlblFieldTable>
                  <c15:showDataLabelsRange val="0"/>
                </c:ext>
              </c:extLst>
            </c:dLbl>
            <c:dLbl>
              <c:idx val="9"/>
              <c:tx>
                <c:strRef>
                  <c:f>'Calculs dispo Données FA'!$AA$134</c:f>
                  <c:strCache>
                    <c:ptCount val="1"/>
                    <c:pt idx="0">
                      <c:v>16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{0594106B-6477-4055-81B7-3BD113B54F38}</c15:txfldGUID>
                      <c15:f>'Calculs dispo Données FA'!$AA$134</c15:f>
                      <c15:dlblFieldTableCache>
                        <c:ptCount val="1"/>
                        <c:pt idx="0">
                          <c:v>16 B &amp; Consumption =0</c:v>
                        </c:pt>
                      </c15:dlblFieldTableCache>
                    </c15:dlblFTEntry>
                  </c15:dlblFieldTable>
                  <c15:showDataLabelsRange val="0"/>
                </c:ext>
              </c:extLst>
            </c:dLbl>
            <c:dLbl>
              <c:idx val="10"/>
              <c:tx>
                <c:strRef>
                  <c:f>'Calculs dispo Données FA'!$AA$135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{54922649-4BF9-488B-8BD5-DE4B3B711F12}</c15:txfldGUID>
                      <c15:f>'Calculs dispo Données FA'!$AA$135</c15:f>
                      <c15:dlblFieldTableCache>
                        <c:ptCount val="1"/>
                      </c15:dlblFieldTableCache>
                    </c15:dlblFTEntry>
                  </c15:dlblFieldTable>
                  <c15:showDataLabelsRange val="0"/>
                </c:ext>
              </c:extLst>
            </c:dLbl>
            <c:dLbl>
              <c:idx val="11"/>
              <c:tx>
                <c:strRef>
                  <c:f>'Calculs dispo Données FA'!$AA$136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{711920E0-2B47-4F82-807D-305600866E28}</c15:txfldGUID>
                      <c15:f>'Calculs dispo Données FA'!$AA$136</c15:f>
                      <c15:dlblFieldTableCache>
                        <c:ptCount val="1"/>
                      </c15:dlblFieldTableCache>
                    </c15:dlblFTEntry>
                  </c15:dlblFieldTable>
                  <c15:showDataLabelsRange val="0"/>
                </c:ext>
              </c:extLst>
            </c:dLbl>
            <c:dLbl>
              <c:idx val="12"/>
              <c:tx>
                <c:strRef>
                  <c:f>'Calculs dispo Données FA'!$AA$137</c:f>
                  <c:strCache>
                    <c:ptCount val="1"/>
                    <c:pt idx="0">
                      <c:v>38746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{D6ED8701-53D6-42B3-B321-D8D4F12DBF4B}</c15:txfldGUID>
                      <c15:f>'Calculs dispo Données FA'!$AA$137</c15:f>
                      <c15:dlblFieldTableCache>
                        <c:ptCount val="1"/>
                        <c:pt idx="0">
                          <c:v>38746 B &amp; Consumption =0</c:v>
                        </c:pt>
                      </c15:dlblFieldTableCache>
                    </c15:dlblFTEntry>
                  </c15:dlblFieldTable>
                  <c15:showDataLabelsRange val="0"/>
                </c:ext>
              </c:extLst>
            </c:dLbl>
            <c:dLbl>
              <c:idx val="13"/>
              <c:tx>
                <c:strRef>
                  <c:f>'Calculs dispo Données FA'!$AA$138</c:f>
                  <c:strCache>
                    <c:ptCount val="1"/>
                    <c:pt idx="0">
                      <c:v>505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{C5B5915B-019C-4D35-A486-BCA72FC38AD8}</c15:txfldGUID>
                      <c15:f>'Calculs dispo Données FA'!$AA$138</c15:f>
                      <c15:dlblFieldTableCache>
                        <c:ptCount val="1"/>
                        <c:pt idx="0">
                          <c:v>505 B &amp; Consumption =0</c:v>
                        </c:pt>
                      </c15:dlblFieldTableCache>
                    </c15:dlblFTEntry>
                  </c15:dlblFieldTable>
                  <c15:showDataLabelsRange val="0"/>
                </c:ext>
              </c:extLst>
            </c:dLbl>
            <c:dLbl>
              <c:idx val="14"/>
              <c:tx>
                <c:strRef>
                  <c:f>'Calculs dispo Données FA'!$AA$139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{214A62D0-5407-4D16-8C99-2CFEE2CF8E4F}</c15:txfldGUID>
                      <c15:f>'Calculs dispo Données FA'!$AA$139</c15:f>
                      <c15:dlblFieldTableCache>
                        <c:ptCount val="1"/>
                      </c15:dlblFieldTableCache>
                    </c15:dlblFTEntry>
                  </c15:dlblFieldTable>
                  <c15:showDataLabelsRange val="0"/>
                </c:ext>
              </c:extLst>
            </c:dLbl>
            <c:dLbl>
              <c:idx val="15"/>
              <c:tx>
                <c:strRef>
                  <c:f>'Calculs dispo Données FA'!$AA$142</c:f>
                  <c:strCache>
                    <c:ptCount val="1"/>
                    <c:pt idx="0">
                      <c:v>11566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{F5BE92FF-940B-4014-A12A-9A098B91A85C}</c15:txfldGUID>
                      <c15:f>'Calculs dispo Données FA'!$AA$142</c15:f>
                      <c15:dlblFieldTableCache>
                        <c:ptCount val="1"/>
                        <c:pt idx="0">
                          <c:v>11566 B &amp; Consumption =0</c:v>
                        </c:pt>
                      </c15:dlblFieldTableCache>
                    </c15:dlblFTEntry>
                  </c15:dlblFieldTable>
                  <c15:showDataLabelsRange val="0"/>
                </c:ext>
              </c:extLst>
            </c:dLbl>
            <c:dLbl>
              <c:idx val="16"/>
              <c:tx>
                <c:strRef>
                  <c:f>'Calculs dispo Données FA'!$AA$144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{CF601CC1-C661-4484-A399-4DF3CC0B33AF}</c15:txfldGUID>
                      <c15:f>'Calculs dispo Données FA'!$AA$144</c15:f>
                      <c15:dlblFieldTableCache>
                        <c:ptCount val="1"/>
                      </c15:dlblFieldTableCache>
                    </c15:dlblFTEntry>
                  </c15:dlblFieldTable>
                  <c15:showDataLabelsRange val="0"/>
                </c:ext>
              </c:extLst>
            </c:dLbl>
            <c:dLbl>
              <c:idx val="17"/>
              <c:tx>
                <c:strRef>
                  <c:f>'Calculs dispo Données FA'!$AA$146</c:f>
                  <c:strCache>
                    <c:ptCount val="1"/>
                    <c:pt idx="0">
                      <c:v>1093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{663B5FF9-D28E-4D97-9F86-6F2939B15378}</c15:txfldGUID>
                      <c15:f>'Calculs dispo Données FA'!$AA$146</c15:f>
                      <c15:dlblFieldTableCache>
                        <c:ptCount val="1"/>
                        <c:pt idx="0">
                          <c:v>1093 B &amp; Consumption =0</c:v>
                        </c:pt>
                      </c15:dlblFieldTableCache>
                    </c15:dlblFTEntry>
                  </c15:dlblFieldTable>
                  <c15:showDataLabelsRange val="0"/>
                </c:ext>
              </c:extLst>
            </c:dLbl>
            <c:dLbl>
              <c:idx val="18"/>
              <c:tx>
                <c:strRef>
                  <c:f>'Calculs dispo Données FA'!$AA$148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{5D7048FB-B1B9-4881-8E27-41A2E08AE9E7}</c15:txfldGUID>
                      <c15:f>'Calculs dispo Données FA'!$AA$148</c15:f>
                      <c15:dlblFieldTableCache>
                        <c:ptCount val="1"/>
                      </c15:dlblFieldTableCache>
                    </c15:dlblFTEntry>
                  </c15:dlblFieldTable>
                  <c15:showDataLabelsRange val="0"/>
                </c:ext>
              </c:extLst>
            </c:dLbl>
            <c:dLbl>
              <c:idx val="19"/>
              <c:tx>
                <c:strRef>
                  <c:f>'Calculs dispo Données FA'!$AA$149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{96999C6B-4AF4-4D5F-BB2D-B2245A1570E0}</c15:txfldGUID>
                      <c15:f>'Calculs dispo Données FA'!$AA$149</c15:f>
                      <c15:dlblFieldTableCache>
                        <c:ptCount val="1"/>
                      </c15:dlblFieldTableCache>
                    </c15:dlblFTEntry>
                  </c15:dlblFieldTable>
                  <c15:showDataLabelsRange val="0"/>
                </c:ext>
              </c:extLst>
            </c:dLbl>
            <c:dLbl>
              <c:idx val="20"/>
              <c:tx>
                <c:strRef>
                  <c:f>'Calculs dispo Données FA'!$AA$151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{CFDFC01B-865C-4711-8349-3B2BE0DA06E1}</c15:txfldGUID>
                      <c15:f>'Calculs dispo Données FA'!$AA$151</c15:f>
                      <c15:dlblFieldTableCache>
                        <c:ptCount val="1"/>
                      </c15:dlblFieldTableCache>
                    </c15:dlblFTEntry>
                  </c15:dlblFieldTable>
                  <c15:showDataLabelsRange val="0"/>
                </c:ext>
              </c:extLst>
            </c:dLbl>
            <c:dLbl>
              <c:idx val="21"/>
              <c:tx>
                <c:strRef>
                  <c:f>'Calculs dispo Données FA'!$AA$152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{9BD69FA8-CBC1-4033-A96B-1C3C6874833F}</c15:txfldGUID>
                      <c15:f>'Calculs dispo Données FA'!$AA$152</c15:f>
                      <c15:dlblFieldTableCache>
                        <c:ptCount val="1"/>
                      </c15:dlblFieldTableCache>
                    </c15:dlblFTEntry>
                  </c15:dlblFieldTable>
                  <c15:showDataLabelsRange val="0"/>
                </c:ext>
              </c:extLst>
            </c:dLbl>
            <c:dLbl>
              <c:idx val="22"/>
              <c:tx>
                <c:strRef>
                  <c:f>'Calculs dispo Données FA'!$AA$154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{521ADB16-C564-450E-AD77-12F94A722A41}</c15:txfldGUID>
                      <c15:f>'Calculs dispo Données FA'!$AA$154</c15:f>
                      <c15:dlblFieldTableCache>
                        <c:ptCount val="1"/>
                      </c15:dlblFieldTableCache>
                    </c15:dlblFTEntry>
                  </c15:dlblFieldTable>
                  <c15:showDataLabelsRange val="0"/>
                </c:ext>
              </c:extLst>
            </c:dLbl>
            <c:dLbl>
              <c:idx val="23"/>
              <c:tx>
                <c:strRef>
                  <c:f>'Calculs dispo Données FA'!$AA$155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{6E63368A-28A9-464D-815E-381BCEDED38F}</c15:txfldGUID>
                      <c15:f>'Calculs dispo Données FA'!$AA$155</c15:f>
                      <c15:dlblFieldTableCache>
                        <c:ptCount val="1"/>
                        <c:pt idx="0">
                          <c:v>956 B &amp; Consumption =0</c:v>
                        </c:pt>
                      </c15:dlblFieldTableCache>
                    </c15:dlblFTEntry>
                  </c15:dlblFieldTable>
                  <c15:showDataLabelsRange val="0"/>
                </c:ext>
              </c:extLst>
            </c:dLbl>
            <c:dLbl>
              <c:idx val="24"/>
              <c:tx>
                <c:strRef>
                  <c:f>'Calculs dispo Données FA'!$AA$156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{07150F67-831D-4656-8C7C-9B3194AA42E1}</c15:txfldGUID>
                      <c15:f>'Calculs dispo Données FA'!$AA$156</c15:f>
                      <c15:dlblFieldTableCache>
                        <c:ptCount val="1"/>
                      </c15:dlblFieldTableCache>
                    </c15:dlblFTEntry>
                  </c15:dlblFieldTable>
                  <c15:showDataLabelsRange val="0"/>
                </c:ext>
              </c:extLst>
            </c:dLbl>
            <c:dLbl>
              <c:idx val="25"/>
              <c:tx>
                <c:strRef>
                  <c:f>'Calculs dispo Données FA'!$AA$157</c:f>
                  <c:strCache>
                    <c:ptCount val="1"/>
                    <c:pt idx="0">
                      <c:v>750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{551B0D4F-4A00-45AB-83CC-D6CFDEFEDD1C}</c15:txfldGUID>
                      <c15:f>'Calculs dispo Données FA'!$AA$157</c15:f>
                      <c15:dlblFieldTableCache>
                        <c:ptCount val="1"/>
                        <c:pt idx="0">
                          <c:v>750 B &amp; Consumption =0</c:v>
                        </c:pt>
                      </c15:dlblFieldTableCache>
                    </c15:dlblFTEntry>
                  </c15:dlblFieldTable>
                  <c15:showDataLabelsRange val="0"/>
                </c:ext>
              </c:extLst>
            </c:dLbl>
            <c:dLbl>
              <c:idx val="26"/>
              <c:tx>
                <c:strRef>
                  <c:f>'Calculs dispo Données FA'!$AA$158</c:f>
                  <c:strCache>
                    <c:ptCount val="1"/>
                    <c:pt idx="0">
                      <c:v>770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{C7D6108A-94EA-470E-A231-03BFDE451427}</c15:txfldGUID>
                      <c15:f>'Calculs dispo Données FA'!$AA$158</c15:f>
                      <c15:dlblFieldTableCache>
                        <c:ptCount val="1"/>
                        <c:pt idx="0">
                          <c:v>770 B &amp; Consumption =0</c:v>
                        </c:pt>
                      </c15:dlblFieldTableCache>
                    </c15:dlblFTEntry>
                  </c15:dlblFieldTable>
                  <c15:showDataLabelsRange val="0"/>
                </c:ext>
              </c:extLst>
            </c:dLbl>
            <c:dLbl>
              <c:idx val="27"/>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{29251C95-F965-4A12-8FD3-EC8084CF8D7B}</c15:txfldGUID>
                      <c15:f>'Calculs dispo Données FA'!$AA$161</c15:f>
                      <c15:dlblFieldTableCache>
                        <c:ptCount val="1"/>
                      </c15:dlblFieldTableCache>
                    </c15:dlblFTEntry>
                  </c15:dlblFieldTable>
                  <c15:showDataLabelsRange val="0"/>
                </c:ext>
              </c:extLst>
            </c:dLbl>
            <c:dLbl>
              <c:idx val="28"/>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{6C375C92-FB3B-496C-B6DE-552706C0721F}</c15:txfldGUID>
                      <c15:f>'Calculs dispo Données FA'!$AA$163</c15:f>
                      <c15:dlblFieldTableCache>
                        <c:ptCount val="1"/>
                      </c15:dlblFieldTableCache>
                    </c15:dlblFTEntry>
                  </c15:dlblFieldTable>
                  <c15:showDataLabelsRange val="0"/>
                </c:ext>
              </c:extLst>
            </c:dLbl>
            <c:dLbl>
              <c:idx val="29"/>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{BDC66903-88A2-4F15-9984-9F38B03786D2}</c15:txfldGUID>
                      <c15:f>'Calculs dispo Données FA'!$AA$159</c15:f>
                      <c15:dlblFieldTableCache>
                        <c:ptCount val="1"/>
                        <c:pt idx="0">
                          <c:v>1705 B &amp; Consumption =0</c:v>
                        </c:pt>
                      </c15:dlblFieldTableCache>
                    </c15:dlblFTEntry>
                  </c15:dlblFieldTable>
                  <c15:showDataLabelsRange val="0"/>
                </c:ext>
              </c:extLst>
            </c:dLbl>
            <c:dLbl>
              <c:idx val="30"/>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{164EC693-C46C-494C-81E7-BBCC57F49287}</c15:txfldGUID>
                      <c15:f>'Calculs dispo Données FA'!$AA$162</c15:f>
                      <c15:dlblFieldTableCache>
                        <c:ptCount val="1"/>
                      </c15:dlblFieldTableCache>
                    </c15:dlblFTEntry>
                  </c15:dlblFieldTable>
                  <c15:showDataLabelsRange val="0"/>
                </c:ext>
              </c:extLst>
            </c:dLbl>
            <c:dLbl>
              <c:idx val="31"/>
              <c:tx>
                <c:strRef>
                  <c:f>'Calculs dispo Données FA'!$AA$164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{ABD53646-9CC0-4179-BAE3-70B4194DAC41}</c15:txfldGUID>
                      <c15:f>'Calculs dispo Données FA'!$AA$164</c15:f>
                      <c15:dlblFieldTableCache>
                        <c:ptCount val="1"/>
                      </c15:dlblFieldTableCache>
                    </c15:dlblFTEntry>
                  </c15:dlblFieldTable>
                  <c15:showDataLabelsRange val="0"/>
                </c:ext>
              </c:extLst>
            </c:dLbl>
            <c:dLbl>
              <c:idx val="32"/>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{8E8FB81E-3235-46A4-BC80-9495CE5DABD6}</c15:txfldGUID>
                      <c15:f>'Calculs dispo Données FA'!$AA$165</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FA'!$H$125:$H$139</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FA'!$Y$125:$Y$139</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dLbls>
          <c:showLegendKey val="0"/>
          <c:showVal val="0"/>
          <c:showCatName val="0"/>
          <c:showSerName val="0"/>
          <c:showPercent val="0"/>
          <c:showBubbleSize val="0"/>
        </c:dLbls>
        <c:gapWidth val="150"/>
        <c:overlap val="100"/>
        <c:axId val="154160128"/>
        <c:axId val="154170496"/>
      </c:barChart>
      <c:catAx>
        <c:axId val="154160128"/>
        <c:scaling>
          <c:orientation val="maxMin"/>
        </c:scaling>
        <c:delete val="0"/>
        <c:axPos val="l"/>
        <c:minorGridlines/>
        <c:numFmt formatCode="General" sourceLinked="1"/>
        <c:majorTickMark val="out"/>
        <c:minorTickMark val="none"/>
        <c:tickLblPos val="low"/>
        <c:txPr>
          <a:bodyPr/>
          <a:lstStyle/>
          <a:p>
            <a:pPr>
              <a:defRPr lang="fr-FR"/>
            </a:pPr>
            <a:endParaRPr lang="en-US"/>
          </a:p>
        </c:txPr>
        <c:crossAx val="154170496"/>
        <c:crosses val="autoZero"/>
        <c:auto val="1"/>
        <c:lblAlgn val="ctr"/>
        <c:lblOffset val="100"/>
        <c:tickMarkSkip val="2"/>
        <c:noMultiLvlLbl val="0"/>
      </c:catAx>
      <c:valAx>
        <c:axId val="154170496"/>
        <c:scaling>
          <c:orientation val="minMax"/>
          <c:min val="-6"/>
        </c:scaling>
        <c:delete val="0"/>
        <c:axPos val="t"/>
        <c:majorGridlines/>
        <c:title>
          <c:tx>
            <c:strRef>
              <c:f>'TRAD-visualiz'!$B$9</c:f>
              <c:strCache>
                <c:ptCount val="1"/>
                <c:pt idx="0">
                  <c:v>Nombre de mois de stock disponible</c:v>
                </c:pt>
              </c:strCache>
            </c:strRef>
          </c:tx>
          <c:layout>
            <c:manualLayout>
              <c:xMode val="edge"/>
              <c:yMode val="edge"/>
              <c:x val="4.2537990950944307E-2"/>
              <c:y val="0.14196325459317888"/>
            </c:manualLayout>
          </c:layout>
          <c:overlay val="0"/>
          <c:txPr>
            <a:bodyPr rot="0" vert="horz"/>
            <a:lstStyle/>
            <a:p>
              <a:pPr>
                <a:defRPr lang="fr-FR"/>
              </a:pPr>
              <a:endParaRPr lang="en-US"/>
            </a:p>
          </c:txPr>
        </c:title>
        <c:numFmt formatCode="0.0" sourceLinked="1"/>
        <c:majorTickMark val="out"/>
        <c:minorTickMark val="none"/>
        <c:tickLblPos val="nextTo"/>
        <c:txPr>
          <a:bodyPr/>
          <a:lstStyle/>
          <a:p>
            <a:pPr>
              <a:defRPr lang="fr-FR"/>
            </a:pPr>
            <a:endParaRPr lang="en-US"/>
          </a:p>
        </c:txPr>
        <c:crossAx val="154160128"/>
        <c:crosses val="autoZero"/>
        <c:crossBetween val="between"/>
        <c:majorUnit val="3"/>
      </c:valAx>
    </c:plotArea>
    <c:legend>
      <c:legendPos val="b"/>
      <c:layout>
        <c:manualLayout>
          <c:xMode val="edge"/>
          <c:yMode val="edge"/>
          <c:x val="9.3670854762384747E-3"/>
          <c:y val="0.9441373578302712"/>
          <c:w val="0.97623902572970089"/>
          <c:h val="3.3640419947506557E-2"/>
        </c:manualLayout>
      </c:layout>
      <c:overlay val="0"/>
      <c:txPr>
        <a:bodyPr/>
        <a:lstStyle/>
        <a:p>
          <a:pPr>
            <a:defRPr lang="fr-FR"/>
          </a:pPr>
          <a:endParaRPr lang="en-US"/>
        </a:p>
      </c:txPr>
    </c:legend>
    <c:plotVisOnly val="1"/>
    <c:dispBlanksAs val="gap"/>
    <c:showDLblsOverMax val="0"/>
  </c:chart>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pPr>
          <a:endParaRPr lang="en-US"/>
        </a:p>
      </c:txPr>
    </c:title>
    <c:autoTitleDeleted val="0"/>
    <c:plotArea>
      <c:layout>
        <c:manualLayout>
          <c:layoutTarget val="inner"/>
          <c:xMode val="edge"/>
          <c:yMode val="edge"/>
          <c:x val="0.20683442818235859"/>
          <c:y val="0.18332195975503071"/>
          <c:w val="0.67400713930552403"/>
          <c:h val="0.76009521726455187"/>
        </c:manualLayout>
      </c:layout>
      <c:barChart>
        <c:barDir val="bar"/>
        <c:grouping val="stacked"/>
        <c:varyColors val="0"/>
        <c:ser>
          <c:idx val="0"/>
          <c:order val="0"/>
          <c:tx>
            <c:strRef>
              <c:f>'Calculs dispo Données FA'!$X$124</c:f>
              <c:strCache>
                <c:ptCount val="1"/>
                <c:pt idx="0">
                  <c:v>Nombre de mois de disponibilité de produits hors ST</c:v>
                </c:pt>
              </c:strCache>
            </c:strRef>
          </c:tx>
          <c:spPr>
            <a:solidFill>
              <a:srgbClr val="4F81BD"/>
            </a:solidFill>
            <a:ln w="9525"/>
          </c:spPr>
          <c:invertIfNegative val="1"/>
          <c:cat>
            <c:strRef>
              <c:f>'Calculs dispo Données FA'!$H$26:$H$51</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FA'!$X$140:$X$165</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4="http://schemas.microsoft.com/office/drawing/2007/8/2/chart" uri="{6F2FDCE9-48DA-4B69-8628-5D25D57E5C99}">
              <c14:invertSolidFillFmt>
                <c14:spPr xmlns:c14="http://schemas.microsoft.com/office/drawing/2007/8/2/chart">
                  <a:solidFill>
                    <a:srgbClr val="FFFFFF"/>
                  </a:solidFill>
                  <a:ln w="9525"/>
                </c14:spPr>
              </c14:invertSolidFillFmt>
            </c:ext>
          </c:extLst>
        </c:ser>
        <c:ser>
          <c:idx val="1"/>
          <c:order val="1"/>
          <c:tx>
            <c:strRef>
              <c:f>'Calculs dispo Données FA'!$Y$124</c:f>
              <c:strCache>
                <c:ptCount val="1"/>
                <c:pt idx="0">
                  <c:v>Nombre de mois de stock tampon (ST - max 3 mois))</c:v>
                </c:pt>
              </c:strCache>
            </c:strRef>
          </c:tx>
          <c:invertIfNegative val="0"/>
          <c:cat>
            <c:strRef>
              <c:f>'Calculs dispo Données FA'!$H$26:$H$51</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FA'!$Y$140:$Y$165</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3"/>
          <c:order val="2"/>
          <c:tx>
            <c:strRef>
              <c:f>'Calculs dispo Données FA'!$AJ$181</c:f>
              <c:strCache>
                <c:ptCount val="1"/>
                <c:pt idx="0">
                  <c:v>Delta Dispo/date de réception attendue</c:v>
                </c:pt>
              </c:strCache>
            </c:strRef>
          </c:tx>
          <c:spPr>
            <a:noFill/>
            <a:ln w="9525">
              <a:solidFill>
                <a:srgbClr val="FF0000"/>
              </a:solidFill>
              <a:prstDash val="sysDash"/>
            </a:ln>
          </c:spPr>
          <c:invertIfNegative val="0"/>
          <c:val>
            <c:numRef>
              <c:f>'Calculs dispo Données FA'!$AJ$197:$AJ$222</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2"/>
          <c:order val="3"/>
          <c:tx>
            <c:strRef>
              <c:f>'Calculs dispo Données FA'!$AO$181</c:f>
              <c:strCache>
                <c:ptCount val="1"/>
                <c:pt idx="0">
                  <c:v>Nb de mois de stock / commande attendue</c:v>
                </c:pt>
              </c:strCache>
            </c:strRef>
          </c:tx>
          <c:invertIfNegative val="0"/>
          <c:dLbls>
            <c:dLbl>
              <c:idx val="0"/>
              <c:tx>
                <c:strRef>
                  <c:f>'Calculs dispo Données FA'!$AM$197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{F4653837-8CD8-40A3-9DFD-62B6C57AA83F}</c15:txfldGUID>
                      <c15:f>'Calculs dispo Données FA'!$AM$197</c15:f>
                      <c15:dlblFieldTableCache>
                        <c:ptCount val="1"/>
                      </c15:dlblFieldTableCache>
                    </c15:dlblFTEntry>
                  </c15:dlblFieldTable>
                  <c15:showDataLabelsRange val="0"/>
                </c:ext>
              </c:extLst>
            </c:dLbl>
            <c:dLbl>
              <c:idx val="1"/>
              <c:tx>
                <c:strRef>
                  <c:f>'Calculs dispo Données FA'!$AM$198</c:f>
                  <c:strCache>
                    <c:ptCount val="1"/>
                    <c:pt idx="0">
                      <c:v>110B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{8B0F7FE0-B0F6-4AFB-8949-DDB0706EFF95}</c15:txfldGUID>
                      <c15:f>'Calculs dispo Données FA'!$AM$198</c15:f>
                      <c15:dlblFieldTableCache>
                        <c:ptCount val="1"/>
                        <c:pt idx="0">
                          <c:v>110B &amp; Consumption =0</c:v>
                        </c:pt>
                      </c15:dlblFieldTableCache>
                    </c15:dlblFTEntry>
                  </c15:dlblFieldTable>
                  <c15:showDataLabelsRange val="0"/>
                </c:ext>
              </c:extLst>
            </c:dLbl>
            <c:dLbl>
              <c:idx val="2"/>
              <c:tx>
                <c:strRef>
                  <c:f>'Calculs dispo Données FA'!$AM$199</c:f>
                  <c:strCache>
                    <c:ptCount val="1"/>
                    <c:pt idx="0">
                      <c:v>11566B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{D81F3BD3-8BA5-4A48-BCCF-CA0B0EE214D2}</c15:txfldGUID>
                      <c15:f>'Calculs dispo Données FA'!$AM$199</c15:f>
                      <c15:dlblFieldTableCache>
                        <c:ptCount val="1"/>
                        <c:pt idx="0">
                          <c:v>11566B &amp; Consumption =0</c:v>
                        </c:pt>
                      </c15:dlblFieldTableCache>
                    </c15:dlblFTEntry>
                  </c15:dlblFieldTable>
                  <c15:showDataLabelsRange val="0"/>
                </c:ext>
              </c:extLst>
            </c:dLbl>
            <c:dLbl>
              <c:idx val="3"/>
              <c:tx>
                <c:strRef>
                  <c:f>'Calculs dispo Données FA'!$AM$200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{8F116339-19D3-4A50-BDEB-DED826A197CA}</c15:txfldGUID>
                      <c15:f>'Calculs dispo Données FA'!$AM$200</c15:f>
                      <c15:dlblFieldTableCache>
                        <c:ptCount val="1"/>
                      </c15:dlblFieldTableCache>
                    </c15:dlblFTEntry>
                  </c15:dlblFieldTable>
                  <c15:showDataLabelsRange val="0"/>
                </c:ext>
              </c:extLst>
            </c:dLbl>
            <c:dLbl>
              <c:idx val="4"/>
              <c:tx>
                <c:strRef>
                  <c:f>'Calculs dispo Données FA'!$AM$201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{CD4DD011-55FE-446C-9DDC-A27459341E6F}</c15:txfldGUID>
                      <c15:f>'Calculs dispo Données FA'!$AM$201</c15:f>
                      <c15:dlblFieldTableCache>
                        <c:ptCount val="1"/>
                      </c15:dlblFieldTableCache>
                    </c15:dlblFTEntry>
                  </c15:dlblFieldTable>
                  <c15:showDataLabelsRange val="0"/>
                </c:ext>
              </c:extLst>
            </c:dLbl>
            <c:dLbl>
              <c:idx val="5"/>
              <c:tx>
                <c:strRef>
                  <c:f>'Calculs dispo Données FA'!$AM$202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{D07A9049-251C-4887-B6B1-D16D55220DC6}</c15:txfldGUID>
                      <c15:f>'Calculs dispo Données FA'!$AM$202</c15:f>
                      <c15:dlblFieldTableCache>
                        <c:ptCount val="1"/>
                      </c15:dlblFieldTableCache>
                    </c15:dlblFTEntry>
                  </c15:dlblFieldTable>
                  <c15:showDataLabelsRange val="0"/>
                </c:ext>
              </c:extLst>
            </c:dLbl>
            <c:dLbl>
              <c:idx val="6"/>
              <c:tx>
                <c:strRef>
                  <c:f>'Calculs dispo Données FA'!$AM$203</c:f>
                  <c:strCache>
                    <c:ptCount val="1"/>
                    <c:pt idx="0">
                      <c:v>1093B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{84F3ECB5-86EE-461E-9B0D-1BEDE87BCDD8}</c15:txfldGUID>
                      <c15:f>'Calculs dispo Données FA'!$AM$203</c15:f>
                      <c15:dlblFieldTableCache>
                        <c:ptCount val="1"/>
                        <c:pt idx="0">
                          <c:v>1093B &amp; Consumption =0</c:v>
                        </c:pt>
                      </c15:dlblFieldTableCache>
                    </c15:dlblFTEntry>
                  </c15:dlblFieldTable>
                  <c15:showDataLabelsRange val="0"/>
                </c:ext>
              </c:extLst>
            </c:dLbl>
            <c:dLbl>
              <c:idx val="7"/>
              <c:tx>
                <c:strRef>
                  <c:f>'Calculs dispo Données FA'!$AM$204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{CCF5DB30-EFEE-45F9-BCA1-60C7296178C8}</c15:txfldGUID>
                      <c15:f>'Calculs dispo Données FA'!$AM$204</c15:f>
                      <c15:dlblFieldTableCache>
                        <c:ptCount val="1"/>
                      </c15:dlblFieldTableCache>
                    </c15:dlblFTEntry>
                  </c15:dlblFieldTable>
                  <c15:showDataLabelsRange val="0"/>
                </c:ext>
              </c:extLst>
            </c:dLbl>
            <c:dLbl>
              <c:idx val="8"/>
              <c:tx>
                <c:strRef>
                  <c:f>'Calculs dispo Données FA'!$AM$205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{B78F447B-9513-4DEA-800D-3ED12EEFA050}</c15:txfldGUID>
                      <c15:f>'Calculs dispo Données FA'!$AM$205</c15:f>
                      <c15:dlblFieldTableCache>
                        <c:ptCount val="1"/>
                      </c15:dlblFieldTableCache>
                    </c15:dlblFTEntry>
                  </c15:dlblFieldTable>
                  <c15:showDataLabelsRange val="0"/>
                </c:ext>
              </c:extLst>
            </c:dLbl>
            <c:dLbl>
              <c:idx val="9"/>
              <c:tx>
                <c:strRef>
                  <c:f>'Calculs dispo Données FA'!$AM$206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{9C76C44F-6E21-4B8E-AAA4-DA102569B15D}</c15:txfldGUID>
                      <c15:f>'Calculs dispo Données FA'!$AM$206</c15:f>
                      <c15:dlblFieldTableCache>
                        <c:ptCount val="1"/>
                      </c15:dlblFieldTableCache>
                    </c15:dlblFTEntry>
                  </c15:dlblFieldTable>
                  <c15:showDataLabelsRange val="0"/>
                </c:ext>
              </c:extLst>
            </c:dLbl>
            <c:dLbl>
              <c:idx val="10"/>
              <c:tx>
                <c:strRef>
                  <c:f>'Calculs dispo Données FA'!$AM$207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{61AF8CEF-FFBC-406D-BAFF-7F9AF7053F1E}</c15:txfldGUID>
                      <c15:f>'Calculs dispo Données FA'!$AM$207</c15:f>
                      <c15:dlblFieldTableCache>
                        <c:ptCount val="1"/>
                      </c15:dlblFieldTableCache>
                    </c15:dlblFTEntry>
                  </c15:dlblFieldTable>
                  <c15:showDataLabelsRange val="0"/>
                </c:ext>
              </c:extLst>
            </c:dLbl>
            <c:dLbl>
              <c:idx val="11"/>
              <c:tx>
                <c:strRef>
                  <c:f>'Calculs dispo Données FA'!$AM$208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{EBC8AE18-7EAD-4908-B79B-6F4D12CE0A8B}</c15:txfldGUID>
                      <c15:f>'Calculs dispo Données FA'!$AM$208</c15:f>
                      <c15:dlblFieldTableCache>
                        <c:ptCount val="1"/>
                      </c15:dlblFieldTableCache>
                    </c15:dlblFTEntry>
                  </c15:dlblFieldTable>
                  <c15:showDataLabelsRange val="0"/>
                </c:ext>
              </c:extLst>
            </c:dLbl>
            <c:dLbl>
              <c:idx val="12"/>
              <c:tx>
                <c:strRef>
                  <c:f>'Calculs dispo Données FA'!$AM$209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{3278CCD6-4217-4CED-BFB6-CB43C5234B74}</c15:txfldGUID>
                      <c15:f>'Calculs dispo Données FA'!$AM$209</c15:f>
                      <c15:dlblFieldTableCache>
                        <c:ptCount val="1"/>
                      </c15:dlblFieldTableCache>
                    </c15:dlblFTEntry>
                  </c15:dlblFieldTable>
                  <c15:showDataLabelsRange val="0"/>
                </c:ext>
              </c:extLst>
            </c:dLbl>
            <c:dLbl>
              <c:idx val="13"/>
              <c:tx>
                <c:strRef>
                  <c:f>'Calculs dispo Données FA'!$AM$210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{20B7B0DA-C1C5-4960-B562-7D52B5F99390}</c15:txfldGUID>
                      <c15:f>'Calculs dispo Données FA'!$AM$210</c15:f>
                      <c15:dlblFieldTableCache>
                        <c:ptCount val="1"/>
                      </c15:dlblFieldTableCache>
                    </c15:dlblFTEntry>
                  </c15:dlblFieldTable>
                  <c15:showDataLabelsRange val="0"/>
                </c:ext>
              </c:extLst>
            </c:dLbl>
            <c:dLbl>
              <c:idx val="14"/>
              <c:tx>
                <c:strRef>
                  <c:f>'Calculs dispo Données FA'!$AM$211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{23A9C756-46C4-4552-8B2E-3F1800ECEC4E}</c15:txfldGUID>
                      <c15:f>'Calculs dispo Données FA'!$AM$211</c15:f>
                      <c15:dlblFieldTableCache>
                        <c:ptCount val="1"/>
                      </c15:dlblFieldTableCache>
                    </c15:dlblFTEntry>
                  </c15:dlblFieldTable>
                  <c15:showDataLabelsRange val="0"/>
                </c:ext>
              </c:extLst>
            </c:dLbl>
            <c:dLbl>
              <c:idx val="15"/>
              <c:tx>
                <c:strRef>
                  <c:f>'Calculs dispo Données FA'!$AM$212</c:f>
                  <c:strCache>
                    <c:ptCount val="1"/>
                    <c:pt idx="0">
                      <c:v>956B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{756DFC5F-4177-491A-B500-8DC1C262D25F}</c15:txfldGUID>
                      <c15:f>'Calculs dispo Données FA'!$AM$212</c15:f>
                      <c15:dlblFieldTableCache>
                        <c:ptCount val="1"/>
                        <c:pt idx="0">
                          <c:v>956B &amp; Consumption =0</c:v>
                        </c:pt>
                      </c15:dlblFieldTableCache>
                    </c15:dlblFTEntry>
                  </c15:dlblFieldTable>
                  <c15:showDataLabelsRange val="0"/>
                </c:ext>
              </c:extLst>
            </c:dLbl>
            <c:dLbl>
              <c:idx val="16"/>
              <c:tx>
                <c:strRef>
                  <c:f>'Calculs dispo Données FA'!$AM$213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{340A598F-70DE-44E9-9405-D8C9F3BE808C}</c15:txfldGUID>
                      <c15:f>'Calculs dispo Données FA'!$AM$213</c15:f>
                      <c15:dlblFieldTableCache>
                        <c:ptCount val="1"/>
                      </c15:dlblFieldTableCache>
                    </c15:dlblFTEntry>
                  </c15:dlblFieldTable>
                  <c15:showDataLabelsRange val="0"/>
                </c:ext>
              </c:extLst>
            </c:dLbl>
            <c:dLbl>
              <c:idx val="17"/>
              <c:tx>
                <c:strRef>
                  <c:f>'Calculs dispo Données FA'!$AM$214</c:f>
                  <c:strCache>
                    <c:ptCount val="1"/>
                    <c:pt idx="0">
                      <c:v>750B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{988FDA00-127B-4E22-AEC4-329E4B0F72B5}</c15:txfldGUID>
                      <c15:f>'Calculs dispo Données FA'!$AM$214</c15:f>
                      <c15:dlblFieldTableCache>
                        <c:ptCount val="1"/>
                        <c:pt idx="0">
                          <c:v>750B &amp; Consumption =0</c:v>
                        </c:pt>
                      </c15:dlblFieldTableCache>
                    </c15:dlblFTEntry>
                  </c15:dlblFieldTable>
                  <c15:showDataLabelsRange val="0"/>
                </c:ext>
              </c:extLst>
            </c:dLbl>
            <c:dLbl>
              <c:idx val="18"/>
              <c:tx>
                <c:strRef>
                  <c:f>'Calculs dispo Données FA'!$AM$215</c:f>
                  <c:strCache>
                    <c:ptCount val="1"/>
                    <c:pt idx="0">
                      <c:v>770B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{1EEE02C1-5AC7-4194-AE9C-3E48A2C2A7A7}</c15:txfldGUID>
                      <c15:f>'Calculs dispo Données FA'!$AM$215</c15:f>
                      <c15:dlblFieldTableCache>
                        <c:ptCount val="1"/>
                        <c:pt idx="0">
                          <c:v>770B &amp; Consumption =0</c:v>
                        </c:pt>
                      </c15:dlblFieldTableCache>
                    </c15:dlblFTEntry>
                  </c15:dlblFieldTable>
                  <c15:showDataLabelsRange val="0"/>
                </c:ext>
              </c:extLst>
            </c:dLbl>
            <c:dLbl>
              <c:idx val="19"/>
              <c:tx>
                <c:strRef>
                  <c:f>'Calculs dispo Données FA'!$AM$216</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{AF284892-305D-4A70-8014-7B3271FD9EAC}</c15:txfldGUID>
                      <c15:f>'Calculs dispo Données FA'!$AM$216</c15:f>
                      <c15:dlblFieldTableCache>
                        <c:ptCount val="1"/>
                        <c:pt idx="0">
                          <c:v>1705B &amp; Consumption =0</c:v>
                        </c:pt>
                      </c15:dlblFieldTableCache>
                    </c15:dlblFTEntry>
                  </c15:dlblFieldTable>
                  <c15:showDataLabelsRange val="0"/>
                </c:ext>
              </c:extLst>
            </c:dLbl>
            <c:dLbl>
              <c:idx val="20"/>
              <c:tx>
                <c:strRef>
                  <c:f>'Calculs dispo Données FA'!$AM$217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{BF5B7056-E783-45EE-9951-9F5089363BC2}</c15:txfldGUID>
                      <c15:f>'Calculs dispo Données FA'!$AM$217</c15:f>
                      <c15:dlblFieldTableCache>
                        <c:ptCount val="1"/>
                      </c15:dlblFieldTableCache>
                    </c15:dlblFTEntry>
                  </c15:dlblFieldTable>
                  <c15:showDataLabelsRange val="0"/>
                </c:ext>
              </c:extLst>
            </c:dLbl>
            <c:dLbl>
              <c:idx val="21"/>
              <c:tx>
                <c:strRef>
                  <c:f>'Calculs dispo Données FA'!$AM$218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{7AE95679-4E47-453B-AA05-D8AACC56B1CC}</c15:txfldGUID>
                      <c15:f>'Calculs dispo Données FA'!$AM$218</c15:f>
                      <c15:dlblFieldTableCache>
                        <c:ptCount val="1"/>
                      </c15:dlblFieldTableCache>
                    </c15:dlblFTEntry>
                  </c15:dlblFieldTable>
                  <c15:showDataLabelsRange val="0"/>
                </c:ext>
              </c:extLst>
            </c:dLbl>
            <c:dLbl>
              <c:idx val="22"/>
              <c:tx>
                <c:strRef>
                  <c:f>'Calculs dispo Données FA'!$AM$219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{0930DC59-4FA8-4424-B0EB-E94C381A476A}</c15:txfldGUID>
                      <c15:f>'Calculs dispo Données FA'!$AM$219</c15:f>
                      <c15:dlblFieldTableCache>
                        <c:ptCount val="1"/>
                      </c15:dlblFieldTableCache>
                    </c15:dlblFTEntry>
                  </c15:dlblFieldTable>
                  <c15:showDataLabelsRange val="0"/>
                </c:ext>
              </c:extLst>
            </c:dLbl>
            <c:dLbl>
              <c:idx val="23"/>
              <c:tx>
                <c:strRef>
                  <c:f>'Calculs dispo Données FA'!$AM$220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{CE83F7D3-F460-4455-B55B-DC31E6FEE564}</c15:txfldGUID>
                      <c15:f>'Calculs dispo Données FA'!$AM$220</c15:f>
                      <c15:dlblFieldTableCache>
                        <c:ptCount val="1"/>
                      </c15:dlblFieldTableCache>
                    </c15:dlblFTEntry>
                  </c15:dlblFieldTable>
                  <c15:showDataLabelsRange val="0"/>
                </c:ext>
              </c:extLst>
            </c:dLbl>
            <c:dLbl>
              <c:idx val="24"/>
              <c:tx>
                <c:strRef>
                  <c:f>'Calculs dispo Données FA'!$AM$221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{97D5DF04-8D31-4230-88CF-96A2E3F965D6}</c15:txfldGUID>
                      <c15:f>'Calculs dispo Données FA'!$AM$221</c15:f>
                      <c15:dlblFieldTableCache>
                        <c:ptCount val="1"/>
                      </c15:dlblFieldTableCache>
                    </c15:dlblFTEntry>
                  </c15:dlblFieldTable>
                  <c15:showDataLabelsRange val="0"/>
                </c:ext>
              </c:extLst>
            </c:dLbl>
            <c:dLbl>
              <c:idx val="25"/>
              <c:tx>
                <c:strRef>
                  <c:f>'Calculs dispo Données FA'!$AM$222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{E19FD18D-5A89-4DE3-B383-CD4BCABBADE6}</c15:txfldGUID>
                      <c15:f>'Calculs dispo Données FA'!$AM$222</c15:f>
                      <c15:dlblFieldTableCache>
                        <c:ptCount val="1"/>
                      </c15:dlblFieldTableCache>
                    </c15:dlblFTEntry>
                  </c15:dlblFieldTable>
                  <c15:showDataLabelsRange val="0"/>
                </c:ext>
              </c:extLst>
            </c:dLbl>
            <c:dLbl>
              <c:idx val="26"/>
              <c:tx>
                <c:strRef>
                  <c:f>'Calculs dispo Données FA'!$AM$215</c:f>
                  <c:strCache>
                    <c:ptCount val="1"/>
                    <c:pt idx="0">
                      <c:v>770B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{92AF438E-B278-4A4B-A563-622A230BE1C3}</c15:txfldGUID>
                      <c15:f>'Calculs dispo Données FA'!$AM$215</c15:f>
                      <c15:dlblFieldTableCache>
                        <c:ptCount val="1"/>
                        <c:pt idx="0">
                          <c:v>770B &amp; Consumption =0</c:v>
                        </c:pt>
                      </c15:dlblFieldTableCache>
                    </c15:dlblFTEntry>
                  </c15:dlblFieldTable>
                  <c15:showDataLabelsRange val="0"/>
                </c:ext>
              </c:extLst>
            </c:dLbl>
            <c:dLbl>
              <c:idx val="27"/>
              <c:tx>
                <c:strRef>
                  <c:f>'Calculs dispo Données FA'!$AM$218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{453D0D89-5ADB-4083-9EA6-DA2A646623B1}</c15:txfldGUID>
                      <c15:f>'Calculs dispo Données FA'!$AM$218</c15:f>
                      <c15:dlblFieldTableCache>
                        <c:ptCount val="1"/>
                      </c15:dlblFieldTableCache>
                    </c15:dlblFTEntry>
                  </c15:dlblFieldTable>
                  <c15:showDataLabelsRange val="0"/>
                </c:ext>
              </c:extLst>
            </c:dLbl>
            <c:dLbl>
              <c:idx val="28"/>
              <c:tx>
                <c:strRef>
                  <c:f>'Calculs dispo Données FA'!$AM$220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{8E14522E-92C0-459E-A594-CDFB088381B5}</c15:txfldGUID>
                      <c15:f>'Calculs dispo Données FA'!$AM$220</c15:f>
                      <c15:dlblFieldTableCache>
                        <c:ptCount val="1"/>
                      </c15:dlblFieldTableCache>
                    </c15:dlblFTEntry>
                  </c15:dlblFieldTable>
                  <c15:showDataLabelsRange val="0"/>
                </c:ext>
              </c:extLst>
            </c:dLbl>
            <c:dLbl>
              <c:idx val="29"/>
              <c:tx>
                <c:strRef>
                  <c:f>'Calculs dispo Données FA'!$AM$216</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{331CA156-3BC1-4A88-BE52-74DE57020E9B}</c15:txfldGUID>
                      <c15:f>'Calculs dispo Données FA'!$AM$216</c15:f>
                      <c15:dlblFieldTableCache>
                        <c:ptCount val="1"/>
                        <c:pt idx="0">
                          <c:v>1705B &amp; Consumption =0</c:v>
                        </c:pt>
                      </c15:dlblFieldTableCache>
                    </c15:dlblFTEntry>
                  </c15:dlblFieldTable>
                  <c15:showDataLabelsRange val="0"/>
                </c:ext>
              </c:extLst>
            </c:dLbl>
            <c:dLbl>
              <c:idx val="30"/>
              <c:tx>
                <c:strRef>
                  <c:f>'Calculs dispo Données FA'!$AM$219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{D87C25DD-F619-4980-A1B0-583E66D0F13E}</c15:txfldGUID>
                      <c15:f>'Calculs dispo Données FA'!$AM$219</c15:f>
                      <c15:dlblFieldTableCache>
                        <c:ptCount val="1"/>
                      </c15:dlblFieldTableCache>
                    </c15:dlblFTEntry>
                  </c15:dlblFieldTable>
                  <c15:showDataLabelsRange val="0"/>
                </c:ext>
              </c:extLst>
            </c:dLbl>
            <c:dLbl>
              <c:idx val="31"/>
              <c:tx>
                <c:strRef>
                  <c:f>'Calculs dispo Données FA'!$AM$221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{89C567A6-8CAD-4CFD-9FF2-5D12566D14D3}</c15:txfldGUID>
                      <c15:f>'Calculs dispo Données FA'!$AM$221</c15:f>
                      <c15:dlblFieldTableCache>
                        <c:ptCount val="1"/>
                      </c15:dlblFieldTableCache>
                    </c15:dlblFTEntry>
                  </c15:dlblFieldTable>
                  <c15:showDataLabelsRange val="0"/>
                </c:ext>
              </c:extLst>
            </c:dLbl>
            <c:dLbl>
              <c:idx val="32"/>
              <c:tx>
                <c:strRef>
                  <c:f>'Calculs dispo Données FA'!$AM$222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{C4BFF885-C579-434E-AD99-6BCD07C7D636}</c15:txfldGUID>
                      <c15:f>'Calculs dispo Données FA'!$AM$222</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FA'!$H$26:$H$51</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FA'!$AO$197:$AO$222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dLbls>
          <c:showLegendKey val="0"/>
          <c:showVal val="0"/>
          <c:showCatName val="0"/>
          <c:showSerName val="0"/>
          <c:showPercent val="0"/>
          <c:showBubbleSize val="0"/>
        </c:dLbls>
        <c:gapWidth val="150"/>
        <c:overlap val="100"/>
        <c:axId val="162115584"/>
        <c:axId val="162117120"/>
      </c:barChart>
      <c:catAx>
        <c:axId val="162115584"/>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62117120"/>
        <c:crosses val="autoZero"/>
        <c:auto val="1"/>
        <c:lblAlgn val="ctr"/>
        <c:lblOffset val="100"/>
        <c:tickMarkSkip val="2"/>
        <c:noMultiLvlLbl val="0"/>
      </c:catAx>
      <c:valAx>
        <c:axId val="162117120"/>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1.0676799236099281E-3"/>
              <c:y val="0.11418547681539808"/>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low"/>
        <c:txPr>
          <a:bodyPr/>
          <a:lstStyle/>
          <a:p>
            <a:pPr>
              <a:defRPr lang="fr-FR" b="1"/>
            </a:pPr>
            <a:endParaRPr lang="en-US"/>
          </a:p>
        </c:txPr>
        <c:crossAx val="162115584"/>
        <c:crosses val="autoZero"/>
        <c:crossBetween val="between"/>
        <c:majorUnit val="3"/>
      </c:valAx>
      <c:spPr>
        <a:ln>
          <a:solidFill>
            <a:schemeClr val="bg1">
              <a:lumMod val="50000"/>
            </a:schemeClr>
          </a:solidFill>
        </a:ln>
      </c:spPr>
    </c:plotArea>
    <c:legend>
      <c:legendPos val="b"/>
      <c:layout>
        <c:manualLayout>
          <c:xMode val="edge"/>
          <c:yMode val="edge"/>
          <c:x val="6.8434621921084182E-2"/>
          <c:y val="0.95540201224848609"/>
          <c:w val="0.91576381416036479"/>
          <c:h val="4.4597987751532987E-2"/>
        </c:manualLayout>
      </c:layout>
      <c:overlay val="0"/>
      <c:txPr>
        <a:bodyPr/>
        <a:lstStyle/>
        <a:p>
          <a:pPr>
            <a:defRPr lang="fr-FR"/>
          </a:pPr>
          <a:endParaRPr lang="en-US"/>
        </a:p>
      </c:txPr>
    </c:legend>
    <c:plotVisOnly val="1"/>
    <c:dispBlanksAs val="gap"/>
    <c:showDLblsOverMax val="0"/>
  </c:chart>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pPr>
          <a:endParaRPr lang="en-US"/>
        </a:p>
      </c:txPr>
    </c:title>
    <c:autoTitleDeleted val="0"/>
    <c:plotArea>
      <c:layout>
        <c:manualLayout>
          <c:layoutTarget val="inner"/>
          <c:xMode val="edge"/>
          <c:yMode val="edge"/>
          <c:x val="0.20683442818235856"/>
          <c:y val="0.18332195975503071"/>
          <c:w val="0.66018380124727571"/>
          <c:h val="0.76009521726455154"/>
        </c:manualLayout>
      </c:layout>
      <c:barChart>
        <c:barDir val="bar"/>
        <c:grouping val="stacked"/>
        <c:varyColors val="0"/>
        <c:ser>
          <c:idx val="0"/>
          <c:order val="0"/>
          <c:tx>
            <c:strRef>
              <c:f>'Calculs dispo Données conso'!$X$126</c:f>
              <c:strCache>
                <c:ptCount val="1"/>
                <c:pt idx="0">
                  <c:v>Nombre de mois de disponibilité de produits hors ST</c:v>
                </c:pt>
              </c:strCache>
            </c:strRef>
          </c:tx>
          <c:spPr>
            <a:solidFill>
              <a:srgbClr val="4F81BD"/>
            </a:solidFill>
          </c:spPr>
          <c:invertIfNegative val="1"/>
          <c:cat>
            <c:strRef>
              <c:f>'Calculs dispo Données conso'!$H$142:$H$167</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conso'!$X$142:$X$167</c:f>
              <c:numCache>
                <c:formatCode>0.0</c:formatCode>
                <c:ptCount val="26"/>
                <c:pt idx="0">
                  <c:v>0</c:v>
                </c:pt>
                <c:pt idx="1">
                  <c:v>-2.9047619047619047</c:v>
                </c:pt>
                <c:pt idx="2">
                  <c:v>4.7885521885521882</c:v>
                </c:pt>
                <c:pt idx="3">
                  <c:v>0</c:v>
                </c:pt>
                <c:pt idx="4">
                  <c:v>0</c:v>
                </c:pt>
                <c:pt idx="5">
                  <c:v>0</c:v>
                </c:pt>
                <c:pt idx="6">
                  <c:v>0.84657534246571231</c:v>
                </c:pt>
                <c:pt idx="7">
                  <c:v>0</c:v>
                </c:pt>
                <c:pt idx="8">
                  <c:v>0</c:v>
                </c:pt>
                <c:pt idx="9">
                  <c:v>0</c:v>
                </c:pt>
                <c:pt idx="10">
                  <c:v>0</c:v>
                </c:pt>
                <c:pt idx="11">
                  <c:v>0</c:v>
                </c:pt>
                <c:pt idx="12">
                  <c:v>0</c:v>
                </c:pt>
                <c:pt idx="13">
                  <c:v>0</c:v>
                </c:pt>
                <c:pt idx="14">
                  <c:v>0</c:v>
                </c:pt>
                <c:pt idx="15">
                  <c:v>6.7972602739726042</c:v>
                </c:pt>
                <c:pt idx="16">
                  <c:v>0</c:v>
                </c:pt>
                <c:pt idx="17">
                  <c:v>4.0754716981132075</c:v>
                </c:pt>
                <c:pt idx="18">
                  <c:v>2.7863013698630139</c:v>
                </c:pt>
                <c:pt idx="19">
                  <c:v>0</c:v>
                </c:pt>
                <c:pt idx="20">
                  <c:v>0</c:v>
                </c:pt>
                <c:pt idx="21">
                  <c:v>0</c:v>
                </c:pt>
                <c:pt idx="22">
                  <c:v>0</c:v>
                </c:pt>
                <c:pt idx="23">
                  <c:v>0</c:v>
                </c:pt>
                <c:pt idx="24">
                  <c:v>0</c:v>
                </c:pt>
                <c:pt idx="25">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conso'!$Y$126</c:f>
              <c:strCache>
                <c:ptCount val="1"/>
                <c:pt idx="0">
                  <c:v>Nombre de mois de stock tampon (ST - max 3 mois)</c:v>
                </c:pt>
              </c:strCache>
            </c:strRef>
          </c:tx>
          <c:invertIfNegative val="1"/>
          <c:dLbls>
            <c:dLbl>
              <c:idx val="0"/>
              <c:tx>
                <c:strRef>
                  <c:f>'Calculs dispo Données conso'!$AA$142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{34D85934-867F-4876-A0C2-A87A34110EE3}</c15:txfldGUID>
                      <c15:f>'Calculs dispo Données conso'!$AA$142</c15:f>
                      <c15:dlblFieldTableCache>
                        <c:ptCount val="1"/>
                      </c15:dlblFieldTableCache>
                    </c15:dlblFTEntry>
                  </c15:dlblFieldTable>
                  <c15:showDataLabelsRange val="0"/>
                </c:ext>
              </c:extLst>
            </c:dLbl>
            <c:dLbl>
              <c:idx val="1"/>
              <c:tx>
                <c:strRef>
                  <c:f>'Calculs dispo Données conso'!$AA$143</c:f>
                  <c:strCache>
                    <c:ptCount val="1"/>
                    <c:pt idx="0">
                      <c:v>09/10/2014</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{EB6670BF-938A-41F1-816C-5212EE0EFE3F}</c15:txfldGUID>
                      <c15:f>'Calculs dispo Données conso'!$AA$143</c15:f>
                      <c15:dlblFieldTableCache>
                        <c:ptCount val="1"/>
                        <c:pt idx="0">
                          <c:v>09/10/2014</c:v>
                        </c:pt>
                      </c15:dlblFieldTableCache>
                    </c15:dlblFTEntry>
                  </c15:dlblFieldTable>
                  <c15:showDataLabelsRange val="0"/>
                </c:ext>
              </c:extLst>
            </c:dLbl>
            <c:dLbl>
              <c:idx val="2"/>
              <c:tx>
                <c:strRef>
                  <c:f>'Calculs dispo Données conso'!$AA$144</c:f>
                  <c:strCache>
                    <c:ptCount val="1"/>
                    <c:pt idx="0">
                      <c:v>31/05/2015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{2893C653-AB4B-4F3A-ADF8-6DC8D9652E29}</c15:txfldGUID>
                      <c15:f>'Calculs dispo Données conso'!$AA$144</c15:f>
                      <c15:dlblFieldTableCache>
                        <c:ptCount val="1"/>
                        <c:pt idx="0">
                          <c:v>31/05/2015</c:v>
                        </c:pt>
                      </c15:dlblFieldTableCache>
                    </c15:dlblFTEntry>
                  </c15:dlblFieldTable>
                  <c15:showDataLabelsRange val="0"/>
                </c:ext>
              </c:extLst>
            </c:dLbl>
            <c:dLbl>
              <c:idx val="3"/>
              <c:tx>
                <c:strRef>
                  <c:f>'Calculs dispo Données conso'!$AA$145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{68F6DE08-023B-4BC0-A002-509D80FCFCE2}</c15:txfldGUID>
                      <c15:f>'Calculs dispo Données conso'!$AA$145</c15:f>
                      <c15:dlblFieldTableCache>
                        <c:ptCount val="1"/>
                      </c15:dlblFieldTableCache>
                    </c15:dlblFTEntry>
                  </c15:dlblFieldTable>
                  <c15:showDataLabelsRange val="0"/>
                </c:ext>
              </c:extLst>
            </c:dLbl>
            <c:dLbl>
              <c:idx val="4"/>
              <c:tx>
                <c:strRef>
                  <c:f>'Calculs dispo Données conso'!$AA$146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{F69370BE-62C5-4CCB-9230-A02504FF2E37}</c15:txfldGUID>
                      <c15:f>'Calculs dispo Données conso'!$AA$146</c15:f>
                      <c15:dlblFieldTableCache>
                        <c:ptCount val="1"/>
                      </c15:dlblFieldTableCache>
                    </c15:dlblFTEntry>
                  </c15:dlblFieldTable>
                  <c15:showDataLabelsRange val="0"/>
                </c:ext>
              </c:extLst>
            </c:dLbl>
            <c:dLbl>
              <c:idx val="5"/>
              <c:tx>
                <c:strRef>
                  <c:f>'Calculs dispo Données conso'!$AA$147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{A87A643D-C682-406E-9B14-C3100408DBCD}</c15:txfldGUID>
                      <c15:f>'Calculs dispo Données conso'!$AA$147</c15:f>
                      <c15:dlblFieldTableCache>
                        <c:ptCount val="1"/>
                      </c15:dlblFieldTableCache>
                    </c15:dlblFTEntry>
                  </c15:dlblFieldTable>
                  <c15:showDataLabelsRange val="0"/>
                </c:ext>
              </c:extLst>
            </c:dLbl>
            <c:dLbl>
              <c:idx val="6"/>
              <c:tx>
                <c:strRef>
                  <c:f>'Calculs dispo Données conso'!$AA$148</c:f>
                  <c:strCache>
                    <c:ptCount val="1"/>
                    <c:pt idx="0">
                      <c:v>DLU - 1/2/2015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{733DEFC8-4EC5-48D2-9179-B8FE93E911EB}</c15:txfldGUID>
                      <c15:f>'Calculs dispo Données conso'!$AA$148</c15:f>
                      <c15:dlblFieldTableCache>
                        <c:ptCount val="1"/>
                        <c:pt idx="0">
                          <c:v>ED - 1/2/2015</c:v>
                        </c:pt>
                      </c15:dlblFieldTableCache>
                    </c15:dlblFTEntry>
                  </c15:dlblFieldTable>
                  <c15:showDataLabelsRange val="0"/>
                </c:ext>
              </c:extLst>
            </c:dLbl>
            <c:dLbl>
              <c:idx val="7"/>
              <c:tx>
                <c:strRef>
                  <c:f>'Calculs dispo Données conso'!$AA$149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{52F2440B-D164-43C2-ACA4-B3B41FA65DB1}</c15:txfldGUID>
                      <c15:f>'Calculs dispo Données conso'!$AA$149</c15:f>
                      <c15:dlblFieldTableCache>
                        <c:ptCount val="1"/>
                      </c15:dlblFieldTableCache>
                    </c15:dlblFTEntry>
                  </c15:dlblFieldTable>
                  <c15:showDataLabelsRange val="0"/>
                </c:ext>
              </c:extLst>
            </c:dLbl>
            <c:dLbl>
              <c:idx val="8"/>
              <c:tx>
                <c:strRef>
                  <c:f>'Calculs dispo Données conso'!$AA$150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{9B674A52-6A55-431F-A0F3-182104ED6690}</c15:txfldGUID>
                      <c15:f>'Calculs dispo Données conso'!$AA$150</c15:f>
                      <c15:dlblFieldTableCache>
                        <c:ptCount val="1"/>
                      </c15:dlblFieldTableCache>
                    </c15:dlblFTEntry>
                  </c15:dlblFieldTable>
                  <c15:showDataLabelsRange val="0"/>
                </c:ext>
              </c:extLst>
            </c:dLbl>
            <c:dLbl>
              <c:idx val="9"/>
              <c:tx>
                <c:strRef>
                  <c:f>'Calculs dispo Données conso'!$AA$151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{E6760543-6DF4-440B-8042-9050255A2071}</c15:txfldGUID>
                      <c15:f>'Calculs dispo Données conso'!$AA$151</c15:f>
                      <c15:dlblFieldTableCache>
                        <c:ptCount val="1"/>
                      </c15:dlblFieldTableCache>
                    </c15:dlblFTEntry>
                  </c15:dlblFieldTable>
                  <c15:showDataLabelsRange val="0"/>
                </c:ext>
              </c:extLst>
            </c:dLbl>
            <c:dLbl>
              <c:idx val="10"/>
              <c:tx>
                <c:strRef>
                  <c:f>'Calculs dispo Données conso'!$AA$152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{9AC8B0B4-F341-4F7D-B018-7C4350021628}</c15:txfldGUID>
                      <c15:f>'Calculs dispo Données conso'!$AA$152</c15:f>
                      <c15:dlblFieldTableCache>
                        <c:ptCount val="1"/>
                      </c15:dlblFieldTableCache>
                    </c15:dlblFTEntry>
                  </c15:dlblFieldTable>
                  <c15:showDataLabelsRange val="0"/>
                </c:ext>
              </c:extLst>
            </c:dLbl>
            <c:dLbl>
              <c:idx val="11"/>
              <c:tx>
                <c:strRef>
                  <c:f>'Calculs dispo Données conso'!$AA$153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{E25FF47A-A00E-486D-AF83-741E5AFE7673}</c15:txfldGUID>
                      <c15:f>'Calculs dispo Données conso'!$AA$153</c15:f>
                      <c15:dlblFieldTableCache>
                        <c:ptCount val="1"/>
                      </c15:dlblFieldTableCache>
                    </c15:dlblFTEntry>
                  </c15:dlblFieldTable>
                  <c15:showDataLabelsRange val="0"/>
                </c:ext>
              </c:extLst>
            </c:dLbl>
            <c:dLbl>
              <c:idx val="12"/>
              <c:tx>
                <c:strRef>
                  <c:f>'Calculs dispo Données conso'!$AA$154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{979F9B5A-A06A-4E34-A66C-535501587F85}</c15:txfldGUID>
                      <c15:f>'Calculs dispo Données conso'!$AA$154</c15:f>
                      <c15:dlblFieldTableCache>
                        <c:ptCount val="1"/>
                      </c15:dlblFieldTableCache>
                    </c15:dlblFTEntry>
                  </c15:dlblFieldTable>
                  <c15:showDataLabelsRange val="0"/>
                </c:ext>
              </c:extLst>
            </c:dLbl>
            <c:dLbl>
              <c:idx val="13"/>
              <c:tx>
                <c:strRef>
                  <c:f>'Calculs dispo Données conso'!$AA$155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{C1142938-B570-43B9-8289-15FB8A58102E}</c15:txfldGUID>
                      <c15:f>'Calculs dispo Données conso'!$AA$155</c15:f>
                      <c15:dlblFieldTableCache>
                        <c:ptCount val="1"/>
                      </c15:dlblFieldTableCache>
                    </c15:dlblFTEntry>
                  </c15:dlblFieldTable>
                  <c15:showDataLabelsRange val="0"/>
                </c:ext>
              </c:extLst>
            </c:dLbl>
            <c:dLbl>
              <c:idx val="14"/>
              <c:tx>
                <c:strRef>
                  <c:f>'Calculs dispo Données conso'!$AA$156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{93876E6D-110B-4CD3-9728-B34CA67FE8A2}</c15:txfldGUID>
                      <c15:f>'Calculs dispo Données conso'!$AA$156</c15:f>
                      <c15:dlblFieldTableCache>
                        <c:ptCount val="1"/>
                      </c15:dlblFieldTableCache>
                    </c15:dlblFTEntry>
                  </c15:dlblFieldTable>
                  <c15:showDataLabelsRange val="0"/>
                </c:ext>
              </c:extLst>
            </c:dLbl>
            <c:dLbl>
              <c:idx val="15"/>
              <c:tx>
                <c:strRef>
                  <c:f>'Calculs dispo Données conso'!$AA$157</c:f>
                  <c:strCache>
                    <c:ptCount val="1"/>
                    <c:pt idx="0">
                      <c:v>DLU - 1/8/2015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{3A8C290B-BDF5-4C2C-8F41-51159B69C38D}</c15:txfldGUID>
                      <c15:f>'Calculs dispo Données conso'!$AA$157</c15:f>
                      <c15:dlblFieldTableCache>
                        <c:ptCount val="1"/>
                        <c:pt idx="0">
                          <c:v>ED - 1/8/2015</c:v>
                        </c:pt>
                      </c15:dlblFieldTableCache>
                    </c15:dlblFTEntry>
                  </c15:dlblFieldTable>
                  <c15:showDataLabelsRange val="0"/>
                </c:ext>
              </c:extLst>
            </c:dLbl>
            <c:dLbl>
              <c:idx val="16"/>
              <c:tx>
                <c:strRef>
                  <c:f>'Calculs dispo Données conso'!$AA$158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{03A0986A-898D-43E3-BEDC-3AB4EDB32330}</c15:txfldGUID>
                      <c15:f>'Calculs dispo Données conso'!$AA$158</c15:f>
                      <c15:dlblFieldTableCache>
                        <c:ptCount val="1"/>
                      </c15:dlblFieldTableCache>
                    </c15:dlblFTEntry>
                  </c15:dlblFieldTable>
                  <c15:showDataLabelsRange val="0"/>
                </c:ext>
              </c:extLst>
            </c:dLbl>
            <c:dLbl>
              <c:idx val="17"/>
              <c:tx>
                <c:strRef>
                  <c:f>'Calculs dispo Données conso'!$AA$159</c:f>
                  <c:strCache>
                    <c:ptCount val="1"/>
                    <c:pt idx="0">
                      <c:v>10/05/2015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{40A74B3B-CD9D-4D6F-BC8E-89D0C53F78DF}</c15:txfldGUID>
                      <c15:f>'Calculs dispo Données conso'!$AA$159</c15:f>
                      <c15:dlblFieldTableCache>
                        <c:ptCount val="1"/>
                        <c:pt idx="0">
                          <c:v>10/05/2015</c:v>
                        </c:pt>
                      </c15:dlblFieldTableCache>
                    </c15:dlblFTEntry>
                  </c15:dlblFieldTable>
                  <c15:showDataLabelsRange val="0"/>
                </c:ext>
              </c:extLst>
            </c:dLbl>
            <c:dLbl>
              <c:idx val="18"/>
              <c:tx>
                <c:strRef>
                  <c:f>'Calculs dispo Données conso'!$AA$160</c:f>
                  <c:strCache>
                    <c:ptCount val="1"/>
                    <c:pt idx="0">
                      <c:v>DLU - 1/4/2015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{DF8641C6-1367-4E7A-BD63-F48A7D58D4AC}</c15:txfldGUID>
                      <c15:f>'Calculs dispo Données conso'!$AA$160</c15:f>
                      <c15:dlblFieldTableCache>
                        <c:ptCount val="1"/>
                        <c:pt idx="0">
                          <c:v>ED - 1/4/2015</c:v>
                        </c:pt>
                      </c15:dlblFieldTableCache>
                    </c15:dlblFTEntry>
                  </c15:dlblFieldTable>
                  <c15:showDataLabelsRange val="0"/>
                </c:ext>
              </c:extLst>
            </c:dLbl>
            <c:dLbl>
              <c:idx val="19"/>
              <c:tx>
                <c:strRef>
                  <c:f>'Calculs dispo Données conso'!$AA$161</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{E138E631-22CC-48EA-9762-BF08934B7872}</c15:txfldGUID>
                      <c15:f>'Calculs dispo Données conso'!$AA$161</c15:f>
                      <c15:dlblFieldTableCache>
                        <c:ptCount val="1"/>
                        <c:pt idx="0">
                          <c:v>1705B &amp; Consumption =0</c:v>
                        </c:pt>
                      </c15:dlblFieldTableCache>
                    </c15:dlblFTEntry>
                  </c15:dlblFieldTable>
                  <c15:showDataLabelsRange val="0"/>
                </c:ext>
              </c:extLst>
            </c:dLbl>
            <c:dLbl>
              <c:idx val="20"/>
              <c:tx>
                <c:strRef>
                  <c:f>'Calculs dispo Données conso'!$AA$162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{D3895E3A-0FBC-4118-A3FC-A3552E288E4B}</c15:txfldGUID>
                      <c15:f>'Calculs dispo Données conso'!$AA$162</c15:f>
                      <c15:dlblFieldTableCache>
                        <c:ptCount val="1"/>
                      </c15:dlblFieldTableCache>
                    </c15:dlblFTEntry>
                  </c15:dlblFieldTable>
                  <c15:showDataLabelsRange val="0"/>
                </c:ext>
              </c:extLst>
            </c:dLbl>
            <c:dLbl>
              <c:idx val="21"/>
              <c:tx>
                <c:strRef>
                  <c:f>'Calculs dispo Données conso'!$AA$163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{B495E4FC-3592-43B1-8DFB-3D9176BBE49A}</c15:txfldGUID>
                      <c15:f>'Calculs dispo Données conso'!$AA$163</c15:f>
                      <c15:dlblFieldTableCache>
                        <c:ptCount val="1"/>
                      </c15:dlblFieldTableCache>
                    </c15:dlblFTEntry>
                  </c15:dlblFieldTable>
                  <c15:showDataLabelsRange val="0"/>
                </c:ext>
              </c:extLst>
            </c:dLbl>
            <c:dLbl>
              <c:idx val="22"/>
              <c:tx>
                <c:strRef>
                  <c:f>'Calculs dispo Données conso'!$AA$164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{F047BA63-38FB-4236-8E25-C50B70E50C60}</c15:txfldGUID>
                      <c15:f>'Calculs dispo Données conso'!$AA$164</c15:f>
                      <c15:dlblFieldTableCache>
                        <c:ptCount val="1"/>
                      </c15:dlblFieldTableCache>
                    </c15:dlblFTEntry>
                  </c15:dlblFieldTable>
                  <c15:showDataLabelsRange val="0"/>
                </c:ext>
              </c:extLst>
            </c:dLbl>
            <c:dLbl>
              <c:idx val="23"/>
              <c:tx>
                <c:strRef>
                  <c:f>'Calculs dispo Données conso'!$AA$165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{547713B9-D4D0-4AFA-B4DA-E67D9C95AF69}</c15:txfldGUID>
                      <c15:f>'Calculs dispo Données conso'!$AA$165</c15:f>
                      <c15:dlblFieldTableCache>
                        <c:ptCount val="1"/>
                      </c15:dlblFieldTableCache>
                    </c15:dlblFTEntry>
                  </c15:dlblFieldTable>
                  <c15:showDataLabelsRange val="0"/>
                </c:ext>
              </c:extLst>
            </c:dLbl>
            <c:dLbl>
              <c:idx val="24"/>
              <c:tx>
                <c:strRef>
                  <c:f>'Calculs dispo Données conso'!$AA$166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{B305D08C-2416-4C7A-8CAB-921CAC8E09EA}</c15:txfldGUID>
                      <c15:f>'Calculs dispo Données conso'!$AA$166</c15:f>
                      <c15:dlblFieldTableCache>
                        <c:ptCount val="1"/>
                      </c15:dlblFieldTableCache>
                    </c15:dlblFTEntry>
                  </c15:dlblFieldTable>
                  <c15:showDataLabelsRange val="0"/>
                </c:ext>
              </c:extLst>
            </c:dLbl>
            <c:dLbl>
              <c:idx val="25"/>
              <c:tx>
                <c:strRef>
                  <c:f>'Calculs dispo Données conso'!$AA$167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{556D8F5C-9D3D-4A59-B4A4-15A30C2A568B}</c15:txfldGUID>
                      <c15:f>'Calculs dispo Données conso'!$AA$167</c15:f>
                      <c15:dlblFieldTableCache>
                        <c:ptCount val="1"/>
                      </c15:dlblFieldTableCache>
                    </c15:dlblFTEntry>
                  </c15:dlblFieldTable>
                  <c15:showDataLabelsRange val="0"/>
                </c:ext>
              </c:extLst>
            </c:dLbl>
            <c:dLbl>
              <c:idx val="26"/>
              <c:tx>
                <c:strRef>
                  <c:f>'Calculs dispo Données conso'!$AA$160</c:f>
                  <c:strCache>
                    <c:ptCount val="1"/>
                    <c:pt idx="0">
                      <c:v>DLU - 1/4/2015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{04624915-6F4A-4DA9-853B-F1A435154299}</c15:txfldGUID>
                      <c15:f>'Calculs dispo Données conso'!$AA$160</c15:f>
                      <c15:dlblFieldTableCache>
                        <c:ptCount val="1"/>
                        <c:pt idx="0">
                          <c:v>ED - 1/4/2015</c:v>
                        </c:pt>
                      </c15:dlblFieldTableCache>
                    </c15:dlblFTEntry>
                  </c15:dlblFieldTable>
                  <c15:showDataLabelsRange val="0"/>
                </c:ext>
              </c:extLst>
            </c:dLbl>
            <c:dLbl>
              <c:idx val="27"/>
              <c:tx>
                <c:strRef>
                  <c:f>'Calculs dispo Données conso'!$AA$163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{21575C5C-7DDD-485B-AC1C-72AE06D3E053}</c15:txfldGUID>
                      <c15:f>'Calculs dispo Données conso'!$AA$163</c15:f>
                      <c15:dlblFieldTableCache>
                        <c:ptCount val="1"/>
                      </c15:dlblFieldTableCache>
                    </c15:dlblFTEntry>
                  </c15:dlblFieldTable>
                  <c15:showDataLabelsRange val="0"/>
                </c:ext>
              </c:extLst>
            </c:dLbl>
            <c:dLbl>
              <c:idx val="28"/>
              <c:tx>
                <c:strRef>
                  <c:f>'Calculs dispo Données conso'!$AA$165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{E3A68068-64BE-4D03-9929-CA317DBCDB19}</c15:txfldGUID>
                      <c15:f>'Calculs dispo Données conso'!$AA$165</c15:f>
                      <c15:dlblFieldTableCache>
                        <c:ptCount val="1"/>
                      </c15:dlblFieldTableCache>
                    </c15:dlblFTEntry>
                  </c15:dlblFieldTable>
                  <c15:showDataLabelsRange val="0"/>
                </c:ext>
              </c:extLst>
            </c:dLbl>
            <c:dLbl>
              <c:idx val="29"/>
              <c:tx>
                <c:strRef>
                  <c:f>'Calculs dispo Données conso'!$AA$161</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{2292662F-1DE5-44B4-BF74-2BB0BECE9D27}</c15:txfldGUID>
                      <c15:f>'Calculs dispo Données conso'!$AA$161</c15:f>
                      <c15:dlblFieldTableCache>
                        <c:ptCount val="1"/>
                        <c:pt idx="0">
                          <c:v>1705B &amp; Consumption =0</c:v>
                        </c:pt>
                      </c15:dlblFieldTableCache>
                    </c15:dlblFTEntry>
                  </c15:dlblFieldTable>
                  <c15:showDataLabelsRange val="0"/>
                </c:ext>
              </c:extLst>
            </c:dLbl>
            <c:dLbl>
              <c:idx val="30"/>
              <c:tx>
                <c:strRef>
                  <c:f>'Calculs dispo Données conso'!$AA$164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{6CAA615F-D3FE-4C00-825D-B4A0CBB7326B}</c15:txfldGUID>
                      <c15:f>'Calculs dispo Données conso'!$AA$164</c15:f>
                      <c15:dlblFieldTableCache>
                        <c:ptCount val="1"/>
                      </c15:dlblFieldTableCache>
                    </c15:dlblFTEntry>
                  </c15:dlblFieldTable>
                  <c15:showDataLabelsRange val="0"/>
                </c:ext>
              </c:extLst>
            </c:dLbl>
            <c:dLbl>
              <c:idx val="31"/>
              <c:tx>
                <c:strRef>
                  <c:f>'Calculs dispo Données conso'!$AA$166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{8CE61356-8627-4338-BEA1-DF94E34CBD6D}</c15:txfldGUID>
                      <c15:f>'Calculs dispo Données conso'!$AA$166</c15:f>
                      <c15:dlblFieldTableCache>
                        <c:ptCount val="1"/>
                      </c15:dlblFieldTableCache>
                    </c15:dlblFTEntry>
                  </c15:dlblFieldTable>
                  <c15:showDataLabelsRange val="0"/>
                </c:ext>
              </c:extLst>
            </c:dLbl>
            <c:dLbl>
              <c:idx val="32"/>
              <c:tx>
                <c:strRef>
                  <c:f>'Calculs dispo Données conso'!$AA$167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{4744CDA3-1F55-42C5-A995-AEE5D1249D0A}</c15:txfldGUID>
                      <c15:f>'Calculs dispo Données conso'!$AA$167</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conso'!$H$142:$H$167</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conso'!$Y$142:$Y$167</c:f>
              <c:numCache>
                <c:formatCode>0.0</c:formatCode>
                <c:ptCount val="26"/>
                <c:pt idx="0">
                  <c:v>0</c:v>
                </c:pt>
                <c:pt idx="1">
                  <c:v>9.5238095238095233E-2</c:v>
                </c:pt>
                <c:pt idx="2">
                  <c:v>3</c:v>
                </c:pt>
                <c:pt idx="3">
                  <c:v>0</c:v>
                </c:pt>
                <c:pt idx="4">
                  <c:v>0</c:v>
                </c:pt>
                <c:pt idx="5">
                  <c:v>0</c:v>
                </c:pt>
                <c:pt idx="6">
                  <c:v>3</c:v>
                </c:pt>
                <c:pt idx="7">
                  <c:v>0</c:v>
                </c:pt>
                <c:pt idx="8">
                  <c:v>0</c:v>
                </c:pt>
                <c:pt idx="9">
                  <c:v>0</c:v>
                </c:pt>
                <c:pt idx="10">
                  <c:v>0</c:v>
                </c:pt>
                <c:pt idx="11">
                  <c:v>0</c:v>
                </c:pt>
                <c:pt idx="12">
                  <c:v>0</c:v>
                </c:pt>
                <c:pt idx="13">
                  <c:v>0</c:v>
                </c:pt>
                <c:pt idx="14">
                  <c:v>0</c:v>
                </c:pt>
                <c:pt idx="15">
                  <c:v>3</c:v>
                </c:pt>
                <c:pt idx="16">
                  <c:v>0</c:v>
                </c:pt>
                <c:pt idx="17">
                  <c:v>3</c:v>
                </c:pt>
                <c:pt idx="18">
                  <c:v>3</c:v>
                </c:pt>
                <c:pt idx="19">
                  <c:v>0</c:v>
                </c:pt>
                <c:pt idx="20">
                  <c:v>0</c:v>
                </c:pt>
                <c:pt idx="21">
                  <c:v>0</c:v>
                </c:pt>
                <c:pt idx="22">
                  <c:v>0</c:v>
                </c:pt>
                <c:pt idx="23">
                  <c:v>0</c:v>
                </c:pt>
                <c:pt idx="24">
                  <c:v>0</c:v>
                </c:pt>
                <c:pt idx="25">
                  <c:v>0</c:v>
                </c:pt>
              </c:numCache>
            </c:numRef>
          </c:val>
        </c:ser>
        <c:dLbls>
          <c:showLegendKey val="0"/>
          <c:showVal val="0"/>
          <c:showCatName val="0"/>
          <c:showSerName val="0"/>
          <c:showPercent val="0"/>
          <c:showBubbleSize val="0"/>
        </c:dLbls>
        <c:gapWidth val="150"/>
        <c:overlap val="100"/>
        <c:axId val="162058240"/>
        <c:axId val="162059776"/>
      </c:barChart>
      <c:catAx>
        <c:axId val="162058240"/>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62059776"/>
        <c:crosses val="autoZero"/>
        <c:auto val="1"/>
        <c:lblAlgn val="ctr"/>
        <c:lblOffset val="100"/>
        <c:tickMarkSkip val="2"/>
        <c:noMultiLvlLbl val="0"/>
      </c:catAx>
      <c:valAx>
        <c:axId val="162059776"/>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1.0676799236099402E-3"/>
              <c:y val="0.11418547681539808"/>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62058240"/>
        <c:crosses val="autoZero"/>
        <c:crossBetween val="between"/>
        <c:majorUnit val="3"/>
      </c:valAx>
      <c:spPr>
        <a:ln>
          <a:solidFill>
            <a:schemeClr val="bg1">
              <a:lumMod val="50000"/>
            </a:schemeClr>
          </a:solidFill>
        </a:ln>
      </c:spPr>
    </c:plotArea>
    <c:legend>
      <c:legendPos val="b"/>
      <c:layout>
        <c:manualLayout>
          <c:xMode val="edge"/>
          <c:yMode val="edge"/>
          <c:x val="0.20911664081575099"/>
          <c:y val="0.94799460484106135"/>
          <c:w val="0.60817185787688022"/>
          <c:h val="3.3486876640419952E-2"/>
        </c:manualLayout>
      </c:layout>
      <c:overlay val="0"/>
      <c:txPr>
        <a:bodyPr/>
        <a:lstStyle/>
        <a:p>
          <a:pPr>
            <a:defRPr lang="fr-FR"/>
          </a:pPr>
          <a:endParaRPr lang="en-US"/>
        </a:p>
      </c:txPr>
    </c:legend>
    <c:plotVisOnly val="1"/>
    <c:dispBlanksAs val="gap"/>
    <c:showDLblsOverMax val="0"/>
  </c:chart>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solidFill>
                <a:sysClr val="windowText" lastClr="000000"/>
              </a:solidFill>
            </a:defRPr>
          </a:pPr>
          <a:endParaRPr lang="en-US"/>
        </a:p>
      </c:txPr>
    </c:title>
    <c:autoTitleDeleted val="0"/>
    <c:plotArea>
      <c:layout>
        <c:manualLayout>
          <c:layoutTarget val="inner"/>
          <c:xMode val="edge"/>
          <c:yMode val="edge"/>
          <c:x val="0.20683442818235862"/>
          <c:y val="0.18332195975503071"/>
          <c:w val="0.67526381539725067"/>
          <c:h val="0.7600952172645522"/>
        </c:manualLayout>
      </c:layout>
      <c:barChart>
        <c:barDir val="bar"/>
        <c:grouping val="stacked"/>
        <c:varyColors val="0"/>
        <c:ser>
          <c:idx val="0"/>
          <c:order val="0"/>
          <c:tx>
            <c:strRef>
              <c:f>'Calculs dispo Données conso'!$X$126</c:f>
              <c:strCache>
                <c:ptCount val="1"/>
                <c:pt idx="0">
                  <c:v>Nombre de mois de disponibilité de produits hors ST</c:v>
                </c:pt>
              </c:strCache>
            </c:strRef>
          </c:tx>
          <c:spPr>
            <a:solidFill>
              <a:srgbClr val="4F81BD"/>
            </a:solidFill>
            <a:ln w="9525"/>
          </c:spPr>
          <c:invertIfNegative val="1"/>
          <c:cat>
            <c:strRef>
              <c:f>'Calculs dispo Données conso'!$H$142:$H$167</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conso'!$X$142:$X$167</c:f>
              <c:numCache>
                <c:formatCode>0.0</c:formatCode>
                <c:ptCount val="26"/>
                <c:pt idx="0">
                  <c:v>0</c:v>
                </c:pt>
                <c:pt idx="1">
                  <c:v>-2.9047619047619047</c:v>
                </c:pt>
                <c:pt idx="2">
                  <c:v>4.7885521885521882</c:v>
                </c:pt>
                <c:pt idx="3">
                  <c:v>0</c:v>
                </c:pt>
                <c:pt idx="4">
                  <c:v>0</c:v>
                </c:pt>
                <c:pt idx="5">
                  <c:v>0</c:v>
                </c:pt>
                <c:pt idx="6">
                  <c:v>0.84657534246571231</c:v>
                </c:pt>
                <c:pt idx="7">
                  <c:v>0</c:v>
                </c:pt>
                <c:pt idx="8">
                  <c:v>0</c:v>
                </c:pt>
                <c:pt idx="9">
                  <c:v>0</c:v>
                </c:pt>
                <c:pt idx="10">
                  <c:v>0</c:v>
                </c:pt>
                <c:pt idx="11">
                  <c:v>0</c:v>
                </c:pt>
                <c:pt idx="12">
                  <c:v>0</c:v>
                </c:pt>
                <c:pt idx="13">
                  <c:v>0</c:v>
                </c:pt>
                <c:pt idx="14">
                  <c:v>0</c:v>
                </c:pt>
                <c:pt idx="15">
                  <c:v>6.7972602739726042</c:v>
                </c:pt>
                <c:pt idx="16">
                  <c:v>0</c:v>
                </c:pt>
                <c:pt idx="17">
                  <c:v>4.0754716981132075</c:v>
                </c:pt>
                <c:pt idx="18">
                  <c:v>2.7863013698630139</c:v>
                </c:pt>
                <c:pt idx="19">
                  <c:v>0</c:v>
                </c:pt>
                <c:pt idx="20">
                  <c:v>0</c:v>
                </c:pt>
                <c:pt idx="21">
                  <c:v>0</c:v>
                </c:pt>
                <c:pt idx="22">
                  <c:v>0</c:v>
                </c:pt>
                <c:pt idx="23">
                  <c:v>0</c:v>
                </c:pt>
                <c:pt idx="24">
                  <c:v>0</c:v>
                </c:pt>
                <c:pt idx="25">
                  <c:v>0</c:v>
                </c:pt>
              </c:numCache>
            </c:numRef>
          </c:val>
          <c:extLst>
            <c:ext xmlns:c14="http://schemas.microsoft.com/office/drawing/2007/8/2/chart" uri="{6F2FDCE9-48DA-4B69-8628-5D25D57E5C99}">
              <c14:invertSolidFillFmt>
                <c14:spPr xmlns:c14="http://schemas.microsoft.com/office/drawing/2007/8/2/chart">
                  <a:solidFill>
                    <a:srgbClr val="FFFFFF"/>
                  </a:solidFill>
                  <a:ln w="9525"/>
                </c14:spPr>
              </c14:invertSolidFillFmt>
            </c:ext>
          </c:extLst>
        </c:ser>
        <c:ser>
          <c:idx val="1"/>
          <c:order val="1"/>
          <c:tx>
            <c:strRef>
              <c:f>'Calculs dispo Données conso'!$Y$126</c:f>
              <c:strCache>
                <c:ptCount val="1"/>
                <c:pt idx="0">
                  <c:v>Nombre de mois de stock tampon (ST - max 3 mois)</c:v>
                </c:pt>
              </c:strCache>
            </c:strRef>
          </c:tx>
          <c:invertIfNegative val="0"/>
          <c:cat>
            <c:strRef>
              <c:f>'Calculs dispo Données conso'!$H$142:$H$167</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conso'!$Y$142:$Y$167</c:f>
              <c:numCache>
                <c:formatCode>0.0</c:formatCode>
                <c:ptCount val="26"/>
                <c:pt idx="0">
                  <c:v>0</c:v>
                </c:pt>
                <c:pt idx="1">
                  <c:v>9.5238095238095233E-2</c:v>
                </c:pt>
                <c:pt idx="2">
                  <c:v>3</c:v>
                </c:pt>
                <c:pt idx="3">
                  <c:v>0</c:v>
                </c:pt>
                <c:pt idx="4">
                  <c:v>0</c:v>
                </c:pt>
                <c:pt idx="5">
                  <c:v>0</c:v>
                </c:pt>
                <c:pt idx="6">
                  <c:v>3</c:v>
                </c:pt>
                <c:pt idx="7">
                  <c:v>0</c:v>
                </c:pt>
                <c:pt idx="8">
                  <c:v>0</c:v>
                </c:pt>
                <c:pt idx="9">
                  <c:v>0</c:v>
                </c:pt>
                <c:pt idx="10">
                  <c:v>0</c:v>
                </c:pt>
                <c:pt idx="11">
                  <c:v>0</c:v>
                </c:pt>
                <c:pt idx="12">
                  <c:v>0</c:v>
                </c:pt>
                <c:pt idx="13">
                  <c:v>0</c:v>
                </c:pt>
                <c:pt idx="14">
                  <c:v>0</c:v>
                </c:pt>
                <c:pt idx="15">
                  <c:v>3</c:v>
                </c:pt>
                <c:pt idx="16">
                  <c:v>0</c:v>
                </c:pt>
                <c:pt idx="17">
                  <c:v>3</c:v>
                </c:pt>
                <c:pt idx="18">
                  <c:v>3</c:v>
                </c:pt>
                <c:pt idx="19">
                  <c:v>0</c:v>
                </c:pt>
                <c:pt idx="20">
                  <c:v>0</c:v>
                </c:pt>
                <c:pt idx="21">
                  <c:v>0</c:v>
                </c:pt>
                <c:pt idx="22">
                  <c:v>0</c:v>
                </c:pt>
                <c:pt idx="23">
                  <c:v>0</c:v>
                </c:pt>
                <c:pt idx="24">
                  <c:v>0</c:v>
                </c:pt>
                <c:pt idx="25">
                  <c:v>0</c:v>
                </c:pt>
              </c:numCache>
            </c:numRef>
          </c:val>
        </c:ser>
        <c:ser>
          <c:idx val="3"/>
          <c:order val="2"/>
          <c:tx>
            <c:strRef>
              <c:f>'Calculs dispo Données conso'!$AJ$183</c:f>
              <c:strCache>
                <c:ptCount val="1"/>
                <c:pt idx="0">
                  <c:v>Delta Dispo/date de réception attendue</c:v>
                </c:pt>
              </c:strCache>
            </c:strRef>
          </c:tx>
          <c:spPr>
            <a:noFill/>
            <a:ln w="9525">
              <a:solidFill>
                <a:srgbClr val="FF0000"/>
              </a:solidFill>
              <a:prstDash val="sysDash"/>
            </a:ln>
          </c:spPr>
          <c:invertIfNegative val="0"/>
          <c:val>
            <c:numRef>
              <c:f>'Calculs dispo Données conso'!$AJ$199:$AJ$224</c:f>
              <c:numCache>
                <c:formatCode>0.00</c:formatCode>
                <c:ptCount val="26"/>
                <c:pt idx="0">
                  <c:v>0</c:v>
                </c:pt>
                <c:pt idx="1">
                  <c:v>0.73677248677243667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ser>
          <c:idx val="2"/>
          <c:order val="3"/>
          <c:tx>
            <c:strRef>
              <c:f>'Calculs dispo Données conso'!$AO$183</c:f>
              <c:strCache>
                <c:ptCount val="1"/>
                <c:pt idx="0">
                  <c:v>Nb de mois de stock / commande attendue</c:v>
                </c:pt>
              </c:strCache>
            </c:strRef>
          </c:tx>
          <c:invertIfNegative val="0"/>
          <c:dLbls>
            <c:dLbl>
              <c:idx val="0"/>
              <c:tx>
                <c:strRef>
                  <c:f>'Calculs dispo Données conso'!$AM$199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{1DB84B42-A5E1-49F9-8C31-40DEA9F20A2C}</c15:txfldGUID>
                      <c15:f>'Calculs dispo Données conso'!$AM$199</c15:f>
                      <c15:dlblFieldTableCache>
                        <c:ptCount val="1"/>
                      </c15:dlblFieldTableCache>
                    </c15:dlblFTEntry>
                  </c15:dlblFieldTable>
                  <c15:showDataLabelsRange val="0"/>
                </c:ext>
              </c:extLst>
            </c:dLbl>
            <c:dLbl>
              <c:idx val="1"/>
              <c:tx>
                <c:strRef>
                  <c:f>'Calculs dispo Données conso'!$AM$200</c:f>
                  <c:strCache>
                    <c:ptCount val="1"/>
                    <c:pt idx="0">
                      <c:v>06/04/2015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{71EEAEB0-EB68-4AC7-9D29-7E9A3F2EAEF1}</c15:txfldGUID>
                      <c15:f>'Calculs dispo Données conso'!$AM$200</c15:f>
                      <c15:dlblFieldTableCache>
                        <c:ptCount val="1"/>
                        <c:pt idx="0">
                          <c:v>06/04/2015</c:v>
                        </c:pt>
                      </c15:dlblFieldTableCache>
                    </c15:dlblFTEntry>
                  </c15:dlblFieldTable>
                  <c15:showDataLabelsRange val="0"/>
                </c:ext>
              </c:extLst>
            </c:dLbl>
            <c:dLbl>
              <c:idx val="2"/>
              <c:tx>
                <c:strRef>
                  <c:f>'Calculs dispo Données conso'!$AM$201</c:f>
                  <c:strCache>
                    <c:ptCount val="1"/>
                    <c:pt idx="0">
                      <c:v>31/05/2015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{70297D4A-C8BC-4C0C-9531-C278F84AA4CA}</c15:txfldGUID>
                      <c15:f>'Calculs dispo Données conso'!$AM$201</c15:f>
                      <c15:dlblFieldTableCache>
                        <c:ptCount val="1"/>
                        <c:pt idx="0">
                          <c:v>31/05/2015</c:v>
                        </c:pt>
                      </c15:dlblFieldTableCache>
                    </c15:dlblFTEntry>
                  </c15:dlblFieldTable>
                  <c15:showDataLabelsRange val="0"/>
                </c:ext>
              </c:extLst>
            </c:dLbl>
            <c:dLbl>
              <c:idx val="3"/>
              <c:tx>
                <c:strRef>
                  <c:f>'Calculs dispo Données conso'!$AM$202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{C80F0780-D529-4ADC-83B6-32D9804CB260}</c15:txfldGUID>
                      <c15:f>'Calculs dispo Données conso'!$AM$202</c15:f>
                      <c15:dlblFieldTableCache>
                        <c:ptCount val="1"/>
                      </c15:dlblFieldTableCache>
                    </c15:dlblFTEntry>
                  </c15:dlblFieldTable>
                  <c15:showDataLabelsRange val="0"/>
                </c:ext>
              </c:extLst>
            </c:dLbl>
            <c:dLbl>
              <c:idx val="4"/>
              <c:tx>
                <c:strRef>
                  <c:f>'Calculs dispo Données conso'!$AM$203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{AE33A975-7B7D-4F87-B8F2-4FFE089C48F0}</c15:txfldGUID>
                      <c15:f>'Calculs dispo Données conso'!$AM$203</c15:f>
                      <c15:dlblFieldTableCache>
                        <c:ptCount val="1"/>
                      </c15:dlblFieldTableCache>
                    </c15:dlblFTEntry>
                  </c15:dlblFieldTable>
                  <c15:showDataLabelsRange val="0"/>
                </c:ext>
              </c:extLst>
            </c:dLbl>
            <c:dLbl>
              <c:idx val="5"/>
              <c:tx>
                <c:strRef>
                  <c:f>'Calculs dispo Données conso'!$AM$204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{9FAC51CE-DEDA-4CBC-9A5C-9CD0CBCE6CFE}</c15:txfldGUID>
                      <c15:f>'Calculs dispo Données conso'!$AM$204</c15:f>
                      <c15:dlblFieldTableCache>
                        <c:ptCount val="1"/>
                      </c15:dlblFieldTableCache>
                    </c15:dlblFTEntry>
                  </c15:dlblFieldTable>
                  <c15:showDataLabelsRange val="0"/>
                </c:ext>
              </c:extLst>
            </c:dLbl>
            <c:dLbl>
              <c:idx val="6"/>
              <c:tx>
                <c:strRef>
                  <c:f>'Calculs dispo Données conso'!$AM$205</c:f>
                  <c:strCache>
                    <c:ptCount val="1"/>
                    <c:pt idx="0">
                      <c:v>DLU - 1/2/2015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{E0B45D40-B841-4831-9112-25A3AC3677A8}</c15:txfldGUID>
                      <c15:f>'Calculs dispo Données conso'!$AM$205</c15:f>
                      <c15:dlblFieldTableCache>
                        <c:ptCount val="1"/>
                        <c:pt idx="0">
                          <c:v>ED - 1/2/2015</c:v>
                        </c:pt>
                      </c15:dlblFieldTableCache>
                    </c15:dlblFTEntry>
                  </c15:dlblFieldTable>
                  <c15:showDataLabelsRange val="0"/>
                </c:ext>
              </c:extLst>
            </c:dLbl>
            <c:dLbl>
              <c:idx val="7"/>
              <c:tx>
                <c:strRef>
                  <c:f>'Calculs dispo Données conso'!$AM$206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{2E3EEA1A-AADB-4F51-902B-C5BD3CBA7FC5}</c15:txfldGUID>
                      <c15:f>'Calculs dispo Données conso'!$AM$206</c15:f>
                      <c15:dlblFieldTableCache>
                        <c:ptCount val="1"/>
                      </c15:dlblFieldTableCache>
                    </c15:dlblFTEntry>
                  </c15:dlblFieldTable>
                  <c15:showDataLabelsRange val="0"/>
                </c:ext>
              </c:extLst>
            </c:dLbl>
            <c:dLbl>
              <c:idx val="8"/>
              <c:tx>
                <c:strRef>
                  <c:f>'Calculs dispo Données conso'!$AM$207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{05E5CABF-9074-41F0-9652-87DB17FDC6FA}</c15:txfldGUID>
                      <c15:f>'Calculs dispo Données conso'!$AM$207</c15:f>
                      <c15:dlblFieldTableCache>
                        <c:ptCount val="1"/>
                      </c15:dlblFieldTableCache>
                    </c15:dlblFTEntry>
                  </c15:dlblFieldTable>
                  <c15:showDataLabelsRange val="0"/>
                </c:ext>
              </c:extLst>
            </c:dLbl>
            <c:dLbl>
              <c:idx val="9"/>
              <c:tx>
                <c:strRef>
                  <c:f>'Calculs dispo Données conso'!$AM$208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{F9ED6D9B-D61E-4AA2-AAA4-E3892E3C18B1}</c15:txfldGUID>
                      <c15:f>'Calculs dispo Données conso'!$AM$208</c15:f>
                      <c15:dlblFieldTableCache>
                        <c:ptCount val="1"/>
                      </c15:dlblFieldTableCache>
                    </c15:dlblFTEntry>
                  </c15:dlblFieldTable>
                  <c15:showDataLabelsRange val="0"/>
                </c:ext>
              </c:extLst>
            </c:dLbl>
            <c:dLbl>
              <c:idx val="10"/>
              <c:tx>
                <c:strRef>
                  <c:f>'Calculs dispo Données conso'!$AM$209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{4A01D49D-A546-4BC8-BA45-4EF422DD6BBC}</c15:txfldGUID>
                      <c15:f>'Calculs dispo Données conso'!$AM$209</c15:f>
                      <c15:dlblFieldTableCache>
                        <c:ptCount val="1"/>
                      </c15:dlblFieldTableCache>
                    </c15:dlblFTEntry>
                  </c15:dlblFieldTable>
                  <c15:showDataLabelsRange val="0"/>
                </c:ext>
              </c:extLst>
            </c:dLbl>
            <c:dLbl>
              <c:idx val="11"/>
              <c:tx>
                <c:strRef>
                  <c:f>'Calculs dispo Données conso'!$AM$210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{97E94607-E50E-44E9-97CB-9183695A34D2}</c15:txfldGUID>
                      <c15:f>'Calculs dispo Données conso'!$AM$210</c15:f>
                      <c15:dlblFieldTableCache>
                        <c:ptCount val="1"/>
                      </c15:dlblFieldTableCache>
                    </c15:dlblFTEntry>
                  </c15:dlblFieldTable>
                  <c15:showDataLabelsRange val="0"/>
                </c:ext>
              </c:extLst>
            </c:dLbl>
            <c:dLbl>
              <c:idx val="12"/>
              <c:tx>
                <c:strRef>
                  <c:f>'Calculs dispo Données conso'!$AM$211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{10958A6D-FD64-4597-B045-4411D23F9553}</c15:txfldGUID>
                      <c15:f>'Calculs dispo Données conso'!$AM$211</c15:f>
                      <c15:dlblFieldTableCache>
                        <c:ptCount val="1"/>
                      </c15:dlblFieldTableCache>
                    </c15:dlblFTEntry>
                  </c15:dlblFieldTable>
                  <c15:showDataLabelsRange val="0"/>
                </c:ext>
              </c:extLst>
            </c:dLbl>
            <c:dLbl>
              <c:idx val="13"/>
              <c:tx>
                <c:strRef>
                  <c:f>'Calculs dispo Données conso'!$AM$212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{2204C3D9-16F4-42AA-B970-9D9BD4F36F1A}</c15:txfldGUID>
                      <c15:f>'Calculs dispo Données conso'!$AM$212</c15:f>
                      <c15:dlblFieldTableCache>
                        <c:ptCount val="1"/>
                      </c15:dlblFieldTableCache>
                    </c15:dlblFTEntry>
                  </c15:dlblFieldTable>
                  <c15:showDataLabelsRange val="0"/>
                </c:ext>
              </c:extLst>
            </c:dLbl>
            <c:dLbl>
              <c:idx val="14"/>
              <c:tx>
                <c:strRef>
                  <c:f>'Calculs dispo Données conso'!$AM$213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{CCCAD6E8-699C-4BDD-9295-EBE605B8E1FF}</c15:txfldGUID>
                      <c15:f>'Calculs dispo Données conso'!$AM$213</c15:f>
                      <c15:dlblFieldTableCache>
                        <c:ptCount val="1"/>
                      </c15:dlblFieldTableCache>
                    </c15:dlblFTEntry>
                  </c15:dlblFieldTable>
                  <c15:showDataLabelsRange val="0"/>
                </c:ext>
              </c:extLst>
            </c:dLbl>
            <c:dLbl>
              <c:idx val="15"/>
              <c:tx>
                <c:strRef>
                  <c:f>'Calculs dispo Données conso'!$AM$214</c:f>
                  <c:strCache>
                    <c:ptCount val="1"/>
                    <c:pt idx="0">
                      <c:v>DLU - 1/8/2015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{CFB5C8EC-F217-49C3-A952-225CC4B2C3CE}</c15:txfldGUID>
                      <c15:f>'Calculs dispo Données conso'!$AM$214</c15:f>
                      <c15:dlblFieldTableCache>
                        <c:ptCount val="1"/>
                        <c:pt idx="0">
                          <c:v>ED - 1/8/2015</c:v>
                        </c:pt>
                      </c15:dlblFieldTableCache>
                    </c15:dlblFTEntry>
                  </c15:dlblFieldTable>
                  <c15:showDataLabelsRange val="0"/>
                </c:ext>
              </c:extLst>
            </c:dLbl>
            <c:dLbl>
              <c:idx val="16"/>
              <c:tx>
                <c:strRef>
                  <c:f>'Calculs dispo Données conso'!$AM$215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{9AA28F0F-5BF2-4AAD-B6D3-892C06F50771}</c15:txfldGUID>
                      <c15:f>'Calculs dispo Données conso'!$AM$215</c15:f>
                      <c15:dlblFieldTableCache>
                        <c:ptCount val="1"/>
                      </c15:dlblFieldTableCache>
                    </c15:dlblFTEntry>
                  </c15:dlblFieldTable>
                  <c15:showDataLabelsRange val="0"/>
                </c:ext>
              </c:extLst>
            </c:dLbl>
            <c:dLbl>
              <c:idx val="17"/>
              <c:tx>
                <c:strRef>
                  <c:f>'Calculs dispo Données conso'!$AM$216</c:f>
                  <c:strCache>
                    <c:ptCount val="1"/>
                    <c:pt idx="0">
                      <c:v>10/05/2015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{142DF7D9-2BCB-42A5-A4A9-E7F8012C41C8}</c15:txfldGUID>
                      <c15:f>'Calculs dispo Données conso'!$AM$216</c15:f>
                      <c15:dlblFieldTableCache>
                        <c:ptCount val="1"/>
                        <c:pt idx="0">
                          <c:v>10/05/2015</c:v>
                        </c:pt>
                      </c15:dlblFieldTableCache>
                    </c15:dlblFTEntry>
                  </c15:dlblFieldTable>
                  <c15:showDataLabelsRange val="0"/>
                </c:ext>
              </c:extLst>
            </c:dLbl>
            <c:dLbl>
              <c:idx val="18"/>
              <c:tx>
                <c:strRef>
                  <c:f>'Calculs dispo Données conso'!$AM$217</c:f>
                  <c:strCache>
                    <c:ptCount val="1"/>
                    <c:pt idx="0">
                      <c:v>DLU - 1/4/2015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{A03F0B14-84D0-43C8-A7C8-7A965B86A45E}</c15:txfldGUID>
                      <c15:f>'Calculs dispo Données conso'!$AM$217</c15:f>
                      <c15:dlblFieldTableCache>
                        <c:ptCount val="1"/>
                        <c:pt idx="0">
                          <c:v>ED - 1/4/2015</c:v>
                        </c:pt>
                      </c15:dlblFieldTableCache>
                    </c15:dlblFTEntry>
                  </c15:dlblFieldTable>
                  <c15:showDataLabelsRange val="0"/>
                </c:ext>
              </c:extLst>
            </c:dLbl>
            <c:dLbl>
              <c:idx val="19"/>
              <c:tx>
                <c:strRef>
                  <c:f>'Calculs dispo Données conso'!$AM$218</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{F1E875E4-623C-47E3-9D19-F84E6149F4D9}</c15:txfldGUID>
                      <c15:f>'Calculs dispo Données conso'!$AM$218</c15:f>
                      <c15:dlblFieldTableCache>
                        <c:ptCount val="1"/>
                        <c:pt idx="0">
                          <c:v>1705B &amp; Consumption =0</c:v>
                        </c:pt>
                      </c15:dlblFieldTableCache>
                    </c15:dlblFTEntry>
                  </c15:dlblFieldTable>
                  <c15:showDataLabelsRange val="0"/>
                </c:ext>
              </c:extLst>
            </c:dLbl>
            <c:dLbl>
              <c:idx val="20"/>
              <c:tx>
                <c:strRef>
                  <c:f>'Calculs dispo Données conso'!$AM$219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{CCC28F74-F57D-4366-88BB-73239584AEEA}</c15:txfldGUID>
                      <c15:f>'Calculs dispo Données conso'!$AM$219</c15:f>
                      <c15:dlblFieldTableCache>
                        <c:ptCount val="1"/>
                      </c15:dlblFieldTableCache>
                    </c15:dlblFTEntry>
                  </c15:dlblFieldTable>
                  <c15:showDataLabelsRange val="0"/>
                </c:ext>
              </c:extLst>
            </c:dLbl>
            <c:dLbl>
              <c:idx val="21"/>
              <c:tx>
                <c:strRef>
                  <c:f>'Calculs dispo Données conso'!$AM$220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{42F31272-2D7A-4011-9CE3-5A01143449A6}</c15:txfldGUID>
                      <c15:f>'Calculs dispo Données conso'!$AM$220</c15:f>
                      <c15:dlblFieldTableCache>
                        <c:ptCount val="1"/>
                      </c15:dlblFieldTableCache>
                    </c15:dlblFTEntry>
                  </c15:dlblFieldTable>
                  <c15:showDataLabelsRange val="0"/>
                </c:ext>
              </c:extLst>
            </c:dLbl>
            <c:dLbl>
              <c:idx val="22"/>
              <c:tx>
                <c:strRef>
                  <c:f>'Calculs dispo Données conso'!$AM$221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{35F52CE4-6198-4271-913D-ABAB21BC748B}</c15:txfldGUID>
                      <c15:f>'Calculs dispo Données conso'!$AM$221</c15:f>
                      <c15:dlblFieldTableCache>
                        <c:ptCount val="1"/>
                      </c15:dlblFieldTableCache>
                    </c15:dlblFTEntry>
                  </c15:dlblFieldTable>
                  <c15:showDataLabelsRange val="0"/>
                </c:ext>
              </c:extLst>
            </c:dLbl>
            <c:dLbl>
              <c:idx val="23"/>
              <c:tx>
                <c:strRef>
                  <c:f>'Calculs dispo Données conso'!$AM$222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{825C7908-C0B0-4BC0-85EE-38464F2C2E1A}</c15:txfldGUID>
                      <c15:f>'Calculs dispo Données conso'!$AM$222</c15:f>
                      <c15:dlblFieldTableCache>
                        <c:ptCount val="1"/>
                      </c15:dlblFieldTableCache>
                    </c15:dlblFTEntry>
                  </c15:dlblFieldTable>
                  <c15:showDataLabelsRange val="0"/>
                </c:ext>
              </c:extLst>
            </c:dLbl>
            <c:dLbl>
              <c:idx val="24"/>
              <c:tx>
                <c:strRef>
                  <c:f>'Calculs dispo Données conso'!$AM$223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{84B59BDC-AB8F-411B-B9BF-141C84E8166A}</c15:txfldGUID>
                      <c15:f>'Calculs dispo Données conso'!$AM$223</c15:f>
                      <c15:dlblFieldTableCache>
                        <c:ptCount val="1"/>
                      </c15:dlblFieldTableCache>
                    </c15:dlblFTEntry>
                  </c15:dlblFieldTable>
                  <c15:showDataLabelsRange val="0"/>
                </c:ext>
              </c:extLst>
            </c:dLbl>
            <c:dLbl>
              <c:idx val="25"/>
              <c:tx>
                <c:strRef>
                  <c:f>'Calculs dispo Données conso'!$AM$224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{03E71336-9719-42FE-B165-689EA6388707}</c15:txfldGUID>
                      <c15:f>'Calculs dispo Données conso'!$AM$224</c15:f>
                      <c15:dlblFieldTableCache>
                        <c:ptCount val="1"/>
                      </c15:dlblFieldTableCache>
                    </c15:dlblFTEntry>
                  </c15:dlblFieldTable>
                  <c15:showDataLabelsRange val="0"/>
                </c:ext>
              </c:extLst>
            </c:dLbl>
            <c:dLbl>
              <c:idx val="26"/>
              <c:tx>
                <c:strRef>
                  <c:f>'Calculs dispo Données conso'!$AM$217</c:f>
                  <c:strCache>
                    <c:ptCount val="1"/>
                    <c:pt idx="0">
                      <c:v>DLU - 1/4/2015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{4910CC56-A5EC-4E4A-9F8C-413D78D6E52C}</c15:txfldGUID>
                      <c15:f>'Calculs dispo Données conso'!$AM$217</c15:f>
                      <c15:dlblFieldTableCache>
                        <c:ptCount val="1"/>
                        <c:pt idx="0">
                          <c:v>ED - 1/4/2015</c:v>
                        </c:pt>
                      </c15:dlblFieldTableCache>
                    </c15:dlblFTEntry>
                  </c15:dlblFieldTable>
                  <c15:showDataLabelsRange val="0"/>
                </c:ext>
              </c:extLst>
            </c:dLbl>
            <c:dLbl>
              <c:idx val="27"/>
              <c:tx>
                <c:strRef>
                  <c:f>'Calculs dispo Données conso'!$AM$220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{3F0156A9-FB15-4AEF-96FB-0AFBC72F8CF0}</c15:txfldGUID>
                      <c15:f>'Calculs dispo Données conso'!$AM$220</c15:f>
                      <c15:dlblFieldTableCache>
                        <c:ptCount val="1"/>
                      </c15:dlblFieldTableCache>
                    </c15:dlblFTEntry>
                  </c15:dlblFieldTable>
                  <c15:showDataLabelsRange val="0"/>
                </c:ext>
              </c:extLst>
            </c:dLbl>
            <c:dLbl>
              <c:idx val="28"/>
              <c:tx>
                <c:strRef>
                  <c:f>'Calculs dispo Données conso'!$AM$222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{71A82554-0E18-48A2-A3B2-AD814B3F915D}</c15:txfldGUID>
                      <c15:f>'Calculs dispo Données conso'!$AM$222</c15:f>
                      <c15:dlblFieldTableCache>
                        <c:ptCount val="1"/>
                      </c15:dlblFieldTableCache>
                    </c15:dlblFTEntry>
                  </c15:dlblFieldTable>
                  <c15:showDataLabelsRange val="0"/>
                </c:ext>
              </c:extLst>
            </c:dLbl>
            <c:dLbl>
              <c:idx val="29"/>
              <c:tx>
                <c:strRef>
                  <c:f>'Calculs dispo Données conso'!$AM$218</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{26C26EDF-5503-4DFD-852F-ACB40BF9B868}</c15:txfldGUID>
                      <c15:f>'Calculs dispo Données conso'!$AM$218</c15:f>
                      <c15:dlblFieldTableCache>
                        <c:ptCount val="1"/>
                        <c:pt idx="0">
                          <c:v>1705B &amp; Consumption =0</c:v>
                        </c:pt>
                      </c15:dlblFieldTableCache>
                    </c15:dlblFTEntry>
                  </c15:dlblFieldTable>
                  <c15:showDataLabelsRange val="0"/>
                </c:ext>
              </c:extLst>
            </c:dLbl>
            <c:dLbl>
              <c:idx val="30"/>
              <c:tx>
                <c:strRef>
                  <c:f>'Calculs dispo Données conso'!$AM$221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{7666133C-53B8-4ED8-B350-B830FA41D8D2}</c15:txfldGUID>
                      <c15:f>'Calculs dispo Données conso'!$AM$221</c15:f>
                      <c15:dlblFieldTableCache>
                        <c:ptCount val="1"/>
                      </c15:dlblFieldTableCache>
                    </c15:dlblFTEntry>
                  </c15:dlblFieldTable>
                  <c15:showDataLabelsRange val="0"/>
                </c:ext>
              </c:extLst>
            </c:dLbl>
            <c:dLbl>
              <c:idx val="31"/>
              <c:tx>
                <c:strRef>
                  <c:f>'Calculs dispo Données conso'!$AM$223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{537B7F92-E4DD-485D-A896-63854F6EC613}</c15:txfldGUID>
                      <c15:f>'Calculs dispo Données conso'!$AM$223</c15:f>
                      <c15:dlblFieldTableCache>
                        <c:ptCount val="1"/>
                      </c15:dlblFieldTableCache>
                    </c15:dlblFTEntry>
                  </c15:dlblFieldTable>
                  <c15:showDataLabelsRange val="0"/>
                </c:ext>
              </c:extLst>
            </c:dLbl>
            <c:dLbl>
              <c:idx val="32"/>
              <c:tx>
                <c:strRef>
                  <c:f>'Calculs dispo Données conso'!$AM$224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{094C2101-563C-4E41-B058-136CB554123A}</c15:txfldGUID>
                      <c15:f>'Calculs dispo Données conso'!$AM$224</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conso'!$H$199:$H$224</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conso'!$AO$199:$AO$224</c:f>
              <c:numCache>
                <c:formatCode>0.0</c:formatCode>
                <c:ptCount val="26"/>
                <c:pt idx="0">
                  <c:v>0</c:v>
                </c:pt>
                <c:pt idx="1">
                  <c:v>5.1428571428571432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dLbls>
          <c:showLegendKey val="0"/>
          <c:showVal val="0"/>
          <c:showCatName val="0"/>
          <c:showSerName val="0"/>
          <c:showPercent val="0"/>
          <c:showBubbleSize val="0"/>
        </c:dLbls>
        <c:gapWidth val="150"/>
        <c:overlap val="100"/>
        <c:axId val="163394688"/>
        <c:axId val="163396224"/>
      </c:barChart>
      <c:catAx>
        <c:axId val="163394688"/>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63396224"/>
        <c:crosses val="autoZero"/>
        <c:auto val="1"/>
        <c:lblAlgn val="ctr"/>
        <c:lblOffset val="100"/>
        <c:tickMarkSkip val="2"/>
        <c:noMultiLvlLbl val="0"/>
      </c:catAx>
      <c:valAx>
        <c:axId val="163396224"/>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1.0676799236099402E-3"/>
              <c:y val="0.11603732866724993"/>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low"/>
        <c:txPr>
          <a:bodyPr/>
          <a:lstStyle/>
          <a:p>
            <a:pPr>
              <a:defRPr lang="fr-FR" b="1"/>
            </a:pPr>
            <a:endParaRPr lang="en-US"/>
          </a:p>
        </c:txPr>
        <c:crossAx val="163394688"/>
        <c:crosses val="autoZero"/>
        <c:crossBetween val="between"/>
        <c:majorUnit val="3"/>
      </c:valAx>
      <c:spPr>
        <a:ln>
          <a:solidFill>
            <a:schemeClr val="bg1">
              <a:lumMod val="50000"/>
            </a:schemeClr>
          </a:solidFill>
        </a:ln>
      </c:spPr>
    </c:plotArea>
    <c:legend>
      <c:legendPos val="b"/>
      <c:layout>
        <c:manualLayout>
          <c:xMode val="edge"/>
          <c:yMode val="edge"/>
          <c:x val="6.8434621921084196E-2"/>
          <c:y val="0.95540201224848631"/>
          <c:w val="0.91576381416036479"/>
          <c:h val="4.4597987751533001E-2"/>
        </c:manualLayout>
      </c:layout>
      <c:overlay val="0"/>
      <c:txPr>
        <a:bodyPr/>
        <a:lstStyle/>
        <a:p>
          <a:pPr>
            <a:defRPr lang="fr-FR"/>
          </a:pPr>
          <a:endParaRPr lang="en-US"/>
        </a:p>
      </c:txPr>
    </c:legend>
    <c:plotVisOnly val="1"/>
    <c:dispBlanksAs val="gap"/>
    <c:showDLblsOverMax val="0"/>
  </c:chart>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solidFill>
                <a:sysClr val="windowText" lastClr="000000"/>
              </a:solidFill>
            </a:defRPr>
          </a:pPr>
          <a:endParaRPr lang="en-US"/>
        </a:p>
      </c:txPr>
    </c:title>
    <c:autoTitleDeleted val="0"/>
    <c:plotArea>
      <c:layout>
        <c:manualLayout>
          <c:layoutTarget val="inner"/>
          <c:xMode val="edge"/>
          <c:yMode val="edge"/>
          <c:x val="0.14148728110212264"/>
          <c:y val="0.18332195975503071"/>
          <c:w val="0.70919406987415912"/>
          <c:h val="0.7600952172645512"/>
        </c:manualLayout>
      </c:layout>
      <c:barChart>
        <c:barDir val="bar"/>
        <c:grouping val="stacked"/>
        <c:varyColors val="0"/>
        <c:ser>
          <c:idx val="0"/>
          <c:order val="0"/>
          <c:tx>
            <c:strRef>
              <c:f>'Calculs dispo Données FA'!$X$166</c:f>
              <c:strCache>
                <c:ptCount val="1"/>
                <c:pt idx="0">
                  <c:v>Nombre de mois de disponibilité de produits hors ST</c:v>
                </c:pt>
              </c:strCache>
            </c:strRef>
          </c:tx>
          <c:spPr>
            <a:solidFill>
              <a:srgbClr val="4F81BD"/>
            </a:solidFill>
          </c:spPr>
          <c:invertIfNegative val="1"/>
          <c:cat>
            <c:strRef>
              <c:f>'Calculs dispo Données FA'!$H$167:$H$174</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FA'!$X$167:$X$174</c:f>
              <c:numCache>
                <c:formatCode>0.0</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FA'!$Y$166</c:f>
              <c:strCache>
                <c:ptCount val="1"/>
                <c:pt idx="0">
                  <c:v>Nombre de mois de stock tampon (max 3 mois)</c:v>
                </c:pt>
              </c:strCache>
            </c:strRef>
          </c:tx>
          <c:invertIfNegative val="0"/>
          <c:dLbls>
            <c:dLbl>
              <c:idx val="0"/>
              <c:tx>
                <c:strRef>
                  <c:f>'Calculs dispo Données FA'!$AA$167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{76295B01-A364-48F9-99A0-DDE5BC14A01B}</c15:txfldGUID>
                      <c15:f>'Calculs dispo Données FA'!$AA$167</c15:f>
                      <c15:dlblFieldTableCache>
                        <c:ptCount val="1"/>
                      </c15:dlblFieldTableCache>
                    </c15:dlblFTEntry>
                  </c15:dlblFieldTable>
                  <c15:showDataLabelsRange val="0"/>
                </c:ext>
              </c:extLst>
            </c:dLbl>
            <c:dLbl>
              <c:idx val="1"/>
              <c:tx>
                <c:strRef>
                  <c:f>'Calculs dispo Données FA'!$AA$168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{5D9E47B7-9050-403E-90CA-A611E9247866}</c15:txfldGUID>
                      <c15:f>'Calculs dispo Données FA'!$AA$168</c15:f>
                      <c15:dlblFieldTableCache>
                        <c:ptCount val="1"/>
                      </c15:dlblFieldTableCache>
                    </c15:dlblFTEntry>
                  </c15:dlblFieldTable>
                  <c15:showDataLabelsRange val="0"/>
                </c:ext>
              </c:extLst>
            </c:dLbl>
            <c:dLbl>
              <c:idx val="2"/>
              <c:tx>
                <c:strRef>
                  <c:f>'Calculs dispo Données FA'!$AA$169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{0C363680-F455-4122-9D0B-4E8EB05CF23B}</c15:txfldGUID>
                      <c15:f>'Calculs dispo Données FA'!$AA$169</c15:f>
                      <c15:dlblFieldTableCache>
                        <c:ptCount val="1"/>
                      </c15:dlblFieldTableCache>
                    </c15:dlblFTEntry>
                  </c15:dlblFieldTable>
                  <c15:showDataLabelsRange val="0"/>
                </c:ext>
              </c:extLst>
            </c:dLbl>
            <c:dLbl>
              <c:idx val="3"/>
              <c:tx>
                <c:strRef>
                  <c:f>'Calculs dispo Données FA'!$AA$170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{089C1CB1-0EF0-4FBA-BB7E-718A9F6113E9}</c15:txfldGUID>
                      <c15:f>'Calculs dispo Données FA'!$AA$170</c15:f>
                      <c15:dlblFieldTableCache>
                        <c:ptCount val="1"/>
                      </c15:dlblFieldTableCache>
                    </c15:dlblFTEntry>
                  </c15:dlblFieldTable>
                  <c15:showDataLabelsRange val="0"/>
                </c:ext>
              </c:extLst>
            </c:dLbl>
            <c:dLbl>
              <c:idx val="4"/>
              <c:tx>
                <c:strRef>
                  <c:f>'Calculs dispo Données FA'!$AA$171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{3C54ABD8-8BE3-47A9-A263-C2127B2463D0}</c15:txfldGUID>
                      <c15:f>'Calculs dispo Données FA'!$AA$171</c15:f>
                      <c15:dlblFieldTableCache>
                        <c:ptCount val="1"/>
                      </c15:dlblFieldTableCache>
                    </c15:dlblFTEntry>
                  </c15:dlblFieldTable>
                  <c15:showDataLabelsRange val="0"/>
                </c:ext>
              </c:extLst>
            </c:dLbl>
            <c:dLbl>
              <c:idx val="5"/>
              <c:tx>
                <c:strRef>
                  <c:f>'Calculs dispo Données FA'!$AA$172</c:f>
                  <c:strCache>
                    <c:ptCount val="1"/>
                    <c:pt idx="0">
                      <c:v>3990B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{0F67ED3B-E40C-4490-9C89-A686148BF9B6}</c15:txfldGUID>
                      <c15:f>'Calculs dispo Données FA'!$AA$172</c15:f>
                      <c15:dlblFieldTableCache>
                        <c:ptCount val="1"/>
                        <c:pt idx="0">
                          <c:v>3990B &amp; Consumption =0</c:v>
                        </c:pt>
                      </c15:dlblFieldTableCache>
                    </c15:dlblFTEntry>
                  </c15:dlblFieldTable>
                  <c15:showDataLabelsRange val="0"/>
                </c:ext>
              </c:extLst>
            </c:dLbl>
            <c:dLbl>
              <c:idx val="6"/>
              <c:tx>
                <c:strRef>
                  <c:f>'Calculs dispo Données FA'!$AA$173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{18D622A3-B469-4149-8357-D95CE0DD5D0D}</c15:txfldGUID>
                      <c15:f>'Calculs dispo Données FA'!$AA$173</c15:f>
                      <c15:dlblFieldTableCache>
                        <c:ptCount val="1"/>
                      </c15:dlblFieldTableCache>
                    </c15:dlblFTEntry>
                  </c15:dlblFieldTable>
                  <c15:showDataLabelsRange val="0"/>
                </c:ext>
              </c:extLst>
            </c:dLbl>
            <c:dLbl>
              <c:idx val="7"/>
              <c:tx>
                <c:strRef>
                  <c:f>'Calculs dispo Données FA'!$AA$174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{6E371053-D31E-455E-8D5F-AD9BFC35B566}</c15:txfldGUID>
                      <c15:f>'Calculs dispo Données FA'!$AA$174</c15:f>
                      <c15:dlblFieldTableCache>
                        <c:ptCount val="1"/>
                      </c15:dlblFieldTableCache>
                    </c15:dlblFTEntry>
                  </c15:dlblFieldTable>
                  <c15:showDataLabelsRange val="0"/>
                </c:ext>
              </c:extLst>
            </c:dLbl>
            <c:dLbl>
              <c:idx val="8"/>
              <c:tx>
                <c:strRef>
                  <c:f>'Calculs dispo Données FA'!$AA$135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{2060AE7D-3035-47CF-9BE1-17789C6A9AE6}</c15:txfldGUID>
                      <c15:f>'Calculs dispo Données FA'!$AA$135</c15:f>
                      <c15:dlblFieldTableCache>
                        <c:ptCount val="1"/>
                      </c15:dlblFieldTableCache>
                    </c15:dlblFTEntry>
                  </c15:dlblFieldTable>
                  <c15:showDataLabelsRange val="0"/>
                </c:ext>
              </c:extLst>
            </c:dLbl>
            <c:dLbl>
              <c:idx val="9"/>
              <c:tx>
                <c:strRef>
                  <c:f>'Calculs dispo Données FA'!$AA$136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{F8D712C8-F38B-4611-AC0C-1A1A106ADE96}</c15:txfldGUID>
                      <c15:f>'Calculs dispo Données FA'!$AA$136</c15:f>
                      <c15:dlblFieldTableCache>
                        <c:ptCount val="1"/>
                      </c15:dlblFieldTableCache>
                    </c15:dlblFTEntry>
                  </c15:dlblFieldTable>
                  <c15:showDataLabelsRange val="0"/>
                </c:ext>
              </c:extLst>
            </c:dLbl>
            <c:dLbl>
              <c:idx val="10"/>
              <c:tx>
                <c:strRef>
                  <c:f>'Calculs dispo Données FA'!$AA$137</c:f>
                  <c:strCache>
                    <c:ptCount val="1"/>
                    <c:pt idx="0">
                      <c:v>38746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{4B151F40-DC57-461C-83F6-D41C40D373BA}</c15:txfldGUID>
                      <c15:f>'Calculs dispo Données FA'!$AA$137</c15:f>
                      <c15:dlblFieldTableCache>
                        <c:ptCount val="1"/>
                        <c:pt idx="0">
                          <c:v>38746 B &amp; Consumption =0</c:v>
                        </c:pt>
                      </c15:dlblFieldTableCache>
                    </c15:dlblFTEntry>
                  </c15:dlblFieldTable>
                  <c15:showDataLabelsRange val="0"/>
                </c:ext>
              </c:extLst>
            </c:dLbl>
            <c:dLbl>
              <c:idx val="11"/>
              <c:tx>
                <c:strRef>
                  <c:f>'Calculs dispo Données FA'!$AA$138</c:f>
                  <c:strCache>
                    <c:ptCount val="1"/>
                    <c:pt idx="0">
                      <c:v>505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{E48DB4EE-B536-41F0-AFDE-24F217D5B228}</c15:txfldGUID>
                      <c15:f>'Calculs dispo Données FA'!$AA$138</c15:f>
                      <c15:dlblFieldTableCache>
                        <c:ptCount val="1"/>
                        <c:pt idx="0">
                          <c:v>505 B &amp; Consumption =0</c:v>
                        </c:pt>
                      </c15:dlblFieldTableCache>
                    </c15:dlblFTEntry>
                  </c15:dlblFieldTable>
                  <c15:showDataLabelsRange val="0"/>
                </c:ext>
              </c:extLst>
            </c:dLbl>
            <c:dLbl>
              <c:idx val="12"/>
              <c:tx>
                <c:strRef>
                  <c:f>'Calculs dispo Données FA'!$AA$140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{9A0DF4DC-6638-4C3E-82A0-DD34406E65D9}</c15:txfldGUID>
                      <c15:f>'Calculs dispo Données FA'!$AA$140</c15:f>
                      <c15:dlblFieldTableCache>
                        <c:ptCount val="1"/>
                      </c15:dlblFieldTableCache>
                    </c15:dlblFTEntry>
                  </c15:dlblFieldTable>
                  <c15:showDataLabelsRange val="0"/>
                </c:ext>
              </c:extLst>
            </c:dLbl>
            <c:dLbl>
              <c:idx val="13"/>
              <c:tx>
                <c:strRef>
                  <c:f>'Calculs dispo Données FA'!$AA$141</c:f>
                  <c:strCache>
                    <c:ptCount val="1"/>
                    <c:pt idx="0">
                      <c:v>2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{63F812CB-6730-4E7B-BA68-DBCCADB6895E}</c15:txfldGUID>
                      <c15:f>'Calculs dispo Données FA'!$AA$141</c15:f>
                      <c15:dlblFieldTableCache>
                        <c:ptCount val="1"/>
                        <c:pt idx="0">
                          <c:v>2 B &amp; Consumption =0</c:v>
                        </c:pt>
                      </c15:dlblFieldTableCache>
                    </c15:dlblFTEntry>
                  </c15:dlblFieldTable>
                  <c15:showDataLabelsRange val="0"/>
                </c:ext>
              </c:extLst>
            </c:dLbl>
            <c:dLbl>
              <c:idx val="14"/>
              <c:tx>
                <c:strRef>
                  <c:f>'Calculs dispo Données FA'!$AA$142</c:f>
                  <c:strCache>
                    <c:ptCount val="1"/>
                    <c:pt idx="0">
                      <c:v>11566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{CBEF4BA9-FE63-44FB-856F-0C4A1EEE7AF1}</c15:txfldGUID>
                      <c15:f>'Calculs dispo Données FA'!$AA$142</c15:f>
                      <c15:dlblFieldTableCache>
                        <c:ptCount val="1"/>
                        <c:pt idx="0">
                          <c:v>11566 B &amp; Consumption =0</c:v>
                        </c:pt>
                      </c15:dlblFieldTableCache>
                    </c15:dlblFTEntry>
                  </c15:dlblFieldTable>
                  <c15:showDataLabelsRange val="0"/>
                </c:ext>
              </c:extLst>
            </c:dLbl>
            <c:dLbl>
              <c:idx val="15"/>
              <c:tx>
                <c:strRef>
                  <c:f>'Calculs dispo Données FA'!$AA$144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{4EAAE780-0EE2-40DE-9BBD-846E4B160E74}</c15:txfldGUID>
                      <c15:f>'Calculs dispo Données FA'!$AA$144</c15:f>
                      <c15:dlblFieldTableCache>
                        <c:ptCount val="1"/>
                      </c15:dlblFieldTableCache>
                    </c15:dlblFTEntry>
                  </c15:dlblFieldTable>
                  <c15:showDataLabelsRange val="0"/>
                </c:ext>
              </c:extLst>
            </c:dLbl>
            <c:dLbl>
              <c:idx val="16"/>
              <c:tx>
                <c:strRef>
                  <c:f>'Calculs dispo Données FA'!$AA$146</c:f>
                  <c:strCache>
                    <c:ptCount val="1"/>
                    <c:pt idx="0">
                      <c:v>1093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{8426CDAE-CBC5-4F90-90BE-6DF85330C8A1}</c15:txfldGUID>
                      <c15:f>'Calculs dispo Données FA'!$AA$146</c15:f>
                      <c15:dlblFieldTableCache>
                        <c:ptCount val="1"/>
                        <c:pt idx="0">
                          <c:v>1093 B &amp; Consumption =0</c:v>
                        </c:pt>
                      </c15:dlblFieldTableCache>
                    </c15:dlblFTEntry>
                  </c15:dlblFieldTable>
                  <c15:showDataLabelsRange val="0"/>
                </c:ext>
              </c:extLst>
            </c:dLbl>
            <c:dLbl>
              <c:idx val="17"/>
              <c:tx>
                <c:strRef>
                  <c:f>'Calculs dispo Données FA'!$AA$148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{35641F8B-5E1C-4004-8B5F-C74756FE20B3}</c15:txfldGUID>
                      <c15:f>'Calculs dispo Données FA'!$AA$148</c15:f>
                      <c15:dlblFieldTableCache>
                        <c:ptCount val="1"/>
                      </c15:dlblFieldTableCache>
                    </c15:dlblFTEntry>
                  </c15:dlblFieldTable>
                  <c15:showDataLabelsRange val="0"/>
                </c:ext>
              </c:extLst>
            </c:dLbl>
            <c:dLbl>
              <c:idx val="18"/>
              <c:tx>
                <c:strRef>
                  <c:f>'Calculs dispo Données FA'!$AA$151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{538DDDB8-2B8A-4FAD-A506-17A030F334F7}</c15:txfldGUID>
                      <c15:f>'Calculs dispo Données FA'!$AA$151</c15:f>
                      <c15:dlblFieldTableCache>
                        <c:ptCount val="1"/>
                      </c15:dlblFieldTableCache>
                    </c15:dlblFTEntry>
                  </c15:dlblFieldTable>
                  <c15:showDataLabelsRange val="0"/>
                </c:ext>
              </c:extLst>
            </c:dLbl>
            <c:dLbl>
              <c:idx val="19"/>
              <c:tx>
                <c:strRef>
                  <c:f>'Calculs dispo Données FA'!$AA$152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{2B76CD6E-198E-4B86-BFD5-909F9E74C6A5}</c15:txfldGUID>
                      <c15:f>'Calculs dispo Données FA'!$AA$152</c15:f>
                      <c15:dlblFieldTableCache>
                        <c:ptCount val="1"/>
                      </c15:dlblFieldTableCache>
                    </c15:dlblFTEntry>
                  </c15:dlblFieldTable>
                  <c15:showDataLabelsRange val="0"/>
                </c:ext>
              </c:extLst>
            </c:dLbl>
            <c:dLbl>
              <c:idx val="20"/>
              <c:tx>
                <c:strRef>
                  <c:f>'Calculs dispo Données FA'!$AA$154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{FFDE9BDB-9DD2-43AA-BEC9-551A53EA660B}</c15:txfldGUID>
                      <c15:f>'Calculs dispo Données FA'!$AA$154</c15:f>
                      <c15:dlblFieldTableCache>
                        <c:ptCount val="1"/>
                      </c15:dlblFieldTableCache>
                    </c15:dlblFTEntry>
                  </c15:dlblFieldTable>
                  <c15:showDataLabelsRange val="0"/>
                </c:ext>
              </c:extLst>
            </c:dLbl>
            <c:dLbl>
              <c:idx val="21"/>
              <c:tx>
                <c:strRef>
                  <c:f>'Calculs dispo Données FA'!$AA$155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{D68AA1A6-14D7-48CD-9964-61B19B07C059}</c15:txfldGUID>
                      <c15:f>'Calculs dispo Données FA'!$AA$155</c15:f>
                      <c15:dlblFieldTableCache>
                        <c:ptCount val="1"/>
                        <c:pt idx="0">
                          <c:v>956 B &amp; Consumption =0</c:v>
                        </c:pt>
                      </c15:dlblFieldTableCache>
                    </c15:dlblFTEntry>
                  </c15:dlblFieldTable>
                  <c15:showDataLabelsRange val="0"/>
                </c:ext>
              </c:extLst>
            </c:dLbl>
            <c:dLbl>
              <c:idx val="22"/>
              <c:tx>
                <c:strRef>
                  <c:f>'Calculs dispo Données FA'!$AA$156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{95B5AE95-83A8-4644-BCE5-1E58B4F513AF}</c15:txfldGUID>
                      <c15:f>'Calculs dispo Données FA'!$AA$156</c15:f>
                      <c15:dlblFieldTableCache>
                        <c:ptCount val="1"/>
                      </c15:dlblFieldTableCache>
                    </c15:dlblFTEntry>
                  </c15:dlblFieldTable>
                  <c15:showDataLabelsRange val="0"/>
                </c:ext>
              </c:extLst>
            </c:dLbl>
            <c:dLbl>
              <c:idx val="23"/>
              <c:tx>
                <c:strRef>
                  <c:f>'Calculs dispo Données FA'!$AA$157</c:f>
                  <c:strCache>
                    <c:ptCount val="1"/>
                    <c:pt idx="0">
                      <c:v>750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{52151549-11D1-418E-915C-59AA8432A9F4}</c15:txfldGUID>
                      <c15:f>'Calculs dispo Données FA'!$AA$157</c15:f>
                      <c15:dlblFieldTableCache>
                        <c:ptCount val="1"/>
                        <c:pt idx="0">
                          <c:v>750 B &amp; Consumption =0</c:v>
                        </c:pt>
                      </c15:dlblFieldTableCache>
                    </c15:dlblFTEntry>
                  </c15:dlblFieldTable>
                  <c15:showDataLabelsRange val="0"/>
                </c:ext>
              </c:extLst>
            </c:dLbl>
            <c:dLbl>
              <c:idx val="24"/>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{6884F732-4589-454B-9E92-73B9518B4670}</c15:txfldGUID>
                      <c15:f>'Calculs dispo Données FA'!$AA$161</c15:f>
                      <c15:dlblFieldTableCache>
                        <c:ptCount val="1"/>
                      </c15:dlblFieldTableCache>
                    </c15:dlblFTEntry>
                  </c15:dlblFieldTable>
                  <c15:showDataLabelsRange val="0"/>
                </c:ext>
              </c:extLst>
            </c:dLbl>
            <c:dLbl>
              <c:idx val="25"/>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{E78935B9-F34E-44AA-BF97-2EE588553063}</c15:txfldGUID>
                      <c15:f>'Calculs dispo Données FA'!$AA$163</c15:f>
                      <c15:dlblFieldTableCache>
                        <c:ptCount val="1"/>
                      </c15:dlblFieldTableCache>
                    </c15:dlblFTEntry>
                  </c15:dlblFieldTable>
                  <c15:showDataLabelsRange val="0"/>
                </c:ext>
              </c:extLst>
            </c:dLbl>
            <c:dLbl>
              <c:idx val="26"/>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{91C9419A-37FC-43E6-9359-FDC15087CF1D}</c15:txfldGUID>
                      <c15:f>'Calculs dispo Données FA'!$AA$159</c15:f>
                      <c15:dlblFieldTableCache>
                        <c:ptCount val="1"/>
                        <c:pt idx="0">
                          <c:v>1705 B &amp; Consumption =0</c:v>
                        </c:pt>
                      </c15:dlblFieldTableCache>
                    </c15:dlblFTEntry>
                  </c15:dlblFieldTable>
                  <c15:showDataLabelsRange val="0"/>
                </c:ext>
              </c:extLst>
            </c:dLbl>
            <c:dLbl>
              <c:idx val="27"/>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{57876ECB-5162-4353-9DB0-E860078E21E6}</c15:txfldGUID>
                      <c15:f>'Calculs dispo Données FA'!$AA$162</c15:f>
                      <c15:dlblFieldTableCache>
                        <c:ptCount val="1"/>
                      </c15:dlblFieldTableCache>
                    </c15:dlblFTEntry>
                  </c15:dlblFieldTable>
                  <c15:showDataLabelsRange val="0"/>
                </c:ext>
              </c:extLst>
            </c:dLbl>
            <c:dLbl>
              <c:idx val="28"/>
              <c:tx>
                <c:strRef>
                  <c:f>'Calculs dispo Données FA'!$AA$164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{FA300BDA-55A4-4866-B541-EABC51F1994B}</c15:txfldGUID>
                      <c15:f>'Calculs dispo Données FA'!$AA$164</c15:f>
                      <c15:dlblFieldTableCache>
                        <c:ptCount val="1"/>
                      </c15:dlblFieldTableCache>
                    </c15:dlblFTEntry>
                  </c15:dlblFieldTable>
                  <c15:showDataLabelsRange val="0"/>
                </c:ext>
              </c:extLst>
            </c:dLbl>
            <c:dLbl>
              <c:idx val="29"/>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{F4AB1AF0-A28A-4EFC-B8C2-A88DF1A14601}</c15:txfldGUID>
                      <c15:f>'Calculs dispo Données FA'!$AA$165</c15:f>
                      <c15:dlblFieldTableCache>
                        <c:ptCount val="1"/>
                      </c15:dlblFieldTableCache>
                    </c15:dlblFTEntry>
                  </c15:dlblFieldTable>
                  <c15:showDataLabelsRange val="0"/>
                </c:ext>
              </c:extLst>
            </c:dLbl>
            <c:spPr>
              <a:noFill/>
              <a:ln>
                <a:noFill/>
              </a:ln>
              <a:effectLst/>
            </c:spPr>
            <c:txPr>
              <a:bodyPr/>
              <a:lstStyle/>
              <a:p>
                <a:pPr>
                  <a:defRPr lang="fr-FR" b="1" i="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FA'!$H$167:$H$174</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FA'!$Y$167:$Y$174</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164768000"/>
        <c:axId val="164798464"/>
      </c:barChart>
      <c:catAx>
        <c:axId val="164768000"/>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64798464"/>
        <c:crosses val="autoZero"/>
        <c:auto val="1"/>
        <c:lblAlgn val="ctr"/>
        <c:lblOffset val="100"/>
        <c:tickMarkSkip val="2"/>
        <c:noMultiLvlLbl val="0"/>
      </c:catAx>
      <c:valAx>
        <c:axId val="164798464"/>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1.0676799236099222E-3"/>
              <c:y val="0.11418549346536797"/>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64768000"/>
        <c:crosses val="autoZero"/>
        <c:crossBetween val="between"/>
        <c:majorUnit val="3"/>
      </c:valAx>
      <c:spPr>
        <a:ln>
          <a:solidFill>
            <a:schemeClr val="bg1">
              <a:lumMod val="50000"/>
            </a:schemeClr>
          </a:solidFill>
        </a:ln>
      </c:spPr>
    </c:plotArea>
    <c:legend>
      <c:legendPos val="b"/>
      <c:layout>
        <c:manualLayout>
          <c:xMode val="edge"/>
          <c:yMode val="edge"/>
          <c:x val="9.3670854762384747E-3"/>
          <c:y val="0.9441373578302712"/>
          <c:w val="0.97623902572970089"/>
          <c:h val="3.5492271799358412E-2"/>
        </c:manualLayout>
      </c:layout>
      <c:overlay val="0"/>
      <c:txPr>
        <a:bodyPr/>
        <a:lstStyle/>
        <a:p>
          <a:pPr>
            <a:defRPr lang="fr-FR"/>
          </a:pPr>
          <a:endParaRPr lang="en-US"/>
        </a:p>
      </c:txPr>
    </c:legend>
    <c:plotVisOnly val="1"/>
    <c:dispBlanksAs val="gap"/>
    <c:showDLblsOverMax val="0"/>
  </c:chart>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solidFill>
                  <a:srgbClr val="FF0000"/>
                </a:solidFill>
              </a:rPr>
              <a:t>Orals solution  </a:t>
            </a:r>
            <a:r>
              <a:rPr lang="en-US"/>
              <a:t>availability Estimate</a:t>
            </a:r>
            <a:endParaRPr lang="en-US">
              <a:solidFill>
                <a:srgbClr val="FF0000"/>
              </a:solidFill>
            </a:endParaRPr>
          </a:p>
        </c:rich>
      </c:tx>
      <c:layout>
        <c:manualLayout>
          <c:xMode val="edge"/>
          <c:yMode val="edge"/>
          <c:x val="5.402618734863706E-3"/>
          <c:y val="1.8359582729598001E-3"/>
        </c:manualLayout>
      </c:layout>
      <c:overlay val="0"/>
    </c:title>
    <c:autoTitleDeleted val="0"/>
    <c:plotArea>
      <c:layout>
        <c:manualLayout>
          <c:layoutTarget val="inner"/>
          <c:xMode val="edge"/>
          <c:yMode val="edge"/>
          <c:x val="0.14148728110212272"/>
          <c:y val="0.18332195975503071"/>
          <c:w val="0.71170742205763382"/>
          <c:h val="0.76009521726455154"/>
        </c:manualLayout>
      </c:layout>
      <c:barChart>
        <c:barDir val="bar"/>
        <c:grouping val="stacked"/>
        <c:varyColors val="0"/>
        <c:ser>
          <c:idx val="0"/>
          <c:order val="0"/>
          <c:tx>
            <c:strRef>
              <c:f>'Calculs dispo Données FA'!$X$166</c:f>
              <c:strCache>
                <c:ptCount val="1"/>
                <c:pt idx="0">
                  <c:v>Nombre de mois de disponibilité de produits hors ST</c:v>
                </c:pt>
              </c:strCache>
            </c:strRef>
          </c:tx>
          <c:spPr>
            <a:solidFill>
              <a:srgbClr val="4F81BD"/>
            </a:solidFill>
          </c:spPr>
          <c:invertIfNegative val="1"/>
          <c:cat>
            <c:strRef>
              <c:f>'Calculs dispo Données FA'!$H$167:$H$174</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FA'!$X$167:$X$174</c:f>
              <c:numCache>
                <c:formatCode>0.0</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FA'!$Y$166</c:f>
              <c:strCache>
                <c:ptCount val="1"/>
                <c:pt idx="0">
                  <c:v>Nombre de mois de stock tampon (max 3 mois)</c:v>
                </c:pt>
              </c:strCache>
            </c:strRef>
          </c:tx>
          <c:invertIfNegative val="0"/>
          <c:cat>
            <c:strRef>
              <c:f>'Calculs dispo Données FA'!$H$167:$H$174</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FA'!$Y$167:$Y$174</c:f>
              <c:numCache>
                <c:formatCode>0.0</c:formatCode>
                <c:ptCount val="8"/>
                <c:pt idx="0">
                  <c:v>0</c:v>
                </c:pt>
                <c:pt idx="1">
                  <c:v>0</c:v>
                </c:pt>
                <c:pt idx="2">
                  <c:v>0</c:v>
                </c:pt>
                <c:pt idx="3">
                  <c:v>0</c:v>
                </c:pt>
                <c:pt idx="4">
                  <c:v>0</c:v>
                </c:pt>
                <c:pt idx="5">
                  <c:v>0</c:v>
                </c:pt>
                <c:pt idx="6">
                  <c:v>0</c:v>
                </c:pt>
                <c:pt idx="7">
                  <c:v>0</c:v>
                </c:pt>
              </c:numCache>
            </c:numRef>
          </c:val>
        </c:ser>
        <c:ser>
          <c:idx val="2"/>
          <c:order val="2"/>
          <c:tx>
            <c:strRef>
              <c:f>'Calculs dispo Données FA'!$AK$166</c:f>
              <c:strCache>
                <c:ptCount val="1"/>
                <c:pt idx="0">
                  <c:v>Gain Nb de mois de disponibilité si arrêt des initiations &amp; switch</c:v>
                </c:pt>
              </c:strCache>
            </c:strRef>
          </c:tx>
          <c:spPr>
            <a:solidFill>
              <a:schemeClr val="bg2">
                <a:lumMod val="75000"/>
              </a:schemeClr>
            </a:solidFill>
            <a:ln w="12700">
              <a:solidFill>
                <a:schemeClr val="bg2">
                  <a:lumMod val="50000"/>
                </a:schemeClr>
              </a:solidFill>
              <a:prstDash val="sysDot"/>
            </a:ln>
          </c:spPr>
          <c:invertIfNegative val="0"/>
          <c:dLbls>
            <c:dLbl>
              <c:idx val="0"/>
              <c:tx>
                <c:strRef>
                  <c:f>'Calculs dispo Données FA'!$AO$167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{05CB7F53-C6F0-474E-93B4-04CB6D2859FB}</c15:txfldGUID>
                      <c15:f>'Calculs dispo Données FA'!$AO$167</c15:f>
                      <c15:dlblFieldTableCache>
                        <c:ptCount val="1"/>
                      </c15:dlblFieldTableCache>
                    </c15:dlblFTEntry>
                  </c15:dlblFieldTable>
                  <c15:showDataLabelsRange val="0"/>
                </c:ext>
              </c:extLst>
            </c:dLbl>
            <c:dLbl>
              <c:idx val="1"/>
              <c:tx>
                <c:strRef>
                  <c:f>'Calculs dispo Données FA'!$AO$168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{D2EF979C-FE54-46C8-92BF-FE9C8DDF0975}</c15:txfldGUID>
                      <c15:f>'Calculs dispo Données FA'!$AO$168</c15:f>
                      <c15:dlblFieldTableCache>
                        <c:ptCount val="1"/>
                      </c15:dlblFieldTableCache>
                    </c15:dlblFTEntry>
                  </c15:dlblFieldTable>
                  <c15:showDataLabelsRange val="0"/>
                </c:ext>
              </c:extLst>
            </c:dLbl>
            <c:dLbl>
              <c:idx val="2"/>
              <c:tx>
                <c:strRef>
                  <c:f>'Calculs dispo Données FA'!$AO$169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{C17AA887-4588-4836-842E-A585137B5AF3}</c15:txfldGUID>
                      <c15:f>'Calculs dispo Données FA'!$AO$169</c15:f>
                      <c15:dlblFieldTableCache>
                        <c:ptCount val="1"/>
                      </c15:dlblFieldTableCache>
                    </c15:dlblFTEntry>
                  </c15:dlblFieldTable>
                  <c15:showDataLabelsRange val="0"/>
                </c:ext>
              </c:extLst>
            </c:dLbl>
            <c:dLbl>
              <c:idx val="3"/>
              <c:tx>
                <c:strRef>
                  <c:f>'Calculs dispo Données FA'!$AO$170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{7F4635FE-D743-4390-97BA-2D1975FDDB4D}</c15:txfldGUID>
                      <c15:f>'Calculs dispo Données FA'!$AO$170</c15:f>
                      <c15:dlblFieldTableCache>
                        <c:ptCount val="1"/>
                      </c15:dlblFieldTableCache>
                    </c15:dlblFTEntry>
                  </c15:dlblFieldTable>
                  <c15:showDataLabelsRange val="0"/>
                </c:ext>
              </c:extLst>
            </c:dLbl>
            <c:dLbl>
              <c:idx val="4"/>
              <c:tx>
                <c:strRef>
                  <c:f>'Calculs dispo Données FA'!$AO$171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{B998F6BA-11F9-4450-B4A3-A0CD9A4B0C65}</c15:txfldGUID>
                      <c15:f>'Calculs dispo Données FA'!$AO$171</c15:f>
                      <c15:dlblFieldTableCache>
                        <c:ptCount val="1"/>
                      </c15:dlblFieldTableCache>
                    </c15:dlblFTEntry>
                  </c15:dlblFieldTable>
                  <c15:showDataLabelsRange val="0"/>
                </c:ext>
              </c:extLst>
            </c:dLbl>
            <c:dLbl>
              <c:idx val="5"/>
              <c:tx>
                <c:strRef>
                  <c:f>'Calculs dispo Données FA'!$AO$172</c:f>
                  <c:strCache>
                    <c:ptCount val="1"/>
                    <c:pt idx="0">
                      <c:v>3990B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{9F59705F-70BC-4088-99BD-64869521E013}</c15:txfldGUID>
                      <c15:f>'Calculs dispo Données FA'!$AO$172</c15:f>
                      <c15:dlblFieldTableCache>
                        <c:ptCount val="1"/>
                        <c:pt idx="0">
                          <c:v>3990B &amp; Consumption =0</c:v>
                        </c:pt>
                      </c15:dlblFieldTableCache>
                    </c15:dlblFTEntry>
                  </c15:dlblFieldTable>
                  <c15:showDataLabelsRange val="0"/>
                </c:ext>
              </c:extLst>
            </c:dLbl>
            <c:dLbl>
              <c:idx val="6"/>
              <c:tx>
                <c:strRef>
                  <c:f>'Calculs dispo Données FA'!$AO$173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{48000259-DD49-474F-84EB-58C5275804AE}</c15:txfldGUID>
                      <c15:f>'Calculs dispo Données FA'!$AO$173</c15:f>
                      <c15:dlblFieldTableCache>
                        <c:ptCount val="1"/>
                      </c15:dlblFieldTableCache>
                    </c15:dlblFTEntry>
                  </c15:dlblFieldTable>
                  <c15:showDataLabelsRange val="0"/>
                </c:ext>
              </c:extLst>
            </c:dLbl>
            <c:dLbl>
              <c:idx val="7"/>
              <c:tx>
                <c:strRef>
                  <c:f>'Calculs dispo Données FA'!$AO$174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{27A531CF-B6CF-43E5-BE40-ADC2C9CB93B8}</c15:txfldGUID>
                      <c15:f>'Calculs dispo Données FA'!$AO$174</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FA'!$H$167:$H$174</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FA'!$AK$167:$AK$174</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165141888"/>
        <c:axId val="157975680"/>
      </c:barChart>
      <c:catAx>
        <c:axId val="165141888"/>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57975680"/>
        <c:crosses val="autoZero"/>
        <c:auto val="1"/>
        <c:lblAlgn val="ctr"/>
        <c:lblOffset val="100"/>
        <c:tickMarkSkip val="2"/>
        <c:noMultiLvlLbl val="0"/>
      </c:catAx>
      <c:valAx>
        <c:axId val="157975680"/>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0.13930205001471888"/>
              <c:y val="0.11418547681539808"/>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65141888"/>
        <c:crosses val="autoZero"/>
        <c:crossBetween val="between"/>
        <c:majorUnit val="3"/>
      </c:valAx>
      <c:spPr>
        <a:ln>
          <a:solidFill>
            <a:schemeClr val="bg1">
              <a:lumMod val="50000"/>
            </a:schemeClr>
          </a:solidFill>
        </a:ln>
      </c:spPr>
    </c:plotArea>
    <c:legend>
      <c:legendPos val="b"/>
      <c:layout>
        <c:manualLayout>
          <c:xMode val="edge"/>
          <c:yMode val="edge"/>
          <c:x val="4.9999975262281712E-2"/>
          <c:y val="0.93873533664852105"/>
          <c:w val="0.89999995052458792"/>
          <c:h val="4.0894290010834534E-2"/>
        </c:manualLayout>
      </c:layout>
      <c:overlay val="0"/>
      <c:txPr>
        <a:bodyPr/>
        <a:lstStyle/>
        <a:p>
          <a:pPr>
            <a:defRPr lang="fr-FR"/>
          </a:pPr>
          <a:endParaRPr lang="en-US"/>
        </a:p>
      </c:txPr>
    </c:legend>
    <c:plotVisOnly val="1"/>
    <c:dispBlanksAs val="gap"/>
    <c:showDLblsOverMax val="0"/>
  </c:chart>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solidFill>
                  <a:srgbClr val="FF0000"/>
                </a:solidFill>
              </a:rPr>
              <a:t>Orals solution  </a:t>
            </a:r>
            <a:r>
              <a:rPr lang="en-US"/>
              <a:t>availability Estimate</a:t>
            </a:r>
            <a:endParaRPr lang="en-US">
              <a:solidFill>
                <a:srgbClr val="FF0000"/>
              </a:solidFill>
            </a:endParaRPr>
          </a:p>
        </c:rich>
      </c:tx>
      <c:layout>
        <c:manualLayout>
          <c:xMode val="edge"/>
          <c:yMode val="edge"/>
          <c:x val="9.1726470100758767E-3"/>
          <c:y val="1.8359580052493441E-3"/>
        </c:manualLayout>
      </c:layout>
      <c:overlay val="0"/>
    </c:title>
    <c:autoTitleDeleted val="0"/>
    <c:plotArea>
      <c:layout>
        <c:manualLayout>
          <c:layoutTarget val="inner"/>
          <c:xMode val="edge"/>
          <c:yMode val="edge"/>
          <c:x val="0.14148728110212272"/>
          <c:y val="0.18332195975503071"/>
          <c:w val="0.70668071769069984"/>
          <c:h val="0.76009521726455154"/>
        </c:manualLayout>
      </c:layout>
      <c:barChart>
        <c:barDir val="bar"/>
        <c:grouping val="stacked"/>
        <c:varyColors val="0"/>
        <c:ser>
          <c:idx val="0"/>
          <c:order val="0"/>
          <c:tx>
            <c:strRef>
              <c:f>'Calculs dispo Données FA'!$W$9</c:f>
              <c:strCache>
                <c:ptCount val="1"/>
                <c:pt idx="0">
                  <c:v>Stocks centraux</c:v>
                </c:pt>
              </c:strCache>
            </c:strRef>
          </c:tx>
          <c:spPr>
            <a:solidFill>
              <a:srgbClr val="FFC000"/>
            </a:solidFill>
          </c:spPr>
          <c:invertIfNegative val="1"/>
          <c:cat>
            <c:strRef>
              <c:f>'Calculs dispo Données FA'!$H$53:$H$60</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FA'!$X$53:$X$60</c:f>
              <c:numCache>
                <c:formatCode>0.0</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FA'!$W$66</c:f>
              <c:strCache>
                <c:ptCount val="1"/>
                <c:pt idx="0">
                  <c:v>Stocks périphériques</c:v>
                </c:pt>
              </c:strCache>
            </c:strRef>
          </c:tx>
          <c:spPr>
            <a:solidFill>
              <a:srgbClr val="B889DB"/>
            </a:solidFill>
          </c:spPr>
          <c:invertIfNegative val="0"/>
          <c:dLbls>
            <c:dLbl>
              <c:idx val="0"/>
              <c:tx>
                <c:strRef>
                  <c:f>'Calculs dispo Données FA'!$AA$167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{E3CF966E-2764-4319-A8AA-DC58FF6EE99A}</c15:txfldGUID>
                      <c15:f>'Calculs dispo Données FA'!$AA$167</c15:f>
                      <c15:dlblFieldTableCache>
                        <c:ptCount val="1"/>
                      </c15:dlblFieldTableCache>
                    </c15:dlblFTEntry>
                  </c15:dlblFieldTable>
                  <c15:showDataLabelsRange val="0"/>
                </c:ext>
              </c:extLst>
            </c:dLbl>
            <c:dLbl>
              <c:idx val="1"/>
              <c:tx>
                <c:strRef>
                  <c:f>'Calculs dispo Données FA'!$AA$168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{792B0304-44D8-41F7-9003-405592CA5278}</c15:txfldGUID>
                      <c15:f>'Calculs dispo Données FA'!$AA$168</c15:f>
                      <c15:dlblFieldTableCache>
                        <c:ptCount val="1"/>
                      </c15:dlblFieldTableCache>
                    </c15:dlblFTEntry>
                  </c15:dlblFieldTable>
                  <c15:showDataLabelsRange val="0"/>
                </c:ext>
              </c:extLst>
            </c:dLbl>
            <c:dLbl>
              <c:idx val="2"/>
              <c:tx>
                <c:strRef>
                  <c:f>'Calculs dispo Données FA'!$AA$169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{DAA2E1B7-68B4-40F4-A3AB-15CB3E1E126D}</c15:txfldGUID>
                      <c15:f>'Calculs dispo Données FA'!$AA$169</c15:f>
                      <c15:dlblFieldTableCache>
                        <c:ptCount val="1"/>
                      </c15:dlblFieldTableCache>
                    </c15:dlblFTEntry>
                  </c15:dlblFieldTable>
                  <c15:showDataLabelsRange val="0"/>
                </c:ext>
              </c:extLst>
            </c:dLbl>
            <c:dLbl>
              <c:idx val="3"/>
              <c:tx>
                <c:strRef>
                  <c:f>'Calculs dispo Données FA'!$AA$170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{C886A472-7223-41A1-A6A1-021024AF5E46}</c15:txfldGUID>
                      <c15:f>'Calculs dispo Données FA'!$AA$170</c15:f>
                      <c15:dlblFieldTableCache>
                        <c:ptCount val="1"/>
                      </c15:dlblFieldTableCache>
                    </c15:dlblFTEntry>
                  </c15:dlblFieldTable>
                  <c15:showDataLabelsRange val="0"/>
                </c:ext>
              </c:extLst>
            </c:dLbl>
            <c:dLbl>
              <c:idx val="4"/>
              <c:tx>
                <c:strRef>
                  <c:f>'Calculs dispo Données FA'!$AA$171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{3FD9D7D3-730B-4642-BCE6-689E9B4283D8}</c15:txfldGUID>
                      <c15:f>'Calculs dispo Données FA'!$AA$171</c15:f>
                      <c15:dlblFieldTableCache>
                        <c:ptCount val="1"/>
                      </c15:dlblFieldTableCache>
                    </c15:dlblFTEntry>
                  </c15:dlblFieldTable>
                  <c15:showDataLabelsRange val="0"/>
                </c:ext>
              </c:extLst>
            </c:dLbl>
            <c:dLbl>
              <c:idx val="5"/>
              <c:tx>
                <c:strRef>
                  <c:f>'Calculs dispo Données FA'!$AA$172</c:f>
                  <c:strCache>
                    <c:ptCount val="1"/>
                    <c:pt idx="0">
                      <c:v>3990B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{BCCD7570-A33D-46A8-B3D2-18B9DED91082}</c15:txfldGUID>
                      <c15:f>'Calculs dispo Données FA'!$AA$172</c15:f>
                      <c15:dlblFieldTableCache>
                        <c:ptCount val="1"/>
                        <c:pt idx="0">
                          <c:v>3990B &amp; Consumption =0</c:v>
                        </c:pt>
                      </c15:dlblFieldTableCache>
                    </c15:dlblFTEntry>
                  </c15:dlblFieldTable>
                  <c15:showDataLabelsRange val="0"/>
                </c:ext>
              </c:extLst>
            </c:dLbl>
            <c:dLbl>
              <c:idx val="6"/>
              <c:tx>
                <c:strRef>
                  <c:f>'Calculs dispo Données FA'!$AA$173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{A4D07424-E877-4A1A-B701-6087B7EF671E}</c15:txfldGUID>
                      <c15:f>'Calculs dispo Données FA'!$AA$173</c15:f>
                      <c15:dlblFieldTableCache>
                        <c:ptCount val="1"/>
                      </c15:dlblFieldTableCache>
                    </c15:dlblFTEntry>
                  </c15:dlblFieldTable>
                  <c15:showDataLabelsRange val="0"/>
                </c:ext>
              </c:extLst>
            </c:dLbl>
            <c:dLbl>
              <c:idx val="7"/>
              <c:tx>
                <c:strRef>
                  <c:f>'Calculs dispo Données FA'!$AA$174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{E9D3B951-323E-42B8-BBE5-092C201480A8}</c15:txfldGUID>
                      <c15:f>'Calculs dispo Données FA'!$AA$174</c15:f>
                      <c15:dlblFieldTableCache>
                        <c:ptCount val="1"/>
                      </c15:dlblFieldTableCache>
                    </c15:dlblFTEntry>
                  </c15:dlblFieldTable>
                  <c15:showDataLabelsRange val="0"/>
                </c:ext>
              </c:extLst>
            </c:dLbl>
            <c:dLbl>
              <c:idx val="8"/>
              <c:tx>
                <c:strRef>
                  <c:f>'Calculs dispo Données FA'!$AA$135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{6DAB0428-8D7E-4E99-A4A1-A59B3BF01244}</c15:txfldGUID>
                      <c15:f>'Calculs dispo Données FA'!$AA$135</c15:f>
                      <c15:dlblFieldTableCache>
                        <c:ptCount val="1"/>
                      </c15:dlblFieldTableCache>
                    </c15:dlblFTEntry>
                  </c15:dlblFieldTable>
                  <c15:showDataLabelsRange val="0"/>
                </c:ext>
              </c:extLst>
            </c:dLbl>
            <c:dLbl>
              <c:idx val="9"/>
              <c:tx>
                <c:strRef>
                  <c:f>'Calculs dispo Données FA'!$AA$136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{36AEBC1F-F674-4419-B940-2FB7810F9B88}</c15:txfldGUID>
                      <c15:f>'Calculs dispo Données FA'!$AA$136</c15:f>
                      <c15:dlblFieldTableCache>
                        <c:ptCount val="1"/>
                      </c15:dlblFieldTableCache>
                    </c15:dlblFTEntry>
                  </c15:dlblFieldTable>
                  <c15:showDataLabelsRange val="0"/>
                </c:ext>
              </c:extLst>
            </c:dLbl>
            <c:dLbl>
              <c:idx val="10"/>
              <c:tx>
                <c:strRef>
                  <c:f>'Calculs dispo Données FA'!$AA$137</c:f>
                  <c:strCache>
                    <c:ptCount val="1"/>
                    <c:pt idx="0">
                      <c:v>38746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{C13E3A2E-0221-4D60-8F51-2E06CF6CD412}</c15:txfldGUID>
                      <c15:f>'Calculs dispo Données FA'!$AA$137</c15:f>
                      <c15:dlblFieldTableCache>
                        <c:ptCount val="1"/>
                        <c:pt idx="0">
                          <c:v>38746 B &amp; Consumption =0</c:v>
                        </c:pt>
                      </c15:dlblFieldTableCache>
                    </c15:dlblFTEntry>
                  </c15:dlblFieldTable>
                  <c15:showDataLabelsRange val="0"/>
                </c:ext>
              </c:extLst>
            </c:dLbl>
            <c:dLbl>
              <c:idx val="11"/>
              <c:tx>
                <c:strRef>
                  <c:f>'Calculs dispo Données FA'!$AA$138</c:f>
                  <c:strCache>
                    <c:ptCount val="1"/>
                    <c:pt idx="0">
                      <c:v>505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{04A6855B-1012-40E1-A5EA-0E7E8D25728F}</c15:txfldGUID>
                      <c15:f>'Calculs dispo Données FA'!$AA$138</c15:f>
                      <c15:dlblFieldTableCache>
                        <c:ptCount val="1"/>
                        <c:pt idx="0">
                          <c:v>505 B &amp; Consumption =0</c:v>
                        </c:pt>
                      </c15:dlblFieldTableCache>
                    </c15:dlblFTEntry>
                  </c15:dlblFieldTable>
                  <c15:showDataLabelsRange val="0"/>
                </c:ext>
              </c:extLst>
            </c:dLbl>
            <c:dLbl>
              <c:idx val="12"/>
              <c:tx>
                <c:strRef>
                  <c:f>'Calculs dispo Données FA'!$AA$140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{9E7BC730-91F5-4AED-8200-EDDB457BED5D}</c15:txfldGUID>
                      <c15:f>'Calculs dispo Données FA'!$AA$140</c15:f>
                      <c15:dlblFieldTableCache>
                        <c:ptCount val="1"/>
                      </c15:dlblFieldTableCache>
                    </c15:dlblFTEntry>
                  </c15:dlblFieldTable>
                  <c15:showDataLabelsRange val="0"/>
                </c:ext>
              </c:extLst>
            </c:dLbl>
            <c:dLbl>
              <c:idx val="13"/>
              <c:tx>
                <c:strRef>
                  <c:f>'Calculs dispo Données FA'!$AA$141</c:f>
                  <c:strCache>
                    <c:ptCount val="1"/>
                    <c:pt idx="0">
                      <c:v>2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{160C135E-DB5A-4197-9304-17D550492EC3}</c15:txfldGUID>
                      <c15:f>'Calculs dispo Données FA'!$AA$141</c15:f>
                      <c15:dlblFieldTableCache>
                        <c:ptCount val="1"/>
                        <c:pt idx="0">
                          <c:v>2 B &amp; Consumption =0</c:v>
                        </c:pt>
                      </c15:dlblFieldTableCache>
                    </c15:dlblFTEntry>
                  </c15:dlblFieldTable>
                  <c15:showDataLabelsRange val="0"/>
                </c:ext>
              </c:extLst>
            </c:dLbl>
            <c:dLbl>
              <c:idx val="14"/>
              <c:tx>
                <c:strRef>
                  <c:f>'Calculs dispo Données FA'!$AA$142</c:f>
                  <c:strCache>
                    <c:ptCount val="1"/>
                    <c:pt idx="0">
                      <c:v>11566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{3E54099B-809F-4A08-8826-CB028EA891F6}</c15:txfldGUID>
                      <c15:f>'Calculs dispo Données FA'!$AA$142</c15:f>
                      <c15:dlblFieldTableCache>
                        <c:ptCount val="1"/>
                        <c:pt idx="0">
                          <c:v>11566 B &amp; Consumption =0</c:v>
                        </c:pt>
                      </c15:dlblFieldTableCache>
                    </c15:dlblFTEntry>
                  </c15:dlblFieldTable>
                  <c15:showDataLabelsRange val="0"/>
                </c:ext>
              </c:extLst>
            </c:dLbl>
            <c:dLbl>
              <c:idx val="15"/>
              <c:tx>
                <c:strRef>
                  <c:f>'Calculs dispo Données FA'!$AA$144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{153244A1-AA50-4D29-A7FC-3925A5D43F28}</c15:txfldGUID>
                      <c15:f>'Calculs dispo Données FA'!$AA$144</c15:f>
                      <c15:dlblFieldTableCache>
                        <c:ptCount val="1"/>
                      </c15:dlblFieldTableCache>
                    </c15:dlblFTEntry>
                  </c15:dlblFieldTable>
                  <c15:showDataLabelsRange val="0"/>
                </c:ext>
              </c:extLst>
            </c:dLbl>
            <c:dLbl>
              <c:idx val="16"/>
              <c:tx>
                <c:strRef>
                  <c:f>'Calculs dispo Données FA'!$AA$146</c:f>
                  <c:strCache>
                    <c:ptCount val="1"/>
                    <c:pt idx="0">
                      <c:v>1093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{2F2DD6E9-7A3A-4865-9749-4077BCD0482E}</c15:txfldGUID>
                      <c15:f>'Calculs dispo Données FA'!$AA$146</c15:f>
                      <c15:dlblFieldTableCache>
                        <c:ptCount val="1"/>
                        <c:pt idx="0">
                          <c:v>1093 B &amp; Consumption =0</c:v>
                        </c:pt>
                      </c15:dlblFieldTableCache>
                    </c15:dlblFTEntry>
                  </c15:dlblFieldTable>
                  <c15:showDataLabelsRange val="0"/>
                </c:ext>
              </c:extLst>
            </c:dLbl>
            <c:dLbl>
              <c:idx val="17"/>
              <c:tx>
                <c:strRef>
                  <c:f>'Calculs dispo Données FA'!$AA$148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{D00544E4-F9D4-48CE-A748-B58DBAA3B020}</c15:txfldGUID>
                      <c15:f>'Calculs dispo Données FA'!$AA$148</c15:f>
                      <c15:dlblFieldTableCache>
                        <c:ptCount val="1"/>
                      </c15:dlblFieldTableCache>
                    </c15:dlblFTEntry>
                  </c15:dlblFieldTable>
                  <c15:showDataLabelsRange val="0"/>
                </c:ext>
              </c:extLst>
            </c:dLbl>
            <c:dLbl>
              <c:idx val="18"/>
              <c:tx>
                <c:strRef>
                  <c:f>'Calculs dispo Données FA'!$AA$151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{30203531-EF9D-47F9-9C5A-5E61288E1818}</c15:txfldGUID>
                      <c15:f>'Calculs dispo Données FA'!$AA$151</c15:f>
                      <c15:dlblFieldTableCache>
                        <c:ptCount val="1"/>
                      </c15:dlblFieldTableCache>
                    </c15:dlblFTEntry>
                  </c15:dlblFieldTable>
                  <c15:showDataLabelsRange val="0"/>
                </c:ext>
              </c:extLst>
            </c:dLbl>
            <c:dLbl>
              <c:idx val="19"/>
              <c:tx>
                <c:strRef>
                  <c:f>'Calculs dispo Données FA'!$AA$152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{D17304BE-77E7-49CD-A3BA-BFE428A726C1}</c15:txfldGUID>
                      <c15:f>'Calculs dispo Données FA'!$AA$152</c15:f>
                      <c15:dlblFieldTableCache>
                        <c:ptCount val="1"/>
                      </c15:dlblFieldTableCache>
                    </c15:dlblFTEntry>
                  </c15:dlblFieldTable>
                  <c15:showDataLabelsRange val="0"/>
                </c:ext>
              </c:extLst>
            </c:dLbl>
            <c:dLbl>
              <c:idx val="20"/>
              <c:tx>
                <c:strRef>
                  <c:f>'Calculs dispo Données FA'!$AA$154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{3911A7C9-7654-4A73-8373-939B5355E6C4}</c15:txfldGUID>
                      <c15:f>'Calculs dispo Données FA'!$AA$154</c15:f>
                      <c15:dlblFieldTableCache>
                        <c:ptCount val="1"/>
                      </c15:dlblFieldTableCache>
                    </c15:dlblFTEntry>
                  </c15:dlblFieldTable>
                  <c15:showDataLabelsRange val="0"/>
                </c:ext>
              </c:extLst>
            </c:dLbl>
            <c:dLbl>
              <c:idx val="21"/>
              <c:tx>
                <c:strRef>
                  <c:f>'Calculs dispo Données FA'!$AA$155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{6743299B-715B-4F12-A21C-2E2DC87FE586}</c15:txfldGUID>
                      <c15:f>'Calculs dispo Données FA'!$AA$155</c15:f>
                      <c15:dlblFieldTableCache>
                        <c:ptCount val="1"/>
                        <c:pt idx="0">
                          <c:v>956 B &amp; Consumption =0</c:v>
                        </c:pt>
                      </c15:dlblFieldTableCache>
                    </c15:dlblFTEntry>
                  </c15:dlblFieldTable>
                  <c15:showDataLabelsRange val="0"/>
                </c:ext>
              </c:extLst>
            </c:dLbl>
            <c:dLbl>
              <c:idx val="22"/>
              <c:tx>
                <c:strRef>
                  <c:f>'Calculs dispo Données FA'!$AA$156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{732E6595-EFF3-4E71-9FCE-48136215A2EE}</c15:txfldGUID>
                      <c15:f>'Calculs dispo Données FA'!$AA$156</c15:f>
                      <c15:dlblFieldTableCache>
                        <c:ptCount val="1"/>
                      </c15:dlblFieldTableCache>
                    </c15:dlblFTEntry>
                  </c15:dlblFieldTable>
                  <c15:showDataLabelsRange val="0"/>
                </c:ext>
              </c:extLst>
            </c:dLbl>
            <c:dLbl>
              <c:idx val="23"/>
              <c:tx>
                <c:strRef>
                  <c:f>'Calculs dispo Données FA'!$AA$157</c:f>
                  <c:strCache>
                    <c:ptCount val="1"/>
                    <c:pt idx="0">
                      <c:v>750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{1BCEB1BF-0909-435D-B240-56612406DA58}</c15:txfldGUID>
                      <c15:f>'Calculs dispo Données FA'!$AA$157</c15:f>
                      <c15:dlblFieldTableCache>
                        <c:ptCount val="1"/>
                        <c:pt idx="0">
                          <c:v>750 B &amp; Consumption =0</c:v>
                        </c:pt>
                      </c15:dlblFieldTableCache>
                    </c15:dlblFTEntry>
                  </c15:dlblFieldTable>
                  <c15:showDataLabelsRange val="0"/>
                </c:ext>
              </c:extLst>
            </c:dLbl>
            <c:dLbl>
              <c:idx val="24"/>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{B18BC9C0-2912-4EB8-85C3-7A8CB999BEF1}</c15:txfldGUID>
                      <c15:f>'Calculs dispo Données FA'!$AA$161</c15:f>
                      <c15:dlblFieldTableCache>
                        <c:ptCount val="1"/>
                      </c15:dlblFieldTableCache>
                    </c15:dlblFTEntry>
                  </c15:dlblFieldTable>
                  <c15:showDataLabelsRange val="0"/>
                </c:ext>
              </c:extLst>
            </c:dLbl>
            <c:dLbl>
              <c:idx val="25"/>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{3B6A540C-7E5C-4FB4-86F7-3145AD421E94}</c15:txfldGUID>
                      <c15:f>'Calculs dispo Données FA'!$AA$163</c15:f>
                      <c15:dlblFieldTableCache>
                        <c:ptCount val="1"/>
                      </c15:dlblFieldTableCache>
                    </c15:dlblFTEntry>
                  </c15:dlblFieldTable>
                  <c15:showDataLabelsRange val="0"/>
                </c:ext>
              </c:extLst>
            </c:dLbl>
            <c:dLbl>
              <c:idx val="26"/>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{FDB7E5AE-DF9B-4F28-BC1F-416AC07C5E9E}</c15:txfldGUID>
                      <c15:f>'Calculs dispo Données FA'!$AA$159</c15:f>
                      <c15:dlblFieldTableCache>
                        <c:ptCount val="1"/>
                        <c:pt idx="0">
                          <c:v>1705 B &amp; Consumption =0</c:v>
                        </c:pt>
                      </c15:dlblFieldTableCache>
                    </c15:dlblFTEntry>
                  </c15:dlblFieldTable>
                  <c15:showDataLabelsRange val="0"/>
                </c:ext>
              </c:extLst>
            </c:dLbl>
            <c:dLbl>
              <c:idx val="27"/>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{37D330AF-9875-445D-B39B-6E47DEDCA1EB}</c15:txfldGUID>
                      <c15:f>'Calculs dispo Données FA'!$AA$162</c15:f>
                      <c15:dlblFieldTableCache>
                        <c:ptCount val="1"/>
                      </c15:dlblFieldTableCache>
                    </c15:dlblFTEntry>
                  </c15:dlblFieldTable>
                  <c15:showDataLabelsRange val="0"/>
                </c:ext>
              </c:extLst>
            </c:dLbl>
            <c:dLbl>
              <c:idx val="28"/>
              <c:tx>
                <c:strRef>
                  <c:f>'Calculs dispo Données FA'!$AA$164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{96119420-8793-43F3-8AB8-453077B0B78E}</c15:txfldGUID>
                      <c15:f>'Calculs dispo Données FA'!$AA$164</c15:f>
                      <c15:dlblFieldTableCache>
                        <c:ptCount val="1"/>
                      </c15:dlblFieldTableCache>
                    </c15:dlblFTEntry>
                  </c15:dlblFieldTable>
                  <c15:showDataLabelsRange val="0"/>
                </c:ext>
              </c:extLst>
            </c:dLbl>
            <c:dLbl>
              <c:idx val="29"/>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{DEF766F4-6B00-4B50-8B37-AFB29677044F}</c15:txfldGUID>
                      <c15:f>'Calculs dispo Données FA'!$AA$165</c15:f>
                      <c15:dlblFieldTableCache>
                        <c:ptCount val="1"/>
                      </c15:dlblFieldTableCache>
                    </c15:dlblFTEntry>
                  </c15:dlblFieldTable>
                  <c15:showDataLabelsRange val="0"/>
                </c:ext>
              </c:extLst>
            </c:dLbl>
            <c:spPr>
              <a:noFill/>
              <a:ln>
                <a:noFill/>
              </a:ln>
              <a:effectLst/>
            </c:spPr>
            <c:txPr>
              <a:bodyPr/>
              <a:lstStyle/>
              <a:p>
                <a:pPr>
                  <a:defRPr lang="fr-FR" b="1" i="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FA'!$H$109:$H$116</c:f>
              <c:strCache>
                <c:ptCount val="8"/>
                <c:pt idx="0">
                  <c:v>Nom pour représentation graphique</c:v>
                </c:pt>
                <c:pt idx="1">
                  <c:v>AZT - 10 mg/mL-Fl/240mL</c:v>
                </c:pt>
                <c:pt idx="2">
                  <c:v>D4T - 10 mg/mL-Fl/240mL</c:v>
                </c:pt>
                <c:pt idx="3">
                  <c:v>3TC - 10 mg/mL-Fl/240mL</c:v>
                </c:pt>
                <c:pt idx="4">
                  <c:v>ABC - 20 mg/mL-Fl/240mL</c:v>
                </c:pt>
                <c:pt idx="5">
                  <c:v>DDI - 2 g-Fl/200mL</c:v>
                </c:pt>
                <c:pt idx="6">
                  <c:v>NVP - 10 mg/mL-Fl/240mL</c:v>
                </c:pt>
                <c:pt idx="7">
                  <c:v>EFV - 30 mg/mL-Fl/180mL</c:v>
                </c:pt>
              </c:strCache>
            </c:strRef>
          </c:cat>
          <c:val>
            <c:numRef>
              <c:f>'Calculs dispo Données FA'!$Y$109:$Y$116</c:f>
              <c:numCache>
                <c:formatCode>0.0</c:formatCode>
                <c:ptCount val="8"/>
                <c:pt idx="0" formatCode="General">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170735872"/>
        <c:axId val="170737664"/>
      </c:barChart>
      <c:catAx>
        <c:axId val="170735872"/>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70737664"/>
        <c:crosses val="autoZero"/>
        <c:auto val="1"/>
        <c:lblAlgn val="ctr"/>
        <c:lblOffset val="100"/>
        <c:tickMarkSkip val="2"/>
        <c:noMultiLvlLbl val="0"/>
      </c:catAx>
      <c:valAx>
        <c:axId val="170737664"/>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0.13930205001471888"/>
              <c:y val="0.11418547681539808"/>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70735872"/>
        <c:crosses val="autoZero"/>
        <c:crossBetween val="between"/>
        <c:majorUnit val="3"/>
      </c:valAx>
      <c:spPr>
        <a:ln>
          <a:solidFill>
            <a:schemeClr val="bg1">
              <a:lumMod val="50000"/>
            </a:schemeClr>
          </a:solidFill>
        </a:ln>
      </c:spPr>
    </c:plotArea>
    <c:legend>
      <c:legendPos val="b"/>
      <c:layout>
        <c:manualLayout>
          <c:xMode val="edge"/>
          <c:yMode val="edge"/>
          <c:x val="9.3670854762384747E-3"/>
          <c:y val="0.9441373578302712"/>
          <c:w val="0.97623902572970089"/>
          <c:h val="3.5492271799358412E-2"/>
        </c:manualLayout>
      </c:layout>
      <c:overlay val="0"/>
      <c:txPr>
        <a:bodyPr/>
        <a:lstStyle/>
        <a:p>
          <a:pPr>
            <a:defRPr lang="fr-FR"/>
          </a:pPr>
          <a:endParaRPr lang="en-US"/>
        </a:p>
      </c:txPr>
    </c:legend>
    <c:plotVisOnly val="1"/>
    <c:dispBlanksAs val="gap"/>
    <c:showDLblsOverMax val="0"/>
  </c:chart>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solidFill>
                <a:sysClr val="windowText" lastClr="000000"/>
              </a:solidFill>
            </a:defRPr>
          </a:pPr>
          <a:endParaRPr lang="en-US"/>
        </a:p>
      </c:txPr>
    </c:title>
    <c:autoTitleDeleted val="0"/>
    <c:plotArea>
      <c:layout>
        <c:manualLayout>
          <c:layoutTarget val="inner"/>
          <c:xMode val="edge"/>
          <c:yMode val="edge"/>
          <c:x val="0.1414872811021228"/>
          <c:y val="0.18332195975503071"/>
          <c:w val="0.70542404159894712"/>
          <c:h val="0.73972480894209436"/>
        </c:manualLayout>
      </c:layout>
      <c:barChart>
        <c:barDir val="bar"/>
        <c:grouping val="stacked"/>
        <c:varyColors val="0"/>
        <c:ser>
          <c:idx val="0"/>
          <c:order val="0"/>
          <c:tx>
            <c:strRef>
              <c:f>'Calculs dispo Données FA'!$X$166</c:f>
              <c:strCache>
                <c:ptCount val="1"/>
                <c:pt idx="0">
                  <c:v>Nombre de mois de disponibilité de produits hors ST</c:v>
                </c:pt>
              </c:strCache>
            </c:strRef>
          </c:tx>
          <c:spPr>
            <a:solidFill>
              <a:srgbClr val="4F81BD"/>
            </a:solidFill>
          </c:spPr>
          <c:invertIfNegative val="1"/>
          <c:cat>
            <c:strRef>
              <c:f>'Calculs dispo Données FA'!$H$53:$H$60</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FA'!$X$167:$X$174</c:f>
              <c:numCache>
                <c:formatCode>0.0</c:formatCode>
                <c:ptCount val="8"/>
                <c:pt idx="0">
                  <c:v>0</c:v>
                </c:pt>
                <c:pt idx="1">
                  <c:v>0</c:v>
                </c:pt>
                <c:pt idx="2">
                  <c:v>0</c:v>
                </c:pt>
                <c:pt idx="3">
                  <c:v>0</c:v>
                </c:pt>
                <c:pt idx="4">
                  <c:v>0</c:v>
                </c:pt>
                <c:pt idx="5">
                  <c:v>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FA'!$Y$166</c:f>
              <c:strCache>
                <c:ptCount val="1"/>
                <c:pt idx="0">
                  <c:v>Nombre de mois de stock tampon (max 3 mois)</c:v>
                </c:pt>
              </c:strCache>
            </c:strRef>
          </c:tx>
          <c:invertIfNegative val="0"/>
          <c:cat>
            <c:strRef>
              <c:f>'Calculs dispo Données FA'!$H$53:$H$60</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FA'!$Y$167:$Y$174</c:f>
              <c:numCache>
                <c:formatCode>0.0</c:formatCode>
                <c:ptCount val="8"/>
                <c:pt idx="0">
                  <c:v>0</c:v>
                </c:pt>
                <c:pt idx="1">
                  <c:v>0</c:v>
                </c:pt>
                <c:pt idx="2">
                  <c:v>0</c:v>
                </c:pt>
                <c:pt idx="3">
                  <c:v>0</c:v>
                </c:pt>
                <c:pt idx="4">
                  <c:v>0</c:v>
                </c:pt>
                <c:pt idx="5">
                  <c:v>0</c:v>
                </c:pt>
                <c:pt idx="6">
                  <c:v>0</c:v>
                </c:pt>
                <c:pt idx="7">
                  <c:v>0</c:v>
                </c:pt>
              </c:numCache>
            </c:numRef>
          </c:val>
        </c:ser>
        <c:ser>
          <c:idx val="3"/>
          <c:order val="2"/>
          <c:tx>
            <c:strRef>
              <c:f>'Calculs dispo Données FA'!$AJ$223</c:f>
              <c:strCache>
                <c:ptCount val="1"/>
                <c:pt idx="0">
                  <c:v>Delta Dispo/date de réception attendue</c:v>
                </c:pt>
              </c:strCache>
            </c:strRef>
          </c:tx>
          <c:spPr>
            <a:noFill/>
            <a:ln w="12700">
              <a:solidFill>
                <a:srgbClr val="FF0000"/>
              </a:solidFill>
              <a:prstDash val="dash"/>
            </a:ln>
          </c:spPr>
          <c:invertIfNegative val="0"/>
          <c:val>
            <c:numRef>
              <c:f>'Calculs dispo Données FA'!$AJ$224:$AJ$231</c:f>
              <c:numCache>
                <c:formatCode>0.00</c:formatCode>
                <c:ptCount val="8"/>
                <c:pt idx="0">
                  <c:v>0</c:v>
                </c:pt>
                <c:pt idx="1">
                  <c:v>0</c:v>
                </c:pt>
                <c:pt idx="2">
                  <c:v>0</c:v>
                </c:pt>
                <c:pt idx="3">
                  <c:v>0</c:v>
                </c:pt>
                <c:pt idx="4">
                  <c:v>0</c:v>
                </c:pt>
                <c:pt idx="5">
                  <c:v>0</c:v>
                </c:pt>
                <c:pt idx="6">
                  <c:v>0</c:v>
                </c:pt>
                <c:pt idx="7">
                  <c:v>0</c:v>
                </c:pt>
              </c:numCache>
            </c:numRef>
          </c:val>
        </c:ser>
        <c:ser>
          <c:idx val="2"/>
          <c:order val="3"/>
          <c:tx>
            <c:strRef>
              <c:f>'Calculs dispo Données FA'!$AO$223</c:f>
              <c:strCache>
                <c:ptCount val="1"/>
                <c:pt idx="0">
                  <c:v>Nb de mois de stock / commande attendue</c:v>
                </c:pt>
              </c:strCache>
            </c:strRef>
          </c:tx>
          <c:invertIfNegative val="0"/>
          <c:dLbls>
            <c:dLbl>
              <c:idx val="0"/>
              <c:tx>
                <c:strRef>
                  <c:f>'Calculs dispo Données FA'!$AM$224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{06BBC63D-1118-470C-A239-20A32C6A3AD9}</c15:txfldGUID>
                      <c15:f>'Calculs dispo Données FA'!$AM$224</c15:f>
                      <c15:dlblFieldTableCache>
                        <c:ptCount val="1"/>
                      </c15:dlblFieldTableCache>
                    </c15:dlblFTEntry>
                  </c15:dlblFieldTable>
                  <c15:showDataLabelsRange val="0"/>
                </c:ext>
              </c:extLst>
            </c:dLbl>
            <c:dLbl>
              <c:idx val="1"/>
              <c:tx>
                <c:strRef>
                  <c:f>'Calculs dispo Données FA'!$AM$225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{D501F4E9-7A27-4118-AC92-492C8198B645}</c15:txfldGUID>
                      <c15:f>'Calculs dispo Données FA'!$AM$225</c15:f>
                      <c15:dlblFieldTableCache>
                        <c:ptCount val="1"/>
                      </c15:dlblFieldTableCache>
                    </c15:dlblFTEntry>
                  </c15:dlblFieldTable>
                  <c15:showDataLabelsRange val="0"/>
                </c:ext>
              </c:extLst>
            </c:dLbl>
            <c:dLbl>
              <c:idx val="2"/>
              <c:tx>
                <c:strRef>
                  <c:f>'Calculs dispo Données FA'!$AM$226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{8E824FE4-D390-4587-A9AF-1871A2D43FC1}</c15:txfldGUID>
                      <c15:f>'Calculs dispo Données FA'!$AM$226</c15:f>
                      <c15:dlblFieldTableCache>
                        <c:ptCount val="1"/>
                      </c15:dlblFieldTableCache>
                    </c15:dlblFTEntry>
                  </c15:dlblFieldTable>
                  <c15:showDataLabelsRange val="0"/>
                </c:ext>
              </c:extLst>
            </c:dLbl>
            <c:dLbl>
              <c:idx val="3"/>
              <c:tx>
                <c:strRef>
                  <c:f>'Calculs dispo Données FA'!$AM$227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{4471AC76-BED4-410D-B046-3D570B58C035}</c15:txfldGUID>
                      <c15:f>'Calculs dispo Données FA'!$AM$227</c15:f>
                      <c15:dlblFieldTableCache>
                        <c:ptCount val="1"/>
                      </c15:dlblFieldTableCache>
                    </c15:dlblFTEntry>
                  </c15:dlblFieldTable>
                  <c15:showDataLabelsRange val="0"/>
                </c:ext>
              </c:extLst>
            </c:dLbl>
            <c:dLbl>
              <c:idx val="4"/>
              <c:tx>
                <c:strRef>
                  <c:f>'Calculs dispo Données FA'!$AM$228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{2B47CAB3-9120-404E-BB8A-BB2CFE5DD43A}</c15:txfldGUID>
                      <c15:f>'Calculs dispo Données FA'!$AM$228</c15:f>
                      <c15:dlblFieldTableCache>
                        <c:ptCount val="1"/>
                      </c15:dlblFieldTableCache>
                    </c15:dlblFTEntry>
                  </c15:dlblFieldTable>
                  <c15:showDataLabelsRange val="0"/>
                </c:ext>
              </c:extLst>
            </c:dLbl>
            <c:dLbl>
              <c:idx val="5"/>
              <c:tx>
                <c:strRef>
                  <c:f>'Calculs dispo Données FA'!$AM$229</c:f>
                  <c:strCache>
                    <c:ptCount val="1"/>
                    <c:pt idx="0">
                      <c:v>3990B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{A7ED3E6C-9EA8-495C-864F-119EE908C316}</c15:txfldGUID>
                      <c15:f>'Calculs dispo Données FA'!$AM$229</c15:f>
                      <c15:dlblFieldTableCache>
                        <c:ptCount val="1"/>
                        <c:pt idx="0">
                          <c:v>3990B &amp; Consumption =0</c:v>
                        </c:pt>
                      </c15:dlblFieldTableCache>
                    </c15:dlblFTEntry>
                  </c15:dlblFieldTable>
                  <c15:showDataLabelsRange val="0"/>
                </c:ext>
              </c:extLst>
            </c:dLbl>
            <c:dLbl>
              <c:idx val="6"/>
              <c:tx>
                <c:strRef>
                  <c:f>'Calculs dispo Données FA'!$AM$230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{A42F10E2-D8F2-4C19-A1FC-4096FC4F46EE}</c15:txfldGUID>
                      <c15:f>'Calculs dispo Données FA'!$AM$230</c15:f>
                      <c15:dlblFieldTableCache>
                        <c:ptCount val="1"/>
                      </c15:dlblFieldTableCache>
                    </c15:dlblFTEntry>
                  </c15:dlblFieldTable>
                  <c15:showDataLabelsRange val="0"/>
                </c:ext>
              </c:extLst>
            </c:dLbl>
            <c:dLbl>
              <c:idx val="7"/>
              <c:tx>
                <c:strRef>
                  <c:f>'Calculs dispo Données FA'!$AM$231</c:f>
                  <c:strCache>
                    <c:ptCount val="1"/>
                    <c:pt idx="0">
                      <c:v>2168B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{A759EAFA-72D5-4228-977B-A201F8C97A6D}</c15:txfldGUID>
                      <c15:f>'Calculs dispo Données FA'!$AM$231</c15:f>
                      <c15:dlblFieldTableCache>
                        <c:ptCount val="1"/>
                        <c:pt idx="0">
                          <c:v>2168B &amp; Consumption =0</c:v>
                        </c:pt>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FA'!$H$53:$H$60</c:f>
              <c:strCache>
                <c:ptCount val="8"/>
                <c:pt idx="0">
                  <c:v>AZT - 10 mg/mL-Fl/240mL</c:v>
                </c:pt>
                <c:pt idx="1">
                  <c:v>D4T - 10 mg/mL-Fl/240mL</c:v>
                </c:pt>
                <c:pt idx="2">
                  <c:v>3TC - 10 mg/mL-Fl/240mL</c:v>
                </c:pt>
                <c:pt idx="3">
                  <c:v>ABC - 20 mg/mL-Fl/240mL</c:v>
                </c:pt>
                <c:pt idx="4">
                  <c:v>DDI - 2 g-Fl/200mL</c:v>
                </c:pt>
                <c:pt idx="5">
                  <c:v>NVP - 10 mg/mL-Fl/240mL</c:v>
                </c:pt>
                <c:pt idx="6">
                  <c:v>EFV - 30 mg/mL-Fl/180mL</c:v>
                </c:pt>
                <c:pt idx="7">
                  <c:v>LPV/r - 80/20 mg/mL-Fl/60mL</c:v>
                </c:pt>
              </c:strCache>
            </c:strRef>
          </c:cat>
          <c:val>
            <c:numRef>
              <c:f>'Calculs dispo Données FA'!$AO$224:$AO$231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171075840"/>
        <c:axId val="171081728"/>
      </c:barChart>
      <c:catAx>
        <c:axId val="171075840"/>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71081728"/>
        <c:crosses val="autoZero"/>
        <c:auto val="1"/>
        <c:lblAlgn val="ctr"/>
        <c:lblOffset val="100"/>
        <c:tickMarkSkip val="2"/>
        <c:noMultiLvlLbl val="0"/>
      </c:catAx>
      <c:valAx>
        <c:axId val="171081728"/>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1.0676799236099222E-3"/>
              <c:y val="0.11788919770912636"/>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71075840"/>
        <c:crosses val="autoZero"/>
        <c:crossBetween val="between"/>
        <c:majorUnit val="3"/>
      </c:valAx>
      <c:spPr>
        <a:ln>
          <a:solidFill>
            <a:schemeClr val="bg1">
              <a:lumMod val="50000"/>
            </a:schemeClr>
          </a:solidFill>
        </a:ln>
      </c:spPr>
    </c:plotArea>
    <c:legend>
      <c:legendPos val="b"/>
      <c:overlay val="0"/>
      <c:txPr>
        <a:bodyPr/>
        <a:lstStyle/>
        <a:p>
          <a:pPr>
            <a:defRPr lang="fr-FR"/>
          </a:pPr>
          <a:endParaRPr lang="en-US"/>
        </a:p>
      </c:txPr>
    </c:legend>
    <c:plotVisOnly val="1"/>
    <c:dispBlanksAs val="gap"/>
    <c:showDLblsOverMax val="0"/>
  </c:chart>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solidFill>
                <a:sysClr val="windowText" lastClr="000000"/>
              </a:solidFill>
            </a:defRPr>
          </a:pPr>
          <a:endParaRPr lang="en-US"/>
        </a:p>
      </c:txPr>
    </c:title>
    <c:autoTitleDeleted val="0"/>
    <c:plotArea>
      <c:layout>
        <c:manualLayout>
          <c:layoutTarget val="inner"/>
          <c:xMode val="edge"/>
          <c:yMode val="edge"/>
          <c:x val="0.13394722455169669"/>
          <c:y val="0.183321986486149"/>
          <c:w val="0.70919406987415912"/>
          <c:h val="0.74713221742961045"/>
        </c:manualLayout>
      </c:layout>
      <c:barChart>
        <c:barDir val="bar"/>
        <c:grouping val="stacked"/>
        <c:varyColors val="0"/>
        <c:ser>
          <c:idx val="0"/>
          <c:order val="0"/>
          <c:tx>
            <c:strRef>
              <c:f>'Calculs dispo Données conso'!$X$168</c:f>
              <c:strCache>
                <c:ptCount val="1"/>
                <c:pt idx="0">
                  <c:v>Nombre de mois de disponibilité de produits hors ST</c:v>
                </c:pt>
              </c:strCache>
            </c:strRef>
          </c:tx>
          <c:spPr>
            <a:solidFill>
              <a:srgbClr val="4F81BD"/>
            </a:solidFill>
          </c:spPr>
          <c:invertIfNegative val="1"/>
          <c:cat>
            <c:strRef>
              <c:f>'Calculs dispo Données conso'!$H$169:$H$176</c:f>
              <c:strCache>
                <c:ptCount val="8"/>
                <c:pt idx="0">
                  <c:v>AZT - 10 mg/mL - Fl/240mL</c:v>
                </c:pt>
                <c:pt idx="1">
                  <c:v>D4T - 10 mg/mL - Fl/240mL</c:v>
                </c:pt>
                <c:pt idx="2">
                  <c:v>3TC - 10 mg/mL - Fl/240mL</c:v>
                </c:pt>
                <c:pt idx="3">
                  <c:v>ABC - 20 mg/mL - Fl/240mL</c:v>
                </c:pt>
                <c:pt idx="4">
                  <c:v>DDI - 2 g - Fl/200mL</c:v>
                </c:pt>
                <c:pt idx="5">
                  <c:v>NVP - 10 mg/mL - Fl/240mL</c:v>
                </c:pt>
                <c:pt idx="6">
                  <c:v>EFV - 30 mg/mL - Fl/180mL</c:v>
                </c:pt>
                <c:pt idx="7">
                  <c:v>LPV/r - 80/20 mg/mL - Fl/60mL</c:v>
                </c:pt>
              </c:strCache>
            </c:strRef>
          </c:cat>
          <c:val>
            <c:numRef>
              <c:f>'Calculs dispo Données conso'!$X$169:$X$176</c:f>
              <c:numCache>
                <c:formatCode>0.0</c:formatCode>
                <c:ptCount val="8"/>
                <c:pt idx="0">
                  <c:v>0</c:v>
                </c:pt>
                <c:pt idx="1">
                  <c:v>0</c:v>
                </c:pt>
                <c:pt idx="2">
                  <c:v>0</c:v>
                </c:pt>
                <c:pt idx="3">
                  <c:v>0</c:v>
                </c:pt>
                <c:pt idx="4">
                  <c:v>0</c:v>
                </c:pt>
                <c:pt idx="5">
                  <c:v>1.8072289156626509</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conso'!$Y$168</c:f>
              <c:strCache>
                <c:ptCount val="1"/>
                <c:pt idx="0">
                  <c:v>Nombre de mois de stock tampon (max 3 mois)</c:v>
                </c:pt>
              </c:strCache>
            </c:strRef>
          </c:tx>
          <c:invertIfNegative val="0"/>
          <c:dLbls>
            <c:dLbl>
              <c:idx val="0"/>
              <c:tx>
                <c:strRef>
                  <c:f>'Calculs dispo Données conso'!$AA$169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{79648D27-7004-49D5-A74E-6EA2C5EEFE8A}</c15:txfldGUID>
                      <c15:f>'Calculs dispo Données conso'!$AA$169</c15:f>
                      <c15:dlblFieldTableCache>
                        <c:ptCount val="1"/>
                      </c15:dlblFieldTableCache>
                    </c15:dlblFTEntry>
                  </c15:dlblFieldTable>
                  <c15:showDataLabelsRange val="0"/>
                </c:ext>
              </c:extLst>
            </c:dLbl>
            <c:dLbl>
              <c:idx val="1"/>
              <c:tx>
                <c:strRef>
                  <c:f>'Calculs dispo Données conso'!$AA$170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{808A4803-269A-4ED4-92D4-EA63154D9FB3}</c15:txfldGUID>
                      <c15:f>'Calculs dispo Données conso'!$AA$170</c15:f>
                      <c15:dlblFieldTableCache>
                        <c:ptCount val="1"/>
                      </c15:dlblFieldTableCache>
                    </c15:dlblFTEntry>
                  </c15:dlblFieldTable>
                  <c15:showDataLabelsRange val="0"/>
                </c:ext>
              </c:extLst>
            </c:dLbl>
            <c:dLbl>
              <c:idx val="2"/>
              <c:tx>
                <c:strRef>
                  <c:f>'Calculs dispo Données conso'!$AA$171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{70777C66-EBCA-437A-A803-4B1A07A9B89C}</c15:txfldGUID>
                      <c15:f>'Calculs dispo Données conso'!$AA$171</c15:f>
                      <c15:dlblFieldTableCache>
                        <c:ptCount val="1"/>
                      </c15:dlblFieldTableCache>
                    </c15:dlblFTEntry>
                  </c15:dlblFieldTable>
                  <c15:showDataLabelsRange val="0"/>
                </c:ext>
              </c:extLst>
            </c:dLbl>
            <c:dLbl>
              <c:idx val="3"/>
              <c:tx>
                <c:strRef>
                  <c:f>'Calculs dispo Données conso'!$AA$172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{6BE8214F-0027-4ABB-A01D-59CDAEFA7A1B}</c15:txfldGUID>
                      <c15:f>'Calculs dispo Données conso'!$AA$172</c15:f>
                      <c15:dlblFieldTableCache>
                        <c:ptCount val="1"/>
                      </c15:dlblFieldTableCache>
                    </c15:dlblFTEntry>
                  </c15:dlblFieldTable>
                  <c15:showDataLabelsRange val="0"/>
                </c:ext>
              </c:extLst>
            </c:dLbl>
            <c:dLbl>
              <c:idx val="4"/>
              <c:tx>
                <c:strRef>
                  <c:f>'Calculs dispo Données conso'!$AA$173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{67FAB757-3B98-44DE-819A-541642568501}</c15:txfldGUID>
                      <c15:f>'Calculs dispo Données conso'!$AA$173</c15:f>
                      <c15:dlblFieldTableCache>
                        <c:ptCount val="1"/>
                      </c15:dlblFieldTableCache>
                    </c15:dlblFTEntry>
                  </c15:dlblFieldTable>
                  <c15:showDataLabelsRange val="0"/>
                </c:ext>
              </c:extLst>
            </c:dLbl>
            <c:dLbl>
              <c:idx val="5"/>
              <c:tx>
                <c:strRef>
                  <c:f>'Calculs dispo Données conso'!$AA$174</c:f>
                  <c:strCache>
                    <c:ptCount val="1"/>
                    <c:pt idx="0">
                      <c:v>02/03/2015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{F1C500BB-0900-4972-9FDA-1CF467889C51}</c15:txfldGUID>
                      <c15:f>'Calculs dispo Données conso'!$AA$174</c15:f>
                      <c15:dlblFieldTableCache>
                        <c:ptCount val="1"/>
                        <c:pt idx="0">
                          <c:v>02/03/2015</c:v>
                        </c:pt>
                      </c15:dlblFieldTableCache>
                    </c15:dlblFTEntry>
                  </c15:dlblFieldTable>
                  <c15:showDataLabelsRange val="0"/>
                </c:ext>
              </c:extLst>
            </c:dLbl>
            <c:dLbl>
              <c:idx val="6"/>
              <c:tx>
                <c:strRef>
                  <c:f>'Calculs dispo Données conso'!$AA$175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{406F608E-F8DB-4C98-90B6-B28EFEEC75DD}</c15:txfldGUID>
                      <c15:f>'Calculs dispo Données conso'!$AA$175</c15:f>
                      <c15:dlblFieldTableCache>
                        <c:ptCount val="1"/>
                      </c15:dlblFieldTableCache>
                    </c15:dlblFTEntry>
                  </c15:dlblFieldTable>
                  <c15:showDataLabelsRange val="0"/>
                </c:ext>
              </c:extLst>
            </c:dLbl>
            <c:dLbl>
              <c:idx val="7"/>
              <c:tx>
                <c:strRef>
                  <c:f>'Calculs dispo Données conso'!$AA$176</c:f>
                  <c:strCache>
                    <c:ptCount val="1"/>
                    <c:pt idx="0">
                      <c:v>RUPTURE</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{30C6F602-FFE6-40E2-9C34-C8F88C9E55BB}</c15:txfldGUID>
                      <c15:f>'Calculs dispo Données conso'!$AA$176</c15:f>
                      <c15:dlblFieldTableCache>
                        <c:ptCount val="1"/>
                        <c:pt idx="0">
                          <c:v>STOCKOUT</c:v>
                        </c:pt>
                      </c15:dlblFieldTableCache>
                    </c15:dlblFTEntry>
                  </c15:dlblFieldTable>
                  <c15:showDataLabelsRange val="0"/>
                </c:ext>
              </c:extLst>
            </c:dLbl>
            <c:dLbl>
              <c:idx val="8"/>
              <c:tx>
                <c:strRef>
                  <c:f>'Calculs dispo Données FA'!$AA$135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{CE4136FB-2135-4AE6-BF97-B39E3F6530E5}</c15:txfldGUID>
                      <c15:f>'Calculs dispo Données FA'!$AA$135</c15:f>
                      <c15:dlblFieldTableCache>
                        <c:ptCount val="1"/>
                      </c15:dlblFieldTableCache>
                    </c15:dlblFTEntry>
                  </c15:dlblFieldTable>
                  <c15:showDataLabelsRange val="0"/>
                </c:ext>
              </c:extLst>
            </c:dLbl>
            <c:dLbl>
              <c:idx val="9"/>
              <c:tx>
                <c:strRef>
                  <c:f>'Calculs dispo Données FA'!$AA$136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{2626FA88-82C9-4A40-A36D-FC7A84B7B973}</c15:txfldGUID>
                      <c15:f>'Calculs dispo Données FA'!$AA$136</c15:f>
                      <c15:dlblFieldTableCache>
                        <c:ptCount val="1"/>
                      </c15:dlblFieldTableCache>
                    </c15:dlblFTEntry>
                  </c15:dlblFieldTable>
                  <c15:showDataLabelsRange val="0"/>
                </c:ext>
              </c:extLst>
            </c:dLbl>
            <c:dLbl>
              <c:idx val="10"/>
              <c:tx>
                <c:strRef>
                  <c:f>'Calculs dispo Données FA'!$AA$137</c:f>
                  <c:strCache>
                    <c:ptCount val="1"/>
                    <c:pt idx="0">
                      <c:v>38746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{AF294C5E-15AC-479D-9157-02C5D70D8AA0}</c15:txfldGUID>
                      <c15:f>'Calculs dispo Données FA'!$AA$137</c15:f>
                      <c15:dlblFieldTableCache>
                        <c:ptCount val="1"/>
                        <c:pt idx="0">
                          <c:v>38746 B &amp; Consumption =0</c:v>
                        </c:pt>
                      </c15:dlblFieldTableCache>
                    </c15:dlblFTEntry>
                  </c15:dlblFieldTable>
                  <c15:showDataLabelsRange val="0"/>
                </c:ext>
              </c:extLst>
            </c:dLbl>
            <c:dLbl>
              <c:idx val="11"/>
              <c:tx>
                <c:strRef>
                  <c:f>'Calculs dispo Données FA'!$AA$138</c:f>
                  <c:strCache>
                    <c:ptCount val="1"/>
                    <c:pt idx="0">
                      <c:v>505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{0D2AF52A-D6E0-46AA-B485-4BBC2A9AF933}</c15:txfldGUID>
                      <c15:f>'Calculs dispo Données FA'!$AA$138</c15:f>
                      <c15:dlblFieldTableCache>
                        <c:ptCount val="1"/>
                        <c:pt idx="0">
                          <c:v>505 B &amp; Consumption =0</c:v>
                        </c:pt>
                      </c15:dlblFieldTableCache>
                    </c15:dlblFTEntry>
                  </c15:dlblFieldTable>
                  <c15:showDataLabelsRange val="0"/>
                </c:ext>
              </c:extLst>
            </c:dLbl>
            <c:dLbl>
              <c:idx val="12"/>
              <c:tx>
                <c:strRef>
                  <c:f>'Calculs dispo Données FA'!$AA$140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{8244A1D1-8448-4E0E-B66B-46F34E55816E}</c15:txfldGUID>
                      <c15:f>'Calculs dispo Données FA'!$AA$140</c15:f>
                      <c15:dlblFieldTableCache>
                        <c:ptCount val="1"/>
                      </c15:dlblFieldTableCache>
                    </c15:dlblFTEntry>
                  </c15:dlblFieldTable>
                  <c15:showDataLabelsRange val="0"/>
                </c:ext>
              </c:extLst>
            </c:dLbl>
            <c:dLbl>
              <c:idx val="13"/>
              <c:tx>
                <c:strRef>
                  <c:f>'Calculs dispo Données FA'!$AA$141</c:f>
                  <c:strCache>
                    <c:ptCount val="1"/>
                    <c:pt idx="0">
                      <c:v>2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{772BAD12-88E2-454F-B7B5-0C46AF00B6FB}</c15:txfldGUID>
                      <c15:f>'Calculs dispo Données FA'!$AA$141</c15:f>
                      <c15:dlblFieldTableCache>
                        <c:ptCount val="1"/>
                        <c:pt idx="0">
                          <c:v>2 B &amp; Consumption =0</c:v>
                        </c:pt>
                      </c15:dlblFieldTableCache>
                    </c15:dlblFTEntry>
                  </c15:dlblFieldTable>
                  <c15:showDataLabelsRange val="0"/>
                </c:ext>
              </c:extLst>
            </c:dLbl>
            <c:dLbl>
              <c:idx val="14"/>
              <c:tx>
                <c:strRef>
                  <c:f>'Calculs dispo Données FA'!$AA$142</c:f>
                  <c:strCache>
                    <c:ptCount val="1"/>
                    <c:pt idx="0">
                      <c:v>11566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{FD75208D-D50C-4883-A78E-7E7151B7867C}</c15:txfldGUID>
                      <c15:f>'Calculs dispo Données FA'!$AA$142</c15:f>
                      <c15:dlblFieldTableCache>
                        <c:ptCount val="1"/>
                        <c:pt idx="0">
                          <c:v>11566 B &amp; Consumption =0</c:v>
                        </c:pt>
                      </c15:dlblFieldTableCache>
                    </c15:dlblFTEntry>
                  </c15:dlblFieldTable>
                  <c15:showDataLabelsRange val="0"/>
                </c:ext>
              </c:extLst>
            </c:dLbl>
            <c:dLbl>
              <c:idx val="15"/>
              <c:tx>
                <c:strRef>
                  <c:f>'Calculs dispo Données FA'!$AA$144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{AA5F46A8-A953-4472-A8F5-47BE90BEC710}</c15:txfldGUID>
                      <c15:f>'Calculs dispo Données FA'!$AA$144</c15:f>
                      <c15:dlblFieldTableCache>
                        <c:ptCount val="1"/>
                      </c15:dlblFieldTableCache>
                    </c15:dlblFTEntry>
                  </c15:dlblFieldTable>
                  <c15:showDataLabelsRange val="0"/>
                </c:ext>
              </c:extLst>
            </c:dLbl>
            <c:dLbl>
              <c:idx val="16"/>
              <c:tx>
                <c:strRef>
                  <c:f>'Calculs dispo Données FA'!$AA$146</c:f>
                  <c:strCache>
                    <c:ptCount val="1"/>
                    <c:pt idx="0">
                      <c:v>1093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{D7334C10-6368-4A48-B4A0-7742296B43C0}</c15:txfldGUID>
                      <c15:f>'Calculs dispo Données FA'!$AA$146</c15:f>
                      <c15:dlblFieldTableCache>
                        <c:ptCount val="1"/>
                        <c:pt idx="0">
                          <c:v>1093 B &amp; Consumption =0</c:v>
                        </c:pt>
                      </c15:dlblFieldTableCache>
                    </c15:dlblFTEntry>
                  </c15:dlblFieldTable>
                  <c15:showDataLabelsRange val="0"/>
                </c:ext>
              </c:extLst>
            </c:dLbl>
            <c:dLbl>
              <c:idx val="17"/>
              <c:tx>
                <c:strRef>
                  <c:f>'Calculs dispo Données FA'!$AA$148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{319B4CFF-5ED3-482B-8211-52E1C629E97F}</c15:txfldGUID>
                      <c15:f>'Calculs dispo Données FA'!$AA$148</c15:f>
                      <c15:dlblFieldTableCache>
                        <c:ptCount val="1"/>
                      </c15:dlblFieldTableCache>
                    </c15:dlblFTEntry>
                  </c15:dlblFieldTable>
                  <c15:showDataLabelsRange val="0"/>
                </c:ext>
              </c:extLst>
            </c:dLbl>
            <c:dLbl>
              <c:idx val="18"/>
              <c:tx>
                <c:strRef>
                  <c:f>'Calculs dispo Données FA'!$AA$151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{A81EA1F2-6521-471A-A380-FA5326A478E8}</c15:txfldGUID>
                      <c15:f>'Calculs dispo Données FA'!$AA$151</c15:f>
                      <c15:dlblFieldTableCache>
                        <c:ptCount val="1"/>
                      </c15:dlblFieldTableCache>
                    </c15:dlblFTEntry>
                  </c15:dlblFieldTable>
                  <c15:showDataLabelsRange val="0"/>
                </c:ext>
              </c:extLst>
            </c:dLbl>
            <c:dLbl>
              <c:idx val="19"/>
              <c:tx>
                <c:strRef>
                  <c:f>'Calculs dispo Données FA'!$AA$152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{DB69A71C-35B1-474C-B280-2D9EEE0E153D}</c15:txfldGUID>
                      <c15:f>'Calculs dispo Données FA'!$AA$152</c15:f>
                      <c15:dlblFieldTableCache>
                        <c:ptCount val="1"/>
                      </c15:dlblFieldTableCache>
                    </c15:dlblFTEntry>
                  </c15:dlblFieldTable>
                  <c15:showDataLabelsRange val="0"/>
                </c:ext>
              </c:extLst>
            </c:dLbl>
            <c:dLbl>
              <c:idx val="20"/>
              <c:tx>
                <c:strRef>
                  <c:f>'Calculs dispo Données FA'!$AA$154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{6E42BDAA-8A19-4BE3-A678-B83427C37E88}</c15:txfldGUID>
                      <c15:f>'Calculs dispo Données FA'!$AA$154</c15:f>
                      <c15:dlblFieldTableCache>
                        <c:ptCount val="1"/>
                      </c15:dlblFieldTableCache>
                    </c15:dlblFTEntry>
                  </c15:dlblFieldTable>
                  <c15:showDataLabelsRange val="0"/>
                </c:ext>
              </c:extLst>
            </c:dLbl>
            <c:dLbl>
              <c:idx val="21"/>
              <c:tx>
                <c:strRef>
                  <c:f>'Calculs dispo Données FA'!$AA$155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{D812FDBE-3B99-4E5E-8847-8C5B10B3FF8B}</c15:txfldGUID>
                      <c15:f>'Calculs dispo Données FA'!$AA$155</c15:f>
                      <c15:dlblFieldTableCache>
                        <c:ptCount val="1"/>
                        <c:pt idx="0">
                          <c:v>956 B &amp; Consumption =0</c:v>
                        </c:pt>
                      </c15:dlblFieldTableCache>
                    </c15:dlblFTEntry>
                  </c15:dlblFieldTable>
                  <c15:showDataLabelsRange val="0"/>
                </c:ext>
              </c:extLst>
            </c:dLbl>
            <c:dLbl>
              <c:idx val="22"/>
              <c:tx>
                <c:strRef>
                  <c:f>'Calculs dispo Données FA'!$AA$156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{BB269910-F035-4DAB-B211-4666E57CD99B}</c15:txfldGUID>
                      <c15:f>'Calculs dispo Données FA'!$AA$156</c15:f>
                      <c15:dlblFieldTableCache>
                        <c:ptCount val="1"/>
                      </c15:dlblFieldTableCache>
                    </c15:dlblFTEntry>
                  </c15:dlblFieldTable>
                  <c15:showDataLabelsRange val="0"/>
                </c:ext>
              </c:extLst>
            </c:dLbl>
            <c:dLbl>
              <c:idx val="23"/>
              <c:tx>
                <c:strRef>
                  <c:f>'Calculs dispo Données FA'!$AA$157</c:f>
                  <c:strCache>
                    <c:ptCount val="1"/>
                    <c:pt idx="0">
                      <c:v>750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{D9A883F6-1BC1-417E-9F9C-3067D731B38B}</c15:txfldGUID>
                      <c15:f>'Calculs dispo Données FA'!$AA$157</c15:f>
                      <c15:dlblFieldTableCache>
                        <c:ptCount val="1"/>
                        <c:pt idx="0">
                          <c:v>750 B &amp; Consumption =0</c:v>
                        </c:pt>
                      </c15:dlblFieldTableCache>
                    </c15:dlblFTEntry>
                  </c15:dlblFieldTable>
                  <c15:showDataLabelsRange val="0"/>
                </c:ext>
              </c:extLst>
            </c:dLbl>
            <c:dLbl>
              <c:idx val="24"/>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{9476F339-E9B6-43E3-BA23-829958AFC432}</c15:txfldGUID>
                      <c15:f>'Calculs dispo Données FA'!$AA$161</c15:f>
                      <c15:dlblFieldTableCache>
                        <c:ptCount val="1"/>
                      </c15:dlblFieldTableCache>
                    </c15:dlblFTEntry>
                  </c15:dlblFieldTable>
                  <c15:showDataLabelsRange val="0"/>
                </c:ext>
              </c:extLst>
            </c:dLbl>
            <c:dLbl>
              <c:idx val="25"/>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{412264EE-A594-40CB-936D-EE7A0F21D145}</c15:txfldGUID>
                      <c15:f>'Calculs dispo Données FA'!$AA$163</c15:f>
                      <c15:dlblFieldTableCache>
                        <c:ptCount val="1"/>
                      </c15:dlblFieldTableCache>
                    </c15:dlblFTEntry>
                  </c15:dlblFieldTable>
                  <c15:showDataLabelsRange val="0"/>
                </c:ext>
              </c:extLst>
            </c:dLbl>
            <c:dLbl>
              <c:idx val="26"/>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{888D1DAA-0A98-46EB-9745-9F00819AE365}</c15:txfldGUID>
                      <c15:f>'Calculs dispo Données FA'!$AA$159</c15:f>
                      <c15:dlblFieldTableCache>
                        <c:ptCount val="1"/>
                        <c:pt idx="0">
                          <c:v>1705 B &amp; Consumption =0</c:v>
                        </c:pt>
                      </c15:dlblFieldTableCache>
                    </c15:dlblFTEntry>
                  </c15:dlblFieldTable>
                  <c15:showDataLabelsRange val="0"/>
                </c:ext>
              </c:extLst>
            </c:dLbl>
            <c:dLbl>
              <c:idx val="27"/>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{4493F773-EE92-4AF1-B6BB-66C7C2ED49AA}</c15:txfldGUID>
                      <c15:f>'Calculs dispo Données FA'!$AA$162</c15:f>
                      <c15:dlblFieldTableCache>
                        <c:ptCount val="1"/>
                      </c15:dlblFieldTableCache>
                    </c15:dlblFTEntry>
                  </c15:dlblFieldTable>
                  <c15:showDataLabelsRange val="0"/>
                </c:ext>
              </c:extLst>
            </c:dLbl>
            <c:dLbl>
              <c:idx val="28"/>
              <c:tx>
                <c:strRef>
                  <c:f>'Calculs dispo Données FA'!$AA$164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{047C303C-9439-417F-A27D-5831D5AB78D1}</c15:txfldGUID>
                      <c15:f>'Calculs dispo Données FA'!$AA$164</c15:f>
                      <c15:dlblFieldTableCache>
                        <c:ptCount val="1"/>
                      </c15:dlblFieldTableCache>
                    </c15:dlblFTEntry>
                  </c15:dlblFieldTable>
                  <c15:showDataLabelsRange val="0"/>
                </c:ext>
              </c:extLst>
            </c:dLbl>
            <c:dLbl>
              <c:idx val="29"/>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{653DD644-0388-482E-9B61-3A8C237BA92F}</c15:txfldGUID>
                      <c15:f>'Calculs dispo Données FA'!$AA$165</c15:f>
                      <c15:dlblFieldTableCache>
                        <c:ptCount val="1"/>
                      </c15:dlblFieldTableCache>
                    </c15:dlblFTEntry>
                  </c15:dlblFieldTable>
                  <c15:showDataLabelsRange val="0"/>
                </c:ext>
              </c:extLst>
            </c:dLbl>
            <c:spPr>
              <a:noFill/>
              <a:ln>
                <a:noFill/>
              </a:ln>
              <a:effectLst/>
            </c:spPr>
            <c:txPr>
              <a:bodyPr/>
              <a:lstStyle/>
              <a:p>
                <a:pPr>
                  <a:defRPr lang="fr-FR" b="1" i="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conso'!$H$169:$H$176</c:f>
              <c:strCache>
                <c:ptCount val="8"/>
                <c:pt idx="0">
                  <c:v>AZT - 10 mg/mL - Fl/240mL</c:v>
                </c:pt>
                <c:pt idx="1">
                  <c:v>D4T - 10 mg/mL - Fl/240mL</c:v>
                </c:pt>
                <c:pt idx="2">
                  <c:v>3TC - 10 mg/mL - Fl/240mL</c:v>
                </c:pt>
                <c:pt idx="3">
                  <c:v>ABC - 20 mg/mL - Fl/240mL</c:v>
                </c:pt>
                <c:pt idx="4">
                  <c:v>DDI - 2 g - Fl/200mL</c:v>
                </c:pt>
                <c:pt idx="5">
                  <c:v>NVP - 10 mg/mL - Fl/240mL</c:v>
                </c:pt>
                <c:pt idx="6">
                  <c:v>EFV - 30 mg/mL - Fl/180mL</c:v>
                </c:pt>
                <c:pt idx="7">
                  <c:v>LPV/r - 80/20 mg/mL - Fl/60mL</c:v>
                </c:pt>
              </c:strCache>
            </c:strRef>
          </c:cat>
          <c:val>
            <c:numRef>
              <c:f>'Calculs dispo Données conso'!$Y$169:$Y$176</c:f>
              <c:numCache>
                <c:formatCode>0.0</c:formatCode>
                <c:ptCount val="8"/>
                <c:pt idx="0">
                  <c:v>0</c:v>
                </c:pt>
                <c:pt idx="1">
                  <c:v>0</c:v>
                </c:pt>
                <c:pt idx="2">
                  <c:v>0</c:v>
                </c:pt>
                <c:pt idx="3">
                  <c:v>0</c:v>
                </c:pt>
                <c:pt idx="4">
                  <c:v>0</c:v>
                </c:pt>
                <c:pt idx="5">
                  <c:v>3</c:v>
                </c:pt>
                <c:pt idx="6">
                  <c:v>0</c:v>
                </c:pt>
                <c:pt idx="7">
                  <c:v>0</c:v>
                </c:pt>
              </c:numCache>
            </c:numRef>
          </c:val>
        </c:ser>
        <c:dLbls>
          <c:showLegendKey val="0"/>
          <c:showVal val="0"/>
          <c:showCatName val="0"/>
          <c:showSerName val="0"/>
          <c:showPercent val="0"/>
          <c:showBubbleSize val="0"/>
        </c:dLbls>
        <c:gapWidth val="150"/>
        <c:overlap val="100"/>
        <c:axId val="171426560"/>
        <c:axId val="171428096"/>
      </c:barChart>
      <c:catAx>
        <c:axId val="171426560"/>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71428096"/>
        <c:crosses val="autoZero"/>
        <c:auto val="1"/>
        <c:lblAlgn val="ctr"/>
        <c:lblOffset val="100"/>
        <c:tickMarkSkip val="2"/>
        <c:noMultiLvlLbl val="0"/>
      </c:catAx>
      <c:valAx>
        <c:axId val="171428096"/>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1.0676799236099222E-3"/>
              <c:y val="0.11788919770912636"/>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71426560"/>
        <c:crosses val="autoZero"/>
        <c:crossBetween val="between"/>
        <c:majorUnit val="3"/>
      </c:valAx>
      <c:spPr>
        <a:ln>
          <a:solidFill>
            <a:schemeClr val="bg1">
              <a:lumMod val="50000"/>
            </a:schemeClr>
          </a:solidFill>
        </a:ln>
      </c:spPr>
    </c:plotArea>
    <c:legend>
      <c:legendPos val="b"/>
      <c:layout>
        <c:manualLayout>
          <c:xMode val="edge"/>
          <c:yMode val="edge"/>
          <c:x val="0.20030486764083788"/>
          <c:y val="0.94058718877035352"/>
          <c:w val="0.64468087106455141"/>
          <c:h val="3.3486881523313201E-2"/>
        </c:manualLayout>
      </c:layout>
      <c:overlay val="0"/>
      <c:txPr>
        <a:bodyPr/>
        <a:lstStyle/>
        <a:p>
          <a:pPr>
            <a:defRPr lang="fr-FR"/>
          </a:pPr>
          <a:endParaRPr lang="en-US"/>
        </a:p>
      </c:txPr>
    </c:legend>
    <c:plotVisOnly val="1"/>
    <c:dispBlanksAs val="gap"/>
    <c:showDLblsOverMax val="0"/>
  </c:chart>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solidFill>
                  <a:srgbClr val="FF0000"/>
                </a:solidFill>
              </a:rPr>
              <a:t>Orals solution  </a:t>
            </a:r>
            <a:r>
              <a:rPr lang="en-US"/>
              <a:t>availability Estimate</a:t>
            </a:r>
            <a:endParaRPr lang="en-US">
              <a:solidFill>
                <a:srgbClr val="FF0000"/>
              </a:solidFill>
            </a:endParaRPr>
          </a:p>
        </c:rich>
      </c:tx>
      <c:layout>
        <c:manualLayout>
          <c:xMode val="edge"/>
          <c:yMode val="edge"/>
          <c:x val="9.1726470100758767E-3"/>
          <c:y val="1.8359580052493441E-3"/>
        </c:manualLayout>
      </c:layout>
      <c:overlay val="0"/>
    </c:title>
    <c:autoTitleDeleted val="0"/>
    <c:plotArea>
      <c:layout>
        <c:manualLayout>
          <c:layoutTarget val="inner"/>
          <c:xMode val="edge"/>
          <c:yMode val="edge"/>
          <c:x val="0.1414872811021228"/>
          <c:y val="0.18332195975503071"/>
          <c:w val="0.70668071769069984"/>
          <c:h val="0.76009521726455187"/>
        </c:manualLayout>
      </c:layout>
      <c:barChart>
        <c:barDir val="bar"/>
        <c:grouping val="stacked"/>
        <c:varyColors val="0"/>
        <c:ser>
          <c:idx val="0"/>
          <c:order val="0"/>
          <c:tx>
            <c:strRef>
              <c:f>'Calculs dispo Données conso'!$X$168</c:f>
              <c:strCache>
                <c:ptCount val="1"/>
                <c:pt idx="0">
                  <c:v>Nombre de mois de disponibilité de produits hors ST</c:v>
                </c:pt>
              </c:strCache>
            </c:strRef>
          </c:tx>
          <c:spPr>
            <a:solidFill>
              <a:srgbClr val="4F81BD"/>
            </a:solidFill>
          </c:spPr>
          <c:invertIfNegative val="1"/>
          <c:cat>
            <c:strRef>
              <c:f>'Calculs dispo Données conso'!$H$169:$H$176</c:f>
              <c:strCache>
                <c:ptCount val="8"/>
                <c:pt idx="0">
                  <c:v>AZT - 10 mg/mL - Fl/240mL</c:v>
                </c:pt>
                <c:pt idx="1">
                  <c:v>D4T - 10 mg/mL - Fl/240mL</c:v>
                </c:pt>
                <c:pt idx="2">
                  <c:v>3TC - 10 mg/mL - Fl/240mL</c:v>
                </c:pt>
                <c:pt idx="3">
                  <c:v>ABC - 20 mg/mL - Fl/240mL</c:v>
                </c:pt>
                <c:pt idx="4">
                  <c:v>DDI - 2 g - Fl/200mL</c:v>
                </c:pt>
                <c:pt idx="5">
                  <c:v>NVP - 10 mg/mL - Fl/240mL</c:v>
                </c:pt>
                <c:pt idx="6">
                  <c:v>EFV - 30 mg/mL - Fl/180mL</c:v>
                </c:pt>
                <c:pt idx="7">
                  <c:v>LPV/r - 80/20 mg/mL - Fl/60mL</c:v>
                </c:pt>
              </c:strCache>
            </c:strRef>
          </c:cat>
          <c:val>
            <c:numRef>
              <c:f>'Calculs dispo Données conso'!$X$169:$X$176</c:f>
              <c:numCache>
                <c:formatCode>0.0</c:formatCode>
                <c:ptCount val="8"/>
                <c:pt idx="0">
                  <c:v>0</c:v>
                </c:pt>
                <c:pt idx="1">
                  <c:v>0</c:v>
                </c:pt>
                <c:pt idx="2">
                  <c:v>0</c:v>
                </c:pt>
                <c:pt idx="3">
                  <c:v>0</c:v>
                </c:pt>
                <c:pt idx="4">
                  <c:v>0</c:v>
                </c:pt>
                <c:pt idx="5">
                  <c:v>1.8072289156626509</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conso'!$Y$168</c:f>
              <c:strCache>
                <c:ptCount val="1"/>
                <c:pt idx="0">
                  <c:v>Nombre de mois de stock tampon (max 3 mois)</c:v>
                </c:pt>
              </c:strCache>
            </c:strRef>
          </c:tx>
          <c:invertIfNegative val="0"/>
          <c:dLbls>
            <c:dLbl>
              <c:idx val="0"/>
              <c:tx>
                <c:strRef>
                  <c:f>'Calculs dispo Données FA'!$AA$167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{EBC14D9A-B40D-4B2A-8257-D88E423BD48D}</c15:txfldGUID>
                      <c15:f>'Calculs dispo Données FA'!$AA$167</c15:f>
                      <c15:dlblFieldTableCache>
                        <c:ptCount val="1"/>
                      </c15:dlblFieldTableCache>
                    </c15:dlblFTEntry>
                  </c15:dlblFieldTable>
                  <c15:showDataLabelsRange val="0"/>
                </c:ext>
              </c:extLst>
            </c:dLbl>
            <c:dLbl>
              <c:idx val="1"/>
              <c:tx>
                <c:strRef>
                  <c:f>'Calculs dispo Données FA'!$AA$168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{41118EF9-E2C6-4B51-8A90-8C9F4EA054CA}</c15:txfldGUID>
                      <c15:f>'Calculs dispo Données FA'!$AA$168</c15:f>
                      <c15:dlblFieldTableCache>
                        <c:ptCount val="1"/>
                      </c15:dlblFieldTableCache>
                    </c15:dlblFTEntry>
                  </c15:dlblFieldTable>
                  <c15:showDataLabelsRange val="0"/>
                </c:ext>
              </c:extLst>
            </c:dLbl>
            <c:dLbl>
              <c:idx val="2"/>
              <c:tx>
                <c:strRef>
                  <c:f>'Calculs dispo Données FA'!$AA$169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{F7B45069-8524-4C90-847B-B84C65F17BEE}</c15:txfldGUID>
                      <c15:f>'Calculs dispo Données FA'!$AA$169</c15:f>
                      <c15:dlblFieldTableCache>
                        <c:ptCount val="1"/>
                      </c15:dlblFieldTableCache>
                    </c15:dlblFTEntry>
                  </c15:dlblFieldTable>
                  <c15:showDataLabelsRange val="0"/>
                </c:ext>
              </c:extLst>
            </c:dLbl>
            <c:dLbl>
              <c:idx val="3"/>
              <c:tx>
                <c:strRef>
                  <c:f>'Calculs dispo Données FA'!$AA$170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{541C6E4A-4DF1-4E7A-9007-10E4E519435F}</c15:txfldGUID>
                      <c15:f>'Calculs dispo Données FA'!$AA$170</c15:f>
                      <c15:dlblFieldTableCache>
                        <c:ptCount val="1"/>
                      </c15:dlblFieldTableCache>
                    </c15:dlblFTEntry>
                  </c15:dlblFieldTable>
                  <c15:showDataLabelsRange val="0"/>
                </c:ext>
              </c:extLst>
            </c:dLbl>
            <c:dLbl>
              <c:idx val="4"/>
              <c:tx>
                <c:strRef>
                  <c:f>'Calculs dispo Données FA'!$AA$171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{2130F24C-AE33-480E-9190-9ABD1485D093}</c15:txfldGUID>
                      <c15:f>'Calculs dispo Données FA'!$AA$171</c15:f>
                      <c15:dlblFieldTableCache>
                        <c:ptCount val="1"/>
                      </c15:dlblFieldTableCache>
                    </c15:dlblFTEntry>
                  </c15:dlblFieldTable>
                  <c15:showDataLabelsRange val="0"/>
                </c:ext>
              </c:extLst>
            </c:dLbl>
            <c:dLbl>
              <c:idx val="5"/>
              <c:tx>
                <c:strRef>
                  <c:f>'Calculs dispo Données FA'!$AA$172</c:f>
                  <c:strCache>
                    <c:ptCount val="1"/>
                    <c:pt idx="0">
                      <c:v>3990B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{0441A580-7550-4268-8623-88943DF6E98D}</c15:txfldGUID>
                      <c15:f>'Calculs dispo Données FA'!$AA$172</c15:f>
                      <c15:dlblFieldTableCache>
                        <c:ptCount val="1"/>
                        <c:pt idx="0">
                          <c:v>3990B &amp; Consumption =0</c:v>
                        </c:pt>
                      </c15:dlblFieldTableCache>
                    </c15:dlblFTEntry>
                  </c15:dlblFieldTable>
                  <c15:showDataLabelsRange val="0"/>
                </c:ext>
              </c:extLst>
            </c:dLbl>
            <c:dLbl>
              <c:idx val="6"/>
              <c:tx>
                <c:strRef>
                  <c:f>'Calculs dispo Données FA'!$AA$173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{057A8A02-0A11-449B-B548-DDE755D24B51}</c15:txfldGUID>
                      <c15:f>'Calculs dispo Données FA'!$AA$173</c15:f>
                      <c15:dlblFieldTableCache>
                        <c:ptCount val="1"/>
                      </c15:dlblFieldTableCache>
                    </c15:dlblFTEntry>
                  </c15:dlblFieldTable>
                  <c15:showDataLabelsRange val="0"/>
                </c:ext>
              </c:extLst>
            </c:dLbl>
            <c:dLbl>
              <c:idx val="7"/>
              <c:tx>
                <c:strRef>
                  <c:f>'Calculs dispo Données FA'!$AA$174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{A3789924-93B3-43FF-B50E-753FA811A71A}</c15:txfldGUID>
                      <c15:f>'Calculs dispo Données FA'!$AA$174</c15:f>
                      <c15:dlblFieldTableCache>
                        <c:ptCount val="1"/>
                      </c15:dlblFieldTableCache>
                    </c15:dlblFTEntry>
                  </c15:dlblFieldTable>
                  <c15:showDataLabelsRange val="0"/>
                </c:ext>
              </c:extLst>
            </c:dLbl>
            <c:dLbl>
              <c:idx val="8"/>
              <c:tx>
                <c:strRef>
                  <c:f>'Calculs dispo Données FA'!$AA$135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{BF675B91-69A0-4274-925F-573056273EF2}</c15:txfldGUID>
                      <c15:f>'Calculs dispo Données FA'!$AA$135</c15:f>
                      <c15:dlblFieldTableCache>
                        <c:ptCount val="1"/>
                      </c15:dlblFieldTableCache>
                    </c15:dlblFTEntry>
                  </c15:dlblFieldTable>
                  <c15:showDataLabelsRange val="0"/>
                </c:ext>
              </c:extLst>
            </c:dLbl>
            <c:dLbl>
              <c:idx val="9"/>
              <c:tx>
                <c:strRef>
                  <c:f>'Calculs dispo Données FA'!$AA$136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{B0D289B2-D932-4C9D-A75D-55A75CDC6F58}</c15:txfldGUID>
                      <c15:f>'Calculs dispo Données FA'!$AA$136</c15:f>
                      <c15:dlblFieldTableCache>
                        <c:ptCount val="1"/>
                      </c15:dlblFieldTableCache>
                    </c15:dlblFTEntry>
                  </c15:dlblFieldTable>
                  <c15:showDataLabelsRange val="0"/>
                </c:ext>
              </c:extLst>
            </c:dLbl>
            <c:dLbl>
              <c:idx val="10"/>
              <c:tx>
                <c:strRef>
                  <c:f>'Calculs dispo Données FA'!$AA$137</c:f>
                  <c:strCache>
                    <c:ptCount val="1"/>
                    <c:pt idx="0">
                      <c:v>38746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{D7F0703F-9C0D-41AF-A488-79E154DB89D5}</c15:txfldGUID>
                      <c15:f>'Calculs dispo Données FA'!$AA$137</c15:f>
                      <c15:dlblFieldTableCache>
                        <c:ptCount val="1"/>
                        <c:pt idx="0">
                          <c:v>38746 B &amp; Consumption =0</c:v>
                        </c:pt>
                      </c15:dlblFieldTableCache>
                    </c15:dlblFTEntry>
                  </c15:dlblFieldTable>
                  <c15:showDataLabelsRange val="0"/>
                </c:ext>
              </c:extLst>
            </c:dLbl>
            <c:dLbl>
              <c:idx val="11"/>
              <c:tx>
                <c:strRef>
                  <c:f>'Calculs dispo Données FA'!$AA$138</c:f>
                  <c:strCache>
                    <c:ptCount val="1"/>
                    <c:pt idx="0">
                      <c:v>505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{611A9C39-4160-4A72-8A80-9285E2E1351D}</c15:txfldGUID>
                      <c15:f>'Calculs dispo Données FA'!$AA$138</c15:f>
                      <c15:dlblFieldTableCache>
                        <c:ptCount val="1"/>
                        <c:pt idx="0">
                          <c:v>505 B &amp; Consumption =0</c:v>
                        </c:pt>
                      </c15:dlblFieldTableCache>
                    </c15:dlblFTEntry>
                  </c15:dlblFieldTable>
                  <c15:showDataLabelsRange val="0"/>
                </c:ext>
              </c:extLst>
            </c:dLbl>
            <c:dLbl>
              <c:idx val="12"/>
              <c:tx>
                <c:strRef>
                  <c:f>'Calculs dispo Données FA'!$AA$140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{8DB97229-5BF7-425C-B8DA-57C0998876F8}</c15:txfldGUID>
                      <c15:f>'Calculs dispo Données FA'!$AA$140</c15:f>
                      <c15:dlblFieldTableCache>
                        <c:ptCount val="1"/>
                      </c15:dlblFieldTableCache>
                    </c15:dlblFTEntry>
                  </c15:dlblFieldTable>
                  <c15:showDataLabelsRange val="0"/>
                </c:ext>
              </c:extLst>
            </c:dLbl>
            <c:dLbl>
              <c:idx val="13"/>
              <c:tx>
                <c:strRef>
                  <c:f>'Calculs dispo Données FA'!$AA$141</c:f>
                  <c:strCache>
                    <c:ptCount val="1"/>
                    <c:pt idx="0">
                      <c:v>2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{B8C0A45C-EC51-412F-97AB-76D9CFAD8C92}</c15:txfldGUID>
                      <c15:f>'Calculs dispo Données FA'!$AA$141</c15:f>
                      <c15:dlblFieldTableCache>
                        <c:ptCount val="1"/>
                        <c:pt idx="0">
                          <c:v>2 B &amp; Consumption =0</c:v>
                        </c:pt>
                      </c15:dlblFieldTableCache>
                    </c15:dlblFTEntry>
                  </c15:dlblFieldTable>
                  <c15:showDataLabelsRange val="0"/>
                </c:ext>
              </c:extLst>
            </c:dLbl>
            <c:dLbl>
              <c:idx val="14"/>
              <c:tx>
                <c:strRef>
                  <c:f>'Calculs dispo Données FA'!$AA$142</c:f>
                  <c:strCache>
                    <c:ptCount val="1"/>
                    <c:pt idx="0">
                      <c:v>11566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{39BB1CDE-34B1-4281-8265-E1DBF9BA1392}</c15:txfldGUID>
                      <c15:f>'Calculs dispo Données FA'!$AA$142</c15:f>
                      <c15:dlblFieldTableCache>
                        <c:ptCount val="1"/>
                        <c:pt idx="0">
                          <c:v>11566 B &amp; Consumption =0</c:v>
                        </c:pt>
                      </c15:dlblFieldTableCache>
                    </c15:dlblFTEntry>
                  </c15:dlblFieldTable>
                  <c15:showDataLabelsRange val="0"/>
                </c:ext>
              </c:extLst>
            </c:dLbl>
            <c:dLbl>
              <c:idx val="15"/>
              <c:tx>
                <c:strRef>
                  <c:f>'Calculs dispo Données FA'!$AA$144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{EEF9CB06-B2B8-4E78-B39C-9E6F36947CDD}</c15:txfldGUID>
                      <c15:f>'Calculs dispo Données FA'!$AA$144</c15:f>
                      <c15:dlblFieldTableCache>
                        <c:ptCount val="1"/>
                      </c15:dlblFieldTableCache>
                    </c15:dlblFTEntry>
                  </c15:dlblFieldTable>
                  <c15:showDataLabelsRange val="0"/>
                </c:ext>
              </c:extLst>
            </c:dLbl>
            <c:dLbl>
              <c:idx val="16"/>
              <c:tx>
                <c:strRef>
                  <c:f>'Calculs dispo Données FA'!$AA$146</c:f>
                  <c:strCache>
                    <c:ptCount val="1"/>
                    <c:pt idx="0">
                      <c:v>1093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{30BDE596-379F-4A18-87BC-B23A8112C74F}</c15:txfldGUID>
                      <c15:f>'Calculs dispo Données FA'!$AA$146</c15:f>
                      <c15:dlblFieldTableCache>
                        <c:ptCount val="1"/>
                        <c:pt idx="0">
                          <c:v>1093 B &amp; Consumption =0</c:v>
                        </c:pt>
                      </c15:dlblFieldTableCache>
                    </c15:dlblFTEntry>
                  </c15:dlblFieldTable>
                  <c15:showDataLabelsRange val="0"/>
                </c:ext>
              </c:extLst>
            </c:dLbl>
            <c:dLbl>
              <c:idx val="17"/>
              <c:tx>
                <c:strRef>
                  <c:f>'Calculs dispo Données FA'!$AA$148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{D51A114E-4C35-42C3-8647-28817EB63314}</c15:txfldGUID>
                      <c15:f>'Calculs dispo Données FA'!$AA$148</c15:f>
                      <c15:dlblFieldTableCache>
                        <c:ptCount val="1"/>
                      </c15:dlblFieldTableCache>
                    </c15:dlblFTEntry>
                  </c15:dlblFieldTable>
                  <c15:showDataLabelsRange val="0"/>
                </c:ext>
              </c:extLst>
            </c:dLbl>
            <c:dLbl>
              <c:idx val="18"/>
              <c:tx>
                <c:strRef>
                  <c:f>'Calculs dispo Données FA'!$AA$151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{15F23399-77D2-415F-AE94-A230B74F17ED}</c15:txfldGUID>
                      <c15:f>'Calculs dispo Données FA'!$AA$151</c15:f>
                      <c15:dlblFieldTableCache>
                        <c:ptCount val="1"/>
                      </c15:dlblFieldTableCache>
                    </c15:dlblFTEntry>
                  </c15:dlblFieldTable>
                  <c15:showDataLabelsRange val="0"/>
                </c:ext>
              </c:extLst>
            </c:dLbl>
            <c:dLbl>
              <c:idx val="19"/>
              <c:tx>
                <c:strRef>
                  <c:f>'Calculs dispo Données FA'!$AA$152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{F363E2AE-5D22-42E2-A960-F9314262298C}</c15:txfldGUID>
                      <c15:f>'Calculs dispo Données FA'!$AA$152</c15:f>
                      <c15:dlblFieldTableCache>
                        <c:ptCount val="1"/>
                      </c15:dlblFieldTableCache>
                    </c15:dlblFTEntry>
                  </c15:dlblFieldTable>
                  <c15:showDataLabelsRange val="0"/>
                </c:ext>
              </c:extLst>
            </c:dLbl>
            <c:dLbl>
              <c:idx val="20"/>
              <c:tx>
                <c:strRef>
                  <c:f>'Calculs dispo Données FA'!$AA$154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{6E8F9679-C3B0-4C2B-9F31-0A3875665727}</c15:txfldGUID>
                      <c15:f>'Calculs dispo Données FA'!$AA$154</c15:f>
                      <c15:dlblFieldTableCache>
                        <c:ptCount val="1"/>
                      </c15:dlblFieldTableCache>
                    </c15:dlblFTEntry>
                  </c15:dlblFieldTable>
                  <c15:showDataLabelsRange val="0"/>
                </c:ext>
              </c:extLst>
            </c:dLbl>
            <c:dLbl>
              <c:idx val="21"/>
              <c:tx>
                <c:strRef>
                  <c:f>'Calculs dispo Données FA'!$AA$155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{3393B333-7430-4117-BA28-4D27082DFEE0}</c15:txfldGUID>
                      <c15:f>'Calculs dispo Données FA'!$AA$155</c15:f>
                      <c15:dlblFieldTableCache>
                        <c:ptCount val="1"/>
                        <c:pt idx="0">
                          <c:v>956 B &amp; Consumption =0</c:v>
                        </c:pt>
                      </c15:dlblFieldTableCache>
                    </c15:dlblFTEntry>
                  </c15:dlblFieldTable>
                  <c15:showDataLabelsRange val="0"/>
                </c:ext>
              </c:extLst>
            </c:dLbl>
            <c:dLbl>
              <c:idx val="22"/>
              <c:tx>
                <c:strRef>
                  <c:f>'Calculs dispo Données FA'!$AA$156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{8B9E49A9-4D13-4B57-8B6B-02F6A9DF5490}</c15:txfldGUID>
                      <c15:f>'Calculs dispo Données FA'!$AA$156</c15:f>
                      <c15:dlblFieldTableCache>
                        <c:ptCount val="1"/>
                      </c15:dlblFieldTableCache>
                    </c15:dlblFTEntry>
                  </c15:dlblFieldTable>
                  <c15:showDataLabelsRange val="0"/>
                </c:ext>
              </c:extLst>
            </c:dLbl>
            <c:dLbl>
              <c:idx val="23"/>
              <c:tx>
                <c:strRef>
                  <c:f>'Calculs dispo Données FA'!$AA$157</c:f>
                  <c:strCache>
                    <c:ptCount val="1"/>
                    <c:pt idx="0">
                      <c:v>750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{305A3E6D-0686-4DEF-A222-98BC4E9D66DC}</c15:txfldGUID>
                      <c15:f>'Calculs dispo Données FA'!$AA$157</c15:f>
                      <c15:dlblFieldTableCache>
                        <c:ptCount val="1"/>
                        <c:pt idx="0">
                          <c:v>750 B &amp; Consumption =0</c:v>
                        </c:pt>
                      </c15:dlblFieldTableCache>
                    </c15:dlblFTEntry>
                  </c15:dlblFieldTable>
                  <c15:showDataLabelsRange val="0"/>
                </c:ext>
              </c:extLst>
            </c:dLbl>
            <c:dLbl>
              <c:idx val="24"/>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{1A2068DE-D258-4D07-9134-D1D1E3879056}</c15:txfldGUID>
                      <c15:f>'Calculs dispo Données FA'!$AA$161</c15:f>
                      <c15:dlblFieldTableCache>
                        <c:ptCount val="1"/>
                      </c15:dlblFieldTableCache>
                    </c15:dlblFTEntry>
                  </c15:dlblFieldTable>
                  <c15:showDataLabelsRange val="0"/>
                </c:ext>
              </c:extLst>
            </c:dLbl>
            <c:dLbl>
              <c:idx val="25"/>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{D5FABF6D-6185-42EE-BC5A-BE41967D15FF}</c15:txfldGUID>
                      <c15:f>'Calculs dispo Données FA'!$AA$163</c15:f>
                      <c15:dlblFieldTableCache>
                        <c:ptCount val="1"/>
                      </c15:dlblFieldTableCache>
                    </c15:dlblFTEntry>
                  </c15:dlblFieldTable>
                  <c15:showDataLabelsRange val="0"/>
                </c:ext>
              </c:extLst>
            </c:dLbl>
            <c:dLbl>
              <c:idx val="26"/>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{BA08E708-D7FC-42C4-A172-13BD4893E822}</c15:txfldGUID>
                      <c15:f>'Calculs dispo Données FA'!$AA$159</c15:f>
                      <c15:dlblFieldTableCache>
                        <c:ptCount val="1"/>
                        <c:pt idx="0">
                          <c:v>1705 B &amp; Consumption =0</c:v>
                        </c:pt>
                      </c15:dlblFieldTableCache>
                    </c15:dlblFTEntry>
                  </c15:dlblFieldTable>
                  <c15:showDataLabelsRange val="0"/>
                </c:ext>
              </c:extLst>
            </c:dLbl>
            <c:dLbl>
              <c:idx val="27"/>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{3967CA96-1C72-45C4-8E14-A7C2239BAD55}</c15:txfldGUID>
                      <c15:f>'Calculs dispo Données FA'!$AA$162</c15:f>
                      <c15:dlblFieldTableCache>
                        <c:ptCount val="1"/>
                      </c15:dlblFieldTableCache>
                    </c15:dlblFTEntry>
                  </c15:dlblFieldTable>
                  <c15:showDataLabelsRange val="0"/>
                </c:ext>
              </c:extLst>
            </c:dLbl>
            <c:dLbl>
              <c:idx val="28"/>
              <c:tx>
                <c:strRef>
                  <c:f>'Calculs dispo Données FA'!$AA$164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{D2B8FE3C-7CBA-4555-8FD7-2ECBEE579930}</c15:txfldGUID>
                      <c15:f>'Calculs dispo Données FA'!$AA$164</c15:f>
                      <c15:dlblFieldTableCache>
                        <c:ptCount val="1"/>
                      </c15:dlblFieldTableCache>
                    </c15:dlblFTEntry>
                  </c15:dlblFieldTable>
                  <c15:showDataLabelsRange val="0"/>
                </c:ext>
              </c:extLst>
            </c:dLbl>
            <c:dLbl>
              <c:idx val="29"/>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{A93AAF7E-1935-4A54-999A-A70B545AA625}</c15:txfldGUID>
                      <c15:f>'Calculs dispo Données FA'!$AA$165</c15:f>
                      <c15:dlblFieldTableCache>
                        <c:ptCount val="1"/>
                      </c15:dlblFieldTableCache>
                    </c15:dlblFTEntry>
                  </c15:dlblFieldTable>
                  <c15:showDataLabelsRange val="0"/>
                </c:ext>
              </c:extLst>
            </c:dLbl>
            <c:spPr>
              <a:noFill/>
              <a:ln>
                <a:noFill/>
              </a:ln>
              <a:effectLst/>
            </c:spPr>
            <c:txPr>
              <a:bodyPr/>
              <a:lstStyle/>
              <a:p>
                <a:pPr>
                  <a:defRPr lang="fr-FR" b="1" i="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conso'!$H$169:$H$176</c:f>
              <c:strCache>
                <c:ptCount val="8"/>
                <c:pt idx="0">
                  <c:v>AZT - 10 mg/mL - Fl/240mL</c:v>
                </c:pt>
                <c:pt idx="1">
                  <c:v>D4T - 10 mg/mL - Fl/240mL</c:v>
                </c:pt>
                <c:pt idx="2">
                  <c:v>3TC - 10 mg/mL - Fl/240mL</c:v>
                </c:pt>
                <c:pt idx="3">
                  <c:v>ABC - 20 mg/mL - Fl/240mL</c:v>
                </c:pt>
                <c:pt idx="4">
                  <c:v>DDI - 2 g - Fl/200mL</c:v>
                </c:pt>
                <c:pt idx="5">
                  <c:v>NVP - 10 mg/mL - Fl/240mL</c:v>
                </c:pt>
                <c:pt idx="6">
                  <c:v>EFV - 30 mg/mL - Fl/180mL</c:v>
                </c:pt>
                <c:pt idx="7">
                  <c:v>LPV/r - 80/20 mg/mL - Fl/60mL</c:v>
                </c:pt>
              </c:strCache>
            </c:strRef>
          </c:cat>
          <c:val>
            <c:numRef>
              <c:f>'Calculs dispo Données conso'!$Y$169:$Y$176</c:f>
              <c:numCache>
                <c:formatCode>0.0</c:formatCode>
                <c:ptCount val="8"/>
                <c:pt idx="0">
                  <c:v>0</c:v>
                </c:pt>
                <c:pt idx="1">
                  <c:v>0</c:v>
                </c:pt>
                <c:pt idx="2">
                  <c:v>0</c:v>
                </c:pt>
                <c:pt idx="3">
                  <c:v>0</c:v>
                </c:pt>
                <c:pt idx="4">
                  <c:v>0</c:v>
                </c:pt>
                <c:pt idx="5">
                  <c:v>3</c:v>
                </c:pt>
                <c:pt idx="6">
                  <c:v>0</c:v>
                </c:pt>
                <c:pt idx="7">
                  <c:v>0</c:v>
                </c:pt>
              </c:numCache>
            </c:numRef>
          </c:val>
        </c:ser>
        <c:ser>
          <c:idx val="2"/>
          <c:order val="2"/>
          <c:tx>
            <c:strRef>
              <c:f>'Calculs dispo Données conso'!$AK$168</c:f>
              <c:strCache>
                <c:ptCount val="1"/>
                <c:pt idx="0">
                  <c:v>Gain Nb de mois de disponibilité si arrêt des initiations &amp; switch</c:v>
                </c:pt>
              </c:strCache>
            </c:strRef>
          </c:tx>
          <c:spPr>
            <a:solidFill>
              <a:schemeClr val="bg2">
                <a:lumMod val="75000"/>
              </a:schemeClr>
            </a:solidFill>
            <a:ln w="12700">
              <a:solidFill>
                <a:schemeClr val="bg2">
                  <a:lumMod val="50000"/>
                </a:schemeClr>
              </a:solidFill>
              <a:prstDash val="sysDot"/>
            </a:ln>
          </c:spPr>
          <c:invertIfNegative val="0"/>
          <c:cat>
            <c:strRef>
              <c:f>'Calculs dispo Données conso'!$H$169:$H$176</c:f>
              <c:strCache>
                <c:ptCount val="8"/>
                <c:pt idx="0">
                  <c:v>AZT - 10 mg/mL - Fl/240mL</c:v>
                </c:pt>
                <c:pt idx="1">
                  <c:v>D4T - 10 mg/mL - Fl/240mL</c:v>
                </c:pt>
                <c:pt idx="2">
                  <c:v>3TC - 10 mg/mL - Fl/240mL</c:v>
                </c:pt>
                <c:pt idx="3">
                  <c:v>ABC - 20 mg/mL - Fl/240mL</c:v>
                </c:pt>
                <c:pt idx="4">
                  <c:v>DDI - 2 g - Fl/200mL</c:v>
                </c:pt>
                <c:pt idx="5">
                  <c:v>NVP - 10 mg/mL - Fl/240mL</c:v>
                </c:pt>
                <c:pt idx="6">
                  <c:v>EFV - 30 mg/mL - Fl/180mL</c:v>
                </c:pt>
                <c:pt idx="7">
                  <c:v>LPV/r - 80/20 mg/mL - Fl/60mL</c:v>
                </c:pt>
              </c:strCache>
            </c:strRef>
          </c:cat>
          <c:val>
            <c:numRef>
              <c:f>'Calculs dispo Données conso'!$AK$169:$AK$176</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172064128"/>
        <c:axId val="172074112"/>
      </c:barChart>
      <c:catAx>
        <c:axId val="172064128"/>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72074112"/>
        <c:crosses val="autoZero"/>
        <c:auto val="1"/>
        <c:lblAlgn val="ctr"/>
        <c:lblOffset val="100"/>
        <c:tickMarkSkip val="2"/>
        <c:noMultiLvlLbl val="0"/>
      </c:catAx>
      <c:valAx>
        <c:axId val="172074112"/>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0.13930205001471888"/>
              <c:y val="0.11418547681539808"/>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72064128"/>
        <c:crosses val="autoZero"/>
        <c:crossBetween val="between"/>
        <c:majorUnit val="3"/>
      </c:valAx>
      <c:spPr>
        <a:ln>
          <a:solidFill>
            <a:schemeClr val="bg1">
              <a:lumMod val="50000"/>
            </a:schemeClr>
          </a:solidFill>
        </a:ln>
      </c:spPr>
    </c:plotArea>
    <c:legend>
      <c:legendPos val="b"/>
      <c:layout>
        <c:manualLayout>
          <c:xMode val="edge"/>
          <c:yMode val="edge"/>
          <c:x val="4.9999975262281712E-2"/>
          <c:y val="0.93873533664852127"/>
          <c:w val="0.89999995052458814"/>
          <c:h val="4.0894290010834534E-2"/>
        </c:manualLayout>
      </c:layout>
      <c:overlay val="0"/>
      <c:txPr>
        <a:bodyPr/>
        <a:lstStyle/>
        <a:p>
          <a:pPr>
            <a:defRPr lang="fr-FR"/>
          </a:pPr>
          <a:endParaRPr lang="en-US"/>
        </a:p>
      </c:txPr>
    </c:legend>
    <c:plotVisOnly val="1"/>
    <c:dispBlanksAs val="gap"/>
    <c:showDLblsOverMax val="0"/>
  </c:chart>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4.2582770999047845E-4"/>
          <c:y val="1.8359365689147784E-3"/>
        </c:manualLayout>
      </c:layout>
      <c:overlay val="0"/>
      <c:txPr>
        <a:bodyPr/>
        <a:lstStyle/>
        <a:p>
          <a:pPr>
            <a:defRPr lang="fr-FR" sz="1600"/>
          </a:pPr>
          <a:endParaRPr lang="en-US"/>
        </a:p>
      </c:txPr>
    </c:title>
    <c:autoTitleDeleted val="0"/>
    <c:plotArea>
      <c:layout>
        <c:manualLayout>
          <c:layoutTarget val="inner"/>
          <c:xMode val="edge"/>
          <c:yMode val="edge"/>
          <c:x val="0.1414872811021228"/>
          <c:y val="0.18332195975503071"/>
          <c:w val="0.70668071769069984"/>
          <c:h val="0.74713221742961244"/>
        </c:manualLayout>
      </c:layout>
      <c:barChart>
        <c:barDir val="bar"/>
        <c:grouping val="stacked"/>
        <c:varyColors val="0"/>
        <c:ser>
          <c:idx val="0"/>
          <c:order val="0"/>
          <c:tx>
            <c:strRef>
              <c:f>'Calculs dispo Données conso'!$X$168</c:f>
              <c:strCache>
                <c:ptCount val="1"/>
                <c:pt idx="0">
                  <c:v>Nombre de mois de disponibilité de produits hors ST</c:v>
                </c:pt>
              </c:strCache>
            </c:strRef>
          </c:tx>
          <c:spPr>
            <a:solidFill>
              <a:srgbClr val="4F81BD"/>
            </a:solidFill>
          </c:spPr>
          <c:invertIfNegative val="1"/>
          <c:cat>
            <c:strRef>
              <c:f>'Calculs dispo Données conso'!$H$169:$H$176</c:f>
              <c:strCache>
                <c:ptCount val="8"/>
                <c:pt idx="0">
                  <c:v>AZT - 10 mg/mL - Fl/240mL</c:v>
                </c:pt>
                <c:pt idx="1">
                  <c:v>D4T - 10 mg/mL - Fl/240mL</c:v>
                </c:pt>
                <c:pt idx="2">
                  <c:v>3TC - 10 mg/mL - Fl/240mL</c:v>
                </c:pt>
                <c:pt idx="3">
                  <c:v>ABC - 20 mg/mL - Fl/240mL</c:v>
                </c:pt>
                <c:pt idx="4">
                  <c:v>DDI - 2 g - Fl/200mL</c:v>
                </c:pt>
                <c:pt idx="5">
                  <c:v>NVP - 10 mg/mL - Fl/240mL</c:v>
                </c:pt>
                <c:pt idx="6">
                  <c:v>EFV - 30 mg/mL - Fl/180mL</c:v>
                </c:pt>
                <c:pt idx="7">
                  <c:v>LPV/r - 80/20 mg/mL - Fl/60mL</c:v>
                </c:pt>
              </c:strCache>
            </c:strRef>
          </c:cat>
          <c:val>
            <c:numRef>
              <c:f>'Calculs dispo Données conso'!$X$169:$X$176</c:f>
              <c:numCache>
                <c:formatCode>0.0</c:formatCode>
                <c:ptCount val="8"/>
                <c:pt idx="0">
                  <c:v>0</c:v>
                </c:pt>
                <c:pt idx="1">
                  <c:v>0</c:v>
                </c:pt>
                <c:pt idx="2">
                  <c:v>0</c:v>
                </c:pt>
                <c:pt idx="3">
                  <c:v>0</c:v>
                </c:pt>
                <c:pt idx="4">
                  <c:v>0</c:v>
                </c:pt>
                <c:pt idx="5">
                  <c:v>1.8072289156626509</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conso'!$Y$168</c:f>
              <c:strCache>
                <c:ptCount val="1"/>
                <c:pt idx="0">
                  <c:v>Nombre de mois de stock tampon (max 3 mois)</c:v>
                </c:pt>
              </c:strCache>
            </c:strRef>
          </c:tx>
          <c:invertIfNegative val="0"/>
          <c:cat>
            <c:strRef>
              <c:f>'Calculs dispo Données conso'!$H$169:$H$176</c:f>
              <c:strCache>
                <c:ptCount val="8"/>
                <c:pt idx="0">
                  <c:v>AZT - 10 mg/mL - Fl/240mL</c:v>
                </c:pt>
                <c:pt idx="1">
                  <c:v>D4T - 10 mg/mL - Fl/240mL</c:v>
                </c:pt>
                <c:pt idx="2">
                  <c:v>3TC - 10 mg/mL - Fl/240mL</c:v>
                </c:pt>
                <c:pt idx="3">
                  <c:v>ABC - 20 mg/mL - Fl/240mL</c:v>
                </c:pt>
                <c:pt idx="4">
                  <c:v>DDI - 2 g - Fl/200mL</c:v>
                </c:pt>
                <c:pt idx="5">
                  <c:v>NVP - 10 mg/mL - Fl/240mL</c:v>
                </c:pt>
                <c:pt idx="6">
                  <c:v>EFV - 30 mg/mL - Fl/180mL</c:v>
                </c:pt>
                <c:pt idx="7">
                  <c:v>LPV/r - 80/20 mg/mL - Fl/60mL</c:v>
                </c:pt>
              </c:strCache>
            </c:strRef>
          </c:cat>
          <c:val>
            <c:numRef>
              <c:f>'Calculs dispo Données conso'!$Y$169:$Y$176</c:f>
              <c:numCache>
                <c:formatCode>0.0</c:formatCode>
                <c:ptCount val="8"/>
                <c:pt idx="0">
                  <c:v>0</c:v>
                </c:pt>
                <c:pt idx="1">
                  <c:v>0</c:v>
                </c:pt>
                <c:pt idx="2">
                  <c:v>0</c:v>
                </c:pt>
                <c:pt idx="3">
                  <c:v>0</c:v>
                </c:pt>
                <c:pt idx="4">
                  <c:v>0</c:v>
                </c:pt>
                <c:pt idx="5">
                  <c:v>3</c:v>
                </c:pt>
                <c:pt idx="6">
                  <c:v>0</c:v>
                </c:pt>
                <c:pt idx="7">
                  <c:v>0</c:v>
                </c:pt>
              </c:numCache>
            </c:numRef>
          </c:val>
        </c:ser>
        <c:ser>
          <c:idx val="3"/>
          <c:order val="2"/>
          <c:tx>
            <c:strRef>
              <c:f>'Calculs dispo Données conso'!$AJ$225</c:f>
              <c:strCache>
                <c:ptCount val="1"/>
                <c:pt idx="0">
                  <c:v>Delta Dispo/date de réception attendue</c:v>
                </c:pt>
              </c:strCache>
            </c:strRef>
          </c:tx>
          <c:spPr>
            <a:noFill/>
            <a:ln w="12700">
              <a:solidFill>
                <a:srgbClr val="FF0000"/>
              </a:solidFill>
              <a:prstDash val="dash"/>
            </a:ln>
          </c:spPr>
          <c:invertIfNegative val="0"/>
          <c:val>
            <c:numRef>
              <c:f>'Calculs dispo Données conso'!$AJ$226:$AJ$233</c:f>
              <c:numCache>
                <c:formatCode>0.00</c:formatCode>
                <c:ptCount val="8"/>
                <c:pt idx="0">
                  <c:v>0</c:v>
                </c:pt>
                <c:pt idx="1">
                  <c:v>0</c:v>
                </c:pt>
                <c:pt idx="2">
                  <c:v>0</c:v>
                </c:pt>
                <c:pt idx="3">
                  <c:v>0</c:v>
                </c:pt>
                <c:pt idx="4">
                  <c:v>0</c:v>
                </c:pt>
                <c:pt idx="5">
                  <c:v>0</c:v>
                </c:pt>
                <c:pt idx="6">
                  <c:v>0</c:v>
                </c:pt>
                <c:pt idx="7">
                  <c:v>0.83333333333333337</c:v>
                </c:pt>
              </c:numCache>
            </c:numRef>
          </c:val>
        </c:ser>
        <c:ser>
          <c:idx val="2"/>
          <c:order val="3"/>
          <c:tx>
            <c:strRef>
              <c:f>'Calculs dispo Données conso'!$AO$225</c:f>
              <c:strCache>
                <c:ptCount val="1"/>
                <c:pt idx="0">
                  <c:v>Nb de mois de stock / commande attendue</c:v>
                </c:pt>
              </c:strCache>
            </c:strRef>
          </c:tx>
          <c:invertIfNegative val="0"/>
          <c:dLbls>
            <c:dLbl>
              <c:idx val="0"/>
              <c:tx>
                <c:strRef>
                  <c:f>'Calculs dispo Données conso'!$AM$226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{DD30DFD9-4CCC-4145-B616-074EDA8B5E5F}</c15:txfldGUID>
                      <c15:f>'Calculs dispo Données conso'!$AM$226</c15:f>
                      <c15:dlblFieldTableCache>
                        <c:ptCount val="1"/>
                      </c15:dlblFieldTableCache>
                    </c15:dlblFTEntry>
                  </c15:dlblFieldTable>
                  <c15:showDataLabelsRange val="0"/>
                </c:ext>
              </c:extLst>
            </c:dLbl>
            <c:dLbl>
              <c:idx val="1"/>
              <c:tx>
                <c:strRef>
                  <c:f>'Calculs dispo Données conso'!$AM$227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{27AF22E0-F3A5-45B6-BF51-50A10807EF7A}</c15:txfldGUID>
                      <c15:f>'Calculs dispo Données conso'!$AM$227</c15:f>
                      <c15:dlblFieldTableCache>
                        <c:ptCount val="1"/>
                      </c15:dlblFieldTableCache>
                    </c15:dlblFTEntry>
                  </c15:dlblFieldTable>
                  <c15:showDataLabelsRange val="0"/>
                </c:ext>
              </c:extLst>
            </c:dLbl>
            <c:dLbl>
              <c:idx val="2"/>
              <c:tx>
                <c:strRef>
                  <c:f>'Calculs dispo Données conso'!$AM$228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{4598B125-8FB1-4F6C-BE05-4D3FD11E672E}</c15:txfldGUID>
                      <c15:f>'Calculs dispo Données conso'!$AM$228</c15:f>
                      <c15:dlblFieldTableCache>
                        <c:ptCount val="1"/>
                      </c15:dlblFieldTableCache>
                    </c15:dlblFTEntry>
                  </c15:dlblFieldTable>
                  <c15:showDataLabelsRange val="0"/>
                </c:ext>
              </c:extLst>
            </c:dLbl>
            <c:dLbl>
              <c:idx val="3"/>
              <c:tx>
                <c:strRef>
                  <c:f>'Calculs dispo Données conso'!$AM$229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{B7828C3B-C767-4581-907E-6EA8B68CE092}</c15:txfldGUID>
                      <c15:f>'Calculs dispo Données conso'!$AM$229</c15:f>
                      <c15:dlblFieldTableCache>
                        <c:ptCount val="1"/>
                      </c15:dlblFieldTableCache>
                    </c15:dlblFTEntry>
                  </c15:dlblFieldTable>
                  <c15:showDataLabelsRange val="0"/>
                </c:ext>
              </c:extLst>
            </c:dLbl>
            <c:dLbl>
              <c:idx val="4"/>
              <c:tx>
                <c:strRef>
                  <c:f>'Calculs dispo Données conso'!$AM$230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{5A05D9D5-A3A9-41A9-8D50-C3FAED2B3E42}</c15:txfldGUID>
                      <c15:f>'Calculs dispo Données conso'!$AM$230</c15:f>
                      <c15:dlblFieldTableCache>
                        <c:ptCount val="1"/>
                      </c15:dlblFieldTableCache>
                    </c15:dlblFTEntry>
                  </c15:dlblFieldTable>
                  <c15:showDataLabelsRange val="0"/>
                </c:ext>
              </c:extLst>
            </c:dLbl>
            <c:dLbl>
              <c:idx val="5"/>
              <c:tx>
                <c:strRef>
                  <c:f>'Calculs dispo Données conso'!$AM$231</c:f>
                  <c:strCache>
                    <c:ptCount val="1"/>
                    <c:pt idx="0">
                      <c:v>02/03/2015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{6FFA8971-02C7-41AB-9240-9079C9AD64E9}</c15:txfldGUID>
                      <c15:f>'Calculs dispo Données conso'!$AM$231</c15:f>
                      <c15:dlblFieldTableCache>
                        <c:ptCount val="1"/>
                        <c:pt idx="0">
                          <c:v>02/03/2015</c:v>
                        </c:pt>
                      </c15:dlblFieldTableCache>
                    </c15:dlblFTEntry>
                  </c15:dlblFieldTable>
                  <c15:showDataLabelsRange val="0"/>
                </c:ext>
              </c:extLst>
            </c:dLbl>
            <c:dLbl>
              <c:idx val="6"/>
              <c:tx>
                <c:strRef>
                  <c:f>'Calculs dispo Données conso'!$AM$232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{E3A4968A-98B0-41A4-A669-67E857BCA6ED}</c15:txfldGUID>
                      <c15:f>'Calculs dispo Données conso'!$AM$232</c15:f>
                      <c15:dlblFieldTableCache>
                        <c:ptCount val="1"/>
                      </c15:dlblFieldTableCache>
                    </c15:dlblFTEntry>
                  </c15:dlblFieldTable>
                  <c15:showDataLabelsRange val="0"/>
                </c:ext>
              </c:extLst>
            </c:dLbl>
            <c:dLbl>
              <c:idx val="7"/>
              <c:tx>
                <c:strRef>
                  <c:f>'Calculs dispo Données conso'!$AM$233</c:f>
                  <c:strCache>
                    <c:ptCount val="1"/>
                    <c:pt idx="0">
                      <c:v>02/05/2015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{6E2DD1C1-FF23-4506-B683-148307048EAC}</c15:txfldGUID>
                      <c15:f>'Calculs dispo Données conso'!$AM$233</c15:f>
                      <c15:dlblFieldTableCache>
                        <c:ptCount val="1"/>
                        <c:pt idx="0">
                          <c:v>02/05/2015</c:v>
                        </c:pt>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conso'!$H$169:$H$176</c:f>
              <c:strCache>
                <c:ptCount val="8"/>
                <c:pt idx="0">
                  <c:v>AZT - 10 mg/mL - Fl/240mL</c:v>
                </c:pt>
                <c:pt idx="1">
                  <c:v>D4T - 10 mg/mL - Fl/240mL</c:v>
                </c:pt>
                <c:pt idx="2">
                  <c:v>3TC - 10 mg/mL - Fl/240mL</c:v>
                </c:pt>
                <c:pt idx="3">
                  <c:v>ABC - 20 mg/mL - Fl/240mL</c:v>
                </c:pt>
                <c:pt idx="4">
                  <c:v>DDI - 2 g - Fl/200mL</c:v>
                </c:pt>
                <c:pt idx="5">
                  <c:v>NVP - 10 mg/mL - Fl/240mL</c:v>
                </c:pt>
                <c:pt idx="6">
                  <c:v>EFV - 30 mg/mL - Fl/180mL</c:v>
                </c:pt>
                <c:pt idx="7">
                  <c:v>LPV/r - 80/20 mg/mL - Fl/60mL</c:v>
                </c:pt>
              </c:strCache>
            </c:strRef>
          </c:cat>
          <c:val>
            <c:numRef>
              <c:f>'Calculs dispo Données conso'!$AO$226:$AO$233</c:f>
              <c:numCache>
                <c:formatCode>0.0</c:formatCode>
                <c:ptCount val="8"/>
                <c:pt idx="0">
                  <c:v>0</c:v>
                </c:pt>
                <c:pt idx="1">
                  <c:v>0</c:v>
                </c:pt>
                <c:pt idx="2">
                  <c:v>0</c:v>
                </c:pt>
                <c:pt idx="3">
                  <c:v>0</c:v>
                </c:pt>
                <c:pt idx="4">
                  <c:v>0</c:v>
                </c:pt>
                <c:pt idx="5">
                  <c:v>0</c:v>
                </c:pt>
                <c:pt idx="6">
                  <c:v>0</c:v>
                </c:pt>
                <c:pt idx="7">
                  <c:v>6</c:v>
                </c:pt>
              </c:numCache>
            </c:numRef>
          </c:val>
        </c:ser>
        <c:dLbls>
          <c:showLegendKey val="0"/>
          <c:showVal val="0"/>
          <c:showCatName val="0"/>
          <c:showSerName val="0"/>
          <c:showPercent val="0"/>
          <c:showBubbleSize val="0"/>
        </c:dLbls>
        <c:gapWidth val="150"/>
        <c:overlap val="100"/>
        <c:axId val="172166144"/>
        <c:axId val="172172032"/>
      </c:barChart>
      <c:catAx>
        <c:axId val="172166144"/>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72172032"/>
        <c:crosses val="autoZero"/>
        <c:auto val="1"/>
        <c:lblAlgn val="ctr"/>
        <c:lblOffset val="100"/>
        <c:tickMarkSkip val="2"/>
        <c:noMultiLvlLbl val="0"/>
      </c:catAx>
      <c:valAx>
        <c:axId val="172172032"/>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1.0676799236099281E-3"/>
              <c:y val="0.11788919770912636"/>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72166144"/>
        <c:crosses val="autoZero"/>
        <c:crossBetween val="between"/>
        <c:majorUnit val="3"/>
      </c:valAx>
      <c:spPr>
        <a:ln>
          <a:solidFill>
            <a:schemeClr val="bg1">
              <a:lumMod val="50000"/>
            </a:schemeClr>
          </a:solidFill>
        </a:ln>
      </c:spPr>
    </c:plotArea>
    <c:legend>
      <c:legendPos val="b"/>
      <c:layout>
        <c:manualLayout>
          <c:xMode val="edge"/>
          <c:yMode val="edge"/>
          <c:x val="9.9847764081327714E-2"/>
          <c:y val="0.93302623695338471"/>
          <c:w val="0.83352693071707229"/>
          <c:h val="6.1418206680986694E-2"/>
        </c:manualLayout>
      </c:layout>
      <c:overlay val="0"/>
      <c:txPr>
        <a:bodyPr/>
        <a:lstStyle/>
        <a:p>
          <a:pPr>
            <a:defRPr lang="fr-FR"/>
          </a:pPr>
          <a:endParaRPr lang="en-US"/>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t>Estimate Tablets </a:t>
            </a:r>
            <a:r>
              <a:rPr lang="en-US">
                <a:solidFill>
                  <a:srgbClr val="FF0000"/>
                </a:solidFill>
              </a:rPr>
              <a:t>- CDF availability </a:t>
            </a:r>
          </a:p>
        </c:rich>
      </c:tx>
      <c:layout>
        <c:manualLayout>
          <c:xMode val="edge"/>
          <c:yMode val="edge"/>
          <c:x val="9.1726470100758767E-3"/>
          <c:y val="1.8359580052493441E-3"/>
        </c:manualLayout>
      </c:layout>
      <c:overlay val="0"/>
    </c:title>
    <c:autoTitleDeleted val="0"/>
    <c:plotArea>
      <c:layout>
        <c:manualLayout>
          <c:layoutTarget val="inner"/>
          <c:xMode val="edge"/>
          <c:yMode val="edge"/>
          <c:x val="0.20432108568898258"/>
          <c:y val="0.18332195975503071"/>
          <c:w val="0.65138696965424059"/>
          <c:h val="0.7600952172645512"/>
        </c:manualLayout>
      </c:layout>
      <c:barChart>
        <c:barDir val="bar"/>
        <c:grouping val="stacked"/>
        <c:varyColors val="0"/>
        <c:ser>
          <c:idx val="0"/>
          <c:order val="0"/>
          <c:tx>
            <c:strRef>
              <c:f>'Calculs dispo Données FA'!$X$124</c:f>
              <c:strCache>
                <c:ptCount val="1"/>
                <c:pt idx="0">
                  <c:v>Nombre de mois de disponibilité de produits hors ST</c:v>
                </c:pt>
              </c:strCache>
            </c:strRef>
          </c:tx>
          <c:spPr>
            <a:solidFill>
              <a:srgbClr val="4F81BD"/>
            </a:solidFill>
          </c:spPr>
          <c:invertIfNegative val="1"/>
          <c:cat>
            <c:strRef>
              <c:f>'Calculs dispo Données FA'!$H$125:$H$165</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FA'!$X$125:$X$165</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FA'!$Y$124</c:f>
              <c:strCache>
                <c:ptCount val="1"/>
                <c:pt idx="0">
                  <c:v>Nombre de mois de stock tampon (ST - max 3 mois))</c:v>
                </c:pt>
              </c:strCache>
            </c:strRef>
          </c:tx>
          <c:invertIfNegative val="0"/>
          <c:cat>
            <c:strRef>
              <c:f>'Calculs dispo Données FA'!$H$125:$H$165</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FA'!$Y$125:$Y$165</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ser>
          <c:idx val="2"/>
          <c:order val="2"/>
          <c:tx>
            <c:strRef>
              <c:f>'Calculs dispo Données FA'!$AK$124</c:f>
              <c:strCache>
                <c:ptCount val="1"/>
                <c:pt idx="0">
                  <c:v>Gain Nb de mois de disponibilité si arrêt des initiations &amp; switch</c:v>
                </c:pt>
              </c:strCache>
            </c:strRef>
          </c:tx>
          <c:spPr>
            <a:solidFill>
              <a:schemeClr val="bg2">
                <a:lumMod val="90000"/>
              </a:schemeClr>
            </a:solidFill>
            <a:ln w="12700">
              <a:solidFill>
                <a:schemeClr val="bg2">
                  <a:lumMod val="50000"/>
                </a:schemeClr>
              </a:solidFill>
              <a:prstDash val="sysDot"/>
            </a:ln>
          </c:spPr>
          <c:invertIfNegative val="0"/>
          <c:dLbls>
            <c:dLbl>
              <c:idx val="0"/>
              <c:layout>
                <c:manualLayout>
                  <c:x val="5.4165905981827724E-2"/>
                  <c:y val="0"/>
                </c:manualLayout>
              </c:layout>
              <c:tx>
                <c:strRef>
                  <c:f>'Calculs dispo Données FA'!$AO$125</c:f>
                  <c:strCache>
                    <c:ptCount val="1"/>
                    <c:pt idx="0">
                      <c:v>71892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{DA5EF1E2-1A3E-42B1-B3EE-0A09141A659D}</c15:txfldGUID>
                      <c15:f>'Calculs dispo Données FA'!$AO$125</c15:f>
                      <c15:dlblFieldTableCache>
                        <c:ptCount val="1"/>
                        <c:pt idx="0">
                          <c:v>71892 B &amp; Consumption =0</c:v>
                        </c:pt>
                      </c15:dlblFieldTableCache>
                    </c15:dlblFTEntry>
                  </c15:dlblFieldTable>
                  <c15:showDataLabelsRange val="0"/>
                </c:ext>
              </c:extLst>
            </c:dLbl>
            <c:dLbl>
              <c:idx val="1"/>
              <c:layout>
                <c:manualLayout>
                  <c:x val="4.2560254897450023E-2"/>
                  <c:y val="1.8518518518518936E-3"/>
                </c:manualLayout>
              </c:layout>
              <c:tx>
                <c:strRef>
                  <c:f>'Calculs dispo Données FA'!$AO$126</c:f>
                  <c:strCache>
                    <c:ptCount val="1"/>
                    <c:pt idx="0">
                      <c:v>1522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{B4B5B836-646F-4D1B-8DC6-DA3177D73D11}</c15:txfldGUID>
                      <c15:f>'Calculs dispo Données FA'!$AO$126</c15:f>
                      <c15:dlblFieldTableCache>
                        <c:ptCount val="1"/>
                        <c:pt idx="0">
                          <c:v>1522 B &amp; Consumption =0</c:v>
                        </c:pt>
                      </c15:dlblFieldTableCache>
                    </c15:dlblFTEntry>
                  </c15:dlblFieldTable>
                  <c15:showDataLabelsRange val="0"/>
                </c:ext>
              </c:extLst>
            </c:dLbl>
            <c:dLbl>
              <c:idx val="2"/>
              <c:tx>
                <c:strRef>
                  <c:f>'Calculs dispo Données FA'!$AO$127</c:f>
                  <c:strCache>
                    <c:ptCount val="1"/>
                    <c:pt idx="0">
                      <c:v>666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{F2724180-EDFC-4D64-9B7D-D56B907AC208}</c15:txfldGUID>
                      <c15:f>'Calculs dispo Données FA'!$AO$127</c15:f>
                      <c15:dlblFieldTableCache>
                        <c:ptCount val="1"/>
                        <c:pt idx="0">
                          <c:v>666 B &amp; Consumption =0</c:v>
                        </c:pt>
                      </c15:dlblFieldTableCache>
                    </c15:dlblFTEntry>
                  </c15:dlblFieldTable>
                  <c15:showDataLabelsRange val="0"/>
                </c:ext>
              </c:extLst>
            </c:dLbl>
            <c:dLbl>
              <c:idx val="3"/>
              <c:layout>
                <c:manualLayout>
                  <c:x val="6.311719988818551E-2"/>
                  <c:y val="-3.395022508805672E-17"/>
                </c:manualLayout>
              </c:layout>
              <c:tx>
                <c:strRef>
                  <c:f>'Calculs dispo Données FA'!$AO$128</c:f>
                  <c:strCache>
                    <c:ptCount val="1"/>
                    <c:pt idx="0">
                      <c:v>12350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{D041A8B9-D6DB-460D-B413-D43689C7B8CB}</c15:txfldGUID>
                      <c15:f>'Calculs dispo Données FA'!$AO$128</c15:f>
                      <c15:dlblFieldTableCache>
                        <c:ptCount val="1"/>
                        <c:pt idx="0">
                          <c:v>12350 B &amp; Consumption =0</c:v>
                        </c:pt>
                      </c15:dlblFieldTableCache>
                    </c15:dlblFTEntry>
                  </c15:dlblFieldTable>
                  <c15:showDataLabelsRange val="0"/>
                </c:ext>
              </c:extLst>
            </c:dLbl>
            <c:dLbl>
              <c:idx val="4"/>
              <c:tx>
                <c:strRef>
                  <c:f>'Calculs dispo Données FA'!$AO$129</c:f>
                  <c:strCache>
                    <c:ptCount val="1"/>
                    <c:pt idx="0">
                      <c:v>903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{CA0A21D2-DA07-4A20-B7D3-B8F34A31257C}</c15:txfldGUID>
                      <c15:f>'Calculs dispo Données FA'!$AO$129</c15:f>
                      <c15:dlblFieldTableCache>
                        <c:ptCount val="1"/>
                        <c:pt idx="0">
                          <c:v>903 B &amp; Consumption =0</c:v>
                        </c:pt>
                      </c15:dlblFieldTableCache>
                    </c15:dlblFTEntry>
                  </c15:dlblFieldTable>
                  <c15:showDataLabelsRange val="0"/>
                </c:ext>
              </c:extLst>
            </c:dLbl>
            <c:dLbl>
              <c:idx val="5"/>
              <c:layout>
                <c:manualLayout>
                  <c:x val="3.4445986428887812E-2"/>
                  <c:y val="3.395022508805672E-17"/>
                </c:manualLayout>
              </c:layout>
              <c:tx>
                <c:strRef>
                  <c:f>'Calculs dispo Données FA'!$AO$130</c:f>
                  <c:strCache>
                    <c:ptCount val="1"/>
                    <c:pt idx="0">
                      <c:v>187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{8DE8AF4F-4D48-4F48-8DD6-4161D8FF3441}</c15:txfldGUID>
                      <c15:f>'Calculs dispo Données FA'!$AO$130</c15:f>
                      <c15:dlblFieldTableCache>
                        <c:ptCount val="1"/>
                        <c:pt idx="0">
                          <c:v>187 B &amp; Consumption =0</c:v>
                        </c:pt>
                      </c15:dlblFieldTableCache>
                    </c15:dlblFTEntry>
                  </c15:dlblFieldTable>
                  <c15:showDataLabelsRange val="0"/>
                </c:ext>
              </c:extLst>
            </c:dLbl>
            <c:dLbl>
              <c:idx val="6"/>
              <c:layout>
                <c:manualLayout>
                  <c:x val="3.8252824428991618E-2"/>
                  <c:y val="-1.8518518518518936E-3"/>
                </c:manualLayout>
              </c:layout>
              <c:tx>
                <c:strRef>
                  <c:f>'Calculs dispo Données FA'!$AO$132</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{ACF88E78-7983-4628-BB6D-4A7DECF4D55F}</c15:txfldGUID>
                      <c15:f>'Calculs dispo Données FA'!$AO$132</c15:f>
                      <c15:dlblFieldTableCache>
                        <c:ptCount val="1"/>
                      </c15:dlblFieldTableCache>
                    </c15:dlblFTEntry>
                  </c15:dlblFieldTable>
                  <c15:showDataLabelsRange val="0"/>
                </c:ext>
              </c:extLst>
            </c:dLbl>
            <c:dLbl>
              <c:idx val="7"/>
              <c:layout>
                <c:manualLayout>
                  <c:x val="3.9514250162650498E-2"/>
                  <c:y val="0"/>
                </c:manualLayout>
              </c:layout>
              <c:tx>
                <c:strRef>
                  <c:f>'Calculs dispo Données FA'!$AO$133</c:f>
                  <c:strCache>
                    <c:ptCount val="1"/>
                    <c:pt idx="0">
                      <c:v>121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{A22C22E0-3A9A-4AC2-993D-1742A4EF9885}</c15:txfldGUID>
                      <c15:f>'Calculs dispo Données FA'!$AO$133</c15:f>
                      <c15:dlblFieldTableCache>
                        <c:ptCount val="1"/>
                        <c:pt idx="0">
                          <c:v>121 B &amp; Consumption =0</c:v>
                        </c:pt>
                      </c15:dlblFieldTableCache>
                    </c15:dlblFTEntry>
                  </c15:dlblFieldTable>
                  <c15:showDataLabelsRange val="0"/>
                </c:ext>
              </c:extLst>
            </c:dLbl>
            <c:dLbl>
              <c:idx val="8"/>
              <c:layout>
                <c:manualLayout>
                  <c:x val="4.2243513151807958E-2"/>
                  <c:y val="0"/>
                </c:manualLayout>
              </c:layout>
              <c:tx>
                <c:strRef>
                  <c:f>'Calculs dispo Données FA'!$AO$134</c:f>
                  <c:strCache>
                    <c:ptCount val="1"/>
                    <c:pt idx="0">
                      <c:v>16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{DC56977D-D9D6-46C4-976F-0411F3CA9423}</c15:txfldGUID>
                      <c15:f>'Calculs dispo Données FA'!$AO$134</c15:f>
                      <c15:dlblFieldTableCache>
                        <c:ptCount val="1"/>
                        <c:pt idx="0">
                          <c:v>16 B &amp; Consumption =0</c:v>
                        </c:pt>
                      </c15:dlblFieldTableCache>
                    </c15:dlblFTEntry>
                  </c15:dlblFieldTable>
                  <c15:showDataLabelsRange val="0"/>
                </c:ext>
              </c:extLst>
            </c:dLbl>
            <c:dLbl>
              <c:idx val="9"/>
              <c:layout>
                <c:manualLayout>
                  <c:x val="3.9968533622269882E-2"/>
                  <c:y val="-1.8518518518518936E-3"/>
                </c:manualLayout>
              </c:layout>
              <c:tx>
                <c:strRef>
                  <c:f>'Calculs dispo Données FA'!$AO$135</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{57481175-C476-461B-88FA-555604504EA7}</c15:txfldGUID>
                      <c15:f>'Calculs dispo Données FA'!$AO$135</c15:f>
                      <c15:dlblFieldTableCache>
                        <c:ptCount val="1"/>
                      </c15:dlblFieldTableCache>
                    </c15:dlblFTEntry>
                  </c15:dlblFieldTable>
                  <c15:showDataLabelsRange val="0"/>
                </c:ext>
              </c:extLst>
            </c:dLbl>
            <c:dLbl>
              <c:idx val="10"/>
              <c:tx>
                <c:strRef>
                  <c:f>'Calculs dispo Données FA'!$AO$136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{70432E27-648D-4699-926E-5BDE50D9BFB1}</c15:txfldGUID>
                      <c15:f>'Calculs dispo Données FA'!$AO$136</c15:f>
                      <c15:dlblFieldTableCache>
                        <c:ptCount val="1"/>
                      </c15:dlblFieldTableCache>
                    </c15:dlblFTEntry>
                  </c15:dlblFieldTable>
                  <c15:showDataLabelsRange val="0"/>
                </c:ext>
              </c:extLst>
            </c:dLbl>
            <c:dLbl>
              <c:idx val="11"/>
              <c:tx>
                <c:strRef>
                  <c:f>'Calculs dispo Données FA'!$AO$137</c:f>
                  <c:strCache>
                    <c:ptCount val="1"/>
                    <c:pt idx="0">
                      <c:v>38746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{9A523100-7F7B-4DB9-BEDE-5709B5DF0FB3}</c15:txfldGUID>
                      <c15:f>'Calculs dispo Données FA'!$AO$137</c15:f>
                      <c15:dlblFieldTableCache>
                        <c:ptCount val="1"/>
                        <c:pt idx="0">
                          <c:v>38746 B &amp; Consumption =0</c:v>
                        </c:pt>
                      </c15:dlblFieldTableCache>
                    </c15:dlblFTEntry>
                  </c15:dlblFieldTable>
                  <c15:showDataLabelsRange val="0"/>
                </c:ext>
              </c:extLst>
            </c:dLbl>
            <c:dLbl>
              <c:idx val="12"/>
              <c:layout>
                <c:manualLayout>
                  <c:x val="4.0747969651767142E-2"/>
                  <c:y val="0"/>
                </c:manualLayout>
              </c:layout>
              <c:tx>
                <c:strRef>
                  <c:f>'Calculs dispo Données FA'!$AO$138</c:f>
                  <c:strCache>
                    <c:ptCount val="1"/>
                    <c:pt idx="0">
                      <c:v>505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{1FD796CD-C3CC-4E2C-91E0-15170EE690A4}</c15:txfldGUID>
                      <c15:f>'Calculs dispo Données FA'!$AO$138</c15:f>
                      <c15:dlblFieldTableCache>
                        <c:ptCount val="1"/>
                        <c:pt idx="0">
                          <c:v>505 B &amp; Consumption =0</c:v>
                        </c:pt>
                      </c15:dlblFieldTableCache>
                    </c15:dlblFTEntry>
                  </c15:dlblFieldTable>
                  <c15:showDataLabelsRange val="0"/>
                </c:ext>
              </c:extLst>
            </c:dLbl>
            <c:dLbl>
              <c:idx val="13"/>
              <c:tx>
                <c:strRef>
                  <c:f>'Calculs dispo Données FA'!$AO$140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{BF4183C3-3CD1-403A-AE8B-E7F154CCF2DE}</c15:txfldGUID>
                      <c15:f>'Calculs dispo Données FA'!$AO$140</c15:f>
                      <c15:dlblFieldTableCache>
                        <c:ptCount val="1"/>
                      </c15:dlblFieldTableCache>
                    </c15:dlblFTEntry>
                  </c15:dlblFieldTable>
                  <c15:showDataLabelsRange val="0"/>
                </c:ext>
              </c:extLst>
            </c:dLbl>
            <c:dLbl>
              <c:idx val="14"/>
              <c:tx>
                <c:strRef>
                  <c:f>'Calculs dispo Données FA'!$AO$141</c:f>
                  <c:strCache>
                    <c:ptCount val="1"/>
                    <c:pt idx="0">
                      <c:v>2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{678B72AD-B201-4F2D-956E-3672AE7EB433}</c15:txfldGUID>
                      <c15:f>'Calculs dispo Données FA'!$AO$141</c15:f>
                      <c15:dlblFieldTableCache>
                        <c:ptCount val="1"/>
                        <c:pt idx="0">
                          <c:v>2 B &amp; Consumption =0</c:v>
                        </c:pt>
                      </c15:dlblFieldTableCache>
                    </c15:dlblFTEntry>
                  </c15:dlblFieldTable>
                  <c15:showDataLabelsRange val="0"/>
                </c:ext>
              </c:extLst>
            </c:dLbl>
            <c:dLbl>
              <c:idx val="15"/>
              <c:layout>
                <c:manualLayout>
                  <c:x val="4.3081923901830833E-2"/>
                  <c:y val="0"/>
                </c:manualLayout>
              </c:layout>
              <c:tx>
                <c:strRef>
                  <c:f>'Calculs dispo Données FA'!$AO$142</c:f>
                  <c:strCache>
                    <c:ptCount val="1"/>
                    <c:pt idx="0">
                      <c:v>11566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{0951BF03-1EB4-4242-B9AE-354A0C2FD8DB}</c15:txfldGUID>
                      <c15:f>'Calculs dispo Données FA'!$AO$142</c15:f>
                      <c15:dlblFieldTableCache>
                        <c:ptCount val="1"/>
                        <c:pt idx="0">
                          <c:v>11566 B &amp; Consumption =0</c:v>
                        </c:pt>
                      </c15:dlblFieldTableCache>
                    </c15:dlblFTEntry>
                  </c15:dlblFieldTable>
                  <c15:showDataLabelsRange val="0"/>
                </c:ext>
              </c:extLst>
            </c:dLbl>
            <c:dLbl>
              <c:idx val="16"/>
              <c:layout>
                <c:manualLayout>
                  <c:x val="1.4734774552803897E-3"/>
                  <c:y val="-6.7900450176113256E-17"/>
                </c:manualLayout>
              </c:layout>
              <c:tx>
                <c:strRef>
                  <c:f>'Calculs dispo Données FA'!$AO$144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{B5392E7F-9DE8-4614-8B1A-6AA3DD387FC6}</c15:txfldGUID>
                      <c15:f>'Calculs dispo Données FA'!$AO$144</c15:f>
                      <c15:dlblFieldTableCache>
                        <c:ptCount val="1"/>
                      </c15:dlblFieldTableCache>
                    </c15:dlblFTEntry>
                  </c15:dlblFieldTable>
                  <c15:showDataLabelsRange val="0"/>
                </c:ext>
              </c:extLst>
            </c:dLbl>
            <c:dLbl>
              <c:idx val="17"/>
              <c:layout>
                <c:manualLayout>
                  <c:x val="4.6060246239248433E-2"/>
                  <c:y val="0"/>
                </c:manualLayout>
              </c:layout>
              <c:tx>
                <c:strRef>
                  <c:f>'Calculs dispo Données FA'!$AO$146</c:f>
                  <c:strCache>
                    <c:ptCount val="1"/>
                    <c:pt idx="0">
                      <c:v>1093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{ED512577-B8BA-4701-A3D2-02011C7F8688}</c15:txfldGUID>
                      <c15:f>'Calculs dispo Données FA'!$AO$146</c15:f>
                      <c15:dlblFieldTableCache>
                        <c:ptCount val="1"/>
                        <c:pt idx="0">
                          <c:v>1093 B &amp; Consumption =0</c:v>
                        </c:pt>
                      </c15:dlblFieldTableCache>
                    </c15:dlblFTEntry>
                  </c15:dlblFieldTable>
                  <c15:showDataLabelsRange val="0"/>
                </c:ext>
              </c:extLst>
            </c:dLbl>
            <c:dLbl>
              <c:idx val="18"/>
              <c:layout>
                <c:manualLayout>
                  <c:x val="2.1680136354304178E-4"/>
                  <c:y val="0"/>
                </c:manualLayout>
              </c:layout>
              <c:tx>
                <c:strRef>
                  <c:f>'Calculs dispo Données FA'!$AO$148</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{7B56D70E-020C-4ACC-B592-42ECFA480DF0}</c15:txfldGUID>
                      <c15:f>'Calculs dispo Données FA'!$AO$148</c15:f>
                      <c15:dlblFieldTableCache>
                        <c:ptCount val="1"/>
                      </c15:dlblFieldTableCache>
                    </c15:dlblFTEntry>
                  </c15:dlblFieldTable>
                  <c15:showDataLabelsRange val="0"/>
                </c:ext>
              </c:extLst>
            </c:dLbl>
            <c:dLbl>
              <c:idx val="19"/>
              <c:tx>
                <c:strRef>
                  <c:f>'Calculs dispo Données FA'!$AO$149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{34F68735-8BAF-4022-A0C1-013D7C5FA9DB}</c15:txfldGUID>
                      <c15:f>'Calculs dispo Données FA'!$AO$149</c15:f>
                      <c15:dlblFieldTableCache>
                        <c:ptCount val="1"/>
                      </c15:dlblFieldTableCache>
                    </c15:dlblFTEntry>
                  </c15:dlblFieldTable>
                  <c15:showDataLabelsRange val="0"/>
                </c:ext>
              </c:extLst>
            </c:dLbl>
            <c:dLbl>
              <c:idx val="20"/>
              <c:tx>
                <c:strRef>
                  <c:f>'Calculs dispo Données FA'!$AO$151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{C01CFEEE-9683-4DC1-920C-2560286ACCFC}</c15:txfldGUID>
                      <c15:f>'Calculs dispo Données FA'!$AO$151</c15:f>
                      <c15:dlblFieldTableCache>
                        <c:ptCount val="1"/>
                      </c15:dlblFieldTableCache>
                    </c15:dlblFTEntry>
                  </c15:dlblFieldTable>
                  <c15:showDataLabelsRange val="0"/>
                </c:ext>
              </c:extLst>
            </c:dLbl>
            <c:dLbl>
              <c:idx val="21"/>
              <c:layout>
                <c:manualLayout>
                  <c:x val="8.9567856798300746E-2"/>
                  <c:y val="0"/>
                </c:manualLayout>
              </c:layout>
              <c:tx>
                <c:strRef>
                  <c:f>'Calculs dispo Données FA'!$AO$152</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{AF6C971A-C34A-484A-BB07-56372CB31104}</c15:txfldGUID>
                      <c15:f>'Calculs dispo Données FA'!$AO$152</c15:f>
                      <c15:dlblFieldTableCache>
                        <c:ptCount val="1"/>
                      </c15:dlblFieldTableCache>
                    </c15:dlblFTEntry>
                  </c15:dlblFieldTable>
                  <c15:showDataLabelsRange val="0"/>
                </c:ext>
              </c:extLst>
            </c:dLbl>
            <c:dLbl>
              <c:idx val="22"/>
              <c:layout>
                <c:manualLayout>
                  <c:x val="7.9023156978139303E-2"/>
                  <c:y val="0"/>
                </c:manualLayout>
              </c:layout>
              <c:tx>
                <c:strRef>
                  <c:f>'Calculs dispo Données FA'!$AO$154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{2B135ED2-E33E-4731-AD7A-AC90607D1730}</c15:txfldGUID>
                      <c15:f>'Calculs dispo Données FA'!$AO$154</c15:f>
                      <c15:dlblFieldTableCache>
                        <c:ptCount val="1"/>
                      </c15:dlblFieldTableCache>
                    </c15:dlblFTEntry>
                  </c15:dlblFieldTable>
                  <c15:showDataLabelsRange val="0"/>
                </c:ext>
              </c:extLst>
            </c:dLbl>
            <c:dLbl>
              <c:idx val="23"/>
              <c:tx>
                <c:strRef>
                  <c:f>'Calculs dispo Données FA'!$AO$155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{BE7B8AF2-B0BF-4CA3-98D5-3F4E7D6B71B3}</c15:txfldGUID>
                      <c15:f>'Calculs dispo Données FA'!$AO$155</c15:f>
                      <c15:dlblFieldTableCache>
                        <c:ptCount val="1"/>
                        <c:pt idx="0">
                          <c:v>956 B &amp; Consumption =0</c:v>
                        </c:pt>
                      </c15:dlblFieldTableCache>
                    </c15:dlblFTEntry>
                  </c15:dlblFieldTable>
                  <c15:showDataLabelsRange val="0"/>
                </c:ext>
              </c:extLst>
            </c:dLbl>
            <c:dLbl>
              <c:idx val="24"/>
              <c:tx>
                <c:strRef>
                  <c:f>'Calculs dispo Données FA'!$AO$156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{1CC2809C-82F5-4AA0-907D-ACCE3200662F}</c15:txfldGUID>
                      <c15:f>'Calculs dispo Données FA'!$AO$156</c15:f>
                      <c15:dlblFieldTableCache>
                        <c:ptCount val="1"/>
                      </c15:dlblFieldTableCache>
                    </c15:dlblFTEntry>
                  </c15:dlblFieldTable>
                  <c15:showDataLabelsRange val="0"/>
                </c:ext>
              </c:extLst>
            </c:dLbl>
            <c:dLbl>
              <c:idx val="25"/>
              <c:layout>
                <c:manualLayout>
                  <c:x val="3.8365331572007791E-2"/>
                  <c:y val="0"/>
                </c:manualLayout>
              </c:layout>
              <c:tx>
                <c:strRef>
                  <c:f>'Calculs dispo Données FA'!$AO$157</c:f>
                  <c:strCache>
                    <c:ptCount val="1"/>
                    <c:pt idx="0">
                      <c:v>750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{BC42A837-6401-423C-B351-3CAECCD4F6A8}</c15:txfldGUID>
                      <c15:f>'Calculs dispo Données FA'!$AO$157</c15:f>
                      <c15:dlblFieldTableCache>
                        <c:ptCount val="1"/>
                        <c:pt idx="0">
                          <c:v>750 B &amp; Consumption =0</c:v>
                        </c:pt>
                      </c15:dlblFieldTableCache>
                    </c15:dlblFTEntry>
                  </c15:dlblFieldTable>
                  <c15:showDataLabelsRange val="0"/>
                </c:ext>
              </c:extLst>
            </c:dLbl>
            <c:dLbl>
              <c:idx val="26"/>
              <c:tx>
                <c:strRef>
                  <c:f>'Calculs dispo Données FA'!$AO$158</c:f>
                  <c:strCache>
                    <c:ptCount val="1"/>
                    <c:pt idx="0">
                      <c:v>770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{CAC33A3A-2000-4066-B153-BDF993FDCC5C}</c15:txfldGUID>
                      <c15:f>'Calculs dispo Données FA'!$AO$158</c15:f>
                      <c15:dlblFieldTableCache>
                        <c:ptCount val="1"/>
                        <c:pt idx="0">
                          <c:v>770 B &amp; Consumption =0</c:v>
                        </c:pt>
                      </c15:dlblFieldTableCache>
                    </c15:dlblFTEntry>
                  </c15:dlblFieldTable>
                  <c15:showDataLabelsRange val="0"/>
                </c:ext>
              </c:extLst>
            </c:dLbl>
            <c:dLbl>
              <c:idx val="27"/>
              <c:tx>
                <c:strRef>
                  <c:f>'Calculs dispo Données FA'!$AO$161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{E24B75AA-B1B0-46A4-9EC6-E2853EA55FDD}</c15:txfldGUID>
                      <c15:f>'Calculs dispo Données FA'!$AO$161</c15:f>
                      <c15:dlblFieldTableCache>
                        <c:ptCount val="1"/>
                      </c15:dlblFieldTableCache>
                    </c15:dlblFTEntry>
                  </c15:dlblFieldTable>
                  <c15:showDataLabelsRange val="0"/>
                </c:ext>
              </c:extLst>
            </c:dLbl>
            <c:dLbl>
              <c:idx val="28"/>
              <c:tx>
                <c:strRef>
                  <c:f>'Calculs dispo Données FA'!$AO$163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{FC7AD401-18F1-49B7-AF14-34680346EAF4}</c15:txfldGUID>
                      <c15:f>'Calculs dispo Données FA'!$AO$163</c15:f>
                      <c15:dlblFieldTableCache>
                        <c:ptCount val="1"/>
                      </c15:dlblFieldTableCache>
                    </c15:dlblFTEntry>
                  </c15:dlblFieldTable>
                  <c15:showDataLabelsRange val="0"/>
                </c:ext>
              </c:extLst>
            </c:dLbl>
            <c:dLbl>
              <c:idx val="29"/>
              <c:tx>
                <c:strRef>
                  <c:f>'Calculs dispo Données FA'!$AO$159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{9E223E1D-4A76-4037-ACD7-C7CD9A7BD245}</c15:txfldGUID>
                      <c15:f>'Calculs dispo Données FA'!$AO$159</c15:f>
                      <c15:dlblFieldTableCache>
                        <c:ptCount val="1"/>
                        <c:pt idx="0">
                          <c:v>1705 B &amp; Consumption =0</c:v>
                        </c:pt>
                      </c15:dlblFieldTableCache>
                    </c15:dlblFTEntry>
                  </c15:dlblFieldTable>
                  <c15:showDataLabelsRange val="0"/>
                </c:ext>
              </c:extLst>
            </c:dLbl>
            <c:dLbl>
              <c:idx val="30"/>
              <c:tx>
                <c:strRef>
                  <c:f>'Calculs dispo Données FA'!$AO$162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{5F7821CE-E953-40DD-8850-08D3B75CD9FB}</c15:txfldGUID>
                      <c15:f>'Calculs dispo Données FA'!$AO$162</c15:f>
                      <c15:dlblFieldTableCache>
                        <c:ptCount val="1"/>
                      </c15:dlblFieldTableCache>
                    </c15:dlblFTEntry>
                  </c15:dlblFieldTable>
                  <c15:showDataLabelsRange val="0"/>
                </c:ext>
              </c:extLst>
            </c:dLbl>
            <c:dLbl>
              <c:idx val="31"/>
              <c:layout>
                <c:manualLayout>
                  <c:x val="3.9491095658283216E-2"/>
                  <c:y val="0"/>
                </c:manualLayout>
              </c:layout>
              <c:tx>
                <c:strRef>
                  <c:f>'Calculs dispo Données FA'!$AO$164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{9C038348-FE22-4105-8AFE-20DC8218BEA8}</c15:txfldGUID>
                      <c15:f>'Calculs dispo Données FA'!$AO$164</c15:f>
                      <c15:dlblFieldTableCache>
                        <c:ptCount val="1"/>
                      </c15:dlblFieldTableCache>
                    </c15:dlblFTEntry>
                  </c15:dlblFieldTable>
                  <c15:showDataLabelsRange val="0"/>
                </c:ext>
              </c:extLst>
            </c:dLbl>
            <c:dLbl>
              <c:idx val="32"/>
              <c:tx>
                <c:strRef>
                  <c:f>'Calculs dispo Données FA'!$AO$165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{04E1D2DC-A6BB-4A85-BF2E-9C1194641D32}</c15:txfldGUID>
                      <c15:f>'Calculs dispo Données FA'!$AO$165</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FA'!$H$125:$H$165</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FA'!$AK$125:$AK$165</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dLbls>
          <c:showLegendKey val="0"/>
          <c:showVal val="0"/>
          <c:showCatName val="0"/>
          <c:showSerName val="0"/>
          <c:showPercent val="0"/>
          <c:showBubbleSize val="0"/>
        </c:dLbls>
        <c:gapWidth val="150"/>
        <c:overlap val="100"/>
        <c:axId val="173391872"/>
        <c:axId val="173393408"/>
      </c:barChart>
      <c:catAx>
        <c:axId val="173391872"/>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73393408"/>
        <c:crosses val="autoZero"/>
        <c:auto val="1"/>
        <c:lblAlgn val="ctr"/>
        <c:lblOffset val="100"/>
        <c:tickMarkSkip val="2"/>
        <c:noMultiLvlLbl val="0"/>
      </c:catAx>
      <c:valAx>
        <c:axId val="173393408"/>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0.20339253069332441"/>
              <c:y val="0.11233362496354622"/>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73391872"/>
        <c:crosses val="autoZero"/>
        <c:crossBetween val="between"/>
        <c:majorUnit val="3"/>
      </c:valAx>
      <c:spPr>
        <a:ln>
          <a:solidFill>
            <a:schemeClr val="bg1">
              <a:lumMod val="50000"/>
            </a:schemeClr>
          </a:solidFill>
        </a:ln>
      </c:spPr>
    </c:plotArea>
    <c:legend>
      <c:legendPos val="b"/>
      <c:layout>
        <c:manualLayout>
          <c:xMode val="edge"/>
          <c:yMode val="edge"/>
          <c:x val="4.9999975262281712E-2"/>
          <c:y val="0.94614275298920969"/>
          <c:w val="0.89999995052458792"/>
          <c:h val="3.1635024788568292E-2"/>
        </c:manualLayout>
      </c:layout>
      <c:overlay val="0"/>
      <c:txPr>
        <a:bodyPr/>
        <a:lstStyle/>
        <a:p>
          <a:pPr>
            <a:defRPr lang="fr-FR"/>
          </a:pPr>
          <a:endParaRPr lang="en-US"/>
        </a:p>
      </c:txPr>
    </c:legend>
    <c:plotVisOnly val="1"/>
    <c:dispBlanksAs val="gap"/>
    <c:showDLblsOverMax val="0"/>
  </c:chart>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FR"/>
              <a:t>Estimation de la disponibilité</a:t>
            </a:r>
            <a:r>
              <a:rPr lang="fr-FR" baseline="0"/>
              <a:t> des </a:t>
            </a:r>
            <a:r>
              <a:rPr lang="fr-FR" baseline="0">
                <a:solidFill>
                  <a:srgbClr val="FF0000"/>
                </a:solidFill>
              </a:rPr>
              <a:t>Comprimés</a:t>
            </a:r>
            <a:endParaRPr lang="fr-FR">
              <a:solidFill>
                <a:srgbClr val="FF0000"/>
              </a:solidFill>
            </a:endParaRPr>
          </a:p>
        </c:rich>
      </c:tx>
      <c:layout>
        <c:manualLayout>
          <c:xMode val="edge"/>
          <c:yMode val="edge"/>
          <c:x val="9.1726470100758767E-3"/>
          <c:y val="1.8359580052493441E-3"/>
        </c:manualLayout>
      </c:layout>
      <c:overlay val="0"/>
    </c:title>
    <c:autoTitleDeleted val="0"/>
    <c:plotArea>
      <c:layout>
        <c:manualLayout>
          <c:layoutTarget val="inner"/>
          <c:xMode val="edge"/>
          <c:yMode val="edge"/>
          <c:x val="0.20683442818235856"/>
          <c:y val="0.18332195975503071"/>
          <c:w val="0.65264364574598832"/>
          <c:h val="0.76009521726455154"/>
        </c:manualLayout>
      </c:layout>
      <c:barChart>
        <c:barDir val="bar"/>
        <c:grouping val="stacked"/>
        <c:varyColors val="0"/>
        <c:ser>
          <c:idx val="0"/>
          <c:order val="0"/>
          <c:tx>
            <c:strRef>
              <c:f>'Calculs dispo Confrontation'!$V$8</c:f>
              <c:strCache>
                <c:ptCount val="1"/>
                <c:pt idx="0">
                  <c:v>Nb mois dispo hors SS - Données FA</c:v>
                </c:pt>
              </c:strCache>
            </c:strRef>
          </c:tx>
          <c:spPr>
            <a:solidFill>
              <a:srgbClr val="4F81BD"/>
            </a:solidFill>
          </c:spPr>
          <c:invertIfNegative val="1"/>
          <c:cat>
            <c:strRef>
              <c:f>'Calculs dispo Confrontation'!$I$9:$I$74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Confrontation'!$V$9:$V$74</c:f>
              <c:numCache>
                <c:formatCode>0.0</c:formatCode>
                <c:ptCount val="66"/>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pt idx="62">
                  <c:v>0</c:v>
                </c:pt>
                <c:pt idx="6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Confrontation'!$W$8</c:f>
              <c:strCache>
                <c:ptCount val="1"/>
                <c:pt idx="0">
                  <c:v>Nb mois dispo SS - Données FA</c:v>
                </c:pt>
              </c:strCache>
            </c:strRef>
          </c:tx>
          <c:invertIfNegative val="0"/>
          <c:cat>
            <c:strRef>
              <c:f>'Calculs dispo Confrontation'!$I$9:$I$74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Confrontation'!$W$9:$W$40</c:f>
              <c:numCache>
                <c:formatCode>0.0</c:formatCode>
                <c:ptCount val="32"/>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numCache>
            </c:numRef>
          </c:val>
        </c:ser>
        <c:ser>
          <c:idx val="2"/>
          <c:order val="2"/>
          <c:tx>
            <c:strRef>
              <c:f>'Calculs dispo Confrontation'!$AH$8</c:f>
              <c:strCache>
                <c:ptCount val="1"/>
                <c:pt idx="0">
                  <c:v>Nb mois dispo hors SS - Données Conso/Distri</c:v>
                </c:pt>
              </c:strCache>
            </c:strRef>
          </c:tx>
          <c:spPr>
            <a:solidFill>
              <a:srgbClr val="B889DB"/>
            </a:solidFill>
          </c:spPr>
          <c:invertIfNegative val="1"/>
          <c:dPt>
            <c:idx val="1"/>
            <c:invertIfNegative val="1"/>
            <c:bubble3D val="0"/>
          </c:dPt>
          <c:cat>
            <c:strRef>
              <c:f>'Calculs dispo Confrontation'!$I$9:$I$74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Confrontation'!$AH$9:$AH$74</c:f>
              <c:numCache>
                <c:formatCode>0.0</c:formatCode>
                <c:ptCount val="66"/>
                <c:pt idx="1">
                  <c:v>8.3430104133796146</c:v>
                </c:pt>
                <c:pt idx="3">
                  <c:v>-0.21245421245421259</c:v>
                </c:pt>
                <c:pt idx="5">
                  <c:v>5.7780821917808218</c:v>
                </c:pt>
                <c:pt idx="7">
                  <c:v>6.7474348855564319</c:v>
                </c:pt>
                <c:pt idx="9">
                  <c:v>3.1849315068493151</c:v>
                </c:pt>
                <c:pt idx="11">
                  <c:v>0.33928571428571441</c:v>
                </c:pt>
                <c:pt idx="13">
                  <c:v>0</c:v>
                </c:pt>
                <c:pt idx="15">
                  <c:v>-2.1780821917808222</c:v>
                </c:pt>
                <c:pt idx="17">
                  <c:v>-2.6444444444444444</c:v>
                </c:pt>
                <c:pt idx="19">
                  <c:v>0</c:v>
                </c:pt>
                <c:pt idx="21">
                  <c:v>0</c:v>
                </c:pt>
                <c:pt idx="23">
                  <c:v>10.808219178082192</c:v>
                </c:pt>
                <c:pt idx="25">
                  <c:v>1.7671232876712324</c:v>
                </c:pt>
                <c:pt idx="27">
                  <c:v>0</c:v>
                </c:pt>
                <c:pt idx="29">
                  <c:v>-2.9047619047619047</c:v>
                </c:pt>
                <c:pt idx="31">
                  <c:v>4.7885521885521882</c:v>
                </c:pt>
                <c:pt idx="33">
                  <c:v>0</c:v>
                </c:pt>
                <c:pt idx="35">
                  <c:v>0.84657534246571231</c:v>
                </c:pt>
                <c:pt idx="37">
                  <c:v>0</c:v>
                </c:pt>
                <c:pt idx="39">
                  <c:v>0</c:v>
                </c:pt>
                <c:pt idx="41">
                  <c:v>0</c:v>
                </c:pt>
                <c:pt idx="43">
                  <c:v>0</c:v>
                </c:pt>
                <c:pt idx="45">
                  <c:v>0</c:v>
                </c:pt>
                <c:pt idx="47">
                  <c:v>6.7972602739726042</c:v>
                </c:pt>
                <c:pt idx="49">
                  <c:v>0</c:v>
                </c:pt>
                <c:pt idx="51">
                  <c:v>4.0754716981132075</c:v>
                </c:pt>
                <c:pt idx="53">
                  <c:v>2.7863013698630139</c:v>
                </c:pt>
                <c:pt idx="55">
                  <c:v>0</c:v>
                </c:pt>
                <c:pt idx="57">
                  <c:v>0</c:v>
                </c:pt>
                <c:pt idx="59">
                  <c:v>0</c:v>
                </c:pt>
                <c:pt idx="61">
                  <c:v>0</c:v>
                </c:pt>
                <c:pt idx="63">
                  <c:v>0</c:v>
                </c:pt>
                <c:pt idx="65">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'Calculs dispo Confrontation'!$AI$8</c:f>
              <c:strCache>
                <c:ptCount val="1"/>
                <c:pt idx="0">
                  <c:v>Nb mois dispo SS - Données Conso/Distri</c:v>
                </c:pt>
              </c:strCache>
            </c:strRef>
          </c:tx>
          <c:spPr>
            <a:solidFill>
              <a:srgbClr val="FFC000"/>
            </a:solidFill>
          </c:spPr>
          <c:invertIfNegative val="0"/>
          <c:cat>
            <c:strRef>
              <c:f>'Calculs dispo Confrontation'!$I$9:$I$74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Confrontation'!$AI$9:$AI$74</c:f>
              <c:numCache>
                <c:formatCode>0.0</c:formatCode>
                <c:ptCount val="66"/>
                <c:pt idx="1">
                  <c:v>3</c:v>
                </c:pt>
                <c:pt idx="3">
                  <c:v>2.7875457875457874</c:v>
                </c:pt>
                <c:pt idx="5">
                  <c:v>3</c:v>
                </c:pt>
                <c:pt idx="7">
                  <c:v>3</c:v>
                </c:pt>
                <c:pt idx="9">
                  <c:v>3</c:v>
                </c:pt>
                <c:pt idx="11">
                  <c:v>3</c:v>
                </c:pt>
                <c:pt idx="13">
                  <c:v>0</c:v>
                </c:pt>
                <c:pt idx="15">
                  <c:v>1.1219178082191781</c:v>
                </c:pt>
                <c:pt idx="17">
                  <c:v>0.35555555555555557</c:v>
                </c:pt>
                <c:pt idx="19">
                  <c:v>0</c:v>
                </c:pt>
                <c:pt idx="21">
                  <c:v>0</c:v>
                </c:pt>
                <c:pt idx="23">
                  <c:v>3</c:v>
                </c:pt>
                <c:pt idx="25">
                  <c:v>3</c:v>
                </c:pt>
                <c:pt idx="27">
                  <c:v>0</c:v>
                </c:pt>
                <c:pt idx="29">
                  <c:v>9.5238095238095233E-2</c:v>
                </c:pt>
                <c:pt idx="31">
                  <c:v>3</c:v>
                </c:pt>
                <c:pt idx="33">
                  <c:v>0</c:v>
                </c:pt>
                <c:pt idx="35">
                  <c:v>3</c:v>
                </c:pt>
                <c:pt idx="37">
                  <c:v>0</c:v>
                </c:pt>
                <c:pt idx="39">
                  <c:v>0</c:v>
                </c:pt>
                <c:pt idx="41">
                  <c:v>0</c:v>
                </c:pt>
                <c:pt idx="43">
                  <c:v>0</c:v>
                </c:pt>
                <c:pt idx="45">
                  <c:v>0</c:v>
                </c:pt>
                <c:pt idx="47">
                  <c:v>3</c:v>
                </c:pt>
                <c:pt idx="49">
                  <c:v>0</c:v>
                </c:pt>
                <c:pt idx="51">
                  <c:v>3</c:v>
                </c:pt>
                <c:pt idx="53">
                  <c:v>3</c:v>
                </c:pt>
                <c:pt idx="55">
                  <c:v>0</c:v>
                </c:pt>
                <c:pt idx="57">
                  <c:v>0</c:v>
                </c:pt>
                <c:pt idx="59">
                  <c:v>0</c:v>
                </c:pt>
                <c:pt idx="61">
                  <c:v>0</c:v>
                </c:pt>
                <c:pt idx="63">
                  <c:v>0</c:v>
                </c:pt>
                <c:pt idx="65">
                  <c:v>0</c:v>
                </c:pt>
              </c:numCache>
            </c:numRef>
          </c:val>
        </c:ser>
        <c:dLbls>
          <c:showLegendKey val="0"/>
          <c:showVal val="0"/>
          <c:showCatName val="0"/>
          <c:showSerName val="0"/>
          <c:showPercent val="0"/>
          <c:showBubbleSize val="0"/>
        </c:dLbls>
        <c:gapWidth val="150"/>
        <c:overlap val="100"/>
        <c:axId val="96644096"/>
        <c:axId val="96645888"/>
      </c:barChart>
      <c:catAx>
        <c:axId val="96644096"/>
        <c:scaling>
          <c:orientation val="maxMin"/>
        </c:scaling>
        <c:delete val="0"/>
        <c:axPos val="l"/>
        <c:majorGridlines/>
        <c:numFmt formatCode="General" sourceLinked="1"/>
        <c:majorTickMark val="out"/>
        <c:minorTickMark val="none"/>
        <c:tickLblPos val="low"/>
        <c:txPr>
          <a:bodyPr/>
          <a:lstStyle/>
          <a:p>
            <a:pPr>
              <a:defRPr lang="fr-FR"/>
            </a:pPr>
            <a:endParaRPr lang="en-US"/>
          </a:p>
        </c:txPr>
        <c:crossAx val="96645888"/>
        <c:crosses val="autoZero"/>
        <c:auto val="1"/>
        <c:lblAlgn val="ctr"/>
        <c:lblOffset val="100"/>
        <c:tickMarkSkip val="2"/>
        <c:noMultiLvlLbl val="0"/>
      </c:catAx>
      <c:valAx>
        <c:axId val="96645888"/>
        <c:scaling>
          <c:orientation val="minMax"/>
          <c:min val="-6"/>
        </c:scaling>
        <c:delete val="0"/>
        <c:axPos val="t"/>
        <c:majorGridlines>
          <c:spPr>
            <a:ln>
              <a:solidFill>
                <a:schemeClr val="bg1">
                  <a:lumMod val="75000"/>
                </a:schemeClr>
              </a:solidFill>
            </a:ln>
          </c:spPr>
        </c:majorGridlines>
        <c:title>
          <c:tx>
            <c:rich>
              <a:bodyPr rot="0" vert="horz"/>
              <a:lstStyle/>
              <a:p>
                <a:pPr>
                  <a:defRPr lang="fr-FR" sz="1100" b="1" i="0"/>
                </a:pPr>
                <a:r>
                  <a:rPr lang="fr-FR" sz="1100" b="1" i="0"/>
                  <a:t>Nombre de mois de stock</a:t>
                </a:r>
                <a:r>
                  <a:rPr lang="fr-FR" sz="1100" b="1" i="0" baseline="0"/>
                  <a:t> disponible</a:t>
                </a:r>
              </a:p>
            </c:rich>
          </c:tx>
          <c:layout>
            <c:manualLayout>
              <c:xMode val="edge"/>
              <c:yMode val="edge"/>
              <c:x val="0.2059058828768062"/>
              <c:y val="0.11233362496354622"/>
            </c:manualLayout>
          </c:layout>
          <c:overlay val="0"/>
          <c:spPr>
            <a:solidFill>
              <a:schemeClr val="bg1">
                <a:lumMod val="85000"/>
              </a:schemeClr>
            </a:solidFill>
          </c:spPr>
        </c:title>
        <c:numFmt formatCode="0.0" sourceLinked="1"/>
        <c:majorTickMark val="out"/>
        <c:minorTickMark val="none"/>
        <c:tickLblPos val="nextTo"/>
        <c:txPr>
          <a:bodyPr/>
          <a:lstStyle/>
          <a:p>
            <a:pPr>
              <a:defRPr lang="fr-FR" b="1"/>
            </a:pPr>
            <a:endParaRPr lang="en-US"/>
          </a:p>
        </c:txPr>
        <c:crossAx val="96644096"/>
        <c:crosses val="autoZero"/>
        <c:crossBetween val="between"/>
        <c:majorUnit val="3"/>
      </c:valAx>
      <c:spPr>
        <a:ln>
          <a:solidFill>
            <a:schemeClr val="bg1">
              <a:lumMod val="50000"/>
            </a:schemeClr>
          </a:solidFill>
        </a:ln>
      </c:spPr>
    </c:plotArea>
    <c:legend>
      <c:legendPos val="b"/>
      <c:overlay val="0"/>
      <c:txPr>
        <a:bodyPr/>
        <a:lstStyle/>
        <a:p>
          <a:pPr>
            <a:defRPr lang="fr-FR"/>
          </a:pPr>
          <a:endParaRPr lang="en-US"/>
        </a:p>
      </c:txPr>
    </c:legend>
    <c:plotVisOnly val="1"/>
    <c:dispBlanksAs val="gap"/>
    <c:showDLblsOverMax val="0"/>
  </c:chart>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fr-FR"/>
              <a:t>Estimation de la disponibilité</a:t>
            </a:r>
            <a:r>
              <a:rPr lang="fr-FR" baseline="0"/>
              <a:t> des </a:t>
            </a:r>
            <a:r>
              <a:rPr lang="fr-FR" baseline="0">
                <a:solidFill>
                  <a:srgbClr val="FF0000"/>
                </a:solidFill>
              </a:rPr>
              <a:t>Comprimés</a:t>
            </a:r>
            <a:endParaRPr lang="fr-FR">
              <a:solidFill>
                <a:srgbClr val="FF0000"/>
              </a:solidFill>
            </a:endParaRPr>
          </a:p>
        </c:rich>
      </c:tx>
      <c:layout>
        <c:manualLayout>
          <c:xMode val="edge"/>
          <c:yMode val="edge"/>
          <c:x val="9.1726470100758767E-3"/>
          <c:y val="1.8359580052493441E-3"/>
        </c:manualLayout>
      </c:layout>
      <c:overlay val="0"/>
    </c:title>
    <c:autoTitleDeleted val="0"/>
    <c:plotArea>
      <c:layout>
        <c:manualLayout>
          <c:layoutTarget val="inner"/>
          <c:xMode val="edge"/>
          <c:yMode val="edge"/>
          <c:x val="0.20683442818235859"/>
          <c:y val="0.18332195975503071"/>
          <c:w val="0.66018370229641243"/>
          <c:h val="0.76009521726455187"/>
        </c:manualLayout>
      </c:layout>
      <c:barChart>
        <c:barDir val="bar"/>
        <c:grouping val="stacked"/>
        <c:varyColors val="0"/>
        <c:ser>
          <c:idx val="0"/>
          <c:order val="0"/>
          <c:tx>
            <c:strRef>
              <c:f>'Calculs dispo Confrontation'!$V$8</c:f>
              <c:strCache>
                <c:ptCount val="1"/>
                <c:pt idx="0">
                  <c:v>Nb mois dispo hors SS - Données FA</c:v>
                </c:pt>
              </c:strCache>
            </c:strRef>
          </c:tx>
          <c:spPr>
            <a:solidFill>
              <a:srgbClr val="4F81BD"/>
            </a:solidFill>
          </c:spPr>
          <c:invertIfNegative val="1"/>
          <c:cat>
            <c:strRef>
              <c:f>'Calculs dispo Confrontation'!$I$9:$I$74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Confrontation'!$V$9:$V$74</c:f>
              <c:numCache>
                <c:formatCode>0.0</c:formatCode>
                <c:ptCount val="66"/>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pt idx="62">
                  <c:v>0</c:v>
                </c:pt>
                <c:pt idx="6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Confrontation'!$W$8</c:f>
              <c:strCache>
                <c:ptCount val="1"/>
                <c:pt idx="0">
                  <c:v>Nb mois dispo SS - Données FA</c:v>
                </c:pt>
              </c:strCache>
            </c:strRef>
          </c:tx>
          <c:invertIfNegative val="0"/>
          <c:cat>
            <c:strRef>
              <c:f>'Calculs dispo Confrontation'!$I$9:$I$74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Confrontation'!$W$9:$W$74</c:f>
              <c:numCache>
                <c:formatCode>0.0</c:formatCode>
                <c:ptCount val="66"/>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pt idx="62">
                  <c:v>0</c:v>
                </c:pt>
                <c:pt idx="64">
                  <c:v>0</c:v>
                </c:pt>
              </c:numCache>
            </c:numRef>
          </c:val>
        </c:ser>
        <c:ser>
          <c:idx val="4"/>
          <c:order val="2"/>
          <c:tx>
            <c:strRef>
              <c:f>'Calculs dispo Confrontation'!$AH$188</c:f>
              <c:strCache>
                <c:ptCount val="1"/>
                <c:pt idx="0">
                  <c:v>Nb mois stock / commande attendue - Données FA</c:v>
                </c:pt>
              </c:strCache>
            </c:strRef>
          </c:tx>
          <c:spPr>
            <a:solidFill>
              <a:schemeClr val="accent3"/>
            </a:solidFill>
          </c:spPr>
          <c:invertIfNegative val="0"/>
          <c:cat>
            <c:strRef>
              <c:f>'Calculs dispo Confrontation'!$I$189:$I$254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Confrontation'!$AH$189:$AH$254</c:f>
              <c:numCache>
                <c:formatCode>0.0</c:formatCode>
                <c:ptCount val="66"/>
                <c:pt idx="0">
                  <c:v>0</c:v>
                </c:pt>
                <c:pt idx="2">
                  <c:v>0</c:v>
                </c:pt>
                <c:pt idx="4">
                  <c:v>0</c:v>
                </c:pt>
                <c:pt idx="6">
                  <c:v>0</c:v>
                </c:pt>
                <c:pt idx="8">
                  <c:v>0</c:v>
                </c:pt>
                <c:pt idx="10">
                  <c:v>0</c:v>
                </c:pt>
                <c:pt idx="12">
                  <c:v>0</c:v>
                </c:pt>
                <c:pt idx="14">
                  <c:v>0</c:v>
                </c:pt>
                <c:pt idx="16">
                  <c:v>0</c:v>
                </c:pt>
                <c:pt idx="18">
                  <c:v>0</c:v>
                </c:pt>
                <c:pt idx="20">
                  <c:v>0</c:v>
                </c:pt>
                <c:pt idx="22">
                  <c:v>0</c:v>
                </c:pt>
                <c:pt idx="24">
                  <c:v>0</c:v>
                </c:pt>
                <c:pt idx="26">
                  <c:v>0</c:v>
                </c:pt>
                <c:pt idx="28">
                  <c:v>0</c:v>
                </c:pt>
                <c:pt idx="30">
                  <c:v>0</c:v>
                </c:pt>
                <c:pt idx="32">
                  <c:v>0</c:v>
                </c:pt>
                <c:pt idx="34">
                  <c:v>0</c:v>
                </c:pt>
                <c:pt idx="36">
                  <c:v>0</c:v>
                </c:pt>
                <c:pt idx="38">
                  <c:v>0</c:v>
                </c:pt>
                <c:pt idx="40">
                  <c:v>0</c:v>
                </c:pt>
                <c:pt idx="42">
                  <c:v>0</c:v>
                </c:pt>
                <c:pt idx="44">
                  <c:v>0</c:v>
                </c:pt>
                <c:pt idx="46">
                  <c:v>0</c:v>
                </c:pt>
                <c:pt idx="48">
                  <c:v>0</c:v>
                </c:pt>
                <c:pt idx="50">
                  <c:v>0</c:v>
                </c:pt>
                <c:pt idx="52">
                  <c:v>0</c:v>
                </c:pt>
                <c:pt idx="54">
                  <c:v>0</c:v>
                </c:pt>
                <c:pt idx="56">
                  <c:v>0</c:v>
                </c:pt>
                <c:pt idx="58">
                  <c:v>0</c:v>
                </c:pt>
                <c:pt idx="60">
                  <c:v>0</c:v>
                </c:pt>
                <c:pt idx="62">
                  <c:v>0</c:v>
                </c:pt>
                <c:pt idx="64">
                  <c:v>0</c:v>
                </c:pt>
              </c:numCache>
            </c:numRef>
          </c:val>
        </c:ser>
        <c:ser>
          <c:idx val="2"/>
          <c:order val="3"/>
          <c:tx>
            <c:strRef>
              <c:f>'Calculs dispo Confrontation'!$AH$8</c:f>
              <c:strCache>
                <c:ptCount val="1"/>
                <c:pt idx="0">
                  <c:v>Nb mois dispo hors SS - Données Conso/Distri</c:v>
                </c:pt>
              </c:strCache>
            </c:strRef>
          </c:tx>
          <c:spPr>
            <a:solidFill>
              <a:srgbClr val="B889DB"/>
            </a:solidFill>
          </c:spPr>
          <c:invertIfNegative val="1"/>
          <c:dPt>
            <c:idx val="1"/>
            <c:invertIfNegative val="1"/>
            <c:bubble3D val="0"/>
          </c:dPt>
          <c:cat>
            <c:strRef>
              <c:f>'Calculs dispo Confrontation'!$I$9:$I$74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Confrontation'!$AH$9:$AH$74</c:f>
              <c:numCache>
                <c:formatCode>0.0</c:formatCode>
                <c:ptCount val="66"/>
                <c:pt idx="1">
                  <c:v>8.3430104133796146</c:v>
                </c:pt>
                <c:pt idx="3">
                  <c:v>-0.21245421245421259</c:v>
                </c:pt>
                <c:pt idx="5">
                  <c:v>5.7780821917808218</c:v>
                </c:pt>
                <c:pt idx="7">
                  <c:v>6.7474348855564319</c:v>
                </c:pt>
                <c:pt idx="9">
                  <c:v>3.1849315068493151</c:v>
                </c:pt>
                <c:pt idx="11">
                  <c:v>0.33928571428571441</c:v>
                </c:pt>
                <c:pt idx="13">
                  <c:v>0</c:v>
                </c:pt>
                <c:pt idx="15">
                  <c:v>-2.1780821917808222</c:v>
                </c:pt>
                <c:pt idx="17">
                  <c:v>-2.6444444444444444</c:v>
                </c:pt>
                <c:pt idx="19">
                  <c:v>0</c:v>
                </c:pt>
                <c:pt idx="21">
                  <c:v>0</c:v>
                </c:pt>
                <c:pt idx="23">
                  <c:v>10.808219178082192</c:v>
                </c:pt>
                <c:pt idx="25">
                  <c:v>1.7671232876712324</c:v>
                </c:pt>
                <c:pt idx="27">
                  <c:v>0</c:v>
                </c:pt>
                <c:pt idx="29">
                  <c:v>-2.9047619047619047</c:v>
                </c:pt>
                <c:pt idx="31">
                  <c:v>4.7885521885521882</c:v>
                </c:pt>
                <c:pt idx="33">
                  <c:v>0</c:v>
                </c:pt>
                <c:pt idx="35">
                  <c:v>0.84657534246571231</c:v>
                </c:pt>
                <c:pt idx="37">
                  <c:v>0</c:v>
                </c:pt>
                <c:pt idx="39">
                  <c:v>0</c:v>
                </c:pt>
                <c:pt idx="41">
                  <c:v>0</c:v>
                </c:pt>
                <c:pt idx="43">
                  <c:v>0</c:v>
                </c:pt>
                <c:pt idx="45">
                  <c:v>0</c:v>
                </c:pt>
                <c:pt idx="47">
                  <c:v>6.7972602739726042</c:v>
                </c:pt>
                <c:pt idx="49">
                  <c:v>0</c:v>
                </c:pt>
                <c:pt idx="51">
                  <c:v>4.0754716981132075</c:v>
                </c:pt>
                <c:pt idx="53">
                  <c:v>2.7863013698630139</c:v>
                </c:pt>
                <c:pt idx="55">
                  <c:v>0</c:v>
                </c:pt>
                <c:pt idx="57">
                  <c:v>0</c:v>
                </c:pt>
                <c:pt idx="59">
                  <c:v>0</c:v>
                </c:pt>
                <c:pt idx="61">
                  <c:v>0</c:v>
                </c:pt>
                <c:pt idx="63">
                  <c:v>0</c:v>
                </c:pt>
                <c:pt idx="65">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4"/>
          <c:tx>
            <c:strRef>
              <c:f>'Calculs dispo Confrontation'!$AI$8</c:f>
              <c:strCache>
                <c:ptCount val="1"/>
                <c:pt idx="0">
                  <c:v>Nb mois dispo SS - Données Conso/Distri</c:v>
                </c:pt>
              </c:strCache>
            </c:strRef>
          </c:tx>
          <c:spPr>
            <a:solidFill>
              <a:srgbClr val="FFC000"/>
            </a:solidFill>
          </c:spPr>
          <c:invertIfNegative val="0"/>
          <c:cat>
            <c:strRef>
              <c:f>'Calculs dispo Confrontation'!$I$9:$I$74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Confrontation'!$AI$9:$AI$74</c:f>
              <c:numCache>
                <c:formatCode>0.0</c:formatCode>
                <c:ptCount val="66"/>
                <c:pt idx="1">
                  <c:v>3</c:v>
                </c:pt>
                <c:pt idx="3">
                  <c:v>2.7875457875457874</c:v>
                </c:pt>
                <c:pt idx="5">
                  <c:v>3</c:v>
                </c:pt>
                <c:pt idx="7">
                  <c:v>3</c:v>
                </c:pt>
                <c:pt idx="9">
                  <c:v>3</c:v>
                </c:pt>
                <c:pt idx="11">
                  <c:v>3</c:v>
                </c:pt>
                <c:pt idx="13">
                  <c:v>0</c:v>
                </c:pt>
                <c:pt idx="15">
                  <c:v>1.1219178082191781</c:v>
                </c:pt>
                <c:pt idx="17">
                  <c:v>0.35555555555555557</c:v>
                </c:pt>
                <c:pt idx="19">
                  <c:v>0</c:v>
                </c:pt>
                <c:pt idx="21">
                  <c:v>0</c:v>
                </c:pt>
                <c:pt idx="23">
                  <c:v>3</c:v>
                </c:pt>
                <c:pt idx="25">
                  <c:v>3</c:v>
                </c:pt>
                <c:pt idx="27">
                  <c:v>0</c:v>
                </c:pt>
                <c:pt idx="29">
                  <c:v>9.5238095238095233E-2</c:v>
                </c:pt>
                <c:pt idx="31">
                  <c:v>3</c:v>
                </c:pt>
                <c:pt idx="33">
                  <c:v>0</c:v>
                </c:pt>
                <c:pt idx="35">
                  <c:v>3</c:v>
                </c:pt>
                <c:pt idx="37">
                  <c:v>0</c:v>
                </c:pt>
                <c:pt idx="39">
                  <c:v>0</c:v>
                </c:pt>
                <c:pt idx="41">
                  <c:v>0</c:v>
                </c:pt>
                <c:pt idx="43">
                  <c:v>0</c:v>
                </c:pt>
                <c:pt idx="45">
                  <c:v>0</c:v>
                </c:pt>
                <c:pt idx="47">
                  <c:v>3</c:v>
                </c:pt>
                <c:pt idx="49">
                  <c:v>0</c:v>
                </c:pt>
                <c:pt idx="51">
                  <c:v>3</c:v>
                </c:pt>
                <c:pt idx="53">
                  <c:v>3</c:v>
                </c:pt>
                <c:pt idx="55">
                  <c:v>0</c:v>
                </c:pt>
                <c:pt idx="57">
                  <c:v>0</c:v>
                </c:pt>
                <c:pt idx="59">
                  <c:v>0</c:v>
                </c:pt>
                <c:pt idx="61">
                  <c:v>0</c:v>
                </c:pt>
                <c:pt idx="63">
                  <c:v>0</c:v>
                </c:pt>
                <c:pt idx="65">
                  <c:v>0</c:v>
                </c:pt>
              </c:numCache>
            </c:numRef>
          </c:val>
        </c:ser>
        <c:ser>
          <c:idx val="5"/>
          <c:order val="5"/>
          <c:tx>
            <c:strRef>
              <c:f>'Calculs dispo Confrontation'!$BH$188</c:f>
              <c:strCache>
                <c:ptCount val="1"/>
                <c:pt idx="0">
                  <c:v>Nb mois stock / commande attendue - Données Conso/Distri</c:v>
                </c:pt>
              </c:strCache>
            </c:strRef>
          </c:tx>
          <c:spPr>
            <a:solidFill>
              <a:schemeClr val="accent5"/>
            </a:solidFill>
          </c:spPr>
          <c:invertIfNegative val="0"/>
          <c:cat>
            <c:strRef>
              <c:f>'Calculs dispo Confrontation'!$I$189:$I$254</c:f>
              <c:strCache>
                <c:ptCount val="65"/>
                <c:pt idx="0">
                  <c:v>AZT+3TC+NVP - 300/150/200 mg - Bte/60</c:v>
                </c:pt>
                <c:pt idx="2">
                  <c:v>AZT+3TC+NVP - 60/30/50 mg - Bte/60</c:v>
                </c:pt>
                <c:pt idx="4">
                  <c:v>AZT+3TC+ABC - 300/150/300 mg - Bte/60</c:v>
                </c:pt>
                <c:pt idx="6">
                  <c:v>AZT+3TC - 300/150 mg - Bte/60</c:v>
                </c:pt>
                <c:pt idx="8">
                  <c:v>AZT+3TC - 60/30 mg - Bte/60</c:v>
                </c:pt>
                <c:pt idx="10">
                  <c:v>3TC+ABC - 300/600 mg - Bte/30</c:v>
                </c:pt>
                <c:pt idx="12">
                  <c:v>D4T+3TC+NVP - 30/150/200 mg - Bte/60</c:v>
                </c:pt>
                <c:pt idx="14">
                  <c:v>D4T+3TC+NVP - 6/30/50 mg - Bte/60</c:v>
                </c:pt>
                <c:pt idx="16">
                  <c:v>D4T+3TC - 30/150 mg - Bte/60</c:v>
                </c:pt>
                <c:pt idx="18">
                  <c:v>TDF+FTC+EFV - 300/200/600 mg - Bte/30</c:v>
                </c:pt>
                <c:pt idx="20">
                  <c:v>TDF+FTC - 300/200 mg - Bte/30</c:v>
                </c:pt>
                <c:pt idx="22">
                  <c:v>TDF+3TC+EFV - 300/200/600 mg - Bte/30</c:v>
                </c:pt>
                <c:pt idx="24">
                  <c:v>TDF+3TC - 300/200 mg - Bte/30</c:v>
                </c:pt>
                <c:pt idx="26">
                  <c:v>EFV - 50 mg - Bte/30</c:v>
                </c:pt>
                <c:pt idx="28">
                  <c:v>EFV - 200 mg - Bte/90</c:v>
                </c:pt>
                <c:pt idx="30">
                  <c:v>EFV - 600 mg - Bte/30</c:v>
                </c:pt>
                <c:pt idx="32">
                  <c:v>NVP - 200 mg - Bte/60</c:v>
                </c:pt>
                <c:pt idx="34">
                  <c:v>ABC - 300 mg - Bte/60</c:v>
                </c:pt>
                <c:pt idx="36">
                  <c:v>AZT - 300 mg - Bte/60</c:v>
                </c:pt>
                <c:pt idx="38">
                  <c:v>AZT - 100 mg - Bte/100</c:v>
                </c:pt>
                <c:pt idx="40">
                  <c:v>D4T - 30 mg - Bte/60</c:v>
                </c:pt>
                <c:pt idx="42">
                  <c:v>3TC - 150 mg - Bte/60</c:v>
                </c:pt>
                <c:pt idx="44">
                  <c:v>DDI - 250 mg - Bte/30</c:v>
                </c:pt>
                <c:pt idx="46">
                  <c:v>DDI - 400 mg - Bte/30</c:v>
                </c:pt>
                <c:pt idx="48">
                  <c:v>TDF - 300 mg - Bte/30</c:v>
                </c:pt>
                <c:pt idx="50">
                  <c:v>LPV/r - 200/50 mg - Bte/120</c:v>
                </c:pt>
                <c:pt idx="52">
                  <c:v>LPV/r - 100/25 mg - Bte/60</c:v>
                </c:pt>
                <c:pt idx="54">
                  <c:v>IDV - 400 mg - Bte/180</c:v>
                </c:pt>
                <c:pt idx="56">
                  <c:v>SQV - 500 mg - Bte/120</c:v>
                </c:pt>
                <c:pt idx="58">
                  <c:v>ATV - 200 mg - Bte/60</c:v>
                </c:pt>
                <c:pt idx="60">
                  <c:v>DRV - 600 mg - Bte/60</c:v>
                </c:pt>
                <c:pt idx="62">
                  <c:v>RTV - 100 mg - Bte/84</c:v>
                </c:pt>
                <c:pt idx="64">
                  <c:v>RLT - 400 mg - Bte/60</c:v>
                </c:pt>
              </c:strCache>
            </c:strRef>
          </c:cat>
          <c:val>
            <c:numRef>
              <c:f>'Calculs dispo Confrontation'!$BH$189:$BH$254</c:f>
              <c:numCache>
                <c:formatCode>0.0</c:formatCode>
                <c:ptCount val="66"/>
                <c:pt idx="1">
                  <c:v>0</c:v>
                </c:pt>
                <c:pt idx="3">
                  <c:v>0</c:v>
                </c:pt>
                <c:pt idx="5">
                  <c:v>0</c:v>
                </c:pt>
                <c:pt idx="7">
                  <c:v>0</c:v>
                </c:pt>
                <c:pt idx="9">
                  <c:v>0</c:v>
                </c:pt>
                <c:pt idx="11">
                  <c:v>0</c:v>
                </c:pt>
                <c:pt idx="13">
                  <c:v>0</c:v>
                </c:pt>
                <c:pt idx="15">
                  <c:v>0</c:v>
                </c:pt>
                <c:pt idx="17">
                  <c:v>0</c:v>
                </c:pt>
                <c:pt idx="19">
                  <c:v>0</c:v>
                </c:pt>
                <c:pt idx="21">
                  <c:v>0</c:v>
                </c:pt>
                <c:pt idx="23">
                  <c:v>0</c:v>
                </c:pt>
                <c:pt idx="25">
                  <c:v>0</c:v>
                </c:pt>
                <c:pt idx="27">
                  <c:v>0</c:v>
                </c:pt>
                <c:pt idx="29">
                  <c:v>5.1428571428571432</c:v>
                </c:pt>
                <c:pt idx="31">
                  <c:v>0</c:v>
                </c:pt>
                <c:pt idx="33">
                  <c:v>0</c:v>
                </c:pt>
                <c:pt idx="35">
                  <c:v>0</c:v>
                </c:pt>
                <c:pt idx="37">
                  <c:v>0</c:v>
                </c:pt>
                <c:pt idx="39">
                  <c:v>0</c:v>
                </c:pt>
                <c:pt idx="41">
                  <c:v>0</c:v>
                </c:pt>
                <c:pt idx="43">
                  <c:v>0</c:v>
                </c:pt>
                <c:pt idx="45">
                  <c:v>0</c:v>
                </c:pt>
                <c:pt idx="47">
                  <c:v>0</c:v>
                </c:pt>
                <c:pt idx="49">
                  <c:v>0</c:v>
                </c:pt>
                <c:pt idx="51">
                  <c:v>0</c:v>
                </c:pt>
                <c:pt idx="53">
                  <c:v>0</c:v>
                </c:pt>
                <c:pt idx="55">
                  <c:v>0</c:v>
                </c:pt>
                <c:pt idx="57">
                  <c:v>0</c:v>
                </c:pt>
                <c:pt idx="59">
                  <c:v>0</c:v>
                </c:pt>
                <c:pt idx="61">
                  <c:v>0</c:v>
                </c:pt>
                <c:pt idx="63">
                  <c:v>0</c:v>
                </c:pt>
                <c:pt idx="65">
                  <c:v>0</c:v>
                </c:pt>
              </c:numCache>
            </c:numRef>
          </c:val>
        </c:ser>
        <c:dLbls>
          <c:showLegendKey val="0"/>
          <c:showVal val="0"/>
          <c:showCatName val="0"/>
          <c:showSerName val="0"/>
          <c:showPercent val="0"/>
          <c:showBubbleSize val="0"/>
        </c:dLbls>
        <c:gapWidth val="150"/>
        <c:overlap val="100"/>
        <c:axId val="97019392"/>
        <c:axId val="97020928"/>
      </c:barChart>
      <c:catAx>
        <c:axId val="97019392"/>
        <c:scaling>
          <c:orientation val="maxMin"/>
        </c:scaling>
        <c:delete val="0"/>
        <c:axPos val="l"/>
        <c:majorGridlines/>
        <c:numFmt formatCode="General" sourceLinked="1"/>
        <c:majorTickMark val="out"/>
        <c:minorTickMark val="none"/>
        <c:tickLblPos val="low"/>
        <c:txPr>
          <a:bodyPr/>
          <a:lstStyle/>
          <a:p>
            <a:pPr>
              <a:defRPr lang="fr-FR"/>
            </a:pPr>
            <a:endParaRPr lang="en-US"/>
          </a:p>
        </c:txPr>
        <c:crossAx val="97020928"/>
        <c:crosses val="autoZero"/>
        <c:auto val="1"/>
        <c:lblAlgn val="ctr"/>
        <c:lblOffset val="100"/>
        <c:tickMarkSkip val="2"/>
        <c:noMultiLvlLbl val="0"/>
      </c:catAx>
      <c:valAx>
        <c:axId val="97020928"/>
        <c:scaling>
          <c:orientation val="minMax"/>
          <c:min val="-6"/>
        </c:scaling>
        <c:delete val="0"/>
        <c:axPos val="t"/>
        <c:majorGridlines>
          <c:spPr>
            <a:ln>
              <a:solidFill>
                <a:schemeClr val="bg1">
                  <a:lumMod val="75000"/>
                </a:schemeClr>
              </a:solidFill>
            </a:ln>
          </c:spPr>
        </c:majorGridlines>
        <c:title>
          <c:tx>
            <c:rich>
              <a:bodyPr rot="0" vert="horz"/>
              <a:lstStyle/>
              <a:p>
                <a:pPr>
                  <a:defRPr lang="fr-FR" sz="1100" b="1" i="0"/>
                </a:pPr>
                <a:r>
                  <a:rPr lang="fr-FR" sz="1100" b="1" i="0"/>
                  <a:t>Nombre de mois de stock</a:t>
                </a:r>
                <a:r>
                  <a:rPr lang="fr-FR" sz="1100" b="1" i="0" baseline="0"/>
                  <a:t> disponible</a:t>
                </a:r>
              </a:p>
            </c:rich>
          </c:tx>
          <c:layout>
            <c:manualLayout>
              <c:xMode val="edge"/>
              <c:yMode val="edge"/>
              <c:x val="0.20590588287680625"/>
              <c:y val="0.11233362496354622"/>
            </c:manualLayout>
          </c:layout>
          <c:overlay val="0"/>
          <c:spPr>
            <a:solidFill>
              <a:schemeClr val="bg1">
                <a:lumMod val="85000"/>
              </a:schemeClr>
            </a:solidFill>
          </c:spPr>
        </c:title>
        <c:numFmt formatCode="0.0" sourceLinked="1"/>
        <c:majorTickMark val="out"/>
        <c:minorTickMark val="none"/>
        <c:tickLblPos val="nextTo"/>
        <c:txPr>
          <a:bodyPr/>
          <a:lstStyle/>
          <a:p>
            <a:pPr>
              <a:defRPr lang="fr-FR" b="1"/>
            </a:pPr>
            <a:endParaRPr lang="en-US"/>
          </a:p>
        </c:txPr>
        <c:crossAx val="97019392"/>
        <c:crosses val="autoZero"/>
        <c:crossBetween val="between"/>
        <c:majorUnit val="3"/>
      </c:valAx>
      <c:spPr>
        <a:ln>
          <a:solidFill>
            <a:schemeClr val="bg1">
              <a:lumMod val="50000"/>
            </a:schemeClr>
          </a:solidFill>
        </a:ln>
      </c:spPr>
    </c:plotArea>
    <c:legend>
      <c:legendPos val="b"/>
      <c:layout>
        <c:manualLayout>
          <c:xMode val="edge"/>
          <c:yMode val="edge"/>
          <c:x val="4.9999975262281712E-2"/>
          <c:y val="0.94359361329835234"/>
          <c:w val="0.89999995052458792"/>
          <c:h val="3.2332312627589413E-2"/>
        </c:manualLayout>
      </c:layout>
      <c:overlay val="0"/>
      <c:txPr>
        <a:bodyPr/>
        <a:lstStyle/>
        <a:p>
          <a:pPr>
            <a:defRPr lang="fr-FR" sz="700"/>
          </a:pPr>
          <a:endParaRPr lang="en-US"/>
        </a:p>
      </c:txPr>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t>Estimate Tablets - </a:t>
            </a:r>
            <a:r>
              <a:rPr lang="en-US">
                <a:solidFill>
                  <a:srgbClr val="FF0000"/>
                </a:solidFill>
              </a:rPr>
              <a:t>CDF availability </a:t>
            </a:r>
          </a:p>
        </c:rich>
      </c:tx>
      <c:layout>
        <c:manualLayout>
          <c:xMode val="edge"/>
          <c:yMode val="edge"/>
          <c:x val="9.1726470100758767E-3"/>
          <c:y val="1.8359580052493441E-3"/>
        </c:manualLayout>
      </c:layout>
      <c:overlay val="0"/>
    </c:title>
    <c:autoTitleDeleted val="0"/>
    <c:plotArea>
      <c:layout>
        <c:manualLayout>
          <c:layoutTarget val="inner"/>
          <c:xMode val="edge"/>
          <c:yMode val="edge"/>
          <c:x val="0.20683442818235853"/>
          <c:y val="0.18332195975503071"/>
          <c:w val="0.67526381539725067"/>
          <c:h val="0.7600952172645512"/>
        </c:manualLayout>
      </c:layout>
      <c:barChart>
        <c:barDir val="bar"/>
        <c:grouping val="stacked"/>
        <c:varyColors val="0"/>
        <c:ser>
          <c:idx val="0"/>
          <c:order val="0"/>
          <c:tx>
            <c:strRef>
              <c:f>'Calculs dispo Données FA'!$W$9</c:f>
              <c:strCache>
                <c:ptCount val="1"/>
                <c:pt idx="0">
                  <c:v>Stocks centraux</c:v>
                </c:pt>
              </c:strCache>
            </c:strRef>
          </c:tx>
          <c:spPr>
            <a:solidFill>
              <a:srgbClr val="FFC000"/>
            </a:solidFill>
          </c:spPr>
          <c:invertIfNegative val="1"/>
          <c:cat>
            <c:strRef>
              <c:f>'Calculs dispo Données FA'!$H$11:$H$51</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FA'!$Q$11:$Q$51</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FA'!$W$66</c:f>
              <c:strCache>
                <c:ptCount val="1"/>
                <c:pt idx="0">
                  <c:v>Stocks périphériques</c:v>
                </c:pt>
              </c:strCache>
            </c:strRef>
          </c:tx>
          <c:spPr>
            <a:solidFill>
              <a:schemeClr val="accent4">
                <a:lumMod val="60000"/>
                <a:lumOff val="40000"/>
              </a:schemeClr>
            </a:solidFill>
          </c:spPr>
          <c:invertIfNegative val="0"/>
          <c:dLbls>
            <c:dLbl>
              <c:idx val="0"/>
              <c:layout>
                <c:manualLayout>
                  <c:x val="5.2909229890090413E-2"/>
                  <c:y val="-1.8518518518518936E-3"/>
                </c:manualLayout>
              </c:layout>
              <c:tx>
                <c:strRef>
                  <c:f>'Calculs dispo Données FA'!$AA$125</c:f>
                  <c:strCache>
                    <c:ptCount val="1"/>
                    <c:pt idx="0">
                      <c:v>71892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{8FCEB9DA-4CBF-4B20-8FCB-8DD90FE2D2CF}</c15:txfldGUID>
                      <c15:f>'Calculs dispo Données FA'!$AA$125</c15:f>
                      <c15:dlblFieldTableCache>
                        <c:ptCount val="1"/>
                        <c:pt idx="0">
                          <c:v>71892 B &amp; Consumption =0</c:v>
                        </c:pt>
                      </c15:dlblFieldTableCache>
                    </c15:dlblFTEntry>
                  </c15:dlblFieldTable>
                  <c15:showDataLabelsRange val="0"/>
                </c:ext>
              </c:extLst>
            </c:dLbl>
            <c:dLbl>
              <c:idx val="1"/>
              <c:layout>
                <c:manualLayout>
                  <c:x val="3.9491095658283216E-2"/>
                  <c:y val="0"/>
                </c:manualLayout>
              </c:layout>
              <c:tx>
                <c:strRef>
                  <c:f>'Calculs dispo Données FA'!$AA$126</c:f>
                  <c:strCache>
                    <c:ptCount val="1"/>
                    <c:pt idx="0">
                      <c:v>1522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{8FDE9CC6-F978-4FE4-AE70-C13A74AB7542}</c15:txfldGUID>
                      <c15:f>'Calculs dispo Données FA'!$AA$126</c15:f>
                      <c15:dlblFieldTableCache>
                        <c:ptCount val="1"/>
                        <c:pt idx="0">
                          <c:v>1522 B &amp; Consumption =0</c:v>
                        </c:pt>
                      </c15:dlblFieldTableCache>
                    </c15:dlblFTEntry>
                  </c15:dlblFieldTable>
                  <c15:showDataLabelsRange val="0"/>
                </c:ext>
              </c:extLst>
            </c:dLbl>
            <c:dLbl>
              <c:idx val="2"/>
              <c:tx>
                <c:strRef>
                  <c:f>'Calculs dispo Données FA'!$AA$127</c:f>
                  <c:strCache>
                    <c:ptCount val="1"/>
                    <c:pt idx="0">
                      <c:v>666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{940545AF-7684-4C62-B9A2-AE4DE1487FD6}</c15:txfldGUID>
                      <c15:f>'Calculs dispo Données FA'!$AA$127</c15:f>
                      <c15:dlblFieldTableCache>
                        <c:ptCount val="1"/>
                        <c:pt idx="0">
                          <c:v>666 B &amp; Consumption =0</c:v>
                        </c:pt>
                      </c15:dlblFieldTableCache>
                    </c15:dlblFTEntry>
                  </c15:dlblFieldTable>
                  <c15:showDataLabelsRange val="0"/>
                </c:ext>
              </c:extLst>
            </c:dLbl>
            <c:dLbl>
              <c:idx val="3"/>
              <c:layout>
                <c:manualLayout>
                  <c:x val="3.8234419566545698E-2"/>
                  <c:y val="-3.395022508805672E-17"/>
                </c:manualLayout>
              </c:layout>
              <c:tx>
                <c:strRef>
                  <c:f>'Calculs dispo Données FA'!$AA$128</c:f>
                  <c:strCache>
                    <c:ptCount val="1"/>
                    <c:pt idx="0">
                      <c:v>12350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{C889D104-E1BD-457D-8A4E-614AF0B85C93}</c15:txfldGUID>
                      <c15:f>'Calculs dispo Données FA'!$AA$128</c15:f>
                      <c15:dlblFieldTableCache>
                        <c:ptCount val="1"/>
                        <c:pt idx="0">
                          <c:v>12350 B &amp; Consumption =0</c:v>
                        </c:pt>
                      </c15:dlblFieldTableCache>
                    </c15:dlblFTEntry>
                  </c15:dlblFieldTable>
                  <c15:showDataLabelsRange val="0"/>
                </c:ext>
              </c:extLst>
            </c:dLbl>
            <c:dLbl>
              <c:idx val="4"/>
              <c:tx>
                <c:strRef>
                  <c:f>'Calculs dispo Données FA'!$AA$129</c:f>
                  <c:strCache>
                    <c:ptCount val="1"/>
                    <c:pt idx="0">
                      <c:v>903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{2581EBFF-6BD7-42A3-9DC9-316DBBED91BC}</c15:txfldGUID>
                      <c15:f>'Calculs dispo Données FA'!$AA$129</c15:f>
                      <c15:dlblFieldTableCache>
                        <c:ptCount val="1"/>
                        <c:pt idx="0">
                          <c:v>903 B &amp; Consumption =0</c:v>
                        </c:pt>
                      </c15:dlblFieldTableCache>
                    </c15:dlblFTEntry>
                  </c15:dlblFieldTable>
                  <c15:showDataLabelsRange val="0"/>
                </c:ext>
              </c:extLst>
            </c:dLbl>
            <c:dLbl>
              <c:idx val="5"/>
              <c:layout>
                <c:manualLayout>
                  <c:x val="3.6977743474809491E-2"/>
                  <c:y val="3.395022508805672E-17"/>
                </c:manualLayout>
              </c:layout>
              <c:tx>
                <c:strRef>
                  <c:f>'Calculs dispo Données FA'!$AA$130</c:f>
                  <c:strCache>
                    <c:ptCount val="1"/>
                    <c:pt idx="0">
                      <c:v>187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{1852C3D3-AFF3-4A57-9AF3-8BC179B5D40B}</c15:txfldGUID>
                      <c15:f>'Calculs dispo Données FA'!$AA$130</c15:f>
                      <c15:dlblFieldTableCache>
                        <c:ptCount val="1"/>
                        <c:pt idx="0">
                          <c:v>187 B &amp; Consumption =0</c:v>
                        </c:pt>
                      </c15:dlblFieldTableCache>
                    </c15:dlblFTEntry>
                  </c15:dlblFieldTable>
                  <c15:showDataLabelsRange val="0"/>
                </c:ext>
              </c:extLst>
            </c:dLbl>
            <c:dLbl>
              <c:idx val="6"/>
              <c:layout>
                <c:manualLayout>
                  <c:x val="3.8234419566545698E-2"/>
                  <c:y val="0"/>
                </c:manualLayout>
              </c:layout>
              <c:tx>
                <c:strRef>
                  <c:f>'Calculs dispo Données FA'!$AA$132</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{85A2500A-C5AB-45EA-BECA-2F4DCE0AD9CE}</c15:txfldGUID>
                      <c15:f>'Calculs dispo Données FA'!$AA$132</c15:f>
                      <c15:dlblFieldTableCache>
                        <c:ptCount val="1"/>
                      </c15:dlblFieldTableCache>
                    </c15:dlblFTEntry>
                  </c15:dlblFieldTable>
                  <c15:showDataLabelsRange val="0"/>
                </c:ext>
              </c:extLst>
            </c:dLbl>
            <c:dLbl>
              <c:idx val="7"/>
              <c:layout>
                <c:manualLayout>
                  <c:x val="3.6977743474809491E-2"/>
                  <c:y val="0"/>
                </c:manualLayout>
              </c:layout>
              <c:tx>
                <c:strRef>
                  <c:f>'Calculs dispo Données FA'!$AA$133</c:f>
                  <c:strCache>
                    <c:ptCount val="1"/>
                    <c:pt idx="0">
                      <c:v>121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{CF563ACA-3006-4DAB-855C-4F6C4B04CFEF}</c15:txfldGUID>
                      <c15:f>'Calculs dispo Données FA'!$AA$133</c15:f>
                      <c15:dlblFieldTableCache>
                        <c:ptCount val="1"/>
                        <c:pt idx="0">
                          <c:v>121 B &amp; Consumption =0</c:v>
                        </c:pt>
                      </c15:dlblFieldTableCache>
                    </c15:dlblFTEntry>
                  </c15:dlblFieldTable>
                  <c15:showDataLabelsRange val="0"/>
                </c:ext>
              </c:extLst>
            </c:dLbl>
            <c:dLbl>
              <c:idx val="8"/>
              <c:layout>
                <c:manualLayout>
                  <c:x val="3.6977743474809491E-2"/>
                  <c:y val="0"/>
                </c:manualLayout>
              </c:layout>
              <c:tx>
                <c:strRef>
                  <c:f>'Calculs dispo Données FA'!$AA$134</c:f>
                  <c:strCache>
                    <c:ptCount val="1"/>
                    <c:pt idx="0">
                      <c:v>16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{048E2BCE-95C6-4EAC-991A-61D29FABE240}</c15:txfldGUID>
                      <c15:f>'Calculs dispo Données FA'!$AA$134</c15:f>
                      <c15:dlblFieldTableCache>
                        <c:ptCount val="1"/>
                        <c:pt idx="0">
                          <c:v>16 B &amp; Consumption =0</c:v>
                        </c:pt>
                      </c15:dlblFieldTableCache>
                    </c15:dlblFTEntry>
                  </c15:dlblFieldTable>
                  <c15:showDataLabelsRange val="0"/>
                </c:ext>
              </c:extLst>
            </c:dLbl>
            <c:dLbl>
              <c:idx val="9"/>
              <c:layout>
                <c:manualLayout>
                  <c:x val="3.8234419566545698E-2"/>
                  <c:y val="0"/>
                </c:manualLayout>
              </c:layout>
              <c:tx>
                <c:strRef>
                  <c:f>'Calculs dispo Données FA'!$AA$135</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{B36F9921-1848-447A-A3B5-1311D47AB534}</c15:txfldGUID>
                      <c15:f>'Calculs dispo Données FA'!$AA$135</c15:f>
                      <c15:dlblFieldTableCache>
                        <c:ptCount val="1"/>
                      </c15:dlblFieldTableCache>
                    </c15:dlblFTEntry>
                  </c15:dlblFieldTable>
                  <c15:showDataLabelsRange val="0"/>
                </c:ext>
              </c:extLst>
            </c:dLbl>
            <c:dLbl>
              <c:idx val="10"/>
              <c:tx>
                <c:strRef>
                  <c:f>'Calculs dispo Données FA'!$AA$136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{80A99FAE-2025-48AD-A270-56E78E2591F8}</c15:txfldGUID>
                      <c15:f>'Calculs dispo Données FA'!$AA$136</c15:f>
                      <c15:dlblFieldTableCache>
                        <c:ptCount val="1"/>
                      </c15:dlblFieldTableCache>
                    </c15:dlblFTEntry>
                  </c15:dlblFieldTable>
                  <c15:showDataLabelsRange val="0"/>
                </c:ext>
              </c:extLst>
            </c:dLbl>
            <c:dLbl>
              <c:idx val="11"/>
              <c:tx>
                <c:strRef>
                  <c:f>'Calculs dispo Données FA'!$AA$137</c:f>
                  <c:strCache>
                    <c:ptCount val="1"/>
                    <c:pt idx="0">
                      <c:v>38746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{44EC8C10-240B-4CFF-B44A-C9338E36DCE9}</c15:txfldGUID>
                      <c15:f>'Calculs dispo Données FA'!$AA$137</c15:f>
                      <c15:dlblFieldTableCache>
                        <c:ptCount val="1"/>
                        <c:pt idx="0">
                          <c:v>38746 B &amp; Consumption =0</c:v>
                        </c:pt>
                      </c15:dlblFieldTableCache>
                    </c15:dlblFTEntry>
                  </c15:dlblFieldTable>
                  <c15:showDataLabelsRange val="0"/>
                </c:ext>
              </c:extLst>
            </c:dLbl>
            <c:dLbl>
              <c:idx val="12"/>
              <c:layout>
                <c:manualLayout>
                  <c:x val="4.2004447841757823E-2"/>
                  <c:y val="0"/>
                </c:manualLayout>
              </c:layout>
              <c:tx>
                <c:strRef>
                  <c:f>'Calculs dispo Données FA'!$AA$138</c:f>
                  <c:strCache>
                    <c:ptCount val="1"/>
                    <c:pt idx="0">
                      <c:v>505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{41B7C174-E7BA-4903-B483-2D36877B7F0D}</c15:txfldGUID>
                      <c15:f>'Calculs dispo Données FA'!$AA$138</c15:f>
                      <c15:dlblFieldTableCache>
                        <c:ptCount val="1"/>
                        <c:pt idx="0">
                          <c:v>505 B &amp; Consumption =0</c:v>
                        </c:pt>
                      </c15:dlblFieldTableCache>
                    </c15:dlblFTEntry>
                  </c15:dlblFieldTable>
                  <c15:showDataLabelsRange val="0"/>
                </c:ext>
              </c:extLst>
            </c:dLbl>
            <c:dLbl>
              <c:idx val="13"/>
              <c:tx>
                <c:strRef>
                  <c:f>'Calculs dispo Données FA'!$AA$140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{7CB800EA-67DD-4791-A62E-018C29E60272}</c15:txfldGUID>
                      <c15:f>'Calculs dispo Données FA'!$AA$140</c15:f>
                      <c15:dlblFieldTableCache>
                        <c:ptCount val="1"/>
                      </c15:dlblFieldTableCache>
                    </c15:dlblFTEntry>
                  </c15:dlblFieldTable>
                  <c15:showDataLabelsRange val="0"/>
                </c:ext>
              </c:extLst>
            </c:dLbl>
            <c:dLbl>
              <c:idx val="14"/>
              <c:tx>
                <c:strRef>
                  <c:f>'Calculs dispo Données FA'!$AA$141</c:f>
                  <c:strCache>
                    <c:ptCount val="1"/>
                    <c:pt idx="0">
                      <c:v>2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{FBFDB992-845E-48F5-9E3D-B167FC5F7D6D}</c15:txfldGUID>
                      <c15:f>'Calculs dispo Données FA'!$AA$141</c15:f>
                      <c15:dlblFieldTableCache>
                        <c:ptCount val="1"/>
                        <c:pt idx="0">
                          <c:v>2 B &amp; Consumption =0</c:v>
                        </c:pt>
                      </c15:dlblFieldTableCache>
                    </c15:dlblFTEntry>
                  </c15:dlblFieldTable>
                  <c15:showDataLabelsRange val="0"/>
                </c:ext>
              </c:extLst>
            </c:dLbl>
            <c:dLbl>
              <c:idx val="15"/>
              <c:layout>
                <c:manualLayout>
                  <c:x val="3.8234419566545698E-2"/>
                  <c:y val="0"/>
                </c:manualLayout>
              </c:layout>
              <c:tx>
                <c:strRef>
                  <c:f>'Calculs dispo Données FA'!$AA$142</c:f>
                  <c:strCache>
                    <c:ptCount val="1"/>
                    <c:pt idx="0">
                      <c:v>11566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{20FC539A-AD8A-471A-8080-444AA15A281A}</c15:txfldGUID>
                      <c15:f>'Calculs dispo Données FA'!$AA$142</c15:f>
                      <c15:dlblFieldTableCache>
                        <c:ptCount val="1"/>
                        <c:pt idx="0">
                          <c:v>11566 B &amp; Consumption =0</c:v>
                        </c:pt>
                      </c15:dlblFieldTableCache>
                    </c15:dlblFTEntry>
                  </c15:dlblFieldTable>
                  <c15:showDataLabelsRange val="0"/>
                </c:ext>
              </c:extLst>
            </c:dLbl>
            <c:dLbl>
              <c:idx val="16"/>
              <c:tx>
                <c:strRef>
                  <c:f>'Calculs dispo Données FA'!$AA$144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{E4CA3857-D406-48BC-9BC0-35614D1C6889}</c15:txfldGUID>
                      <c15:f>'Calculs dispo Données FA'!$AA$144</c15:f>
                      <c15:dlblFieldTableCache>
                        <c:ptCount val="1"/>
                      </c15:dlblFieldTableCache>
                    </c15:dlblFTEntry>
                  </c15:dlblFieldTable>
                  <c15:showDataLabelsRange val="0"/>
                </c:ext>
              </c:extLst>
            </c:dLbl>
            <c:dLbl>
              <c:idx val="17"/>
              <c:layout>
                <c:manualLayout>
                  <c:x val="3.9491095658283216E-2"/>
                  <c:y val="0"/>
                </c:manualLayout>
              </c:layout>
              <c:tx>
                <c:strRef>
                  <c:f>'Calculs dispo Données FA'!$AA$146</c:f>
                  <c:strCache>
                    <c:ptCount val="1"/>
                    <c:pt idx="0">
                      <c:v>1093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{489E5BA1-25E5-4730-903F-FD34EC511CEC}</c15:txfldGUID>
                      <c15:f>'Calculs dispo Données FA'!$AA$146</c15:f>
                      <c15:dlblFieldTableCache>
                        <c:ptCount val="1"/>
                        <c:pt idx="0">
                          <c:v>1093 B &amp; Consumption =0</c:v>
                        </c:pt>
                      </c15:dlblFieldTableCache>
                    </c15:dlblFTEntry>
                  </c15:dlblFieldTable>
                  <c15:showDataLabelsRange val="0"/>
                </c:ext>
              </c:extLst>
            </c:dLbl>
            <c:dLbl>
              <c:idx val="18"/>
              <c:layout>
                <c:manualLayout>
                  <c:x val="5.2997197216512533E-2"/>
                  <c:y val="0"/>
                </c:manualLayout>
              </c:layout>
              <c:tx>
                <c:strRef>
                  <c:f>'Calculs dispo Données FA'!$AA$148</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{827707E5-5DAA-482B-A497-F064AE98F333}</c15:txfldGUID>
                      <c15:f>'Calculs dispo Données FA'!$AA$148</c15:f>
                      <c15:dlblFieldTableCache>
                        <c:ptCount val="1"/>
                      </c15:dlblFieldTableCache>
                    </c15:dlblFTEntry>
                  </c15:dlblFieldTable>
                  <c15:showDataLabelsRange val="0"/>
                </c:ext>
              </c:extLst>
            </c:dLbl>
            <c:dLbl>
              <c:idx val="19"/>
              <c:tx>
                <c:strRef>
                  <c:f>'Calculs dispo Données FA'!$AA$149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{97CF5D4D-C636-42E2-87EA-30814C138EC7}</c15:txfldGUID>
                      <c15:f>'Calculs dispo Données FA'!$AA$149</c15:f>
                      <c15:dlblFieldTableCache>
                        <c:ptCount val="1"/>
                      </c15:dlblFieldTableCache>
                    </c15:dlblFTEntry>
                  </c15:dlblFieldTable>
                  <c15:showDataLabelsRange val="0"/>
                </c:ext>
              </c:extLst>
            </c:dLbl>
            <c:dLbl>
              <c:idx val="20"/>
              <c:tx>
                <c:strRef>
                  <c:f>'Calculs dispo Données FA'!$AA$151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{60C816B7-4882-4CB4-A626-AE3B07D3AF84}</c15:txfldGUID>
                      <c15:f>'Calculs dispo Données FA'!$AA$151</c15:f>
                      <c15:dlblFieldTableCache>
                        <c:ptCount val="1"/>
                      </c15:dlblFieldTableCache>
                    </c15:dlblFTEntry>
                  </c15:dlblFieldTable>
                  <c15:showDataLabelsRange val="0"/>
                </c:ext>
              </c:extLst>
            </c:dLbl>
            <c:dLbl>
              <c:idx val="21"/>
              <c:layout>
                <c:manualLayout>
                  <c:x val="3.8234419566545698E-2"/>
                  <c:y val="-1.8518518518518936E-3"/>
                </c:manualLayout>
              </c:layout>
              <c:tx>
                <c:strRef>
                  <c:f>'Calculs dispo Données FA'!$AA$152</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{BDD97034-8396-491B-A0C9-72D3A9316353}</c15:txfldGUID>
                      <c15:f>'Calculs dispo Données FA'!$AA$152</c15:f>
                      <c15:dlblFieldTableCache>
                        <c:ptCount val="1"/>
                      </c15:dlblFieldTableCache>
                    </c15:dlblFTEntry>
                  </c15:dlblFieldTable>
                  <c15:showDataLabelsRange val="0"/>
                </c:ext>
              </c:extLst>
            </c:dLbl>
            <c:dLbl>
              <c:idx val="22"/>
              <c:layout>
                <c:manualLayout>
                  <c:x val="3.9491095658283216E-2"/>
                  <c:y val="0"/>
                </c:manualLayout>
              </c:layout>
              <c:tx>
                <c:strRef>
                  <c:f>'Calculs dispo Données FA'!$AA$154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{FA7E7C2B-FD98-4F4F-92A4-7381B821CE31}</c15:txfldGUID>
                      <c15:f>'Calculs dispo Données FA'!$AA$154</c15:f>
                      <c15:dlblFieldTableCache>
                        <c:ptCount val="1"/>
                      </c15:dlblFieldTableCache>
                    </c15:dlblFTEntry>
                  </c15:dlblFieldTable>
                  <c15:showDataLabelsRange val="0"/>
                </c:ext>
              </c:extLst>
            </c:dLbl>
            <c:dLbl>
              <c:idx val="23"/>
              <c:tx>
                <c:strRef>
                  <c:f>'Calculs dispo Données FA'!$AA$155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{963C1A15-D73A-4F0A-871C-C180EA40CF30}</c15:txfldGUID>
                      <c15:f>'Calculs dispo Données FA'!$AA$155</c15:f>
                      <c15:dlblFieldTableCache>
                        <c:ptCount val="1"/>
                        <c:pt idx="0">
                          <c:v>956 B &amp; Consumption =0</c:v>
                        </c:pt>
                      </c15:dlblFieldTableCache>
                    </c15:dlblFTEntry>
                  </c15:dlblFieldTable>
                  <c15:showDataLabelsRange val="0"/>
                </c:ext>
              </c:extLst>
            </c:dLbl>
            <c:dLbl>
              <c:idx val="24"/>
              <c:tx>
                <c:strRef>
                  <c:f>'Calculs dispo Données FA'!$AA$156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{CBDD447E-F32C-4824-B4A0-4ABFFE25933D}</c15:txfldGUID>
                      <c15:f>'Calculs dispo Données FA'!$AA$156</c15:f>
                      <c15:dlblFieldTableCache>
                        <c:ptCount val="1"/>
                      </c15:dlblFieldTableCache>
                    </c15:dlblFTEntry>
                  </c15:dlblFieldTable>
                  <c15:showDataLabelsRange val="0"/>
                </c:ext>
              </c:extLst>
            </c:dLbl>
            <c:dLbl>
              <c:idx val="25"/>
              <c:layout>
                <c:manualLayout>
                  <c:x val="4.326112393349512E-2"/>
                  <c:y val="0"/>
                </c:manualLayout>
              </c:layout>
              <c:tx>
                <c:strRef>
                  <c:f>'Calculs dispo Données FA'!$AA$157</c:f>
                  <c:strCache>
                    <c:ptCount val="1"/>
                    <c:pt idx="0">
                      <c:v>750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{AA981006-396B-4EFB-BD12-E7AABEA1FE52}</c15:txfldGUID>
                      <c15:f>'Calculs dispo Données FA'!$AA$157</c15:f>
                      <c15:dlblFieldTableCache>
                        <c:ptCount val="1"/>
                        <c:pt idx="0">
                          <c:v>750 B &amp; Consumption =0</c:v>
                        </c:pt>
                      </c15:dlblFieldTableCache>
                    </c15:dlblFTEntry>
                  </c15:dlblFieldTable>
                  <c15:showDataLabelsRange val="0"/>
                </c:ext>
              </c:extLst>
            </c:dLbl>
            <c:dLbl>
              <c:idx val="26"/>
              <c:tx>
                <c:strRef>
                  <c:f>'Calculs dispo Données FA'!$AA$158</c:f>
                  <c:strCache>
                    <c:ptCount val="1"/>
                    <c:pt idx="0">
                      <c:v>770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{C4AFBDE0-19D8-4D99-AE79-35A3A235D8A5}</c15:txfldGUID>
                      <c15:f>'Calculs dispo Données FA'!$AA$158</c15:f>
                      <c15:dlblFieldTableCache>
                        <c:ptCount val="1"/>
                        <c:pt idx="0">
                          <c:v>770 B &amp; Consumption =0</c:v>
                        </c:pt>
                      </c15:dlblFieldTableCache>
                    </c15:dlblFTEntry>
                  </c15:dlblFieldTable>
                  <c15:showDataLabelsRange val="0"/>
                </c:ext>
              </c:extLst>
            </c:dLbl>
            <c:dLbl>
              <c:idx val="27"/>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{DDB23538-CE10-49AD-B451-2DCC1366460A}</c15:txfldGUID>
                      <c15:f>'Calculs dispo Données FA'!$AA$161</c15:f>
                      <c15:dlblFieldTableCache>
                        <c:ptCount val="1"/>
                      </c15:dlblFieldTableCache>
                    </c15:dlblFTEntry>
                  </c15:dlblFieldTable>
                  <c15:showDataLabelsRange val="0"/>
                </c:ext>
              </c:extLst>
            </c:dLbl>
            <c:dLbl>
              <c:idx val="28"/>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{AB2B1E17-BDAA-4B0A-BD97-563DBFF41AAF}</c15:txfldGUID>
                      <c15:f>'Calculs dispo Données FA'!$AA$163</c15:f>
                      <c15:dlblFieldTableCache>
                        <c:ptCount val="1"/>
                      </c15:dlblFieldTableCache>
                    </c15:dlblFTEntry>
                  </c15:dlblFieldTable>
                  <c15:showDataLabelsRange val="0"/>
                </c:ext>
              </c:extLst>
            </c:dLbl>
            <c:dLbl>
              <c:idx val="29"/>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{CAB7785F-4B5E-4EB5-8E0E-D63EC50FFA3B}</c15:txfldGUID>
                      <c15:f>'Calculs dispo Données FA'!$AA$159</c15:f>
                      <c15:dlblFieldTableCache>
                        <c:ptCount val="1"/>
                        <c:pt idx="0">
                          <c:v>1705 B &amp; Consumption =0</c:v>
                        </c:pt>
                      </c15:dlblFieldTableCache>
                    </c15:dlblFTEntry>
                  </c15:dlblFieldTable>
                  <c15:showDataLabelsRange val="0"/>
                </c:ext>
              </c:extLst>
            </c:dLbl>
            <c:dLbl>
              <c:idx val="30"/>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{D4DACFC5-23A7-495B-A0B2-8B49E30E8AAC}</c15:txfldGUID>
                      <c15:f>'Calculs dispo Données FA'!$AA$162</c15:f>
                      <c15:dlblFieldTableCache>
                        <c:ptCount val="1"/>
                      </c15:dlblFieldTableCache>
                    </c15:dlblFTEntry>
                  </c15:dlblFieldTable>
                  <c15:showDataLabelsRange val="0"/>
                </c:ext>
              </c:extLst>
            </c:dLbl>
            <c:dLbl>
              <c:idx val="31"/>
              <c:layout>
                <c:manualLayout>
                  <c:x val="4.2004447841757823E-2"/>
                  <c:y val="0"/>
                </c:manualLayout>
              </c:layout>
              <c:tx>
                <c:strRef>
                  <c:f>'Calculs dispo Données FA'!$AA$164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{CC7C81E0-5A4F-4A7A-8AD0-402E7CE801CF}</c15:txfldGUID>
                      <c15:f>'Calculs dispo Données FA'!$AA$164</c15:f>
                      <c15:dlblFieldTableCache>
                        <c:ptCount val="1"/>
                      </c15:dlblFieldTableCache>
                    </c15:dlblFTEntry>
                  </c15:dlblFieldTable>
                  <c15:showDataLabelsRange val="0"/>
                </c:ext>
              </c:extLst>
            </c:dLbl>
            <c:dLbl>
              <c:idx val="32"/>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{A384D259-EB01-4F80-A171-7A261AE6348C}</c15:txfldGUID>
                      <c15:f>'Calculs dispo Données FA'!$AA$165</c15:f>
                      <c15:dlblFieldTableCache>
                        <c:ptCount val="1"/>
                      </c15:dlblFieldTableCache>
                    </c15:dlblFTEntry>
                  </c15:dlblFieldTable>
                  <c15:showDataLabelsRange val="0"/>
                </c:ext>
              </c:extLst>
            </c:dLbl>
            <c:spPr>
              <a:noFill/>
              <a:ln>
                <a:noFill/>
              </a:ln>
              <a:effectLst/>
            </c:spPr>
            <c:txPr>
              <a:bodyPr/>
              <a:lstStyle/>
              <a:p>
                <a:pPr>
                  <a:defRPr lang="fr-FR" b="1" i="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FA'!$H$11:$H$51</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FA'!$Y$68:$Y$108</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dLbls>
          <c:showLegendKey val="0"/>
          <c:showVal val="0"/>
          <c:showCatName val="0"/>
          <c:showSerName val="0"/>
          <c:showPercent val="0"/>
          <c:showBubbleSize val="0"/>
        </c:dLbls>
        <c:gapWidth val="150"/>
        <c:overlap val="100"/>
        <c:axId val="177652096"/>
        <c:axId val="177653632"/>
      </c:barChart>
      <c:catAx>
        <c:axId val="177652096"/>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77653632"/>
        <c:crosses val="autoZero"/>
        <c:auto val="1"/>
        <c:lblAlgn val="ctr"/>
        <c:lblOffset val="100"/>
        <c:tickMarkSkip val="2"/>
        <c:noMultiLvlLbl val="0"/>
      </c:catAx>
      <c:valAx>
        <c:axId val="177653632"/>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0.20464920678506632"/>
              <c:y val="0.11048177311169442"/>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77652096"/>
        <c:crosses val="autoZero"/>
        <c:crossBetween val="between"/>
        <c:majorUnit val="3"/>
      </c:valAx>
      <c:spPr>
        <a:ln>
          <a:solidFill>
            <a:schemeClr val="bg1">
              <a:lumMod val="50000"/>
            </a:schemeClr>
          </a:solidFill>
        </a:ln>
      </c:spPr>
    </c:plotArea>
    <c:legend>
      <c:legendPos val="b"/>
      <c:layout>
        <c:manualLayout>
          <c:xMode val="edge"/>
          <c:yMode val="edge"/>
          <c:x val="9.3670854762384747E-3"/>
          <c:y val="0.9441373578302712"/>
          <c:w val="0.97623902572970089"/>
          <c:h val="4.6603382910469476E-2"/>
        </c:manualLayout>
      </c:layout>
      <c:overlay val="0"/>
      <c:txPr>
        <a:bodyPr/>
        <a:lstStyle/>
        <a:p>
          <a:pPr>
            <a:defRPr lang="fr-FR"/>
          </a:pPr>
          <a:endParaRPr lang="en-US"/>
        </a:p>
      </c:txPr>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t>Estimate Tablets - </a:t>
            </a:r>
            <a:r>
              <a:rPr lang="en-US">
                <a:solidFill>
                  <a:srgbClr val="FF0000"/>
                </a:solidFill>
              </a:rPr>
              <a:t>CDF availability </a:t>
            </a:r>
          </a:p>
        </c:rich>
      </c:tx>
      <c:layout>
        <c:manualLayout>
          <c:xMode val="edge"/>
          <c:yMode val="edge"/>
          <c:x val="9.1726470100758767E-3"/>
          <c:y val="1.8359580052493441E-3"/>
        </c:manualLayout>
      </c:layout>
      <c:overlay val="0"/>
    </c:title>
    <c:autoTitleDeleted val="0"/>
    <c:plotArea>
      <c:layout>
        <c:manualLayout>
          <c:layoutTarget val="inner"/>
          <c:xMode val="edge"/>
          <c:yMode val="edge"/>
          <c:x val="0.20557776178071988"/>
          <c:y val="0.18332195975503071"/>
          <c:w val="0.67526381539725067"/>
          <c:h val="0.76009521726455154"/>
        </c:manualLayout>
      </c:layout>
      <c:barChart>
        <c:barDir val="bar"/>
        <c:grouping val="stacked"/>
        <c:varyColors val="0"/>
        <c:ser>
          <c:idx val="0"/>
          <c:order val="0"/>
          <c:tx>
            <c:strRef>
              <c:f>'Calculs dispo Données FA'!$W$66</c:f>
              <c:strCache>
                <c:ptCount val="1"/>
                <c:pt idx="0">
                  <c:v>Stocks périphériques</c:v>
                </c:pt>
              </c:strCache>
            </c:strRef>
          </c:tx>
          <c:spPr>
            <a:solidFill>
              <a:srgbClr val="B3A2C7"/>
            </a:solidFill>
          </c:spPr>
          <c:invertIfNegative val="1"/>
          <c:cat>
            <c:strRef>
              <c:f>'Calculs dispo Données FA'!$H$11:$H$51</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FA'!$Q$68:$Q$108</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FA'!$W$9</c:f>
              <c:strCache>
                <c:ptCount val="1"/>
                <c:pt idx="0">
                  <c:v>Stocks centraux</c:v>
                </c:pt>
              </c:strCache>
            </c:strRef>
          </c:tx>
          <c:spPr>
            <a:solidFill>
              <a:srgbClr val="FFC000"/>
            </a:solidFill>
          </c:spPr>
          <c:invertIfNegative val="0"/>
          <c:dLbls>
            <c:dLbl>
              <c:idx val="0"/>
              <c:layout>
                <c:manualLayout>
                  <c:x val="0.15287949515264809"/>
                  <c:y val="0"/>
                </c:manualLayout>
              </c:layout>
              <c:tx>
                <c:strRef>
                  <c:f>'Calculs dispo Données FA'!$AA$125</c:f>
                  <c:strCache>
                    <c:ptCount val="1"/>
                    <c:pt idx="0">
                      <c:v>71892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{BE389BB3-6DD4-4856-AFBC-E41DC66AB3A5}</c15:txfldGUID>
                      <c15:f>'Calculs dispo Données FA'!$AA$125</c15:f>
                      <c15:dlblFieldTableCache>
                        <c:ptCount val="1"/>
                        <c:pt idx="0">
                          <c:v>71892 B &amp; Consumption =0</c:v>
                        </c:pt>
                      </c15:dlblFieldTableCache>
                    </c15:dlblFTEntry>
                  </c15:dlblFieldTable>
                  <c15:showDataLabelsRange val="0"/>
                </c:ext>
              </c:extLst>
            </c:dLbl>
            <c:dLbl>
              <c:idx val="1"/>
              <c:layout>
                <c:manualLayout>
                  <c:x val="5.6366474454597373E-2"/>
                  <c:y val="0"/>
                </c:manualLayout>
              </c:layout>
              <c:tx>
                <c:strRef>
                  <c:f>'Calculs dispo Données FA'!$AA$126</c:f>
                  <c:strCache>
                    <c:ptCount val="1"/>
                    <c:pt idx="0">
                      <c:v>1522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{C0DBDAAE-EBFF-4CD5-8388-E7CF0A06A8C1}</c15:txfldGUID>
                      <c15:f>'Calculs dispo Données FA'!$AA$126</c15:f>
                      <c15:dlblFieldTableCache>
                        <c:ptCount val="1"/>
                        <c:pt idx="0">
                          <c:v>1522 B &amp; Consumption =0</c:v>
                        </c:pt>
                      </c15:dlblFieldTableCache>
                    </c15:dlblFTEntry>
                  </c15:dlblFieldTable>
                  <c15:showDataLabelsRange val="0"/>
                </c:ext>
              </c:extLst>
            </c:dLbl>
            <c:dLbl>
              <c:idx val="2"/>
              <c:tx>
                <c:strRef>
                  <c:f>'Calculs dispo Données FA'!$AA$127</c:f>
                  <c:strCache>
                    <c:ptCount val="1"/>
                    <c:pt idx="0">
                      <c:v>666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{56C1738A-2ED8-4A00-93FD-1E109A9E365D}</c15:txfldGUID>
                      <c15:f>'Calculs dispo Données FA'!$AA$127</c15:f>
                      <c15:dlblFieldTableCache>
                        <c:ptCount val="1"/>
                        <c:pt idx="0">
                          <c:v>666 B &amp; Consumption =0</c:v>
                        </c:pt>
                      </c15:dlblFieldTableCache>
                    </c15:dlblFTEntry>
                  </c15:dlblFieldTable>
                  <c15:showDataLabelsRange val="0"/>
                </c:ext>
              </c:extLst>
            </c:dLbl>
            <c:dLbl>
              <c:idx val="3"/>
              <c:layout>
                <c:manualLayout>
                  <c:x val="9.7226060691518207E-2"/>
                  <c:y val="-3.395022508805672E-17"/>
                </c:manualLayout>
              </c:layout>
              <c:tx>
                <c:strRef>
                  <c:f>'Calculs dispo Données FA'!$AA$128</c:f>
                  <c:strCache>
                    <c:ptCount val="1"/>
                    <c:pt idx="0">
                      <c:v>12350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{0B8B7B13-F13E-4569-AAEA-CB6034DDB4AA}</c15:txfldGUID>
                      <c15:f>'Calculs dispo Données FA'!$AA$128</c15:f>
                      <c15:dlblFieldTableCache>
                        <c:ptCount val="1"/>
                        <c:pt idx="0">
                          <c:v>12350 B &amp; Consumption =0</c:v>
                        </c:pt>
                      </c15:dlblFieldTableCache>
                    </c15:dlblFTEntry>
                  </c15:dlblFieldTable>
                  <c15:showDataLabelsRange val="0"/>
                </c:ext>
              </c:extLst>
            </c:dLbl>
            <c:dLbl>
              <c:idx val="4"/>
              <c:tx>
                <c:strRef>
                  <c:f>'Calculs dispo Données FA'!$AA$129</c:f>
                  <c:strCache>
                    <c:ptCount val="1"/>
                    <c:pt idx="0">
                      <c:v>903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{DCBD67C2-181C-490E-8896-C536AAB4062F}</c15:txfldGUID>
                      <c15:f>'Calculs dispo Données FA'!$AA$129</c15:f>
                      <c15:dlblFieldTableCache>
                        <c:ptCount val="1"/>
                        <c:pt idx="0">
                          <c:v>903 B &amp; Consumption =0</c:v>
                        </c:pt>
                      </c15:dlblFieldTableCache>
                    </c15:dlblFTEntry>
                  </c15:dlblFieldTable>
                  <c15:showDataLabelsRange val="0"/>
                </c:ext>
              </c:extLst>
            </c:dLbl>
            <c:dLbl>
              <c:idx val="5"/>
              <c:layout>
                <c:manualLayout>
                  <c:x val="0.16140945624021324"/>
                  <c:y val="3.395022508805672E-17"/>
                </c:manualLayout>
              </c:layout>
              <c:tx>
                <c:strRef>
                  <c:f>'Calculs dispo Données FA'!$AA$130</c:f>
                  <c:strCache>
                    <c:ptCount val="1"/>
                    <c:pt idx="0">
                      <c:v>187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{D8500956-8CE5-494D-A131-7DB5AA739194}</c15:txfldGUID>
                      <c15:f>'Calculs dispo Données FA'!$AA$130</c15:f>
                      <c15:dlblFieldTableCache>
                        <c:ptCount val="1"/>
                        <c:pt idx="0">
                          <c:v>187 B &amp; Consumption =0</c:v>
                        </c:pt>
                      </c15:dlblFieldTableCache>
                    </c15:dlblFTEntry>
                  </c15:dlblFieldTable>
                  <c15:showDataLabelsRange val="0"/>
                </c:ext>
              </c:extLst>
            </c:dLbl>
            <c:dLbl>
              <c:idx val="6"/>
              <c:layout>
                <c:manualLayout>
                  <c:x val="5.4241900252572105E-2"/>
                  <c:y val="0"/>
                </c:manualLayout>
              </c:layout>
              <c:tx>
                <c:strRef>
                  <c:f>'Calculs dispo Données FA'!$AA$132</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{8FF9B323-F334-4286-8C38-AD637C1F8C28}</c15:txfldGUID>
                      <c15:f>'Calculs dispo Données FA'!$AA$132</c15:f>
                      <c15:dlblFieldTableCache>
                        <c:ptCount val="1"/>
                      </c15:dlblFieldTableCache>
                    </c15:dlblFTEntry>
                  </c15:dlblFieldTable>
                  <c15:showDataLabelsRange val="0"/>
                </c:ext>
              </c:extLst>
            </c:dLbl>
            <c:dLbl>
              <c:idx val="7"/>
              <c:layout>
                <c:manualLayout>
                  <c:x val="4.7490581113743685E-2"/>
                  <c:y val="0"/>
                </c:manualLayout>
              </c:layout>
              <c:tx>
                <c:strRef>
                  <c:f>'Calculs dispo Données FA'!$AA$133</c:f>
                  <c:strCache>
                    <c:ptCount val="1"/>
                    <c:pt idx="0">
                      <c:v>121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{5D4FE478-47C0-434F-BAEB-3F3AD920198E}</c15:txfldGUID>
                      <c15:f>'Calculs dispo Données FA'!$AA$133</c15:f>
                      <c15:dlblFieldTableCache>
                        <c:ptCount val="1"/>
                        <c:pt idx="0">
                          <c:v>121 B &amp; Consumption =0</c:v>
                        </c:pt>
                      </c15:dlblFieldTableCache>
                    </c15:dlblFTEntry>
                  </c15:dlblFieldTable>
                  <c15:showDataLabelsRange val="0"/>
                </c:ext>
              </c:extLst>
            </c:dLbl>
            <c:dLbl>
              <c:idx val="8"/>
              <c:layout>
                <c:manualLayout>
                  <c:x val="6.6813311860993832E-2"/>
                  <c:y val="0"/>
                </c:manualLayout>
              </c:layout>
              <c:tx>
                <c:strRef>
                  <c:f>'Calculs dispo Données FA'!$AA$134</c:f>
                  <c:strCache>
                    <c:ptCount val="1"/>
                    <c:pt idx="0">
                      <c:v>16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{C0D1D926-726E-470D-879D-9E76F2133310}</c15:txfldGUID>
                      <c15:f>'Calculs dispo Données FA'!$AA$134</c15:f>
                      <c15:dlblFieldTableCache>
                        <c:ptCount val="1"/>
                        <c:pt idx="0">
                          <c:v>16 B &amp; Consumption =0</c:v>
                        </c:pt>
                      </c15:dlblFieldTableCache>
                    </c15:dlblFTEntry>
                  </c15:dlblFieldTable>
                  <c15:showDataLabelsRange val="0"/>
                </c:ext>
              </c:extLst>
            </c:dLbl>
            <c:dLbl>
              <c:idx val="9"/>
              <c:layout>
                <c:manualLayout>
                  <c:x val="4.8071818543888395E-2"/>
                  <c:y val="-1.8518518518518936E-3"/>
                </c:manualLayout>
              </c:layout>
              <c:tx>
                <c:strRef>
                  <c:f>'Calculs dispo Données FA'!$AA$135</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{178EEF08-C8F9-4026-8F56-72B2B449C0E3}</c15:txfldGUID>
                      <c15:f>'Calculs dispo Données FA'!$AA$135</c15:f>
                      <c15:dlblFieldTableCache>
                        <c:ptCount val="1"/>
                      </c15:dlblFieldTableCache>
                    </c15:dlblFTEntry>
                  </c15:dlblFieldTable>
                  <c15:showDataLabelsRange val="0"/>
                </c:ext>
              </c:extLst>
            </c:dLbl>
            <c:dLbl>
              <c:idx val="10"/>
              <c:tx>
                <c:strRef>
                  <c:f>'Calculs dispo Données FA'!$AA$136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{4153C0C2-89C7-41E7-9233-AA3B875CAE72}</c15:txfldGUID>
                      <c15:f>'Calculs dispo Données FA'!$AA$136</c15:f>
                      <c15:dlblFieldTableCache>
                        <c:ptCount val="1"/>
                      </c15:dlblFieldTableCache>
                    </c15:dlblFTEntry>
                  </c15:dlblFieldTable>
                  <c15:showDataLabelsRange val="0"/>
                </c:ext>
              </c:extLst>
            </c:dLbl>
            <c:dLbl>
              <c:idx val="11"/>
              <c:tx>
                <c:strRef>
                  <c:f>'Calculs dispo Données FA'!$AA$137</c:f>
                  <c:strCache>
                    <c:ptCount val="1"/>
                    <c:pt idx="0">
                      <c:v>38746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{B30FB9F8-DDAA-4794-96D3-AD8B732E92B5}</c15:txfldGUID>
                      <c15:f>'Calculs dispo Données FA'!$AA$137</c15:f>
                      <c15:dlblFieldTableCache>
                        <c:ptCount val="1"/>
                        <c:pt idx="0">
                          <c:v>38746 B &amp; Consumption =0</c:v>
                        </c:pt>
                      </c15:dlblFieldTableCache>
                    </c15:dlblFTEntry>
                  </c15:dlblFieldTable>
                  <c15:showDataLabelsRange val="0"/>
                </c:ext>
              </c:extLst>
            </c:dLbl>
            <c:dLbl>
              <c:idx val="12"/>
              <c:layout>
                <c:manualLayout>
                  <c:x val="4.0765483956354133E-2"/>
                  <c:y val="0"/>
                </c:manualLayout>
              </c:layout>
              <c:tx>
                <c:strRef>
                  <c:f>'Calculs dispo Données FA'!$AA$138</c:f>
                  <c:strCache>
                    <c:ptCount val="1"/>
                    <c:pt idx="0">
                      <c:v>505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{017EB9AD-B73C-42A8-94C3-B1AF4E9D8A98}</c15:txfldGUID>
                      <c15:f>'Calculs dispo Données FA'!$AA$138</c15:f>
                      <c15:dlblFieldTableCache>
                        <c:ptCount val="1"/>
                        <c:pt idx="0">
                          <c:v>505 B &amp; Consumption =0</c:v>
                        </c:pt>
                      </c15:dlblFieldTableCache>
                    </c15:dlblFTEntry>
                  </c15:dlblFieldTable>
                  <c15:showDataLabelsRange val="0"/>
                </c:ext>
              </c:extLst>
            </c:dLbl>
            <c:dLbl>
              <c:idx val="13"/>
              <c:tx>
                <c:strRef>
                  <c:f>'Calculs dispo Données FA'!$AA$140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{E2CCD82C-73E0-4D44-9C39-CE73A54E52F0}</c15:txfldGUID>
                      <c15:f>'Calculs dispo Données FA'!$AA$140</c15:f>
                      <c15:dlblFieldTableCache>
                        <c:ptCount val="1"/>
                      </c15:dlblFieldTableCache>
                    </c15:dlblFTEntry>
                  </c15:dlblFieldTable>
                  <c15:showDataLabelsRange val="0"/>
                </c:ext>
              </c:extLst>
            </c:dLbl>
            <c:dLbl>
              <c:idx val="14"/>
              <c:tx>
                <c:strRef>
                  <c:f>'Calculs dispo Données FA'!$AA$141</c:f>
                  <c:strCache>
                    <c:ptCount val="1"/>
                    <c:pt idx="0">
                      <c:v>2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{6AA8F5EA-5207-4057-8972-A5F65CDAB1A5}</c15:txfldGUID>
                      <c15:f>'Calculs dispo Données FA'!$AA$141</c15:f>
                      <c15:dlblFieldTableCache>
                        <c:ptCount val="1"/>
                        <c:pt idx="0">
                          <c:v>2 B &amp; Consumption =0</c:v>
                        </c:pt>
                      </c15:dlblFieldTableCache>
                    </c15:dlblFTEntry>
                  </c15:dlblFieldTable>
                  <c15:showDataLabelsRange val="0"/>
                </c:ext>
              </c:extLst>
            </c:dLbl>
            <c:dLbl>
              <c:idx val="15"/>
              <c:layout>
                <c:manualLayout>
                  <c:x val="5.5306512699107711E-2"/>
                  <c:y val="-1.8518518518518936E-3"/>
                </c:manualLayout>
              </c:layout>
              <c:tx>
                <c:strRef>
                  <c:f>'Calculs dispo Données FA'!$AA$142</c:f>
                  <c:strCache>
                    <c:ptCount val="1"/>
                    <c:pt idx="0">
                      <c:v>11566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{BE5B57D5-10F5-42D2-85F0-039249135A2B}</c15:txfldGUID>
                      <c15:f>'Calculs dispo Données FA'!$AA$142</c15:f>
                      <c15:dlblFieldTableCache>
                        <c:ptCount val="1"/>
                        <c:pt idx="0">
                          <c:v>11566 B &amp; Consumption =0</c:v>
                        </c:pt>
                      </c15:dlblFieldTableCache>
                    </c15:dlblFTEntry>
                  </c15:dlblFieldTable>
                  <c15:showDataLabelsRange val="0"/>
                </c:ext>
              </c:extLst>
            </c:dLbl>
            <c:dLbl>
              <c:idx val="16"/>
              <c:tx>
                <c:strRef>
                  <c:f>'Calculs dispo Données FA'!$AA$144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{F249EF46-C13E-43E0-9343-18F4FA304237}</c15:txfldGUID>
                      <c15:f>'Calculs dispo Données FA'!$AA$144</c15:f>
                      <c15:dlblFieldTableCache>
                        <c:ptCount val="1"/>
                      </c15:dlblFieldTableCache>
                    </c15:dlblFTEntry>
                  </c15:dlblFieldTable>
                  <c15:showDataLabelsRange val="0"/>
                </c:ext>
              </c:extLst>
            </c:dLbl>
            <c:dLbl>
              <c:idx val="17"/>
              <c:layout>
                <c:manualLayout>
                  <c:x val="6.0815701524585583E-2"/>
                  <c:y val="0"/>
                </c:manualLayout>
              </c:layout>
              <c:tx>
                <c:strRef>
                  <c:f>'Calculs dispo Données FA'!$AA$146</c:f>
                  <c:strCache>
                    <c:ptCount val="1"/>
                    <c:pt idx="0">
                      <c:v>1093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{7C0D3DE6-A2FC-4E46-BFB9-80467B355504}</c15:txfldGUID>
                      <c15:f>'Calculs dispo Données FA'!$AA$146</c15:f>
                      <c15:dlblFieldTableCache>
                        <c:ptCount val="1"/>
                        <c:pt idx="0">
                          <c:v>1093 B &amp; Consumption =0</c:v>
                        </c:pt>
                      </c15:dlblFieldTableCache>
                    </c15:dlblFTEntry>
                  </c15:dlblFieldTable>
                  <c15:showDataLabelsRange val="0"/>
                </c:ext>
              </c:extLst>
            </c:dLbl>
            <c:dLbl>
              <c:idx val="18"/>
              <c:layout>
                <c:manualLayout>
                  <c:x val="0.28960248960397972"/>
                  <c:y val="-1.8518518518518936E-3"/>
                </c:manualLayout>
              </c:layout>
              <c:tx>
                <c:strRef>
                  <c:f>'Calculs dispo Données FA'!$AA$148</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{9635AFF8-F00F-464C-967C-2030B877D867}</c15:txfldGUID>
                      <c15:f>'Calculs dispo Données FA'!$AA$148</c15:f>
                      <c15:dlblFieldTableCache>
                        <c:ptCount val="1"/>
                      </c15:dlblFieldTableCache>
                    </c15:dlblFTEntry>
                  </c15:dlblFieldTable>
                  <c15:showDataLabelsRange val="0"/>
                </c:ext>
              </c:extLst>
            </c:dLbl>
            <c:dLbl>
              <c:idx val="19"/>
              <c:tx>
                <c:strRef>
                  <c:f>'Calculs dispo Données FA'!$AA$149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{771B9C10-BA07-4CB7-A4BF-720D31A6B73C}</c15:txfldGUID>
                      <c15:f>'Calculs dispo Données FA'!$AA$149</c15:f>
                      <c15:dlblFieldTableCache>
                        <c:ptCount val="1"/>
                      </c15:dlblFieldTableCache>
                    </c15:dlblFTEntry>
                  </c15:dlblFieldTable>
                  <c15:showDataLabelsRange val="0"/>
                </c:ext>
              </c:extLst>
            </c:dLbl>
            <c:dLbl>
              <c:idx val="20"/>
              <c:tx>
                <c:strRef>
                  <c:f>'Calculs dispo Données FA'!$AA$151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{3C03A5B7-4797-46CD-AD80-E671CF7B5C63}</c15:txfldGUID>
                      <c15:f>'Calculs dispo Données FA'!$AA$151</c15:f>
                      <c15:dlblFieldTableCache>
                        <c:ptCount val="1"/>
                      </c15:dlblFieldTableCache>
                    </c15:dlblFTEntry>
                  </c15:dlblFieldTable>
                  <c15:showDataLabelsRange val="0"/>
                </c:ext>
              </c:extLst>
            </c:dLbl>
            <c:dLbl>
              <c:idx val="21"/>
              <c:layout>
                <c:manualLayout>
                  <c:x val="9.8358256584562764E-2"/>
                  <c:y val="0"/>
                </c:manualLayout>
              </c:layout>
              <c:tx>
                <c:strRef>
                  <c:f>'Calculs dispo Données FA'!$AA$152</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{6B27CBC1-43D1-478A-B9FD-E73FB9E2994C}</c15:txfldGUID>
                      <c15:f>'Calculs dispo Données FA'!$AA$152</c15:f>
                      <c15:dlblFieldTableCache>
                        <c:ptCount val="1"/>
                      </c15:dlblFieldTableCache>
                    </c15:dlblFTEntry>
                  </c15:dlblFieldTable>
                  <c15:showDataLabelsRange val="0"/>
                </c:ext>
              </c:extLst>
            </c:dLbl>
            <c:dLbl>
              <c:idx val="22"/>
              <c:layout>
                <c:manualLayout>
                  <c:x val="9.9881110525651781E-2"/>
                  <c:y val="0"/>
                </c:manualLayout>
              </c:layout>
              <c:tx>
                <c:strRef>
                  <c:f>'Calculs dispo Données FA'!$AA$154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{E86F902B-A9E8-4EDB-BF14-D064B314D63E}</c15:txfldGUID>
                      <c15:f>'Calculs dispo Données FA'!$AA$154</c15:f>
                      <c15:dlblFieldTableCache>
                        <c:ptCount val="1"/>
                      </c15:dlblFieldTableCache>
                    </c15:dlblFTEntry>
                  </c15:dlblFieldTable>
                  <c15:showDataLabelsRange val="0"/>
                </c:ext>
              </c:extLst>
            </c:dLbl>
            <c:dLbl>
              <c:idx val="23"/>
              <c:tx>
                <c:strRef>
                  <c:f>'Calculs dispo Données FA'!$AA$155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{C8606AB6-CDA8-4AB9-B527-144000D52E5F}</c15:txfldGUID>
                      <c15:f>'Calculs dispo Données FA'!$AA$155</c15:f>
                      <c15:dlblFieldTableCache>
                        <c:ptCount val="1"/>
                        <c:pt idx="0">
                          <c:v>956 B &amp; Consumption =0</c:v>
                        </c:pt>
                      </c15:dlblFieldTableCache>
                    </c15:dlblFTEntry>
                  </c15:dlblFieldTable>
                  <c15:showDataLabelsRange val="0"/>
                </c:ext>
              </c:extLst>
            </c:dLbl>
            <c:dLbl>
              <c:idx val="24"/>
              <c:tx>
                <c:strRef>
                  <c:f>'Calculs dispo Données FA'!$AA$156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{A1104197-BA9D-46CD-80BB-E46F0EAD5C56}</c15:txfldGUID>
                      <c15:f>'Calculs dispo Données FA'!$AA$156</c15:f>
                      <c15:dlblFieldTableCache>
                        <c:ptCount val="1"/>
                      </c15:dlblFieldTableCache>
                    </c15:dlblFTEntry>
                  </c15:dlblFieldTable>
                  <c15:showDataLabelsRange val="0"/>
                </c:ext>
              </c:extLst>
            </c:dLbl>
            <c:dLbl>
              <c:idx val="25"/>
              <c:layout>
                <c:manualLayout>
                  <c:x val="4.1194238090643973E-2"/>
                  <c:y val="0"/>
                </c:manualLayout>
              </c:layout>
              <c:tx>
                <c:strRef>
                  <c:f>'Calculs dispo Données FA'!$AA$157</c:f>
                  <c:strCache>
                    <c:ptCount val="1"/>
                    <c:pt idx="0">
                      <c:v>750 B &amp; conso =0</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{853E5CF7-913A-405C-B081-9C00F7EDCB11}</c15:txfldGUID>
                      <c15:f>'Calculs dispo Données FA'!$AA$157</c15:f>
                      <c15:dlblFieldTableCache>
                        <c:ptCount val="1"/>
                        <c:pt idx="0">
                          <c:v>750 B &amp; Consumption =0</c:v>
                        </c:pt>
                      </c15:dlblFieldTableCache>
                    </c15:dlblFTEntry>
                  </c15:dlblFieldTable>
                  <c15:showDataLabelsRange val="0"/>
                </c:ext>
              </c:extLst>
            </c:dLbl>
            <c:dLbl>
              <c:idx val="26"/>
              <c:tx>
                <c:strRef>
                  <c:f>'Calculs dispo Données FA'!$AA$158</c:f>
                  <c:strCache>
                    <c:ptCount val="1"/>
                    <c:pt idx="0">
                      <c:v>770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{F0B6483B-4D19-4F74-820E-376F5D52E1A5}</c15:txfldGUID>
                      <c15:f>'Calculs dispo Données FA'!$AA$158</c15:f>
                      <c15:dlblFieldTableCache>
                        <c:ptCount val="1"/>
                        <c:pt idx="0">
                          <c:v>770 B &amp; Consumption =0</c:v>
                        </c:pt>
                      </c15:dlblFieldTableCache>
                    </c15:dlblFTEntry>
                  </c15:dlblFieldTable>
                  <c15:showDataLabelsRange val="0"/>
                </c:ext>
              </c:extLst>
            </c:dLbl>
            <c:dLbl>
              <c:idx val="27"/>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{0D200DF0-0C8D-4425-AF2A-A336AE6E6DD3}</c15:txfldGUID>
                      <c15:f>'Calculs dispo Données FA'!$AA$161</c15:f>
                      <c15:dlblFieldTableCache>
                        <c:ptCount val="1"/>
                      </c15:dlblFieldTableCache>
                    </c15:dlblFTEntry>
                  </c15:dlblFieldTable>
                  <c15:showDataLabelsRange val="0"/>
                </c:ext>
              </c:extLst>
            </c:dLbl>
            <c:dLbl>
              <c:idx val="28"/>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{85ABD713-5FD3-438D-A3DF-ED442D8D4524}</c15:txfldGUID>
                      <c15:f>'Calculs dispo Données FA'!$AA$163</c15:f>
                      <c15:dlblFieldTableCache>
                        <c:ptCount val="1"/>
                      </c15:dlblFieldTableCache>
                    </c15:dlblFTEntry>
                  </c15:dlblFieldTable>
                  <c15:showDataLabelsRange val="0"/>
                </c:ext>
              </c:extLst>
            </c:dLbl>
            <c:dLbl>
              <c:idx val="29"/>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{054940B2-75A7-47C9-B798-FFB6096280DB}</c15:txfldGUID>
                      <c15:f>'Calculs dispo Données FA'!$AA$159</c15:f>
                      <c15:dlblFieldTableCache>
                        <c:ptCount val="1"/>
                        <c:pt idx="0">
                          <c:v>1705 B &amp; Consumption =0</c:v>
                        </c:pt>
                      </c15:dlblFieldTableCache>
                    </c15:dlblFTEntry>
                  </c15:dlblFieldTable>
                  <c15:showDataLabelsRange val="0"/>
                </c:ext>
              </c:extLst>
            </c:dLbl>
            <c:dLbl>
              <c:idx val="30"/>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{37E03FEC-1D34-4E9F-9011-748ADEDF32CF}</c15:txfldGUID>
                      <c15:f>'Calculs dispo Données FA'!$AA$162</c15:f>
                      <c15:dlblFieldTableCache>
                        <c:ptCount val="1"/>
                      </c15:dlblFieldTableCache>
                    </c15:dlblFTEntry>
                  </c15:dlblFieldTable>
                  <c15:showDataLabelsRange val="0"/>
                </c:ext>
              </c:extLst>
            </c:dLbl>
            <c:dLbl>
              <c:idx val="31"/>
              <c:layout>
                <c:manualLayout>
                  <c:x val="4.5038380570006503E-2"/>
                  <c:y val="0"/>
                </c:manualLayout>
              </c:layout>
              <c:tx>
                <c:strRef>
                  <c:f>'Calculs dispo Données FA'!$AA$164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{DB44C69C-4212-4CD2-9B3E-F0682B6005A0}</c15:txfldGUID>
                      <c15:f>'Calculs dispo Données FA'!$AA$164</c15:f>
                      <c15:dlblFieldTableCache>
                        <c:ptCount val="1"/>
                      </c15:dlblFieldTableCache>
                    </c15:dlblFTEntry>
                  </c15:dlblFieldTable>
                  <c15:showDataLabelsRange val="0"/>
                </c:ext>
              </c:extLst>
            </c:dLbl>
            <c:dLbl>
              <c:idx val="32"/>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{C73ED065-CFDE-4E8F-906A-1DF15FD25CA2}</c15:txfldGUID>
                      <c15:f>'Calculs dispo Données FA'!$AA$165</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FA'!$H$11:$H$51</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FA'!$Y$11:$Y$51</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er>
        <c:dLbls>
          <c:showLegendKey val="0"/>
          <c:showVal val="0"/>
          <c:showCatName val="0"/>
          <c:showSerName val="0"/>
          <c:showPercent val="0"/>
          <c:showBubbleSize val="0"/>
        </c:dLbls>
        <c:gapWidth val="150"/>
        <c:overlap val="100"/>
        <c:axId val="158268032"/>
        <c:axId val="158273920"/>
      </c:barChart>
      <c:catAx>
        <c:axId val="158268032"/>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58273920"/>
        <c:crosses val="autoZero"/>
        <c:auto val="1"/>
        <c:lblAlgn val="ctr"/>
        <c:lblOffset val="100"/>
        <c:tickMarkSkip val="2"/>
        <c:noMultiLvlLbl val="0"/>
      </c:catAx>
      <c:valAx>
        <c:axId val="158273920"/>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0.20590588287680608"/>
              <c:y val="0.11048177311169442"/>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58268032"/>
        <c:crosses val="autoZero"/>
        <c:crossBetween val="between"/>
        <c:majorUnit val="3"/>
      </c:valAx>
      <c:spPr>
        <a:ln>
          <a:solidFill>
            <a:schemeClr val="bg1">
              <a:lumMod val="50000"/>
            </a:schemeClr>
          </a:solidFill>
        </a:ln>
      </c:spPr>
    </c:plotArea>
    <c:legend>
      <c:legendPos val="b"/>
      <c:layout>
        <c:manualLayout>
          <c:xMode val="edge"/>
          <c:yMode val="edge"/>
          <c:x val="9.3670854762384747E-3"/>
          <c:y val="0.9441373578302712"/>
          <c:w val="0.97623902572970089"/>
          <c:h val="4.6603382910469476E-2"/>
        </c:manualLayout>
      </c:layout>
      <c:overlay val="0"/>
      <c:txPr>
        <a:bodyPr/>
        <a:lstStyle/>
        <a:p>
          <a:pPr>
            <a:defRPr lang="fr-FR"/>
          </a:pPr>
          <a:endParaRPr lang="en-US"/>
        </a:p>
      </c:txPr>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lang="fr-FR" sz="1600" b="1" i="0" u="none" strike="noStrike" kern="1200" baseline="0">
              <a:solidFill>
                <a:sysClr val="windowText" lastClr="000000"/>
              </a:solidFill>
              <a:latin typeface="Calibri" pitchFamily="34" charset="0"/>
              <a:ea typeface="+mn-ea"/>
              <a:cs typeface="Calibri" pitchFamily="34" charset="0"/>
            </a:defRPr>
          </a:pPr>
          <a:endParaRPr lang="en-US"/>
        </a:p>
      </c:txPr>
    </c:title>
    <c:autoTitleDeleted val="0"/>
    <c:plotArea>
      <c:layout>
        <c:manualLayout>
          <c:layoutTarget val="inner"/>
          <c:xMode val="edge"/>
          <c:yMode val="edge"/>
          <c:x val="0.20683442818235856"/>
          <c:y val="0.18332195975503071"/>
          <c:w val="0.60237650312561053"/>
          <c:h val="0.76009521726455154"/>
        </c:manualLayout>
      </c:layout>
      <c:barChart>
        <c:barDir val="bar"/>
        <c:grouping val="stacked"/>
        <c:varyColors val="0"/>
        <c:ser>
          <c:idx val="0"/>
          <c:order val="0"/>
          <c:tx>
            <c:strRef>
              <c:f>'Calculs dispo Données FA'!$X$124</c:f>
              <c:strCache>
                <c:ptCount val="1"/>
                <c:pt idx="0">
                  <c:v>Nombre de mois de disponibilité de produits hors ST</c:v>
                </c:pt>
              </c:strCache>
            </c:strRef>
          </c:tx>
          <c:spPr>
            <a:solidFill>
              <a:srgbClr val="4F81BD"/>
            </a:solidFill>
            <a:ln w="9525"/>
          </c:spPr>
          <c:invertIfNegative val="1"/>
          <c:cat>
            <c:strRef>
              <c:f>'Calculs dispo Données FA'!$H$11:$H$25</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FA'!$X$125:$X$139</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a:ln w="9525"/>
                </c14:spPr>
              </c14:invertSolidFillFmt>
            </c:ext>
          </c:extLst>
        </c:ser>
        <c:ser>
          <c:idx val="1"/>
          <c:order val="1"/>
          <c:tx>
            <c:strRef>
              <c:f>'Calculs dispo Données FA'!$Y$124</c:f>
              <c:strCache>
                <c:ptCount val="1"/>
                <c:pt idx="0">
                  <c:v>Nombre de mois de stock tampon (ST - max 3 mois))</c:v>
                </c:pt>
              </c:strCache>
            </c:strRef>
          </c:tx>
          <c:invertIfNegative val="0"/>
          <c:cat>
            <c:strRef>
              <c:f>'Calculs dispo Données FA'!$H$11:$H$25</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FA'!$Y$125:$Y$139</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3"/>
          <c:order val="2"/>
          <c:tx>
            <c:strRef>
              <c:f>'Calculs dispo Données FA'!$AJ$181</c:f>
              <c:strCache>
                <c:ptCount val="1"/>
                <c:pt idx="0">
                  <c:v>Delta Dispo/date de réception attendue</c:v>
                </c:pt>
              </c:strCache>
            </c:strRef>
          </c:tx>
          <c:spPr>
            <a:noFill/>
            <a:ln w="9525">
              <a:solidFill>
                <a:srgbClr val="FF0000"/>
              </a:solidFill>
              <a:prstDash val="sysDash"/>
            </a:ln>
          </c:spPr>
          <c:invertIfNegative val="0"/>
          <c:val>
            <c:numRef>
              <c:f>'Calculs dispo Données FA'!$AJ$182:$AJ$196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2"/>
          <c:order val="3"/>
          <c:tx>
            <c:strRef>
              <c:f>'Calculs dispo Données FA'!$AO$181</c:f>
              <c:strCache>
                <c:ptCount val="1"/>
                <c:pt idx="0">
                  <c:v>Nb de mois de stock / commande attendue</c:v>
                </c:pt>
              </c:strCache>
            </c:strRef>
          </c:tx>
          <c:invertIfNegative val="0"/>
          <c:dLbls>
            <c:dLbl>
              <c:idx val="0"/>
              <c:tx>
                <c:strRef>
                  <c:f>'Calculs dispo Données FA'!$AM$182</c:f>
                  <c:strCache>
                    <c:ptCount val="1"/>
                    <c:pt idx="0">
                      <c:v>71892B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{EB537D66-17D4-4965-B28C-D36DFF8D0CEE}</c15:txfldGUID>
                      <c15:f>'Calculs dispo Données FA'!$AM$182</c15:f>
                      <c15:dlblFieldTableCache>
                        <c:ptCount val="1"/>
                        <c:pt idx="0">
                          <c:v>71892B &amp; Consumption =0</c:v>
                        </c:pt>
                      </c15:dlblFieldTableCache>
                    </c15:dlblFTEntry>
                  </c15:dlblFieldTable>
                  <c15:showDataLabelsRange val="0"/>
                </c:ext>
              </c:extLst>
            </c:dLbl>
            <c:dLbl>
              <c:idx val="1"/>
              <c:tx>
                <c:strRef>
                  <c:f>'Calculs dispo Données FA'!$AM$183</c:f>
                  <c:strCache>
                    <c:ptCount val="1"/>
                    <c:pt idx="0">
                      <c:v>1522B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{C669C03C-B421-42CD-9F6E-DC4450DE20E8}</c15:txfldGUID>
                      <c15:f>'Calculs dispo Données FA'!$AM$183</c15:f>
                      <c15:dlblFieldTableCache>
                        <c:ptCount val="1"/>
                        <c:pt idx="0">
                          <c:v>1522B &amp; Consumption =0</c:v>
                        </c:pt>
                      </c15:dlblFieldTableCache>
                    </c15:dlblFTEntry>
                  </c15:dlblFieldTable>
                  <c15:showDataLabelsRange val="0"/>
                </c:ext>
              </c:extLst>
            </c:dLbl>
            <c:dLbl>
              <c:idx val="2"/>
              <c:tx>
                <c:strRef>
                  <c:f>'Calculs dispo Données FA'!$AM$184</c:f>
                  <c:strCache>
                    <c:ptCount val="1"/>
                    <c:pt idx="0">
                      <c:v>666B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{67D5E059-73B9-4652-B116-56352D443E6A}</c15:txfldGUID>
                      <c15:f>'Calculs dispo Données FA'!$AM$184</c15:f>
                      <c15:dlblFieldTableCache>
                        <c:ptCount val="1"/>
                        <c:pt idx="0">
                          <c:v>666B &amp; Consumption =0</c:v>
                        </c:pt>
                      </c15:dlblFieldTableCache>
                    </c15:dlblFTEntry>
                  </c15:dlblFieldTable>
                  <c15:showDataLabelsRange val="0"/>
                </c:ext>
              </c:extLst>
            </c:dLbl>
            <c:dLbl>
              <c:idx val="3"/>
              <c:tx>
                <c:strRef>
                  <c:f>'Calculs dispo Données FA'!$AM$185</c:f>
                  <c:strCache>
                    <c:ptCount val="1"/>
                    <c:pt idx="0">
                      <c:v>12350B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{FF8CAFC9-E4EB-4848-83FE-2A22B5466895}</c15:txfldGUID>
                      <c15:f>'Calculs dispo Données FA'!$AM$185</c15:f>
                      <c15:dlblFieldTableCache>
                        <c:ptCount val="1"/>
                        <c:pt idx="0">
                          <c:v>12350B &amp; Consumption =0</c:v>
                        </c:pt>
                      </c15:dlblFieldTableCache>
                    </c15:dlblFTEntry>
                  </c15:dlblFieldTable>
                  <c15:showDataLabelsRange val="0"/>
                </c:ext>
              </c:extLst>
            </c:dLbl>
            <c:dLbl>
              <c:idx val="4"/>
              <c:tx>
                <c:strRef>
                  <c:f>'Calculs dispo Données FA'!$AM$186</c:f>
                  <c:strCache>
                    <c:ptCount val="1"/>
                    <c:pt idx="0">
                      <c:v>903B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{EE2D47B3-5B40-4E07-9DD9-9862BA7E077A}</c15:txfldGUID>
                      <c15:f>'Calculs dispo Données FA'!$AM$186</c15:f>
                      <c15:dlblFieldTableCache>
                        <c:ptCount val="1"/>
                        <c:pt idx="0">
                          <c:v>903B &amp; Consumption =0</c:v>
                        </c:pt>
                      </c15:dlblFieldTableCache>
                    </c15:dlblFTEntry>
                  </c15:dlblFieldTable>
                  <c15:showDataLabelsRange val="0"/>
                </c:ext>
              </c:extLst>
            </c:dLbl>
            <c:dLbl>
              <c:idx val="5"/>
              <c:tx>
                <c:strRef>
                  <c:f>'Calculs dispo Données FA'!$AM$187</c:f>
                  <c:strCache>
                    <c:ptCount val="1"/>
                    <c:pt idx="0">
                      <c:v>492B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{0DBA7C9D-0E3D-47E0-95C2-4409CF1965C3}</c15:txfldGUID>
                      <c15:f>'Calculs dispo Données FA'!$AM$187</c15:f>
                      <c15:dlblFieldTableCache>
                        <c:ptCount val="1"/>
                        <c:pt idx="0">
                          <c:v>492B &amp; Consumption =0</c:v>
                        </c:pt>
                      </c15:dlblFieldTableCache>
                    </c15:dlblFTEntry>
                  </c15:dlblFieldTable>
                  <c15:showDataLabelsRange val="0"/>
                </c:ext>
              </c:extLst>
            </c:dLbl>
            <c:dLbl>
              <c:idx val="6"/>
              <c:tx>
                <c:strRef>
                  <c:f>'Calculs dispo Données FA'!$AM$188</c:f>
                  <c:strCache>
                    <c:ptCount val="1"/>
                    <c:pt idx="0">
                      <c:v>231B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{117DAB22-BF0D-4851-9BD3-07C02544F34B}</c15:txfldGUID>
                      <c15:f>'Calculs dispo Données FA'!$AM$188</c15:f>
                      <c15:dlblFieldTableCache>
                        <c:ptCount val="1"/>
                        <c:pt idx="0">
                          <c:v>231B &amp; Consumption =0</c:v>
                        </c:pt>
                      </c15:dlblFieldTableCache>
                    </c15:dlblFTEntry>
                  </c15:dlblFieldTable>
                  <c15:showDataLabelsRange val="0"/>
                </c:ext>
              </c:extLst>
            </c:dLbl>
            <c:dLbl>
              <c:idx val="7"/>
              <c:tx>
                <c:strRef>
                  <c:f>'Calculs dispo Données FA'!$AM$189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{61F31E9D-14C5-4E7A-A29D-BC9A76B1DF2F}</c15:txfldGUID>
                      <c15:f>'Calculs dispo Données FA'!$AM$189</c15:f>
                      <c15:dlblFieldTableCache>
                        <c:ptCount val="1"/>
                      </c15:dlblFieldTableCache>
                    </c15:dlblFTEntry>
                  </c15:dlblFieldTable>
                  <c15:showDataLabelsRange val="0"/>
                </c:ext>
              </c:extLst>
            </c:dLbl>
            <c:dLbl>
              <c:idx val="8"/>
              <c:tx>
                <c:strRef>
                  <c:f>'Calculs dispo Données FA'!$AM$190</c:f>
                  <c:strCache>
                    <c:ptCount val="1"/>
                    <c:pt idx="0">
                      <c:v>121B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{4C124E73-0EEC-4844-97C9-41B2C224F761}</c15:txfldGUID>
                      <c15:f>'Calculs dispo Données FA'!$AM$190</c15:f>
                      <c15:dlblFieldTableCache>
                        <c:ptCount val="1"/>
                        <c:pt idx="0">
                          <c:v>121B &amp; Consumption =0</c:v>
                        </c:pt>
                      </c15:dlblFieldTableCache>
                    </c15:dlblFTEntry>
                  </c15:dlblFieldTable>
                  <c15:showDataLabelsRange val="0"/>
                </c:ext>
              </c:extLst>
            </c:dLbl>
            <c:dLbl>
              <c:idx val="9"/>
              <c:tx>
                <c:strRef>
                  <c:f>'Calculs dispo Données FA'!$AM$191</c:f>
                  <c:strCache>
                    <c:ptCount val="1"/>
                    <c:pt idx="0">
                      <c:v>16B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{05CFE0DB-B3CC-49BB-ABB9-8F9DA10745F6}</c15:txfldGUID>
                      <c15:f>'Calculs dispo Données FA'!$AM$191</c15:f>
                      <c15:dlblFieldTableCache>
                        <c:ptCount val="1"/>
                        <c:pt idx="0">
                          <c:v>16B &amp; Consumption =0</c:v>
                        </c:pt>
                      </c15:dlblFieldTableCache>
                    </c15:dlblFTEntry>
                  </c15:dlblFieldTable>
                  <c15:showDataLabelsRange val="0"/>
                </c:ext>
              </c:extLst>
            </c:dLbl>
            <c:dLbl>
              <c:idx val="10"/>
              <c:tx>
                <c:strRef>
                  <c:f>'Calculs dispo Données FA'!$AM$192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{9BAD7A3F-36A6-4AB5-B0A1-34350D7FF510}</c15:txfldGUID>
                      <c15:f>'Calculs dispo Données FA'!$AM$192</c15:f>
                      <c15:dlblFieldTableCache>
                        <c:ptCount val="1"/>
                      </c15:dlblFieldTableCache>
                    </c15:dlblFTEntry>
                  </c15:dlblFieldTable>
                  <c15:showDataLabelsRange val="0"/>
                </c:ext>
              </c:extLst>
            </c:dLbl>
            <c:dLbl>
              <c:idx val="11"/>
              <c:tx>
                <c:strRef>
                  <c:f>'Calculs dispo Données FA'!$AM$193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{4869C6B8-57C3-46C2-8130-62A71F3CE939}</c15:txfldGUID>
                      <c15:f>'Calculs dispo Données FA'!$AM$193</c15:f>
                      <c15:dlblFieldTableCache>
                        <c:ptCount val="1"/>
                      </c15:dlblFieldTableCache>
                    </c15:dlblFTEntry>
                  </c15:dlblFieldTable>
                  <c15:showDataLabelsRange val="0"/>
                </c:ext>
              </c:extLst>
            </c:dLbl>
            <c:dLbl>
              <c:idx val="12"/>
              <c:tx>
                <c:strRef>
                  <c:f>'Calculs dispo Données FA'!$AM$194</c:f>
                  <c:strCache>
                    <c:ptCount val="1"/>
                    <c:pt idx="0">
                      <c:v>38746B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{EF0F54B7-3BFA-4A45-A077-EA935308DBFB}</c15:txfldGUID>
                      <c15:f>'Calculs dispo Données FA'!$AM$194</c15:f>
                      <c15:dlblFieldTableCache>
                        <c:ptCount val="1"/>
                        <c:pt idx="0">
                          <c:v>38746B &amp; Consumption =0</c:v>
                        </c:pt>
                      </c15:dlblFieldTableCache>
                    </c15:dlblFTEntry>
                  </c15:dlblFieldTable>
                  <c15:showDataLabelsRange val="0"/>
                </c:ext>
              </c:extLst>
            </c:dLbl>
            <c:dLbl>
              <c:idx val="13"/>
              <c:tx>
                <c:strRef>
                  <c:f>'Calculs dispo Données FA'!$AM$195</c:f>
                  <c:strCache>
                    <c:ptCount val="1"/>
                    <c:pt idx="0">
                      <c:v>505B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{2FA7D7C4-1868-4796-A4D3-C39B236518BF}</c15:txfldGUID>
                      <c15:f>'Calculs dispo Données FA'!$AM$195</c15:f>
                      <c15:dlblFieldTableCache>
                        <c:ptCount val="1"/>
                        <c:pt idx="0">
                          <c:v>505B &amp; Consumption =0</c:v>
                        </c:pt>
                      </c15:dlblFieldTableCache>
                    </c15:dlblFTEntry>
                  </c15:dlblFieldTable>
                  <c15:showDataLabelsRange val="0"/>
                </c:ext>
              </c:extLst>
            </c:dLbl>
            <c:dLbl>
              <c:idx val="14"/>
              <c:tx>
                <c:strRef>
                  <c:f>'Calculs dispo Données FA'!$AM$196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{0C244F42-BA4A-4950-8188-33D3F93A86CD}</c15:txfldGUID>
                      <c15:f>'Calculs dispo Données FA'!$AM$196</c15:f>
                      <c15:dlblFieldTableCache>
                        <c:ptCount val="1"/>
                      </c15:dlblFieldTableCache>
                    </c15:dlblFTEntry>
                  </c15:dlblFieldTable>
                  <c15:showDataLabelsRange val="0"/>
                </c:ext>
              </c:extLst>
            </c:dLbl>
            <c:dLbl>
              <c:idx val="15"/>
              <c:tx>
                <c:strRef>
                  <c:f>'Calculs dispo Données FA'!$AM$199</c:f>
                  <c:strCache>
                    <c:ptCount val="1"/>
                    <c:pt idx="0">
                      <c:v>11566B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{715B04F9-3A41-440D-8B0F-3012D9B6B69C}</c15:txfldGUID>
                      <c15:f>'Calculs dispo Données FA'!$AM$199</c15:f>
                      <c15:dlblFieldTableCache>
                        <c:ptCount val="1"/>
                        <c:pt idx="0">
                          <c:v>11566B &amp; Consumption =0</c:v>
                        </c:pt>
                      </c15:dlblFieldTableCache>
                    </c15:dlblFTEntry>
                  </c15:dlblFieldTable>
                  <c15:showDataLabelsRange val="0"/>
                </c:ext>
              </c:extLst>
            </c:dLbl>
            <c:dLbl>
              <c:idx val="16"/>
              <c:tx>
                <c:strRef>
                  <c:f>'Calculs dispo Données FA'!$AM$201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{C1FB5B0F-4864-4376-B77B-798214BD991C}</c15:txfldGUID>
                      <c15:f>'Calculs dispo Données FA'!$AM$201</c15:f>
                      <c15:dlblFieldTableCache>
                        <c:ptCount val="1"/>
                      </c15:dlblFieldTableCache>
                    </c15:dlblFTEntry>
                  </c15:dlblFieldTable>
                  <c15:showDataLabelsRange val="0"/>
                </c:ext>
              </c:extLst>
            </c:dLbl>
            <c:dLbl>
              <c:idx val="17"/>
              <c:tx>
                <c:strRef>
                  <c:f>'Calculs dispo Données FA'!$AM$203</c:f>
                  <c:strCache>
                    <c:ptCount val="1"/>
                    <c:pt idx="0">
                      <c:v>1093B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{FC8B7C8B-E3B2-45ED-8009-779724735DA0}</c15:txfldGUID>
                      <c15:f>'Calculs dispo Données FA'!$AM$203</c15:f>
                      <c15:dlblFieldTableCache>
                        <c:ptCount val="1"/>
                        <c:pt idx="0">
                          <c:v>1093B &amp; Consumption =0</c:v>
                        </c:pt>
                      </c15:dlblFieldTableCache>
                    </c15:dlblFTEntry>
                  </c15:dlblFieldTable>
                  <c15:showDataLabelsRange val="0"/>
                </c:ext>
              </c:extLst>
            </c:dLbl>
            <c:dLbl>
              <c:idx val="18"/>
              <c:tx>
                <c:strRef>
                  <c:f>'Calculs dispo Données FA'!$AM$205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{5E428708-FE23-4FAC-B6AA-8500BEB1D8C7}</c15:txfldGUID>
                      <c15:f>'Calculs dispo Données FA'!$AM$205</c15:f>
                      <c15:dlblFieldTableCache>
                        <c:ptCount val="1"/>
                      </c15:dlblFieldTableCache>
                    </c15:dlblFTEntry>
                  </c15:dlblFieldTable>
                  <c15:showDataLabelsRange val="0"/>
                </c:ext>
              </c:extLst>
            </c:dLbl>
            <c:dLbl>
              <c:idx val="19"/>
              <c:tx>
                <c:strRef>
                  <c:f>'Calculs dispo Données FA'!$AM$206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{2B4B963B-7933-4D89-BC66-BCA8CC487BBC}</c15:txfldGUID>
                      <c15:f>'Calculs dispo Données FA'!$AM$206</c15:f>
                      <c15:dlblFieldTableCache>
                        <c:ptCount val="1"/>
                      </c15:dlblFieldTableCache>
                    </c15:dlblFTEntry>
                  </c15:dlblFieldTable>
                  <c15:showDataLabelsRange val="0"/>
                </c:ext>
              </c:extLst>
            </c:dLbl>
            <c:dLbl>
              <c:idx val="20"/>
              <c:tx>
                <c:strRef>
                  <c:f>'Calculs dispo Données FA'!$AM$208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{3C554556-DD1E-4C5A-ADA4-3D27F1620882}</c15:txfldGUID>
                      <c15:f>'Calculs dispo Données FA'!$AM$208</c15:f>
                      <c15:dlblFieldTableCache>
                        <c:ptCount val="1"/>
                      </c15:dlblFieldTableCache>
                    </c15:dlblFTEntry>
                  </c15:dlblFieldTable>
                  <c15:showDataLabelsRange val="0"/>
                </c:ext>
              </c:extLst>
            </c:dLbl>
            <c:dLbl>
              <c:idx val="21"/>
              <c:tx>
                <c:strRef>
                  <c:f>'Calculs dispo Données FA'!$AM$209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{CC47263E-902F-4B92-A579-010E0D4DAAA9}</c15:txfldGUID>
                      <c15:f>'Calculs dispo Données FA'!$AM$209</c15:f>
                      <c15:dlblFieldTableCache>
                        <c:ptCount val="1"/>
                      </c15:dlblFieldTableCache>
                    </c15:dlblFTEntry>
                  </c15:dlblFieldTable>
                  <c15:showDataLabelsRange val="0"/>
                </c:ext>
              </c:extLst>
            </c:dLbl>
            <c:dLbl>
              <c:idx val="22"/>
              <c:tx>
                <c:strRef>
                  <c:f>'Calculs dispo Données FA'!$AM$211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{EC5C90EF-AC3F-4C71-B353-D9384E086CF9}</c15:txfldGUID>
                      <c15:f>'Calculs dispo Données FA'!$AM$211</c15:f>
                      <c15:dlblFieldTableCache>
                        <c:ptCount val="1"/>
                      </c15:dlblFieldTableCache>
                    </c15:dlblFTEntry>
                  </c15:dlblFieldTable>
                  <c15:showDataLabelsRange val="0"/>
                </c:ext>
              </c:extLst>
            </c:dLbl>
            <c:dLbl>
              <c:idx val="23"/>
              <c:tx>
                <c:strRef>
                  <c:f>'Calculs dispo Données FA'!$AM$212</c:f>
                  <c:strCache>
                    <c:ptCount val="1"/>
                    <c:pt idx="0">
                      <c:v>956B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{F306F868-5445-4994-9213-4C83FA4D372B}</c15:txfldGUID>
                      <c15:f>'Calculs dispo Données FA'!$AM$212</c15:f>
                      <c15:dlblFieldTableCache>
                        <c:ptCount val="1"/>
                        <c:pt idx="0">
                          <c:v>956B &amp; Consumption =0</c:v>
                        </c:pt>
                      </c15:dlblFieldTableCache>
                    </c15:dlblFTEntry>
                  </c15:dlblFieldTable>
                  <c15:showDataLabelsRange val="0"/>
                </c:ext>
              </c:extLst>
            </c:dLbl>
            <c:dLbl>
              <c:idx val="24"/>
              <c:tx>
                <c:strRef>
                  <c:f>'Calculs dispo Données FA'!$AM$213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{587D8047-2707-4C36-81E4-54BE3A6B79C4}</c15:txfldGUID>
                      <c15:f>'Calculs dispo Données FA'!$AM$213</c15:f>
                      <c15:dlblFieldTableCache>
                        <c:ptCount val="1"/>
                      </c15:dlblFieldTableCache>
                    </c15:dlblFTEntry>
                  </c15:dlblFieldTable>
                  <c15:showDataLabelsRange val="0"/>
                </c:ext>
              </c:extLst>
            </c:dLbl>
            <c:dLbl>
              <c:idx val="25"/>
              <c:tx>
                <c:strRef>
                  <c:f>'Calculs dispo Données FA'!$AM$214</c:f>
                  <c:strCache>
                    <c:ptCount val="1"/>
                    <c:pt idx="0">
                      <c:v>750B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{2A27B41E-F613-46B9-8BBC-366DC91F7188}</c15:txfldGUID>
                      <c15:f>'Calculs dispo Données FA'!$AM$214</c15:f>
                      <c15:dlblFieldTableCache>
                        <c:ptCount val="1"/>
                        <c:pt idx="0">
                          <c:v>750B &amp; Consumption =0</c:v>
                        </c:pt>
                      </c15:dlblFieldTableCache>
                    </c15:dlblFTEntry>
                  </c15:dlblFieldTable>
                  <c15:showDataLabelsRange val="0"/>
                </c:ext>
              </c:extLst>
            </c:dLbl>
            <c:dLbl>
              <c:idx val="26"/>
              <c:tx>
                <c:strRef>
                  <c:f>'Calculs dispo Données FA'!$AM$215</c:f>
                  <c:strCache>
                    <c:ptCount val="1"/>
                    <c:pt idx="0">
                      <c:v>770B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{632B6F63-01BD-4EAA-9C9B-B9E43FF0BA90}</c15:txfldGUID>
                      <c15:f>'Calculs dispo Données FA'!$AM$215</c15:f>
                      <c15:dlblFieldTableCache>
                        <c:ptCount val="1"/>
                        <c:pt idx="0">
                          <c:v>770B &amp; Consumption =0</c:v>
                        </c:pt>
                      </c15:dlblFieldTableCache>
                    </c15:dlblFTEntry>
                  </c15:dlblFieldTable>
                  <c15:showDataLabelsRange val="0"/>
                </c:ext>
              </c:extLst>
            </c:dLbl>
            <c:dLbl>
              <c:idx val="27"/>
              <c:tx>
                <c:strRef>
                  <c:f>'Calculs dispo Données FA'!$AM$218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{B8DA777B-DF6C-4502-B0B7-501B4AC08A99}</c15:txfldGUID>
                      <c15:f>'Calculs dispo Données FA'!$AM$218</c15:f>
                      <c15:dlblFieldTableCache>
                        <c:ptCount val="1"/>
                      </c15:dlblFieldTableCache>
                    </c15:dlblFTEntry>
                  </c15:dlblFieldTable>
                  <c15:showDataLabelsRange val="0"/>
                </c:ext>
              </c:extLst>
            </c:dLbl>
            <c:dLbl>
              <c:idx val="28"/>
              <c:tx>
                <c:strRef>
                  <c:f>'Calculs dispo Données FA'!$AM$220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{A42E0064-F88B-45EC-8A97-917E1550AD0C}</c15:txfldGUID>
                      <c15:f>'Calculs dispo Données FA'!$AM$220</c15:f>
                      <c15:dlblFieldTableCache>
                        <c:ptCount val="1"/>
                      </c15:dlblFieldTableCache>
                    </c15:dlblFTEntry>
                  </c15:dlblFieldTable>
                  <c15:showDataLabelsRange val="0"/>
                </c:ext>
              </c:extLst>
            </c:dLbl>
            <c:dLbl>
              <c:idx val="29"/>
              <c:tx>
                <c:strRef>
                  <c:f>'Calculs dispo Données FA'!$AM$216</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{08ED1C0D-EB1E-4E4E-A597-462D9969582D}</c15:txfldGUID>
                      <c15:f>'Calculs dispo Données FA'!$AM$216</c15:f>
                      <c15:dlblFieldTableCache>
                        <c:ptCount val="1"/>
                        <c:pt idx="0">
                          <c:v>1705B &amp; Consumption =0</c:v>
                        </c:pt>
                      </c15:dlblFieldTableCache>
                    </c15:dlblFTEntry>
                  </c15:dlblFieldTable>
                  <c15:showDataLabelsRange val="0"/>
                </c:ext>
              </c:extLst>
            </c:dLbl>
            <c:dLbl>
              <c:idx val="30"/>
              <c:tx>
                <c:strRef>
                  <c:f>'Calculs dispo Données FA'!$AM$219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{9ABAAC6C-03A0-4535-863D-20BB2CC0B7FE}</c15:txfldGUID>
                      <c15:f>'Calculs dispo Données FA'!$AM$219</c15:f>
                      <c15:dlblFieldTableCache>
                        <c:ptCount val="1"/>
                      </c15:dlblFieldTableCache>
                    </c15:dlblFTEntry>
                  </c15:dlblFieldTable>
                  <c15:showDataLabelsRange val="0"/>
                </c:ext>
              </c:extLst>
            </c:dLbl>
            <c:dLbl>
              <c:idx val="31"/>
              <c:tx>
                <c:strRef>
                  <c:f>'Calculs dispo Données FA'!$AM$221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{E54D7377-E8B0-4A0F-BE12-EE9E9617B48E}</c15:txfldGUID>
                      <c15:f>'Calculs dispo Données FA'!$AM$221</c15:f>
                      <c15:dlblFieldTableCache>
                        <c:ptCount val="1"/>
                      </c15:dlblFieldTableCache>
                    </c15:dlblFTEntry>
                  </c15:dlblFieldTable>
                  <c15:showDataLabelsRange val="0"/>
                </c:ext>
              </c:extLst>
            </c:dLbl>
            <c:dLbl>
              <c:idx val="32"/>
              <c:tx>
                <c:strRef>
                  <c:f>'Calculs dispo Données FA'!$AM$222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{8C374B41-86FF-41B9-8E13-905341D2A40E}</c15:txfldGUID>
                      <c15:f>'Calculs dispo Données FA'!$AM$222</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FA'!$H$11:$H$25</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FA'!$AO$182:$AO$196</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dLbls>
          <c:showLegendKey val="0"/>
          <c:showVal val="0"/>
          <c:showCatName val="0"/>
          <c:showSerName val="0"/>
          <c:showPercent val="0"/>
          <c:showBubbleSize val="0"/>
        </c:dLbls>
        <c:gapWidth val="150"/>
        <c:overlap val="100"/>
        <c:axId val="158732288"/>
        <c:axId val="158733824"/>
      </c:barChart>
      <c:catAx>
        <c:axId val="158732288"/>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58733824"/>
        <c:crosses val="autoZero"/>
        <c:auto val="1"/>
        <c:lblAlgn val="ctr"/>
        <c:lblOffset val="100"/>
        <c:tickMarkSkip val="2"/>
        <c:noMultiLvlLbl val="0"/>
      </c:catAx>
      <c:valAx>
        <c:axId val="158733824"/>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4.1281314859205324E-2"/>
              <c:y val="0.14566695829687953"/>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low"/>
        <c:txPr>
          <a:bodyPr/>
          <a:lstStyle/>
          <a:p>
            <a:pPr>
              <a:defRPr lang="fr-FR" b="1"/>
            </a:pPr>
            <a:endParaRPr lang="en-US"/>
          </a:p>
        </c:txPr>
        <c:crossAx val="158732288"/>
        <c:crosses val="autoZero"/>
        <c:crossBetween val="between"/>
        <c:majorUnit val="3"/>
      </c:valAx>
      <c:spPr>
        <a:ln>
          <a:solidFill>
            <a:schemeClr val="bg1">
              <a:lumMod val="50000"/>
            </a:schemeClr>
          </a:solidFill>
        </a:ln>
      </c:spPr>
    </c:plotArea>
    <c:legend>
      <c:legendPos val="b"/>
      <c:layout>
        <c:manualLayout>
          <c:xMode val="edge"/>
          <c:yMode val="edge"/>
          <c:x val="6.8434621921084168E-2"/>
          <c:y val="0.95540201224848587"/>
          <c:w val="0.91576381416036479"/>
          <c:h val="4.4597987751532966E-2"/>
        </c:manualLayout>
      </c:layout>
      <c:overlay val="0"/>
      <c:txPr>
        <a:bodyPr/>
        <a:lstStyle/>
        <a:p>
          <a:pPr>
            <a:defRPr lang="fr-FR"/>
          </a:pPr>
          <a:endParaRPr lang="en-US"/>
        </a:p>
      </c:txPr>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pPr>
          <a:endParaRPr lang="en-US"/>
        </a:p>
      </c:txPr>
    </c:title>
    <c:autoTitleDeleted val="0"/>
    <c:plotArea>
      <c:layout>
        <c:manualLayout>
          <c:layoutTarget val="inner"/>
          <c:xMode val="edge"/>
          <c:yMode val="edge"/>
          <c:x val="0.20683442818235853"/>
          <c:y val="0.18332195975503071"/>
          <c:w val="0.60614672930256952"/>
          <c:h val="0.7600952172645512"/>
        </c:manualLayout>
      </c:layout>
      <c:barChart>
        <c:barDir val="bar"/>
        <c:grouping val="stacked"/>
        <c:varyColors val="0"/>
        <c:ser>
          <c:idx val="0"/>
          <c:order val="0"/>
          <c:tx>
            <c:strRef>
              <c:f>'Calculs dispo Données conso'!$X$126</c:f>
              <c:strCache>
                <c:ptCount val="1"/>
                <c:pt idx="0">
                  <c:v>Nombre de mois de disponibilité de produits hors ST</c:v>
                </c:pt>
              </c:strCache>
            </c:strRef>
          </c:tx>
          <c:spPr>
            <a:solidFill>
              <a:srgbClr val="4F81BD"/>
            </a:solidFill>
          </c:spPr>
          <c:invertIfNegative val="1"/>
          <c:cat>
            <c:strRef>
              <c:f>'Calculs dispo Données conso'!$H$127:$H$141</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conso'!$X$127:$X$141</c:f>
              <c:numCache>
                <c:formatCode>0.0</c:formatCode>
                <c:ptCount val="15"/>
                <c:pt idx="0">
                  <c:v>8.3430104133796146</c:v>
                </c:pt>
                <c:pt idx="1">
                  <c:v>-0.21245421245421259</c:v>
                </c:pt>
                <c:pt idx="2">
                  <c:v>5.7780821917808218</c:v>
                </c:pt>
                <c:pt idx="3">
                  <c:v>6.7474348855564319</c:v>
                </c:pt>
                <c:pt idx="4">
                  <c:v>3.1849315068493151</c:v>
                </c:pt>
                <c:pt idx="5">
                  <c:v>0.33928571428571441</c:v>
                </c:pt>
                <c:pt idx="6">
                  <c:v>0.84657534246575361</c:v>
                </c:pt>
                <c:pt idx="7">
                  <c:v>0</c:v>
                </c:pt>
                <c:pt idx="8">
                  <c:v>-2.1780821917808222</c:v>
                </c:pt>
                <c:pt idx="9">
                  <c:v>-2.6444444444444444</c:v>
                </c:pt>
                <c:pt idx="10">
                  <c:v>0</c:v>
                </c:pt>
                <c:pt idx="11">
                  <c:v>0</c:v>
                </c:pt>
                <c:pt idx="12">
                  <c:v>10.808219178082192</c:v>
                </c:pt>
                <c:pt idx="13">
                  <c:v>1.7671232876712324</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conso'!$Y$126</c:f>
              <c:strCache>
                <c:ptCount val="1"/>
                <c:pt idx="0">
                  <c:v>Nombre de mois de stock tampon (ST - max 3 mois)</c:v>
                </c:pt>
              </c:strCache>
            </c:strRef>
          </c:tx>
          <c:invertIfNegative val="1"/>
          <c:dLbls>
            <c:dLbl>
              <c:idx val="0"/>
              <c:tx>
                <c:strRef>
                  <c:f>'Calculs dispo Données conso'!$AA$127</c:f>
                  <c:strCache>
                    <c:ptCount val="1"/>
                    <c:pt idx="0">
                      <c:v>17/09/2015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{C5DFD562-4CF4-4770-BD5A-68C9BCA6EF18}</c15:txfldGUID>
                      <c15:f>'Calculs dispo Données conso'!$AA$127</c15:f>
                      <c15:dlblFieldTableCache>
                        <c:ptCount val="1"/>
                        <c:pt idx="0">
                          <c:v>17/09/2015</c:v>
                        </c:pt>
                      </c15:dlblFieldTableCache>
                    </c15:dlblFTEntry>
                  </c15:dlblFieldTable>
                  <c15:showDataLabelsRange val="0"/>
                </c:ext>
              </c:extLst>
            </c:dLbl>
            <c:dLbl>
              <c:idx val="1"/>
              <c:tx>
                <c:strRef>
                  <c:f>'Calculs dispo Données conso'!$AA$128</c:f>
                  <c:strCache>
                    <c:ptCount val="1"/>
                    <c:pt idx="0">
                      <c:v>30/12/2014</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{32841C6C-B67F-494E-AD75-AC7F1E75B67B}</c15:txfldGUID>
                      <c15:f>'Calculs dispo Données conso'!$AA$128</c15:f>
                      <c15:dlblFieldTableCache>
                        <c:ptCount val="1"/>
                        <c:pt idx="0">
                          <c:v>30/12/2014</c:v>
                        </c:pt>
                      </c15:dlblFieldTableCache>
                    </c15:dlblFTEntry>
                  </c15:dlblFieldTable>
                  <c15:showDataLabelsRange val="0"/>
                </c:ext>
              </c:extLst>
            </c:dLbl>
            <c:dLbl>
              <c:idx val="2"/>
              <c:tx>
                <c:strRef>
                  <c:f>'Calculs dispo Données conso'!$AA$129</c:f>
                  <c:strCache>
                    <c:ptCount val="1"/>
                    <c:pt idx="0">
                      <c:v>DLU - 1/7/2015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{C670A343-3B3B-4DA8-B395-D83A680811C7}</c15:txfldGUID>
                      <c15:f>'Calculs dispo Données conso'!$AA$129</c15:f>
                      <c15:dlblFieldTableCache>
                        <c:ptCount val="1"/>
                        <c:pt idx="0">
                          <c:v>ED - 1/7/2015</c:v>
                        </c:pt>
                      </c15:dlblFieldTableCache>
                    </c15:dlblFTEntry>
                  </c15:dlblFieldTable>
                  <c15:showDataLabelsRange val="0"/>
                </c:ext>
              </c:extLst>
            </c:dLbl>
            <c:dLbl>
              <c:idx val="3"/>
              <c:tx>
                <c:strRef>
                  <c:f>'Calculs dispo Données conso'!$AA$130</c:f>
                  <c:strCache>
                    <c:ptCount val="1"/>
                    <c:pt idx="0">
                      <c:v>30/07/2015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{DA3D331F-7B8A-4B9B-A09F-DFCB00128C62}</c15:txfldGUID>
                      <c15:f>'Calculs dispo Données conso'!$AA$130</c15:f>
                      <c15:dlblFieldTableCache>
                        <c:ptCount val="1"/>
                        <c:pt idx="0">
                          <c:v>30/07/2015</c:v>
                        </c:pt>
                      </c15:dlblFieldTableCache>
                    </c15:dlblFTEntry>
                  </c15:dlblFieldTable>
                  <c15:showDataLabelsRange val="0"/>
                </c:ext>
              </c:extLst>
            </c:dLbl>
            <c:dLbl>
              <c:idx val="4"/>
              <c:tx>
                <c:strRef>
                  <c:f>'Calculs dispo Données conso'!$AA$131</c:f>
                  <c:strCache>
                    <c:ptCount val="1"/>
                    <c:pt idx="0">
                      <c:v>13/04/2015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{EB7E4493-432A-4967-AB02-FA605C26A0DF}</c15:txfldGUID>
                      <c15:f>'Calculs dispo Données conso'!$AA$131</c15:f>
                      <c15:dlblFieldTableCache>
                        <c:ptCount val="1"/>
                        <c:pt idx="0">
                          <c:v>13/04/2015</c:v>
                        </c:pt>
                      </c15:dlblFieldTableCache>
                    </c15:dlblFTEntry>
                  </c15:dlblFieldTable>
                  <c15:showDataLabelsRange val="0"/>
                </c:ext>
              </c:extLst>
            </c:dLbl>
            <c:dLbl>
              <c:idx val="5"/>
              <c:tx>
                <c:strRef>
                  <c:f>'Calculs dispo Données conso'!$AA$132</c:f>
                  <c:strCache>
                    <c:ptCount val="1"/>
                    <c:pt idx="0">
                      <c:v>16/01/2015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{9D76A61C-F630-411D-8DA9-87887DB687B5}</c15:txfldGUID>
                      <c15:f>'Calculs dispo Données conso'!$AA$132</c15:f>
                      <c15:dlblFieldTableCache>
                        <c:ptCount val="1"/>
                        <c:pt idx="0">
                          <c:v>16/01/2015</c:v>
                        </c:pt>
                      </c15:dlblFieldTableCache>
                    </c15:dlblFTEntry>
                  </c15:dlblFieldTable>
                  <c15:showDataLabelsRange val="0"/>
                </c:ext>
              </c:extLst>
            </c:dLbl>
            <c:dLbl>
              <c:idx val="6"/>
              <c:tx>
                <c:strRef>
                  <c:f>'Calculs dispo Données conso'!$AA$133</c:f>
                  <c:strCache>
                    <c:ptCount val="1"/>
                    <c:pt idx="0">
                      <c:v>DLU - 1/2/2015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{4D9815EA-554C-49C7-B058-C5907563772D}</c15:txfldGUID>
                      <c15:f>'Calculs dispo Données conso'!$AA$133</c15:f>
                      <c15:dlblFieldTableCache>
                        <c:ptCount val="1"/>
                        <c:pt idx="0">
                          <c:v>ED - 1/2/2015</c:v>
                        </c:pt>
                      </c15:dlblFieldTableCache>
                    </c15:dlblFTEntry>
                  </c15:dlblFieldTable>
                  <c15:showDataLabelsRange val="0"/>
                </c:ext>
              </c:extLst>
            </c:dLbl>
            <c:dLbl>
              <c:idx val="7"/>
              <c:tx>
                <c:strRef>
                  <c:f>'Calculs dispo Données conso'!$AA$134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{328D2021-563B-45C5-B9A0-D8358A2B9071}</c15:txfldGUID>
                      <c15:f>'Calculs dispo Données conso'!$AA$134</c15:f>
                      <c15:dlblFieldTableCache>
                        <c:ptCount val="1"/>
                      </c15:dlblFieldTableCache>
                    </c15:dlblFTEntry>
                  </c15:dlblFieldTable>
                  <c15:showDataLabelsRange val="0"/>
                </c:ext>
              </c:extLst>
            </c:dLbl>
            <c:dLbl>
              <c:idx val="8"/>
              <c:tx>
                <c:strRef>
                  <c:f>'Calculs dispo Données conso'!$AA$135</c:f>
                  <c:strCache>
                    <c:ptCount val="1"/>
                    <c:pt idx="0">
                      <c:v>DLU - 1/11/2014</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{8A2B5725-A854-447E-8E12-BD5B4A4BAE8A}</c15:txfldGUID>
                      <c15:f>'Calculs dispo Données conso'!$AA$135</c15:f>
                      <c15:dlblFieldTableCache>
                        <c:ptCount val="1"/>
                        <c:pt idx="0">
                          <c:v>ED - 1/11/2014</c:v>
                        </c:pt>
                      </c15:dlblFieldTableCache>
                    </c15:dlblFTEntry>
                  </c15:dlblFieldTable>
                  <c15:showDataLabelsRange val="0"/>
                </c:ext>
              </c:extLst>
            </c:dLbl>
            <c:dLbl>
              <c:idx val="9"/>
              <c:tx>
                <c:strRef>
                  <c:f>'Calculs dispo Données conso'!$AA$136</c:f>
                  <c:strCache>
                    <c:ptCount val="1"/>
                    <c:pt idx="0">
                      <c:v>17/10/2014</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{C053AE6E-34B8-4BCE-BDC6-14BA6A403983}</c15:txfldGUID>
                      <c15:f>'Calculs dispo Données conso'!$AA$136</c15:f>
                      <c15:dlblFieldTableCache>
                        <c:ptCount val="1"/>
                        <c:pt idx="0">
                          <c:v>17/10/2014</c:v>
                        </c:pt>
                      </c15:dlblFieldTableCache>
                    </c15:dlblFTEntry>
                  </c15:dlblFieldTable>
                  <c15:showDataLabelsRange val="0"/>
                </c:ext>
              </c:extLst>
            </c:dLbl>
            <c:dLbl>
              <c:idx val="10"/>
              <c:tx>
                <c:strRef>
                  <c:f>'Calculs dispo Données conso'!$AA$137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{68EE0C4C-CEFF-4D37-897D-E4AFB8BE5D14}</c15:txfldGUID>
                      <c15:f>'Calculs dispo Données conso'!$AA$137</c15:f>
                      <c15:dlblFieldTableCache>
                        <c:ptCount val="1"/>
                      </c15:dlblFieldTableCache>
                    </c15:dlblFTEntry>
                  </c15:dlblFieldTable>
                  <c15:showDataLabelsRange val="0"/>
                </c:ext>
              </c:extLst>
            </c:dLbl>
            <c:dLbl>
              <c:idx val="11"/>
              <c:tx>
                <c:strRef>
                  <c:f>'Calculs dispo Données conso'!$AA$138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{AC1C5CE2-012A-4A8C-9C0C-CF973F2E59D2}</c15:txfldGUID>
                      <c15:f>'Calculs dispo Données conso'!$AA$138</c15:f>
                      <c15:dlblFieldTableCache>
                        <c:ptCount val="1"/>
                      </c15:dlblFieldTableCache>
                    </c15:dlblFTEntry>
                  </c15:dlblFieldTable>
                  <c15:showDataLabelsRange val="0"/>
                </c:ext>
              </c:extLst>
            </c:dLbl>
            <c:dLbl>
              <c:idx val="12"/>
              <c:tx>
                <c:strRef>
                  <c:f>'Calculs dispo Données conso'!$AA$139</c:f>
                  <c:strCache>
                    <c:ptCount val="1"/>
                    <c:pt idx="0">
                      <c:v>DLU - 1/12/2015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{EEA572DB-12A4-4273-9537-2E635FF0DE05}</c15:txfldGUID>
                      <c15:f>'Calculs dispo Données conso'!$AA$139</c15:f>
                      <c15:dlblFieldTableCache>
                        <c:ptCount val="1"/>
                        <c:pt idx="0">
                          <c:v>ED - 1/12/2015</c:v>
                        </c:pt>
                      </c15:dlblFieldTableCache>
                    </c15:dlblFTEntry>
                  </c15:dlblFieldTable>
                  <c15:showDataLabelsRange val="0"/>
                </c:ext>
              </c:extLst>
            </c:dLbl>
            <c:dLbl>
              <c:idx val="13"/>
              <c:tx>
                <c:strRef>
                  <c:f>'Calculs dispo Données conso'!$AA$140</c:f>
                  <c:strCache>
                    <c:ptCount val="1"/>
                    <c:pt idx="0">
                      <c:v>DLU - 1/3/2015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{D325C8E4-7DFA-4BAB-81B6-133DB29EE374}</c15:txfldGUID>
                      <c15:f>'Calculs dispo Données conso'!$AA$140</c15:f>
                      <c15:dlblFieldTableCache>
                        <c:ptCount val="1"/>
                        <c:pt idx="0">
                          <c:v>ED - 1/3/2015</c:v>
                        </c:pt>
                      </c15:dlblFieldTableCache>
                    </c15:dlblFTEntry>
                  </c15:dlblFieldTable>
                  <c15:showDataLabelsRange val="0"/>
                </c:ext>
              </c:extLst>
            </c:dLbl>
            <c:dLbl>
              <c:idx val="14"/>
              <c:tx>
                <c:strRef>
                  <c:f>'Calculs dispo Données conso'!$AA$141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{C144EE1A-5E2C-4E3D-9F43-EDB5A7E88ACC}</c15:txfldGUID>
                      <c15:f>'Calculs dispo Données conso'!$AA$141</c15:f>
                      <c15:dlblFieldTableCache>
                        <c:ptCount val="1"/>
                      </c15:dlblFieldTableCache>
                    </c15:dlblFTEntry>
                  </c15:dlblFieldTable>
                  <c15:showDataLabelsRange val="0"/>
                </c:ext>
              </c:extLst>
            </c:dLbl>
            <c:dLbl>
              <c:idx val="15"/>
              <c:tx>
                <c:strRef>
                  <c:f>'Calculs dispo Données conso'!$AA$144</c:f>
                  <c:strCache>
                    <c:ptCount val="1"/>
                    <c:pt idx="0">
                      <c:v>31/05/2015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{4DE6FA3E-72A4-4FFA-819A-B078D07C068F}</c15:txfldGUID>
                      <c15:f>'Calculs dispo Données conso'!$AA$144</c15:f>
                      <c15:dlblFieldTableCache>
                        <c:ptCount val="1"/>
                        <c:pt idx="0">
                          <c:v>31/05/2015</c:v>
                        </c:pt>
                      </c15:dlblFieldTableCache>
                    </c15:dlblFTEntry>
                  </c15:dlblFieldTable>
                  <c15:showDataLabelsRange val="0"/>
                </c:ext>
              </c:extLst>
            </c:dLbl>
            <c:dLbl>
              <c:idx val="16"/>
              <c:tx>
                <c:strRef>
                  <c:f>'Calculs dispo Données conso'!$AA$146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{1289CEE3-3706-4D3B-B4DD-2EC109CED71B}</c15:txfldGUID>
                      <c15:f>'Calculs dispo Données conso'!$AA$146</c15:f>
                      <c15:dlblFieldTableCache>
                        <c:ptCount val="1"/>
                      </c15:dlblFieldTableCache>
                    </c15:dlblFTEntry>
                  </c15:dlblFieldTable>
                  <c15:showDataLabelsRange val="0"/>
                </c:ext>
              </c:extLst>
            </c:dLbl>
            <c:dLbl>
              <c:idx val="17"/>
              <c:tx>
                <c:strRef>
                  <c:f>'Calculs dispo Données conso'!$AA$148</c:f>
                  <c:strCache>
                    <c:ptCount val="1"/>
                    <c:pt idx="0">
                      <c:v>DLU - 1/2/2015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{B3293B0B-8C0B-45E1-BB1D-A2F558CF2DCC}</c15:txfldGUID>
                      <c15:f>'Calculs dispo Données conso'!$AA$148</c15:f>
                      <c15:dlblFieldTableCache>
                        <c:ptCount val="1"/>
                        <c:pt idx="0">
                          <c:v>ED - 1/2/2015</c:v>
                        </c:pt>
                      </c15:dlblFieldTableCache>
                    </c15:dlblFTEntry>
                  </c15:dlblFieldTable>
                  <c15:showDataLabelsRange val="0"/>
                </c:ext>
              </c:extLst>
            </c:dLbl>
            <c:dLbl>
              <c:idx val="18"/>
              <c:tx>
                <c:strRef>
                  <c:f>'Calculs dispo Données conso'!$AA$150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{3CDA51C8-0652-4AE4-A142-E09833BCCC20}</c15:txfldGUID>
                      <c15:f>'Calculs dispo Données conso'!$AA$150</c15:f>
                      <c15:dlblFieldTableCache>
                        <c:ptCount val="1"/>
                      </c15:dlblFieldTableCache>
                    </c15:dlblFTEntry>
                  </c15:dlblFieldTable>
                  <c15:showDataLabelsRange val="0"/>
                </c:ext>
              </c:extLst>
            </c:dLbl>
            <c:dLbl>
              <c:idx val="19"/>
              <c:tx>
                <c:strRef>
                  <c:f>'Calculs dispo Données conso'!$AA$151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{0B7E5432-E9FD-4B48-A453-D8BDDE265B4C}</c15:txfldGUID>
                      <c15:f>'Calculs dispo Données conso'!$AA$151</c15:f>
                      <c15:dlblFieldTableCache>
                        <c:ptCount val="1"/>
                      </c15:dlblFieldTableCache>
                    </c15:dlblFTEntry>
                  </c15:dlblFieldTable>
                  <c15:showDataLabelsRange val="0"/>
                </c:ext>
              </c:extLst>
            </c:dLbl>
            <c:dLbl>
              <c:idx val="20"/>
              <c:tx>
                <c:strRef>
                  <c:f>'Calculs dispo Données conso'!$AA$153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{8B21A90E-0BAE-4552-BB32-8DE028F9BEDD}</c15:txfldGUID>
                      <c15:f>'Calculs dispo Données conso'!$AA$153</c15:f>
                      <c15:dlblFieldTableCache>
                        <c:ptCount val="1"/>
                      </c15:dlblFieldTableCache>
                    </c15:dlblFTEntry>
                  </c15:dlblFieldTable>
                  <c15:showDataLabelsRange val="0"/>
                </c:ext>
              </c:extLst>
            </c:dLbl>
            <c:dLbl>
              <c:idx val="21"/>
              <c:tx>
                <c:strRef>
                  <c:f>'Calculs dispo Données conso'!$AA$154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{5EF620BE-2317-4E22-9BC6-CEC630C3A8EF}</c15:txfldGUID>
                      <c15:f>'Calculs dispo Données conso'!$AA$154</c15:f>
                      <c15:dlblFieldTableCache>
                        <c:ptCount val="1"/>
                      </c15:dlblFieldTableCache>
                    </c15:dlblFTEntry>
                  </c15:dlblFieldTable>
                  <c15:showDataLabelsRange val="0"/>
                </c:ext>
              </c:extLst>
            </c:dLbl>
            <c:dLbl>
              <c:idx val="22"/>
              <c:tx>
                <c:strRef>
                  <c:f>'Calculs dispo Données conso'!$AA$156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{26FBB7C0-5204-452F-86C9-B0A0CC4E2273}</c15:txfldGUID>
                      <c15:f>'Calculs dispo Données conso'!$AA$156</c15:f>
                      <c15:dlblFieldTableCache>
                        <c:ptCount val="1"/>
                      </c15:dlblFieldTableCache>
                    </c15:dlblFTEntry>
                  </c15:dlblFieldTable>
                  <c15:showDataLabelsRange val="0"/>
                </c:ext>
              </c:extLst>
            </c:dLbl>
            <c:dLbl>
              <c:idx val="23"/>
              <c:tx>
                <c:strRef>
                  <c:f>'Calculs dispo Données conso'!$AA$157</c:f>
                  <c:strCache>
                    <c:ptCount val="1"/>
                    <c:pt idx="0">
                      <c:v>DLU - 1/8/2015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{16A78652-48D1-4F70-ACCC-9C1B68F95E6A}</c15:txfldGUID>
                      <c15:f>'Calculs dispo Données conso'!$AA$157</c15:f>
                      <c15:dlblFieldTableCache>
                        <c:ptCount val="1"/>
                        <c:pt idx="0">
                          <c:v>ED - 1/8/2015</c:v>
                        </c:pt>
                      </c15:dlblFieldTableCache>
                    </c15:dlblFTEntry>
                  </c15:dlblFieldTable>
                  <c15:showDataLabelsRange val="0"/>
                </c:ext>
              </c:extLst>
            </c:dLbl>
            <c:dLbl>
              <c:idx val="24"/>
              <c:tx>
                <c:strRef>
                  <c:f>'Calculs dispo Données conso'!$AA$158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{E530FACF-419C-4C8B-9634-CA8588293272}</c15:txfldGUID>
                      <c15:f>'Calculs dispo Données conso'!$AA$158</c15:f>
                      <c15:dlblFieldTableCache>
                        <c:ptCount val="1"/>
                      </c15:dlblFieldTableCache>
                    </c15:dlblFTEntry>
                  </c15:dlblFieldTable>
                  <c15:showDataLabelsRange val="0"/>
                </c:ext>
              </c:extLst>
            </c:dLbl>
            <c:dLbl>
              <c:idx val="25"/>
              <c:tx>
                <c:strRef>
                  <c:f>'Calculs dispo Données conso'!$AA$159</c:f>
                  <c:strCache>
                    <c:ptCount val="1"/>
                    <c:pt idx="0">
                      <c:v>10/05/2015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{B44A0DB1-B9F1-4292-A9CD-1AA763C4F177}</c15:txfldGUID>
                      <c15:f>'Calculs dispo Données conso'!$AA$159</c15:f>
                      <c15:dlblFieldTableCache>
                        <c:ptCount val="1"/>
                        <c:pt idx="0">
                          <c:v>10/05/2015</c:v>
                        </c:pt>
                      </c15:dlblFieldTableCache>
                    </c15:dlblFTEntry>
                  </c15:dlblFieldTable>
                  <c15:showDataLabelsRange val="0"/>
                </c:ext>
              </c:extLst>
            </c:dLbl>
            <c:dLbl>
              <c:idx val="26"/>
              <c:tx>
                <c:strRef>
                  <c:f>'Calculs dispo Données conso'!$AA$160</c:f>
                  <c:strCache>
                    <c:ptCount val="1"/>
                    <c:pt idx="0">
                      <c:v>DLU - 1/4/2015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{3DB6A51C-279D-4BBC-9617-ABA5C1B55481}</c15:txfldGUID>
                      <c15:f>'Calculs dispo Données conso'!$AA$160</c15:f>
                      <c15:dlblFieldTableCache>
                        <c:ptCount val="1"/>
                        <c:pt idx="0">
                          <c:v>ED - 1/4/2015</c:v>
                        </c:pt>
                      </c15:dlblFieldTableCache>
                    </c15:dlblFTEntry>
                  </c15:dlblFieldTable>
                  <c15:showDataLabelsRange val="0"/>
                </c:ext>
              </c:extLst>
            </c:dLbl>
            <c:dLbl>
              <c:idx val="27"/>
              <c:tx>
                <c:strRef>
                  <c:f>'Calculs dispo Données conso'!$AA$163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{1CBE0EFD-2882-4E9A-80DA-B1972F5787A1}</c15:txfldGUID>
                      <c15:f>'Calculs dispo Données conso'!$AA$163</c15:f>
                      <c15:dlblFieldTableCache>
                        <c:ptCount val="1"/>
                      </c15:dlblFieldTableCache>
                    </c15:dlblFTEntry>
                  </c15:dlblFieldTable>
                  <c15:showDataLabelsRange val="0"/>
                </c:ext>
              </c:extLst>
            </c:dLbl>
            <c:dLbl>
              <c:idx val="28"/>
              <c:tx>
                <c:strRef>
                  <c:f>'Calculs dispo Données conso'!$AA$165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{A4B95761-9959-40B8-8CBE-2DFC2E3BC03B}</c15:txfldGUID>
                      <c15:f>'Calculs dispo Données conso'!$AA$165</c15:f>
                      <c15:dlblFieldTableCache>
                        <c:ptCount val="1"/>
                      </c15:dlblFieldTableCache>
                    </c15:dlblFTEntry>
                  </c15:dlblFieldTable>
                  <c15:showDataLabelsRange val="0"/>
                </c:ext>
              </c:extLst>
            </c:dLbl>
            <c:dLbl>
              <c:idx val="29"/>
              <c:tx>
                <c:strRef>
                  <c:f>'Calculs dispo Données conso'!$AA$161</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{6A73877C-9DDB-4642-8541-6148CACB8B01}</c15:txfldGUID>
                      <c15:f>'Calculs dispo Données conso'!$AA$161</c15:f>
                      <c15:dlblFieldTableCache>
                        <c:ptCount val="1"/>
                        <c:pt idx="0">
                          <c:v>1705B &amp; Consumption =0</c:v>
                        </c:pt>
                      </c15:dlblFieldTableCache>
                    </c15:dlblFTEntry>
                  </c15:dlblFieldTable>
                  <c15:showDataLabelsRange val="0"/>
                </c:ext>
              </c:extLst>
            </c:dLbl>
            <c:dLbl>
              <c:idx val="30"/>
              <c:tx>
                <c:strRef>
                  <c:f>'Calculs dispo Données conso'!$AA$164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{28B66206-B384-4851-98AD-BDF20433D2DD}</c15:txfldGUID>
                      <c15:f>'Calculs dispo Données conso'!$AA$164</c15:f>
                      <c15:dlblFieldTableCache>
                        <c:ptCount val="1"/>
                      </c15:dlblFieldTableCache>
                    </c15:dlblFTEntry>
                  </c15:dlblFieldTable>
                  <c15:showDataLabelsRange val="0"/>
                </c:ext>
              </c:extLst>
            </c:dLbl>
            <c:dLbl>
              <c:idx val="31"/>
              <c:tx>
                <c:strRef>
                  <c:f>'Calculs dispo Données conso'!$AA$166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{742AC5F9-1694-4A13-A7BF-A9CFFAF5C1C9}</c15:txfldGUID>
                      <c15:f>'Calculs dispo Données conso'!$AA$166</c15:f>
                      <c15:dlblFieldTableCache>
                        <c:ptCount val="1"/>
                      </c15:dlblFieldTableCache>
                    </c15:dlblFTEntry>
                  </c15:dlblFieldTable>
                  <c15:showDataLabelsRange val="0"/>
                </c:ext>
              </c:extLst>
            </c:dLbl>
            <c:dLbl>
              <c:idx val="32"/>
              <c:tx>
                <c:strRef>
                  <c:f>'Calculs dispo Données conso'!$AA$167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{ED3E518D-1EBA-4363-B73E-C7FB9E54D105}</c15:txfldGUID>
                      <c15:f>'Calculs dispo Données conso'!$AA$167</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conso'!$H$127:$H$141</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conso'!$Y$127:$Y$141</c:f>
              <c:numCache>
                <c:formatCode>0.0</c:formatCode>
                <c:ptCount val="15"/>
                <c:pt idx="0">
                  <c:v>3</c:v>
                </c:pt>
                <c:pt idx="1">
                  <c:v>2.7875457875457874</c:v>
                </c:pt>
                <c:pt idx="2">
                  <c:v>3</c:v>
                </c:pt>
                <c:pt idx="3">
                  <c:v>3</c:v>
                </c:pt>
                <c:pt idx="4">
                  <c:v>3</c:v>
                </c:pt>
                <c:pt idx="5">
                  <c:v>3</c:v>
                </c:pt>
                <c:pt idx="6">
                  <c:v>3</c:v>
                </c:pt>
                <c:pt idx="7">
                  <c:v>0</c:v>
                </c:pt>
                <c:pt idx="8">
                  <c:v>1.1219178082191781</c:v>
                </c:pt>
                <c:pt idx="9">
                  <c:v>0.35555555555555557</c:v>
                </c:pt>
                <c:pt idx="10">
                  <c:v>0</c:v>
                </c:pt>
                <c:pt idx="11">
                  <c:v>0</c:v>
                </c:pt>
                <c:pt idx="12">
                  <c:v>3</c:v>
                </c:pt>
                <c:pt idx="13">
                  <c:v>3</c:v>
                </c:pt>
                <c:pt idx="14">
                  <c:v>0</c:v>
                </c:pt>
              </c:numCache>
            </c:numRef>
          </c:val>
        </c:ser>
        <c:dLbls>
          <c:showLegendKey val="0"/>
          <c:showVal val="0"/>
          <c:showCatName val="0"/>
          <c:showSerName val="0"/>
          <c:showPercent val="0"/>
          <c:showBubbleSize val="0"/>
        </c:dLbls>
        <c:gapWidth val="150"/>
        <c:overlap val="100"/>
        <c:axId val="159648384"/>
        <c:axId val="159687040"/>
      </c:barChart>
      <c:catAx>
        <c:axId val="159648384"/>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59687040"/>
        <c:crosses val="autoZero"/>
        <c:auto val="1"/>
        <c:lblAlgn val="ctr"/>
        <c:lblOffset val="100"/>
        <c:tickMarkSkip val="2"/>
        <c:noMultiLvlLbl val="0"/>
      </c:catAx>
      <c:valAx>
        <c:axId val="159687040"/>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3.87679626757306E-2"/>
              <c:y val="0.14566695829687953"/>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59648384"/>
        <c:crosses val="autoZero"/>
        <c:crossBetween val="between"/>
        <c:majorUnit val="3"/>
      </c:valAx>
      <c:spPr>
        <a:ln>
          <a:solidFill>
            <a:schemeClr val="bg1">
              <a:lumMod val="50000"/>
            </a:schemeClr>
          </a:solidFill>
        </a:ln>
      </c:spPr>
    </c:plotArea>
    <c:legend>
      <c:legendPos val="b"/>
      <c:layout>
        <c:manualLayout>
          <c:xMode val="edge"/>
          <c:yMode val="edge"/>
          <c:x val="0.20911664081575099"/>
          <c:y val="0.94799460484106135"/>
          <c:w val="0.60817185787688"/>
          <c:h val="3.3486876640419952E-2"/>
        </c:manualLayout>
      </c:layout>
      <c:overlay val="0"/>
      <c:txPr>
        <a:bodyPr/>
        <a:lstStyle/>
        <a:p>
          <a:pPr>
            <a:defRPr lang="fr-FR"/>
          </a:pPr>
          <a:endParaRPr lang="en-US"/>
        </a:p>
      </c:txPr>
    </c:legend>
    <c:plotVisOnly val="1"/>
    <c:dispBlanksAs val="gap"/>
    <c:showDLblsOverMax val="0"/>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a:t>Estimate Tablets - </a:t>
            </a:r>
            <a:r>
              <a:rPr lang="en-US">
                <a:solidFill>
                  <a:srgbClr val="FF0000"/>
                </a:solidFill>
              </a:rPr>
              <a:t>CDF availability </a:t>
            </a:r>
          </a:p>
        </c:rich>
      </c:tx>
      <c:layout>
        <c:manualLayout>
          <c:xMode val="edge"/>
          <c:yMode val="edge"/>
          <c:x val="9.1726470100758767E-3"/>
          <c:y val="1.8359580052493441E-3"/>
        </c:manualLayout>
      </c:layout>
      <c:overlay val="0"/>
    </c:title>
    <c:autoTitleDeleted val="0"/>
    <c:plotArea>
      <c:layout>
        <c:manualLayout>
          <c:layoutTarget val="inner"/>
          <c:xMode val="edge"/>
          <c:yMode val="edge"/>
          <c:x val="0.20432108568898258"/>
          <c:y val="0.18332195975503071"/>
          <c:w val="0.66144047733903488"/>
          <c:h val="0.76009521726455154"/>
        </c:manualLayout>
      </c:layout>
      <c:barChart>
        <c:barDir val="bar"/>
        <c:grouping val="stacked"/>
        <c:varyColors val="0"/>
        <c:ser>
          <c:idx val="0"/>
          <c:order val="0"/>
          <c:tx>
            <c:strRef>
              <c:f>'Calculs dispo Données conso'!$X$126</c:f>
              <c:strCache>
                <c:ptCount val="1"/>
                <c:pt idx="0">
                  <c:v>Nombre de mois de disponibilité de produits hors ST</c:v>
                </c:pt>
              </c:strCache>
            </c:strRef>
          </c:tx>
          <c:spPr>
            <a:solidFill>
              <a:srgbClr val="4F81BD"/>
            </a:solidFill>
          </c:spPr>
          <c:invertIfNegative val="1"/>
          <c:cat>
            <c:strRef>
              <c:f>'Calculs dispo Données conso'!$H$127:$H$167</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conso'!$X$127:$X$167</c:f>
              <c:numCache>
                <c:formatCode>0.0</c:formatCode>
                <c:ptCount val="41"/>
                <c:pt idx="0">
                  <c:v>8.3430104133796146</c:v>
                </c:pt>
                <c:pt idx="1">
                  <c:v>-0.21245421245421259</c:v>
                </c:pt>
                <c:pt idx="2">
                  <c:v>5.7780821917808218</c:v>
                </c:pt>
                <c:pt idx="3">
                  <c:v>6.7474348855564319</c:v>
                </c:pt>
                <c:pt idx="4">
                  <c:v>3.1849315068493151</c:v>
                </c:pt>
                <c:pt idx="5">
                  <c:v>0.33928571428571441</c:v>
                </c:pt>
                <c:pt idx="6">
                  <c:v>0.84657534246575361</c:v>
                </c:pt>
                <c:pt idx="7">
                  <c:v>0</c:v>
                </c:pt>
                <c:pt idx="8">
                  <c:v>-2.1780821917808222</c:v>
                </c:pt>
                <c:pt idx="9">
                  <c:v>-2.6444444444444444</c:v>
                </c:pt>
                <c:pt idx="10">
                  <c:v>0</c:v>
                </c:pt>
                <c:pt idx="11">
                  <c:v>0</c:v>
                </c:pt>
                <c:pt idx="12">
                  <c:v>10.808219178082192</c:v>
                </c:pt>
                <c:pt idx="13">
                  <c:v>1.7671232876712324</c:v>
                </c:pt>
                <c:pt idx="14">
                  <c:v>0</c:v>
                </c:pt>
                <c:pt idx="15">
                  <c:v>0</c:v>
                </c:pt>
                <c:pt idx="16">
                  <c:v>-2.9047619047619047</c:v>
                </c:pt>
                <c:pt idx="17">
                  <c:v>4.7885521885521882</c:v>
                </c:pt>
                <c:pt idx="18">
                  <c:v>0</c:v>
                </c:pt>
                <c:pt idx="19">
                  <c:v>0</c:v>
                </c:pt>
                <c:pt idx="20">
                  <c:v>0</c:v>
                </c:pt>
                <c:pt idx="21">
                  <c:v>0.84657534246571231</c:v>
                </c:pt>
                <c:pt idx="22">
                  <c:v>0</c:v>
                </c:pt>
                <c:pt idx="23">
                  <c:v>0</c:v>
                </c:pt>
                <c:pt idx="24">
                  <c:v>0</c:v>
                </c:pt>
                <c:pt idx="25">
                  <c:v>0</c:v>
                </c:pt>
                <c:pt idx="26">
                  <c:v>0</c:v>
                </c:pt>
                <c:pt idx="27">
                  <c:v>0</c:v>
                </c:pt>
                <c:pt idx="28">
                  <c:v>0</c:v>
                </c:pt>
                <c:pt idx="29">
                  <c:v>0</c:v>
                </c:pt>
                <c:pt idx="30">
                  <c:v>6.7972602739726042</c:v>
                </c:pt>
                <c:pt idx="31">
                  <c:v>0</c:v>
                </c:pt>
                <c:pt idx="32">
                  <c:v>4.0754716981132075</c:v>
                </c:pt>
                <c:pt idx="33">
                  <c:v>2.7863013698630139</c:v>
                </c:pt>
                <c:pt idx="34">
                  <c:v>0</c:v>
                </c:pt>
                <c:pt idx="35">
                  <c:v>0</c:v>
                </c:pt>
                <c:pt idx="36">
                  <c:v>0</c:v>
                </c:pt>
                <c:pt idx="37">
                  <c:v>0</c:v>
                </c:pt>
                <c:pt idx="38">
                  <c:v>0</c:v>
                </c:pt>
                <c:pt idx="39">
                  <c:v>0</c:v>
                </c:pt>
                <c:pt idx="4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conso'!$Y$126</c:f>
              <c:strCache>
                <c:ptCount val="1"/>
                <c:pt idx="0">
                  <c:v>Nombre de mois de stock tampon (ST - max 3 mois)</c:v>
                </c:pt>
              </c:strCache>
            </c:strRef>
          </c:tx>
          <c:invertIfNegative val="0"/>
          <c:cat>
            <c:strRef>
              <c:f>'Calculs dispo Données conso'!$H$127:$H$167</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conso'!$Y$127:$Y$167</c:f>
              <c:numCache>
                <c:formatCode>0.0</c:formatCode>
                <c:ptCount val="41"/>
                <c:pt idx="0">
                  <c:v>3</c:v>
                </c:pt>
                <c:pt idx="1">
                  <c:v>2.7875457875457874</c:v>
                </c:pt>
                <c:pt idx="2">
                  <c:v>3</c:v>
                </c:pt>
                <c:pt idx="3">
                  <c:v>3</c:v>
                </c:pt>
                <c:pt idx="4">
                  <c:v>3</c:v>
                </c:pt>
                <c:pt idx="5">
                  <c:v>3</c:v>
                </c:pt>
                <c:pt idx="6">
                  <c:v>3</c:v>
                </c:pt>
                <c:pt idx="7">
                  <c:v>0</c:v>
                </c:pt>
                <c:pt idx="8">
                  <c:v>1.1219178082191781</c:v>
                </c:pt>
                <c:pt idx="9">
                  <c:v>0.35555555555555557</c:v>
                </c:pt>
                <c:pt idx="10">
                  <c:v>0</c:v>
                </c:pt>
                <c:pt idx="11">
                  <c:v>0</c:v>
                </c:pt>
                <c:pt idx="12">
                  <c:v>3</c:v>
                </c:pt>
                <c:pt idx="13">
                  <c:v>3</c:v>
                </c:pt>
                <c:pt idx="14">
                  <c:v>0</c:v>
                </c:pt>
                <c:pt idx="15">
                  <c:v>0</c:v>
                </c:pt>
                <c:pt idx="16">
                  <c:v>9.5238095238095233E-2</c:v>
                </c:pt>
                <c:pt idx="17">
                  <c:v>3</c:v>
                </c:pt>
                <c:pt idx="18">
                  <c:v>0</c:v>
                </c:pt>
                <c:pt idx="19">
                  <c:v>0</c:v>
                </c:pt>
                <c:pt idx="20">
                  <c:v>0</c:v>
                </c:pt>
                <c:pt idx="21">
                  <c:v>3</c:v>
                </c:pt>
                <c:pt idx="22">
                  <c:v>0</c:v>
                </c:pt>
                <c:pt idx="23">
                  <c:v>0</c:v>
                </c:pt>
                <c:pt idx="24">
                  <c:v>0</c:v>
                </c:pt>
                <c:pt idx="25">
                  <c:v>0</c:v>
                </c:pt>
                <c:pt idx="26">
                  <c:v>0</c:v>
                </c:pt>
                <c:pt idx="27">
                  <c:v>0</c:v>
                </c:pt>
                <c:pt idx="28">
                  <c:v>0</c:v>
                </c:pt>
                <c:pt idx="29">
                  <c:v>0</c:v>
                </c:pt>
                <c:pt idx="30">
                  <c:v>3</c:v>
                </c:pt>
                <c:pt idx="31">
                  <c:v>0</c:v>
                </c:pt>
                <c:pt idx="32">
                  <c:v>3</c:v>
                </c:pt>
                <c:pt idx="33">
                  <c:v>3</c:v>
                </c:pt>
                <c:pt idx="34">
                  <c:v>0</c:v>
                </c:pt>
                <c:pt idx="35">
                  <c:v>0</c:v>
                </c:pt>
                <c:pt idx="36">
                  <c:v>0</c:v>
                </c:pt>
                <c:pt idx="37">
                  <c:v>0</c:v>
                </c:pt>
                <c:pt idx="38">
                  <c:v>0</c:v>
                </c:pt>
                <c:pt idx="39">
                  <c:v>0</c:v>
                </c:pt>
                <c:pt idx="40">
                  <c:v>0</c:v>
                </c:pt>
              </c:numCache>
            </c:numRef>
          </c:val>
        </c:ser>
        <c:ser>
          <c:idx val="2"/>
          <c:order val="2"/>
          <c:tx>
            <c:strRef>
              <c:f>'Calculs dispo Données conso'!$AK$126</c:f>
              <c:strCache>
                <c:ptCount val="1"/>
                <c:pt idx="0">
                  <c:v>Gain Nb de mois de disponibilité si arrêt des initiations &amp; switch</c:v>
                </c:pt>
              </c:strCache>
            </c:strRef>
          </c:tx>
          <c:spPr>
            <a:solidFill>
              <a:schemeClr val="bg2">
                <a:lumMod val="90000"/>
              </a:schemeClr>
            </a:solidFill>
            <a:ln w="12700">
              <a:solidFill>
                <a:schemeClr val="bg2">
                  <a:lumMod val="50000"/>
                </a:schemeClr>
              </a:solidFill>
              <a:prstDash val="sysDot"/>
            </a:ln>
          </c:spPr>
          <c:invertIfNegative val="0"/>
          <c:dLbls>
            <c:dLbl>
              <c:idx val="0"/>
              <c:layout>
                <c:manualLayout>
                  <c:x val="4.7882525523142414E-2"/>
                  <c:y val="0"/>
                </c:manualLayout>
              </c:layout>
              <c:tx>
                <c:strRef>
                  <c:f>'Calculs dispo Données conso'!$AO$127</c:f>
                  <c:strCache>
                    <c:ptCount val="1"/>
                    <c:pt idx="0">
                      <c:v>17/09/2015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{234731D4-E965-488A-B093-4C76720AC108}</c15:txfldGUID>
                      <c15:f>'Calculs dispo Données conso'!$AO$127</c15:f>
                      <c15:dlblFieldTableCache>
                        <c:ptCount val="1"/>
                        <c:pt idx="0">
                          <c:v>17/09/2015</c:v>
                        </c:pt>
                      </c15:dlblFieldTableCache>
                    </c15:dlblFTEntry>
                  </c15:dlblFieldTable>
                  <c15:showDataLabelsRange val="0"/>
                </c:ext>
              </c:extLst>
            </c:dLbl>
            <c:dLbl>
              <c:idx val="1"/>
              <c:layout>
                <c:manualLayout>
                  <c:x val="4.0747771750020513E-2"/>
                  <c:y val="-1.8518518518518936E-3"/>
                </c:manualLayout>
              </c:layout>
              <c:tx>
                <c:strRef>
                  <c:f>'Calculs dispo Données conso'!$AO$128</c:f>
                  <c:strCache>
                    <c:ptCount val="1"/>
                    <c:pt idx="0">
                      <c:v>30/12/2014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{D1D9524C-E0F8-423C-A9D6-2A37ECB0DC7E}</c15:txfldGUID>
                      <c15:f>'Calculs dispo Données conso'!$AO$128</c15:f>
                      <c15:dlblFieldTableCache>
                        <c:ptCount val="1"/>
                        <c:pt idx="0">
                          <c:v>30/12/2014</c:v>
                        </c:pt>
                      </c15:dlblFieldTableCache>
                    </c15:dlblFTEntry>
                  </c15:dlblFieldTable>
                  <c15:showDataLabelsRange val="0"/>
                </c:ext>
              </c:extLst>
            </c:dLbl>
            <c:dLbl>
              <c:idx val="2"/>
              <c:layout>
                <c:manualLayout>
                  <c:x val="3.8234419566545698E-2"/>
                  <c:y val="0"/>
                </c:manualLayout>
              </c:layout>
              <c:tx>
                <c:strRef>
                  <c:f>'Calculs dispo Données conso'!$AO$129</c:f>
                  <c:strCache>
                    <c:ptCount val="1"/>
                    <c:pt idx="0">
                      <c:v>DLU - 1/7/2015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{589BC1DE-8276-40E8-B4C0-3B40072E9B06}</c15:txfldGUID>
                      <c15:f>'Calculs dispo Données conso'!$AO$129</c15:f>
                      <c15:dlblFieldTableCache>
                        <c:ptCount val="1"/>
                        <c:pt idx="0">
                          <c:v>ED - 1/7/2015</c:v>
                        </c:pt>
                      </c15:dlblFieldTableCache>
                    </c15:dlblFTEntry>
                  </c15:dlblFieldTable>
                  <c15:showDataLabelsRange val="0"/>
                </c:ext>
              </c:extLst>
            </c:dLbl>
            <c:dLbl>
              <c:idx val="3"/>
              <c:layout>
                <c:manualLayout>
                  <c:x val="3.8234419566545698E-2"/>
                  <c:y val="-3.395022508805672E-17"/>
                </c:manualLayout>
              </c:layout>
              <c:tx>
                <c:strRef>
                  <c:f>'Calculs dispo Données conso'!$AO$130</c:f>
                  <c:strCache>
                    <c:ptCount val="1"/>
                    <c:pt idx="0">
                      <c:v>30/07/2015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{EBC98CAF-1039-4FEF-9505-6385CC9DB2B9}</c15:txfldGUID>
                      <c15:f>'Calculs dispo Données conso'!$AO$130</c15:f>
                      <c15:dlblFieldTableCache>
                        <c:ptCount val="1"/>
                        <c:pt idx="0">
                          <c:v>30/07/2015</c:v>
                        </c:pt>
                      </c15:dlblFieldTableCache>
                    </c15:dlblFTEntry>
                  </c15:dlblFieldTable>
                  <c15:showDataLabelsRange val="0"/>
                </c:ext>
              </c:extLst>
            </c:dLbl>
            <c:dLbl>
              <c:idx val="4"/>
              <c:tx>
                <c:strRef>
                  <c:f>'Calculs dispo Données conso'!$AO$131</c:f>
                  <c:strCache>
                    <c:ptCount val="1"/>
                    <c:pt idx="0">
                      <c:v>13/04/2015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{E0F13340-9749-425D-A373-0F30925017B3}</c15:txfldGUID>
                      <c15:f>'Calculs dispo Données conso'!$AO$131</c15:f>
                      <c15:dlblFieldTableCache>
                        <c:ptCount val="1"/>
                        <c:pt idx="0">
                          <c:v>13/04/2015</c:v>
                        </c:pt>
                      </c15:dlblFieldTableCache>
                    </c15:dlblFTEntry>
                  </c15:dlblFieldTable>
                  <c15:showDataLabelsRange val="0"/>
                </c:ext>
              </c:extLst>
            </c:dLbl>
            <c:dLbl>
              <c:idx val="5"/>
              <c:layout>
                <c:manualLayout>
                  <c:x val="3.8234419566545615E-2"/>
                  <c:y val="3.395022508805672E-17"/>
                </c:manualLayout>
              </c:layout>
              <c:tx>
                <c:strRef>
                  <c:f>'Calculs dispo Données conso'!$AO$132</c:f>
                  <c:strCache>
                    <c:ptCount val="1"/>
                    <c:pt idx="0">
                      <c:v>16/01/2015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{150B3309-9905-4893-838C-2417F438A30A}</c15:txfldGUID>
                      <c15:f>'Calculs dispo Données conso'!$AO$132</c15:f>
                      <c15:dlblFieldTableCache>
                        <c:ptCount val="1"/>
                        <c:pt idx="0">
                          <c:v>16/01/2015</c:v>
                        </c:pt>
                      </c15:dlblFieldTableCache>
                    </c15:dlblFTEntry>
                  </c15:dlblFieldTable>
                  <c15:showDataLabelsRange val="0"/>
                </c:ext>
              </c:extLst>
            </c:dLbl>
            <c:dLbl>
              <c:idx val="6"/>
              <c:layout>
                <c:manualLayout>
                  <c:x val="3.9491095658283216E-2"/>
                  <c:y val="-1.8518518518518936E-3"/>
                </c:manualLayout>
              </c:layout>
              <c:tx>
                <c:strRef>
                  <c:f>'Calculs dispo Données conso'!$AO$134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{B4B3C24E-5B51-4B95-A074-364BAB97F451}</c15:txfldGUID>
                      <c15:f>'Calculs dispo Données conso'!$AO$134</c15:f>
                      <c15:dlblFieldTableCache>
                        <c:ptCount val="1"/>
                      </c15:dlblFieldTableCache>
                    </c15:dlblFTEntry>
                  </c15:dlblFieldTable>
                  <c15:showDataLabelsRange val="0"/>
                </c:ext>
              </c:extLst>
            </c:dLbl>
            <c:dLbl>
              <c:idx val="7"/>
              <c:layout>
                <c:manualLayout>
                  <c:x val="3.6977743474809442E-2"/>
                  <c:y val="0"/>
                </c:manualLayout>
              </c:layout>
              <c:tx>
                <c:strRef>
                  <c:f>'Calculs dispo Données conso'!$AO$135</c:f>
                  <c:strCache>
                    <c:ptCount val="1"/>
                    <c:pt idx="0">
                      <c:v>DLU - 1/11/2014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{50BD1EF3-8A4B-496E-A03D-64E7C1BD90FE}</c15:txfldGUID>
                      <c15:f>'Calculs dispo Données conso'!$AO$135</c15:f>
                      <c15:dlblFieldTableCache>
                        <c:ptCount val="1"/>
                        <c:pt idx="0">
                          <c:v>ED - 1/11/2014</c:v>
                        </c:pt>
                      </c15:dlblFieldTableCache>
                    </c15:dlblFTEntry>
                  </c15:dlblFieldTable>
                  <c15:showDataLabelsRange val="0"/>
                </c:ext>
              </c:extLst>
            </c:dLbl>
            <c:dLbl>
              <c:idx val="8"/>
              <c:layout>
                <c:manualLayout>
                  <c:x val="3.8234419566545698E-2"/>
                  <c:y val="0"/>
                </c:manualLayout>
              </c:layout>
              <c:tx>
                <c:strRef>
                  <c:f>'Calculs dispo Données conso'!$AO$136</c:f>
                  <c:strCache>
                    <c:ptCount val="1"/>
                    <c:pt idx="0">
                      <c:v>17/10/2014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{2D6E80EC-42F0-488A-BA33-63CBFB89E2F9}</c15:txfldGUID>
                      <c15:f>'Calculs dispo Données conso'!$AO$136</c15:f>
                      <c15:dlblFieldTableCache>
                        <c:ptCount val="1"/>
                        <c:pt idx="0">
                          <c:v>17/10/2014</c:v>
                        </c:pt>
                      </c15:dlblFieldTableCache>
                    </c15:dlblFTEntry>
                  </c15:dlblFieldTable>
                  <c15:showDataLabelsRange val="0"/>
                </c:ext>
              </c:extLst>
            </c:dLbl>
            <c:dLbl>
              <c:idx val="9"/>
              <c:layout>
                <c:manualLayout>
                  <c:x val="3.6977743474809442E-2"/>
                  <c:y val="0"/>
                </c:manualLayout>
              </c:layout>
              <c:tx>
                <c:strRef>
                  <c:f>'Calculs dispo Données conso'!$AO$137</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{4EA641EE-8C3A-4D5D-ABE5-8A2DBD0948BC}</c15:txfldGUID>
                      <c15:f>'Calculs dispo Données conso'!$AO$137</c15:f>
                      <c15:dlblFieldTableCache>
                        <c:ptCount val="1"/>
                      </c15:dlblFieldTableCache>
                    </c15:dlblFTEntry>
                  </c15:dlblFieldTable>
                  <c15:showDataLabelsRange val="0"/>
                </c:ext>
              </c:extLst>
            </c:dLbl>
            <c:dLbl>
              <c:idx val="10"/>
              <c:tx>
                <c:strRef>
                  <c:f>'Calculs dispo Données conso'!$AO$138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{CC8DF3D3-AE72-43D2-9CEE-7B6C551944AC}</c15:txfldGUID>
                      <c15:f>'Calculs dispo Données conso'!$AO$138</c15:f>
                      <c15:dlblFieldTableCache>
                        <c:ptCount val="1"/>
                      </c15:dlblFieldTableCache>
                    </c15:dlblFTEntry>
                  </c15:dlblFieldTable>
                  <c15:showDataLabelsRange val="0"/>
                </c:ext>
              </c:extLst>
            </c:dLbl>
            <c:dLbl>
              <c:idx val="11"/>
              <c:tx>
                <c:strRef>
                  <c:f>'Calculs dispo Données conso'!$AO$139</c:f>
                  <c:strCache>
                    <c:ptCount val="1"/>
                    <c:pt idx="0">
                      <c:v>DLU - 1/12/2015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{826ED5E4-CAF9-4AA5-A477-6D1FA7FE16A7}</c15:txfldGUID>
                      <c15:f>'Calculs dispo Données conso'!$AO$139</c15:f>
                      <c15:dlblFieldTableCache>
                        <c:ptCount val="1"/>
                        <c:pt idx="0">
                          <c:v>ED - 1/12/2015</c:v>
                        </c:pt>
                      </c15:dlblFieldTableCache>
                    </c15:dlblFTEntry>
                  </c15:dlblFieldTable>
                  <c15:showDataLabelsRange val="0"/>
                </c:ext>
              </c:extLst>
            </c:dLbl>
            <c:dLbl>
              <c:idx val="12"/>
              <c:layout>
                <c:manualLayout>
                  <c:x val="3.9491095658283216E-2"/>
                  <c:y val="0"/>
                </c:manualLayout>
              </c:layout>
              <c:tx>
                <c:strRef>
                  <c:f>'Calculs dispo Données conso'!$AO$140</c:f>
                  <c:strCache>
                    <c:ptCount val="1"/>
                    <c:pt idx="0">
                      <c:v>DLU - 1/3/2015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{7D37AEBF-3040-4016-890A-A629E04251D4}</c15:txfldGUID>
                      <c15:f>'Calculs dispo Données conso'!$AO$140</c15:f>
                      <c15:dlblFieldTableCache>
                        <c:ptCount val="1"/>
                        <c:pt idx="0">
                          <c:v>ED - 1/3/2015</c:v>
                        </c:pt>
                      </c15:dlblFieldTableCache>
                    </c15:dlblFTEntry>
                  </c15:dlblFieldTable>
                  <c15:showDataLabelsRange val="0"/>
                </c:ext>
              </c:extLst>
            </c:dLbl>
            <c:dLbl>
              <c:idx val="13"/>
              <c:layout>
                <c:manualLayout>
                  <c:x val="3.8234419566545698E-2"/>
                  <c:y val="0"/>
                </c:manualLayout>
              </c:layout>
              <c:tx>
                <c:strRef>
                  <c:f>'Calculs dispo Données conso'!$AO$142</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{E5D1FA46-CD68-4C19-808C-19C5D0B98F41}</c15:txfldGUID>
                      <c15:f>'Calculs dispo Données conso'!$AO$142</c15:f>
                      <c15:dlblFieldTableCache>
                        <c:ptCount val="1"/>
                      </c15:dlblFieldTableCache>
                    </c15:dlblFTEntry>
                  </c15:dlblFieldTable>
                  <c15:showDataLabelsRange val="0"/>
                </c:ext>
              </c:extLst>
            </c:dLbl>
            <c:dLbl>
              <c:idx val="14"/>
              <c:layout>
                <c:manualLayout>
                  <c:x val="3.6977743474809539E-2"/>
                  <c:y val="0"/>
                </c:manualLayout>
              </c:layout>
              <c:tx>
                <c:strRef>
                  <c:f>'Calculs dispo Données conso'!$AO$143</c:f>
                  <c:strCache>
                    <c:ptCount val="1"/>
                    <c:pt idx="0">
                      <c:v>09/10/2014</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{851192BF-A3F8-4112-9C8B-ADEA47872F9E}</c15:txfldGUID>
                      <c15:f>'Calculs dispo Données conso'!$AO$143</c15:f>
                      <c15:dlblFieldTableCache>
                        <c:ptCount val="1"/>
                        <c:pt idx="0">
                          <c:v>09/10/2014</c:v>
                        </c:pt>
                      </c15:dlblFieldTableCache>
                    </c15:dlblFTEntry>
                  </c15:dlblFieldTable>
                  <c15:showDataLabelsRange val="0"/>
                </c:ext>
              </c:extLst>
            </c:dLbl>
            <c:dLbl>
              <c:idx val="15"/>
              <c:layout>
                <c:manualLayout>
                  <c:x val="3.8234419566545698E-2"/>
                  <c:y val="-1.8518518518518936E-3"/>
                </c:manualLayout>
              </c:layout>
              <c:tx>
                <c:strRef>
                  <c:f>'Calculs dispo Données conso'!$AO$144</c:f>
                  <c:strCache>
                    <c:ptCount val="1"/>
                    <c:pt idx="0">
                      <c:v>31/05/2015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{F5400EC1-F32F-40B4-9EAB-FCEF9FBDD022}</c15:txfldGUID>
                      <c15:f>'Calculs dispo Données conso'!$AO$144</c15:f>
                      <c15:dlblFieldTableCache>
                        <c:ptCount val="1"/>
                        <c:pt idx="0">
                          <c:v>31/05/2015</c:v>
                        </c:pt>
                      </c15:dlblFieldTableCache>
                    </c15:dlblFTEntry>
                  </c15:dlblFieldTable>
                  <c15:showDataLabelsRange val="0"/>
                </c:ext>
              </c:extLst>
            </c:dLbl>
            <c:dLbl>
              <c:idx val="16"/>
              <c:layout>
                <c:manualLayout>
                  <c:x val="2.1897630373960256E-2"/>
                  <c:y val="-6.7900450176113256E-17"/>
                </c:manualLayout>
              </c:layout>
              <c:tx>
                <c:strRef>
                  <c:f>'Calculs dispo Données conso'!$AO$146</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{FEA7B3A4-FDF8-455F-A63A-75F2982AF7C1}</c15:txfldGUID>
                      <c15:f>'Calculs dispo Données conso'!$AO$146</c15:f>
                      <c15:dlblFieldTableCache>
                        <c:ptCount val="1"/>
                      </c15:dlblFieldTableCache>
                    </c15:dlblFTEntry>
                  </c15:dlblFieldTable>
                  <c15:showDataLabelsRange val="0"/>
                </c:ext>
              </c:extLst>
            </c:dLbl>
            <c:dLbl>
              <c:idx val="17"/>
              <c:layout>
                <c:manualLayout>
                  <c:x val="3.6977743474809491E-2"/>
                  <c:y val="0"/>
                </c:manualLayout>
              </c:layout>
              <c:tx>
                <c:strRef>
                  <c:f>'Calculs dispo Données conso'!$AO$148</c:f>
                  <c:strCache>
                    <c:ptCount val="1"/>
                    <c:pt idx="0">
                      <c:v>DLU - 1/2/2015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{E166330E-CDD3-4E17-A356-09EA9188753E}</c15:txfldGUID>
                      <c15:f>'Calculs dispo Données conso'!$AO$148</c15:f>
                      <c15:dlblFieldTableCache>
                        <c:ptCount val="1"/>
                        <c:pt idx="0">
                          <c:v>ED - 1/2/2015</c:v>
                        </c:pt>
                      </c15:dlblFieldTableCache>
                    </c15:dlblFTEntry>
                  </c15:dlblFieldTable>
                  <c15:showDataLabelsRange val="0"/>
                </c:ext>
              </c:extLst>
            </c:dLbl>
            <c:dLbl>
              <c:idx val="18"/>
              <c:layout>
                <c:manualLayout>
                  <c:x val="3.6977743474809491E-2"/>
                  <c:y val="0"/>
                </c:manualLayout>
              </c:layout>
              <c:tx>
                <c:strRef>
                  <c:f>'Calculs dispo Données conso'!$AO$150</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{8E609A9B-4860-453E-ABAD-FAA8966BE993}</c15:txfldGUID>
                      <c15:f>'Calculs dispo Données conso'!$AO$150</c15:f>
                      <c15:dlblFieldTableCache>
                        <c:ptCount val="1"/>
                      </c15:dlblFieldTableCache>
                    </c15:dlblFTEntry>
                  </c15:dlblFieldTable>
                  <c15:showDataLabelsRange val="0"/>
                </c:ext>
              </c:extLst>
            </c:dLbl>
            <c:dLbl>
              <c:idx val="19"/>
              <c:tx>
                <c:strRef>
                  <c:f>'Calculs dispo Données conso'!$AO$151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{ABC60705-E7B5-4B5B-9461-17578511CBCB}</c15:txfldGUID>
                      <c15:f>'Calculs dispo Données conso'!$AO$151</c15:f>
                      <c15:dlblFieldTableCache>
                        <c:ptCount val="1"/>
                      </c15:dlblFieldTableCache>
                    </c15:dlblFTEntry>
                  </c15:dlblFieldTable>
                  <c15:showDataLabelsRange val="0"/>
                </c:ext>
              </c:extLst>
            </c:dLbl>
            <c:dLbl>
              <c:idx val="20"/>
              <c:tx>
                <c:strRef>
                  <c:f>'Calculs dispo Données conso'!$AO$153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{43097835-EAB1-4DCF-9C48-0C66FBCE862D}</c15:txfldGUID>
                      <c15:f>'Calculs dispo Données conso'!$AO$153</c15:f>
                      <c15:dlblFieldTableCache>
                        <c:ptCount val="1"/>
                      </c15:dlblFieldTableCache>
                    </c15:dlblFTEntry>
                  </c15:dlblFieldTable>
                  <c15:showDataLabelsRange val="0"/>
                </c:ext>
              </c:extLst>
            </c:dLbl>
            <c:dLbl>
              <c:idx val="21"/>
              <c:layout>
                <c:manualLayout>
                  <c:x val="3.6977743474809491E-2"/>
                  <c:y val="0"/>
                </c:manualLayout>
              </c:layout>
              <c:tx>
                <c:strRef>
                  <c:f>'Calculs dispo Données conso'!$AO$154</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{4CFACBE6-20C1-4EA2-B110-E69D26B91DBD}</c15:txfldGUID>
                      <c15:f>'Calculs dispo Données conso'!$AO$154</c15:f>
                      <c15:dlblFieldTableCache>
                        <c:ptCount val="1"/>
                      </c15:dlblFieldTableCache>
                    </c15:dlblFTEntry>
                  </c15:dlblFieldTable>
                  <c15:showDataLabelsRange val="0"/>
                </c:ext>
              </c:extLst>
            </c:dLbl>
            <c:dLbl>
              <c:idx val="22"/>
              <c:layout>
                <c:manualLayout>
                  <c:x val="4.4517800025232923E-2"/>
                  <c:y val="0"/>
                </c:manualLayout>
              </c:layout>
              <c:tx>
                <c:strRef>
                  <c:f>'Calculs dispo Données conso'!$AO$156</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{45D35E29-F6D2-4302-AD68-D079F07846AE}</c15:txfldGUID>
                      <c15:f>'Calculs dispo Données conso'!$AO$156</c15:f>
                      <c15:dlblFieldTableCache>
                        <c:ptCount val="1"/>
                      </c15:dlblFieldTableCache>
                    </c15:dlblFTEntry>
                  </c15:dlblFieldTable>
                  <c15:showDataLabelsRange val="0"/>
                </c:ext>
              </c:extLst>
            </c:dLbl>
            <c:dLbl>
              <c:idx val="23"/>
              <c:tx>
                <c:strRef>
                  <c:f>'Calculs dispo Données conso'!$AO$157</c:f>
                  <c:strCache>
                    <c:ptCount val="1"/>
                    <c:pt idx="0">
                      <c:v>DLU - 1/8/2015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{EEC3D05A-A21B-4422-BEE4-112F301128C7}</c15:txfldGUID>
                      <c15:f>'Calculs dispo Données conso'!$AO$157</c15:f>
                      <c15:dlblFieldTableCache>
                        <c:ptCount val="1"/>
                        <c:pt idx="0">
                          <c:v>ED - 1/8/2015</c:v>
                        </c:pt>
                      </c15:dlblFieldTableCache>
                    </c15:dlblFTEntry>
                  </c15:dlblFieldTable>
                  <c15:showDataLabelsRange val="0"/>
                </c:ext>
              </c:extLst>
            </c:dLbl>
            <c:dLbl>
              <c:idx val="24"/>
              <c:tx>
                <c:strRef>
                  <c:f>'Calculs dispo Données conso'!$AO$158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{29D4C2C1-04C1-4032-851D-A82CAEFD79DA}</c15:txfldGUID>
                      <c15:f>'Calculs dispo Données conso'!$AO$158</c15:f>
                      <c15:dlblFieldTableCache>
                        <c:ptCount val="1"/>
                      </c15:dlblFieldTableCache>
                    </c15:dlblFTEntry>
                  </c15:dlblFieldTable>
                  <c15:showDataLabelsRange val="0"/>
                </c:ext>
              </c:extLst>
            </c:dLbl>
            <c:dLbl>
              <c:idx val="25"/>
              <c:layout>
                <c:manualLayout>
                  <c:x val="3.8234419566545698E-2"/>
                  <c:y val="0"/>
                </c:manualLayout>
              </c:layout>
              <c:tx>
                <c:strRef>
                  <c:f>'Calculs dispo Données conso'!$AO$159</c:f>
                  <c:strCache>
                    <c:ptCount val="1"/>
                    <c:pt idx="0">
                      <c:v>10/05/2015</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{F2E55C4D-3E70-4101-975A-E25CF891EA6D}</c15:txfldGUID>
                      <c15:f>'Calculs dispo Données conso'!$AO$159</c15:f>
                      <c15:dlblFieldTableCache>
                        <c:ptCount val="1"/>
                        <c:pt idx="0">
                          <c:v>10/05/2015</c:v>
                        </c:pt>
                      </c15:dlblFieldTableCache>
                    </c15:dlblFTEntry>
                  </c15:dlblFieldTable>
                  <c15:showDataLabelsRange val="0"/>
                </c:ext>
              </c:extLst>
            </c:dLbl>
            <c:dLbl>
              <c:idx val="26"/>
              <c:tx>
                <c:strRef>
                  <c:f>'Calculs dispo Données conso'!$AO$160</c:f>
                  <c:strCache>
                    <c:ptCount val="1"/>
                    <c:pt idx="0">
                      <c:v>DLU - 1/4/2015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{A0239AE3-4AE3-48E0-BD49-49BCAB44D21E}</c15:txfldGUID>
                      <c15:f>'Calculs dispo Données conso'!$AO$160</c15:f>
                      <c15:dlblFieldTableCache>
                        <c:ptCount val="1"/>
                        <c:pt idx="0">
                          <c:v>ED - 1/4/2015</c:v>
                        </c:pt>
                      </c15:dlblFieldTableCache>
                    </c15:dlblFTEntry>
                  </c15:dlblFieldTable>
                  <c15:showDataLabelsRange val="0"/>
                </c:ext>
              </c:extLst>
            </c:dLbl>
            <c:dLbl>
              <c:idx val="27"/>
              <c:tx>
                <c:strRef>
                  <c:f>'Calculs dispo Données conso'!$AO$163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{0FB5458C-B7AA-45DD-B483-4C37F4BC02AE}</c15:txfldGUID>
                      <c15:f>'Calculs dispo Données conso'!$AO$163</c15:f>
                      <c15:dlblFieldTableCache>
                        <c:ptCount val="1"/>
                      </c15:dlblFieldTableCache>
                    </c15:dlblFTEntry>
                  </c15:dlblFieldTable>
                  <c15:showDataLabelsRange val="0"/>
                </c:ext>
              </c:extLst>
            </c:dLbl>
            <c:dLbl>
              <c:idx val="28"/>
              <c:tx>
                <c:strRef>
                  <c:f>'Calculs dispo Données conso'!$AO$165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{873AA2CB-2CAD-484F-ADE4-8711478F4997}</c15:txfldGUID>
                      <c15:f>'Calculs dispo Données conso'!$AO$165</c15:f>
                      <c15:dlblFieldTableCache>
                        <c:ptCount val="1"/>
                      </c15:dlblFieldTableCache>
                    </c15:dlblFTEntry>
                  </c15:dlblFieldTable>
                  <c15:showDataLabelsRange val="0"/>
                </c:ext>
              </c:extLst>
            </c:dLbl>
            <c:dLbl>
              <c:idx val="29"/>
              <c:tx>
                <c:strRef>
                  <c:f>'Calculs dispo Données conso'!$AO$161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{8D2E1F55-79F9-4A52-AE66-D73D8ED7F9CA}</c15:txfldGUID>
                      <c15:f>'Calculs dispo Données conso'!$AO$161</c15:f>
                      <c15:dlblFieldTableCache>
                        <c:ptCount val="1"/>
                      </c15:dlblFieldTableCache>
                    </c15:dlblFTEntry>
                  </c15:dlblFieldTable>
                  <c15:showDataLabelsRange val="0"/>
                </c:ext>
              </c:extLst>
            </c:dLbl>
            <c:dLbl>
              <c:idx val="30"/>
              <c:tx>
                <c:strRef>
                  <c:f>'Calculs dispo Données conso'!$AO$164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{BBB93028-00D5-4122-AE42-74BF96E8DF3E}</c15:txfldGUID>
                      <c15:f>'Calculs dispo Données conso'!$AO$164</c15:f>
                      <c15:dlblFieldTableCache>
                        <c:ptCount val="1"/>
                      </c15:dlblFieldTableCache>
                    </c15:dlblFTEntry>
                  </c15:dlblFieldTable>
                  <c15:showDataLabelsRange val="0"/>
                </c:ext>
              </c:extLst>
            </c:dLbl>
            <c:dLbl>
              <c:idx val="31"/>
              <c:layout>
                <c:manualLayout>
                  <c:x val="4.0747771750020513E-2"/>
                  <c:y val="0"/>
                </c:manualLayout>
              </c:layout>
              <c:tx>
                <c:strRef>
                  <c:f>'Calculs dispo Données conso'!$AO$166</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{7B47A290-EB9F-485E-86BC-75FA9CC44DA3}</c15:txfldGUID>
                      <c15:f>'Calculs dispo Données conso'!$AO$166</c15:f>
                      <c15:dlblFieldTableCache>
                        <c:ptCount val="1"/>
                      </c15:dlblFieldTableCache>
                    </c15:dlblFTEntry>
                  </c15:dlblFieldTable>
                  <c15:showDataLabelsRange val="0"/>
                </c:ext>
              </c:extLst>
            </c:dLbl>
            <c:dLbl>
              <c:idx val="32"/>
              <c:tx>
                <c:strRef>
                  <c:f>'Calculs dispo Données conso'!$AO$167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{D6706B52-F654-4A36-8168-423A4167BE83}</c15:txfldGUID>
                      <c15:f>'Calculs dispo Données conso'!$AO$167</c15:f>
                      <c15:dlblFieldTableCache>
                        <c:ptCount val="1"/>
                      </c15:dlblFieldTableCache>
                    </c15:dlblFTEntry>
                  </c15:dlblFieldTable>
                  <c15:showDataLabelsRange val="0"/>
                </c:ext>
              </c:extLst>
            </c:dLbl>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conso'!$H$127:$H$167</c:f>
              <c:strCache>
                <c:ptCount val="41"/>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pt idx="15">
                  <c:v>EFV - 50 mg - B/30</c:v>
                </c:pt>
                <c:pt idx="16">
                  <c:v>EFV - 200 mg - B/90</c:v>
                </c:pt>
                <c:pt idx="17">
                  <c:v>EFV - 600 mg - B/30</c:v>
                </c:pt>
                <c:pt idx="18">
                  <c:v>ETV - 200 mg - B/60</c:v>
                </c:pt>
                <c:pt idx="19">
                  <c:v>NVP - 200 mg - B/60</c:v>
                </c:pt>
                <c:pt idx="20">
                  <c:v>RPV - 25 mg - B/30</c:v>
                </c:pt>
                <c:pt idx="21">
                  <c:v>ABC - 300 mg - B/60</c:v>
                </c:pt>
                <c:pt idx="22">
                  <c:v>ABC - 60 mg - B/60</c:v>
                </c:pt>
                <c:pt idx="23">
                  <c:v>AZT - 300 mg - B/60</c:v>
                </c:pt>
                <c:pt idx="24">
                  <c:v>AZT - 100 mg - B/100</c:v>
                </c:pt>
                <c:pt idx="25">
                  <c:v>AZT - 60 mg - B/60</c:v>
                </c:pt>
                <c:pt idx="26">
                  <c:v>D4T - 30 mg - B/60</c:v>
                </c:pt>
                <c:pt idx="27">
                  <c:v>3TC - 150 mg - B/60</c:v>
                </c:pt>
                <c:pt idx="28">
                  <c:v>3TC - 30 mg - B/60</c:v>
                </c:pt>
                <c:pt idx="29">
                  <c:v>DDI - 250 mg - B/30</c:v>
                </c:pt>
                <c:pt idx="30">
                  <c:v>DDI - 400 mg - B/30</c:v>
                </c:pt>
                <c:pt idx="31">
                  <c:v>TDF - 300 mg - B/30</c:v>
                </c:pt>
                <c:pt idx="32">
                  <c:v>LPV/r - 200/50 mg - B/120</c:v>
                </c:pt>
                <c:pt idx="33">
                  <c:v>LPV/r - 100/25 mg - B/60</c:v>
                </c:pt>
                <c:pt idx="34">
                  <c:v>ATV/r - 300/100 mg - B/60</c:v>
                </c:pt>
                <c:pt idx="35">
                  <c:v>FPV - 700 mg - B/60</c:v>
                </c:pt>
                <c:pt idx="36">
                  <c:v>IDV - 400 mg - B/180</c:v>
                </c:pt>
                <c:pt idx="37">
                  <c:v>DRV - 300 mg - B/120</c:v>
                </c:pt>
                <c:pt idx="38">
                  <c:v>SQV - 500 mg - B/120</c:v>
                </c:pt>
                <c:pt idx="39">
                  <c:v>RTV - 100 mg - B/84</c:v>
                </c:pt>
                <c:pt idx="40">
                  <c:v>RLT = RAL - 400 mg - B/60</c:v>
                </c:pt>
              </c:strCache>
            </c:strRef>
          </c:cat>
          <c:val>
            <c:numRef>
              <c:f>'Calculs dispo Données conso'!$AK$127:$AK$167</c:f>
              <c:numCache>
                <c:formatCode>0.0</c:formatCode>
                <c:ptCount val="41"/>
                <c:pt idx="0">
                  <c:v>0</c:v>
                </c:pt>
                <c:pt idx="1">
                  <c:v>0</c:v>
                </c:pt>
                <c:pt idx="2">
                  <c:v>0</c:v>
                </c:pt>
                <c:pt idx="3">
                  <c:v>0</c:v>
                </c:pt>
                <c:pt idx="4">
                  <c:v>0</c:v>
                </c:pt>
                <c:pt idx="5">
                  <c:v>0</c:v>
                </c:pt>
                <c:pt idx="6">
                  <c:v>-4.4408920985006262E-16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4.0856207306205761E-14</c:v>
                </c:pt>
                <c:pt idx="22">
                  <c:v>0</c:v>
                </c:pt>
                <c:pt idx="23">
                  <c:v>0</c:v>
                </c:pt>
                <c:pt idx="24">
                  <c:v>0</c:v>
                </c:pt>
                <c:pt idx="25">
                  <c:v>0</c:v>
                </c:pt>
                <c:pt idx="26">
                  <c:v>0</c:v>
                </c:pt>
                <c:pt idx="27">
                  <c:v>0</c:v>
                </c:pt>
                <c:pt idx="28">
                  <c:v>0</c:v>
                </c:pt>
                <c:pt idx="29">
                  <c:v>0</c:v>
                </c:pt>
                <c:pt idx="30">
                  <c:v>-1.7763568394002505E-15</c:v>
                </c:pt>
                <c:pt idx="31">
                  <c:v>0</c:v>
                </c:pt>
                <c:pt idx="32">
                  <c:v>0</c:v>
                </c:pt>
                <c:pt idx="33">
                  <c:v>0</c:v>
                </c:pt>
                <c:pt idx="34">
                  <c:v>0</c:v>
                </c:pt>
                <c:pt idx="35">
                  <c:v>0</c:v>
                </c:pt>
                <c:pt idx="36">
                  <c:v>0</c:v>
                </c:pt>
                <c:pt idx="37">
                  <c:v>0</c:v>
                </c:pt>
                <c:pt idx="38">
                  <c:v>0</c:v>
                </c:pt>
                <c:pt idx="39">
                  <c:v>0</c:v>
                </c:pt>
                <c:pt idx="40">
                  <c:v>0</c:v>
                </c:pt>
              </c:numCache>
            </c:numRef>
          </c:val>
        </c:ser>
        <c:dLbls>
          <c:showLegendKey val="0"/>
          <c:showVal val="0"/>
          <c:showCatName val="0"/>
          <c:showSerName val="0"/>
          <c:showPercent val="0"/>
          <c:showBubbleSize val="0"/>
        </c:dLbls>
        <c:gapWidth val="150"/>
        <c:overlap val="100"/>
        <c:axId val="159964544"/>
        <c:axId val="159974528"/>
      </c:barChart>
      <c:catAx>
        <c:axId val="159964544"/>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59974528"/>
        <c:crosses val="autoZero"/>
        <c:auto val="1"/>
        <c:lblAlgn val="ctr"/>
        <c:lblOffset val="100"/>
        <c:tickMarkSkip val="2"/>
        <c:noMultiLvlLbl val="0"/>
      </c:catAx>
      <c:valAx>
        <c:axId val="159974528"/>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0.20339253069332441"/>
              <c:y val="0.11233362496354622"/>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59964544"/>
        <c:crosses val="autoZero"/>
        <c:crossBetween val="between"/>
        <c:majorUnit val="3"/>
      </c:valAx>
      <c:spPr>
        <a:ln>
          <a:solidFill>
            <a:schemeClr val="bg1">
              <a:lumMod val="50000"/>
            </a:schemeClr>
          </a:solidFill>
        </a:ln>
      </c:spPr>
    </c:plotArea>
    <c:legend>
      <c:legendPos val="b"/>
      <c:layout>
        <c:manualLayout>
          <c:xMode val="edge"/>
          <c:yMode val="edge"/>
          <c:x val="4.9999975262281712E-2"/>
          <c:y val="0.94614275298920969"/>
          <c:w val="0.89999995052458814"/>
          <c:h val="3.1635024788568292E-2"/>
        </c:manualLayout>
      </c:layout>
      <c:overlay val="0"/>
      <c:txPr>
        <a:bodyPr/>
        <a:lstStyle/>
        <a:p>
          <a:pPr>
            <a:defRPr lang="fr-FR"/>
          </a:pPr>
          <a:endParaRPr lang="en-US"/>
        </a:p>
      </c:txPr>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pPr>
          <a:endParaRPr lang="en-US"/>
        </a:p>
      </c:txPr>
    </c:title>
    <c:autoTitleDeleted val="0"/>
    <c:plotArea>
      <c:layout>
        <c:manualLayout>
          <c:layoutTarget val="inner"/>
          <c:xMode val="edge"/>
          <c:yMode val="edge"/>
          <c:x val="0.20683442818235859"/>
          <c:y val="0.18332195975503071"/>
          <c:w val="0.60614643244995914"/>
          <c:h val="0.76009521726455187"/>
        </c:manualLayout>
      </c:layout>
      <c:barChart>
        <c:barDir val="bar"/>
        <c:grouping val="stacked"/>
        <c:varyColors val="0"/>
        <c:ser>
          <c:idx val="0"/>
          <c:order val="0"/>
          <c:tx>
            <c:strRef>
              <c:f>'Calculs dispo Données conso'!$X$126</c:f>
              <c:strCache>
                <c:ptCount val="1"/>
                <c:pt idx="0">
                  <c:v>Nombre de mois de disponibilité de produits hors ST</c:v>
                </c:pt>
              </c:strCache>
            </c:strRef>
          </c:tx>
          <c:spPr>
            <a:solidFill>
              <a:srgbClr val="4F81BD"/>
            </a:solidFill>
            <a:ln w="9525"/>
          </c:spPr>
          <c:invertIfNegative val="1"/>
          <c:cat>
            <c:strRef>
              <c:f>'Calculs dispo Données conso'!$H$127:$H$141</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conso'!$X$127:$X$141</c:f>
              <c:numCache>
                <c:formatCode>0.0</c:formatCode>
                <c:ptCount val="15"/>
                <c:pt idx="0">
                  <c:v>8.3430104133796146</c:v>
                </c:pt>
                <c:pt idx="1">
                  <c:v>-0.21245421245421259</c:v>
                </c:pt>
                <c:pt idx="2">
                  <c:v>5.7780821917808218</c:v>
                </c:pt>
                <c:pt idx="3">
                  <c:v>6.7474348855564319</c:v>
                </c:pt>
                <c:pt idx="4">
                  <c:v>3.1849315068493151</c:v>
                </c:pt>
                <c:pt idx="5">
                  <c:v>0.33928571428571441</c:v>
                </c:pt>
                <c:pt idx="6">
                  <c:v>0.84657534246575361</c:v>
                </c:pt>
                <c:pt idx="7">
                  <c:v>0</c:v>
                </c:pt>
                <c:pt idx="8">
                  <c:v>-2.1780821917808222</c:v>
                </c:pt>
                <c:pt idx="9">
                  <c:v>-2.6444444444444444</c:v>
                </c:pt>
                <c:pt idx="10">
                  <c:v>0</c:v>
                </c:pt>
                <c:pt idx="11">
                  <c:v>0</c:v>
                </c:pt>
                <c:pt idx="12">
                  <c:v>10.808219178082192</c:v>
                </c:pt>
                <c:pt idx="13">
                  <c:v>1.7671232876712324</c:v>
                </c:pt>
                <c:pt idx="14">
                  <c:v>0</c:v>
                </c:pt>
              </c:numCache>
            </c:numRef>
          </c:val>
          <c:extLst>
            <c:ext xmlns:c14="http://schemas.microsoft.com/office/drawing/2007/8/2/chart" uri="{6F2FDCE9-48DA-4B69-8628-5D25D57E5C99}">
              <c14:invertSolidFillFmt>
                <c14:spPr xmlns:c14="http://schemas.microsoft.com/office/drawing/2007/8/2/chart">
                  <a:solidFill>
                    <a:srgbClr val="FFFFFF"/>
                  </a:solidFill>
                  <a:ln w="9525"/>
                </c14:spPr>
              </c14:invertSolidFillFmt>
            </c:ext>
          </c:extLst>
        </c:ser>
        <c:ser>
          <c:idx val="1"/>
          <c:order val="1"/>
          <c:tx>
            <c:strRef>
              <c:f>'Calculs dispo Données conso'!$Y$126</c:f>
              <c:strCache>
                <c:ptCount val="1"/>
                <c:pt idx="0">
                  <c:v>Nombre de mois de stock tampon (ST - max 3 mois)</c:v>
                </c:pt>
              </c:strCache>
            </c:strRef>
          </c:tx>
          <c:invertIfNegative val="0"/>
          <c:cat>
            <c:strRef>
              <c:f>'Calculs dispo Données conso'!$H$127:$H$141</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conso'!$Y$127:$Y$141</c:f>
              <c:numCache>
                <c:formatCode>0.0</c:formatCode>
                <c:ptCount val="15"/>
                <c:pt idx="0">
                  <c:v>3</c:v>
                </c:pt>
                <c:pt idx="1">
                  <c:v>2.7875457875457874</c:v>
                </c:pt>
                <c:pt idx="2">
                  <c:v>3</c:v>
                </c:pt>
                <c:pt idx="3">
                  <c:v>3</c:v>
                </c:pt>
                <c:pt idx="4">
                  <c:v>3</c:v>
                </c:pt>
                <c:pt idx="5">
                  <c:v>3</c:v>
                </c:pt>
                <c:pt idx="6">
                  <c:v>3</c:v>
                </c:pt>
                <c:pt idx="7">
                  <c:v>0</c:v>
                </c:pt>
                <c:pt idx="8">
                  <c:v>1.1219178082191781</c:v>
                </c:pt>
                <c:pt idx="9">
                  <c:v>0.35555555555555557</c:v>
                </c:pt>
                <c:pt idx="10">
                  <c:v>0</c:v>
                </c:pt>
                <c:pt idx="11">
                  <c:v>0</c:v>
                </c:pt>
                <c:pt idx="12">
                  <c:v>3</c:v>
                </c:pt>
                <c:pt idx="13">
                  <c:v>3</c:v>
                </c:pt>
                <c:pt idx="14">
                  <c:v>0</c:v>
                </c:pt>
              </c:numCache>
            </c:numRef>
          </c:val>
        </c:ser>
        <c:ser>
          <c:idx val="3"/>
          <c:order val="2"/>
          <c:tx>
            <c:strRef>
              <c:f>'Calculs dispo Données conso'!$AJ$183</c:f>
              <c:strCache>
                <c:ptCount val="1"/>
                <c:pt idx="0">
                  <c:v>Delta Dispo/date de réception attendue</c:v>
                </c:pt>
              </c:strCache>
            </c:strRef>
          </c:tx>
          <c:spPr>
            <a:noFill/>
            <a:ln w="9525">
              <a:solidFill>
                <a:srgbClr val="FF0000"/>
              </a:solidFill>
              <a:prstDash val="sysDash"/>
            </a:ln>
          </c:spPr>
          <c:invertIfNegative val="0"/>
          <c:val>
            <c:numRef>
              <c:f>'Calculs dispo Données conso'!$AJ$184:$AJ$198</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2"/>
          <c:order val="3"/>
          <c:tx>
            <c:strRef>
              <c:f>'Calculs dispo Données conso'!$AO$183</c:f>
              <c:strCache>
                <c:ptCount val="1"/>
                <c:pt idx="0">
                  <c:v>Nb de mois de stock / commande attendue</c:v>
                </c:pt>
              </c:strCache>
            </c:strRef>
          </c:tx>
          <c:invertIfNegative val="0"/>
          <c:dLbls>
            <c:dLbl>
              <c:idx val="0"/>
              <c:layout>
                <c:manualLayout>
                  <c:x val="7.0359216408033831E-2"/>
                  <c:y val="0"/>
                </c:manualLayout>
              </c:layout>
              <c:tx>
                <c:strRef>
                  <c:f>'Calculs dispo Données conso'!$AM$184</c:f>
                  <c:strCache>
                    <c:ptCount val="1"/>
                    <c:pt idx="0">
                      <c:v>17/09/2015</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{81FA46E1-2A3C-404A-A8C9-6CB045C6463D}</c15:txfldGUID>
                      <c15:f>'Calculs dispo Données conso'!$AM$184</c15:f>
                      <c15:dlblFieldTableCache>
                        <c:ptCount val="1"/>
                        <c:pt idx="0">
                          <c:v>17/09/2015</c:v>
                        </c:pt>
                      </c15:dlblFieldTableCache>
                    </c15:dlblFTEntry>
                  </c15:dlblFieldTable>
                  <c15:showDataLabelsRange val="0"/>
                </c:ext>
              </c:extLst>
            </c:dLbl>
            <c:dLbl>
              <c:idx val="1"/>
              <c:tx>
                <c:strRef>
                  <c:f>'Calculs dispo Données conso'!$AM$185</c:f>
                  <c:strCache>
                    <c:ptCount val="1"/>
                    <c:pt idx="0">
                      <c:v>30/12/2014</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{355558AE-CDEB-46E9-A0F1-745C9D549CCD}</c15:txfldGUID>
                      <c15:f>'Calculs dispo Données conso'!$AM$185</c15:f>
                      <c15:dlblFieldTableCache>
                        <c:ptCount val="1"/>
                        <c:pt idx="0">
                          <c:v>30/12/2014</c:v>
                        </c:pt>
                      </c15:dlblFieldTableCache>
                    </c15:dlblFTEntry>
                  </c15:dlblFieldTable>
                  <c15:showDataLabelsRange val="0"/>
                </c:ext>
              </c:extLst>
            </c:dLbl>
            <c:dLbl>
              <c:idx val="2"/>
              <c:tx>
                <c:strRef>
                  <c:f>'Calculs dispo Données conso'!$AM$186</c:f>
                  <c:strCache>
                    <c:ptCount val="1"/>
                    <c:pt idx="0">
                      <c:v>DLU - 1/7/2015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{4BEFA250-53D0-4FE0-9A61-B1A6B588E596}</c15:txfldGUID>
                      <c15:f>'Calculs dispo Données conso'!$AM$186</c15:f>
                      <c15:dlblFieldTableCache>
                        <c:ptCount val="1"/>
                        <c:pt idx="0">
                          <c:v>ED - 1/7/2015</c:v>
                        </c:pt>
                      </c15:dlblFieldTableCache>
                    </c15:dlblFTEntry>
                  </c15:dlblFieldTable>
                  <c15:showDataLabelsRange val="0"/>
                </c:ext>
              </c:extLst>
            </c:dLbl>
            <c:dLbl>
              <c:idx val="3"/>
              <c:layout>
                <c:manualLayout>
                  <c:x val="3.6977743474809102E-2"/>
                  <c:y val="0"/>
                </c:manualLayout>
              </c:layout>
              <c:tx>
                <c:strRef>
                  <c:f>'Calculs dispo Données conso'!$AM$187</c:f>
                  <c:strCache>
                    <c:ptCount val="1"/>
                    <c:pt idx="0">
                      <c:v>30/07/2015</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{22BE3B6B-D19A-4298-81DF-49E88BFBF81E}</c15:txfldGUID>
                      <c15:f>'Calculs dispo Données conso'!$AM$187</c15:f>
                      <c15:dlblFieldTableCache>
                        <c:ptCount val="1"/>
                        <c:pt idx="0">
                          <c:v>30/07/2015</c:v>
                        </c:pt>
                      </c15:dlblFieldTableCache>
                    </c15:dlblFTEntry>
                  </c15:dlblFieldTable>
                  <c15:showDataLabelsRange val="0"/>
                </c:ext>
              </c:extLst>
            </c:dLbl>
            <c:dLbl>
              <c:idx val="4"/>
              <c:tx>
                <c:strRef>
                  <c:f>'Calculs dispo Données conso'!$AM$188</c:f>
                  <c:strCache>
                    <c:ptCount val="1"/>
                    <c:pt idx="0">
                      <c:v>13/04/2015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{FDC4F9DE-78F1-44B7-B931-018151A57718}</c15:txfldGUID>
                      <c15:f>'Calculs dispo Données conso'!$AM$188</c15:f>
                      <c15:dlblFieldTableCache>
                        <c:ptCount val="1"/>
                        <c:pt idx="0">
                          <c:v>13/04/2015</c:v>
                        </c:pt>
                      </c15:dlblFieldTableCache>
                    </c15:dlblFTEntry>
                  </c15:dlblFieldTable>
                  <c15:showDataLabelsRange val="0"/>
                </c:ext>
              </c:extLst>
            </c:dLbl>
            <c:dLbl>
              <c:idx val="5"/>
              <c:tx>
                <c:strRef>
                  <c:f>'Calculs dispo Données conso'!$AM$189</c:f>
                  <c:strCache>
                    <c:ptCount val="1"/>
                    <c:pt idx="0">
                      <c:v>01/07/2015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{E0DEEFBD-8821-47FB-A010-0495F577B6CA}</c15:txfldGUID>
                      <c15:f>'Calculs dispo Données conso'!$AM$189</c15:f>
                      <c15:dlblFieldTableCache>
                        <c:ptCount val="1"/>
                        <c:pt idx="0">
                          <c:v>01/07/2015</c:v>
                        </c:pt>
                      </c15:dlblFieldTableCache>
                    </c15:dlblFTEntry>
                  </c15:dlblFieldTable>
                  <c15:showDataLabelsRange val="0"/>
                </c:ext>
              </c:extLst>
            </c:dLbl>
            <c:dLbl>
              <c:idx val="6"/>
              <c:tx>
                <c:strRef>
                  <c:f>'Calculs dispo Données conso'!$AM$190</c:f>
                  <c:strCache>
                    <c:ptCount val="1"/>
                    <c:pt idx="0">
                      <c:v>DLU - 1/2/2015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{45FA48E7-22EA-4E53-A53F-FB6E3BC9926B}</c15:txfldGUID>
                      <c15:f>'Calculs dispo Données conso'!$AM$190</c15:f>
                      <c15:dlblFieldTableCache>
                        <c:ptCount val="1"/>
                        <c:pt idx="0">
                          <c:v>ED - 1/2/2015</c:v>
                        </c:pt>
                      </c15:dlblFieldTableCache>
                    </c15:dlblFTEntry>
                  </c15:dlblFieldTable>
                  <c15:showDataLabelsRange val="0"/>
                </c:ext>
              </c:extLst>
            </c:dLbl>
            <c:dLbl>
              <c:idx val="7"/>
              <c:layout>
                <c:manualLayout>
                  <c:x val="8.2152775200932018E-2"/>
                  <c:y val="-6.7900450176111419E-17"/>
                </c:manualLayout>
              </c:layout>
              <c:tx>
                <c:strRef>
                  <c:f>'Calculs dispo Données conso'!$AM$191</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{23A8DC78-BFE7-4A86-AAE7-6FC4483DB87F}</c15:txfldGUID>
                      <c15:f>'Calculs dispo Données conso'!$AM$191</c15:f>
                      <c15:dlblFieldTableCache>
                        <c:ptCount val="1"/>
                      </c15:dlblFieldTableCache>
                    </c15:dlblFTEntry>
                  </c15:dlblFieldTable>
                  <c15:showDataLabelsRange val="0"/>
                </c:ext>
              </c:extLst>
            </c:dLbl>
            <c:dLbl>
              <c:idx val="8"/>
              <c:layout>
                <c:manualLayout>
                  <c:x val="3.8234419566545698E-2"/>
                  <c:y val="0"/>
                </c:manualLayout>
              </c:layout>
              <c:tx>
                <c:strRef>
                  <c:f>'Calculs dispo Données conso'!$AM$192</c:f>
                  <c:strCache>
                    <c:ptCount val="1"/>
                    <c:pt idx="0">
                      <c:v>DLU - 1/11/2014</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{D4B99816-BD3E-4DC5-853A-67A6BE5F0FD9}</c15:txfldGUID>
                      <c15:f>'Calculs dispo Données conso'!$AM$192</c15:f>
                      <c15:dlblFieldTableCache>
                        <c:ptCount val="1"/>
                        <c:pt idx="0">
                          <c:v>ED - 1/11/2014</c:v>
                        </c:pt>
                      </c15:dlblFieldTableCache>
                    </c15:dlblFTEntry>
                  </c15:dlblFieldTable>
                  <c15:showDataLabelsRange val="0"/>
                </c:ext>
              </c:extLst>
            </c:dLbl>
            <c:dLbl>
              <c:idx val="9"/>
              <c:tx>
                <c:strRef>
                  <c:f>'Calculs dispo Données conso'!$AM$193</c:f>
                  <c:strCache>
                    <c:ptCount val="1"/>
                    <c:pt idx="0">
                      <c:v>17/10/2014</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{2F136B13-C471-484F-B682-FC2822363B86}</c15:txfldGUID>
                      <c15:f>'Calculs dispo Données conso'!$AM$193</c15:f>
                      <c15:dlblFieldTableCache>
                        <c:ptCount val="1"/>
                        <c:pt idx="0">
                          <c:v>17/10/2014</c:v>
                        </c:pt>
                      </c15:dlblFieldTableCache>
                    </c15:dlblFTEntry>
                  </c15:dlblFieldTable>
                  <c15:showDataLabelsRange val="0"/>
                </c:ext>
              </c:extLst>
            </c:dLbl>
            <c:dLbl>
              <c:idx val="10"/>
              <c:tx>
                <c:strRef>
                  <c:f>'Calculs dispo Données conso'!$AM$194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{78C0F828-B42A-414D-B6A7-D06381A35018}</c15:txfldGUID>
                      <c15:f>'Calculs dispo Données conso'!$AM$194</c15:f>
                      <c15:dlblFieldTableCache>
                        <c:ptCount val="1"/>
                      </c15:dlblFieldTableCache>
                    </c15:dlblFTEntry>
                  </c15:dlblFieldTable>
                  <c15:showDataLabelsRange val="0"/>
                </c:ext>
              </c:extLst>
            </c:dLbl>
            <c:dLbl>
              <c:idx val="11"/>
              <c:tx>
                <c:strRef>
                  <c:f>'Calculs dispo Données conso'!$AM$195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{96AF2873-9BF7-4657-A21D-7AC0E15EAA14}</c15:txfldGUID>
                      <c15:f>'Calculs dispo Données conso'!$AM$195</c15:f>
                      <c15:dlblFieldTableCache>
                        <c:ptCount val="1"/>
                      </c15:dlblFieldTableCache>
                    </c15:dlblFTEntry>
                  </c15:dlblFieldTable>
                  <c15:showDataLabelsRange val="0"/>
                </c:ext>
              </c:extLst>
            </c:dLbl>
            <c:dLbl>
              <c:idx val="12"/>
              <c:tx>
                <c:strRef>
                  <c:f>'Calculs dispo Données conso'!$AM$196</c:f>
                  <c:strCache>
                    <c:ptCount val="1"/>
                    <c:pt idx="0">
                      <c:v>DLU - 1/12/2015</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{AB3C99F9-6756-45F8-A5D9-DB1604F7B2E7}</c15:txfldGUID>
                      <c15:f>'Calculs dispo Données conso'!$AM$196</c15:f>
                      <c15:dlblFieldTableCache>
                        <c:ptCount val="1"/>
                        <c:pt idx="0">
                          <c:v>ED - 1/12/2015</c:v>
                        </c:pt>
                      </c15:dlblFieldTableCache>
                    </c15:dlblFTEntry>
                  </c15:dlblFieldTable>
                  <c15:showDataLabelsRange val="0"/>
                </c:ext>
              </c:extLst>
            </c:dLbl>
            <c:dLbl>
              <c:idx val="13"/>
              <c:layout>
                <c:manualLayout>
                  <c:x val="3.6977743474809102E-2"/>
                  <c:y val="0"/>
                </c:manualLayout>
              </c:layout>
              <c:tx>
                <c:strRef>
                  <c:f>'Calculs dispo Données conso'!$AM$197</c:f>
                  <c:strCache>
                    <c:ptCount val="1"/>
                    <c:pt idx="0">
                      <c:v>DLU - 1/3/2015</c:v>
                    </c:pt>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{A0738683-1F87-4F1A-A26B-58F2D4C16220}</c15:txfldGUID>
                      <c15:f>'Calculs dispo Données conso'!$AM$197</c15:f>
                      <c15:dlblFieldTableCache>
                        <c:ptCount val="1"/>
                        <c:pt idx="0">
                          <c:v>ED - 1/3/2015</c:v>
                        </c:pt>
                      </c15:dlblFieldTableCache>
                    </c15:dlblFTEntry>
                  </c15:dlblFieldTable>
                  <c15:showDataLabelsRange val="0"/>
                </c:ext>
              </c:extLst>
            </c:dLbl>
            <c:dLbl>
              <c:idx val="14"/>
              <c:tx>
                <c:strRef>
                  <c:f>'Calculs dispo Données conso'!$AM$198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{F9072C4D-D7A9-475C-A606-240226CF303D}</c15:txfldGUID>
                      <c15:f>'Calculs dispo Données conso'!$AM$198</c15:f>
                      <c15:dlblFieldTableCache>
                        <c:ptCount val="1"/>
                      </c15:dlblFieldTableCache>
                    </c15:dlblFTEntry>
                  </c15:dlblFieldTable>
                  <c15:showDataLabelsRange val="0"/>
                </c:ext>
              </c:extLst>
            </c:dLbl>
            <c:dLbl>
              <c:idx val="15"/>
              <c:tx>
                <c:strRef>
                  <c:f>'Calculs dispo Données conso'!$AM$201</c:f>
                  <c:strCache>
                    <c:ptCount val="1"/>
                    <c:pt idx="0">
                      <c:v>31/05/2015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{B718DE52-F957-41BC-B431-099C8FDA5FC8}</c15:txfldGUID>
                      <c15:f>'Calculs dispo Données conso'!$AM$201</c15:f>
                      <c15:dlblFieldTableCache>
                        <c:ptCount val="1"/>
                        <c:pt idx="0">
                          <c:v>31/05/2015</c:v>
                        </c:pt>
                      </c15:dlblFieldTableCache>
                    </c15:dlblFTEntry>
                  </c15:dlblFieldTable>
                  <c15:showDataLabelsRange val="0"/>
                </c:ext>
              </c:extLst>
            </c:dLbl>
            <c:dLbl>
              <c:idx val="16"/>
              <c:tx>
                <c:strRef>
                  <c:f>'Calculs dispo Données conso'!$AM$203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{5F020E05-450E-45D0-AB31-ED3D19725586}</c15:txfldGUID>
                      <c15:f>'Calculs dispo Données conso'!$AM$203</c15:f>
                      <c15:dlblFieldTableCache>
                        <c:ptCount val="1"/>
                      </c15:dlblFieldTableCache>
                    </c15:dlblFTEntry>
                  </c15:dlblFieldTable>
                  <c15:showDataLabelsRange val="0"/>
                </c:ext>
              </c:extLst>
            </c:dLbl>
            <c:dLbl>
              <c:idx val="17"/>
              <c:tx>
                <c:strRef>
                  <c:f>'Calculs dispo Données conso'!$AM$205</c:f>
                  <c:strCache>
                    <c:ptCount val="1"/>
                    <c:pt idx="0">
                      <c:v>DLU - 1/2/2015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{693E5E26-D047-4BDC-B30D-30F12896C600}</c15:txfldGUID>
                      <c15:f>'Calculs dispo Données conso'!$AM$205</c15:f>
                      <c15:dlblFieldTableCache>
                        <c:ptCount val="1"/>
                        <c:pt idx="0">
                          <c:v>ED - 1/2/2015</c:v>
                        </c:pt>
                      </c15:dlblFieldTableCache>
                    </c15:dlblFTEntry>
                  </c15:dlblFieldTable>
                  <c15:showDataLabelsRange val="0"/>
                </c:ext>
              </c:extLst>
            </c:dLbl>
            <c:dLbl>
              <c:idx val="18"/>
              <c:tx>
                <c:strRef>
                  <c:f>'Calculs dispo Données conso'!$AM$207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{AD5EF1D3-D647-4C67-90C4-67C312B32338}</c15:txfldGUID>
                      <c15:f>'Calculs dispo Données conso'!$AM$207</c15:f>
                      <c15:dlblFieldTableCache>
                        <c:ptCount val="1"/>
                      </c15:dlblFieldTableCache>
                    </c15:dlblFTEntry>
                  </c15:dlblFieldTable>
                  <c15:showDataLabelsRange val="0"/>
                </c:ext>
              </c:extLst>
            </c:dLbl>
            <c:dLbl>
              <c:idx val="19"/>
              <c:tx>
                <c:strRef>
                  <c:f>'Calculs dispo Données conso'!$AM$208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{E7A543CF-24DC-4F48-A7A5-831B0BAA5273}</c15:txfldGUID>
                      <c15:f>'Calculs dispo Données conso'!$AM$208</c15:f>
                      <c15:dlblFieldTableCache>
                        <c:ptCount val="1"/>
                      </c15:dlblFieldTableCache>
                    </c15:dlblFTEntry>
                  </c15:dlblFieldTable>
                  <c15:showDataLabelsRange val="0"/>
                </c:ext>
              </c:extLst>
            </c:dLbl>
            <c:dLbl>
              <c:idx val="20"/>
              <c:tx>
                <c:strRef>
                  <c:f>'Calculs dispo Données conso'!$AM$210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{57F8C1CB-C676-4D91-9D35-35B11568B0C3}</c15:txfldGUID>
                      <c15:f>'Calculs dispo Données conso'!$AM$210</c15:f>
                      <c15:dlblFieldTableCache>
                        <c:ptCount val="1"/>
                      </c15:dlblFieldTableCache>
                    </c15:dlblFTEntry>
                  </c15:dlblFieldTable>
                  <c15:showDataLabelsRange val="0"/>
                </c:ext>
              </c:extLst>
            </c:dLbl>
            <c:dLbl>
              <c:idx val="21"/>
              <c:tx>
                <c:strRef>
                  <c:f>'Calculs dispo Données conso'!$AM$211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{EB88217B-3363-44C6-9FE1-2DC962D83557}</c15:txfldGUID>
                      <c15:f>'Calculs dispo Données conso'!$AM$211</c15:f>
                      <c15:dlblFieldTableCache>
                        <c:ptCount val="1"/>
                      </c15:dlblFieldTableCache>
                    </c15:dlblFTEntry>
                  </c15:dlblFieldTable>
                  <c15:showDataLabelsRange val="0"/>
                </c:ext>
              </c:extLst>
            </c:dLbl>
            <c:dLbl>
              <c:idx val="22"/>
              <c:tx>
                <c:strRef>
                  <c:f>'Calculs dispo Données conso'!$AM$213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{EE2DCA72-72D5-4F85-9E43-9C1A21EB7D6E}</c15:txfldGUID>
                      <c15:f>'Calculs dispo Données conso'!$AM$213</c15:f>
                      <c15:dlblFieldTableCache>
                        <c:ptCount val="1"/>
                      </c15:dlblFieldTableCache>
                    </c15:dlblFTEntry>
                  </c15:dlblFieldTable>
                  <c15:showDataLabelsRange val="0"/>
                </c:ext>
              </c:extLst>
            </c:dLbl>
            <c:dLbl>
              <c:idx val="23"/>
              <c:tx>
                <c:strRef>
                  <c:f>'Calculs dispo Données conso'!$AM$214</c:f>
                  <c:strCache>
                    <c:ptCount val="1"/>
                    <c:pt idx="0">
                      <c:v>DLU - 1/8/2015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{030BD03C-F10B-44E3-A6F7-118AE5A60286}</c15:txfldGUID>
                      <c15:f>'Calculs dispo Données conso'!$AM$214</c15:f>
                      <c15:dlblFieldTableCache>
                        <c:ptCount val="1"/>
                        <c:pt idx="0">
                          <c:v>ED - 1/8/2015</c:v>
                        </c:pt>
                      </c15:dlblFieldTableCache>
                    </c15:dlblFTEntry>
                  </c15:dlblFieldTable>
                  <c15:showDataLabelsRange val="0"/>
                </c:ext>
              </c:extLst>
            </c:dLbl>
            <c:dLbl>
              <c:idx val="24"/>
              <c:tx>
                <c:strRef>
                  <c:f>'Calculs dispo Données conso'!$AM$215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{40A6F01E-4D4F-4975-BC55-9375CC2EC0E4}</c15:txfldGUID>
                      <c15:f>'Calculs dispo Données conso'!$AM$215</c15:f>
                      <c15:dlblFieldTableCache>
                        <c:ptCount val="1"/>
                      </c15:dlblFieldTableCache>
                    </c15:dlblFTEntry>
                  </c15:dlblFieldTable>
                  <c15:showDataLabelsRange val="0"/>
                </c:ext>
              </c:extLst>
            </c:dLbl>
            <c:dLbl>
              <c:idx val="25"/>
              <c:tx>
                <c:strRef>
                  <c:f>'Calculs dispo Données conso'!$AM$216</c:f>
                  <c:strCache>
                    <c:ptCount val="1"/>
                    <c:pt idx="0">
                      <c:v>10/05/2015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{10F21588-9265-4E45-B436-34E7EE34D56C}</c15:txfldGUID>
                      <c15:f>'Calculs dispo Données conso'!$AM$216</c15:f>
                      <c15:dlblFieldTableCache>
                        <c:ptCount val="1"/>
                        <c:pt idx="0">
                          <c:v>10/05/2015</c:v>
                        </c:pt>
                      </c15:dlblFieldTableCache>
                    </c15:dlblFTEntry>
                  </c15:dlblFieldTable>
                  <c15:showDataLabelsRange val="0"/>
                </c:ext>
              </c:extLst>
            </c:dLbl>
            <c:dLbl>
              <c:idx val="26"/>
              <c:tx>
                <c:strRef>
                  <c:f>'Calculs dispo Données conso'!$AM$217</c:f>
                  <c:strCache>
                    <c:ptCount val="1"/>
                    <c:pt idx="0">
                      <c:v>DLU - 1/4/2015</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{457983B5-B475-4359-BEBF-4198921E29DB}</c15:txfldGUID>
                      <c15:f>'Calculs dispo Données conso'!$AM$217</c15:f>
                      <c15:dlblFieldTableCache>
                        <c:ptCount val="1"/>
                        <c:pt idx="0">
                          <c:v>ED - 1/4/2015</c:v>
                        </c:pt>
                      </c15:dlblFieldTableCache>
                    </c15:dlblFTEntry>
                  </c15:dlblFieldTable>
                  <c15:showDataLabelsRange val="0"/>
                </c:ext>
              </c:extLst>
            </c:dLbl>
            <c:dLbl>
              <c:idx val="27"/>
              <c:tx>
                <c:strRef>
                  <c:f>'Calculs dispo Données conso'!$AM$220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{8921B00D-D4AC-434F-82C2-1F837E061E30}</c15:txfldGUID>
                      <c15:f>'Calculs dispo Données conso'!$AM$220</c15:f>
                      <c15:dlblFieldTableCache>
                        <c:ptCount val="1"/>
                      </c15:dlblFieldTableCache>
                    </c15:dlblFTEntry>
                  </c15:dlblFieldTable>
                  <c15:showDataLabelsRange val="0"/>
                </c:ext>
              </c:extLst>
            </c:dLbl>
            <c:dLbl>
              <c:idx val="28"/>
              <c:tx>
                <c:strRef>
                  <c:f>'Calculs dispo Données conso'!$AM$222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{1D55336F-91E6-425B-813D-5AA113B2B6C5}</c15:txfldGUID>
                      <c15:f>'Calculs dispo Données conso'!$AM$222</c15:f>
                      <c15:dlblFieldTableCache>
                        <c:ptCount val="1"/>
                      </c15:dlblFieldTableCache>
                    </c15:dlblFTEntry>
                  </c15:dlblFieldTable>
                  <c15:showDataLabelsRange val="0"/>
                </c:ext>
              </c:extLst>
            </c:dLbl>
            <c:dLbl>
              <c:idx val="29"/>
              <c:tx>
                <c:strRef>
                  <c:f>'Calculs dispo Données conso'!$AM$218</c:f>
                  <c:strCache>
                    <c:ptCount val="1"/>
                    <c:pt idx="0">
                      <c:v>1705B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{287E16E0-363F-436E-80B5-E36F3ED3FFD8}</c15:txfldGUID>
                      <c15:f>'Calculs dispo Données conso'!$AM$218</c15:f>
                      <c15:dlblFieldTableCache>
                        <c:ptCount val="1"/>
                        <c:pt idx="0">
                          <c:v>1705B &amp; Consumption =0</c:v>
                        </c:pt>
                      </c15:dlblFieldTableCache>
                    </c15:dlblFTEntry>
                  </c15:dlblFieldTable>
                  <c15:showDataLabelsRange val="0"/>
                </c:ext>
              </c:extLst>
            </c:dLbl>
            <c:dLbl>
              <c:idx val="30"/>
              <c:tx>
                <c:strRef>
                  <c:f>'Calculs dispo Données conso'!$AM$221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{22D02758-560A-4EDB-BE19-C3760C84428C}</c15:txfldGUID>
                      <c15:f>'Calculs dispo Données conso'!$AM$221</c15:f>
                      <c15:dlblFieldTableCache>
                        <c:ptCount val="1"/>
                      </c15:dlblFieldTableCache>
                    </c15:dlblFTEntry>
                  </c15:dlblFieldTable>
                  <c15:showDataLabelsRange val="0"/>
                </c:ext>
              </c:extLst>
            </c:dLbl>
            <c:dLbl>
              <c:idx val="31"/>
              <c:tx>
                <c:strRef>
                  <c:f>'Calculs dispo Données conso'!$AM$223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{60E4F16B-12AB-497C-91F7-0C83DE26B86E}</c15:txfldGUID>
                      <c15:f>'Calculs dispo Données conso'!$AM$223</c15:f>
                      <c15:dlblFieldTableCache>
                        <c:ptCount val="1"/>
                      </c15:dlblFieldTableCache>
                    </c15:dlblFTEntry>
                  </c15:dlblFieldTable>
                  <c15:showDataLabelsRange val="0"/>
                </c:ext>
              </c:extLst>
            </c:dLbl>
            <c:dLbl>
              <c:idx val="32"/>
              <c:tx>
                <c:strRef>
                  <c:f>'Calculs dispo Données conso'!$AM$224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{6B8B92DC-7916-4109-8CAA-2193E60AB647}</c15:txfldGUID>
                      <c15:f>'Calculs dispo Données conso'!$AM$224</c15:f>
                      <c15:dlblFieldTableCache>
                        <c:ptCount val="1"/>
                      </c15:dlblFieldTableCache>
                    </c15:dlblFTEntry>
                  </c15:dlblFieldTable>
                  <c15:showDataLabelsRange val="0"/>
                </c:ext>
              </c:extLst>
            </c:dLbl>
            <c:numFmt formatCode="dd/mm/yyyy" sourceLinked="0"/>
            <c:spPr>
              <a:noFill/>
              <a:ln>
                <a:noFill/>
              </a:ln>
              <a:effectLst/>
            </c:spPr>
            <c:txPr>
              <a:bodyPr/>
              <a:lstStyle/>
              <a:p>
                <a:pPr>
                  <a:defRPr lang="fr-FR"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conso'!$H$184:$H$198</c:f>
              <c:strCache>
                <c:ptCount val="15"/>
                <c:pt idx="0">
                  <c:v>AZT+3TC+NVP - 300/150/200 mg - B/60</c:v>
                </c:pt>
                <c:pt idx="1">
                  <c:v>AZT+3TC+NVP - 60/30/50 mg - B/60</c:v>
                </c:pt>
                <c:pt idx="2">
                  <c:v>AZT+3TC+ABC - 300/150/300 mg - B/60</c:v>
                </c:pt>
                <c:pt idx="3">
                  <c:v>AZT+3TC - 300/150 mg - B/60</c:v>
                </c:pt>
                <c:pt idx="4">
                  <c:v>AZT+3TC - 60/30 mg - B/60</c:v>
                </c:pt>
                <c:pt idx="5">
                  <c:v>3TC+ABC - 300/600 mg - B/30</c:v>
                </c:pt>
                <c:pt idx="6">
                  <c:v>3TC+ABC - 30/60 mg - B/60</c:v>
                </c:pt>
                <c:pt idx="7">
                  <c:v>D4T+3TC+NVP - 30/150/200 mg - B/60</c:v>
                </c:pt>
                <c:pt idx="8">
                  <c:v>D4T+3TC+NVP - 6/30/50 mg - B/60</c:v>
                </c:pt>
                <c:pt idx="9">
                  <c:v>D4T+3TC - 30/150 mg - B/60</c:v>
                </c:pt>
                <c:pt idx="10">
                  <c:v>TDF+FTC+EFV - 300/200/600 mg - B/30</c:v>
                </c:pt>
                <c:pt idx="11">
                  <c:v>TDF+FTC - 300/200 mg - B/30</c:v>
                </c:pt>
                <c:pt idx="12">
                  <c:v>TDF+3TC+EFV - 300/200/600 mg - B/30</c:v>
                </c:pt>
                <c:pt idx="13">
                  <c:v>TDF+3TC - 300/200 mg - B/30</c:v>
                </c:pt>
                <c:pt idx="14">
                  <c:v>[TDF+3TC]+ATV/r - [300/300]+300/100 mg - B/30</c:v>
                </c:pt>
              </c:strCache>
            </c:strRef>
          </c:cat>
          <c:val>
            <c:numRef>
              <c:f>'Calculs dispo Données conso'!$AO$184:$AO$198</c:f>
              <c:numCache>
                <c:formatCode>0.0</c:formatCode>
                <c:ptCount val="15"/>
                <c:pt idx="0">
                  <c:v>0</c:v>
                </c:pt>
                <c:pt idx="1">
                  <c:v>0</c:v>
                </c:pt>
                <c:pt idx="2">
                  <c:v>0</c:v>
                </c:pt>
                <c:pt idx="3">
                  <c:v>0</c:v>
                </c:pt>
                <c:pt idx="4">
                  <c:v>0</c:v>
                </c:pt>
                <c:pt idx="5">
                  <c:v>5.4464285714285721</c:v>
                </c:pt>
                <c:pt idx="6">
                  <c:v>0</c:v>
                </c:pt>
                <c:pt idx="7">
                  <c:v>0</c:v>
                </c:pt>
                <c:pt idx="8">
                  <c:v>0</c:v>
                </c:pt>
                <c:pt idx="9">
                  <c:v>0</c:v>
                </c:pt>
                <c:pt idx="10">
                  <c:v>0</c:v>
                </c:pt>
                <c:pt idx="11">
                  <c:v>0</c:v>
                </c:pt>
                <c:pt idx="12">
                  <c:v>0</c:v>
                </c:pt>
                <c:pt idx="13">
                  <c:v>0</c:v>
                </c:pt>
                <c:pt idx="14">
                  <c:v>0</c:v>
                </c:pt>
              </c:numCache>
            </c:numRef>
          </c:val>
        </c:ser>
        <c:dLbls>
          <c:showLegendKey val="0"/>
          <c:showVal val="0"/>
          <c:showCatName val="0"/>
          <c:showSerName val="0"/>
          <c:showPercent val="0"/>
          <c:showBubbleSize val="0"/>
        </c:dLbls>
        <c:gapWidth val="150"/>
        <c:overlap val="100"/>
        <c:axId val="158057600"/>
        <c:axId val="158059136"/>
      </c:barChart>
      <c:catAx>
        <c:axId val="158057600"/>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58059136"/>
        <c:crosses val="autoZero"/>
        <c:auto val="1"/>
        <c:lblAlgn val="ctr"/>
        <c:lblOffset val="100"/>
        <c:tickMarkSkip val="2"/>
        <c:noMultiLvlLbl val="0"/>
      </c:catAx>
      <c:valAx>
        <c:axId val="158059136"/>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4.5051343134417353E-2"/>
              <c:y val="0.14196325459317888"/>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low"/>
        <c:txPr>
          <a:bodyPr/>
          <a:lstStyle/>
          <a:p>
            <a:pPr>
              <a:defRPr lang="fr-FR" b="1"/>
            </a:pPr>
            <a:endParaRPr lang="en-US"/>
          </a:p>
        </c:txPr>
        <c:crossAx val="158057600"/>
        <c:crosses val="autoZero"/>
        <c:crossBetween val="between"/>
        <c:majorUnit val="3"/>
      </c:valAx>
      <c:spPr>
        <a:ln>
          <a:solidFill>
            <a:schemeClr val="bg1">
              <a:lumMod val="50000"/>
            </a:schemeClr>
          </a:solidFill>
        </a:ln>
      </c:spPr>
    </c:plotArea>
    <c:legend>
      <c:legendPos val="b"/>
      <c:layout>
        <c:manualLayout>
          <c:xMode val="edge"/>
          <c:yMode val="edge"/>
          <c:x val="6.8434621921084182E-2"/>
          <c:y val="0.95540201224848609"/>
          <c:w val="0.91576381416036479"/>
          <c:h val="4.4597987751532987E-2"/>
        </c:manualLayout>
      </c:layout>
      <c:overlay val="0"/>
      <c:txPr>
        <a:bodyPr/>
        <a:lstStyle/>
        <a:p>
          <a:pPr>
            <a:defRPr lang="fr-FR"/>
          </a:pPr>
          <a:endParaRPr lang="en-US"/>
        </a:p>
      </c:txPr>
    </c:legend>
    <c:plotVisOnly val="1"/>
    <c:dispBlanksAs val="gap"/>
    <c:showDLblsOverMax val="0"/>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'TRAD-visualiz'!$B$2</c:f>
          <c:strCache>
            <c:ptCount val="1"/>
            <c:pt idx="0">
              <c:v>ESTIMATION DE LA DISPONIBILITE</c:v>
            </c:pt>
          </c:strCache>
        </c:strRef>
      </c:tx>
      <c:layout>
        <c:manualLayout>
          <c:xMode val="edge"/>
          <c:yMode val="edge"/>
          <c:x val="9.1726470100758767E-3"/>
          <c:y val="1.8359580052493441E-3"/>
        </c:manualLayout>
      </c:layout>
      <c:overlay val="0"/>
      <c:txPr>
        <a:bodyPr/>
        <a:lstStyle/>
        <a:p>
          <a:pPr>
            <a:defRPr lang="fr-FR" sz="1600"/>
          </a:pPr>
          <a:endParaRPr lang="en-US"/>
        </a:p>
      </c:txPr>
    </c:title>
    <c:autoTitleDeleted val="0"/>
    <c:plotArea>
      <c:layout>
        <c:manualLayout>
          <c:layoutTarget val="inner"/>
          <c:xMode val="edge"/>
          <c:yMode val="edge"/>
          <c:x val="0.20557776178071988"/>
          <c:y val="0.1796182560513328"/>
          <c:w val="0.67526381539725067"/>
          <c:h val="0.7600952172645512"/>
        </c:manualLayout>
      </c:layout>
      <c:barChart>
        <c:barDir val="bar"/>
        <c:grouping val="stacked"/>
        <c:varyColors val="0"/>
        <c:ser>
          <c:idx val="0"/>
          <c:order val="0"/>
          <c:tx>
            <c:strRef>
              <c:f>'Calculs dispo Données FA'!$X$124</c:f>
              <c:strCache>
                <c:ptCount val="1"/>
                <c:pt idx="0">
                  <c:v>Nombre de mois de disponibilité de produits hors ST</c:v>
                </c:pt>
              </c:strCache>
            </c:strRef>
          </c:tx>
          <c:spPr>
            <a:solidFill>
              <a:srgbClr val="4F81BD"/>
            </a:solidFill>
          </c:spPr>
          <c:invertIfNegative val="1"/>
          <c:cat>
            <c:strRef>
              <c:f>'Calculs dispo Données FA'!$H$140:$H$165</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FA'!$X$140:$X$165</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'Calculs dispo Données FA'!$Y$124</c:f>
              <c:strCache>
                <c:ptCount val="1"/>
                <c:pt idx="0">
                  <c:v>Nombre de mois de stock tampon (ST - max 3 mois))</c:v>
                </c:pt>
              </c:strCache>
            </c:strRef>
          </c:tx>
          <c:invertIfNegative val="0"/>
          <c:dLbls>
            <c:dLbl>
              <c:idx val="0"/>
              <c:tx>
                <c:strRef>
                  <c:f>'Calculs dispo Données FA'!$AA$140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{21A5CB30-945E-4A3B-8153-35B2FCD1C891}</c15:txfldGUID>
                      <c15:f>'Calculs dispo Données FA'!$AA$140</c15:f>
                      <c15:dlblFieldTableCache>
                        <c:ptCount val="1"/>
                      </c15:dlblFieldTableCache>
                    </c15:dlblFTEntry>
                  </c15:dlblFieldTable>
                  <c15:showDataLabelsRange val="0"/>
                </c:ext>
              </c:extLst>
            </c:dLbl>
            <c:dLbl>
              <c:idx val="1"/>
              <c:tx>
                <c:strRef>
                  <c:f>'Calculs dispo Données FA'!$AA$141</c:f>
                  <c:strCache>
                    <c:ptCount val="1"/>
                    <c:pt idx="0">
                      <c:v>2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{8DAC614E-D8CD-468D-BBEE-E06775E68BD5}</c15:txfldGUID>
                      <c15:f>'Calculs dispo Données FA'!$AA$141</c15:f>
                      <c15:dlblFieldTableCache>
                        <c:ptCount val="1"/>
                        <c:pt idx="0">
                          <c:v>2 B &amp; Consumption =0</c:v>
                        </c:pt>
                      </c15:dlblFieldTableCache>
                    </c15:dlblFTEntry>
                  </c15:dlblFieldTable>
                  <c15:showDataLabelsRange val="0"/>
                </c:ext>
              </c:extLst>
            </c:dLbl>
            <c:dLbl>
              <c:idx val="2"/>
              <c:tx>
                <c:strRef>
                  <c:f>'Calculs dispo Données FA'!$AA$142</c:f>
                  <c:strCache>
                    <c:ptCount val="1"/>
                    <c:pt idx="0">
                      <c:v>11566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{523A424D-FC7E-4866-8517-E1CB53A8A6C5}</c15:txfldGUID>
                      <c15:f>'Calculs dispo Données FA'!$AA$142</c15:f>
                      <c15:dlblFieldTableCache>
                        <c:ptCount val="1"/>
                        <c:pt idx="0">
                          <c:v>11566 B &amp; Consumption =0</c:v>
                        </c:pt>
                      </c15:dlblFieldTableCache>
                    </c15:dlblFTEntry>
                  </c15:dlblFieldTable>
                  <c15:showDataLabelsRange val="0"/>
                </c:ext>
              </c:extLst>
            </c:dLbl>
            <c:dLbl>
              <c:idx val="3"/>
              <c:tx>
                <c:strRef>
                  <c:f>'Calculs dispo Données FA'!$AA$143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{11DF7FB7-2CF5-4DFF-8823-AB670363EAF1}</c15:txfldGUID>
                      <c15:f>'Calculs dispo Données FA'!$AA$143</c15:f>
                      <c15:dlblFieldTableCache>
                        <c:ptCount val="1"/>
                      </c15:dlblFieldTableCache>
                    </c15:dlblFTEntry>
                  </c15:dlblFieldTable>
                  <c15:showDataLabelsRange val="0"/>
                </c:ext>
              </c:extLst>
            </c:dLbl>
            <c:dLbl>
              <c:idx val="4"/>
              <c:tx>
                <c:strRef>
                  <c:f>'Calculs dispo Données FA'!$AA$144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{58C9F7D8-A19B-4589-B2CD-768531B0C46E}</c15:txfldGUID>
                      <c15:f>'Calculs dispo Données FA'!$AA$144</c15:f>
                      <c15:dlblFieldTableCache>
                        <c:ptCount val="1"/>
                      </c15:dlblFieldTableCache>
                    </c15:dlblFTEntry>
                  </c15:dlblFieldTable>
                  <c15:showDataLabelsRange val="0"/>
                </c:ext>
              </c:extLst>
            </c:dLbl>
            <c:dLbl>
              <c:idx val="5"/>
              <c:tx>
                <c:strRef>
                  <c:f>'Calculs dispo Données FA'!$AA$145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{7C16F230-E028-4CEA-B7FC-AB53C700EE4F}</c15:txfldGUID>
                      <c15:f>'Calculs dispo Données FA'!$AA$145</c15:f>
                      <c15:dlblFieldTableCache>
                        <c:ptCount val="1"/>
                      </c15:dlblFieldTableCache>
                    </c15:dlblFTEntry>
                  </c15:dlblFieldTable>
                  <c15:showDataLabelsRange val="0"/>
                </c:ext>
              </c:extLst>
            </c:dLbl>
            <c:dLbl>
              <c:idx val="6"/>
              <c:tx>
                <c:strRef>
                  <c:f>'Calculs dispo Données FA'!$AA$146</c:f>
                  <c:strCache>
                    <c:ptCount val="1"/>
                    <c:pt idx="0">
                      <c:v>1093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{BE76A844-7130-4DB3-A2BE-4FCFA0C3C5F4}</c15:txfldGUID>
                      <c15:f>'Calculs dispo Données FA'!$AA$146</c15:f>
                      <c15:dlblFieldTableCache>
                        <c:ptCount val="1"/>
                        <c:pt idx="0">
                          <c:v>1093 B &amp; Consumption =0</c:v>
                        </c:pt>
                      </c15:dlblFieldTableCache>
                    </c15:dlblFTEntry>
                  </c15:dlblFieldTable>
                  <c15:showDataLabelsRange val="0"/>
                </c:ext>
              </c:extLst>
            </c:dLbl>
            <c:dLbl>
              <c:idx val="7"/>
              <c:tx>
                <c:strRef>
                  <c:f>'Calculs dispo Données FA'!$AA$147</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{4D7D5367-74C3-4BAF-A65F-4CD645C4EFFD}</c15:txfldGUID>
                      <c15:f>'Calculs dispo Données FA'!$AA$147</c15:f>
                      <c15:dlblFieldTableCache>
                        <c:ptCount val="1"/>
                      </c15:dlblFieldTableCache>
                    </c15:dlblFTEntry>
                  </c15:dlblFieldTable>
                  <c15:showDataLabelsRange val="0"/>
                </c:ext>
              </c:extLst>
            </c:dLbl>
            <c:dLbl>
              <c:idx val="8"/>
              <c:tx>
                <c:strRef>
                  <c:f>'Calculs dispo Données FA'!$AA$148</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{D4D8D6FC-8CB2-44FD-8A22-3CA4866F2B22}</c15:txfldGUID>
                      <c15:f>'Calculs dispo Données FA'!$AA$148</c15:f>
                      <c15:dlblFieldTableCache>
                        <c:ptCount val="1"/>
                      </c15:dlblFieldTableCache>
                    </c15:dlblFTEntry>
                  </c15:dlblFieldTable>
                  <c15:showDataLabelsRange val="0"/>
                </c:ext>
              </c:extLst>
            </c:dLbl>
            <c:dLbl>
              <c:idx val="9"/>
              <c:tx>
                <c:strRef>
                  <c:f>'Calculs dispo Données FA'!$AA$149</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{D3A5B92B-3313-4BFC-95C1-72CCDEEE8983}</c15:txfldGUID>
                      <c15:f>'Calculs dispo Données FA'!$AA$149</c15:f>
                      <c15:dlblFieldTableCache>
                        <c:ptCount val="1"/>
                      </c15:dlblFieldTableCache>
                    </c15:dlblFTEntry>
                  </c15:dlblFieldTable>
                  <c15:showDataLabelsRange val="0"/>
                </c:ext>
              </c:extLst>
            </c:dLbl>
            <c:dLbl>
              <c:idx val="10"/>
              <c:tx>
                <c:strRef>
                  <c:f>'Calculs dispo Données FA'!$AA$150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{DD45E276-0853-4463-BC2A-8578557A307E}</c15:txfldGUID>
                      <c15:f>'Calculs dispo Données FA'!$AA$150</c15:f>
                      <c15:dlblFieldTableCache>
                        <c:ptCount val="1"/>
                      </c15:dlblFieldTableCache>
                    </c15:dlblFTEntry>
                  </c15:dlblFieldTable>
                  <c15:showDataLabelsRange val="0"/>
                </c:ext>
              </c:extLst>
            </c:dLbl>
            <c:dLbl>
              <c:idx val="11"/>
              <c:tx>
                <c:strRef>
                  <c:f>'Calculs dispo Données FA'!$AA$151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{BC6F22C7-D564-4109-A381-85CAD3C42E35}</c15:txfldGUID>
                      <c15:f>'Calculs dispo Données FA'!$AA$151</c15:f>
                      <c15:dlblFieldTableCache>
                        <c:ptCount val="1"/>
                      </c15:dlblFieldTableCache>
                    </c15:dlblFTEntry>
                  </c15:dlblFieldTable>
                  <c15:showDataLabelsRange val="0"/>
                </c:ext>
              </c:extLst>
            </c:dLbl>
            <c:dLbl>
              <c:idx val="12"/>
              <c:layout>
                <c:manualLayout>
                  <c:x val="1.7524595476460885E-2"/>
                  <c:y val="3.7037037037038318E-3"/>
                </c:manualLayout>
              </c:layout>
              <c:tx>
                <c:strRef>
                  <c:f>'Calculs dispo Données FA'!$AA$152</c:f>
                  <c:strCache>
                    <c:ptCount val="1"/>
                  </c:strCache>
                </c:strRef>
              </c:tx>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{4FB85E14-9D70-4AD5-AC3E-485EF61B3281}</c15:txfldGUID>
                      <c15:f>'Calculs dispo Données FA'!$AA$152</c15:f>
                      <c15:dlblFieldTableCache>
                        <c:ptCount val="1"/>
                      </c15:dlblFieldTableCache>
                    </c15:dlblFTEntry>
                  </c15:dlblFieldTable>
                  <c15:showDataLabelsRange val="0"/>
                </c:ext>
              </c:extLst>
            </c:dLbl>
            <c:dLbl>
              <c:idx val="13"/>
              <c:tx>
                <c:strRef>
                  <c:f>'Calculs dispo Données FA'!$AA$153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{534E0FD2-FF2B-447E-A3BE-ECDBBA4B4532}</c15:txfldGUID>
                      <c15:f>'Calculs dispo Données FA'!$AA$153</c15:f>
                      <c15:dlblFieldTableCache>
                        <c:ptCount val="1"/>
                      </c15:dlblFieldTableCache>
                    </c15:dlblFTEntry>
                  </c15:dlblFieldTable>
                  <c15:showDataLabelsRange val="0"/>
                </c:ext>
              </c:extLst>
            </c:dLbl>
            <c:dLbl>
              <c:idx val="14"/>
              <c:tx>
                <c:strRef>
                  <c:f>'Calculs dispo Données FA'!$AA$154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{43CDAA9F-2239-4E44-9456-45E11A6DB1C5}</c15:txfldGUID>
                      <c15:f>'Calculs dispo Données FA'!$AA$154</c15:f>
                      <c15:dlblFieldTableCache>
                        <c:ptCount val="1"/>
                      </c15:dlblFieldTableCache>
                    </c15:dlblFTEntry>
                  </c15:dlblFieldTable>
                  <c15:showDataLabelsRange val="0"/>
                </c:ext>
              </c:extLst>
            </c:dLbl>
            <c:dLbl>
              <c:idx val="15"/>
              <c:tx>
                <c:strRef>
                  <c:f>'Calculs dispo Données FA'!$AA$155</c:f>
                  <c:strCache>
                    <c:ptCount val="1"/>
                    <c:pt idx="0">
                      <c:v>956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{148F67B4-838E-4FA8-8258-E43F3A71FD5F}</c15:txfldGUID>
                      <c15:f>'Calculs dispo Données FA'!$AA$155</c15:f>
                      <c15:dlblFieldTableCache>
                        <c:ptCount val="1"/>
                        <c:pt idx="0">
                          <c:v>956 B &amp; Consumption =0</c:v>
                        </c:pt>
                      </c15:dlblFieldTableCache>
                    </c15:dlblFTEntry>
                  </c15:dlblFieldTable>
                  <c15:showDataLabelsRange val="0"/>
                </c:ext>
              </c:extLst>
            </c:dLbl>
            <c:dLbl>
              <c:idx val="16"/>
              <c:tx>
                <c:strRef>
                  <c:f>'Calculs dispo Données FA'!$AA$156</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{E86F39C5-AE7E-4C19-9867-14333D0A5C1F}</c15:txfldGUID>
                      <c15:f>'Calculs dispo Données FA'!$AA$156</c15:f>
                      <c15:dlblFieldTableCache>
                        <c:ptCount val="1"/>
                      </c15:dlblFieldTableCache>
                    </c15:dlblFTEntry>
                  </c15:dlblFieldTable>
                  <c15:showDataLabelsRange val="0"/>
                </c:ext>
              </c:extLst>
            </c:dLbl>
            <c:dLbl>
              <c:idx val="17"/>
              <c:tx>
                <c:strRef>
                  <c:f>'Calculs dispo Données FA'!$AA$157</c:f>
                  <c:strCache>
                    <c:ptCount val="1"/>
                    <c:pt idx="0">
                      <c:v>750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{4145C228-712D-45C0-A1D2-770C50F0B19F}</c15:txfldGUID>
                      <c15:f>'Calculs dispo Données FA'!$AA$157</c15:f>
                      <c15:dlblFieldTableCache>
                        <c:ptCount val="1"/>
                        <c:pt idx="0">
                          <c:v>750 B &amp; Consumption =0</c:v>
                        </c:pt>
                      </c15:dlblFieldTableCache>
                    </c15:dlblFTEntry>
                  </c15:dlblFieldTable>
                  <c15:showDataLabelsRange val="0"/>
                </c:ext>
              </c:extLst>
            </c:dLbl>
            <c:dLbl>
              <c:idx val="18"/>
              <c:tx>
                <c:strRef>
                  <c:f>'Calculs dispo Données FA'!$AA$158</c:f>
                  <c:strCache>
                    <c:ptCount val="1"/>
                    <c:pt idx="0">
                      <c:v>770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{BDA814F8-FF05-4C66-BD6A-E4459C287757}</c15:txfldGUID>
                      <c15:f>'Calculs dispo Données FA'!$AA$158</c15:f>
                      <c15:dlblFieldTableCache>
                        <c:ptCount val="1"/>
                        <c:pt idx="0">
                          <c:v>770 B &amp; Consumption =0</c:v>
                        </c:pt>
                      </c15:dlblFieldTableCache>
                    </c15:dlblFTEntry>
                  </c15:dlblFieldTable>
                  <c15:showDataLabelsRange val="0"/>
                </c:ext>
              </c:extLst>
            </c:dLbl>
            <c:dLbl>
              <c:idx val="19"/>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{164D9A90-65E3-432E-AD03-DB59DF26C7F5}</c15:txfldGUID>
                      <c15:f>'Calculs dispo Données FA'!$AA$159</c15:f>
                      <c15:dlblFieldTableCache>
                        <c:ptCount val="1"/>
                        <c:pt idx="0">
                          <c:v>1705 B &amp; Consumption =0</c:v>
                        </c:pt>
                      </c15:dlblFieldTableCache>
                    </c15:dlblFTEntry>
                  </c15:dlblFieldTable>
                  <c15:showDataLabelsRange val="0"/>
                </c:ext>
              </c:extLst>
            </c:dLbl>
            <c:dLbl>
              <c:idx val="20"/>
              <c:tx>
                <c:strRef>
                  <c:f>'Calculs dispo Données FA'!$AA$160</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{E8C49A6E-0DDF-49B0-B609-35D753FC0663}</c15:txfldGUID>
                      <c15:f>'Calculs dispo Données FA'!$AA$160</c15:f>
                      <c15:dlblFieldTableCache>
                        <c:ptCount val="1"/>
                      </c15:dlblFieldTableCache>
                    </c15:dlblFTEntry>
                  </c15:dlblFieldTable>
                  <c15:showDataLabelsRange val="0"/>
                </c:ext>
              </c:extLst>
            </c:dLbl>
            <c:dLbl>
              <c:idx val="21"/>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{620C1095-42E5-4529-A8C0-16ED215784F5}</c15:txfldGUID>
                      <c15:f>'Calculs dispo Données FA'!$AA$161</c15:f>
                      <c15:dlblFieldTableCache>
                        <c:ptCount val="1"/>
                      </c15:dlblFieldTableCache>
                    </c15:dlblFTEntry>
                  </c15:dlblFieldTable>
                  <c15:showDataLabelsRange val="0"/>
                </c:ext>
              </c:extLst>
            </c:dLbl>
            <c:dLbl>
              <c:idx val="22"/>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{1C27F3AD-DE2F-4BAD-82C0-AEFC62635D77}</c15:txfldGUID>
                      <c15:f>'Calculs dispo Données FA'!$AA$162</c15:f>
                      <c15:dlblFieldTableCache>
                        <c:ptCount val="1"/>
                      </c15:dlblFieldTableCache>
                    </c15:dlblFTEntry>
                  </c15:dlblFieldTable>
                  <c15:showDataLabelsRange val="0"/>
                </c:ext>
              </c:extLst>
            </c:dLbl>
            <c:dLbl>
              <c:idx val="23"/>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{C8307A61-73B8-4DDA-85E7-AD2FD38E1031}</c15:txfldGUID>
                      <c15:f>'Calculs dispo Données FA'!$AA$163</c15:f>
                      <c15:dlblFieldTableCache>
                        <c:ptCount val="1"/>
                      </c15:dlblFieldTableCache>
                    </c15:dlblFTEntry>
                  </c15:dlblFieldTable>
                  <c15:showDataLabelsRange val="0"/>
                </c:ext>
              </c:extLst>
            </c:dLbl>
            <c:dLbl>
              <c:idx val="24"/>
              <c:tx>
                <c:strRef>
                  <c:f>'Calculs dispo Données FA'!$AA$164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{4FDF69EB-CA8D-49D9-BE58-B1E61E49A911}</c15:txfldGUID>
                      <c15:f>'Calculs dispo Données FA'!$AA$164</c15:f>
                      <c15:dlblFieldTableCache>
                        <c:ptCount val="1"/>
                      </c15:dlblFieldTableCache>
                    </c15:dlblFTEntry>
                  </c15:dlblFieldTable>
                  <c15:showDataLabelsRange val="0"/>
                </c:ext>
              </c:extLst>
            </c:dLbl>
            <c:dLbl>
              <c:idx val="25"/>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layout/>
                  <c15:dlblFieldTable>
                    <c15:dlblFTEntry>
                      <c15:txfldGUID>{8BE9C57C-8A9C-4F8E-B329-362C10559729}</c15:txfldGUID>
                      <c15:f>'Calculs dispo Données FA'!$AA$165</c15:f>
                      <c15:dlblFieldTableCache>
                        <c:ptCount val="1"/>
                      </c15:dlblFieldTableCache>
                    </c15:dlblFTEntry>
                  </c15:dlblFieldTable>
                  <c15:showDataLabelsRange val="0"/>
                </c:ext>
              </c:extLst>
            </c:dLbl>
            <c:dLbl>
              <c:idx val="26"/>
              <c:tx>
                <c:strRef>
                  <c:f>'Calculs dispo Données FA'!$AA$158</c:f>
                  <c:strCache>
                    <c:ptCount val="1"/>
                    <c:pt idx="0">
                      <c:v>770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{FE639ED1-9EEC-4172-8447-004D8F682EFC}</c15:txfldGUID>
                      <c15:f>'Calculs dispo Données FA'!$AA$158</c15:f>
                      <c15:dlblFieldTableCache>
                        <c:ptCount val="1"/>
                        <c:pt idx="0">
                          <c:v>770 B &amp; Consumption =0</c:v>
                        </c:pt>
                      </c15:dlblFieldTableCache>
                    </c15:dlblFTEntry>
                  </c15:dlblFieldTable>
                  <c15:showDataLabelsRange val="0"/>
                </c:ext>
              </c:extLst>
            </c:dLbl>
            <c:dLbl>
              <c:idx val="27"/>
              <c:tx>
                <c:strRef>
                  <c:f>'Calculs dispo Données FA'!$AA$161</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{B433C078-691E-48DE-9AC4-23BE3D31E37B}</c15:txfldGUID>
                      <c15:f>'Calculs dispo Données FA'!$AA$161</c15:f>
                      <c15:dlblFieldTableCache>
                        <c:ptCount val="1"/>
                      </c15:dlblFieldTableCache>
                    </c15:dlblFTEntry>
                  </c15:dlblFieldTable>
                  <c15:showDataLabelsRange val="0"/>
                </c:ext>
              </c:extLst>
            </c:dLbl>
            <c:dLbl>
              <c:idx val="28"/>
              <c:tx>
                <c:strRef>
                  <c:f>'Calculs dispo Données FA'!$AA$163</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{644FBFEC-05C4-42F6-9FB3-20CF88CEC4B9}</c15:txfldGUID>
                      <c15:f>'Calculs dispo Données FA'!$AA$163</c15:f>
                      <c15:dlblFieldTableCache>
                        <c:ptCount val="1"/>
                      </c15:dlblFieldTableCache>
                    </c15:dlblFTEntry>
                  </c15:dlblFieldTable>
                  <c15:showDataLabelsRange val="0"/>
                </c:ext>
              </c:extLst>
            </c:dLbl>
            <c:dLbl>
              <c:idx val="29"/>
              <c:tx>
                <c:strRef>
                  <c:f>'Calculs dispo Données FA'!$AA$159</c:f>
                  <c:strCache>
                    <c:ptCount val="1"/>
                    <c:pt idx="0">
                      <c:v>1705 B &amp; conso =0</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{A6D66945-2D1A-4106-B85B-9ED833B1F557}</c15:txfldGUID>
                      <c15:f>'Calculs dispo Données FA'!$AA$159</c15:f>
                      <c15:dlblFieldTableCache>
                        <c:ptCount val="1"/>
                        <c:pt idx="0">
                          <c:v>1705 B &amp; Consumption =0</c:v>
                        </c:pt>
                      </c15:dlblFieldTableCache>
                    </c15:dlblFTEntry>
                  </c15:dlblFieldTable>
                  <c15:showDataLabelsRange val="0"/>
                </c:ext>
              </c:extLst>
            </c:dLbl>
            <c:dLbl>
              <c:idx val="30"/>
              <c:tx>
                <c:strRef>
                  <c:f>'Calculs dispo Données FA'!$AA$162</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{0A1835A6-58C8-4D8A-A401-039EF2F5E142}</c15:txfldGUID>
                      <c15:f>'Calculs dispo Données FA'!$AA$162</c15:f>
                      <c15:dlblFieldTableCache>
                        <c:ptCount val="1"/>
                      </c15:dlblFieldTableCache>
                    </c15:dlblFTEntry>
                  </c15:dlblFieldTable>
                  <c15:showDataLabelsRange val="0"/>
                </c:ext>
              </c:extLst>
            </c:dLbl>
            <c:dLbl>
              <c:idx val="31"/>
              <c:tx>
                <c:strRef>
                  <c:f>'Calculs dispo Données FA'!$AA$164</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{3B845372-C24C-4D25-A228-B27ADA0C5498}</c15:txfldGUID>
                      <c15:f>'Calculs dispo Données FA'!$AA$164</c15:f>
                      <c15:dlblFieldTableCache>
                        <c:ptCount val="1"/>
                      </c15:dlblFieldTableCache>
                    </c15:dlblFTEntry>
                  </c15:dlblFieldTable>
                  <c15:showDataLabelsRange val="0"/>
                </c:ext>
              </c:extLst>
            </c:dLbl>
            <c:dLbl>
              <c:idx val="32"/>
              <c:tx>
                <c:strRef>
                  <c:f>'Calculs dispo Données FA'!$AA$165</c:f>
                  <c:strCache>
                    <c:ptCount val="1"/>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{C00C3CDC-FEDF-429D-9A26-D9C0DEBA04A5}</c15:txfldGUID>
                      <c15:f>'Calculs dispo Données FA'!$AA$165</c15:f>
                      <c15:dlblFieldTableCache>
                        <c:ptCount val="1"/>
                      </c15:dlblFieldTableCache>
                    </c15:dlblFTEntry>
                  </c15:dlblFieldTable>
                  <c15:showDataLabelsRange val="0"/>
                </c:ext>
              </c:extLst>
            </c:dLbl>
            <c:spPr>
              <a:noFill/>
              <a:ln>
                <a:noFill/>
              </a:ln>
              <a:effectLst/>
            </c:spPr>
            <c:txPr>
              <a:bodyPr/>
              <a:lstStyle/>
              <a:p>
                <a:pPr>
                  <a:defRPr lang="fr-FR" b="1" i="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dispo Données FA'!$H$140:$H$165</c:f>
              <c:strCache>
                <c:ptCount val="26"/>
                <c:pt idx="0">
                  <c:v>EFV - 50 mg - B/30</c:v>
                </c:pt>
                <c:pt idx="1">
                  <c:v>EFV - 200 mg - B/90</c:v>
                </c:pt>
                <c:pt idx="2">
                  <c:v>EFV - 600 mg - B/30</c:v>
                </c:pt>
                <c:pt idx="3">
                  <c:v>ETV - 200 mg - B/60</c:v>
                </c:pt>
                <c:pt idx="4">
                  <c:v>NVP - 200 mg - B/60</c:v>
                </c:pt>
                <c:pt idx="5">
                  <c:v>RPV - 25 mg - B/30</c:v>
                </c:pt>
                <c:pt idx="6">
                  <c:v>ABC - 300 mg - B/60</c:v>
                </c:pt>
                <c:pt idx="7">
                  <c:v>ABC - 60 mg - B/60</c:v>
                </c:pt>
                <c:pt idx="8">
                  <c:v>AZT - 300 mg - B/60</c:v>
                </c:pt>
                <c:pt idx="9">
                  <c:v>AZT - 100 mg - B/100</c:v>
                </c:pt>
                <c:pt idx="10">
                  <c:v>AZT - 60 mg - B/60</c:v>
                </c:pt>
                <c:pt idx="11">
                  <c:v>D4T - 30 mg - B/60</c:v>
                </c:pt>
                <c:pt idx="12">
                  <c:v>3TC - 150 mg - B/60</c:v>
                </c:pt>
                <c:pt idx="13">
                  <c:v>3TC - 30 mg - B/60</c:v>
                </c:pt>
                <c:pt idx="14">
                  <c:v>DDI - 250 mg - B/30</c:v>
                </c:pt>
                <c:pt idx="15">
                  <c:v>DDI - 400 mg - B/30</c:v>
                </c:pt>
                <c:pt idx="16">
                  <c:v>TDF - 300 mg - B/30</c:v>
                </c:pt>
                <c:pt idx="17">
                  <c:v>LPV/r - 200/50 mg - B/120</c:v>
                </c:pt>
                <c:pt idx="18">
                  <c:v>LPV/r - 100/25 mg - B/60</c:v>
                </c:pt>
                <c:pt idx="19">
                  <c:v>ATV/r - 300/100 mg - B/60</c:v>
                </c:pt>
                <c:pt idx="20">
                  <c:v>FPV - 700 mg - B/60</c:v>
                </c:pt>
                <c:pt idx="21">
                  <c:v>IDV - 400 mg - B/180</c:v>
                </c:pt>
                <c:pt idx="22">
                  <c:v>DRV - 300 mg - B/120</c:v>
                </c:pt>
                <c:pt idx="23">
                  <c:v>SQV - 500 mg - B/120</c:v>
                </c:pt>
                <c:pt idx="24">
                  <c:v>RTV - 100 mg - B/84</c:v>
                </c:pt>
                <c:pt idx="25">
                  <c:v>RLT = RAL - 400 mg - B/60</c:v>
                </c:pt>
              </c:strCache>
            </c:strRef>
          </c:cat>
          <c:val>
            <c:numRef>
              <c:f>'Calculs dispo Données FA'!$Y$140:$Y$165</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er>
        <c:dLbls>
          <c:showLegendKey val="0"/>
          <c:showVal val="0"/>
          <c:showCatName val="0"/>
          <c:showSerName val="0"/>
          <c:showPercent val="0"/>
          <c:showBubbleSize val="0"/>
        </c:dLbls>
        <c:gapWidth val="150"/>
        <c:overlap val="100"/>
        <c:axId val="161054080"/>
        <c:axId val="161121408"/>
      </c:barChart>
      <c:catAx>
        <c:axId val="161054080"/>
        <c:scaling>
          <c:orientation val="maxMin"/>
        </c:scaling>
        <c:delete val="0"/>
        <c:axPos val="l"/>
        <c:minorGridlines>
          <c:spPr>
            <a:ln>
              <a:solidFill>
                <a:schemeClr val="bg1">
                  <a:lumMod val="75000"/>
                </a:schemeClr>
              </a:solidFill>
            </a:ln>
          </c:spPr>
        </c:minorGridlines>
        <c:numFmt formatCode="General" sourceLinked="1"/>
        <c:majorTickMark val="out"/>
        <c:minorTickMark val="none"/>
        <c:tickLblPos val="low"/>
        <c:txPr>
          <a:bodyPr/>
          <a:lstStyle/>
          <a:p>
            <a:pPr>
              <a:defRPr lang="fr-FR"/>
            </a:pPr>
            <a:endParaRPr lang="en-US"/>
          </a:p>
        </c:txPr>
        <c:crossAx val="161121408"/>
        <c:crosses val="autoZero"/>
        <c:auto val="1"/>
        <c:lblAlgn val="ctr"/>
        <c:lblOffset val="100"/>
        <c:tickMarkSkip val="2"/>
        <c:noMultiLvlLbl val="0"/>
      </c:catAx>
      <c:valAx>
        <c:axId val="161121408"/>
        <c:scaling>
          <c:orientation val="minMax"/>
          <c:min val="-6"/>
        </c:scaling>
        <c:delete val="0"/>
        <c:axPos val="t"/>
        <c:majorGridlines>
          <c:spPr>
            <a:ln>
              <a:solidFill>
                <a:schemeClr val="bg1">
                  <a:lumMod val="75000"/>
                </a:schemeClr>
              </a:solidFill>
            </a:ln>
          </c:spPr>
        </c:majorGridlines>
        <c:title>
          <c:tx>
            <c:strRef>
              <c:f>'TRAD-visualiz'!$B$9</c:f>
              <c:strCache>
                <c:ptCount val="1"/>
                <c:pt idx="0">
                  <c:v>Nombre de mois de stock disponible</c:v>
                </c:pt>
              </c:strCache>
            </c:strRef>
          </c:tx>
          <c:layout>
            <c:manualLayout>
              <c:xMode val="edge"/>
              <c:yMode val="edge"/>
              <c:x val="1.0676799236099281E-3"/>
              <c:y val="0.11048177311169442"/>
            </c:manualLayout>
          </c:layout>
          <c:overlay val="0"/>
          <c:spPr>
            <a:solidFill>
              <a:schemeClr val="bg1">
                <a:lumMod val="85000"/>
              </a:schemeClr>
            </a:solidFill>
          </c:spPr>
          <c:txPr>
            <a:bodyPr rot="0" vert="horz"/>
            <a:lstStyle/>
            <a:p>
              <a:pPr>
                <a:defRPr lang="fr-FR" sz="1100" b="1" i="0"/>
              </a:pPr>
              <a:endParaRPr lang="en-US"/>
            </a:p>
          </c:txPr>
        </c:title>
        <c:numFmt formatCode="0.0" sourceLinked="1"/>
        <c:majorTickMark val="out"/>
        <c:minorTickMark val="none"/>
        <c:tickLblPos val="nextTo"/>
        <c:txPr>
          <a:bodyPr/>
          <a:lstStyle/>
          <a:p>
            <a:pPr>
              <a:defRPr lang="fr-FR" b="1"/>
            </a:pPr>
            <a:endParaRPr lang="en-US"/>
          </a:p>
        </c:txPr>
        <c:crossAx val="161054080"/>
        <c:crosses val="autoZero"/>
        <c:crossBetween val="between"/>
        <c:majorUnit val="3"/>
      </c:valAx>
      <c:spPr>
        <a:ln>
          <a:solidFill>
            <a:schemeClr val="bg1">
              <a:lumMod val="50000"/>
            </a:schemeClr>
          </a:solidFill>
        </a:ln>
      </c:spPr>
    </c:plotArea>
    <c:legend>
      <c:legendPos val="b"/>
      <c:layout>
        <c:manualLayout>
          <c:xMode val="edge"/>
          <c:yMode val="edge"/>
          <c:x val="9.3670854762384747E-3"/>
          <c:y val="0.9441373578302712"/>
          <c:w val="0.97623902572970089"/>
          <c:h val="3.3640419947506557E-2"/>
        </c:manualLayout>
      </c:layout>
      <c:overlay val="0"/>
      <c:txPr>
        <a:bodyPr/>
        <a:lstStyle/>
        <a:p>
          <a:pPr>
            <a:defRPr lang="fr-FR"/>
          </a:pPr>
          <a:endParaRPr lang="en-US"/>
        </a:p>
      </c:txPr>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chartsheets/sheet1.xml><?xml version="1.0" encoding="utf-8"?>
<chartsheet xmlns="http://schemas.openxmlformats.org/spreadsheetml/2006/main" xmlns:r="http://schemas.openxmlformats.org/officeDocument/2006/relationships">
  <sheetPr codeName="Graph27">
    <tabColor theme="9"/>
  </sheetPr>
  <sheetViews>
    <sheetView zoomScale="80"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0.xml><?xml version="1.0" encoding="utf-8"?>
<chartsheet xmlns="http://schemas.openxmlformats.org/spreadsheetml/2006/main" xmlns:r="http://schemas.openxmlformats.org/officeDocument/2006/relationships">
  <sheetPr codeName="Graph36">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1.xml><?xml version="1.0" encoding="utf-8"?>
<chartsheet xmlns="http://schemas.openxmlformats.org/spreadsheetml/2006/main" xmlns:r="http://schemas.openxmlformats.org/officeDocument/2006/relationships">
  <sheetPr codeName="Graph37">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2.xml><?xml version="1.0" encoding="utf-8"?>
<chartsheet xmlns="http://schemas.openxmlformats.org/spreadsheetml/2006/main" xmlns:r="http://schemas.openxmlformats.org/officeDocument/2006/relationships">
  <sheetPr codeName="Graph38">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3.xml><?xml version="1.0" encoding="utf-8"?>
<chartsheet xmlns="http://schemas.openxmlformats.org/spreadsheetml/2006/main" xmlns:r="http://schemas.openxmlformats.org/officeDocument/2006/relationships">
  <sheetPr codeName="Graph39">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4.xml><?xml version="1.0" encoding="utf-8"?>
<chartsheet xmlns="http://schemas.openxmlformats.org/spreadsheetml/2006/main" xmlns:r="http://schemas.openxmlformats.org/officeDocument/2006/relationships">
  <sheetPr codeName="Graph40">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5.xml><?xml version="1.0" encoding="utf-8"?>
<chartsheet xmlns="http://schemas.openxmlformats.org/spreadsheetml/2006/main" xmlns:r="http://schemas.openxmlformats.org/officeDocument/2006/relationships">
  <sheetPr codeName="Graph41">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6.xml><?xml version="1.0" encoding="utf-8"?>
<chartsheet xmlns="http://schemas.openxmlformats.org/spreadsheetml/2006/main" xmlns:r="http://schemas.openxmlformats.org/officeDocument/2006/relationships">
  <sheetPr codeName="Graph42">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7.xml><?xml version="1.0" encoding="utf-8"?>
<chartsheet xmlns="http://schemas.openxmlformats.org/spreadsheetml/2006/main" xmlns:r="http://schemas.openxmlformats.org/officeDocument/2006/relationships">
  <sheetPr codeName="Graph43">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8.xml><?xml version="1.0" encoding="utf-8"?>
<chartsheet xmlns="http://schemas.openxmlformats.org/spreadsheetml/2006/main" xmlns:r="http://schemas.openxmlformats.org/officeDocument/2006/relationships">
  <sheetPr codeName="Graph44">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19.xml><?xml version="1.0" encoding="utf-8"?>
<chartsheet xmlns="http://schemas.openxmlformats.org/spreadsheetml/2006/main" xmlns:r="http://schemas.openxmlformats.org/officeDocument/2006/relationships">
  <sheetPr codeName="Graph45">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2.xml><?xml version="1.0" encoding="utf-8"?>
<chartsheet xmlns="http://schemas.openxmlformats.org/spreadsheetml/2006/main" xmlns:r="http://schemas.openxmlformats.org/officeDocument/2006/relationships">
  <sheetPr codeName="Graph28">
    <tabColor theme="9"/>
  </sheetPr>
  <sheetViews>
    <sheetView zoomScale="90"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20.xml><?xml version="1.0" encoding="utf-8"?>
<chartsheet xmlns="http://schemas.openxmlformats.org/spreadsheetml/2006/main" xmlns:r="http://schemas.openxmlformats.org/officeDocument/2006/relationships">
  <sheetPr codeName="Graph46">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21.xml><?xml version="1.0" encoding="utf-8"?>
<chartsheet xmlns="http://schemas.openxmlformats.org/spreadsheetml/2006/main" xmlns:r="http://schemas.openxmlformats.org/officeDocument/2006/relationships">
  <sheetPr codeName="Graph47">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3.xml><?xml version="1.0" encoding="utf-8"?>
<chartsheet xmlns="http://schemas.openxmlformats.org/spreadsheetml/2006/main" xmlns:r="http://schemas.openxmlformats.org/officeDocument/2006/relationships">
  <sheetPr codeName="Graph29">
    <tabColor theme="9"/>
  </sheetPr>
  <sheetViews>
    <sheetView zoomScale="90"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4.xml><?xml version="1.0" encoding="utf-8"?>
<chartsheet xmlns="http://schemas.openxmlformats.org/spreadsheetml/2006/main" xmlns:r="http://schemas.openxmlformats.org/officeDocument/2006/relationships">
  <sheetPr codeName="Graph30">
    <tabColor theme="9"/>
  </sheetPr>
  <sheetViews>
    <sheetView zoomScale="90"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5.xml><?xml version="1.0" encoding="utf-8"?>
<chartsheet xmlns="http://schemas.openxmlformats.org/spreadsheetml/2006/main" xmlns:r="http://schemas.openxmlformats.org/officeDocument/2006/relationships">
  <sheetPr codeName="Graph31">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6.xml><?xml version="1.0" encoding="utf-8"?>
<chartsheet xmlns="http://schemas.openxmlformats.org/spreadsheetml/2006/main" xmlns:r="http://schemas.openxmlformats.org/officeDocument/2006/relationships">
  <sheetPr codeName="Graph32">
    <tabColor theme="9"/>
  </sheetPr>
  <sheetViews>
    <sheetView zoomScale="80" workbookViewId="0"/>
  </sheetViews>
  <pageMargins left="0.23622047244094491" right="0.23622047244094491" top="0.31496062992125984" bottom="0.31496062992125984" header="0.31496062992125984" footer="0.31496062992125984"/>
  <pageSetup paperSize="9" orientation="landscape" copies="10" r:id="rId1"/>
  <headerFooter scaleWithDoc="0" alignWithMargins="0"/>
  <drawing r:id="rId2"/>
</chartsheet>
</file>

<file path=xl/chartsheets/sheet7.xml><?xml version="1.0" encoding="utf-8"?>
<chartsheet xmlns="http://schemas.openxmlformats.org/spreadsheetml/2006/main" xmlns:r="http://schemas.openxmlformats.org/officeDocument/2006/relationships">
  <sheetPr codeName="Graph33">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chartsheets/sheet8.xml><?xml version="1.0" encoding="utf-8"?>
<chartsheet xmlns="http://schemas.openxmlformats.org/spreadsheetml/2006/main" xmlns:r="http://schemas.openxmlformats.org/officeDocument/2006/relationships">
  <sheetPr codeName="Graph34">
    <tabColor theme="9"/>
  </sheetPr>
  <sheetViews>
    <sheetView zoomScale="80" workbookViewId="0"/>
  </sheetViews>
  <pageMargins left="0.23622047244094491" right="0.23622047244094491" top="0.31496062992125984" bottom="0.31496062992125984" header="0.31496062992125984" footer="0.31496062992125984"/>
  <pageSetup paperSize="9" orientation="landscape" copies="10" r:id="rId1"/>
  <headerFooter scaleWithDoc="0" alignWithMargins="0"/>
  <drawing r:id="rId2"/>
</chartsheet>
</file>

<file path=xl/chartsheets/sheet9.xml><?xml version="1.0" encoding="utf-8"?>
<chartsheet xmlns="http://schemas.openxmlformats.org/spreadsheetml/2006/main" xmlns:r="http://schemas.openxmlformats.org/officeDocument/2006/relationships">
  <sheetPr codeName="Graph35">
    <tabColor theme="9"/>
  </sheetPr>
  <sheetViews>
    <sheetView zoomScale="85" workbookViewId="0"/>
  </sheetViews>
  <pageMargins left="0.23622047244094491" right="0.23622047244094491" top="0.31496062992125984" bottom="0.31496062992125984" header="0.31496062992125984" footer="0.31496062992125984"/>
  <pageSetup paperSize="9" orientation="landscape" r:id="rId1"/>
  <headerFooter scaleWithDoc="0" alignWithMargins="0"/>
  <drawing r:id="rId2"/>
</chartsheet>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http://creativecommons.org/licenses/by-nc-sa/3.0/" TargetMode="External"/><Relationship Id="rId7" Type="http://schemas.openxmlformats.org/officeDocument/2006/relationships/image" Target="../media/image6.png"/><Relationship Id="rId2" Type="http://schemas.openxmlformats.org/officeDocument/2006/relationships/image" Target="../media/image2.gif"/><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3.emf"/></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7</xdr:col>
      <xdr:colOff>215899</xdr:colOff>
      <xdr:row>129</xdr:row>
      <xdr:rowOff>23174</xdr:rowOff>
    </xdr:from>
    <xdr:to>
      <xdr:col>7</xdr:col>
      <xdr:colOff>631393</xdr:colOff>
      <xdr:row>130</xdr:row>
      <xdr:rowOff>260425</xdr:rowOff>
    </xdr:to>
    <xdr:pic>
      <xdr:nvPicPr>
        <xdr:cNvPr id="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9465732" y="21549674"/>
          <a:ext cx="415494" cy="396000"/>
        </a:xfrm>
        <a:prstGeom prst="rect">
          <a:avLst/>
        </a:prstGeom>
        <a:noFill/>
        <a:ln w="1">
          <a:noFill/>
          <a:miter lim="800000"/>
          <a:headEnd/>
          <a:tailEnd type="none" w="med" len="med"/>
        </a:ln>
        <a:effectLst/>
      </xdr:spPr>
    </xdr:pic>
    <xdr:clientData/>
  </xdr:twoCellAnchor>
  <xdr:twoCellAnchor editAs="oneCell">
    <xdr:from>
      <xdr:col>1</xdr:col>
      <xdr:colOff>438151</xdr:colOff>
      <xdr:row>130</xdr:row>
      <xdr:rowOff>263525</xdr:rowOff>
    </xdr:from>
    <xdr:to>
      <xdr:col>2</xdr:col>
      <xdr:colOff>1013419</xdr:colOff>
      <xdr:row>131</xdr:row>
      <xdr:rowOff>289476</xdr:rowOff>
    </xdr:to>
    <xdr:pic>
      <xdr:nvPicPr>
        <xdr:cNvPr id="5" name="Picture 1" descr="Contrat Creative Commons"/>
        <xdr:cNvPicPr>
          <a:picLocks noChangeAspect="1" noChangeArrowheads="1"/>
        </xdr:cNvPicPr>
      </xdr:nvPicPr>
      <xdr:blipFill>
        <a:blip xmlns:r="http://schemas.openxmlformats.org/officeDocument/2006/relationships" r:embed="rId2" cstate="print"/>
        <a:srcRect/>
        <a:stretch>
          <a:fillRect/>
        </a:stretch>
      </xdr:blipFill>
      <xdr:spPr bwMode="auto">
        <a:xfrm>
          <a:off x="1200151" y="21948775"/>
          <a:ext cx="1093851" cy="364617"/>
        </a:xfrm>
        <a:prstGeom prst="rect">
          <a:avLst/>
        </a:prstGeom>
        <a:noFill/>
      </xdr:spPr>
    </xdr:pic>
    <xdr:clientData/>
  </xdr:twoCellAnchor>
  <xdr:twoCellAnchor editAs="oneCell">
    <xdr:from>
      <xdr:col>1</xdr:col>
      <xdr:colOff>428623</xdr:colOff>
      <xdr:row>132</xdr:row>
      <xdr:rowOff>228600</xdr:rowOff>
    </xdr:from>
    <xdr:to>
      <xdr:col>2</xdr:col>
      <xdr:colOff>999564</xdr:colOff>
      <xdr:row>133</xdr:row>
      <xdr:rowOff>273743</xdr:rowOff>
    </xdr:to>
    <xdr:pic>
      <xdr:nvPicPr>
        <xdr:cNvPr id="6" name="Picture 5">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1190623" y="22591183"/>
          <a:ext cx="1089524" cy="383809"/>
        </a:xfrm>
        <a:prstGeom prst="rect">
          <a:avLst/>
        </a:prstGeom>
        <a:noFill/>
        <a:ln w="1">
          <a:noFill/>
          <a:miter lim="800000"/>
          <a:headEnd/>
          <a:tailEnd type="none" w="med" len="med"/>
        </a:ln>
        <a:effectLst/>
      </xdr:spPr>
    </xdr:pic>
    <xdr:clientData/>
  </xdr:twoCellAnchor>
  <xdr:twoCellAnchor editAs="oneCell">
    <xdr:from>
      <xdr:col>7</xdr:col>
      <xdr:colOff>219075</xdr:colOff>
      <xdr:row>132</xdr:row>
      <xdr:rowOff>314324</xdr:rowOff>
    </xdr:from>
    <xdr:to>
      <xdr:col>7</xdr:col>
      <xdr:colOff>615075</xdr:colOff>
      <xdr:row>134</xdr:row>
      <xdr:rowOff>43574</xdr:rowOff>
    </xdr:to>
    <xdr:pic>
      <xdr:nvPicPr>
        <xdr:cNvPr id="7" name="Picture 6" descr="Fichier:Cc-by new.svg"/>
        <xdr:cNvPicPr>
          <a:picLocks noChangeAspect="1" noChangeArrowheads="1"/>
        </xdr:cNvPicPr>
      </xdr:nvPicPr>
      <xdr:blipFill>
        <a:blip xmlns:r="http://schemas.openxmlformats.org/officeDocument/2006/relationships" r:embed="rId5" cstate="print"/>
        <a:srcRect/>
        <a:stretch>
          <a:fillRect/>
        </a:stretch>
      </xdr:blipFill>
      <xdr:spPr bwMode="auto">
        <a:xfrm>
          <a:off x="8410575" y="16525874"/>
          <a:ext cx="396000" cy="396000"/>
        </a:xfrm>
        <a:prstGeom prst="rect">
          <a:avLst/>
        </a:prstGeom>
        <a:noFill/>
      </xdr:spPr>
    </xdr:pic>
    <xdr:clientData/>
  </xdr:twoCellAnchor>
  <xdr:twoCellAnchor editAs="oneCell">
    <xdr:from>
      <xdr:col>7</xdr:col>
      <xdr:colOff>220134</xdr:colOff>
      <xdr:row>135</xdr:row>
      <xdr:rowOff>25400</xdr:rowOff>
    </xdr:from>
    <xdr:to>
      <xdr:col>7</xdr:col>
      <xdr:colOff>616134</xdr:colOff>
      <xdr:row>137</xdr:row>
      <xdr:rowOff>97549</xdr:rowOff>
    </xdr:to>
    <xdr:pic>
      <xdr:nvPicPr>
        <xdr:cNvPr id="8" name="Picture 7" descr="Fichier:Cc-sa.svg"/>
        <xdr:cNvPicPr>
          <a:picLocks noChangeAspect="1" noChangeArrowheads="1"/>
        </xdr:cNvPicPr>
      </xdr:nvPicPr>
      <xdr:blipFill>
        <a:blip xmlns:r="http://schemas.openxmlformats.org/officeDocument/2006/relationships" r:embed="rId6" cstate="print"/>
        <a:srcRect/>
        <a:stretch>
          <a:fillRect/>
        </a:stretch>
      </xdr:blipFill>
      <xdr:spPr bwMode="auto">
        <a:xfrm>
          <a:off x="9469967" y="23403983"/>
          <a:ext cx="396000" cy="401292"/>
        </a:xfrm>
        <a:prstGeom prst="rect">
          <a:avLst/>
        </a:prstGeom>
        <a:noFill/>
      </xdr:spPr>
    </xdr:pic>
    <xdr:clientData/>
  </xdr:twoCellAnchor>
  <xdr:twoCellAnchor editAs="oneCell">
    <xdr:from>
      <xdr:col>7</xdr:col>
      <xdr:colOff>238124</xdr:colOff>
      <xdr:row>131</xdr:row>
      <xdr:rowOff>9524</xdr:rowOff>
    </xdr:from>
    <xdr:to>
      <xdr:col>7</xdr:col>
      <xdr:colOff>634364</xdr:colOff>
      <xdr:row>132</xdr:row>
      <xdr:rowOff>67096</xdr:rowOff>
    </xdr:to>
    <xdr:pic>
      <xdr:nvPicPr>
        <xdr:cNvPr id="9" name="Picture 8" descr="Fichier:Cc-nc.svg"/>
        <xdr:cNvPicPr>
          <a:picLocks noChangeAspect="1" noChangeArrowheads="1"/>
        </xdr:cNvPicPr>
      </xdr:nvPicPr>
      <xdr:blipFill>
        <a:blip xmlns:r="http://schemas.openxmlformats.org/officeDocument/2006/relationships" r:embed="rId7" cstate="print"/>
        <a:srcRect/>
        <a:stretch>
          <a:fillRect/>
        </a:stretch>
      </xdr:blipFill>
      <xdr:spPr bwMode="auto">
        <a:xfrm>
          <a:off x="9487957" y="22033441"/>
          <a:ext cx="396240" cy="396240"/>
        </a:xfrm>
        <a:prstGeom prst="rect">
          <a:avLst/>
        </a:prstGeom>
        <a:noFill/>
      </xdr:spPr>
    </xdr:pic>
    <xdr:clientData/>
  </xdr:twoCellAnchor>
  <xdr:twoCellAnchor editAs="oneCell">
    <xdr:from>
      <xdr:col>5</xdr:col>
      <xdr:colOff>721180</xdr:colOff>
      <xdr:row>4</xdr:row>
      <xdr:rowOff>23523</xdr:rowOff>
    </xdr:from>
    <xdr:to>
      <xdr:col>6</xdr:col>
      <xdr:colOff>1170214</xdr:colOff>
      <xdr:row>8</xdr:row>
      <xdr:rowOff>141632</xdr:rowOff>
    </xdr:to>
    <xdr:pic>
      <xdr:nvPicPr>
        <xdr:cNvPr id="2" name="Image 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70323" y="799130"/>
          <a:ext cx="1700891" cy="771252"/>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0.86033</cdr:x>
      <cdr:y>0.08207</cdr:y>
    </cdr:from>
    <cdr:to>
      <cdr:x>0.99893</cdr:x>
      <cdr:y>0.1654</cdr:y>
    </cdr:to>
    <cdr:sp macro="" textlink="'TRAD-visualiz'!$B$8">
      <cdr:nvSpPr>
        <cdr:cNvPr id="12" name="ZoneTexte 11"/>
        <cdr:cNvSpPr txBox="1"/>
      </cdr:nvSpPr>
      <cdr:spPr>
        <a:xfrm xmlns:a="http://schemas.openxmlformats.org/drawingml/2006/main">
          <a:off x="8694562" y="562817"/>
          <a:ext cx="1400695" cy="57147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446D0E29-586E-4B16-86FD-F558F94B732D}"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0.87015</cdr:x>
      <cdr:y>0.00664</cdr:y>
    </cdr:from>
    <cdr:to>
      <cdr:x>0.99247</cdr:x>
      <cdr:y>0.09314</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93722" y="45524"/>
          <a:ext cx="1236169" cy="593217"/>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00" b="1"/>
            <a:pPr algn="l"/>
            <a:t> </a:t>
          </a:fld>
          <a:endParaRPr lang="fr-FR" sz="1000" b="1"/>
        </a:p>
      </cdr:txBody>
    </cdr:sp>
  </cdr:relSizeAnchor>
  <cdr:relSizeAnchor xmlns:cdr="http://schemas.openxmlformats.org/drawingml/2006/chartDrawing">
    <cdr:from>
      <cdr:x>0.01441</cdr:x>
      <cdr:y>0.07241</cdr:y>
    </cdr:from>
    <cdr:to>
      <cdr:x>0.24399</cdr:x>
      <cdr:y>0.1141</cdr:y>
    </cdr:to>
    <cdr:sp macro="" textlink="'TRAD-visualiz'!$B$4">
      <cdr:nvSpPr>
        <cdr:cNvPr id="101" name="ZoneTexte 1"/>
        <cdr:cNvSpPr txBox="1"/>
      </cdr:nvSpPr>
      <cdr:spPr>
        <a:xfrm xmlns:a="http://schemas.openxmlformats.org/drawingml/2006/main">
          <a:off x="145676" y="496589"/>
          <a:ext cx="2320141"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AE8BB0-21F4-442A-8A93-5788DB8C18C2}"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0.01441</cdr:x>
      <cdr:y>0.04085</cdr:y>
    </cdr:from>
    <cdr:to>
      <cdr:x>0.18536</cdr:x>
      <cdr:y>0.08249</cdr:y>
    </cdr:to>
    <cdr:sp macro="" textlink="'TRAD-visualiz'!$B$3">
      <cdr:nvSpPr>
        <cdr:cNvPr id="102" name="ZoneTexte 1"/>
        <cdr:cNvSpPr txBox="1"/>
      </cdr:nvSpPr>
      <cdr:spPr>
        <a:xfrm xmlns:a="http://schemas.openxmlformats.org/drawingml/2006/main">
          <a:off x="145628" y="280149"/>
          <a:ext cx="1727622" cy="285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D63E2C-9E99-4C7A-AF68-2F331DEEBDCA}"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0.17897</cdr:x>
      <cdr:y>0.03776</cdr:y>
    </cdr:from>
    <cdr:to>
      <cdr:x>0.32375</cdr:x>
      <cdr:y>0.08025</cdr:y>
    </cdr:to>
    <cdr:sp macro="" textlink="Paramétrage!$D$11">
      <cdr:nvSpPr>
        <cdr:cNvPr id="103" name="ZoneTexte 1"/>
        <cdr:cNvSpPr txBox="1"/>
      </cdr:nvSpPr>
      <cdr:spPr>
        <a:xfrm xmlns:a="http://schemas.openxmlformats.org/drawingml/2006/main">
          <a:off x="1808689" y="258982"/>
          <a:ext cx="1463151" cy="291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1DAA6C-0087-42AE-AC43-9F346EA8B3F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0.42651</cdr:x>
      <cdr:y>0.07241</cdr:y>
    </cdr:from>
    <cdr:to>
      <cdr:x>0.61612</cdr:x>
      <cdr:y>0.1141</cdr:y>
    </cdr:to>
    <cdr:sp macro="" textlink="'TRAD-visualiz'!$B$6">
      <cdr:nvSpPr>
        <cdr:cNvPr id="104" name="ZoneTexte 6"/>
        <cdr:cNvSpPr txBox="1"/>
      </cdr:nvSpPr>
      <cdr:spPr>
        <a:xfrm xmlns:a="http://schemas.openxmlformats.org/drawingml/2006/main">
          <a:off x="4310350" y="496589"/>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4314541-34CC-48E9-9C60-CDD28E49CA21}"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0.20681</cdr:x>
      <cdr:y>0.07241</cdr:y>
    </cdr:from>
    <cdr:to>
      <cdr:x>0.35159</cdr:x>
      <cdr:y>0.1149</cdr:y>
    </cdr:to>
    <cdr:sp macro="" textlink="Paramétrage!$H$19">
      <cdr:nvSpPr>
        <cdr:cNvPr id="105" name="ZoneTexte 1"/>
        <cdr:cNvSpPr txBox="1"/>
      </cdr:nvSpPr>
      <cdr:spPr>
        <a:xfrm xmlns:a="http://schemas.openxmlformats.org/drawingml/2006/main">
          <a:off x="2089979" y="496589"/>
          <a:ext cx="1463150"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825C5DB-A95C-4A8D-996B-F2ADF76D50D2}"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0.59805</cdr:x>
      <cdr:y>0.07241</cdr:y>
    </cdr:from>
    <cdr:to>
      <cdr:x>0.91961</cdr:x>
      <cdr:y>0.1149</cdr:y>
    </cdr:to>
    <cdr:sp macro="" textlink="'Calculs dispo Données FA'!$F$122">
      <cdr:nvSpPr>
        <cdr:cNvPr id="106" name="ZoneTexte 1"/>
        <cdr:cNvSpPr txBox="1"/>
      </cdr:nvSpPr>
      <cdr:spPr>
        <a:xfrm xmlns:a="http://schemas.openxmlformats.org/drawingml/2006/main">
          <a:off x="6043950" y="496589"/>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C144B9-8381-4C37-8805-124CAF96E885}" type="TxLink">
            <a:rPr lang="fr-FR" sz="1100" b="1" i="1" u="none" strike="noStrike">
              <a:solidFill>
                <a:srgbClr val="C00000"/>
              </a:solidFill>
              <a:latin typeface="Arialri"/>
            </a:rPr>
            <a:pPr/>
            <a:t>Stocks centraux</a:t>
          </a:fld>
          <a:endParaRPr lang="fr-FR" sz="1100" b="1" i="1">
            <a:solidFill>
              <a:srgbClr val="C00000"/>
            </a:solidFill>
          </a:endParaRPr>
        </a:p>
      </cdr:txBody>
    </cdr:sp>
  </cdr:relSizeAnchor>
  <cdr:relSizeAnchor xmlns:cdr="http://schemas.openxmlformats.org/drawingml/2006/chartDrawing">
    <cdr:from>
      <cdr:x>0.42651</cdr:x>
      <cdr:y>0.04085</cdr:y>
    </cdr:from>
    <cdr:to>
      <cdr:x>0.66658</cdr:x>
      <cdr:y>0.08254</cdr:y>
    </cdr:to>
    <cdr:sp macro="" textlink="'TRAD-visualiz'!$B$5">
      <cdr:nvSpPr>
        <cdr:cNvPr id="107" name="ZoneTexte 6"/>
        <cdr:cNvSpPr txBox="1"/>
      </cdr:nvSpPr>
      <cdr:spPr>
        <a:xfrm xmlns:a="http://schemas.openxmlformats.org/drawingml/2006/main">
          <a:off x="4310350" y="280148"/>
          <a:ext cx="2426119"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04B5C2-3D22-4980-86F1-3A5A49A76CBE}"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0.64384</cdr:x>
      <cdr:y>0.04085</cdr:y>
    </cdr:from>
    <cdr:to>
      <cdr:x>0.84549</cdr:x>
      <cdr:y>0.08334</cdr:y>
    </cdr:to>
    <cdr:sp macro="" textlink="Calculs!$C$487">
      <cdr:nvSpPr>
        <cdr:cNvPr id="108" name="ZoneTexte 1"/>
        <cdr:cNvSpPr txBox="1"/>
      </cdr:nvSpPr>
      <cdr:spPr>
        <a:xfrm xmlns:a="http://schemas.openxmlformats.org/drawingml/2006/main">
          <a:off x="6506702" y="280148"/>
          <a:ext cx="2037827"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02CECFB-83C1-4CB7-BEF3-8DE787E8FC72}" type="TxLink">
            <a:rPr lang="fr-FR" sz="1100" b="1" i="1" u="none" strike="noStrike">
              <a:solidFill>
                <a:srgbClr val="C00000"/>
              </a:solidFill>
              <a:latin typeface="Arialri"/>
            </a:rPr>
            <a:pPr/>
            <a:t>Données suivi de file active</a:t>
          </a:fld>
          <a:endParaRPr lang="fr-FR" sz="1100" b="1" i="1">
            <a:solidFill>
              <a:srgbClr val="C00000"/>
            </a:solidFill>
          </a:endParaRPr>
        </a:p>
      </cdr:txBody>
    </cdr:sp>
  </cdr:relSizeAnchor>
  <cdr:relSizeAnchor xmlns:cdr="http://schemas.openxmlformats.org/drawingml/2006/chartDrawing">
    <cdr:from>
      <cdr:x>0.88981</cdr:x>
      <cdr:y>0.18301</cdr:y>
    </cdr:from>
    <cdr:to>
      <cdr:x>0.95394</cdr:x>
      <cdr:y>0.9428</cdr:y>
    </cdr:to>
    <cdr:grpSp>
      <cdr:nvGrpSpPr>
        <cdr:cNvPr id="115" name="Groupe 114"/>
        <cdr:cNvGrpSpPr/>
      </cdr:nvGrpSpPr>
      <cdr:grpSpPr>
        <a:xfrm xmlns:a="http://schemas.openxmlformats.org/drawingml/2006/main">
          <a:off x="9021635" y="1257019"/>
          <a:ext cx="650203" cy="5218681"/>
          <a:chOff x="7261427" y="1255084"/>
          <a:chExt cx="648000" cy="5210605"/>
        </a:xfrm>
      </cdr:grpSpPr>
      <cdr:sp macro="" textlink="Calculs!$Y$153">
        <cdr:nvSpPr>
          <cdr:cNvPr id="11" name="ZoneTexte 10"/>
          <cdr:cNvSpPr txBox="1"/>
        </cdr:nvSpPr>
        <cdr:spPr>
          <a:xfrm xmlns:a="http://schemas.openxmlformats.org/drawingml/2006/main">
            <a:off x="7261427" y="1255084"/>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marL="0" indent="0" algn="l"/>
            <a:fld id="{B21F5C82-B1DA-4BFD-A52F-F2141AE87B43}" type="TxLink">
              <a:rPr lang="fr-FR" sz="900" b="1" i="0" u="none" strike="noStrike">
                <a:solidFill>
                  <a:srgbClr val="000000"/>
                </a:solidFill>
                <a:latin typeface="+mn-lt"/>
                <a:ea typeface="+mn-ea"/>
                <a:cs typeface="+mn-cs"/>
              </a:rPr>
              <a:pPr marL="0" indent="0" algn="l"/>
              <a:t>6338</a:t>
            </a:fld>
            <a:endParaRPr lang="fr-FR" sz="900" b="1">
              <a:latin typeface="+mn-lt"/>
              <a:ea typeface="+mn-ea"/>
              <a:cs typeface="+mn-cs"/>
            </a:endParaRPr>
          </a:p>
        </cdr:txBody>
      </cdr:sp>
      <cdr:sp macro="" textlink="Calculs!$Y$156">
        <cdr:nvSpPr>
          <cdr:cNvPr id="18" name="ZoneTexte 1"/>
          <cdr:cNvSpPr txBox="1"/>
        </cdr:nvSpPr>
        <cdr:spPr>
          <a:xfrm xmlns:a="http://schemas.openxmlformats.org/drawingml/2006/main">
            <a:off x="7261427" y="1729741"/>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063CE04-F56E-4E3B-A84C-A773BF16C35F}" type="TxLink">
              <a:rPr lang="fr-FR" sz="900" b="1" i="0" u="none" strike="noStrike">
                <a:solidFill>
                  <a:srgbClr val="000000"/>
                </a:solidFill>
                <a:latin typeface="+mn-lt"/>
                <a:cs typeface="Calibri"/>
              </a:rPr>
              <a:pPr algn="l"/>
              <a:t>1267</a:t>
            </a:fld>
            <a:endParaRPr lang="fr-FR" sz="900" b="1">
              <a:latin typeface="+mn-lt"/>
            </a:endParaRPr>
          </a:p>
        </cdr:txBody>
      </cdr:sp>
      <cdr:sp macro="" textlink="Calculs!$Y$155">
        <cdr:nvSpPr>
          <cdr:cNvPr id="19" name="ZoneTexte 1"/>
          <cdr:cNvSpPr txBox="1"/>
        </cdr:nvSpPr>
        <cdr:spPr>
          <a:xfrm xmlns:a="http://schemas.openxmlformats.org/drawingml/2006/main">
            <a:off x="7261427" y="1571522"/>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D5BF645-F7BB-4C35-8D52-D2980A2F52EB}" type="TxLink">
              <a:rPr lang="fr-FR" sz="900" b="1" i="0" u="none" strike="noStrike">
                <a:solidFill>
                  <a:srgbClr val="000000"/>
                </a:solidFill>
                <a:latin typeface="+mn-lt"/>
                <a:cs typeface="Calibri"/>
              </a:rPr>
              <a:pPr algn="l"/>
              <a:t>27</a:t>
            </a:fld>
            <a:endParaRPr lang="fr-FR" sz="900" b="1">
              <a:latin typeface="+mn-lt"/>
            </a:endParaRPr>
          </a:p>
        </cdr:txBody>
      </cdr:sp>
      <cdr:sp macro="" textlink="Calculs!$Y$154">
        <cdr:nvSpPr>
          <cdr:cNvPr id="125" name="ZoneTexte 1"/>
          <cdr:cNvSpPr txBox="1"/>
        </cdr:nvSpPr>
        <cdr:spPr>
          <a:xfrm xmlns:a="http://schemas.openxmlformats.org/drawingml/2006/main">
            <a:off x="7261427" y="1413303"/>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16CD871-7F3A-4E24-B58E-FC0260599ACF}" type="TxLink">
              <a:rPr lang="fr-FR" sz="900" b="1" i="0" u="none" strike="noStrike">
                <a:solidFill>
                  <a:srgbClr val="000000"/>
                </a:solidFill>
                <a:latin typeface="+mn-lt"/>
                <a:cs typeface="Calibri"/>
              </a:rPr>
              <a:pPr algn="l"/>
              <a:t>546</a:t>
            </a:fld>
            <a:endParaRPr lang="fr-FR" sz="900" b="1">
              <a:latin typeface="+mn-lt"/>
            </a:endParaRPr>
          </a:p>
        </cdr:txBody>
      </cdr:sp>
      <cdr:sp macro="" textlink="Calculs!$Y$157">
        <cdr:nvSpPr>
          <cdr:cNvPr id="126" name="ZoneTexte 1"/>
          <cdr:cNvSpPr txBox="1"/>
        </cdr:nvSpPr>
        <cdr:spPr>
          <a:xfrm xmlns:a="http://schemas.openxmlformats.org/drawingml/2006/main">
            <a:off x="7261427" y="1887960"/>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F561B0E-E105-43E0-A6C6-8EA028D6AB91}" type="TxLink">
              <a:rPr lang="fr-FR" sz="900" b="1" i="0" u="none" strike="noStrike">
                <a:solidFill>
                  <a:srgbClr val="000000"/>
                </a:solidFill>
                <a:latin typeface="+mn-lt"/>
                <a:cs typeface="Calibri"/>
              </a:rPr>
              <a:pPr algn="l"/>
              <a:t>146</a:t>
            </a:fld>
            <a:endParaRPr lang="fr-FR" sz="900" b="1">
              <a:latin typeface="+mn-lt"/>
            </a:endParaRPr>
          </a:p>
        </cdr:txBody>
      </cdr:sp>
      <cdr:sp macro="" textlink="Calculs!$Y$164">
        <cdr:nvSpPr>
          <cdr:cNvPr id="13" name="ZoneTexte 1"/>
          <cdr:cNvSpPr txBox="1"/>
        </cdr:nvSpPr>
        <cdr:spPr>
          <a:xfrm xmlns:a="http://schemas.openxmlformats.org/drawingml/2006/main">
            <a:off x="7261427" y="2837274"/>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B84EF09-9EE5-4850-A6CE-29E226F2DC54}" type="TxLink">
              <a:rPr lang="fr-FR" sz="900" b="1" i="0" u="none" strike="noStrike">
                <a:solidFill>
                  <a:srgbClr val="000000"/>
                </a:solidFill>
                <a:latin typeface="+mn-lt"/>
                <a:cs typeface="Calibri"/>
              </a:rPr>
              <a:pPr algn="l"/>
              <a:t>0</a:t>
            </a:fld>
            <a:endParaRPr lang="fr-FR" sz="900" b="1">
              <a:latin typeface="+mn-lt"/>
            </a:endParaRPr>
          </a:p>
        </cdr:txBody>
      </cdr:sp>
      <cdr:sp macro="" textlink="Calculs!$Y$163">
        <cdr:nvSpPr>
          <cdr:cNvPr id="14" name="ZoneTexte 1"/>
          <cdr:cNvSpPr txBox="1"/>
        </cdr:nvSpPr>
        <cdr:spPr>
          <a:xfrm xmlns:a="http://schemas.openxmlformats.org/drawingml/2006/main">
            <a:off x="7261427" y="2679055"/>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E4FEC60-2BA2-436E-A165-648CF2883AF8}" type="TxLink">
              <a:rPr lang="fr-FR" sz="900" b="1" i="0" u="none" strike="noStrike">
                <a:solidFill>
                  <a:srgbClr val="000000"/>
                </a:solidFill>
                <a:latin typeface="+mn-lt"/>
                <a:cs typeface="Calibri"/>
              </a:rPr>
              <a:pPr algn="l"/>
              <a:t>0</a:t>
            </a:fld>
            <a:endParaRPr lang="fr-FR" sz="900" b="1">
              <a:latin typeface="+mn-lt"/>
            </a:endParaRPr>
          </a:p>
        </cdr:txBody>
      </cdr:sp>
      <cdr:sp macro="" textlink="Calculs!$Y$162">
        <cdr:nvSpPr>
          <cdr:cNvPr id="15" name="ZoneTexte 1"/>
          <cdr:cNvSpPr txBox="1"/>
        </cdr:nvSpPr>
        <cdr:spPr>
          <a:xfrm xmlns:a="http://schemas.openxmlformats.org/drawingml/2006/main">
            <a:off x="7261427" y="2520836"/>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4B99D6-9A0A-49CE-9AB4-F5DD3084C34C}" type="TxLink">
              <a:rPr lang="fr-FR" sz="900" b="1" i="0" u="none" strike="noStrike">
                <a:solidFill>
                  <a:srgbClr val="000000"/>
                </a:solidFill>
                <a:latin typeface="+mn-lt"/>
                <a:cs typeface="Calibri"/>
              </a:rPr>
              <a:pPr algn="l"/>
              <a:t>45</a:t>
            </a:fld>
            <a:endParaRPr lang="fr-FR" sz="900" b="1">
              <a:latin typeface="+mn-lt"/>
            </a:endParaRPr>
          </a:p>
        </cdr:txBody>
      </cdr:sp>
      <cdr:sp macro="" textlink="Calculs!$Y$161">
        <cdr:nvSpPr>
          <cdr:cNvPr id="16" name="ZoneTexte 1"/>
          <cdr:cNvSpPr txBox="1"/>
        </cdr:nvSpPr>
        <cdr:spPr>
          <a:xfrm xmlns:a="http://schemas.openxmlformats.org/drawingml/2006/main">
            <a:off x="7261427" y="2362617"/>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951257C-7021-48FD-8005-03D054E51194}" type="TxLink">
              <a:rPr lang="fr-FR" sz="900" b="1" i="0" u="none" strike="noStrike">
                <a:solidFill>
                  <a:srgbClr val="000000"/>
                </a:solidFill>
                <a:latin typeface="+mn-lt"/>
                <a:cs typeface="Calibri"/>
              </a:rPr>
              <a:pPr algn="l"/>
              <a:t>100</a:t>
            </a:fld>
            <a:endParaRPr lang="fr-FR" sz="900" b="1">
              <a:latin typeface="+mn-lt"/>
            </a:endParaRPr>
          </a:p>
        </cdr:txBody>
      </cdr:sp>
      <cdr:sp macro="" textlink="Calculs!$Y$160">
        <cdr:nvSpPr>
          <cdr:cNvPr id="17" name="ZoneTexte 1"/>
          <cdr:cNvSpPr txBox="1"/>
        </cdr:nvSpPr>
        <cdr:spPr>
          <a:xfrm xmlns:a="http://schemas.openxmlformats.org/drawingml/2006/main">
            <a:off x="7261427" y="2204398"/>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4995DA9-6C95-4665-B992-599C9DADD66A}" type="TxLink">
              <a:rPr lang="fr-FR" sz="900" b="1" i="0" u="none" strike="noStrike">
                <a:solidFill>
                  <a:srgbClr val="000000"/>
                </a:solidFill>
                <a:latin typeface="+mn-lt"/>
                <a:cs typeface="Calibri"/>
              </a:rPr>
              <a:pPr algn="l"/>
              <a:t>0</a:t>
            </a:fld>
            <a:endParaRPr lang="fr-FR" sz="900" b="1">
              <a:latin typeface="+mn-lt"/>
            </a:endParaRPr>
          </a:p>
        </cdr:txBody>
      </cdr:sp>
      <cdr:sp macro="" textlink="Calculs!$Y$172">
        <cdr:nvSpPr>
          <cdr:cNvPr id="20" name="ZoneTexte 1"/>
          <cdr:cNvSpPr txBox="1"/>
        </cdr:nvSpPr>
        <cdr:spPr>
          <a:xfrm xmlns:a="http://schemas.openxmlformats.org/drawingml/2006/main">
            <a:off x="7261427" y="3786588"/>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2150DBF-25CB-463D-AA8B-29080015B636}" type="TxLink">
              <a:rPr lang="fr-FR" sz="900" b="1" i="0" u="none" strike="noStrike">
                <a:solidFill>
                  <a:srgbClr val="000000"/>
                </a:solidFill>
                <a:latin typeface="+mn-lt"/>
                <a:cs typeface="Calibri"/>
              </a:rPr>
              <a:pPr algn="l"/>
              <a:t>0</a:t>
            </a:fld>
            <a:endParaRPr lang="fr-FR" sz="900" b="1">
              <a:latin typeface="+mn-lt"/>
            </a:endParaRPr>
          </a:p>
        </cdr:txBody>
      </cdr:sp>
      <cdr:sp macro="" textlink="Calculs!$Y$170">
        <cdr:nvSpPr>
          <cdr:cNvPr id="21" name="ZoneTexte 1"/>
          <cdr:cNvSpPr txBox="1"/>
        </cdr:nvSpPr>
        <cdr:spPr>
          <a:xfrm xmlns:a="http://schemas.openxmlformats.org/drawingml/2006/main">
            <a:off x="7261427" y="3628369"/>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F76EA3A-B0DA-4B03-BCD4-7B9CBCF28467}" type="TxLink">
              <a:rPr lang="fr-FR" sz="900" b="1" i="0" u="none" strike="noStrike">
                <a:solidFill>
                  <a:srgbClr val="000000"/>
                </a:solidFill>
                <a:latin typeface="+mn-lt"/>
                <a:cs typeface="Calibri"/>
              </a:rPr>
              <a:pPr algn="l"/>
              <a:t>1485</a:t>
            </a:fld>
            <a:endParaRPr lang="fr-FR" sz="900" b="1">
              <a:latin typeface="+mn-lt"/>
            </a:endParaRPr>
          </a:p>
        </cdr:txBody>
      </cdr:sp>
      <cdr:sp macro="" textlink="Calculs!$Y$169">
        <cdr:nvSpPr>
          <cdr:cNvPr id="22" name="ZoneTexte 1"/>
          <cdr:cNvSpPr txBox="1"/>
        </cdr:nvSpPr>
        <cdr:spPr>
          <a:xfrm xmlns:a="http://schemas.openxmlformats.org/drawingml/2006/main">
            <a:off x="7261427" y="3470150"/>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3F45726-55F9-4C53-8766-E8480989D61A}" type="TxLink">
              <a:rPr lang="fr-FR" sz="900" b="1" i="0" u="none" strike="noStrike">
                <a:solidFill>
                  <a:srgbClr val="000000"/>
                </a:solidFill>
                <a:latin typeface="+mn-lt"/>
                <a:cs typeface="Calibri"/>
              </a:rPr>
              <a:pPr algn="l"/>
              <a:t>ND</a:t>
            </a:fld>
            <a:endParaRPr lang="fr-FR" sz="900" b="1">
              <a:latin typeface="+mn-lt"/>
            </a:endParaRPr>
          </a:p>
        </cdr:txBody>
      </cdr:sp>
      <cdr:sp macro="" textlink="Calculs!$Y$168">
        <cdr:nvSpPr>
          <cdr:cNvPr id="23" name="ZoneTexte 1"/>
          <cdr:cNvSpPr txBox="1"/>
        </cdr:nvSpPr>
        <cdr:spPr>
          <a:xfrm xmlns:a="http://schemas.openxmlformats.org/drawingml/2006/main">
            <a:off x="7261427" y="3311931"/>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ED2495F-40C4-4F05-861E-F06BA6CFC48B}" type="TxLink">
              <a:rPr lang="fr-FR" sz="900" b="1" i="0" u="none" strike="noStrike">
                <a:solidFill>
                  <a:srgbClr val="000000"/>
                </a:solidFill>
                <a:latin typeface="+mn-lt"/>
                <a:cs typeface="Calibri"/>
              </a:rPr>
              <a:pPr algn="l"/>
              <a:t>ND</a:t>
            </a:fld>
            <a:endParaRPr lang="fr-FR" sz="900" b="1">
              <a:latin typeface="+mn-lt"/>
            </a:endParaRPr>
          </a:p>
        </cdr:txBody>
      </cdr:sp>
      <cdr:sp macro="" textlink="Calculs!$Y$166">
        <cdr:nvSpPr>
          <cdr:cNvPr id="24" name="ZoneTexte 1"/>
          <cdr:cNvSpPr txBox="1"/>
        </cdr:nvSpPr>
        <cdr:spPr>
          <a:xfrm xmlns:a="http://schemas.openxmlformats.org/drawingml/2006/main">
            <a:off x="7261427" y="3153712"/>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19DAC5A-E745-41CA-8D38-B4FB037E2086}" type="TxLink">
              <a:rPr lang="fr-FR" sz="900" b="1" i="0" u="none" strike="noStrike">
                <a:solidFill>
                  <a:srgbClr val="000000"/>
                </a:solidFill>
                <a:latin typeface="+mn-lt"/>
                <a:cs typeface="Calibri"/>
              </a:rPr>
              <a:pPr algn="l"/>
              <a:t>104</a:t>
            </a:fld>
            <a:endParaRPr lang="fr-FR" sz="900" b="1">
              <a:latin typeface="+mn-lt"/>
            </a:endParaRPr>
          </a:p>
        </cdr:txBody>
      </cdr:sp>
      <cdr:sp macro="" textlink="Calculs!$Y$165">
        <cdr:nvSpPr>
          <cdr:cNvPr id="25" name="ZoneTexte 1"/>
          <cdr:cNvSpPr txBox="1"/>
        </cdr:nvSpPr>
        <cdr:spPr>
          <a:xfrm xmlns:a="http://schemas.openxmlformats.org/drawingml/2006/main">
            <a:off x="7261427" y="2995493"/>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2C4A588-558D-4085-A8E8-046FCBEA42C1}" type="TxLink">
              <a:rPr lang="fr-FR" sz="900" b="1" i="0" u="none" strike="noStrike">
                <a:solidFill>
                  <a:srgbClr val="000000"/>
                </a:solidFill>
                <a:latin typeface="+mn-lt"/>
                <a:cs typeface="Calibri"/>
              </a:rPr>
              <a:pPr algn="l"/>
              <a:t>1484</a:t>
            </a:fld>
            <a:endParaRPr lang="fr-FR" sz="900" b="1">
              <a:latin typeface="+mn-lt"/>
            </a:endParaRPr>
          </a:p>
        </cdr:txBody>
      </cdr:sp>
      <cdr:sp macro="" textlink="Calculs!$Y$174">
        <cdr:nvSpPr>
          <cdr:cNvPr id="26" name="ZoneTexte 1"/>
          <cdr:cNvSpPr txBox="1"/>
        </cdr:nvSpPr>
        <cdr:spPr>
          <a:xfrm xmlns:a="http://schemas.openxmlformats.org/drawingml/2006/main">
            <a:off x="7261427" y="3944807"/>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5CB03D1-E632-4EC9-8B8C-16802DC887FC}" type="TxLink">
              <a:rPr lang="fr-FR" sz="900" b="1" i="0" u="none" strike="noStrike">
                <a:solidFill>
                  <a:srgbClr val="000000"/>
                </a:solidFill>
                <a:latin typeface="+mn-lt"/>
                <a:cs typeface="Calibri"/>
              </a:rPr>
              <a:pPr algn="l"/>
              <a:t>2</a:t>
            </a:fld>
            <a:endParaRPr lang="fr-FR" sz="900" b="1">
              <a:latin typeface="+mn-lt"/>
            </a:endParaRPr>
          </a:p>
        </cdr:txBody>
      </cdr:sp>
      <cdr:sp macro="" textlink="Calculs!$Y$176">
        <cdr:nvSpPr>
          <cdr:cNvPr id="27" name="ZoneTexte 1"/>
          <cdr:cNvSpPr txBox="1"/>
        </cdr:nvSpPr>
        <cdr:spPr>
          <a:xfrm xmlns:a="http://schemas.openxmlformats.org/drawingml/2006/main">
            <a:off x="7261427" y="4103026"/>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74FD5F4-F4C2-442C-B361-D45E5E4CEEB3}" type="TxLink">
              <a:rPr lang="fr-FR" sz="900" b="1" i="0" u="none" strike="noStrike">
                <a:solidFill>
                  <a:srgbClr val="000000"/>
                </a:solidFill>
                <a:latin typeface="+mn-lt"/>
                <a:cs typeface="Calibri"/>
              </a:rPr>
              <a:pPr algn="l"/>
              <a:t>0</a:t>
            </a:fld>
            <a:endParaRPr lang="fr-FR" sz="900" b="1">
              <a:latin typeface="+mn-lt"/>
            </a:endParaRPr>
          </a:p>
        </cdr:txBody>
      </cdr:sp>
      <cdr:sp macro="" textlink="Calculs!$Y$179">
        <cdr:nvSpPr>
          <cdr:cNvPr id="28" name="ZoneTexte 1"/>
          <cdr:cNvSpPr txBox="1"/>
        </cdr:nvSpPr>
        <cdr:spPr>
          <a:xfrm xmlns:a="http://schemas.openxmlformats.org/drawingml/2006/main">
            <a:off x="7261427" y="4419464"/>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6201D63-3BA1-4C69-872B-670AA507ABED}" type="TxLink">
              <a:rPr lang="fr-FR" sz="900" b="1" i="0" u="none" strike="noStrike">
                <a:solidFill>
                  <a:srgbClr val="000000"/>
                </a:solidFill>
                <a:latin typeface="+mn-lt"/>
                <a:cs typeface="Calibri"/>
              </a:rPr>
              <a:pPr algn="l"/>
              <a:t>0</a:t>
            </a:fld>
            <a:endParaRPr lang="fr-FR" sz="900" b="1">
              <a:latin typeface="+mn-lt"/>
            </a:endParaRPr>
          </a:p>
        </cdr:txBody>
      </cdr:sp>
      <cdr:sp macro="" textlink="Calculs!$Y$180">
        <cdr:nvSpPr>
          <cdr:cNvPr id="29" name="ZoneTexte 1"/>
          <cdr:cNvSpPr txBox="1"/>
        </cdr:nvSpPr>
        <cdr:spPr>
          <a:xfrm xmlns:a="http://schemas.openxmlformats.org/drawingml/2006/main">
            <a:off x="7261427" y="4577683"/>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CBEC51-140C-44FA-811B-3D06A49D5C80}" type="TxLink">
              <a:rPr lang="fr-FR" sz="900" b="1" i="0" u="none" strike="noStrike">
                <a:solidFill>
                  <a:srgbClr val="000000"/>
                </a:solidFill>
                <a:latin typeface="+mn-lt"/>
                <a:cs typeface="Calibri"/>
              </a:rPr>
              <a:pPr algn="l"/>
              <a:t>0</a:t>
            </a:fld>
            <a:endParaRPr lang="fr-FR" sz="900" b="1">
              <a:latin typeface="+mn-lt"/>
            </a:endParaRPr>
          </a:p>
        </cdr:txBody>
      </cdr:sp>
      <cdr:sp macro="" textlink="Calculs!$Y$182">
        <cdr:nvSpPr>
          <cdr:cNvPr id="30" name="ZoneTexte 1"/>
          <cdr:cNvSpPr txBox="1"/>
        </cdr:nvSpPr>
        <cdr:spPr>
          <a:xfrm xmlns:a="http://schemas.openxmlformats.org/drawingml/2006/main">
            <a:off x="7261427" y="4735902"/>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1637DD-B272-44B9-BA07-D33C58DC4279}" type="TxLink">
              <a:rPr lang="fr-FR" sz="900" b="1" i="0" u="none" strike="noStrike">
                <a:solidFill>
                  <a:srgbClr val="000000"/>
                </a:solidFill>
                <a:latin typeface="+mn-lt"/>
                <a:cs typeface="Calibri"/>
              </a:rPr>
              <a:pPr algn="l"/>
              <a:t>0</a:t>
            </a:fld>
            <a:endParaRPr lang="fr-FR" sz="900" b="1">
              <a:latin typeface="+mn-lt"/>
            </a:endParaRPr>
          </a:p>
        </cdr:txBody>
      </cdr:sp>
      <cdr:sp macro="" textlink="Calculs!$Y$183">
        <cdr:nvSpPr>
          <cdr:cNvPr id="31" name="ZoneTexte 1"/>
          <cdr:cNvSpPr txBox="1"/>
        </cdr:nvSpPr>
        <cdr:spPr>
          <a:xfrm xmlns:a="http://schemas.openxmlformats.org/drawingml/2006/main">
            <a:off x="7261427" y="4894121"/>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39ED5-B3AE-4141-93AD-CAA4B9179337}" type="TxLink">
              <a:rPr lang="fr-FR" sz="900" b="1" i="0" u="none" strike="noStrike">
                <a:solidFill>
                  <a:srgbClr val="000000"/>
                </a:solidFill>
                <a:latin typeface="+mn-lt"/>
                <a:cs typeface="Calibri"/>
              </a:rPr>
              <a:pPr algn="l"/>
              <a:t>2</a:t>
            </a:fld>
            <a:endParaRPr lang="fr-FR" sz="900" b="1">
              <a:latin typeface="+mn-lt"/>
            </a:endParaRPr>
          </a:p>
        </cdr:txBody>
      </cdr:sp>
      <cdr:sp macro="" textlink="Calculs!$Y$184">
        <cdr:nvSpPr>
          <cdr:cNvPr id="32" name="ZoneTexte 1"/>
          <cdr:cNvSpPr txBox="1"/>
        </cdr:nvSpPr>
        <cdr:spPr>
          <a:xfrm xmlns:a="http://schemas.openxmlformats.org/drawingml/2006/main">
            <a:off x="7261427" y="5052340"/>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62B81E7-B327-4CE0-96F0-DDBF530D3CB3}" type="TxLink">
              <a:rPr lang="fr-FR" sz="900" b="1" i="0" u="none" strike="noStrike">
                <a:solidFill>
                  <a:srgbClr val="000000"/>
                </a:solidFill>
                <a:latin typeface="+mn-lt"/>
                <a:cs typeface="Calibri"/>
              </a:rPr>
              <a:pPr algn="l"/>
              <a:t>0</a:t>
            </a:fld>
            <a:endParaRPr lang="fr-FR" sz="900" b="1">
              <a:latin typeface="+mn-lt"/>
            </a:endParaRPr>
          </a:p>
        </cdr:txBody>
      </cdr:sp>
      <cdr:sp macro="" textlink="Calculs!$Y$185">
        <cdr:nvSpPr>
          <cdr:cNvPr id="33" name="ZoneTexte 1"/>
          <cdr:cNvSpPr txBox="1"/>
        </cdr:nvSpPr>
        <cdr:spPr>
          <a:xfrm xmlns:a="http://schemas.openxmlformats.org/drawingml/2006/main">
            <a:off x="7261427" y="5210559"/>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39F45B-4EA8-4DFD-9A37-E0D12E795303}" type="TxLink">
              <a:rPr lang="fr-FR" sz="900" b="1" i="0" u="none" strike="noStrike">
                <a:solidFill>
                  <a:srgbClr val="000000"/>
                </a:solidFill>
                <a:latin typeface="+mn-lt"/>
                <a:cs typeface="Calibri"/>
              </a:rPr>
              <a:pPr algn="l"/>
              <a:t>106</a:t>
            </a:fld>
            <a:endParaRPr lang="fr-FR" sz="900" b="1">
              <a:latin typeface="+mn-lt"/>
            </a:endParaRPr>
          </a:p>
        </cdr:txBody>
      </cdr:sp>
      <cdr:sp macro="" textlink="Calculs!$Y$189">
        <cdr:nvSpPr>
          <cdr:cNvPr id="34" name="ZoneTexte 1"/>
          <cdr:cNvSpPr txBox="1"/>
        </cdr:nvSpPr>
        <cdr:spPr>
          <a:xfrm xmlns:a="http://schemas.openxmlformats.org/drawingml/2006/main">
            <a:off x="7261427" y="5526997"/>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DD1155D-6118-49AB-A858-D116EAAACFF2}" type="TxLink">
              <a:rPr lang="fr-FR" sz="900" b="1" i="0" u="none" strike="noStrike">
                <a:solidFill>
                  <a:srgbClr val="000000"/>
                </a:solidFill>
                <a:latin typeface="+mn-lt"/>
                <a:cs typeface="Calibri"/>
              </a:rPr>
              <a:pPr algn="l"/>
              <a:t>ND</a:t>
            </a:fld>
            <a:endParaRPr lang="fr-FR" sz="900" b="1">
              <a:latin typeface="+mn-lt"/>
            </a:endParaRPr>
          </a:p>
        </cdr:txBody>
      </cdr:sp>
      <cdr:sp macro="" textlink="Calculs!$Y$191">
        <cdr:nvSpPr>
          <cdr:cNvPr id="35" name="ZoneTexte 1"/>
          <cdr:cNvSpPr txBox="1"/>
        </cdr:nvSpPr>
        <cdr:spPr>
          <a:xfrm xmlns:a="http://schemas.openxmlformats.org/drawingml/2006/main">
            <a:off x="7261427" y="5685216"/>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F91E137-A0EC-4A56-8819-6AF99A775637}" type="TxLink">
              <a:rPr lang="fr-FR" sz="900" b="1" i="0" u="none" strike="noStrike">
                <a:solidFill>
                  <a:srgbClr val="000000"/>
                </a:solidFill>
                <a:latin typeface="+mn-lt"/>
                <a:cs typeface="Calibri"/>
              </a:rPr>
              <a:pPr algn="l"/>
              <a:t>0</a:t>
            </a:fld>
            <a:endParaRPr lang="fr-FR" sz="900" b="1">
              <a:latin typeface="+mn-lt"/>
            </a:endParaRPr>
          </a:p>
        </cdr:txBody>
      </cdr:sp>
      <cdr:sp macro="" textlink="Calculs!$Y$192">
        <cdr:nvSpPr>
          <cdr:cNvPr id="37" name="ZoneTexte 1"/>
          <cdr:cNvSpPr txBox="1"/>
        </cdr:nvSpPr>
        <cdr:spPr>
          <a:xfrm xmlns:a="http://schemas.openxmlformats.org/drawingml/2006/main">
            <a:off x="7261427" y="6159873"/>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862147-9144-4743-8714-2034CCAD0FC5}" type="TxLink">
              <a:rPr lang="fr-FR" sz="900" b="1" i="0" u="none" strike="noStrike">
                <a:solidFill>
                  <a:srgbClr val="000000"/>
                </a:solidFill>
                <a:latin typeface="+mn-lt"/>
                <a:cs typeface="Calibri"/>
              </a:rPr>
              <a:pPr algn="l"/>
              <a:t>ND</a:t>
            </a:fld>
            <a:endParaRPr lang="fr-FR" sz="900" b="1">
              <a:latin typeface="+mn-lt"/>
            </a:endParaRPr>
          </a:p>
        </cdr:txBody>
      </cdr:sp>
      <cdr:sp macro="" textlink="Calculs!$Y$193">
        <cdr:nvSpPr>
          <cdr:cNvPr id="120" name="ZoneTexte 1"/>
          <cdr:cNvSpPr txBox="1"/>
        </cdr:nvSpPr>
        <cdr:spPr>
          <a:xfrm xmlns:a="http://schemas.openxmlformats.org/drawingml/2006/main">
            <a:off x="7261427" y="6318089"/>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5B63C66-11D6-4DB2-B941-4929F8719716}" type="TxLink">
              <a:rPr lang="fr-FR" sz="900" b="1" i="0" u="none" strike="noStrike">
                <a:solidFill>
                  <a:srgbClr val="000000"/>
                </a:solidFill>
                <a:latin typeface="+mn-lt"/>
                <a:cs typeface="Calibri"/>
              </a:rPr>
              <a:pPr algn="l"/>
              <a:t>0</a:t>
            </a:fld>
            <a:endParaRPr lang="fr-FR" sz="900" b="1">
              <a:latin typeface="+mn-lt"/>
            </a:endParaRPr>
          </a:p>
        </cdr:txBody>
      </cdr:sp>
      <cdr:sp macro="" textlink="Calculs!$Y$190">
        <cdr:nvSpPr>
          <cdr:cNvPr id="128" name="ZoneTexte 1"/>
          <cdr:cNvSpPr txBox="1"/>
        </cdr:nvSpPr>
        <cdr:spPr>
          <a:xfrm xmlns:a="http://schemas.openxmlformats.org/drawingml/2006/main">
            <a:off x="7261427" y="6001654"/>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73EECF0-0D94-4CB6-9214-3727D8648ACA}" type="TxLink">
              <a:rPr lang="fr-FR" sz="900" b="1" i="0" u="none" strike="noStrike">
                <a:solidFill>
                  <a:srgbClr val="000000"/>
                </a:solidFill>
                <a:latin typeface="+mn-lt"/>
                <a:cs typeface="Calibri"/>
              </a:rPr>
              <a:pPr algn="l"/>
              <a:t>0</a:t>
            </a:fld>
            <a:endParaRPr lang="fr-FR" sz="900" b="1">
              <a:latin typeface="+mn-lt"/>
            </a:endParaRPr>
          </a:p>
        </cdr:txBody>
      </cdr:sp>
      <cdr:sp macro="" textlink="Calculs!$Y$187">
        <cdr:nvSpPr>
          <cdr:cNvPr id="129" name="ZoneTexte 1"/>
          <cdr:cNvSpPr txBox="1"/>
        </cdr:nvSpPr>
        <cdr:spPr>
          <a:xfrm xmlns:a="http://schemas.openxmlformats.org/drawingml/2006/main">
            <a:off x="7261427" y="5843435"/>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D30AE6-4231-4BF3-8265-BFF7D866C5C1}" type="TxLink">
              <a:rPr lang="fr-FR" sz="900" b="1" i="0" u="none" strike="noStrike">
                <a:solidFill>
                  <a:srgbClr val="000000"/>
                </a:solidFill>
                <a:latin typeface="+mn-lt"/>
                <a:cs typeface="Calibri"/>
              </a:rPr>
              <a:pPr algn="l"/>
              <a:t>0</a:t>
            </a:fld>
            <a:endParaRPr lang="fr-FR" sz="900" b="1">
              <a:latin typeface="+mn-lt"/>
            </a:endParaRPr>
          </a:p>
        </cdr:txBody>
      </cdr:sp>
      <cdr:sp macro="" textlink="Calculs!$Y$158">
        <cdr:nvSpPr>
          <cdr:cNvPr id="110" name="ZoneTexte 1"/>
          <cdr:cNvSpPr txBox="1"/>
        </cdr:nvSpPr>
        <cdr:spPr>
          <a:xfrm xmlns:a="http://schemas.openxmlformats.org/drawingml/2006/main">
            <a:off x="7261427" y="2046179"/>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D572D23-517F-46CB-9C10-14845A47C42E}" type="TxLink">
              <a:rPr lang="fr-FR" sz="900" b="1" i="0" u="none" strike="noStrike">
                <a:solidFill>
                  <a:srgbClr val="000000"/>
                </a:solidFill>
                <a:latin typeface="+mn-lt"/>
                <a:cs typeface="Calibri"/>
              </a:rPr>
              <a:pPr algn="l"/>
              <a:t>56</a:t>
            </a:fld>
            <a:endParaRPr lang="fr-FR" sz="900" b="1">
              <a:latin typeface="+mn-lt"/>
            </a:endParaRPr>
          </a:p>
        </cdr:txBody>
      </cdr:sp>
      <cdr:sp macro="" textlink="Calculs!$Y$177">
        <cdr:nvSpPr>
          <cdr:cNvPr id="99" name="ZoneTexte 1"/>
          <cdr:cNvSpPr txBox="1"/>
        </cdr:nvSpPr>
        <cdr:spPr>
          <a:xfrm xmlns:a="http://schemas.openxmlformats.org/drawingml/2006/main">
            <a:off x="7261427" y="4261245"/>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790E2C6-A0CE-44BC-8E85-8E94ED8EA414}" type="TxLink">
              <a:rPr lang="fr-FR" sz="900" b="1" i="0" u="none" strike="noStrike">
                <a:solidFill>
                  <a:srgbClr val="000000"/>
                </a:solidFill>
                <a:latin typeface="Calibri"/>
                <a:cs typeface="Calibri"/>
              </a:rPr>
              <a:pPr algn="l"/>
              <a:t>ND</a:t>
            </a:fld>
            <a:endParaRPr lang="fr-FR" sz="900" b="1">
              <a:latin typeface="Calibri"/>
            </a:endParaRPr>
          </a:p>
        </cdr:txBody>
      </cdr:sp>
      <cdr:sp macro="" textlink="Calculs!$Y$186">
        <cdr:nvSpPr>
          <cdr:cNvPr id="114" name="ZoneTexte 1"/>
          <cdr:cNvSpPr txBox="1"/>
        </cdr:nvSpPr>
        <cdr:spPr>
          <a:xfrm xmlns:a="http://schemas.openxmlformats.org/drawingml/2006/main">
            <a:off x="7261427" y="5368778"/>
            <a:ext cx="648000"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469CF0D-FF7E-449B-A43A-D31A07A91CD8}" type="TxLink">
              <a:rPr lang="fr-FR" sz="900" b="1" i="0" u="none" strike="noStrike">
                <a:solidFill>
                  <a:srgbClr val="000000"/>
                </a:solidFill>
                <a:latin typeface="Calibri"/>
                <a:cs typeface="Calibri"/>
              </a:rPr>
              <a:pPr algn="l"/>
              <a:t>18</a:t>
            </a:fld>
            <a:endParaRPr lang="fr-FR" sz="900" b="1">
              <a:latin typeface="Calibri"/>
            </a:endParaRPr>
          </a:p>
        </cdr:txBody>
      </cdr:sp>
    </cdr:grpSp>
  </cdr:relSizeAnchor>
  <cdr:relSizeAnchor xmlns:cdr="http://schemas.openxmlformats.org/drawingml/2006/chartDrawing">
    <cdr:from>
      <cdr:x>0.94583</cdr:x>
      <cdr:y>0.18253</cdr:y>
    </cdr:from>
    <cdr:to>
      <cdr:x>1</cdr:x>
      <cdr:y>0.94187</cdr:y>
    </cdr:to>
    <cdr:grpSp>
      <cdr:nvGrpSpPr>
        <cdr:cNvPr id="145" name="Groupe 144"/>
        <cdr:cNvGrpSpPr/>
      </cdr:nvGrpSpPr>
      <cdr:grpSpPr>
        <a:xfrm xmlns:a="http://schemas.openxmlformats.org/drawingml/2006/main">
          <a:off x="9589612" y="1253722"/>
          <a:ext cx="549221" cy="5215590"/>
          <a:chOff x="8191010" y="1251762"/>
          <a:chExt cx="547443" cy="5207572"/>
        </a:xfrm>
      </cdr:grpSpPr>
      <cdr:sp macro="" textlink="Calculs!$Y$218">
        <cdr:nvSpPr>
          <cdr:cNvPr id="75" name="ZoneTexte 1"/>
          <cdr:cNvSpPr txBox="1"/>
        </cdr:nvSpPr>
        <cdr:spPr>
          <a:xfrm xmlns:a="http://schemas.openxmlformats.org/drawingml/2006/main">
            <a:off x="8191010" y="283300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1D9A81-A0CB-4E68-8299-96E9C97B41F2}" type="TxLink">
              <a:rPr lang="fr-FR" sz="1000" b="1" i="0" u="none" strike="noStrike">
                <a:solidFill>
                  <a:srgbClr val="000000"/>
                </a:solidFill>
                <a:latin typeface="Calibri"/>
                <a:cs typeface="Calibri"/>
              </a:rPr>
              <a:pPr algn="l"/>
              <a:t>ND</a:t>
            </a:fld>
            <a:endParaRPr lang="fr-FR" sz="1000" b="1"/>
          </a:p>
        </cdr:txBody>
      </cdr:sp>
      <cdr:sp macro="" textlink="Calculs!$Y$217">
        <cdr:nvSpPr>
          <cdr:cNvPr id="76" name="ZoneTexte 1"/>
          <cdr:cNvSpPr txBox="1"/>
        </cdr:nvSpPr>
        <cdr:spPr>
          <a:xfrm xmlns:a="http://schemas.openxmlformats.org/drawingml/2006/main">
            <a:off x="8191010" y="267487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DA55A6A-B9F5-4DE1-AA62-5F1E0A22E416}" type="TxLink">
              <a:rPr lang="fr-FR" sz="1000" b="1" i="0" u="none" strike="noStrike">
                <a:solidFill>
                  <a:srgbClr val="000000"/>
                </a:solidFill>
                <a:latin typeface="Calibri"/>
                <a:cs typeface="Calibri"/>
              </a:rPr>
              <a:pPr algn="l"/>
              <a:t>ND</a:t>
            </a:fld>
            <a:endParaRPr lang="fr-FR" sz="1000" b="1"/>
          </a:p>
        </cdr:txBody>
      </cdr:sp>
      <cdr:sp macro="" textlink="Calculs!$Y$216">
        <cdr:nvSpPr>
          <cdr:cNvPr id="77" name="ZoneTexte 1"/>
          <cdr:cNvSpPr txBox="1"/>
        </cdr:nvSpPr>
        <cdr:spPr>
          <a:xfrm xmlns:a="http://schemas.openxmlformats.org/drawingml/2006/main">
            <a:off x="8191010" y="251675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E748D6-E4D8-490B-AF5E-8023F149CF01}" type="TxLink">
              <a:rPr lang="fr-FR" sz="1000" b="1" i="0" u="none" strike="noStrike">
                <a:solidFill>
                  <a:srgbClr val="000000"/>
                </a:solidFill>
                <a:latin typeface="Calibri"/>
                <a:cs typeface="Calibri"/>
              </a:rPr>
              <a:pPr algn="l"/>
              <a:t>ND</a:t>
            </a:fld>
            <a:endParaRPr lang="fr-FR" sz="1000" b="1"/>
          </a:p>
        </cdr:txBody>
      </cdr:sp>
      <cdr:sp macro="" textlink="Calculs!$Y$215">
        <cdr:nvSpPr>
          <cdr:cNvPr id="78" name="ZoneTexte 1"/>
          <cdr:cNvSpPr txBox="1"/>
        </cdr:nvSpPr>
        <cdr:spPr>
          <a:xfrm xmlns:a="http://schemas.openxmlformats.org/drawingml/2006/main">
            <a:off x="8191010" y="235863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927761-A451-4312-BDBC-B54595157844}" type="TxLink">
              <a:rPr lang="fr-FR" sz="1000" b="1" i="0" u="none" strike="noStrike">
                <a:solidFill>
                  <a:srgbClr val="000000"/>
                </a:solidFill>
                <a:latin typeface="Calibri"/>
                <a:cs typeface="Calibri"/>
              </a:rPr>
              <a:pPr algn="l"/>
              <a:t>ND</a:t>
            </a:fld>
            <a:endParaRPr lang="fr-FR" sz="1000" b="1"/>
          </a:p>
        </cdr:txBody>
      </cdr:sp>
      <cdr:sp macro="" textlink="Calculs!$Y$214">
        <cdr:nvSpPr>
          <cdr:cNvPr id="79" name="ZoneTexte 1"/>
          <cdr:cNvSpPr txBox="1"/>
        </cdr:nvSpPr>
        <cdr:spPr>
          <a:xfrm xmlns:a="http://schemas.openxmlformats.org/drawingml/2006/main">
            <a:off x="8191010" y="220050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111C6CF-6996-4656-B2A8-4B846EC1DFA6}" type="TxLink">
              <a:rPr lang="fr-FR" sz="1000" b="1" i="0" u="none" strike="noStrike">
                <a:solidFill>
                  <a:srgbClr val="000000"/>
                </a:solidFill>
                <a:latin typeface="Calibri"/>
                <a:cs typeface="Calibri"/>
              </a:rPr>
              <a:pPr algn="l"/>
              <a:t>ND</a:t>
            </a:fld>
            <a:endParaRPr lang="fr-FR" sz="1000" b="1"/>
          </a:p>
        </cdr:txBody>
      </cdr:sp>
      <cdr:sp macro="" textlink="Calculs!$Y$226">
        <cdr:nvSpPr>
          <cdr:cNvPr id="82" name="ZoneTexte 1"/>
          <cdr:cNvSpPr txBox="1"/>
        </cdr:nvSpPr>
        <cdr:spPr>
          <a:xfrm xmlns:a="http://schemas.openxmlformats.org/drawingml/2006/main">
            <a:off x="8191010" y="378174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DFB9F49-0EC8-4D13-8D1E-ED32A0809F5D}" type="TxLink">
              <a:rPr lang="fr-FR" sz="1000" b="1" i="0" u="none" strike="noStrike">
                <a:solidFill>
                  <a:srgbClr val="000000"/>
                </a:solidFill>
                <a:latin typeface="Calibri"/>
                <a:cs typeface="Calibri"/>
              </a:rPr>
              <a:pPr algn="l"/>
              <a:t>ND</a:t>
            </a:fld>
            <a:endParaRPr lang="fr-FR" sz="1000" b="1"/>
          </a:p>
        </cdr:txBody>
      </cdr:sp>
      <cdr:sp macro="" textlink="Calculs!$Y$224">
        <cdr:nvSpPr>
          <cdr:cNvPr id="83" name="ZoneTexte 1"/>
          <cdr:cNvSpPr txBox="1"/>
        </cdr:nvSpPr>
        <cdr:spPr>
          <a:xfrm xmlns:a="http://schemas.openxmlformats.org/drawingml/2006/main">
            <a:off x="8191010" y="362362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11EACE-A00F-415F-8677-16961836FAD0}" type="TxLink">
              <a:rPr lang="fr-FR" sz="1000" b="1" i="0" u="none" strike="noStrike">
                <a:solidFill>
                  <a:srgbClr val="000000"/>
                </a:solidFill>
                <a:latin typeface="Calibri"/>
                <a:cs typeface="Calibri"/>
              </a:rPr>
              <a:pPr algn="l"/>
              <a:t>ND</a:t>
            </a:fld>
            <a:endParaRPr lang="fr-FR" sz="1000" b="1"/>
          </a:p>
        </cdr:txBody>
      </cdr:sp>
      <cdr:sp macro="" textlink="Calculs!$Y$223">
        <cdr:nvSpPr>
          <cdr:cNvPr id="84" name="ZoneTexte 1"/>
          <cdr:cNvSpPr txBox="1"/>
        </cdr:nvSpPr>
        <cdr:spPr>
          <a:xfrm xmlns:a="http://schemas.openxmlformats.org/drawingml/2006/main">
            <a:off x="8191010" y="346549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EF26F0-C3BB-415A-94F0-F4B30FEEED4B}" type="TxLink">
              <a:rPr lang="fr-FR" sz="1000" b="1" i="0" u="none" strike="noStrike">
                <a:solidFill>
                  <a:srgbClr val="000000"/>
                </a:solidFill>
                <a:latin typeface="Calibri"/>
                <a:cs typeface="Calibri"/>
              </a:rPr>
              <a:pPr algn="l"/>
              <a:t>ND</a:t>
            </a:fld>
            <a:endParaRPr lang="fr-FR" sz="1000" b="1"/>
          </a:p>
        </cdr:txBody>
      </cdr:sp>
      <cdr:sp macro="" textlink="Calculs!$Y$222">
        <cdr:nvSpPr>
          <cdr:cNvPr id="85" name="ZoneTexte 1"/>
          <cdr:cNvSpPr txBox="1"/>
        </cdr:nvSpPr>
        <cdr:spPr>
          <a:xfrm xmlns:a="http://schemas.openxmlformats.org/drawingml/2006/main">
            <a:off x="8191010" y="330737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117A601-F80D-4987-B52C-CD1DAAC64813}" type="TxLink">
              <a:rPr lang="fr-FR" sz="1000" b="1" i="0" u="none" strike="noStrike">
                <a:solidFill>
                  <a:srgbClr val="000000"/>
                </a:solidFill>
                <a:latin typeface="Calibri"/>
                <a:cs typeface="Calibri"/>
              </a:rPr>
              <a:pPr algn="l"/>
              <a:t>ND</a:t>
            </a:fld>
            <a:endParaRPr lang="fr-FR" sz="1000" b="1"/>
          </a:p>
        </cdr:txBody>
      </cdr:sp>
      <cdr:sp macro="" textlink="Calculs!$Y$220">
        <cdr:nvSpPr>
          <cdr:cNvPr id="86" name="ZoneTexte 1"/>
          <cdr:cNvSpPr txBox="1"/>
        </cdr:nvSpPr>
        <cdr:spPr>
          <a:xfrm xmlns:a="http://schemas.openxmlformats.org/drawingml/2006/main">
            <a:off x="8191010" y="314925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29691-D3E1-45D2-AB35-6D3D1271D5DB}" type="TxLink">
              <a:rPr lang="fr-FR" sz="1000" b="1" i="0" u="none" strike="noStrike">
                <a:solidFill>
                  <a:srgbClr val="000000"/>
                </a:solidFill>
                <a:latin typeface="Calibri"/>
                <a:cs typeface="Calibri"/>
              </a:rPr>
              <a:pPr algn="l"/>
              <a:t>ND</a:t>
            </a:fld>
            <a:endParaRPr lang="fr-FR" sz="1000" b="1"/>
          </a:p>
        </cdr:txBody>
      </cdr:sp>
      <cdr:sp macro="" textlink="Calculs!$Y$219">
        <cdr:nvSpPr>
          <cdr:cNvPr id="87" name="ZoneTexte 1"/>
          <cdr:cNvSpPr txBox="1"/>
        </cdr:nvSpPr>
        <cdr:spPr>
          <a:xfrm xmlns:a="http://schemas.openxmlformats.org/drawingml/2006/main">
            <a:off x="8191010" y="299112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8A3195-1948-4E9B-9F42-2A4808DC3143}" type="TxLink">
              <a:rPr lang="fr-FR" sz="1000" b="1" i="0" u="none" strike="noStrike">
                <a:solidFill>
                  <a:srgbClr val="000000"/>
                </a:solidFill>
                <a:latin typeface="Calibri"/>
                <a:cs typeface="Calibri"/>
              </a:rPr>
              <a:pPr algn="l"/>
              <a:t>ND</a:t>
            </a:fld>
            <a:endParaRPr lang="fr-FR" sz="1000" b="1"/>
          </a:p>
        </cdr:txBody>
      </cdr:sp>
      <cdr:sp macro="" textlink="Calculs!$Y$228">
        <cdr:nvSpPr>
          <cdr:cNvPr id="88" name="ZoneTexte 1"/>
          <cdr:cNvSpPr txBox="1"/>
        </cdr:nvSpPr>
        <cdr:spPr>
          <a:xfrm xmlns:a="http://schemas.openxmlformats.org/drawingml/2006/main">
            <a:off x="8191010" y="393987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DB97231-A90A-4CA7-AAF7-EBBB3CC240B9}" type="TxLink">
              <a:rPr lang="fr-FR" sz="1000" b="1" i="0" u="none" strike="noStrike">
                <a:solidFill>
                  <a:srgbClr val="000000"/>
                </a:solidFill>
                <a:latin typeface="Calibri"/>
                <a:cs typeface="Calibri"/>
              </a:rPr>
              <a:pPr algn="l"/>
              <a:t>ND</a:t>
            </a:fld>
            <a:endParaRPr lang="fr-FR" sz="1000" b="1"/>
          </a:p>
        </cdr:txBody>
      </cdr:sp>
      <cdr:sp macro="" textlink="Calculs!$Y$230">
        <cdr:nvSpPr>
          <cdr:cNvPr id="89" name="ZoneTexte 1"/>
          <cdr:cNvSpPr txBox="1"/>
        </cdr:nvSpPr>
        <cdr:spPr>
          <a:xfrm xmlns:a="http://schemas.openxmlformats.org/drawingml/2006/main">
            <a:off x="8191010" y="409799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A548B35-C887-43A0-B679-3E83D9C91869}" type="TxLink">
              <a:rPr lang="fr-FR" sz="1000" b="1" i="0" u="none" strike="noStrike">
                <a:solidFill>
                  <a:srgbClr val="000000"/>
                </a:solidFill>
                <a:latin typeface="Calibri"/>
                <a:cs typeface="Calibri"/>
              </a:rPr>
              <a:pPr algn="l"/>
              <a:t>ND</a:t>
            </a:fld>
            <a:endParaRPr lang="fr-FR" sz="1000" b="1"/>
          </a:p>
        </cdr:txBody>
      </cdr:sp>
      <cdr:sp macro="" textlink="Calculs!$Y$233">
        <cdr:nvSpPr>
          <cdr:cNvPr id="90" name="ZoneTexte 1"/>
          <cdr:cNvSpPr txBox="1"/>
        </cdr:nvSpPr>
        <cdr:spPr>
          <a:xfrm xmlns:a="http://schemas.openxmlformats.org/drawingml/2006/main">
            <a:off x="8191010" y="441424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1D85D2A-B3E7-4DDE-82C0-E39443275E76}" type="TxLink">
              <a:rPr lang="fr-FR" sz="1000" b="1" i="0" u="none" strike="noStrike">
                <a:solidFill>
                  <a:srgbClr val="000000"/>
                </a:solidFill>
                <a:latin typeface="Calibri"/>
                <a:cs typeface="Calibri"/>
              </a:rPr>
              <a:pPr algn="l"/>
              <a:t>ND</a:t>
            </a:fld>
            <a:endParaRPr lang="fr-FR" sz="1000" b="1"/>
          </a:p>
        </cdr:txBody>
      </cdr:sp>
      <cdr:sp macro="" textlink="Calculs!$Y$234">
        <cdr:nvSpPr>
          <cdr:cNvPr id="91" name="ZoneTexte 1"/>
          <cdr:cNvSpPr txBox="1"/>
        </cdr:nvSpPr>
        <cdr:spPr>
          <a:xfrm xmlns:a="http://schemas.openxmlformats.org/drawingml/2006/main">
            <a:off x="8191010" y="457236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236813F-CC0C-4398-9224-2BDE3FA59E88}" type="TxLink">
              <a:rPr lang="fr-FR" sz="1000" b="1" i="0" u="none" strike="noStrike">
                <a:solidFill>
                  <a:srgbClr val="000000"/>
                </a:solidFill>
                <a:latin typeface="Calibri"/>
                <a:cs typeface="Calibri"/>
              </a:rPr>
              <a:pPr algn="l"/>
              <a:t>ND</a:t>
            </a:fld>
            <a:endParaRPr lang="fr-FR" sz="1000" b="1"/>
          </a:p>
        </cdr:txBody>
      </cdr:sp>
      <cdr:sp macro="" textlink="Calculs!$Y$236">
        <cdr:nvSpPr>
          <cdr:cNvPr id="92" name="ZoneTexte 1"/>
          <cdr:cNvSpPr txBox="1"/>
        </cdr:nvSpPr>
        <cdr:spPr>
          <a:xfrm xmlns:a="http://schemas.openxmlformats.org/drawingml/2006/main">
            <a:off x="8191010" y="473049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795761-420A-4B01-8680-8AED6DA4B598}" type="TxLink">
              <a:rPr lang="fr-FR" sz="1000" b="1" i="0" u="none" strike="noStrike">
                <a:solidFill>
                  <a:srgbClr val="000000"/>
                </a:solidFill>
                <a:latin typeface="Calibri"/>
                <a:cs typeface="Calibri"/>
              </a:rPr>
              <a:pPr algn="l"/>
              <a:t>ND</a:t>
            </a:fld>
            <a:endParaRPr lang="fr-FR" sz="1000" b="1"/>
          </a:p>
        </cdr:txBody>
      </cdr:sp>
      <cdr:sp macro="" textlink="Calculs!$Y$237">
        <cdr:nvSpPr>
          <cdr:cNvPr id="93" name="ZoneTexte 1"/>
          <cdr:cNvSpPr txBox="1"/>
        </cdr:nvSpPr>
        <cdr:spPr>
          <a:xfrm xmlns:a="http://schemas.openxmlformats.org/drawingml/2006/main">
            <a:off x="8191010" y="488861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2132CCD-D56C-4046-B2B1-766BE9CD91A2}" type="TxLink">
              <a:rPr lang="fr-FR" sz="1000" b="1" i="0" u="none" strike="noStrike">
                <a:solidFill>
                  <a:srgbClr val="000000"/>
                </a:solidFill>
                <a:latin typeface="Calibri"/>
                <a:cs typeface="Calibri"/>
              </a:rPr>
              <a:pPr algn="l"/>
              <a:t>ND</a:t>
            </a:fld>
            <a:endParaRPr lang="fr-FR" sz="1000" b="1"/>
          </a:p>
        </cdr:txBody>
      </cdr:sp>
      <cdr:sp macro="" textlink="Calculs!$Y$238">
        <cdr:nvSpPr>
          <cdr:cNvPr id="94" name="ZoneTexte 1"/>
          <cdr:cNvSpPr txBox="1"/>
        </cdr:nvSpPr>
        <cdr:spPr>
          <a:xfrm xmlns:a="http://schemas.openxmlformats.org/drawingml/2006/main">
            <a:off x="8191010" y="504673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A609977-16FB-47BA-9587-EBF9F5E5F553}" type="TxLink">
              <a:rPr lang="fr-FR" sz="1000" b="1" i="0" u="none" strike="noStrike">
                <a:solidFill>
                  <a:srgbClr val="000000"/>
                </a:solidFill>
                <a:latin typeface="Calibri"/>
                <a:cs typeface="Calibri"/>
              </a:rPr>
              <a:pPr algn="l"/>
              <a:t>ND</a:t>
            </a:fld>
            <a:endParaRPr lang="fr-FR" sz="1000" b="1"/>
          </a:p>
        </cdr:txBody>
      </cdr:sp>
      <cdr:sp macro="" textlink="Calculs!$Y$239">
        <cdr:nvSpPr>
          <cdr:cNvPr id="95" name="ZoneTexte 1"/>
          <cdr:cNvSpPr txBox="1"/>
        </cdr:nvSpPr>
        <cdr:spPr>
          <a:xfrm xmlns:a="http://schemas.openxmlformats.org/drawingml/2006/main">
            <a:off x="8191010" y="520486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9C44A4-88B2-4630-9E7E-C46969CD43BC}" type="TxLink">
              <a:rPr lang="fr-FR" sz="1000" b="1" i="0" u="none" strike="noStrike">
                <a:solidFill>
                  <a:srgbClr val="000000"/>
                </a:solidFill>
                <a:latin typeface="Calibri"/>
                <a:cs typeface="Calibri"/>
              </a:rPr>
              <a:pPr algn="l"/>
              <a:t>ND</a:t>
            </a:fld>
            <a:endParaRPr lang="fr-FR" sz="1000" b="1"/>
          </a:p>
        </cdr:txBody>
      </cdr:sp>
      <cdr:sp macro="" textlink="Calculs!$Y$243">
        <cdr:nvSpPr>
          <cdr:cNvPr id="96" name="ZoneTexte 1"/>
          <cdr:cNvSpPr txBox="1"/>
        </cdr:nvSpPr>
        <cdr:spPr>
          <a:xfrm xmlns:a="http://schemas.openxmlformats.org/drawingml/2006/main">
            <a:off x="8191010" y="552111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AF8E4C3-C11F-43AC-AF51-73C36EA139AA}" type="TxLink">
              <a:rPr lang="fr-FR" sz="1000" b="1" i="0" u="none" strike="noStrike">
                <a:solidFill>
                  <a:srgbClr val="000000"/>
                </a:solidFill>
                <a:latin typeface="Calibri"/>
                <a:cs typeface="Calibri"/>
              </a:rPr>
              <a:pPr algn="l"/>
              <a:t>ND</a:t>
            </a:fld>
            <a:endParaRPr lang="fr-FR" sz="1000" b="1"/>
          </a:p>
        </cdr:txBody>
      </cdr:sp>
      <cdr:sp macro="" textlink="Calculs!$Y$245">
        <cdr:nvSpPr>
          <cdr:cNvPr id="97" name="ZoneTexte 1"/>
          <cdr:cNvSpPr txBox="1"/>
        </cdr:nvSpPr>
        <cdr:spPr>
          <a:xfrm xmlns:a="http://schemas.openxmlformats.org/drawingml/2006/main">
            <a:off x="8191010" y="567923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20D50EE-137F-45F7-8129-19BAE725CE55}" type="TxLink">
              <a:rPr lang="fr-FR" sz="1000" b="1" i="0" u="none" strike="noStrike">
                <a:solidFill>
                  <a:srgbClr val="000000"/>
                </a:solidFill>
                <a:latin typeface="Calibri"/>
                <a:cs typeface="Calibri"/>
              </a:rPr>
              <a:pPr algn="l"/>
              <a:t>ND</a:t>
            </a:fld>
            <a:endParaRPr lang="fr-FR" sz="1000" b="1"/>
          </a:p>
        </cdr:txBody>
      </cdr:sp>
      <cdr:sp macro="" textlink="Calculs!$Y$246">
        <cdr:nvSpPr>
          <cdr:cNvPr id="98" name="ZoneTexte 1"/>
          <cdr:cNvSpPr txBox="1"/>
        </cdr:nvSpPr>
        <cdr:spPr>
          <a:xfrm xmlns:a="http://schemas.openxmlformats.org/drawingml/2006/main">
            <a:off x="8191010" y="615360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24BEC5E-E02F-40B2-8DB6-8E8A7A8DC8EF}" type="TxLink">
              <a:rPr lang="fr-FR" sz="1000" b="1" i="0" u="none" strike="noStrike">
                <a:solidFill>
                  <a:srgbClr val="000000"/>
                </a:solidFill>
                <a:latin typeface="Calibri"/>
                <a:cs typeface="Calibri"/>
              </a:rPr>
              <a:pPr algn="l"/>
              <a:t>ND</a:t>
            </a:fld>
            <a:endParaRPr lang="fr-FR" sz="1000" b="1"/>
          </a:p>
        </cdr:txBody>
      </cdr:sp>
      <cdr:sp macro="" textlink="Calculs!$Y$247">
        <cdr:nvSpPr>
          <cdr:cNvPr id="121" name="ZoneTexte 1"/>
          <cdr:cNvSpPr txBox="1"/>
        </cdr:nvSpPr>
        <cdr:spPr>
          <a:xfrm xmlns:a="http://schemas.openxmlformats.org/drawingml/2006/main">
            <a:off x="8191010" y="631173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04D4E8-CD17-4BE6-B6FC-5D7C465DE892}" type="TxLink">
              <a:rPr lang="fr-FR" sz="1000" b="1" i="0" u="none" strike="noStrike">
                <a:solidFill>
                  <a:srgbClr val="000000"/>
                </a:solidFill>
                <a:latin typeface="Calibri"/>
                <a:cs typeface="Calibri"/>
              </a:rPr>
              <a:pPr algn="l"/>
              <a:t>ND</a:t>
            </a:fld>
            <a:endParaRPr lang="fr-FR" sz="1000" b="1"/>
          </a:p>
        </cdr:txBody>
      </cdr:sp>
      <cdr:sp macro="" textlink="Calculs!$Y$244">
        <cdr:nvSpPr>
          <cdr:cNvPr id="134" name="ZoneTexte 1"/>
          <cdr:cNvSpPr txBox="1"/>
        </cdr:nvSpPr>
        <cdr:spPr>
          <a:xfrm xmlns:a="http://schemas.openxmlformats.org/drawingml/2006/main">
            <a:off x="8191010" y="599548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DCD7737-432E-4BC6-851E-3B618429F4A1}" type="TxLink">
              <a:rPr lang="fr-FR" sz="1000" b="1" i="0" u="none" strike="noStrike">
                <a:solidFill>
                  <a:srgbClr val="000000"/>
                </a:solidFill>
                <a:latin typeface="Calibri"/>
                <a:cs typeface="Calibri"/>
              </a:rPr>
              <a:pPr algn="l"/>
              <a:t>ND</a:t>
            </a:fld>
            <a:endParaRPr lang="fr-FR" sz="1000" b="1"/>
          </a:p>
        </cdr:txBody>
      </cdr:sp>
      <cdr:sp macro="" textlink="Calculs!$Y$241">
        <cdr:nvSpPr>
          <cdr:cNvPr id="135" name="ZoneTexte 1"/>
          <cdr:cNvSpPr txBox="1"/>
        </cdr:nvSpPr>
        <cdr:spPr>
          <a:xfrm xmlns:a="http://schemas.openxmlformats.org/drawingml/2006/main">
            <a:off x="8191010" y="583735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C3BAE3-2E1A-43E1-B7D1-4CF9310F4EFE}" type="TxLink">
              <a:rPr lang="fr-FR" sz="1000" b="1" i="0" u="none" strike="noStrike">
                <a:solidFill>
                  <a:srgbClr val="000000"/>
                </a:solidFill>
                <a:latin typeface="Calibri"/>
                <a:cs typeface="Calibri"/>
              </a:rPr>
              <a:pPr algn="l"/>
              <a:t>ND</a:t>
            </a:fld>
            <a:endParaRPr lang="fr-FR" sz="1000" b="1"/>
          </a:p>
        </cdr:txBody>
      </cdr:sp>
      <cdr:sp macro="" textlink="Calculs!$Y$207">
        <cdr:nvSpPr>
          <cdr:cNvPr id="74" name="ZoneTexte 73"/>
          <cdr:cNvSpPr txBox="1"/>
        </cdr:nvSpPr>
        <cdr:spPr>
          <a:xfrm xmlns:a="http://schemas.openxmlformats.org/drawingml/2006/main">
            <a:off x="8191010" y="1251762"/>
            <a:ext cx="540102"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algn="l"/>
            <a:fld id="{4D577F86-3A53-468F-B4BC-EB02906EF292}" type="TxLink">
              <a:rPr lang="fr-FR" sz="1000" b="1" i="0" u="none" strike="noStrike">
                <a:solidFill>
                  <a:srgbClr val="000000"/>
                </a:solidFill>
                <a:latin typeface="Calibri"/>
                <a:cs typeface="Calibri"/>
              </a:rPr>
              <a:pPr algn="l"/>
              <a:t>ND</a:t>
            </a:fld>
            <a:endParaRPr lang="fr-FR" sz="1000" b="1"/>
          </a:p>
        </cdr:txBody>
      </cdr:sp>
      <cdr:sp macro="" textlink="Calculs!$Y$210">
        <cdr:nvSpPr>
          <cdr:cNvPr id="80" name="ZoneTexte 1"/>
          <cdr:cNvSpPr txBox="1"/>
        </cdr:nvSpPr>
        <cdr:spPr>
          <a:xfrm xmlns:a="http://schemas.openxmlformats.org/drawingml/2006/main">
            <a:off x="8191010" y="1726134"/>
            <a:ext cx="540102"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1FDB11-28F2-4777-B3E8-94ABCD4B18BA}" type="TxLink">
              <a:rPr lang="fr-FR" sz="1000" b="1" i="0" u="none" strike="noStrike">
                <a:solidFill>
                  <a:srgbClr val="000000"/>
                </a:solidFill>
                <a:latin typeface="Calibri"/>
                <a:cs typeface="Calibri"/>
              </a:rPr>
              <a:pPr algn="l"/>
              <a:t>ND</a:t>
            </a:fld>
            <a:endParaRPr lang="fr-FR" sz="1000" b="1"/>
          </a:p>
        </cdr:txBody>
      </cdr:sp>
      <cdr:sp macro="" textlink="Calculs!$Y$209">
        <cdr:nvSpPr>
          <cdr:cNvPr id="81" name="ZoneTexte 1"/>
          <cdr:cNvSpPr txBox="1"/>
        </cdr:nvSpPr>
        <cdr:spPr>
          <a:xfrm xmlns:a="http://schemas.openxmlformats.org/drawingml/2006/main">
            <a:off x="8191010" y="1568010"/>
            <a:ext cx="540102"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4BBF744-8778-450C-964E-78F116FC56DA}" type="TxLink">
              <a:rPr lang="fr-FR" sz="1000" b="1" i="0" u="none" strike="noStrike">
                <a:solidFill>
                  <a:srgbClr val="000000"/>
                </a:solidFill>
                <a:latin typeface="Calibri"/>
                <a:cs typeface="Calibri"/>
              </a:rPr>
              <a:pPr algn="l"/>
              <a:t>ND</a:t>
            </a:fld>
            <a:endParaRPr lang="fr-FR" sz="1000" b="1"/>
          </a:p>
        </cdr:txBody>
      </cdr:sp>
      <cdr:sp macro="" textlink="Calculs!$Y$208">
        <cdr:nvSpPr>
          <cdr:cNvPr id="130" name="ZoneTexte 1"/>
          <cdr:cNvSpPr txBox="1"/>
        </cdr:nvSpPr>
        <cdr:spPr>
          <a:xfrm xmlns:a="http://schemas.openxmlformats.org/drawingml/2006/main">
            <a:off x="8191010" y="1409886"/>
            <a:ext cx="540102"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BA59C32-7A71-4462-ABDB-6FFA3DA8471F}" type="TxLink">
              <a:rPr lang="fr-FR" sz="1000" b="1" i="0" u="none" strike="noStrike">
                <a:solidFill>
                  <a:srgbClr val="000000"/>
                </a:solidFill>
                <a:latin typeface="Calibri"/>
                <a:cs typeface="Calibri"/>
              </a:rPr>
              <a:pPr algn="l"/>
              <a:t>ND</a:t>
            </a:fld>
            <a:endParaRPr lang="fr-FR" sz="1000" b="1"/>
          </a:p>
        </cdr:txBody>
      </cdr:sp>
      <cdr:sp macro="" textlink="Calculs!$Y$211">
        <cdr:nvSpPr>
          <cdr:cNvPr id="131" name="ZoneTexte 1"/>
          <cdr:cNvSpPr txBox="1"/>
        </cdr:nvSpPr>
        <cdr:spPr>
          <a:xfrm xmlns:a="http://schemas.openxmlformats.org/drawingml/2006/main">
            <a:off x="8191010" y="1884258"/>
            <a:ext cx="540102"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E755AC1-8D09-4B73-960B-5272B0C88EB8}" type="TxLink">
              <a:rPr lang="fr-FR" sz="1000" b="1" i="0" u="none" strike="noStrike">
                <a:solidFill>
                  <a:srgbClr val="000000"/>
                </a:solidFill>
                <a:latin typeface="Calibri"/>
                <a:cs typeface="Calibri"/>
              </a:rPr>
              <a:pPr algn="l"/>
              <a:t>ND</a:t>
            </a:fld>
            <a:endParaRPr lang="fr-FR" sz="1000" b="1"/>
          </a:p>
        </cdr:txBody>
      </cdr:sp>
      <cdr:sp macro="" textlink="Calculs!$Y$212">
        <cdr:nvSpPr>
          <cdr:cNvPr id="112" name="ZoneTexte 1"/>
          <cdr:cNvSpPr txBox="1"/>
        </cdr:nvSpPr>
        <cdr:spPr>
          <a:xfrm xmlns:a="http://schemas.openxmlformats.org/drawingml/2006/main">
            <a:off x="8191010" y="2042382"/>
            <a:ext cx="547443"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758F79D-3805-4B97-AF44-49B0E861DB94}" type="TxLink">
              <a:rPr lang="fr-FR" sz="1000" b="1" i="0" u="none" strike="noStrike">
                <a:solidFill>
                  <a:srgbClr val="000000"/>
                </a:solidFill>
                <a:latin typeface="Calibri"/>
                <a:cs typeface="Calibri"/>
              </a:rPr>
              <a:pPr algn="l"/>
              <a:t>ND</a:t>
            </a:fld>
            <a:endParaRPr lang="fr-FR" sz="1000" b="1"/>
          </a:p>
        </cdr:txBody>
      </cdr:sp>
      <cdr:sp macro="" textlink="Calculs!$Y$231">
        <cdr:nvSpPr>
          <cdr:cNvPr id="116" name="ZoneTexte 1"/>
          <cdr:cNvSpPr txBox="1"/>
        </cdr:nvSpPr>
        <cdr:spPr>
          <a:xfrm xmlns:a="http://schemas.openxmlformats.org/drawingml/2006/main">
            <a:off x="8191010" y="425611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3605043-7796-4A80-892B-0EA836E75F63}" type="TxLink">
              <a:rPr lang="fr-FR" sz="1000" b="1" i="0" u="none" strike="noStrike">
                <a:solidFill>
                  <a:srgbClr val="000000"/>
                </a:solidFill>
                <a:latin typeface="Calibri"/>
                <a:cs typeface="Calibri"/>
              </a:rPr>
              <a:pPr algn="l"/>
              <a:t>ND</a:t>
            </a:fld>
            <a:endParaRPr lang="fr-FR" sz="1000" b="1"/>
          </a:p>
        </cdr:txBody>
      </cdr:sp>
      <cdr:sp macro="" textlink="Calculs!$Y$240">
        <cdr:nvSpPr>
          <cdr:cNvPr id="117" name="ZoneTexte 1"/>
          <cdr:cNvSpPr txBox="1"/>
        </cdr:nvSpPr>
        <cdr:spPr>
          <a:xfrm xmlns:a="http://schemas.openxmlformats.org/drawingml/2006/main">
            <a:off x="8191010" y="536298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C71E320-6767-49E5-B84F-9FC7AF5DE35B}" type="TxLink">
              <a:rPr lang="fr-FR" sz="1000" b="1" i="0" u="none" strike="noStrike">
                <a:solidFill>
                  <a:srgbClr val="000000"/>
                </a:solidFill>
                <a:latin typeface="Calibri"/>
                <a:cs typeface="Calibri"/>
              </a:rPr>
              <a:pPr algn="l"/>
              <a:t>ND</a:t>
            </a:fld>
            <a:endParaRPr lang="fr-FR" sz="1000" b="1"/>
          </a:p>
        </cdr:txBody>
      </cdr:sp>
    </cdr:grpSp>
  </cdr:relSizeAnchor>
  <cdr:relSizeAnchor xmlns:cdr="http://schemas.openxmlformats.org/drawingml/2006/chartDrawing">
    <cdr:from>
      <cdr:x>0.14242</cdr:x>
      <cdr:y>0.39969</cdr:y>
    </cdr:from>
    <cdr:to>
      <cdr:x>0.9268</cdr:x>
      <cdr:y>0.46142</cdr:y>
    </cdr:to>
    <cdr:sp macro="" textlink="">
      <cdr:nvSpPr>
        <cdr:cNvPr id="100" name="ZoneTexte 1"/>
        <cdr:cNvSpPr txBox="1"/>
      </cdr:nvSpPr>
      <cdr:spPr>
        <a:xfrm xmlns:a="http://schemas.openxmlformats.org/drawingml/2006/main" rot="19739527">
          <a:off x="1439333" y="2741085"/>
          <a:ext cx="7926916" cy="42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800" b="1">
              <a:solidFill>
                <a:srgbClr val="FF0000"/>
              </a:solidFill>
            </a:rPr>
            <a:t>Feuille non mise à jour dans la version 7.1</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10138833" cy="686858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0.8614</cdr:x>
      <cdr:y>0.08997</cdr:y>
    </cdr:from>
    <cdr:to>
      <cdr:x>1</cdr:x>
      <cdr:y>0.17003</cdr:y>
    </cdr:to>
    <cdr:sp macro="" textlink="'TRAD-visualiz'!$B$8">
      <cdr:nvSpPr>
        <cdr:cNvPr id="12" name="ZoneTexte 11"/>
        <cdr:cNvSpPr txBox="1"/>
      </cdr:nvSpPr>
      <cdr:spPr>
        <a:xfrm xmlns:a="http://schemas.openxmlformats.org/drawingml/2006/main">
          <a:off x="8744175" y="617961"/>
          <a:ext cx="1405242" cy="54989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3E6D5F6B-1483-4099-8813-43FD6C4D3F89}"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0.86682</cdr:x>
      <cdr:y>0.01154</cdr:y>
    </cdr:from>
    <cdr:to>
      <cdr:x>0.98914</cdr:x>
      <cdr:y>0.09804</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60078" y="79140"/>
          <a:ext cx="1236168" cy="593213"/>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00" b="1"/>
            <a:pPr algn="l"/>
            <a:t> </a:t>
          </a:fld>
          <a:endParaRPr lang="fr-FR" sz="1000" b="1"/>
        </a:p>
      </cdr:txBody>
    </cdr:sp>
  </cdr:relSizeAnchor>
  <cdr:relSizeAnchor xmlns:cdr="http://schemas.openxmlformats.org/drawingml/2006/chartDrawing">
    <cdr:from>
      <cdr:x>0.01441</cdr:x>
      <cdr:y>0.07078</cdr:y>
    </cdr:from>
    <cdr:to>
      <cdr:x>0.24399</cdr:x>
      <cdr:y>0.11247</cdr:y>
    </cdr:to>
    <cdr:sp macro="" textlink="'TRAD-visualiz'!$B$4">
      <cdr:nvSpPr>
        <cdr:cNvPr id="101" name="ZoneTexte 1"/>
        <cdr:cNvSpPr txBox="1"/>
      </cdr:nvSpPr>
      <cdr:spPr>
        <a:xfrm xmlns:a="http://schemas.openxmlformats.org/drawingml/2006/main">
          <a:off x="145677" y="485382"/>
          <a:ext cx="2320141"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781B8D1-8680-4004-A39D-C09FE0E86C70}"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0.01441</cdr:x>
      <cdr:y>0.03922</cdr:y>
    </cdr:from>
    <cdr:to>
      <cdr:x>0.1858</cdr:x>
      <cdr:y>0.08086</cdr:y>
    </cdr:to>
    <cdr:sp macro="" textlink="'TRAD-visualiz'!$B$3">
      <cdr:nvSpPr>
        <cdr:cNvPr id="102" name="ZoneTexte 1"/>
        <cdr:cNvSpPr txBox="1"/>
      </cdr:nvSpPr>
      <cdr:spPr>
        <a:xfrm xmlns:a="http://schemas.openxmlformats.org/drawingml/2006/main">
          <a:off x="146101" y="269386"/>
          <a:ext cx="1737732" cy="2860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C55F1B7-99A7-4C27-B3DF-08DE3600FBE8}"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0.18199</cdr:x>
      <cdr:y>0.03768</cdr:y>
    </cdr:from>
    <cdr:to>
      <cdr:x>0.32677</cdr:x>
      <cdr:y>0.08017</cdr:y>
    </cdr:to>
    <cdr:sp macro="" textlink="Paramétrage!$D$11">
      <cdr:nvSpPr>
        <cdr:cNvPr id="103" name="ZoneTexte 1"/>
        <cdr:cNvSpPr txBox="1"/>
      </cdr:nvSpPr>
      <cdr:spPr>
        <a:xfrm xmlns:a="http://schemas.openxmlformats.org/drawingml/2006/main">
          <a:off x="1845211" y="258802"/>
          <a:ext cx="1467900" cy="2918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35D084E-CE43-4418-A4E6-956D76B64539}"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0.42651</cdr:x>
      <cdr:y>0.07078</cdr:y>
    </cdr:from>
    <cdr:to>
      <cdr:x>0.61612</cdr:x>
      <cdr:y>0.11247</cdr:y>
    </cdr:to>
    <cdr:sp macro="" textlink="'TRAD-visualiz'!$B$6">
      <cdr:nvSpPr>
        <cdr:cNvPr id="104" name="ZoneTexte 6"/>
        <cdr:cNvSpPr txBox="1"/>
      </cdr:nvSpPr>
      <cdr:spPr>
        <a:xfrm xmlns:a="http://schemas.openxmlformats.org/drawingml/2006/main">
          <a:off x="4310351" y="485382"/>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9B8F8BA-39AE-4D23-AC27-DB6698BB1BA8}"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0.20681</cdr:x>
      <cdr:y>0.07078</cdr:y>
    </cdr:from>
    <cdr:to>
      <cdr:x>0.35159</cdr:x>
      <cdr:y>0.11327</cdr:y>
    </cdr:to>
    <cdr:sp macro="" textlink="Paramétrage!$H$19">
      <cdr:nvSpPr>
        <cdr:cNvPr id="105" name="ZoneTexte 1"/>
        <cdr:cNvSpPr txBox="1"/>
      </cdr:nvSpPr>
      <cdr:spPr>
        <a:xfrm xmlns:a="http://schemas.openxmlformats.org/drawingml/2006/main">
          <a:off x="2089980" y="485382"/>
          <a:ext cx="1463150"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4F49D9B-B56C-42AE-A45A-60CBD13111A9}"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0.59805</cdr:x>
      <cdr:y>0.07078</cdr:y>
    </cdr:from>
    <cdr:to>
      <cdr:x>0.91961</cdr:x>
      <cdr:y>0.11327</cdr:y>
    </cdr:to>
    <cdr:sp macro="" textlink="'Calculs dispo Données FA'!$F$122">
      <cdr:nvSpPr>
        <cdr:cNvPr id="106" name="ZoneTexte 1"/>
        <cdr:cNvSpPr txBox="1"/>
      </cdr:nvSpPr>
      <cdr:spPr>
        <a:xfrm xmlns:a="http://schemas.openxmlformats.org/drawingml/2006/main">
          <a:off x="6043951" y="485382"/>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9C0CBF1-0810-4948-AB8B-0FF854645EB0}" type="TxLink">
            <a:rPr lang="fr-FR" sz="1100" b="1" i="1" u="none" strike="noStrike">
              <a:solidFill>
                <a:srgbClr val="C00000"/>
              </a:solidFill>
              <a:latin typeface="Arialri"/>
            </a:rPr>
            <a:pPr/>
            <a:t>Stocks centraux</a:t>
          </a:fld>
          <a:endParaRPr lang="fr-FR" sz="1100" b="1" i="1">
            <a:solidFill>
              <a:srgbClr val="C00000"/>
            </a:solidFill>
          </a:endParaRPr>
        </a:p>
      </cdr:txBody>
    </cdr:sp>
  </cdr:relSizeAnchor>
  <cdr:relSizeAnchor xmlns:cdr="http://schemas.openxmlformats.org/drawingml/2006/chartDrawing">
    <cdr:from>
      <cdr:x>0.42651</cdr:x>
      <cdr:y>0.03922</cdr:y>
    </cdr:from>
    <cdr:to>
      <cdr:x>0.66658</cdr:x>
      <cdr:y>0.08091</cdr:y>
    </cdr:to>
    <cdr:sp macro="" textlink="'TRAD-visualiz'!$B$5">
      <cdr:nvSpPr>
        <cdr:cNvPr id="107" name="ZoneTexte 6"/>
        <cdr:cNvSpPr txBox="1"/>
      </cdr:nvSpPr>
      <cdr:spPr>
        <a:xfrm xmlns:a="http://schemas.openxmlformats.org/drawingml/2006/main">
          <a:off x="4310351" y="268941"/>
          <a:ext cx="2426119"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8B4C19DA-D7AE-4ED0-8E5C-4313D1BB97D8}"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0.64384</cdr:x>
      <cdr:y>0.03922</cdr:y>
    </cdr:from>
    <cdr:to>
      <cdr:x>0.84549</cdr:x>
      <cdr:y>0.08171</cdr:y>
    </cdr:to>
    <cdr:sp macro="" textlink="Calculs!$C$487">
      <cdr:nvSpPr>
        <cdr:cNvPr id="108" name="ZoneTexte 1"/>
        <cdr:cNvSpPr txBox="1"/>
      </cdr:nvSpPr>
      <cdr:spPr>
        <a:xfrm xmlns:a="http://schemas.openxmlformats.org/drawingml/2006/main">
          <a:off x="6506703" y="268941"/>
          <a:ext cx="2037827"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4E58A32-748E-4728-BEA0-EE460B69C76D}" type="TxLink">
            <a:rPr lang="fr-FR" sz="1100" b="1" i="1" u="none" strike="noStrike">
              <a:solidFill>
                <a:srgbClr val="C00000"/>
              </a:solidFill>
              <a:latin typeface="Arialri"/>
            </a:rPr>
            <a:pPr/>
            <a:t>Données suivi de file active</a:t>
          </a:fld>
          <a:endParaRPr lang="fr-FR" sz="1100" b="1" i="1">
            <a:solidFill>
              <a:srgbClr val="C00000"/>
            </a:solidFill>
          </a:endParaRPr>
        </a:p>
      </cdr:txBody>
    </cdr:sp>
  </cdr:relSizeAnchor>
  <cdr:relSizeAnchor xmlns:cdr="http://schemas.openxmlformats.org/drawingml/2006/chartDrawing">
    <cdr:from>
      <cdr:x>0.88891</cdr:x>
      <cdr:y>0.18328</cdr:y>
    </cdr:from>
    <cdr:to>
      <cdr:x>0.95988</cdr:x>
      <cdr:y>0.94197</cdr:y>
    </cdr:to>
    <cdr:grpSp>
      <cdr:nvGrpSpPr>
        <cdr:cNvPr id="114" name="Groupe 113"/>
        <cdr:cNvGrpSpPr/>
      </cdr:nvGrpSpPr>
      <cdr:grpSpPr>
        <a:xfrm xmlns:a="http://schemas.openxmlformats.org/drawingml/2006/main">
          <a:off x="9012510" y="1258874"/>
          <a:ext cx="719553" cy="5211125"/>
          <a:chOff x="7475865" y="1256959"/>
          <a:chExt cx="717225" cy="5203078"/>
        </a:xfrm>
      </cdr:grpSpPr>
      <cdr:sp macro="" textlink="Calculs!$Y$153">
        <cdr:nvSpPr>
          <cdr:cNvPr id="11" name="ZoneTexte 10"/>
          <cdr:cNvSpPr txBox="1"/>
        </cdr:nvSpPr>
        <cdr:spPr>
          <a:xfrm xmlns:a="http://schemas.openxmlformats.org/drawingml/2006/main">
            <a:off x="7475865" y="125695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marL="0" indent="0" algn="l"/>
            <a:fld id="{B21F5C82-B1DA-4BFD-A52F-F2141AE87B43}" type="TxLink">
              <a:rPr lang="fr-FR" sz="900" b="1" i="0" u="none" strike="noStrike">
                <a:solidFill>
                  <a:srgbClr val="000000"/>
                </a:solidFill>
                <a:latin typeface="+mn-lt"/>
                <a:ea typeface="+mn-ea"/>
                <a:cs typeface="+mn-cs"/>
              </a:rPr>
              <a:pPr marL="0" indent="0" algn="l"/>
              <a:t>6338</a:t>
            </a:fld>
            <a:endParaRPr lang="fr-FR" sz="900" b="1">
              <a:latin typeface="+mn-lt"/>
              <a:ea typeface="+mn-ea"/>
              <a:cs typeface="+mn-cs"/>
            </a:endParaRPr>
          </a:p>
        </cdr:txBody>
      </cdr:sp>
      <cdr:sp macro="" textlink="Calculs!$Y$156">
        <cdr:nvSpPr>
          <cdr:cNvPr id="18" name="ZoneTexte 1"/>
          <cdr:cNvSpPr txBox="1"/>
        </cdr:nvSpPr>
        <cdr:spPr>
          <a:xfrm xmlns:a="http://schemas.openxmlformats.org/drawingml/2006/main">
            <a:off x="7475865" y="173091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1929155-C7AD-4121-84DB-C69CC29EE6F8}" type="TxLink">
              <a:rPr lang="fr-FR" sz="900" b="1" i="0" u="none" strike="noStrike">
                <a:solidFill>
                  <a:srgbClr val="000000"/>
                </a:solidFill>
                <a:latin typeface="+mn-lt"/>
                <a:cs typeface="Calibri"/>
              </a:rPr>
              <a:pPr algn="l"/>
              <a:t>1267</a:t>
            </a:fld>
            <a:endParaRPr lang="fr-FR" sz="900" b="1">
              <a:latin typeface="+mn-lt"/>
            </a:endParaRPr>
          </a:p>
        </cdr:txBody>
      </cdr:sp>
      <cdr:sp macro="" textlink="Calculs!$Y$155">
        <cdr:nvSpPr>
          <cdr:cNvPr id="19" name="ZoneTexte 1"/>
          <cdr:cNvSpPr txBox="1"/>
        </cdr:nvSpPr>
        <cdr:spPr>
          <a:xfrm xmlns:a="http://schemas.openxmlformats.org/drawingml/2006/main">
            <a:off x="7475865" y="157292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D5BF645-F7BB-4C35-8D52-D2980A2F52EB}" type="TxLink">
              <a:rPr lang="fr-FR" sz="900" b="1" i="0" u="none" strike="noStrike">
                <a:solidFill>
                  <a:srgbClr val="000000"/>
                </a:solidFill>
                <a:latin typeface="+mn-lt"/>
                <a:cs typeface="Calibri"/>
              </a:rPr>
              <a:pPr algn="l"/>
              <a:t>27</a:t>
            </a:fld>
            <a:endParaRPr lang="fr-FR" sz="900" b="1">
              <a:latin typeface="+mn-lt"/>
            </a:endParaRPr>
          </a:p>
        </cdr:txBody>
      </cdr:sp>
      <cdr:sp macro="" textlink="Calculs!$Y$154">
        <cdr:nvSpPr>
          <cdr:cNvPr id="125" name="ZoneTexte 1"/>
          <cdr:cNvSpPr txBox="1"/>
        </cdr:nvSpPr>
        <cdr:spPr>
          <a:xfrm xmlns:a="http://schemas.openxmlformats.org/drawingml/2006/main">
            <a:off x="7475865" y="141494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16CD871-7F3A-4E24-B58E-FC0260599ACF}" type="TxLink">
              <a:rPr lang="fr-FR" sz="900" b="1" i="0" u="none" strike="noStrike">
                <a:solidFill>
                  <a:srgbClr val="000000"/>
                </a:solidFill>
                <a:latin typeface="+mn-lt"/>
                <a:cs typeface="Calibri"/>
              </a:rPr>
              <a:pPr algn="l"/>
              <a:t>546</a:t>
            </a:fld>
            <a:endParaRPr lang="fr-FR" sz="900" b="1">
              <a:latin typeface="+mn-lt"/>
            </a:endParaRPr>
          </a:p>
        </cdr:txBody>
      </cdr:sp>
      <cdr:sp macro="" textlink="Calculs!$Y$157">
        <cdr:nvSpPr>
          <cdr:cNvPr id="126" name="ZoneTexte 1"/>
          <cdr:cNvSpPr txBox="1"/>
        </cdr:nvSpPr>
        <cdr:spPr>
          <a:xfrm xmlns:a="http://schemas.openxmlformats.org/drawingml/2006/main">
            <a:off x="7475865" y="188889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FC5E52A-D08E-4E87-81FB-4893F13019A3}" type="TxLink">
              <a:rPr lang="fr-FR" sz="900" b="1" i="0" u="none" strike="noStrike">
                <a:solidFill>
                  <a:srgbClr val="000000"/>
                </a:solidFill>
                <a:latin typeface="+mn-lt"/>
                <a:cs typeface="Calibri"/>
              </a:rPr>
              <a:pPr algn="l"/>
              <a:t>146</a:t>
            </a:fld>
            <a:endParaRPr lang="fr-FR" sz="900" b="1">
              <a:latin typeface="+mn-lt"/>
            </a:endParaRPr>
          </a:p>
        </cdr:txBody>
      </cdr:sp>
      <cdr:sp macro="" textlink="Calculs!$Y$164">
        <cdr:nvSpPr>
          <cdr:cNvPr id="13" name="ZoneTexte 1"/>
          <cdr:cNvSpPr txBox="1"/>
        </cdr:nvSpPr>
        <cdr:spPr>
          <a:xfrm xmlns:a="http://schemas.openxmlformats.org/drawingml/2006/main">
            <a:off x="7475865" y="283679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B84EF09-9EE5-4850-A6CE-29E226F2DC54}" type="TxLink">
              <a:rPr lang="fr-FR" sz="900" b="1" i="0" u="none" strike="noStrike">
                <a:solidFill>
                  <a:srgbClr val="000000"/>
                </a:solidFill>
                <a:latin typeface="+mn-lt"/>
                <a:cs typeface="Calibri"/>
              </a:rPr>
              <a:pPr algn="l"/>
              <a:t>0</a:t>
            </a:fld>
            <a:endParaRPr lang="fr-FR" sz="900" b="1">
              <a:latin typeface="+mn-lt"/>
            </a:endParaRPr>
          </a:p>
        </cdr:txBody>
      </cdr:sp>
      <cdr:sp macro="" textlink="Calculs!$Y$163">
        <cdr:nvSpPr>
          <cdr:cNvPr id="14" name="ZoneTexte 1"/>
          <cdr:cNvSpPr txBox="1"/>
        </cdr:nvSpPr>
        <cdr:spPr>
          <a:xfrm xmlns:a="http://schemas.openxmlformats.org/drawingml/2006/main">
            <a:off x="7475865" y="267881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E4FEC60-2BA2-436E-A165-648CF2883AF8}" type="TxLink">
              <a:rPr lang="fr-FR" sz="900" b="1" i="0" u="none" strike="noStrike">
                <a:solidFill>
                  <a:srgbClr val="000000"/>
                </a:solidFill>
                <a:latin typeface="+mn-lt"/>
                <a:cs typeface="Calibri"/>
              </a:rPr>
              <a:pPr algn="l"/>
              <a:t>0</a:t>
            </a:fld>
            <a:endParaRPr lang="fr-FR" sz="900" b="1">
              <a:latin typeface="+mn-lt"/>
            </a:endParaRPr>
          </a:p>
        </cdr:txBody>
      </cdr:sp>
      <cdr:sp macro="" textlink="Calculs!$Y$162">
        <cdr:nvSpPr>
          <cdr:cNvPr id="15" name="ZoneTexte 1"/>
          <cdr:cNvSpPr txBox="1"/>
        </cdr:nvSpPr>
        <cdr:spPr>
          <a:xfrm xmlns:a="http://schemas.openxmlformats.org/drawingml/2006/main">
            <a:off x="7475865" y="252083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4B99D6-9A0A-49CE-9AB4-F5DD3084C34C}" type="TxLink">
              <a:rPr lang="fr-FR" sz="900" b="1" i="0" u="none" strike="noStrike">
                <a:solidFill>
                  <a:srgbClr val="000000"/>
                </a:solidFill>
                <a:latin typeface="+mn-lt"/>
                <a:cs typeface="Calibri"/>
              </a:rPr>
              <a:pPr algn="l"/>
              <a:t>45</a:t>
            </a:fld>
            <a:endParaRPr lang="fr-FR" sz="900" b="1">
              <a:latin typeface="+mn-lt"/>
            </a:endParaRPr>
          </a:p>
        </cdr:txBody>
      </cdr:sp>
      <cdr:sp macro="" textlink="Calculs!$Y$161">
        <cdr:nvSpPr>
          <cdr:cNvPr id="16" name="ZoneTexte 1"/>
          <cdr:cNvSpPr txBox="1"/>
        </cdr:nvSpPr>
        <cdr:spPr>
          <a:xfrm xmlns:a="http://schemas.openxmlformats.org/drawingml/2006/main">
            <a:off x="7475865" y="236284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951257C-7021-48FD-8005-03D054E51194}" type="TxLink">
              <a:rPr lang="fr-FR" sz="900" b="1" i="0" u="none" strike="noStrike">
                <a:solidFill>
                  <a:srgbClr val="000000"/>
                </a:solidFill>
                <a:latin typeface="+mn-lt"/>
                <a:cs typeface="Calibri"/>
              </a:rPr>
              <a:pPr algn="l"/>
              <a:t>100</a:t>
            </a:fld>
            <a:endParaRPr lang="fr-FR" sz="900" b="1">
              <a:latin typeface="+mn-lt"/>
            </a:endParaRPr>
          </a:p>
        </cdr:txBody>
      </cdr:sp>
      <cdr:sp macro="" textlink="Calculs!$Y$160">
        <cdr:nvSpPr>
          <cdr:cNvPr id="17" name="ZoneTexte 1"/>
          <cdr:cNvSpPr txBox="1"/>
        </cdr:nvSpPr>
        <cdr:spPr>
          <a:xfrm xmlns:a="http://schemas.openxmlformats.org/drawingml/2006/main">
            <a:off x="7475865" y="220486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4995DA9-6C95-4665-B992-599C9DADD66A}" type="TxLink">
              <a:rPr lang="fr-FR" sz="900" b="1" i="0" u="none" strike="noStrike">
                <a:solidFill>
                  <a:srgbClr val="000000"/>
                </a:solidFill>
                <a:latin typeface="+mn-lt"/>
                <a:cs typeface="Calibri"/>
              </a:rPr>
              <a:pPr algn="l"/>
              <a:t>0</a:t>
            </a:fld>
            <a:endParaRPr lang="fr-FR" sz="900" b="1">
              <a:latin typeface="+mn-lt"/>
            </a:endParaRPr>
          </a:p>
        </cdr:txBody>
      </cdr:sp>
      <cdr:sp macro="" textlink="Calculs!$Y$172">
        <cdr:nvSpPr>
          <cdr:cNvPr id="20" name="ZoneTexte 1"/>
          <cdr:cNvSpPr txBox="1"/>
        </cdr:nvSpPr>
        <cdr:spPr>
          <a:xfrm xmlns:a="http://schemas.openxmlformats.org/drawingml/2006/main">
            <a:off x="7475865" y="378470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2150DBF-25CB-463D-AA8B-29080015B636}" type="TxLink">
              <a:rPr lang="fr-FR" sz="900" b="1" i="0" u="none" strike="noStrike">
                <a:solidFill>
                  <a:srgbClr val="000000"/>
                </a:solidFill>
                <a:latin typeface="+mn-lt"/>
                <a:cs typeface="Calibri"/>
              </a:rPr>
              <a:pPr algn="l"/>
              <a:t>0</a:t>
            </a:fld>
            <a:endParaRPr lang="fr-FR" sz="900" b="1">
              <a:latin typeface="+mn-lt"/>
            </a:endParaRPr>
          </a:p>
        </cdr:txBody>
      </cdr:sp>
      <cdr:sp macro="" textlink="Calculs!$Y$170">
        <cdr:nvSpPr>
          <cdr:cNvPr id="21" name="ZoneTexte 1"/>
          <cdr:cNvSpPr txBox="1"/>
        </cdr:nvSpPr>
        <cdr:spPr>
          <a:xfrm xmlns:a="http://schemas.openxmlformats.org/drawingml/2006/main">
            <a:off x="7475865" y="362671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F76EA3A-B0DA-4B03-BCD4-7B9CBCF28467}" type="TxLink">
              <a:rPr lang="fr-FR" sz="900" b="1" i="0" u="none" strike="noStrike">
                <a:solidFill>
                  <a:srgbClr val="000000"/>
                </a:solidFill>
                <a:latin typeface="+mn-lt"/>
                <a:cs typeface="Calibri"/>
              </a:rPr>
              <a:pPr algn="l"/>
              <a:t>1485</a:t>
            </a:fld>
            <a:endParaRPr lang="fr-FR" sz="900" b="1">
              <a:latin typeface="+mn-lt"/>
            </a:endParaRPr>
          </a:p>
        </cdr:txBody>
      </cdr:sp>
      <cdr:sp macro="" textlink="Calculs!$Y$169">
        <cdr:nvSpPr>
          <cdr:cNvPr id="22" name="ZoneTexte 1"/>
          <cdr:cNvSpPr txBox="1"/>
        </cdr:nvSpPr>
        <cdr:spPr>
          <a:xfrm xmlns:a="http://schemas.openxmlformats.org/drawingml/2006/main">
            <a:off x="7475865" y="346873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3F45726-55F9-4C53-8766-E8480989D61A}" type="TxLink">
              <a:rPr lang="fr-FR" sz="900" b="1" i="0" u="none" strike="noStrike">
                <a:solidFill>
                  <a:srgbClr val="000000"/>
                </a:solidFill>
                <a:latin typeface="+mn-lt"/>
                <a:cs typeface="Calibri"/>
              </a:rPr>
              <a:pPr algn="l"/>
              <a:t>ND</a:t>
            </a:fld>
            <a:endParaRPr lang="fr-FR" sz="900" b="1">
              <a:latin typeface="+mn-lt"/>
            </a:endParaRPr>
          </a:p>
        </cdr:txBody>
      </cdr:sp>
      <cdr:sp macro="" textlink="Calculs!$Y$168">
        <cdr:nvSpPr>
          <cdr:cNvPr id="23" name="ZoneTexte 1"/>
          <cdr:cNvSpPr txBox="1"/>
        </cdr:nvSpPr>
        <cdr:spPr>
          <a:xfrm xmlns:a="http://schemas.openxmlformats.org/drawingml/2006/main">
            <a:off x="7475865" y="331075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ED2495F-40C4-4F05-861E-F06BA6CFC48B}" type="TxLink">
              <a:rPr lang="fr-FR" sz="900" b="1" i="0" u="none" strike="noStrike">
                <a:solidFill>
                  <a:srgbClr val="000000"/>
                </a:solidFill>
                <a:latin typeface="+mn-lt"/>
                <a:cs typeface="Calibri"/>
              </a:rPr>
              <a:pPr algn="l"/>
              <a:t>ND</a:t>
            </a:fld>
            <a:endParaRPr lang="fr-FR" sz="900" b="1">
              <a:latin typeface="+mn-lt"/>
            </a:endParaRPr>
          </a:p>
        </cdr:txBody>
      </cdr:sp>
      <cdr:sp macro="" textlink="Calculs!$Y$166">
        <cdr:nvSpPr>
          <cdr:cNvPr id="24" name="ZoneTexte 1"/>
          <cdr:cNvSpPr txBox="1"/>
        </cdr:nvSpPr>
        <cdr:spPr>
          <a:xfrm xmlns:a="http://schemas.openxmlformats.org/drawingml/2006/main">
            <a:off x="7475865" y="315276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19DAC5A-E745-41CA-8D38-B4FB037E2086}" type="TxLink">
              <a:rPr lang="fr-FR" sz="900" b="1" i="0" u="none" strike="noStrike">
                <a:solidFill>
                  <a:srgbClr val="000000"/>
                </a:solidFill>
                <a:latin typeface="+mn-lt"/>
                <a:cs typeface="Calibri"/>
              </a:rPr>
              <a:pPr algn="l"/>
              <a:t>104</a:t>
            </a:fld>
            <a:endParaRPr lang="fr-FR" sz="900" b="1">
              <a:latin typeface="+mn-lt"/>
            </a:endParaRPr>
          </a:p>
        </cdr:txBody>
      </cdr:sp>
      <cdr:sp macro="" textlink="Calculs!$Y$165">
        <cdr:nvSpPr>
          <cdr:cNvPr id="25" name="ZoneTexte 1"/>
          <cdr:cNvSpPr txBox="1"/>
        </cdr:nvSpPr>
        <cdr:spPr>
          <a:xfrm xmlns:a="http://schemas.openxmlformats.org/drawingml/2006/main">
            <a:off x="7475865" y="299478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2C4A588-558D-4085-A8E8-046FCBEA42C1}" type="TxLink">
              <a:rPr lang="fr-FR" sz="900" b="1" i="0" u="none" strike="noStrike">
                <a:solidFill>
                  <a:srgbClr val="000000"/>
                </a:solidFill>
                <a:latin typeface="+mn-lt"/>
                <a:cs typeface="Calibri"/>
              </a:rPr>
              <a:pPr algn="l"/>
              <a:t>1484</a:t>
            </a:fld>
            <a:endParaRPr lang="fr-FR" sz="900" b="1">
              <a:latin typeface="+mn-lt"/>
            </a:endParaRPr>
          </a:p>
        </cdr:txBody>
      </cdr:sp>
      <cdr:sp macro="" textlink="Calculs!$Y$174">
        <cdr:nvSpPr>
          <cdr:cNvPr id="26" name="ZoneTexte 1"/>
          <cdr:cNvSpPr txBox="1"/>
        </cdr:nvSpPr>
        <cdr:spPr>
          <a:xfrm xmlns:a="http://schemas.openxmlformats.org/drawingml/2006/main">
            <a:off x="7475865" y="394268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5CB03D1-E632-4EC9-8B8C-16802DC887FC}" type="TxLink">
              <a:rPr lang="fr-FR" sz="900" b="1" i="0" u="none" strike="noStrike">
                <a:solidFill>
                  <a:srgbClr val="000000"/>
                </a:solidFill>
                <a:latin typeface="+mn-lt"/>
                <a:cs typeface="Calibri"/>
              </a:rPr>
              <a:pPr algn="l"/>
              <a:t>2</a:t>
            </a:fld>
            <a:endParaRPr lang="fr-FR" sz="900" b="1">
              <a:latin typeface="+mn-lt"/>
            </a:endParaRPr>
          </a:p>
        </cdr:txBody>
      </cdr:sp>
      <cdr:sp macro="" textlink="Calculs!$Y$176">
        <cdr:nvSpPr>
          <cdr:cNvPr id="27" name="ZoneTexte 1"/>
          <cdr:cNvSpPr txBox="1"/>
        </cdr:nvSpPr>
        <cdr:spPr>
          <a:xfrm xmlns:a="http://schemas.openxmlformats.org/drawingml/2006/main">
            <a:off x="7475865" y="410067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EEA48F3-C2C3-45E1-98FF-8C343C725FB1}" type="TxLink">
              <a:rPr lang="fr-FR" sz="900" b="1" i="0" u="none" strike="noStrike">
                <a:solidFill>
                  <a:srgbClr val="000000"/>
                </a:solidFill>
                <a:latin typeface="+mn-lt"/>
                <a:cs typeface="Calibri"/>
              </a:rPr>
              <a:pPr algn="l"/>
              <a:t>0</a:t>
            </a:fld>
            <a:endParaRPr lang="fr-FR" sz="900" b="1">
              <a:latin typeface="+mn-lt"/>
            </a:endParaRPr>
          </a:p>
        </cdr:txBody>
      </cdr:sp>
      <cdr:sp macro="" textlink="Calculs!$Y$179">
        <cdr:nvSpPr>
          <cdr:cNvPr id="28" name="ZoneTexte 1"/>
          <cdr:cNvSpPr txBox="1"/>
        </cdr:nvSpPr>
        <cdr:spPr>
          <a:xfrm xmlns:a="http://schemas.openxmlformats.org/drawingml/2006/main">
            <a:off x="7475865" y="441663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6201D63-3BA1-4C69-872B-670AA507ABED}" type="TxLink">
              <a:rPr lang="fr-FR" sz="900" b="1" i="0" u="none" strike="noStrike">
                <a:solidFill>
                  <a:srgbClr val="000000"/>
                </a:solidFill>
                <a:latin typeface="+mn-lt"/>
                <a:cs typeface="Calibri"/>
              </a:rPr>
              <a:pPr algn="l"/>
              <a:t>0</a:t>
            </a:fld>
            <a:endParaRPr lang="fr-FR" sz="900" b="1">
              <a:latin typeface="+mn-lt"/>
            </a:endParaRPr>
          </a:p>
        </cdr:txBody>
      </cdr:sp>
      <cdr:sp macro="" textlink="Calculs!$Y$180">
        <cdr:nvSpPr>
          <cdr:cNvPr id="29" name="ZoneTexte 1"/>
          <cdr:cNvSpPr txBox="1"/>
        </cdr:nvSpPr>
        <cdr:spPr>
          <a:xfrm xmlns:a="http://schemas.openxmlformats.org/drawingml/2006/main">
            <a:off x="7475865" y="457462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CBEC51-140C-44FA-811B-3D06A49D5C80}" type="TxLink">
              <a:rPr lang="fr-FR" sz="900" b="1" i="0" u="none" strike="noStrike">
                <a:solidFill>
                  <a:srgbClr val="000000"/>
                </a:solidFill>
                <a:latin typeface="+mn-lt"/>
                <a:cs typeface="Calibri"/>
              </a:rPr>
              <a:pPr algn="l"/>
              <a:t>0</a:t>
            </a:fld>
            <a:endParaRPr lang="fr-FR" sz="900" b="1">
              <a:latin typeface="+mn-lt"/>
            </a:endParaRPr>
          </a:p>
        </cdr:txBody>
      </cdr:sp>
      <cdr:sp macro="" textlink="Calculs!$Y$182">
        <cdr:nvSpPr>
          <cdr:cNvPr id="30" name="ZoneTexte 1"/>
          <cdr:cNvSpPr txBox="1"/>
        </cdr:nvSpPr>
        <cdr:spPr>
          <a:xfrm xmlns:a="http://schemas.openxmlformats.org/drawingml/2006/main">
            <a:off x="7475865" y="473260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1637DD-B272-44B9-BA07-D33C58DC4279}" type="TxLink">
              <a:rPr lang="fr-FR" sz="900" b="1" i="0" u="none" strike="noStrike">
                <a:solidFill>
                  <a:srgbClr val="000000"/>
                </a:solidFill>
                <a:latin typeface="+mn-lt"/>
                <a:cs typeface="Calibri"/>
              </a:rPr>
              <a:pPr algn="l"/>
              <a:t>0</a:t>
            </a:fld>
            <a:endParaRPr lang="fr-FR" sz="900" b="1">
              <a:latin typeface="+mn-lt"/>
            </a:endParaRPr>
          </a:p>
        </cdr:txBody>
      </cdr:sp>
      <cdr:sp macro="" textlink="Calculs!$Y$183">
        <cdr:nvSpPr>
          <cdr:cNvPr id="31" name="ZoneTexte 1"/>
          <cdr:cNvSpPr txBox="1"/>
        </cdr:nvSpPr>
        <cdr:spPr>
          <a:xfrm xmlns:a="http://schemas.openxmlformats.org/drawingml/2006/main">
            <a:off x="7475865" y="489059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39ED5-B3AE-4141-93AD-CAA4B9179337}" type="TxLink">
              <a:rPr lang="fr-FR" sz="900" b="1" i="0" u="none" strike="noStrike">
                <a:solidFill>
                  <a:srgbClr val="000000"/>
                </a:solidFill>
                <a:latin typeface="+mn-lt"/>
                <a:cs typeface="Calibri"/>
              </a:rPr>
              <a:pPr algn="l"/>
              <a:t>2</a:t>
            </a:fld>
            <a:endParaRPr lang="fr-FR" sz="900" b="1">
              <a:latin typeface="+mn-lt"/>
            </a:endParaRPr>
          </a:p>
        </cdr:txBody>
      </cdr:sp>
      <cdr:sp macro="" textlink="Calculs!$Y$184">
        <cdr:nvSpPr>
          <cdr:cNvPr id="32" name="ZoneTexte 1"/>
          <cdr:cNvSpPr txBox="1"/>
        </cdr:nvSpPr>
        <cdr:spPr>
          <a:xfrm xmlns:a="http://schemas.openxmlformats.org/drawingml/2006/main">
            <a:off x="7475865" y="504857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62B81E7-B327-4CE0-96F0-DDBF530D3CB3}" type="TxLink">
              <a:rPr lang="fr-FR" sz="900" b="1" i="0" u="none" strike="noStrike">
                <a:solidFill>
                  <a:srgbClr val="000000"/>
                </a:solidFill>
                <a:latin typeface="+mn-lt"/>
                <a:cs typeface="Calibri"/>
              </a:rPr>
              <a:pPr algn="l"/>
              <a:t>0</a:t>
            </a:fld>
            <a:endParaRPr lang="fr-FR" sz="900" b="1">
              <a:latin typeface="+mn-lt"/>
            </a:endParaRPr>
          </a:p>
        </cdr:txBody>
      </cdr:sp>
      <cdr:sp macro="" textlink="Calculs!$Y$185">
        <cdr:nvSpPr>
          <cdr:cNvPr id="33" name="ZoneTexte 1"/>
          <cdr:cNvSpPr txBox="1"/>
        </cdr:nvSpPr>
        <cdr:spPr>
          <a:xfrm xmlns:a="http://schemas.openxmlformats.org/drawingml/2006/main">
            <a:off x="7475865" y="520655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D334FFB-A7D7-4E71-89EE-1CF523DD943E}" type="TxLink">
              <a:rPr lang="fr-FR" sz="900" b="1" i="0" u="none" strike="noStrike">
                <a:solidFill>
                  <a:srgbClr val="000000"/>
                </a:solidFill>
                <a:latin typeface="+mn-lt"/>
                <a:cs typeface="Calibri"/>
              </a:rPr>
              <a:pPr algn="l"/>
              <a:t>106</a:t>
            </a:fld>
            <a:endParaRPr lang="fr-FR" sz="900" b="1">
              <a:latin typeface="+mn-lt"/>
            </a:endParaRPr>
          </a:p>
        </cdr:txBody>
      </cdr:sp>
      <cdr:sp macro="" textlink="Calculs!$Y$189">
        <cdr:nvSpPr>
          <cdr:cNvPr id="34" name="ZoneTexte 1"/>
          <cdr:cNvSpPr txBox="1"/>
        </cdr:nvSpPr>
        <cdr:spPr>
          <a:xfrm xmlns:a="http://schemas.openxmlformats.org/drawingml/2006/main">
            <a:off x="7475865" y="552252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DD1155D-6118-49AB-A858-D116EAAACFF2}" type="TxLink">
              <a:rPr lang="fr-FR" sz="900" b="1" i="0" u="none" strike="noStrike">
                <a:solidFill>
                  <a:srgbClr val="000000"/>
                </a:solidFill>
                <a:latin typeface="+mn-lt"/>
                <a:cs typeface="Calibri"/>
              </a:rPr>
              <a:pPr algn="l"/>
              <a:t>ND</a:t>
            </a:fld>
            <a:endParaRPr lang="fr-FR" sz="900" b="1">
              <a:latin typeface="+mn-lt"/>
            </a:endParaRPr>
          </a:p>
        </cdr:txBody>
      </cdr:sp>
      <cdr:sp macro="" textlink="Calculs!$Y$191">
        <cdr:nvSpPr>
          <cdr:cNvPr id="35" name="ZoneTexte 1"/>
          <cdr:cNvSpPr txBox="1"/>
        </cdr:nvSpPr>
        <cdr:spPr>
          <a:xfrm xmlns:a="http://schemas.openxmlformats.org/drawingml/2006/main">
            <a:off x="7475865" y="568051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F91E137-A0EC-4A56-8819-6AF99A775637}" type="TxLink">
              <a:rPr lang="fr-FR" sz="900" b="1" i="0" u="none" strike="noStrike">
                <a:solidFill>
                  <a:srgbClr val="000000"/>
                </a:solidFill>
                <a:latin typeface="+mn-lt"/>
                <a:cs typeface="Calibri"/>
              </a:rPr>
              <a:pPr algn="l"/>
              <a:t>0</a:t>
            </a:fld>
            <a:endParaRPr lang="fr-FR" sz="900" b="1">
              <a:latin typeface="+mn-lt"/>
            </a:endParaRPr>
          </a:p>
        </cdr:txBody>
      </cdr:sp>
      <cdr:sp macro="" textlink="Calculs!$Y$192">
        <cdr:nvSpPr>
          <cdr:cNvPr id="37" name="ZoneTexte 1"/>
          <cdr:cNvSpPr txBox="1"/>
        </cdr:nvSpPr>
        <cdr:spPr>
          <a:xfrm xmlns:a="http://schemas.openxmlformats.org/drawingml/2006/main">
            <a:off x="7475865" y="615446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862147-9144-4743-8714-2034CCAD0FC5}" type="TxLink">
              <a:rPr lang="fr-FR" sz="900" b="1" i="0" u="none" strike="noStrike">
                <a:solidFill>
                  <a:srgbClr val="000000"/>
                </a:solidFill>
                <a:latin typeface="+mn-lt"/>
                <a:cs typeface="Calibri"/>
              </a:rPr>
              <a:pPr algn="l"/>
              <a:t>ND</a:t>
            </a:fld>
            <a:endParaRPr lang="fr-FR" sz="900" b="1">
              <a:latin typeface="+mn-lt"/>
            </a:endParaRPr>
          </a:p>
        </cdr:txBody>
      </cdr:sp>
      <cdr:sp macro="" textlink="Calculs!$Y$193">
        <cdr:nvSpPr>
          <cdr:cNvPr id="120" name="ZoneTexte 1"/>
          <cdr:cNvSpPr txBox="1"/>
        </cdr:nvSpPr>
        <cdr:spPr>
          <a:xfrm xmlns:a="http://schemas.openxmlformats.org/drawingml/2006/main">
            <a:off x="7475865" y="631243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5B63C66-11D6-4DB2-B941-4929F8719716}" type="TxLink">
              <a:rPr lang="fr-FR" sz="900" b="1" i="0" u="none" strike="noStrike">
                <a:solidFill>
                  <a:srgbClr val="000000"/>
                </a:solidFill>
                <a:latin typeface="+mn-lt"/>
                <a:cs typeface="Calibri"/>
              </a:rPr>
              <a:pPr algn="l"/>
              <a:t>0</a:t>
            </a:fld>
            <a:endParaRPr lang="fr-FR" sz="900" b="1">
              <a:latin typeface="+mn-lt"/>
            </a:endParaRPr>
          </a:p>
        </cdr:txBody>
      </cdr:sp>
      <cdr:sp macro="" textlink="Calculs!$Y$190">
        <cdr:nvSpPr>
          <cdr:cNvPr id="128" name="ZoneTexte 1"/>
          <cdr:cNvSpPr txBox="1"/>
        </cdr:nvSpPr>
        <cdr:spPr>
          <a:xfrm xmlns:a="http://schemas.openxmlformats.org/drawingml/2006/main">
            <a:off x="7475865" y="599647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73EECF0-0D94-4CB6-9214-3727D8648ACA}" type="TxLink">
              <a:rPr lang="fr-FR" sz="900" b="1" i="0" u="none" strike="noStrike">
                <a:solidFill>
                  <a:srgbClr val="000000"/>
                </a:solidFill>
                <a:latin typeface="+mn-lt"/>
                <a:cs typeface="Calibri"/>
              </a:rPr>
              <a:pPr algn="l"/>
              <a:t>0</a:t>
            </a:fld>
            <a:endParaRPr lang="fr-FR" sz="900" b="1">
              <a:latin typeface="+mn-lt"/>
            </a:endParaRPr>
          </a:p>
        </cdr:txBody>
      </cdr:sp>
      <cdr:sp macro="" textlink="Calculs!$Y$187">
        <cdr:nvSpPr>
          <cdr:cNvPr id="129" name="ZoneTexte 1"/>
          <cdr:cNvSpPr txBox="1"/>
        </cdr:nvSpPr>
        <cdr:spPr>
          <a:xfrm xmlns:a="http://schemas.openxmlformats.org/drawingml/2006/main">
            <a:off x="7475865" y="583849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D30AE6-4231-4BF3-8265-BFF7D866C5C1}" type="TxLink">
              <a:rPr lang="fr-FR" sz="900" b="1" i="0" u="none" strike="noStrike">
                <a:solidFill>
                  <a:srgbClr val="000000"/>
                </a:solidFill>
                <a:latin typeface="+mn-lt"/>
                <a:cs typeface="Calibri"/>
              </a:rPr>
              <a:pPr algn="l"/>
              <a:t>0</a:t>
            </a:fld>
            <a:endParaRPr lang="fr-FR" sz="900" b="1">
              <a:latin typeface="+mn-lt"/>
            </a:endParaRPr>
          </a:p>
        </cdr:txBody>
      </cdr:sp>
      <cdr:sp macro="" textlink="Calculs!$Y$158">
        <cdr:nvSpPr>
          <cdr:cNvPr id="110" name="ZoneTexte 1"/>
          <cdr:cNvSpPr txBox="1"/>
        </cdr:nvSpPr>
        <cdr:spPr>
          <a:xfrm xmlns:a="http://schemas.openxmlformats.org/drawingml/2006/main">
            <a:off x="7475865" y="2046879"/>
            <a:ext cx="717225"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B25063A-6A93-4226-8B98-E242006F6381}" type="TxLink">
              <a:rPr lang="fr-FR" sz="900" b="1" i="0" u="none" strike="noStrike">
                <a:solidFill>
                  <a:srgbClr val="000000"/>
                </a:solidFill>
                <a:latin typeface="+mn-lt"/>
                <a:cs typeface="Calibri"/>
              </a:rPr>
              <a:pPr algn="l"/>
              <a:t>56</a:t>
            </a:fld>
            <a:endParaRPr lang="fr-FR" sz="900" b="1">
              <a:latin typeface="+mn-lt"/>
            </a:endParaRPr>
          </a:p>
        </cdr:txBody>
      </cdr:sp>
      <cdr:sp macro="" textlink="Calculs!$Y$177">
        <cdr:nvSpPr>
          <cdr:cNvPr id="99" name="ZoneTexte 1"/>
          <cdr:cNvSpPr txBox="1"/>
        </cdr:nvSpPr>
        <cdr:spPr>
          <a:xfrm xmlns:a="http://schemas.openxmlformats.org/drawingml/2006/main">
            <a:off x="7475865" y="425865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AD98845-513E-49D4-96C1-AADF9D2E5374}" type="TxLink">
              <a:rPr lang="fr-FR" sz="900" b="1" i="0" u="none" strike="noStrike">
                <a:solidFill>
                  <a:srgbClr val="000000"/>
                </a:solidFill>
                <a:latin typeface="Calibri"/>
                <a:cs typeface="Calibri"/>
              </a:rPr>
              <a:pPr algn="l"/>
              <a:t>ND</a:t>
            </a:fld>
            <a:endParaRPr lang="fr-FR" sz="900" b="1">
              <a:latin typeface="Calibri"/>
            </a:endParaRPr>
          </a:p>
        </cdr:txBody>
      </cdr:sp>
      <cdr:sp macro="" textlink="Calculs!$Y$186">
        <cdr:nvSpPr>
          <cdr:cNvPr id="113" name="ZoneTexte 1"/>
          <cdr:cNvSpPr txBox="1"/>
        </cdr:nvSpPr>
        <cdr:spPr>
          <a:xfrm xmlns:a="http://schemas.openxmlformats.org/drawingml/2006/main">
            <a:off x="7475865" y="536454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833279C-A5A3-452F-AA3E-5A4E5CA2548A}" type="TxLink">
              <a:rPr lang="fr-FR" sz="900" b="1" i="0" u="none" strike="noStrike">
                <a:solidFill>
                  <a:srgbClr val="000000"/>
                </a:solidFill>
                <a:latin typeface="+mn-lt"/>
                <a:cs typeface="Calibri"/>
              </a:rPr>
              <a:pPr algn="l"/>
              <a:t>18</a:t>
            </a:fld>
            <a:endParaRPr lang="fr-FR" sz="900" b="1">
              <a:latin typeface="+mn-lt"/>
            </a:endParaRPr>
          </a:p>
        </cdr:txBody>
      </cdr:sp>
    </cdr:grpSp>
  </cdr:relSizeAnchor>
  <cdr:relSizeAnchor xmlns:cdr="http://schemas.openxmlformats.org/drawingml/2006/chartDrawing">
    <cdr:from>
      <cdr:x>0.94656</cdr:x>
      <cdr:y>0.1839</cdr:y>
    </cdr:from>
    <cdr:to>
      <cdr:x>1</cdr:x>
      <cdr:y>0.94206</cdr:y>
    </cdr:to>
    <cdr:grpSp>
      <cdr:nvGrpSpPr>
        <cdr:cNvPr id="117" name="Groupe 116"/>
        <cdr:cNvGrpSpPr/>
      </cdr:nvGrpSpPr>
      <cdr:grpSpPr>
        <a:xfrm xmlns:a="http://schemas.openxmlformats.org/drawingml/2006/main">
          <a:off x="9597014" y="1263132"/>
          <a:ext cx="541819" cy="5207485"/>
          <a:chOff x="8189163" y="1261171"/>
          <a:chExt cx="540066" cy="5199498"/>
        </a:xfrm>
      </cdr:grpSpPr>
      <cdr:sp macro="" textlink="Calculs!$Y$218">
        <cdr:nvSpPr>
          <cdr:cNvPr id="75" name="ZoneTexte 1"/>
          <cdr:cNvSpPr txBox="1"/>
        </cdr:nvSpPr>
        <cdr:spPr>
          <a:xfrm xmlns:a="http://schemas.openxmlformats.org/drawingml/2006/main">
            <a:off x="8189163" y="283989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1D9A81-A0CB-4E68-8299-96E9C97B41F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7">
        <cdr:nvSpPr>
          <cdr:cNvPr id="76" name="ZoneTexte 1"/>
          <cdr:cNvSpPr txBox="1"/>
        </cdr:nvSpPr>
        <cdr:spPr>
          <a:xfrm xmlns:a="http://schemas.openxmlformats.org/drawingml/2006/main">
            <a:off x="8189163" y="268201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DA55A6A-B9F5-4DE1-AA62-5F1E0A22E416}" type="TxLink">
              <a:rPr lang="fr-FR" sz="900" b="1" i="0" u="none" strike="noStrike">
                <a:solidFill>
                  <a:srgbClr val="000000"/>
                </a:solidFill>
                <a:latin typeface="+mn-lt"/>
                <a:cs typeface="Calibri"/>
              </a:rPr>
              <a:pPr algn="l"/>
              <a:t>ND</a:t>
            </a:fld>
            <a:endParaRPr lang="fr-FR" sz="900" b="1">
              <a:latin typeface="+mn-lt"/>
            </a:endParaRPr>
          </a:p>
        </cdr:txBody>
      </cdr:sp>
      <cdr:sp macro="" textlink="Calculs!$Y$216">
        <cdr:nvSpPr>
          <cdr:cNvPr id="77" name="ZoneTexte 1"/>
          <cdr:cNvSpPr txBox="1"/>
        </cdr:nvSpPr>
        <cdr:spPr>
          <a:xfrm xmlns:a="http://schemas.openxmlformats.org/drawingml/2006/main">
            <a:off x="8189163" y="252414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E748D6-E4D8-490B-AF5E-8023F149CF01}" type="TxLink">
              <a:rPr lang="fr-FR" sz="900" b="1" i="0" u="none" strike="noStrike">
                <a:solidFill>
                  <a:srgbClr val="000000"/>
                </a:solidFill>
                <a:latin typeface="+mn-lt"/>
                <a:cs typeface="Calibri"/>
              </a:rPr>
              <a:pPr algn="l"/>
              <a:t>ND</a:t>
            </a:fld>
            <a:endParaRPr lang="fr-FR" sz="900" b="1">
              <a:latin typeface="+mn-lt"/>
            </a:endParaRPr>
          </a:p>
        </cdr:txBody>
      </cdr:sp>
      <cdr:sp macro="" textlink="Calculs!$Y$215">
        <cdr:nvSpPr>
          <cdr:cNvPr id="78" name="ZoneTexte 1"/>
          <cdr:cNvSpPr txBox="1"/>
        </cdr:nvSpPr>
        <cdr:spPr>
          <a:xfrm xmlns:a="http://schemas.openxmlformats.org/drawingml/2006/main">
            <a:off x="8189163" y="236627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927761-A451-4312-BDBC-B54595157844}" type="TxLink">
              <a:rPr lang="fr-FR" sz="900" b="1" i="0" u="none" strike="noStrike">
                <a:solidFill>
                  <a:srgbClr val="000000"/>
                </a:solidFill>
                <a:latin typeface="+mn-lt"/>
                <a:cs typeface="Calibri"/>
              </a:rPr>
              <a:pPr algn="l"/>
              <a:t>ND</a:t>
            </a:fld>
            <a:endParaRPr lang="fr-FR" sz="900" b="1">
              <a:latin typeface="+mn-lt"/>
            </a:endParaRPr>
          </a:p>
        </cdr:txBody>
      </cdr:sp>
      <cdr:sp macro="" textlink="Calculs!$Y$214">
        <cdr:nvSpPr>
          <cdr:cNvPr id="79" name="ZoneTexte 1"/>
          <cdr:cNvSpPr txBox="1"/>
        </cdr:nvSpPr>
        <cdr:spPr>
          <a:xfrm xmlns:a="http://schemas.openxmlformats.org/drawingml/2006/main">
            <a:off x="8189163" y="220840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111C6CF-6996-4656-B2A8-4B846EC1DFA6}" type="TxLink">
              <a:rPr lang="fr-FR" sz="900" b="1" i="0" u="none" strike="noStrike">
                <a:solidFill>
                  <a:srgbClr val="000000"/>
                </a:solidFill>
                <a:latin typeface="+mn-lt"/>
                <a:cs typeface="Calibri"/>
              </a:rPr>
              <a:pPr algn="l"/>
              <a:t>ND</a:t>
            </a:fld>
            <a:endParaRPr lang="fr-FR" sz="900" b="1">
              <a:latin typeface="+mn-lt"/>
            </a:endParaRPr>
          </a:p>
        </cdr:txBody>
      </cdr:sp>
      <cdr:sp macro="" textlink="Calculs!$Y$226">
        <cdr:nvSpPr>
          <cdr:cNvPr id="82" name="ZoneTexte 1"/>
          <cdr:cNvSpPr txBox="1"/>
        </cdr:nvSpPr>
        <cdr:spPr>
          <a:xfrm xmlns:a="http://schemas.openxmlformats.org/drawingml/2006/main">
            <a:off x="8189163" y="378712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DFB9F49-0EC8-4D13-8D1E-ED32A0809F5D}" type="TxLink">
              <a:rPr lang="fr-FR" sz="900" b="1" i="0" u="none" strike="noStrike">
                <a:solidFill>
                  <a:srgbClr val="000000"/>
                </a:solidFill>
                <a:latin typeface="+mn-lt"/>
                <a:cs typeface="Calibri"/>
              </a:rPr>
              <a:pPr algn="l"/>
              <a:t>ND</a:t>
            </a:fld>
            <a:endParaRPr lang="fr-FR" sz="900" b="1">
              <a:latin typeface="+mn-lt"/>
            </a:endParaRPr>
          </a:p>
        </cdr:txBody>
      </cdr:sp>
      <cdr:sp macro="" textlink="Calculs!$Y$224">
        <cdr:nvSpPr>
          <cdr:cNvPr id="83" name="ZoneTexte 1"/>
          <cdr:cNvSpPr txBox="1"/>
        </cdr:nvSpPr>
        <cdr:spPr>
          <a:xfrm xmlns:a="http://schemas.openxmlformats.org/drawingml/2006/main">
            <a:off x="8189163" y="362925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11EACE-A00F-415F-8677-16961836FAD0}" type="TxLink">
              <a:rPr lang="fr-FR" sz="900" b="1" i="0" u="none" strike="noStrike">
                <a:solidFill>
                  <a:srgbClr val="000000"/>
                </a:solidFill>
                <a:latin typeface="+mn-lt"/>
                <a:cs typeface="Calibri"/>
              </a:rPr>
              <a:pPr algn="l"/>
              <a:t>ND</a:t>
            </a:fld>
            <a:endParaRPr lang="fr-FR" sz="900" b="1">
              <a:latin typeface="+mn-lt"/>
            </a:endParaRPr>
          </a:p>
        </cdr:txBody>
      </cdr:sp>
      <cdr:sp macro="" textlink="Calculs!$Y$223">
        <cdr:nvSpPr>
          <cdr:cNvPr id="84" name="ZoneTexte 1"/>
          <cdr:cNvSpPr txBox="1"/>
        </cdr:nvSpPr>
        <cdr:spPr>
          <a:xfrm xmlns:a="http://schemas.openxmlformats.org/drawingml/2006/main">
            <a:off x="8189163" y="347137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EF26F0-C3BB-415A-94F0-F4B30FEEED4B}" type="TxLink">
              <a:rPr lang="fr-FR" sz="900" b="1" i="0" u="none" strike="noStrike">
                <a:solidFill>
                  <a:srgbClr val="000000"/>
                </a:solidFill>
                <a:latin typeface="+mn-lt"/>
                <a:cs typeface="Calibri"/>
              </a:rPr>
              <a:pPr algn="l"/>
              <a:t>ND</a:t>
            </a:fld>
            <a:endParaRPr lang="fr-FR" sz="900" b="1">
              <a:latin typeface="+mn-lt"/>
            </a:endParaRPr>
          </a:p>
        </cdr:txBody>
      </cdr:sp>
      <cdr:sp macro="" textlink="Calculs!$Y$222">
        <cdr:nvSpPr>
          <cdr:cNvPr id="85" name="ZoneTexte 1"/>
          <cdr:cNvSpPr txBox="1"/>
        </cdr:nvSpPr>
        <cdr:spPr>
          <a:xfrm xmlns:a="http://schemas.openxmlformats.org/drawingml/2006/main">
            <a:off x="8189163" y="331350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117A601-F80D-4987-B52C-CD1DAAC64813}" type="TxLink">
              <a:rPr lang="fr-FR" sz="900" b="1" i="0" u="none" strike="noStrike">
                <a:solidFill>
                  <a:srgbClr val="000000"/>
                </a:solidFill>
                <a:latin typeface="+mn-lt"/>
                <a:cs typeface="Calibri"/>
              </a:rPr>
              <a:pPr algn="l"/>
              <a:t>ND</a:t>
            </a:fld>
            <a:endParaRPr lang="fr-FR" sz="900" b="1">
              <a:latin typeface="+mn-lt"/>
            </a:endParaRPr>
          </a:p>
        </cdr:txBody>
      </cdr:sp>
      <cdr:sp macro="" textlink="Calculs!$Y$220">
        <cdr:nvSpPr>
          <cdr:cNvPr id="86" name="ZoneTexte 1"/>
          <cdr:cNvSpPr txBox="1"/>
        </cdr:nvSpPr>
        <cdr:spPr>
          <a:xfrm xmlns:a="http://schemas.openxmlformats.org/drawingml/2006/main">
            <a:off x="8189163" y="315563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29691-D3E1-45D2-AB35-6D3D1271D5DB}" type="TxLink">
              <a:rPr lang="fr-FR" sz="900" b="1" i="0" u="none" strike="noStrike">
                <a:solidFill>
                  <a:srgbClr val="000000"/>
                </a:solidFill>
                <a:latin typeface="+mn-lt"/>
                <a:cs typeface="Calibri"/>
              </a:rPr>
              <a:pPr algn="l"/>
              <a:t>ND</a:t>
            </a:fld>
            <a:endParaRPr lang="fr-FR" sz="900" b="1">
              <a:latin typeface="+mn-lt"/>
            </a:endParaRPr>
          </a:p>
        </cdr:txBody>
      </cdr:sp>
      <cdr:sp macro="" textlink="Calculs!$Y$219">
        <cdr:nvSpPr>
          <cdr:cNvPr id="87" name="ZoneTexte 1"/>
          <cdr:cNvSpPr txBox="1"/>
        </cdr:nvSpPr>
        <cdr:spPr>
          <a:xfrm xmlns:a="http://schemas.openxmlformats.org/drawingml/2006/main">
            <a:off x="8189163" y="299776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8A3195-1948-4E9B-9F42-2A4808DC3143}" type="TxLink">
              <a:rPr lang="fr-FR" sz="900" b="1" i="0" u="none" strike="noStrike">
                <a:solidFill>
                  <a:srgbClr val="000000"/>
                </a:solidFill>
                <a:latin typeface="+mn-lt"/>
                <a:cs typeface="Calibri"/>
              </a:rPr>
              <a:pPr algn="l"/>
              <a:t>ND</a:t>
            </a:fld>
            <a:endParaRPr lang="fr-FR" sz="900" b="1">
              <a:latin typeface="+mn-lt"/>
            </a:endParaRPr>
          </a:p>
        </cdr:txBody>
      </cdr:sp>
      <cdr:sp macro="" textlink="Calculs!$Y$228">
        <cdr:nvSpPr>
          <cdr:cNvPr id="88" name="ZoneTexte 1"/>
          <cdr:cNvSpPr txBox="1"/>
        </cdr:nvSpPr>
        <cdr:spPr>
          <a:xfrm xmlns:a="http://schemas.openxmlformats.org/drawingml/2006/main">
            <a:off x="8189163" y="394499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DB97231-A90A-4CA7-AAF7-EBBB3CC240B9}" type="TxLink">
              <a:rPr lang="fr-FR" sz="900" b="1" i="0" u="none" strike="noStrike">
                <a:solidFill>
                  <a:srgbClr val="000000"/>
                </a:solidFill>
                <a:latin typeface="+mn-lt"/>
                <a:cs typeface="Calibri"/>
              </a:rPr>
              <a:pPr algn="l"/>
              <a:t>ND</a:t>
            </a:fld>
            <a:endParaRPr lang="fr-FR" sz="900" b="1">
              <a:latin typeface="+mn-lt"/>
            </a:endParaRPr>
          </a:p>
        </cdr:txBody>
      </cdr:sp>
      <cdr:sp macro="" textlink="Calculs!$Y$230">
        <cdr:nvSpPr>
          <cdr:cNvPr id="89" name="ZoneTexte 1"/>
          <cdr:cNvSpPr txBox="1"/>
        </cdr:nvSpPr>
        <cdr:spPr>
          <a:xfrm xmlns:a="http://schemas.openxmlformats.org/drawingml/2006/main">
            <a:off x="8189163" y="410286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A548B35-C887-43A0-B679-3E83D9C91869}" type="TxLink">
              <a:rPr lang="fr-FR" sz="900" b="1" i="0" u="none" strike="noStrike">
                <a:solidFill>
                  <a:srgbClr val="000000"/>
                </a:solidFill>
                <a:latin typeface="+mn-lt"/>
                <a:cs typeface="Calibri"/>
              </a:rPr>
              <a:pPr algn="l"/>
              <a:t>ND</a:t>
            </a:fld>
            <a:endParaRPr lang="fr-FR" sz="900" b="1">
              <a:latin typeface="+mn-lt"/>
            </a:endParaRPr>
          </a:p>
        </cdr:txBody>
      </cdr:sp>
      <cdr:sp macro="" textlink="Calculs!$Y$233">
        <cdr:nvSpPr>
          <cdr:cNvPr id="90" name="ZoneTexte 1"/>
          <cdr:cNvSpPr txBox="1"/>
        </cdr:nvSpPr>
        <cdr:spPr>
          <a:xfrm xmlns:a="http://schemas.openxmlformats.org/drawingml/2006/main">
            <a:off x="8189163" y="441861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75B3BFF-2F88-4DC9-B1DC-5553DF8AC63E}" type="TxLink">
              <a:rPr lang="fr-FR" sz="900" b="1" i="0" u="none" strike="noStrike">
                <a:solidFill>
                  <a:srgbClr val="000000"/>
                </a:solidFill>
                <a:latin typeface="+mn-lt"/>
                <a:cs typeface="Calibri"/>
              </a:rPr>
              <a:pPr algn="l"/>
              <a:t>ND</a:t>
            </a:fld>
            <a:endParaRPr lang="fr-FR" sz="900" b="1">
              <a:latin typeface="+mn-lt"/>
            </a:endParaRPr>
          </a:p>
        </cdr:txBody>
      </cdr:sp>
      <cdr:sp macro="" textlink="Calculs!$Y$234">
        <cdr:nvSpPr>
          <cdr:cNvPr id="91" name="ZoneTexte 1"/>
          <cdr:cNvSpPr txBox="1"/>
        </cdr:nvSpPr>
        <cdr:spPr>
          <a:xfrm xmlns:a="http://schemas.openxmlformats.org/drawingml/2006/main">
            <a:off x="8189163" y="457648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236813F-CC0C-4398-9224-2BDE3FA59E88}" type="TxLink">
              <a:rPr lang="fr-FR" sz="900" b="1" i="0" u="none" strike="noStrike">
                <a:solidFill>
                  <a:srgbClr val="000000"/>
                </a:solidFill>
                <a:latin typeface="+mn-lt"/>
                <a:cs typeface="Calibri"/>
              </a:rPr>
              <a:pPr algn="l"/>
              <a:t>ND</a:t>
            </a:fld>
            <a:endParaRPr lang="fr-FR" sz="900" b="1">
              <a:latin typeface="+mn-lt"/>
            </a:endParaRPr>
          </a:p>
        </cdr:txBody>
      </cdr:sp>
      <cdr:sp macro="" textlink="Calculs!$Y$236">
        <cdr:nvSpPr>
          <cdr:cNvPr id="92" name="ZoneTexte 1"/>
          <cdr:cNvSpPr txBox="1"/>
        </cdr:nvSpPr>
        <cdr:spPr>
          <a:xfrm xmlns:a="http://schemas.openxmlformats.org/drawingml/2006/main">
            <a:off x="8189163" y="473435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795761-420A-4B01-8680-8AED6DA4B598}" type="TxLink">
              <a:rPr lang="fr-FR" sz="900" b="1" i="0" u="none" strike="noStrike">
                <a:solidFill>
                  <a:srgbClr val="000000"/>
                </a:solidFill>
                <a:latin typeface="+mn-lt"/>
                <a:cs typeface="Calibri"/>
              </a:rPr>
              <a:pPr algn="l"/>
              <a:t>ND</a:t>
            </a:fld>
            <a:endParaRPr lang="fr-FR" sz="900" b="1">
              <a:latin typeface="+mn-lt"/>
            </a:endParaRPr>
          </a:p>
        </cdr:txBody>
      </cdr:sp>
      <cdr:sp macro="" textlink="Calculs!$Y$237">
        <cdr:nvSpPr>
          <cdr:cNvPr id="93" name="ZoneTexte 1"/>
          <cdr:cNvSpPr txBox="1"/>
        </cdr:nvSpPr>
        <cdr:spPr>
          <a:xfrm xmlns:a="http://schemas.openxmlformats.org/drawingml/2006/main">
            <a:off x="8189163" y="489222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2132CCD-D56C-4046-B2B1-766BE9CD91A2}" type="TxLink">
              <a:rPr lang="fr-FR" sz="900" b="1" i="0" u="none" strike="noStrike">
                <a:solidFill>
                  <a:srgbClr val="000000"/>
                </a:solidFill>
                <a:latin typeface="+mn-lt"/>
                <a:cs typeface="Calibri"/>
              </a:rPr>
              <a:pPr algn="l"/>
              <a:t>ND</a:t>
            </a:fld>
            <a:endParaRPr lang="fr-FR" sz="900" b="1">
              <a:latin typeface="+mn-lt"/>
            </a:endParaRPr>
          </a:p>
        </cdr:txBody>
      </cdr:sp>
      <cdr:sp macro="" textlink="Calculs!$Y$238">
        <cdr:nvSpPr>
          <cdr:cNvPr id="94" name="ZoneTexte 1"/>
          <cdr:cNvSpPr txBox="1"/>
        </cdr:nvSpPr>
        <cdr:spPr>
          <a:xfrm xmlns:a="http://schemas.openxmlformats.org/drawingml/2006/main">
            <a:off x="8189163" y="505009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A609977-16FB-47BA-9587-EBF9F5E5F553}" type="TxLink">
              <a:rPr lang="fr-FR" sz="900" b="1" i="0" u="none" strike="noStrike">
                <a:solidFill>
                  <a:srgbClr val="000000"/>
                </a:solidFill>
                <a:latin typeface="+mn-lt"/>
                <a:cs typeface="Calibri"/>
              </a:rPr>
              <a:pPr algn="l"/>
              <a:t>ND</a:t>
            </a:fld>
            <a:endParaRPr lang="fr-FR" sz="900" b="1">
              <a:latin typeface="+mn-lt"/>
            </a:endParaRPr>
          </a:p>
        </cdr:txBody>
      </cdr:sp>
      <cdr:sp macro="" textlink="Calculs!$Y$239">
        <cdr:nvSpPr>
          <cdr:cNvPr id="95" name="ZoneTexte 1"/>
          <cdr:cNvSpPr txBox="1"/>
        </cdr:nvSpPr>
        <cdr:spPr>
          <a:xfrm xmlns:a="http://schemas.openxmlformats.org/drawingml/2006/main">
            <a:off x="8189163" y="520797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C8E4880-A6AF-4BDB-B01F-B8E3D10C8DBB}" type="TxLink">
              <a:rPr lang="fr-FR" sz="900" b="1" i="0" u="none" strike="noStrike">
                <a:solidFill>
                  <a:srgbClr val="000000"/>
                </a:solidFill>
                <a:latin typeface="+mn-lt"/>
                <a:cs typeface="Calibri"/>
              </a:rPr>
              <a:pPr algn="l"/>
              <a:t>ND</a:t>
            </a:fld>
            <a:endParaRPr lang="fr-FR" sz="900" b="1">
              <a:latin typeface="+mn-lt"/>
            </a:endParaRPr>
          </a:p>
        </cdr:txBody>
      </cdr:sp>
      <cdr:sp macro="" textlink="Calculs!$Y$243">
        <cdr:nvSpPr>
          <cdr:cNvPr id="96" name="ZoneTexte 1"/>
          <cdr:cNvSpPr txBox="1"/>
        </cdr:nvSpPr>
        <cdr:spPr>
          <a:xfrm xmlns:a="http://schemas.openxmlformats.org/drawingml/2006/main">
            <a:off x="8189163" y="552371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AF8E4C3-C11F-43AC-AF51-73C36EA139AA}" type="TxLink">
              <a:rPr lang="fr-FR" sz="900" b="1" i="0" u="none" strike="noStrike">
                <a:solidFill>
                  <a:srgbClr val="000000"/>
                </a:solidFill>
                <a:latin typeface="+mn-lt"/>
                <a:cs typeface="Calibri"/>
              </a:rPr>
              <a:pPr algn="l"/>
              <a:t>ND</a:t>
            </a:fld>
            <a:endParaRPr lang="fr-FR" sz="900" b="1">
              <a:latin typeface="+mn-lt"/>
            </a:endParaRPr>
          </a:p>
        </cdr:txBody>
      </cdr:sp>
      <cdr:sp macro="" textlink="Calculs!$Y$245">
        <cdr:nvSpPr>
          <cdr:cNvPr id="97" name="ZoneTexte 1"/>
          <cdr:cNvSpPr txBox="1"/>
        </cdr:nvSpPr>
        <cdr:spPr>
          <a:xfrm xmlns:a="http://schemas.openxmlformats.org/drawingml/2006/main">
            <a:off x="8189163" y="568158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20D50EE-137F-45F7-8129-19BAE725CE55}" type="TxLink">
              <a:rPr lang="fr-FR" sz="900" b="1" i="0" u="none" strike="noStrike">
                <a:solidFill>
                  <a:srgbClr val="000000"/>
                </a:solidFill>
                <a:latin typeface="+mn-lt"/>
                <a:cs typeface="Calibri"/>
              </a:rPr>
              <a:pPr algn="l"/>
              <a:t>ND</a:t>
            </a:fld>
            <a:endParaRPr lang="fr-FR" sz="900" b="1">
              <a:latin typeface="+mn-lt"/>
            </a:endParaRPr>
          </a:p>
        </cdr:txBody>
      </cdr:sp>
      <cdr:sp macro="" textlink="Calculs!$Y$246">
        <cdr:nvSpPr>
          <cdr:cNvPr id="98" name="ZoneTexte 1"/>
          <cdr:cNvSpPr txBox="1"/>
        </cdr:nvSpPr>
        <cdr:spPr>
          <a:xfrm xmlns:a="http://schemas.openxmlformats.org/drawingml/2006/main">
            <a:off x="8189163" y="615520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24BEC5E-E02F-40B2-8DB6-8E8A7A8DC8EF}" type="TxLink">
              <a:rPr lang="fr-FR" sz="900" b="1" i="0" u="none" strike="noStrike">
                <a:solidFill>
                  <a:srgbClr val="000000"/>
                </a:solidFill>
                <a:latin typeface="+mn-lt"/>
                <a:cs typeface="Calibri"/>
              </a:rPr>
              <a:pPr algn="l"/>
              <a:t>ND</a:t>
            </a:fld>
            <a:endParaRPr lang="fr-FR" sz="900" b="1">
              <a:latin typeface="+mn-lt"/>
            </a:endParaRPr>
          </a:p>
        </cdr:txBody>
      </cdr:sp>
      <cdr:sp macro="" textlink="Calculs!$Y$247">
        <cdr:nvSpPr>
          <cdr:cNvPr id="121" name="ZoneTexte 1"/>
          <cdr:cNvSpPr txBox="1"/>
        </cdr:nvSpPr>
        <cdr:spPr>
          <a:xfrm xmlns:a="http://schemas.openxmlformats.org/drawingml/2006/main">
            <a:off x="8189163" y="631306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04D4E8-CD17-4BE6-B6FC-5D7C465DE892}" type="TxLink">
              <a:rPr lang="fr-FR" sz="900" b="1" i="0" u="none" strike="noStrike">
                <a:solidFill>
                  <a:srgbClr val="000000"/>
                </a:solidFill>
                <a:latin typeface="+mn-lt"/>
                <a:cs typeface="Calibri"/>
              </a:rPr>
              <a:pPr algn="l"/>
              <a:t>ND</a:t>
            </a:fld>
            <a:endParaRPr lang="fr-FR" sz="900" b="1">
              <a:latin typeface="+mn-lt"/>
            </a:endParaRPr>
          </a:p>
        </cdr:txBody>
      </cdr:sp>
      <cdr:sp macro="" textlink="Calculs!$Y$244">
        <cdr:nvSpPr>
          <cdr:cNvPr id="134" name="ZoneTexte 1"/>
          <cdr:cNvSpPr txBox="1"/>
        </cdr:nvSpPr>
        <cdr:spPr>
          <a:xfrm xmlns:a="http://schemas.openxmlformats.org/drawingml/2006/main">
            <a:off x="8189163" y="599733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DCD7737-432E-4BC6-851E-3B618429F4A1}" type="TxLink">
              <a:rPr lang="fr-FR" sz="900" b="1" i="0" u="none" strike="noStrike">
                <a:solidFill>
                  <a:srgbClr val="000000"/>
                </a:solidFill>
                <a:latin typeface="+mn-lt"/>
                <a:cs typeface="Calibri"/>
              </a:rPr>
              <a:pPr algn="l"/>
              <a:t>ND</a:t>
            </a:fld>
            <a:endParaRPr lang="fr-FR" sz="900" b="1">
              <a:latin typeface="+mn-lt"/>
            </a:endParaRPr>
          </a:p>
        </cdr:txBody>
      </cdr:sp>
      <cdr:sp macro="" textlink="Calculs!$Y$241">
        <cdr:nvSpPr>
          <cdr:cNvPr id="135" name="ZoneTexte 1"/>
          <cdr:cNvSpPr txBox="1"/>
        </cdr:nvSpPr>
        <cdr:spPr>
          <a:xfrm xmlns:a="http://schemas.openxmlformats.org/drawingml/2006/main">
            <a:off x="8189163" y="583945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C3BAE3-2E1A-43E1-B7D1-4CF9310F4EFE}" type="TxLink">
              <a:rPr lang="fr-FR" sz="900" b="1" i="0" u="none" strike="noStrike">
                <a:solidFill>
                  <a:srgbClr val="000000"/>
                </a:solidFill>
                <a:latin typeface="+mn-lt"/>
                <a:cs typeface="Calibri"/>
              </a:rPr>
              <a:pPr algn="l"/>
              <a:t>ND</a:t>
            </a:fld>
            <a:endParaRPr lang="fr-FR" sz="900" b="1">
              <a:latin typeface="+mn-lt"/>
            </a:endParaRPr>
          </a:p>
        </cdr:txBody>
      </cdr:sp>
      <cdr:sp macro="" textlink="Calculs!$Y$207">
        <cdr:nvSpPr>
          <cdr:cNvPr id="74" name="ZoneTexte 73"/>
          <cdr:cNvSpPr txBox="1"/>
        </cdr:nvSpPr>
        <cdr:spPr>
          <a:xfrm xmlns:a="http://schemas.openxmlformats.org/drawingml/2006/main">
            <a:off x="8189163" y="126117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algn="l"/>
            <a:fld id="{4D577F86-3A53-468F-B4BC-EB02906EF29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0">
        <cdr:nvSpPr>
          <cdr:cNvPr id="80" name="ZoneTexte 1"/>
          <cdr:cNvSpPr txBox="1"/>
        </cdr:nvSpPr>
        <cdr:spPr>
          <a:xfrm xmlns:a="http://schemas.openxmlformats.org/drawingml/2006/main">
            <a:off x="8189163" y="173478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1FDB11-28F2-4777-B3E8-94ABCD4B18BA}" type="TxLink">
              <a:rPr lang="fr-FR" sz="900" b="1" i="0" u="none" strike="noStrike">
                <a:solidFill>
                  <a:srgbClr val="000000"/>
                </a:solidFill>
                <a:latin typeface="+mn-lt"/>
                <a:cs typeface="Calibri"/>
              </a:rPr>
              <a:pPr algn="l"/>
              <a:t>ND</a:t>
            </a:fld>
            <a:endParaRPr lang="fr-FR" sz="900" b="1">
              <a:latin typeface="+mn-lt"/>
            </a:endParaRPr>
          </a:p>
        </cdr:txBody>
      </cdr:sp>
      <cdr:sp macro="" textlink="Calculs!$Y$209">
        <cdr:nvSpPr>
          <cdr:cNvPr id="81" name="ZoneTexte 1"/>
          <cdr:cNvSpPr txBox="1"/>
        </cdr:nvSpPr>
        <cdr:spPr>
          <a:xfrm xmlns:a="http://schemas.openxmlformats.org/drawingml/2006/main">
            <a:off x="8189163" y="157691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4BBF744-8778-450C-964E-78F116FC56DA}" type="TxLink">
              <a:rPr lang="fr-FR" sz="900" b="1" i="0" u="none" strike="noStrike">
                <a:solidFill>
                  <a:srgbClr val="000000"/>
                </a:solidFill>
                <a:latin typeface="+mn-lt"/>
                <a:cs typeface="Calibri"/>
              </a:rPr>
              <a:pPr algn="l"/>
              <a:t>ND</a:t>
            </a:fld>
            <a:endParaRPr lang="fr-FR" sz="900" b="1">
              <a:latin typeface="+mn-lt"/>
            </a:endParaRPr>
          </a:p>
        </cdr:txBody>
      </cdr:sp>
      <cdr:sp macro="" textlink="Calculs!$Y$208">
        <cdr:nvSpPr>
          <cdr:cNvPr id="130" name="ZoneTexte 1"/>
          <cdr:cNvSpPr txBox="1"/>
        </cdr:nvSpPr>
        <cdr:spPr>
          <a:xfrm xmlns:a="http://schemas.openxmlformats.org/drawingml/2006/main">
            <a:off x="8189163" y="141904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BA59C32-7A71-4462-ABDB-6FFA3DA8471F}" type="TxLink">
              <a:rPr lang="fr-FR" sz="900" b="1" i="0" u="none" strike="noStrike">
                <a:solidFill>
                  <a:srgbClr val="000000"/>
                </a:solidFill>
                <a:latin typeface="+mn-lt"/>
                <a:cs typeface="Calibri"/>
              </a:rPr>
              <a:pPr algn="l"/>
              <a:t>ND</a:t>
            </a:fld>
            <a:endParaRPr lang="fr-FR" sz="900" b="1">
              <a:latin typeface="+mn-lt"/>
            </a:endParaRPr>
          </a:p>
        </cdr:txBody>
      </cdr:sp>
      <cdr:sp macro="" textlink="Calculs!$Y$211">
        <cdr:nvSpPr>
          <cdr:cNvPr id="131" name="ZoneTexte 1"/>
          <cdr:cNvSpPr txBox="1"/>
        </cdr:nvSpPr>
        <cdr:spPr>
          <a:xfrm xmlns:a="http://schemas.openxmlformats.org/drawingml/2006/main">
            <a:off x="8189163" y="189265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B904513-5CC2-4764-8CB2-D46AF8A5CDA4}" type="TxLink">
              <a:rPr lang="fr-FR" sz="900" b="1" i="0" u="none" strike="noStrike">
                <a:solidFill>
                  <a:srgbClr val="000000"/>
                </a:solidFill>
                <a:latin typeface="+mn-lt"/>
                <a:cs typeface="Calibri"/>
              </a:rPr>
              <a:pPr algn="l"/>
              <a:t>ND</a:t>
            </a:fld>
            <a:endParaRPr lang="fr-FR" sz="900" b="1">
              <a:latin typeface="+mn-lt"/>
            </a:endParaRPr>
          </a:p>
        </cdr:txBody>
      </cdr:sp>
      <cdr:sp macro="" textlink="Calculs!$Y$212">
        <cdr:nvSpPr>
          <cdr:cNvPr id="111" name="ZoneTexte 1"/>
          <cdr:cNvSpPr txBox="1"/>
        </cdr:nvSpPr>
        <cdr:spPr>
          <a:xfrm xmlns:a="http://schemas.openxmlformats.org/drawingml/2006/main">
            <a:off x="8189163" y="205053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90ED0CF-37CA-46F6-9CAF-BEF34F52B72A}" type="TxLink">
              <a:rPr lang="fr-FR" sz="900" b="1" i="0" u="none" strike="noStrike">
                <a:solidFill>
                  <a:srgbClr val="000000"/>
                </a:solidFill>
                <a:latin typeface="+mn-lt"/>
                <a:cs typeface="Calibri"/>
              </a:rPr>
              <a:pPr algn="l"/>
              <a:t>ND</a:t>
            </a:fld>
            <a:endParaRPr lang="fr-FR" sz="900" b="1">
              <a:latin typeface="+mn-lt"/>
            </a:endParaRPr>
          </a:p>
        </cdr:txBody>
      </cdr:sp>
      <cdr:sp macro="" textlink="Calculs!$Y$231">
        <cdr:nvSpPr>
          <cdr:cNvPr id="115" name="ZoneTexte 1"/>
          <cdr:cNvSpPr txBox="1"/>
        </cdr:nvSpPr>
        <cdr:spPr>
          <a:xfrm xmlns:a="http://schemas.openxmlformats.org/drawingml/2006/main">
            <a:off x="8189163" y="426073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B9333CC-4932-41C2-B737-5A76C212FAD6}" type="TxLink">
              <a:rPr lang="fr-FR" sz="900" b="1" i="0" u="none" strike="noStrike">
                <a:solidFill>
                  <a:srgbClr val="000000"/>
                </a:solidFill>
                <a:latin typeface="Calibri"/>
                <a:cs typeface="Calibri"/>
              </a:rPr>
              <a:pPr algn="l"/>
              <a:t>ND</a:t>
            </a:fld>
            <a:endParaRPr lang="fr-FR" sz="900" b="1">
              <a:latin typeface="Calibri"/>
            </a:endParaRPr>
          </a:p>
        </cdr:txBody>
      </cdr:sp>
      <cdr:sp macro="" textlink="Calculs!$Y$240">
        <cdr:nvSpPr>
          <cdr:cNvPr id="116" name="ZoneTexte 1"/>
          <cdr:cNvSpPr txBox="1"/>
        </cdr:nvSpPr>
        <cdr:spPr>
          <a:xfrm xmlns:a="http://schemas.openxmlformats.org/drawingml/2006/main">
            <a:off x="8189163" y="536584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EB17FC5-13B3-4F1D-ABA9-30B53479BBB0}" type="TxLink">
              <a:rPr lang="fr-FR" sz="900" b="1" i="0" u="none" strike="noStrike">
                <a:solidFill>
                  <a:srgbClr val="000000"/>
                </a:solidFill>
                <a:latin typeface="+mn-lt"/>
                <a:cs typeface="Calibri"/>
              </a:rPr>
              <a:pPr algn="l"/>
              <a:t>ND</a:t>
            </a:fld>
            <a:endParaRPr lang="fr-FR" sz="900" b="1">
              <a:latin typeface="+mn-lt"/>
            </a:endParaRPr>
          </a:p>
        </cdr:txBody>
      </cdr:sp>
    </cdr:grpSp>
  </cdr:relSizeAnchor>
  <cdr:relSizeAnchor xmlns:cdr="http://schemas.openxmlformats.org/drawingml/2006/chartDrawing">
    <cdr:from>
      <cdr:x>0.17698</cdr:x>
      <cdr:y>0.4213</cdr:y>
    </cdr:from>
    <cdr:to>
      <cdr:x>0.96136</cdr:x>
      <cdr:y>0.48302</cdr:y>
    </cdr:to>
    <cdr:sp macro="" textlink="">
      <cdr:nvSpPr>
        <cdr:cNvPr id="100" name="ZoneTexte 1"/>
        <cdr:cNvSpPr txBox="1"/>
      </cdr:nvSpPr>
      <cdr:spPr>
        <a:xfrm xmlns:a="http://schemas.openxmlformats.org/drawingml/2006/main" rot="19739527">
          <a:off x="1788582" y="2889250"/>
          <a:ext cx="7926916" cy="42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800" b="1">
              <a:solidFill>
                <a:srgbClr val="FF0000"/>
              </a:solidFill>
            </a:rPr>
            <a:t>Feuille non mise à jour dans la version 7.1</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0.0183</cdr:x>
      <cdr:y>0.08059</cdr:y>
    </cdr:from>
    <cdr:to>
      <cdr:x>0.24788</cdr:x>
      <cdr:y>0.12228</cdr:y>
    </cdr:to>
    <cdr:sp macro="" textlink="'TRAD-visualiz'!$B$4">
      <cdr:nvSpPr>
        <cdr:cNvPr id="7" name="ZoneTexte 6"/>
        <cdr:cNvSpPr txBox="1"/>
      </cdr:nvSpPr>
      <cdr:spPr>
        <a:xfrm xmlns:a="http://schemas.openxmlformats.org/drawingml/2006/main">
          <a:off x="185970" y="554513"/>
          <a:ext cx="2333391" cy="2868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9D5AD8C8-7F7E-4CE5-9361-234F406797EC}"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0.0183</cdr:x>
      <cdr:y>0.04522</cdr:y>
    </cdr:from>
    <cdr:to>
      <cdr:x>0.19627</cdr:x>
      <cdr:y>0.08686</cdr:y>
    </cdr:to>
    <cdr:sp macro="" textlink="'TRAD-visualiz'!$B$3">
      <cdr:nvSpPr>
        <cdr:cNvPr id="9" name="ZoneTexte 1"/>
        <cdr:cNvSpPr txBox="1"/>
      </cdr:nvSpPr>
      <cdr:spPr>
        <a:xfrm xmlns:a="http://schemas.openxmlformats.org/drawingml/2006/main">
          <a:off x="185970" y="311118"/>
          <a:ext cx="1808840" cy="286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50A8046-5573-4533-9D77-22E5CD36F578}"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0.17381</cdr:x>
      <cdr:y>0.046</cdr:y>
    </cdr:from>
    <cdr:to>
      <cdr:x>0.31859</cdr:x>
      <cdr:y>0.08849</cdr:y>
    </cdr:to>
    <cdr:sp macro="" textlink="Paramétrage!$D$11">
      <cdr:nvSpPr>
        <cdr:cNvPr id="10" name="ZoneTexte 1"/>
        <cdr:cNvSpPr txBox="1"/>
      </cdr:nvSpPr>
      <cdr:spPr>
        <a:xfrm xmlns:a="http://schemas.openxmlformats.org/drawingml/2006/main">
          <a:off x="1766572" y="316489"/>
          <a:ext cx="1471506"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Calibri"/>
              <a:cs typeface="Calibri"/>
            </a:rPr>
            <a:pPr/>
            <a:t>TEST</a:t>
          </a:fld>
          <a:endParaRPr lang="fr-FR" sz="1050" b="1" i="1"/>
        </a:p>
      </cdr:txBody>
    </cdr:sp>
  </cdr:relSizeAnchor>
  <cdr:relSizeAnchor xmlns:cdr="http://schemas.openxmlformats.org/drawingml/2006/chartDrawing">
    <cdr:from>
      <cdr:x>0.85862</cdr:x>
      <cdr:y>0.09151</cdr:y>
    </cdr:from>
    <cdr:to>
      <cdr:x>0.99684</cdr:x>
      <cdr:y>0.17157</cdr:y>
    </cdr:to>
    <cdr:sp macro="" textlink="'TRAD-visualiz'!$B$8">
      <cdr:nvSpPr>
        <cdr:cNvPr id="12" name="ZoneTexte 11"/>
        <cdr:cNvSpPr txBox="1"/>
      </cdr:nvSpPr>
      <cdr:spPr>
        <a:xfrm xmlns:a="http://schemas.openxmlformats.org/drawingml/2006/main">
          <a:off x="8677275" y="627576"/>
          <a:ext cx="1396815"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E140659B-F6C5-4020-A536-3A1DE74A8A24}" type="TxLink">
            <a:rPr lang="en-US" sz="1100" b="0" i="0" u="none" strike="noStrike">
              <a:solidFill>
                <a:srgbClr val="000000"/>
              </a:solidFill>
              <a:latin typeface="+mn-lt"/>
              <a:cs typeface="Calibri"/>
            </a:rPr>
            <a:pPr algn="ctr"/>
            <a:t>Nb de patients concernés / mois</a:t>
          </a:fld>
          <a:endParaRPr lang="fr-FR" sz="110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100"/>
            <a:pPr/>
            <a:t> </a:t>
          </a:fld>
          <a:endParaRPr lang="fr-FR" sz="1100"/>
        </a:p>
      </cdr:txBody>
    </cdr:sp>
  </cdr:relSizeAnchor>
  <cdr:relSizeAnchor xmlns:cdr="http://schemas.openxmlformats.org/drawingml/2006/chartDrawing">
    <cdr:from>
      <cdr:x>0.37212</cdr:x>
      <cdr:y>0.07571</cdr:y>
    </cdr:from>
    <cdr:to>
      <cdr:x>0.56173</cdr:x>
      <cdr:y>0.1071</cdr:y>
    </cdr:to>
    <cdr:sp macro="" textlink="'TRAD-visualiz'!$B$6">
      <cdr:nvSpPr>
        <cdr:cNvPr id="119" name="ZoneTexte 6"/>
        <cdr:cNvSpPr txBox="1"/>
      </cdr:nvSpPr>
      <cdr:spPr>
        <a:xfrm xmlns:a="http://schemas.openxmlformats.org/drawingml/2006/main">
          <a:off x="3782129" y="520924"/>
          <a:ext cx="1927146" cy="216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39808438-DA13-41C6-BDE3-2306A85B9FF2}" type="TxLink">
            <a:rPr lang="en-US" sz="1050" b="0" i="0" u="none" strike="noStrike">
              <a:solidFill>
                <a:srgbClr val="000000"/>
              </a:solidFill>
              <a:latin typeface="+mn-lt"/>
              <a:cs typeface="Calibri"/>
            </a:rPr>
            <a:pPr/>
            <a:t>Nature des stocks considérés </a:t>
          </a:fld>
          <a:endParaRPr lang="fr-FR" sz="1050" i="1">
            <a:latin typeface="+mn-lt"/>
          </a:endParaRPr>
        </a:p>
      </cdr:txBody>
    </cdr:sp>
  </cdr:relSizeAnchor>
  <cdr:relSizeAnchor xmlns:cdr="http://schemas.openxmlformats.org/drawingml/2006/chartDrawing">
    <cdr:from>
      <cdr:x>0.20799</cdr:x>
      <cdr:y>0.08143</cdr:y>
    </cdr:from>
    <cdr:to>
      <cdr:x>0.35277</cdr:x>
      <cdr:y>0.12228</cdr:y>
    </cdr:to>
    <cdr:sp macro="" textlink="Paramétrage!$H$19">
      <cdr:nvSpPr>
        <cdr:cNvPr id="122" name="ZoneTexte 1"/>
        <cdr:cNvSpPr txBox="1"/>
      </cdr:nvSpPr>
      <cdr:spPr>
        <a:xfrm xmlns:a="http://schemas.openxmlformats.org/drawingml/2006/main">
          <a:off x="2113911" y="560292"/>
          <a:ext cx="1471505" cy="28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0.57741</cdr:x>
      <cdr:y>0.07571</cdr:y>
    </cdr:from>
    <cdr:to>
      <cdr:x>0.89897</cdr:x>
      <cdr:y>0.1071</cdr:y>
    </cdr:to>
    <cdr:sp macro="" textlink="'Calculs dispo Données FA'!$F$179">
      <cdr:nvSpPr>
        <cdr:cNvPr id="123" name="ZoneTexte 1"/>
        <cdr:cNvSpPr txBox="1"/>
      </cdr:nvSpPr>
      <cdr:spPr>
        <a:xfrm xmlns:a="http://schemas.openxmlformats.org/drawingml/2006/main">
          <a:off x="5868642" y="520923"/>
          <a:ext cx="3268251" cy="216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D9618AC-EFB4-4346-BF53-E17319167841}" type="TxLink">
            <a:rPr lang="fr-FR" sz="1050" b="1" i="1" u="none" strike="noStrike">
              <a:solidFill>
                <a:srgbClr val="C00000"/>
              </a:solidFill>
              <a:latin typeface="+mn-lt"/>
              <a:cs typeface="Calibri"/>
            </a:rPr>
            <a:pPr/>
            <a:t>Stocks centraux &amp; Commandes</a:t>
          </a:fld>
          <a:endParaRPr lang="fr-FR" sz="1050" b="1" i="1">
            <a:solidFill>
              <a:srgbClr val="C00000"/>
            </a:solidFill>
            <a:latin typeface="+mn-lt"/>
          </a:endParaRPr>
        </a:p>
      </cdr:txBody>
    </cdr: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100" b="1"/>
            <a:pPr algn="l"/>
            <a:t> </a:t>
          </a:fld>
          <a:endParaRPr lang="fr-FR" sz="1100" b="1"/>
        </a:p>
      </cdr:txBody>
    </cdr:sp>
  </cdr:relSizeAnchor>
  <cdr:relSizeAnchor xmlns:cdr="http://schemas.openxmlformats.org/drawingml/2006/chartDrawing">
    <cdr:from>
      <cdr:x>0.37212</cdr:x>
      <cdr:y>0.04034</cdr:y>
    </cdr:from>
    <cdr:to>
      <cdr:x>0.61218</cdr:x>
      <cdr:y>0.07173</cdr:y>
    </cdr:to>
    <cdr:sp macro="" textlink="'TRAD-visualiz'!$B$5">
      <cdr:nvSpPr>
        <cdr:cNvPr id="101" name="ZoneTexte 6"/>
        <cdr:cNvSpPr txBox="1"/>
      </cdr:nvSpPr>
      <cdr:spPr>
        <a:xfrm xmlns:a="http://schemas.openxmlformats.org/drawingml/2006/main">
          <a:off x="3782129" y="277529"/>
          <a:ext cx="2439906" cy="216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2ABF6EE-394E-4193-9F65-7F84729F528C}" type="TxLink">
            <a:rPr lang="en-US" sz="1050" b="0" i="0" u="none" strike="noStrike">
              <a:solidFill>
                <a:srgbClr val="000000"/>
              </a:solidFill>
              <a:latin typeface="+mn-lt"/>
              <a:cs typeface="Calibri"/>
            </a:rPr>
            <a:pPr/>
            <a:t>Méthode / type de données utilisées </a:t>
          </a:fld>
          <a:endParaRPr lang="fr-FR" sz="1050" i="1">
            <a:latin typeface="+mn-lt"/>
          </a:endParaRPr>
        </a:p>
      </cdr:txBody>
    </cdr:sp>
  </cdr:relSizeAnchor>
  <cdr:relSizeAnchor xmlns:cdr="http://schemas.openxmlformats.org/drawingml/2006/chartDrawing">
    <cdr:from>
      <cdr:x>0.57741</cdr:x>
      <cdr:y>0.04034</cdr:y>
    </cdr:from>
    <cdr:to>
      <cdr:x>0.75372</cdr:x>
      <cdr:y>0.07173</cdr:y>
    </cdr:to>
    <cdr:sp macro="" textlink="Calculs!$C$487">
      <cdr:nvSpPr>
        <cdr:cNvPr id="102" name="ZoneTexte 1"/>
        <cdr:cNvSpPr txBox="1"/>
      </cdr:nvSpPr>
      <cdr:spPr>
        <a:xfrm xmlns:a="http://schemas.openxmlformats.org/drawingml/2006/main">
          <a:off x="5868642" y="277529"/>
          <a:ext cx="1791968" cy="216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0921A9E-1E84-4D85-B507-3E0F2C99B2CF}" type="TxLink">
            <a:rPr lang="fr-FR" sz="1050" b="1" i="1" u="none" strike="noStrike">
              <a:solidFill>
                <a:srgbClr val="C00000"/>
              </a:solidFill>
              <a:latin typeface="+mn-lt"/>
            </a:rPr>
            <a:pPr/>
            <a:t>Données suivi de file active</a:t>
          </a:fld>
          <a:endParaRPr lang="fr-FR" sz="1050" b="1" i="1">
            <a:solidFill>
              <a:srgbClr val="C00000"/>
            </a:solidFill>
            <a:latin typeface="+mn-lt"/>
          </a:endParaRPr>
        </a:p>
      </cdr:txBody>
    </cdr:sp>
  </cdr:relSizeAnchor>
  <cdr:relSizeAnchor xmlns:cdr="http://schemas.openxmlformats.org/drawingml/2006/chartDrawing">
    <cdr:from>
      <cdr:x>0.37811</cdr:x>
      <cdr:y>0.98203</cdr:y>
    </cdr:from>
    <cdr:to>
      <cdr:x>0.3903</cdr:x>
      <cdr:y>0.9951</cdr:y>
    </cdr:to>
    <cdr:sp macro="" textlink="">
      <cdr:nvSpPr>
        <cdr:cNvPr id="103" name="Rectangle 102"/>
        <cdr:cNvSpPr/>
      </cdr:nvSpPr>
      <cdr:spPr>
        <a:xfrm xmlns:a="http://schemas.openxmlformats.org/drawingml/2006/main">
          <a:off x="3821239" y="6734748"/>
          <a:ext cx="123192" cy="89634"/>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sz="1100"/>
        </a:p>
      </cdr:txBody>
    </cdr:sp>
  </cdr:relSizeAnchor>
  <cdr:relSizeAnchor xmlns:cdr="http://schemas.openxmlformats.org/drawingml/2006/chartDrawing">
    <cdr:from>
      <cdr:x>0.38367</cdr:x>
      <cdr:y>0.96732</cdr:y>
    </cdr:from>
    <cdr:to>
      <cdr:x>0.6585</cdr:x>
      <cdr:y>1</cdr:y>
    </cdr:to>
    <cdr:sp macro="" textlink="'TRAD-visualiz'!$B$10">
      <cdr:nvSpPr>
        <cdr:cNvPr id="104" name="ZoneTexte 2"/>
        <cdr:cNvSpPr txBox="1"/>
      </cdr:nvSpPr>
      <cdr:spPr>
        <a:xfrm xmlns:a="http://schemas.openxmlformats.org/drawingml/2006/main">
          <a:off x="3899519" y="6655560"/>
          <a:ext cx="2793300" cy="224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43543F8-D12D-4F93-8145-5E8FF57C74CC}" type="TxLink">
            <a:rPr lang="en-US" sz="1000" b="0" i="0" u="none" strike="noStrike">
              <a:solidFill>
                <a:srgbClr val="000000"/>
              </a:solidFill>
              <a:latin typeface="+mn-lt"/>
              <a:cs typeface="Calibri"/>
            </a:rPr>
            <a:pPr/>
            <a:t>Période pendant laquelle le ST a été utilisé </a:t>
          </a:fld>
          <a:endParaRPr lang="fr-FR" sz="1000">
            <a:latin typeface="+mn-lt"/>
          </a:endParaRPr>
        </a:p>
      </cdr:txBody>
    </cdr:sp>
  </cdr:relSizeAnchor>
  <cdr:relSizeAnchor xmlns:cdr="http://schemas.openxmlformats.org/drawingml/2006/chartDrawing">
    <cdr:from>
      <cdr:x>0.88817</cdr:x>
      <cdr:y>0.19488</cdr:y>
    </cdr:from>
    <cdr:to>
      <cdr:x>0.95229</cdr:x>
      <cdr:y>0.92795</cdr:y>
    </cdr:to>
    <cdr:grpSp>
      <cdr:nvGrpSpPr>
        <cdr:cNvPr id="174" name="Groupe 173"/>
        <cdr:cNvGrpSpPr/>
      </cdr:nvGrpSpPr>
      <cdr:grpSpPr>
        <a:xfrm xmlns:a="http://schemas.openxmlformats.org/drawingml/2006/main">
          <a:off x="9027125" y="1340855"/>
          <a:ext cx="651698" cy="5043823"/>
          <a:chOff x="0" y="14222"/>
          <a:chExt cx="647998" cy="5027397"/>
        </a:xfrm>
      </cdr:grpSpPr>
      <cdr:sp macro="" textlink="Calculs!$R$166">
        <cdr:nvSpPr>
          <cdr:cNvPr id="191" name="ZoneTexte 1"/>
          <cdr:cNvSpPr txBox="1"/>
        </cdr:nvSpPr>
        <cdr:spPr>
          <a:xfrm xmlns:a="http://schemas.openxmlformats.org/drawingml/2006/main">
            <a:off x="0" y="4545463"/>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370E615-A7CC-4D55-B289-EC7D55646F34}"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65">
        <cdr:nvSpPr>
          <cdr:cNvPr id="192" name="ZoneTexte 1"/>
          <cdr:cNvSpPr txBox="1"/>
        </cdr:nvSpPr>
        <cdr:spPr>
          <a:xfrm xmlns:a="http://schemas.openxmlformats.org/drawingml/2006/main">
            <a:off x="0" y="419690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D8BF779-0B5B-4E74-BA81-8396712A4794}"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64">
        <cdr:nvSpPr>
          <cdr:cNvPr id="193" name="ZoneTexte 1"/>
          <cdr:cNvSpPr txBox="1"/>
        </cdr:nvSpPr>
        <cdr:spPr>
          <a:xfrm xmlns:a="http://schemas.openxmlformats.org/drawingml/2006/main">
            <a:off x="0" y="3848349"/>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48F9032-5008-42E0-A734-D269643EE5B7}"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63">
        <cdr:nvSpPr>
          <cdr:cNvPr id="194" name="ZoneTexte 1"/>
          <cdr:cNvSpPr txBox="1"/>
        </cdr:nvSpPr>
        <cdr:spPr>
          <a:xfrm xmlns:a="http://schemas.openxmlformats.org/drawingml/2006/main">
            <a:off x="0" y="349979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2F71F5D-EA6B-4C33-8B7B-CB822F3BA0EA}"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67">
        <cdr:nvSpPr>
          <cdr:cNvPr id="195" name="ZoneTexte 1"/>
          <cdr:cNvSpPr txBox="1"/>
        </cdr:nvSpPr>
        <cdr:spPr>
          <a:xfrm xmlns:a="http://schemas.openxmlformats.org/drawingml/2006/main">
            <a:off x="0" y="489401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2882C77-24ED-445E-8A59-458A7ECC87D3}"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59">
        <cdr:nvSpPr>
          <cdr:cNvPr id="196" name="ZoneTexte 1"/>
          <cdr:cNvSpPr txBox="1"/>
        </cdr:nvSpPr>
        <cdr:spPr>
          <a:xfrm xmlns:a="http://schemas.openxmlformats.org/drawingml/2006/main">
            <a:off x="0" y="210556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071409E-4E0B-40C8-95A6-A5DA352AE022}"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53">
        <cdr:nvSpPr>
          <cdr:cNvPr id="197" name="ZoneTexte 8"/>
          <cdr:cNvSpPr txBox="1"/>
        </cdr:nvSpPr>
        <cdr:spPr>
          <a:xfrm xmlns:a="http://schemas.openxmlformats.org/drawingml/2006/main">
            <a:off x="0" y="1422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D7C45AAD-F97E-4B26-A14A-1E88A6586F91}" type="TxLink">
              <a:rPr lang="en-US" sz="1100" b="1" i="0" u="none" strike="noStrike">
                <a:solidFill>
                  <a:srgbClr val="000000"/>
                </a:solidFill>
                <a:latin typeface="Calibri"/>
                <a:cs typeface="Calibri"/>
              </a:rPr>
              <a:pPr marL="0" indent="0" algn="l"/>
              <a:t>0</a:t>
            </a:fld>
            <a:endParaRPr lang="fr-FR" sz="1100" b="1">
              <a:latin typeface="Calibri"/>
            </a:endParaRPr>
          </a:p>
        </cdr:txBody>
      </cdr:sp>
      <cdr:sp macro="" textlink="Calculs!$R$158">
        <cdr:nvSpPr>
          <cdr:cNvPr id="198" name="ZoneTexte 1"/>
          <cdr:cNvSpPr txBox="1"/>
        </cdr:nvSpPr>
        <cdr:spPr>
          <a:xfrm xmlns:a="http://schemas.openxmlformats.org/drawingml/2006/main">
            <a:off x="0" y="1757007"/>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9DF42AA-BB9D-480F-8D8A-6187C60C8B0A}"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56">
        <cdr:nvSpPr>
          <cdr:cNvPr id="199" name="ZoneTexte 1"/>
          <cdr:cNvSpPr txBox="1"/>
        </cdr:nvSpPr>
        <cdr:spPr>
          <a:xfrm xmlns:a="http://schemas.openxmlformats.org/drawingml/2006/main">
            <a:off x="0" y="1059893"/>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51B9AB2-CBE7-4E95-B19E-B4B71654DDD2}"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55">
        <cdr:nvSpPr>
          <cdr:cNvPr id="200" name="ZoneTexte 1"/>
          <cdr:cNvSpPr txBox="1"/>
        </cdr:nvSpPr>
        <cdr:spPr>
          <a:xfrm xmlns:a="http://schemas.openxmlformats.org/drawingml/2006/main">
            <a:off x="0" y="71133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51369FF-F8A7-428F-994B-C53F6D03EB72}"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54">
        <cdr:nvSpPr>
          <cdr:cNvPr id="201" name="ZoneTexte 1"/>
          <cdr:cNvSpPr txBox="1"/>
        </cdr:nvSpPr>
        <cdr:spPr>
          <a:xfrm xmlns:a="http://schemas.openxmlformats.org/drawingml/2006/main">
            <a:off x="0" y="362779"/>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FDF4E3E-A37C-4AAB-B4A0-33352C110A96}"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57">
        <cdr:nvSpPr>
          <cdr:cNvPr id="202" name="ZoneTexte 1"/>
          <cdr:cNvSpPr txBox="1"/>
        </cdr:nvSpPr>
        <cdr:spPr>
          <a:xfrm xmlns:a="http://schemas.openxmlformats.org/drawingml/2006/main">
            <a:off x="0" y="140845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8F15651-8D1B-4DAA-A3B0-DCD207185210}"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160">
        <cdr:nvSpPr>
          <cdr:cNvPr id="203" name="ZoneTexte 1"/>
          <cdr:cNvSpPr txBox="1"/>
        </cdr:nvSpPr>
        <cdr:spPr>
          <a:xfrm xmlns:a="http://schemas.openxmlformats.org/drawingml/2006/main">
            <a:off x="0" y="2454121"/>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8C32DF5F-0AD3-482A-BB45-D332ACCBBCEC}" type="TxLink">
              <a:rPr lang="en-US" sz="1100" b="1" i="0" u="none" strike="noStrike">
                <a:solidFill>
                  <a:srgbClr val="000000"/>
                </a:solidFill>
                <a:latin typeface="Calibri"/>
                <a:cs typeface="Calibri"/>
              </a:rPr>
              <a:pPr marL="0" indent="0" algn="l"/>
              <a:t>0</a:t>
            </a:fld>
            <a:endParaRPr lang="fr-FR" sz="1100" b="1">
              <a:latin typeface="Calibri"/>
            </a:endParaRPr>
          </a:p>
        </cdr:txBody>
      </cdr:sp>
      <cdr:sp macro="" textlink="Calculs!$R$161">
        <cdr:nvSpPr>
          <cdr:cNvPr id="204" name="ZoneTexte 1"/>
          <cdr:cNvSpPr txBox="1"/>
        </cdr:nvSpPr>
        <cdr:spPr>
          <a:xfrm xmlns:a="http://schemas.openxmlformats.org/drawingml/2006/main">
            <a:off x="0" y="280267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DD87F67D-33EF-4E9E-9FF5-F2E42A207649}" type="TxLink">
              <a:rPr lang="en-US" sz="1100" b="1" i="0" u="none" strike="noStrike">
                <a:solidFill>
                  <a:srgbClr val="000000"/>
                </a:solidFill>
                <a:latin typeface="Calibri"/>
                <a:cs typeface="Calibri"/>
              </a:rPr>
              <a:pPr marL="0" indent="0" algn="l"/>
              <a:t>0</a:t>
            </a:fld>
            <a:endParaRPr lang="fr-FR" sz="1100" b="1">
              <a:latin typeface="Calibri"/>
            </a:endParaRPr>
          </a:p>
        </cdr:txBody>
      </cdr:sp>
      <cdr:sp macro="" textlink="Calculs!$R$162">
        <cdr:nvSpPr>
          <cdr:cNvPr id="205" name="ZoneTexte 1"/>
          <cdr:cNvSpPr txBox="1"/>
        </cdr:nvSpPr>
        <cdr:spPr>
          <a:xfrm xmlns:a="http://schemas.openxmlformats.org/drawingml/2006/main">
            <a:off x="0" y="3151235"/>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CD96C12E-5043-4B94-A449-3FCF34199947}" type="TxLink">
              <a:rPr lang="en-US" sz="1100" b="1" i="0" u="none" strike="noStrike">
                <a:solidFill>
                  <a:srgbClr val="000000"/>
                </a:solidFill>
                <a:latin typeface="Calibri"/>
                <a:cs typeface="Calibri"/>
              </a:rPr>
              <a:pPr marL="0" indent="0" algn="l"/>
              <a:t>0</a:t>
            </a:fld>
            <a:endParaRPr lang="fr-FR" sz="1100" b="1">
              <a:latin typeface="Calibri"/>
            </a:endParaRPr>
          </a:p>
        </cdr:txBody>
      </cdr:sp>
    </cdr:grpSp>
  </cdr:relSizeAnchor>
  <cdr:relSizeAnchor xmlns:cdr="http://schemas.openxmlformats.org/drawingml/2006/chartDrawing">
    <cdr:from>
      <cdr:x>0.94656</cdr:x>
      <cdr:y>0.19281</cdr:y>
    </cdr:from>
    <cdr:to>
      <cdr:x>1</cdr:x>
      <cdr:y>0.92733</cdr:y>
    </cdr:to>
    <cdr:grpSp>
      <cdr:nvGrpSpPr>
        <cdr:cNvPr id="175" name="Groupe 174"/>
        <cdr:cNvGrpSpPr/>
      </cdr:nvGrpSpPr>
      <cdr:grpSpPr>
        <a:xfrm xmlns:a="http://schemas.openxmlformats.org/drawingml/2006/main">
          <a:off x="9620585" y="1326612"/>
          <a:ext cx="543150" cy="5053800"/>
          <a:chOff x="592190" y="0"/>
          <a:chExt cx="555569" cy="5037323"/>
        </a:xfrm>
      </cdr:grpSpPr>
      <cdr:sp macro="" textlink="Calculs!$R$207">
        <cdr:nvSpPr>
          <cdr:cNvPr id="176" name="ZoneTexte 18"/>
          <cdr:cNvSpPr txBox="1"/>
        </cdr:nvSpPr>
        <cdr:spPr>
          <a:xfrm xmlns:a="http://schemas.openxmlformats.org/drawingml/2006/main">
            <a:off x="592190" y="0"/>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86CFBDD-3624-4EA5-940C-67426AA3499B}"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4">
        <cdr:nvSpPr>
          <cdr:cNvPr id="177" name="ZoneTexte 1"/>
          <cdr:cNvSpPr txBox="1"/>
        </cdr:nvSpPr>
        <cdr:spPr>
          <a:xfrm xmlns:a="http://schemas.openxmlformats.org/drawingml/2006/main">
            <a:off x="592190" y="2444862"/>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EE7F818-3C1A-403D-B217-FA441A8809E5}"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0">
        <cdr:nvSpPr>
          <cdr:cNvPr id="178" name="ZoneTexte 1"/>
          <cdr:cNvSpPr txBox="1"/>
        </cdr:nvSpPr>
        <cdr:spPr>
          <a:xfrm xmlns:a="http://schemas.openxmlformats.org/drawingml/2006/main">
            <a:off x="592190" y="1047798"/>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D684648-156C-45C3-9CBD-B6CD38E2575B}"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09">
        <cdr:nvSpPr>
          <cdr:cNvPr id="179" name="ZoneTexte 1"/>
          <cdr:cNvSpPr txBox="1"/>
        </cdr:nvSpPr>
        <cdr:spPr>
          <a:xfrm xmlns:a="http://schemas.openxmlformats.org/drawingml/2006/main">
            <a:off x="592190" y="698532"/>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E1D597A-86BB-4DA0-BAA0-8CCD546E5080}"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08">
        <cdr:nvSpPr>
          <cdr:cNvPr id="180" name="ZoneTexte 1"/>
          <cdr:cNvSpPr txBox="1"/>
        </cdr:nvSpPr>
        <cdr:spPr>
          <a:xfrm xmlns:a="http://schemas.openxmlformats.org/drawingml/2006/main">
            <a:off x="592190" y="349266"/>
            <a:ext cx="555569"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D27EBB4-A580-4BF2-887D-34CFD539A0E1}"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1">
        <cdr:nvSpPr>
          <cdr:cNvPr id="181" name="ZoneTexte 1"/>
          <cdr:cNvSpPr txBox="1"/>
        </cdr:nvSpPr>
        <cdr:spPr>
          <a:xfrm xmlns:a="http://schemas.openxmlformats.org/drawingml/2006/main">
            <a:off x="592190" y="1397064"/>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1C399F1-9164-448D-8E83-315CAB88085A}"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8">
        <cdr:nvSpPr>
          <cdr:cNvPr id="182" name="ZoneTexte 1"/>
          <cdr:cNvSpPr txBox="1"/>
        </cdr:nvSpPr>
        <cdr:spPr>
          <a:xfrm xmlns:a="http://schemas.openxmlformats.org/drawingml/2006/main">
            <a:off x="592190" y="3841926"/>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CE3650E-9EDD-4A65-AEA6-A3FF84A16E30}"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7">
        <cdr:nvSpPr>
          <cdr:cNvPr id="183" name="ZoneTexte 1"/>
          <cdr:cNvSpPr txBox="1"/>
        </cdr:nvSpPr>
        <cdr:spPr>
          <a:xfrm xmlns:a="http://schemas.openxmlformats.org/drawingml/2006/main">
            <a:off x="592190" y="3492660"/>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A4B0003-BB86-466E-9BC7-108C907950F2}"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6">
        <cdr:nvSpPr>
          <cdr:cNvPr id="184" name="ZoneTexte 1"/>
          <cdr:cNvSpPr txBox="1"/>
        </cdr:nvSpPr>
        <cdr:spPr>
          <a:xfrm xmlns:a="http://schemas.openxmlformats.org/drawingml/2006/main">
            <a:off x="592190" y="3143394"/>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3C273F7-79F6-4F92-B220-38808DF2D670}"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5">
        <cdr:nvSpPr>
          <cdr:cNvPr id="185" name="ZoneTexte 1"/>
          <cdr:cNvSpPr txBox="1"/>
        </cdr:nvSpPr>
        <cdr:spPr>
          <a:xfrm xmlns:a="http://schemas.openxmlformats.org/drawingml/2006/main">
            <a:off x="592190" y="2794128"/>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8BD858C-1C21-4774-AB6D-C6B55DC3E2FC}"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3">
        <cdr:nvSpPr>
          <cdr:cNvPr id="186" name="ZoneTexte 1"/>
          <cdr:cNvSpPr txBox="1"/>
        </cdr:nvSpPr>
        <cdr:spPr>
          <a:xfrm xmlns:a="http://schemas.openxmlformats.org/drawingml/2006/main">
            <a:off x="592190" y="2095596"/>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829415A-18BD-45DB-B035-337DA7946F8E}"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21">
        <cdr:nvSpPr>
          <cdr:cNvPr id="187" name="ZoneTexte 1"/>
          <cdr:cNvSpPr txBox="1"/>
        </cdr:nvSpPr>
        <cdr:spPr>
          <a:xfrm xmlns:a="http://schemas.openxmlformats.org/drawingml/2006/main">
            <a:off x="592190" y="4889723"/>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4869FC-88F9-4A5A-B8D6-8E961D3B5061}"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20">
        <cdr:nvSpPr>
          <cdr:cNvPr id="188" name="ZoneTexte 1"/>
          <cdr:cNvSpPr txBox="1"/>
        </cdr:nvSpPr>
        <cdr:spPr>
          <a:xfrm xmlns:a="http://schemas.openxmlformats.org/drawingml/2006/main">
            <a:off x="592190" y="4540458"/>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870A9DD-1163-4073-B7CB-25747BA3EC3E}"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9">
        <cdr:nvSpPr>
          <cdr:cNvPr id="189" name="ZoneTexte 1"/>
          <cdr:cNvSpPr txBox="1"/>
        </cdr:nvSpPr>
        <cdr:spPr>
          <a:xfrm xmlns:a="http://schemas.openxmlformats.org/drawingml/2006/main">
            <a:off x="592190" y="4191192"/>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4EB4329-8EB1-4CCE-BD43-F900F0318ED0}" type="TxLink">
              <a:rPr lang="en-US" sz="1100" b="1" i="0" u="none" strike="noStrike">
                <a:solidFill>
                  <a:srgbClr val="000000"/>
                </a:solidFill>
                <a:latin typeface="Calibri"/>
                <a:cs typeface="Calibri"/>
              </a:rPr>
              <a:pPr algn="l"/>
              <a:t>0</a:t>
            </a:fld>
            <a:endParaRPr lang="fr-FR" sz="1100" b="1">
              <a:latin typeface="Calibri"/>
            </a:endParaRPr>
          </a:p>
        </cdr:txBody>
      </cdr:sp>
      <cdr:sp macro="" textlink="Calculs!$R$212">
        <cdr:nvSpPr>
          <cdr:cNvPr id="190" name="ZoneTexte 1"/>
          <cdr:cNvSpPr txBox="1"/>
        </cdr:nvSpPr>
        <cdr:spPr>
          <a:xfrm xmlns:a="http://schemas.openxmlformats.org/drawingml/2006/main">
            <a:off x="592190" y="1746330"/>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7E9F802-C819-488B-AB9B-5EC7B534B093}" type="TxLink">
              <a:rPr lang="en-US" sz="1100" b="1" i="0" u="none" strike="noStrike">
                <a:solidFill>
                  <a:srgbClr val="000000"/>
                </a:solidFill>
                <a:latin typeface="Calibri"/>
                <a:cs typeface="Calibri"/>
              </a:rPr>
              <a:pPr algn="l"/>
              <a:t>0</a:t>
            </a:fld>
            <a:endParaRPr lang="fr-FR" sz="1100" b="1">
              <a:latin typeface="Calibri"/>
            </a:endParaRPr>
          </a:p>
        </cdr:txBody>
      </cdr:sp>
    </cdr:grpSp>
  </cdr:relSizeAnchor>
  <cdr:relSizeAnchor xmlns:cdr="http://schemas.openxmlformats.org/drawingml/2006/chartDrawing">
    <cdr:from>
      <cdr:x>0.37212</cdr:x>
      <cdr:y>0.11109</cdr:y>
    </cdr:from>
    <cdr:to>
      <cdr:x>0.51848</cdr:x>
      <cdr:y>0.14248</cdr:y>
    </cdr:to>
    <cdr:sp macro="" textlink="'TRAD-visualiz'!$B$7">
      <cdr:nvSpPr>
        <cdr:cNvPr id="50" name="ZoneTexte 6"/>
        <cdr:cNvSpPr txBox="1"/>
      </cdr:nvSpPr>
      <cdr:spPr>
        <a:xfrm xmlns:a="http://schemas.openxmlformats.org/drawingml/2006/main">
          <a:off x="3782129" y="764318"/>
          <a:ext cx="1487564" cy="216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9440A85-4D93-45BF-A9B3-903C427BB447}" type="TxLink">
            <a:rPr lang="en-US" sz="1050" b="0" i="0" u="none" strike="noStrike">
              <a:solidFill>
                <a:srgbClr val="000000"/>
              </a:solidFill>
              <a:latin typeface="+mn-lt"/>
              <a:cs typeface="Calibri"/>
            </a:rPr>
            <a:pPr/>
            <a:t>Dates de péremption </a:t>
          </a:fld>
          <a:endParaRPr lang="fr-FR" sz="1050" i="1">
            <a:latin typeface="+mn-lt"/>
          </a:endParaRPr>
        </a:p>
      </cdr:txBody>
    </cdr:sp>
  </cdr:relSizeAnchor>
  <cdr:relSizeAnchor xmlns:cdr="http://schemas.openxmlformats.org/drawingml/2006/chartDrawing">
    <cdr:from>
      <cdr:x>0.57741</cdr:x>
      <cdr:y>0.11109</cdr:y>
    </cdr:from>
    <cdr:to>
      <cdr:x>0.89897</cdr:x>
      <cdr:y>0.14248</cdr:y>
    </cdr:to>
    <cdr:sp macro="" textlink="Calculs!$F$499">
      <cdr:nvSpPr>
        <cdr:cNvPr id="51" name="ZoneTexte 1"/>
        <cdr:cNvSpPr txBox="1"/>
      </cdr:nvSpPr>
      <cdr:spPr>
        <a:xfrm xmlns:a="http://schemas.openxmlformats.org/drawingml/2006/main">
          <a:off x="5868642" y="764318"/>
          <a:ext cx="3268251" cy="216000"/>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C83A982-24E2-444F-B9D2-99E18708FE3B}"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0.29548</cdr:x>
      <cdr:y>0</cdr:y>
    </cdr:from>
    <cdr:to>
      <cdr:x>0.66593</cdr:x>
      <cdr:y>0.0456</cdr:y>
    </cdr:to>
    <cdr:sp macro="" textlink="'TRAD-visualiz'!$B$14">
      <cdr:nvSpPr>
        <cdr:cNvPr id="2" name="ZoneTexte 1"/>
        <cdr:cNvSpPr txBox="1"/>
      </cdr:nvSpPr>
      <cdr:spPr>
        <a:xfrm xmlns:a="http://schemas.openxmlformats.org/drawingml/2006/main">
          <a:off x="3003182" y="-33618"/>
          <a:ext cx="3765156" cy="3137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B74C482-EED7-4E6A-BD91-FB0AA47FD151}" type="TxLink">
            <a:rPr lang="fr-FR" sz="1600" b="1" i="0" u="none" strike="noStrike">
              <a:solidFill>
                <a:srgbClr val="FF0000"/>
              </a:solidFill>
              <a:latin typeface="+mn-lt"/>
              <a:cs typeface="Arial" pitchFamily="34" charset="0"/>
            </a:rPr>
            <a:pPr/>
            <a:t> Comprimés - CDF</a:t>
          </a:fld>
          <a:endParaRPr lang="fr-FR" sz="1600" b="1">
            <a:solidFill>
              <a:srgbClr val="FF0000"/>
            </a:solidFill>
            <a:latin typeface="+mn-lt"/>
            <a:cs typeface="Arial" pitchFamily="34" charset="0"/>
          </a:endParaRPr>
        </a:p>
      </cdr:txBody>
    </cdr:sp>
  </cdr:relSizeAnchor>
  <cdr:relSizeAnchor xmlns:cdr="http://schemas.openxmlformats.org/drawingml/2006/chartDrawing">
    <cdr:from>
      <cdr:x>0.8524</cdr:x>
      <cdr:y>0.00413</cdr:y>
    </cdr:from>
    <cdr:to>
      <cdr:x>1</cdr:x>
      <cdr:y>0.10299</cdr:y>
    </cdr:to>
    <cdr:pic>
      <cdr:nvPicPr>
        <cdr:cNvPr id="53" name="Image 52"/>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28388"/>
          <a:ext cx="1500187" cy="680245"/>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absoluteAnchor>
    <xdr:pos x="0" y="0"/>
    <xdr:ext cx="10156031" cy="68818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0.0194</cdr:x>
      <cdr:y>0.07353</cdr:y>
    </cdr:from>
    <cdr:to>
      <cdr:x>0.24898</cdr:x>
      <cdr:y>0.11522</cdr:y>
    </cdr:to>
    <cdr:sp macro="" textlink="'TRAD-visualiz'!$B$4">
      <cdr:nvSpPr>
        <cdr:cNvPr id="7" name="ZoneTexte 6"/>
        <cdr:cNvSpPr txBox="1"/>
      </cdr:nvSpPr>
      <cdr:spPr>
        <a:xfrm xmlns:a="http://schemas.openxmlformats.org/drawingml/2006/main">
          <a:off x="196057" y="504269"/>
          <a:ext cx="2320141" cy="28591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DC96797C-5092-49C8-B57E-C027F9DB3AC7}"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0.0194</cdr:x>
      <cdr:y>0.04197</cdr:y>
    </cdr:from>
    <cdr:to>
      <cdr:x>0.2007</cdr:x>
      <cdr:y>0.08361</cdr:y>
    </cdr:to>
    <cdr:sp macro="" textlink="'TRAD-visualiz'!$B$3">
      <cdr:nvSpPr>
        <cdr:cNvPr id="9" name="ZoneTexte 1"/>
        <cdr:cNvSpPr txBox="1"/>
      </cdr:nvSpPr>
      <cdr:spPr>
        <a:xfrm xmlns:a="http://schemas.openxmlformats.org/drawingml/2006/main">
          <a:off x="196057" y="287830"/>
          <a:ext cx="1832222" cy="285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9ADD899-7079-47AC-A698-B1F157874475}"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0.17885</cdr:x>
      <cdr:y>0.04197</cdr:y>
    </cdr:from>
    <cdr:to>
      <cdr:x>0.32363</cdr:x>
      <cdr:y>0.08446</cdr:y>
    </cdr:to>
    <cdr:sp macro="" textlink="Paramétrage!$D$11">
      <cdr:nvSpPr>
        <cdr:cNvPr id="10" name="ZoneTexte 1"/>
        <cdr:cNvSpPr txBox="1"/>
      </cdr:nvSpPr>
      <cdr:spPr>
        <a:xfrm xmlns:a="http://schemas.openxmlformats.org/drawingml/2006/main">
          <a:off x="1817751" y="288771"/>
          <a:ext cx="1471506"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mn-lt"/>
              <a:cs typeface="Calibri"/>
            </a:rPr>
            <a:pPr/>
            <a:t>TEST</a:t>
          </a:fld>
          <a:endParaRPr lang="fr-FR" sz="1050" b="1" i="1">
            <a:latin typeface="+mn-lt"/>
          </a:endParaRPr>
        </a:p>
      </cdr:txBody>
    </cdr:sp>
  </cdr:relSizeAnchor>
  <cdr:relSizeAnchor xmlns:cdr="http://schemas.openxmlformats.org/drawingml/2006/chartDrawing">
    <cdr:from>
      <cdr:x>0.85824</cdr:x>
      <cdr:y>0.09151</cdr:y>
    </cdr:from>
    <cdr:to>
      <cdr:x>0.99684</cdr:x>
      <cdr:y>0.17157</cdr:y>
    </cdr:to>
    <cdr:sp macro="" textlink="'TRAD-visualiz'!$B$8">
      <cdr:nvSpPr>
        <cdr:cNvPr id="12" name="ZoneTexte 11"/>
        <cdr:cNvSpPr txBox="1"/>
      </cdr:nvSpPr>
      <cdr:spPr>
        <a:xfrm xmlns:a="http://schemas.openxmlformats.org/drawingml/2006/main">
          <a:off x="8673348" y="627546"/>
          <a:ext cx="1400695" cy="54905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4C374558-23A6-4091-B64F-0B77E6D45331}" type="TxLink">
            <a:rPr lang="en-US" sz="1050" b="0" i="0" u="none" strike="noStrike">
              <a:solidFill>
                <a:srgbClr val="000000"/>
              </a:solidFill>
              <a:latin typeface="+mn-lt"/>
              <a:cs typeface="Calibri"/>
            </a:rPr>
            <a:pPr algn="ctr"/>
            <a:t>Nb de patients concernés / mois</a:t>
          </a:fld>
          <a:endParaRPr lang="fr-FR" sz="105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50">
              <a:latin typeface="+mn-lt"/>
            </a:rPr>
            <a:pPr/>
            <a:t> </a:t>
          </a:fld>
          <a:endParaRPr lang="fr-FR" sz="1050">
            <a:latin typeface="+mn-lt"/>
          </a:endParaRPr>
        </a:p>
      </cdr:txBody>
    </cdr:sp>
  </cdr:relSizeAnchor>
  <cdr:relSizeAnchor xmlns:cdr="http://schemas.openxmlformats.org/drawingml/2006/chartDrawing">
    <cdr:from>
      <cdr:x>0.35395</cdr:x>
      <cdr:y>0.07082</cdr:y>
    </cdr:from>
    <cdr:to>
      <cdr:x>0.54356</cdr:x>
      <cdr:y>0.10745</cdr:y>
    </cdr:to>
    <cdr:sp macro="" textlink="'TRAD-visualiz'!$B$6">
      <cdr:nvSpPr>
        <cdr:cNvPr id="119" name="ZoneTexte 6"/>
        <cdr:cNvSpPr txBox="1"/>
      </cdr:nvSpPr>
      <cdr:spPr>
        <a:xfrm xmlns:a="http://schemas.openxmlformats.org/drawingml/2006/main">
          <a:off x="3597490" y="487271"/>
          <a:ext cx="1927146"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8FDA898F-709A-4E20-A983-A13E946ABC86}" type="TxLink">
            <a:rPr lang="en-US" sz="1050" b="0" i="0" u="none" strike="noStrike">
              <a:solidFill>
                <a:srgbClr val="000000"/>
              </a:solidFill>
              <a:latin typeface="+mn-lt"/>
              <a:cs typeface="Calibri"/>
            </a:rPr>
            <a:pPr/>
            <a:t>Nature des stocks considérés </a:t>
          </a:fld>
          <a:endParaRPr lang="fr-FR" sz="1050" i="1">
            <a:latin typeface="+mn-lt"/>
          </a:endParaRPr>
        </a:p>
      </cdr:txBody>
    </cdr:sp>
  </cdr:relSizeAnchor>
  <cdr:relSizeAnchor xmlns:cdr="http://schemas.openxmlformats.org/drawingml/2006/chartDrawing">
    <cdr:from>
      <cdr:x>0.20579</cdr:x>
      <cdr:y>0.07353</cdr:y>
    </cdr:from>
    <cdr:to>
      <cdr:x>0.35057</cdr:x>
      <cdr:y>0.11602</cdr:y>
    </cdr:to>
    <cdr:sp macro="" textlink="Paramétrage!$H$19">
      <cdr:nvSpPr>
        <cdr:cNvPr id="122" name="ZoneTexte 1"/>
        <cdr:cNvSpPr txBox="1"/>
      </cdr:nvSpPr>
      <cdr:spPr>
        <a:xfrm xmlns:a="http://schemas.openxmlformats.org/drawingml/2006/main">
          <a:off x="2091576" y="505917"/>
          <a:ext cx="1471505"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0.55868</cdr:x>
      <cdr:y>0.06919</cdr:y>
    </cdr:from>
    <cdr:to>
      <cdr:x>0.88024</cdr:x>
      <cdr:y>0.10582</cdr:y>
    </cdr:to>
    <cdr:sp macro="" textlink="'Calculs dispo Données FA'!$F$122">
      <cdr:nvSpPr>
        <cdr:cNvPr id="123" name="ZoneTexte 1"/>
        <cdr:cNvSpPr txBox="1"/>
      </cdr:nvSpPr>
      <cdr:spPr>
        <a:xfrm xmlns:a="http://schemas.openxmlformats.org/drawingml/2006/main">
          <a:off x="5678261" y="476065"/>
          <a:ext cx="3268251"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1F67E7D-304B-4BBF-8F8E-0F2ABA6D85A1}" type="TxLink">
            <a:rPr lang="fr-FR" sz="1050" b="1" i="1" u="none" strike="noStrike">
              <a:solidFill>
                <a:srgbClr val="C00000"/>
              </a:solidFill>
              <a:latin typeface="+mn-lt"/>
            </a:rPr>
            <a:pPr/>
            <a:t>Stocks centraux</a:t>
          </a:fld>
          <a:endParaRPr lang="fr-FR" sz="1050" b="1" i="1">
            <a:solidFill>
              <a:srgbClr val="C00000"/>
            </a:solidFill>
            <a:latin typeface="+mn-lt"/>
          </a:endParaRPr>
        </a:p>
      </cdr:txBody>
    </cdr:sp>
  </cdr:relSizeAnchor>
  <cdr:relSizeAnchor xmlns:cdr="http://schemas.openxmlformats.org/drawingml/2006/chartDrawing">
    <cdr:from>
      <cdr:x>0.35395</cdr:x>
      <cdr:y>0.0387</cdr:y>
    </cdr:from>
    <cdr:to>
      <cdr:x>0.59402</cdr:x>
      <cdr:y>0.07533</cdr:y>
    </cdr:to>
    <cdr:sp macro="" textlink="'TRAD-visualiz'!$B$5">
      <cdr:nvSpPr>
        <cdr:cNvPr id="101" name="ZoneTexte 6"/>
        <cdr:cNvSpPr txBox="1"/>
      </cdr:nvSpPr>
      <cdr:spPr>
        <a:xfrm xmlns:a="http://schemas.openxmlformats.org/drawingml/2006/main">
          <a:off x="3597490" y="266272"/>
          <a:ext cx="2440008"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662D067-121B-4DA8-8F22-EDCD300E8997}" type="TxLink">
            <a:rPr lang="en-US" sz="1050" b="0" i="0" u="none" strike="noStrike">
              <a:solidFill>
                <a:srgbClr val="000000"/>
              </a:solidFill>
              <a:latin typeface="+mn-lt"/>
              <a:cs typeface="Calibri"/>
            </a:rPr>
            <a:pPr/>
            <a:t>Méthode / type de données utilisées </a:t>
          </a:fld>
          <a:endParaRPr lang="fr-FR" sz="1050" i="1">
            <a:latin typeface="+mn-lt"/>
          </a:endParaRPr>
        </a:p>
      </cdr:txBody>
    </cdr:sp>
  </cdr:relSizeAnchor>
  <cdr:relSizeAnchor xmlns:cdr="http://schemas.openxmlformats.org/drawingml/2006/chartDrawing">
    <cdr:from>
      <cdr:x>0.55868</cdr:x>
      <cdr:y>0.03707</cdr:y>
    </cdr:from>
    <cdr:to>
      <cdr:x>0.76032</cdr:x>
      <cdr:y>0.0737</cdr:y>
    </cdr:to>
    <cdr:sp macro="" textlink="Calculs!$J$488">
      <cdr:nvSpPr>
        <cdr:cNvPr id="102" name="ZoneTexte 1"/>
        <cdr:cNvSpPr txBox="1"/>
      </cdr:nvSpPr>
      <cdr:spPr>
        <a:xfrm xmlns:a="http://schemas.openxmlformats.org/drawingml/2006/main">
          <a:off x="5678261" y="255066"/>
          <a:ext cx="2049415"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C4E3FE4D-174B-42AB-8F9D-158FA81DFB9B}" type="TxLink">
            <a:rPr lang="fr-FR" sz="1050" b="1" i="1" u="none" strike="noStrike">
              <a:solidFill>
                <a:srgbClr val="C00000"/>
              </a:solidFill>
              <a:latin typeface="+mn-lt"/>
            </a:rPr>
            <a:pPr/>
            <a:t>Données de consommation</a:t>
          </a:fld>
          <a:endParaRPr lang="fr-FR" sz="1050" b="1" i="1">
            <a:solidFill>
              <a:srgbClr val="C00000"/>
            </a:solidFill>
            <a:latin typeface="+mn-lt"/>
          </a:endParaRPr>
        </a:p>
      </cdr:txBody>
    </cdr:sp>
  </cdr:relSizeAnchor>
  <cdr:relSizeAnchor xmlns:cdr="http://schemas.openxmlformats.org/drawingml/2006/chartDrawing">
    <cdr:from>
      <cdr:x>0.55996</cdr:x>
      <cdr:y>0.97876</cdr:y>
    </cdr:from>
    <cdr:to>
      <cdr:x>0.57216</cdr:x>
      <cdr:y>0.99183</cdr:y>
    </cdr:to>
    <cdr:sp macro="" textlink="">
      <cdr:nvSpPr>
        <cdr:cNvPr id="103" name="Rectangle 102"/>
        <cdr:cNvSpPr/>
      </cdr:nvSpPr>
      <cdr:spPr>
        <a:xfrm xmlns:a="http://schemas.openxmlformats.org/drawingml/2006/main">
          <a:off x="5658970" y="6712324"/>
          <a:ext cx="123265" cy="89647"/>
        </a:xfrm>
        <a:prstGeom xmlns:a="http://schemas.openxmlformats.org/drawingml/2006/main" prst="rect">
          <a:avLst/>
        </a:prstGeom>
        <a:noFill xmlns:a="http://schemas.openxmlformats.org/drawingml/2006/main"/>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atin typeface="+mn-lt"/>
          </a:endParaRPr>
        </a:p>
      </cdr:txBody>
    </cdr:sp>
  </cdr:relSizeAnchor>
  <cdr:relSizeAnchor xmlns:cdr="http://schemas.openxmlformats.org/drawingml/2006/chartDrawing">
    <cdr:from>
      <cdr:x>0.57437</cdr:x>
      <cdr:y>0.96732</cdr:y>
    </cdr:from>
    <cdr:to>
      <cdr:x>0.8492</cdr:x>
      <cdr:y>1</cdr:y>
    </cdr:to>
    <cdr:sp macro="" textlink="'TRAD-visualiz'!$B$10">
      <cdr:nvSpPr>
        <cdr:cNvPr id="104" name="ZoneTexte 103"/>
        <cdr:cNvSpPr txBox="1"/>
      </cdr:nvSpPr>
      <cdr:spPr>
        <a:xfrm xmlns:a="http://schemas.openxmlformats.org/drawingml/2006/main">
          <a:off x="5804648" y="6645088"/>
          <a:ext cx="2777378" cy="224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C5276AA-F3B7-4963-80E1-B264318C90E5}" type="TxLink">
            <a:rPr lang="en-US" sz="1000" b="0" i="0" u="none" strike="noStrike">
              <a:solidFill>
                <a:srgbClr val="000000"/>
              </a:solidFill>
              <a:latin typeface="+mn-lt"/>
              <a:cs typeface="Calibri"/>
            </a:rPr>
            <a:pPr/>
            <a:t>Période pendant laquelle le ST a été utilisé </a:t>
          </a:fld>
          <a:endParaRPr lang="fr-FR" sz="1000">
            <a:latin typeface="+mn-lt"/>
          </a:endParaRPr>
        </a:p>
      </cdr:txBody>
    </cdr:sp>
  </cdr:relSizeAnchor>
  <cdr:relSizeAnchor xmlns:cdr="http://schemas.openxmlformats.org/drawingml/2006/chartDrawing">
    <cdr:from>
      <cdr:x>0.97466</cdr:x>
      <cdr:y>0.18137</cdr:y>
    </cdr:from>
    <cdr:to>
      <cdr:x>0.99889</cdr:x>
      <cdr:y>0.99836</cdr:y>
    </cdr:to>
    <cdr:sp macro="" textlink="Calculs!$D$496">
      <cdr:nvSpPr>
        <cdr:cNvPr id="99" name="ZoneTexte 1"/>
        <cdr:cNvSpPr txBox="1"/>
      </cdr:nvSpPr>
      <cdr:spPr>
        <a:xfrm xmlns:a="http://schemas.openxmlformats.org/drawingml/2006/main" rot="5400000">
          <a:off x="7170938" y="3922886"/>
          <a:ext cx="5602916" cy="244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87CB9EC-4656-4D7D-9EB9-363619E44C6C}" type="TxLink">
            <a:rPr lang="fr-FR" sz="900" b="0" i="1" u="none" strike="noStrike">
              <a:solidFill>
                <a:srgbClr val="FF0000"/>
              </a:solidFill>
              <a:latin typeface="+mn-lt"/>
            </a:rPr>
            <a:pPr/>
            <a:t>Attention, le nombre de patients mentionné ici est estimé à partir de la consommation.</a:t>
          </a:fld>
          <a:endParaRPr lang="fr-FR" sz="900" i="1">
            <a:solidFill>
              <a:srgbClr val="FF0000"/>
            </a:solidFill>
            <a:latin typeface="+mn-lt"/>
          </a:endParaRPr>
        </a:p>
      </cdr:txBody>
    </cdr:sp>
  </cdr:relSizeAnchor>
  <cdr:relSizeAnchor xmlns:cdr="http://schemas.openxmlformats.org/drawingml/2006/chartDrawing">
    <cdr:from>
      <cdr:x>0.8915</cdr:x>
      <cdr:y>0.19979</cdr:y>
    </cdr:from>
    <cdr:to>
      <cdr:x>0.95562</cdr:x>
      <cdr:y>0.93286</cdr:y>
    </cdr:to>
    <cdr:grpSp>
      <cdr:nvGrpSpPr>
        <cdr:cNvPr id="100" name="Groupe 99"/>
        <cdr:cNvGrpSpPr/>
      </cdr:nvGrpSpPr>
      <cdr:grpSpPr>
        <a:xfrm xmlns:a="http://schemas.openxmlformats.org/drawingml/2006/main">
          <a:off x="9054102" y="1374917"/>
          <a:ext cx="651204" cy="5044850"/>
          <a:chOff x="0" y="14222"/>
          <a:chExt cx="647998" cy="5027397"/>
        </a:xfrm>
      </cdr:grpSpPr>
      <cdr:sp macro="" textlink="Calculs!$Y$166">
        <cdr:nvSpPr>
          <cdr:cNvPr id="142" name="ZoneTexte 1"/>
          <cdr:cNvSpPr txBox="1"/>
        </cdr:nvSpPr>
        <cdr:spPr>
          <a:xfrm xmlns:a="http://schemas.openxmlformats.org/drawingml/2006/main">
            <a:off x="0" y="4545463"/>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23FEB6B-6180-4F92-B305-BC2DC3834E61}" type="TxLink">
              <a:rPr lang="en-US" sz="1050" b="1" i="0" u="none" strike="noStrike">
                <a:solidFill>
                  <a:srgbClr val="000000"/>
                </a:solidFill>
                <a:latin typeface="+mn-lt"/>
                <a:cs typeface="Calibri"/>
              </a:rPr>
              <a:pPr algn="l"/>
              <a:t>104</a:t>
            </a:fld>
            <a:endParaRPr lang="fr-FR" sz="1050" b="1">
              <a:latin typeface="+mn-lt"/>
            </a:endParaRPr>
          </a:p>
        </cdr:txBody>
      </cdr:sp>
      <cdr:sp macro="" textlink="Calculs!$Y$165">
        <cdr:nvSpPr>
          <cdr:cNvPr id="143" name="ZoneTexte 1"/>
          <cdr:cNvSpPr txBox="1"/>
        </cdr:nvSpPr>
        <cdr:spPr>
          <a:xfrm xmlns:a="http://schemas.openxmlformats.org/drawingml/2006/main">
            <a:off x="0" y="419690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DF86788-15D4-4ECC-A0AC-DF9A634D95B1}" type="TxLink">
              <a:rPr lang="en-US" sz="1050" b="1" i="0" u="none" strike="noStrike">
                <a:solidFill>
                  <a:srgbClr val="000000"/>
                </a:solidFill>
                <a:latin typeface="+mn-lt"/>
                <a:cs typeface="Calibri"/>
              </a:rPr>
              <a:pPr algn="l"/>
              <a:t>1484</a:t>
            </a:fld>
            <a:endParaRPr lang="fr-FR" sz="1050" b="1">
              <a:latin typeface="+mn-lt"/>
            </a:endParaRPr>
          </a:p>
        </cdr:txBody>
      </cdr:sp>
      <cdr:sp macro="" textlink="Calculs!$Y$164">
        <cdr:nvSpPr>
          <cdr:cNvPr id="144" name="ZoneTexte 1"/>
          <cdr:cNvSpPr txBox="1"/>
        </cdr:nvSpPr>
        <cdr:spPr>
          <a:xfrm xmlns:a="http://schemas.openxmlformats.org/drawingml/2006/main">
            <a:off x="0" y="3848349"/>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9E57753-9220-4EEE-838F-835D5522FD8D}" type="TxLink">
              <a:rPr lang="en-US" sz="1050" b="1" i="0" u="none" strike="noStrike">
                <a:solidFill>
                  <a:srgbClr val="000000"/>
                </a:solidFill>
                <a:latin typeface="+mn-lt"/>
                <a:cs typeface="Calibri"/>
              </a:rPr>
              <a:pPr algn="l"/>
              <a:t>0</a:t>
            </a:fld>
            <a:endParaRPr lang="fr-FR" sz="1050" b="1">
              <a:latin typeface="+mn-lt"/>
            </a:endParaRPr>
          </a:p>
        </cdr:txBody>
      </cdr:sp>
      <cdr:sp macro="" textlink="Calculs!$Y$163">
        <cdr:nvSpPr>
          <cdr:cNvPr id="145" name="ZoneTexte 1"/>
          <cdr:cNvSpPr txBox="1"/>
        </cdr:nvSpPr>
        <cdr:spPr>
          <a:xfrm xmlns:a="http://schemas.openxmlformats.org/drawingml/2006/main">
            <a:off x="0" y="349979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B18E1FD-51BB-437F-A78E-04946BB3D56D}" type="TxLink">
              <a:rPr lang="en-US" sz="1050" b="1" i="0" u="none" strike="noStrike">
                <a:solidFill>
                  <a:srgbClr val="000000"/>
                </a:solidFill>
                <a:latin typeface="+mn-lt"/>
                <a:cs typeface="Calibri"/>
              </a:rPr>
              <a:pPr algn="l"/>
              <a:t>0</a:t>
            </a:fld>
            <a:endParaRPr lang="fr-FR" sz="1050" b="1">
              <a:latin typeface="+mn-lt"/>
            </a:endParaRPr>
          </a:p>
        </cdr:txBody>
      </cdr:sp>
      <cdr:sp macro="" textlink="Calculs!$Y$167">
        <cdr:nvSpPr>
          <cdr:cNvPr id="146" name="ZoneTexte 1"/>
          <cdr:cNvSpPr txBox="1"/>
        </cdr:nvSpPr>
        <cdr:spPr>
          <a:xfrm xmlns:a="http://schemas.openxmlformats.org/drawingml/2006/main">
            <a:off x="0" y="489401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4513EFC-4A71-40B0-AEC4-A149871FE241}" type="TxLink">
              <a:rPr lang="en-US" sz="1050" b="1" i="0" u="none" strike="noStrike">
                <a:solidFill>
                  <a:srgbClr val="000000"/>
                </a:solidFill>
                <a:latin typeface="+mn-lt"/>
                <a:cs typeface="Calibri"/>
              </a:rPr>
              <a:pPr algn="l"/>
              <a:t>0</a:t>
            </a:fld>
            <a:endParaRPr lang="fr-FR" sz="1050" b="1">
              <a:latin typeface="+mn-lt"/>
            </a:endParaRPr>
          </a:p>
        </cdr:txBody>
      </cdr:sp>
      <cdr:sp macro="" textlink="Calculs!$Y$159">
        <cdr:nvSpPr>
          <cdr:cNvPr id="147" name="ZoneTexte 1"/>
          <cdr:cNvSpPr txBox="1"/>
        </cdr:nvSpPr>
        <cdr:spPr>
          <a:xfrm xmlns:a="http://schemas.openxmlformats.org/drawingml/2006/main">
            <a:off x="0" y="210556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798124E-8C85-4DF5-9E03-C776DA2695AD}" type="TxLink">
              <a:rPr lang="en-US" sz="1050" b="1" i="0" u="none" strike="noStrike">
                <a:solidFill>
                  <a:srgbClr val="000000"/>
                </a:solidFill>
                <a:latin typeface="+mn-lt"/>
                <a:cs typeface="Calibri"/>
              </a:rPr>
              <a:pPr algn="l"/>
              <a:t>22</a:t>
            </a:fld>
            <a:endParaRPr lang="fr-FR" sz="1050" b="1">
              <a:latin typeface="+mn-lt"/>
            </a:endParaRPr>
          </a:p>
        </cdr:txBody>
      </cdr:sp>
      <cdr:sp macro="" textlink="Calculs!$Y$153">
        <cdr:nvSpPr>
          <cdr:cNvPr id="148" name="ZoneTexte 8"/>
          <cdr:cNvSpPr txBox="1"/>
        </cdr:nvSpPr>
        <cdr:spPr>
          <a:xfrm xmlns:a="http://schemas.openxmlformats.org/drawingml/2006/main">
            <a:off x="0" y="1422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ECE4FBD3-CE95-4208-B2D4-CA361CFE0F18}" type="TxLink">
              <a:rPr lang="en-US" sz="1050" b="1" i="0" u="none" strike="noStrike">
                <a:solidFill>
                  <a:srgbClr val="000000"/>
                </a:solidFill>
                <a:latin typeface="+mn-lt"/>
                <a:cs typeface="Calibri"/>
              </a:rPr>
              <a:pPr marL="0" indent="0" algn="l"/>
              <a:t>6338</a:t>
            </a:fld>
            <a:endParaRPr lang="fr-FR" sz="1050" b="1">
              <a:latin typeface="+mn-lt"/>
            </a:endParaRPr>
          </a:p>
        </cdr:txBody>
      </cdr:sp>
      <cdr:sp macro="" textlink="Calculs!$Y$158">
        <cdr:nvSpPr>
          <cdr:cNvPr id="149" name="ZoneTexte 1"/>
          <cdr:cNvSpPr txBox="1"/>
        </cdr:nvSpPr>
        <cdr:spPr>
          <a:xfrm xmlns:a="http://schemas.openxmlformats.org/drawingml/2006/main">
            <a:off x="0" y="1757007"/>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B7CA049-2ED7-4DF8-BABC-90189797AAFD}" type="TxLink">
              <a:rPr lang="en-US" sz="1050" b="1" i="0" u="none" strike="noStrike">
                <a:solidFill>
                  <a:srgbClr val="000000"/>
                </a:solidFill>
                <a:latin typeface="+mn-lt"/>
                <a:cs typeface="Calibri"/>
              </a:rPr>
              <a:pPr algn="l"/>
              <a:t>56</a:t>
            </a:fld>
            <a:endParaRPr lang="fr-FR" sz="1050" b="1">
              <a:latin typeface="+mn-lt"/>
            </a:endParaRPr>
          </a:p>
        </cdr:txBody>
      </cdr:sp>
      <cdr:sp macro="" textlink="Calculs!$Y$156">
        <cdr:nvSpPr>
          <cdr:cNvPr id="150" name="ZoneTexte 1"/>
          <cdr:cNvSpPr txBox="1"/>
        </cdr:nvSpPr>
        <cdr:spPr>
          <a:xfrm xmlns:a="http://schemas.openxmlformats.org/drawingml/2006/main">
            <a:off x="0" y="1059893"/>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08640B7-2582-4085-8989-F0DAF6E2B595}" type="TxLink">
              <a:rPr lang="en-US" sz="1050" b="1" i="0" u="none" strike="noStrike">
                <a:solidFill>
                  <a:srgbClr val="000000"/>
                </a:solidFill>
                <a:latin typeface="+mn-lt"/>
                <a:cs typeface="Calibri"/>
              </a:rPr>
              <a:pPr algn="l"/>
              <a:t>1267</a:t>
            </a:fld>
            <a:endParaRPr lang="fr-FR" sz="1050" b="1">
              <a:latin typeface="+mn-lt"/>
            </a:endParaRPr>
          </a:p>
        </cdr:txBody>
      </cdr:sp>
      <cdr:sp macro="" textlink="Calculs!$Y$155">
        <cdr:nvSpPr>
          <cdr:cNvPr id="151" name="ZoneTexte 1"/>
          <cdr:cNvSpPr txBox="1"/>
        </cdr:nvSpPr>
        <cdr:spPr>
          <a:xfrm xmlns:a="http://schemas.openxmlformats.org/drawingml/2006/main">
            <a:off x="0" y="71133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7C8C013-054D-46DB-B1A6-FBDB90FE1DEB}" type="TxLink">
              <a:rPr lang="en-US" sz="1050" b="1" i="0" u="none" strike="noStrike">
                <a:solidFill>
                  <a:srgbClr val="000000"/>
                </a:solidFill>
                <a:latin typeface="+mn-lt"/>
                <a:cs typeface="Calibri"/>
              </a:rPr>
              <a:pPr algn="l"/>
              <a:t>27</a:t>
            </a:fld>
            <a:endParaRPr lang="fr-FR" sz="1050" b="1">
              <a:latin typeface="+mn-lt"/>
            </a:endParaRPr>
          </a:p>
        </cdr:txBody>
      </cdr:sp>
      <cdr:sp macro="" textlink="Calculs!$Y$154">
        <cdr:nvSpPr>
          <cdr:cNvPr id="152" name="ZoneTexte 1"/>
          <cdr:cNvSpPr txBox="1"/>
        </cdr:nvSpPr>
        <cdr:spPr>
          <a:xfrm xmlns:a="http://schemas.openxmlformats.org/drawingml/2006/main">
            <a:off x="0" y="362779"/>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7FA2650-56C4-467A-AC1D-2DF5A86E2F37}" type="TxLink">
              <a:rPr lang="en-US" sz="1050" b="1" i="0" u="none" strike="noStrike">
                <a:solidFill>
                  <a:srgbClr val="000000"/>
                </a:solidFill>
                <a:latin typeface="+mn-lt"/>
                <a:cs typeface="Calibri"/>
              </a:rPr>
              <a:pPr algn="l"/>
              <a:t>546</a:t>
            </a:fld>
            <a:endParaRPr lang="fr-FR" sz="1050" b="1">
              <a:latin typeface="+mn-lt"/>
            </a:endParaRPr>
          </a:p>
        </cdr:txBody>
      </cdr:sp>
      <cdr:sp macro="" textlink="Calculs!$Y$157">
        <cdr:nvSpPr>
          <cdr:cNvPr id="153" name="ZoneTexte 1"/>
          <cdr:cNvSpPr txBox="1"/>
        </cdr:nvSpPr>
        <cdr:spPr>
          <a:xfrm xmlns:a="http://schemas.openxmlformats.org/drawingml/2006/main">
            <a:off x="0" y="140845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56DCB0E-DD88-4EC0-8D54-BA1AA631D614}" type="TxLink">
              <a:rPr lang="en-US" sz="1050" b="1" i="0" u="none" strike="noStrike">
                <a:solidFill>
                  <a:srgbClr val="000000"/>
                </a:solidFill>
                <a:latin typeface="+mn-lt"/>
                <a:cs typeface="Calibri"/>
              </a:rPr>
              <a:pPr algn="l"/>
              <a:t>146</a:t>
            </a:fld>
            <a:endParaRPr lang="fr-FR" sz="1050" b="1">
              <a:latin typeface="+mn-lt"/>
            </a:endParaRPr>
          </a:p>
        </cdr:txBody>
      </cdr:sp>
      <cdr:sp macro="" textlink="Calculs!$Y$160">
        <cdr:nvSpPr>
          <cdr:cNvPr id="154" name="ZoneTexte 1"/>
          <cdr:cNvSpPr txBox="1"/>
        </cdr:nvSpPr>
        <cdr:spPr>
          <a:xfrm xmlns:a="http://schemas.openxmlformats.org/drawingml/2006/main">
            <a:off x="0" y="2454121"/>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9C5AB723-44DB-486B-B3CA-73B7CD398054}" type="TxLink">
              <a:rPr lang="en-US" sz="1050" b="1" i="0" u="none" strike="noStrike">
                <a:solidFill>
                  <a:srgbClr val="000000"/>
                </a:solidFill>
                <a:latin typeface="+mn-lt"/>
                <a:cs typeface="Calibri"/>
              </a:rPr>
              <a:pPr marL="0" indent="0" algn="l"/>
              <a:t>0</a:t>
            </a:fld>
            <a:endParaRPr lang="fr-FR" sz="1050" b="1">
              <a:latin typeface="+mn-lt"/>
            </a:endParaRPr>
          </a:p>
        </cdr:txBody>
      </cdr:sp>
      <cdr:sp macro="" textlink="Calculs!$Y$161">
        <cdr:nvSpPr>
          <cdr:cNvPr id="156" name="ZoneTexte 1"/>
          <cdr:cNvSpPr txBox="1"/>
        </cdr:nvSpPr>
        <cdr:spPr>
          <a:xfrm xmlns:a="http://schemas.openxmlformats.org/drawingml/2006/main">
            <a:off x="0" y="280267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CF5D05A3-002C-4455-8DC7-0FE6EEC1D840}" type="TxLink">
              <a:rPr lang="en-US" sz="1050" b="1" i="0" u="none" strike="noStrike">
                <a:solidFill>
                  <a:srgbClr val="000000"/>
                </a:solidFill>
                <a:latin typeface="+mn-lt"/>
                <a:cs typeface="Calibri"/>
              </a:rPr>
              <a:pPr marL="0" indent="0" algn="l"/>
              <a:t>100</a:t>
            </a:fld>
            <a:endParaRPr lang="fr-FR" sz="1050" b="1">
              <a:latin typeface="+mn-lt"/>
            </a:endParaRPr>
          </a:p>
        </cdr:txBody>
      </cdr:sp>
      <cdr:sp macro="" textlink="Calculs!$Y$162">
        <cdr:nvSpPr>
          <cdr:cNvPr id="157" name="ZoneTexte 1"/>
          <cdr:cNvSpPr txBox="1"/>
        </cdr:nvSpPr>
        <cdr:spPr>
          <a:xfrm xmlns:a="http://schemas.openxmlformats.org/drawingml/2006/main">
            <a:off x="0" y="3151235"/>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ECD84334-50A5-441B-8C65-0FCD5B9F0233}" type="TxLink">
              <a:rPr lang="en-US" sz="1050" b="1" i="0" u="none" strike="noStrike">
                <a:solidFill>
                  <a:srgbClr val="000000"/>
                </a:solidFill>
                <a:latin typeface="+mn-lt"/>
                <a:cs typeface="Calibri"/>
              </a:rPr>
              <a:pPr marL="0" indent="0" algn="l"/>
              <a:t>45</a:t>
            </a:fld>
            <a:endParaRPr lang="fr-FR" sz="1050" b="1">
              <a:latin typeface="+mn-lt"/>
            </a:endParaRPr>
          </a:p>
        </cdr:txBody>
      </cdr:sp>
    </cdr:grpSp>
  </cdr:relSizeAnchor>
  <cdr:relSizeAnchor xmlns:cdr="http://schemas.openxmlformats.org/drawingml/2006/chartDrawing">
    <cdr:from>
      <cdr:x>0.94656</cdr:x>
      <cdr:y>0.19771</cdr:y>
    </cdr:from>
    <cdr:to>
      <cdr:x>1</cdr:x>
      <cdr:y>0.93223</cdr:y>
    </cdr:to>
    <cdr:grpSp>
      <cdr:nvGrpSpPr>
        <cdr:cNvPr id="105" name="Groupe 104"/>
        <cdr:cNvGrpSpPr/>
      </cdr:nvGrpSpPr>
      <cdr:grpSpPr>
        <a:xfrm xmlns:a="http://schemas.openxmlformats.org/drawingml/2006/main">
          <a:off x="9613293" y="1360603"/>
          <a:ext cx="542738" cy="5054829"/>
          <a:chOff x="592190" y="0"/>
          <a:chExt cx="555569" cy="5037323"/>
        </a:xfrm>
      </cdr:grpSpPr>
      <cdr:sp macro="" textlink="Calculs!$Y$207">
        <cdr:nvSpPr>
          <cdr:cNvPr id="106" name="ZoneTexte 18"/>
          <cdr:cNvSpPr txBox="1"/>
        </cdr:nvSpPr>
        <cdr:spPr>
          <a:xfrm xmlns:a="http://schemas.openxmlformats.org/drawingml/2006/main">
            <a:off x="592190" y="0"/>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D57B28E-B6F2-49FD-8036-92C3C487FC35}"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4">
        <cdr:nvSpPr>
          <cdr:cNvPr id="107" name="ZoneTexte 1"/>
          <cdr:cNvSpPr txBox="1"/>
        </cdr:nvSpPr>
        <cdr:spPr>
          <a:xfrm xmlns:a="http://schemas.openxmlformats.org/drawingml/2006/main">
            <a:off x="592190" y="2444862"/>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2E6E761-3670-4721-B44B-331B1A27FDD0}"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0">
        <cdr:nvSpPr>
          <cdr:cNvPr id="108" name="ZoneTexte 1"/>
          <cdr:cNvSpPr txBox="1"/>
        </cdr:nvSpPr>
        <cdr:spPr>
          <a:xfrm xmlns:a="http://schemas.openxmlformats.org/drawingml/2006/main">
            <a:off x="592190" y="1047798"/>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86B67CC-3DA0-454D-951D-11ED4FD3747D}"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09">
        <cdr:nvSpPr>
          <cdr:cNvPr id="109" name="ZoneTexte 1"/>
          <cdr:cNvSpPr txBox="1"/>
        </cdr:nvSpPr>
        <cdr:spPr>
          <a:xfrm xmlns:a="http://schemas.openxmlformats.org/drawingml/2006/main">
            <a:off x="592190" y="698532"/>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15884D9-BDB7-41FC-9A9B-6B99D8D7D52F}"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08">
        <cdr:nvSpPr>
          <cdr:cNvPr id="110" name="ZoneTexte 1"/>
          <cdr:cNvSpPr txBox="1"/>
        </cdr:nvSpPr>
        <cdr:spPr>
          <a:xfrm xmlns:a="http://schemas.openxmlformats.org/drawingml/2006/main">
            <a:off x="592190" y="349266"/>
            <a:ext cx="555569"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AC29A8A-17A7-4671-96E7-03D6FEAC7F73}"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1">
        <cdr:nvSpPr>
          <cdr:cNvPr id="111" name="ZoneTexte 1"/>
          <cdr:cNvSpPr txBox="1"/>
        </cdr:nvSpPr>
        <cdr:spPr>
          <a:xfrm xmlns:a="http://schemas.openxmlformats.org/drawingml/2006/main">
            <a:off x="592190" y="1397064"/>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E41945F-461D-445A-9D6B-66A907A757D1}"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8">
        <cdr:nvSpPr>
          <cdr:cNvPr id="112" name="ZoneTexte 1"/>
          <cdr:cNvSpPr txBox="1"/>
        </cdr:nvSpPr>
        <cdr:spPr>
          <a:xfrm xmlns:a="http://schemas.openxmlformats.org/drawingml/2006/main">
            <a:off x="592190" y="3841926"/>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9E32595-E796-4F4C-9568-251EB027DA57}"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7">
        <cdr:nvSpPr>
          <cdr:cNvPr id="113" name="ZoneTexte 1"/>
          <cdr:cNvSpPr txBox="1"/>
        </cdr:nvSpPr>
        <cdr:spPr>
          <a:xfrm xmlns:a="http://schemas.openxmlformats.org/drawingml/2006/main">
            <a:off x="592190" y="3492660"/>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C036BD4-77E9-408F-80F7-EF1E65954946}"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6">
        <cdr:nvSpPr>
          <cdr:cNvPr id="114" name="ZoneTexte 1"/>
          <cdr:cNvSpPr txBox="1"/>
        </cdr:nvSpPr>
        <cdr:spPr>
          <a:xfrm xmlns:a="http://schemas.openxmlformats.org/drawingml/2006/main">
            <a:off x="592190" y="3143394"/>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A098F7C-D5FF-4C11-8C7E-B9AA97F6CA78}"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5">
        <cdr:nvSpPr>
          <cdr:cNvPr id="115" name="ZoneTexte 1"/>
          <cdr:cNvSpPr txBox="1"/>
        </cdr:nvSpPr>
        <cdr:spPr>
          <a:xfrm xmlns:a="http://schemas.openxmlformats.org/drawingml/2006/main">
            <a:off x="592190" y="2794128"/>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E655671-B8A0-4F2C-82F5-090F49DFE0D6}"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3">
        <cdr:nvSpPr>
          <cdr:cNvPr id="116" name="ZoneTexte 1"/>
          <cdr:cNvSpPr txBox="1"/>
        </cdr:nvSpPr>
        <cdr:spPr>
          <a:xfrm xmlns:a="http://schemas.openxmlformats.org/drawingml/2006/main">
            <a:off x="592190" y="2095596"/>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0CC0B47-623B-4AAC-BBDC-CA082D81012A}"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1">
        <cdr:nvSpPr>
          <cdr:cNvPr id="132" name="ZoneTexte 1"/>
          <cdr:cNvSpPr txBox="1"/>
        </cdr:nvSpPr>
        <cdr:spPr>
          <a:xfrm xmlns:a="http://schemas.openxmlformats.org/drawingml/2006/main">
            <a:off x="592190" y="4889723"/>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50428AE-5AF4-4D2C-AB2C-4711A6007261}"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0">
        <cdr:nvSpPr>
          <cdr:cNvPr id="139" name="ZoneTexte 1"/>
          <cdr:cNvSpPr txBox="1"/>
        </cdr:nvSpPr>
        <cdr:spPr>
          <a:xfrm xmlns:a="http://schemas.openxmlformats.org/drawingml/2006/main">
            <a:off x="592190" y="4540458"/>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D49E6AE-57AB-45F3-8E5D-EC3040FFC76D}"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9">
        <cdr:nvSpPr>
          <cdr:cNvPr id="140" name="ZoneTexte 1"/>
          <cdr:cNvSpPr txBox="1"/>
        </cdr:nvSpPr>
        <cdr:spPr>
          <a:xfrm xmlns:a="http://schemas.openxmlformats.org/drawingml/2006/main">
            <a:off x="592190" y="4191192"/>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4014621-EB55-4652-811E-142CC582656B}"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12">
        <cdr:nvSpPr>
          <cdr:cNvPr id="141" name="ZoneTexte 1"/>
          <cdr:cNvSpPr txBox="1"/>
        </cdr:nvSpPr>
        <cdr:spPr>
          <a:xfrm xmlns:a="http://schemas.openxmlformats.org/drawingml/2006/main">
            <a:off x="592190" y="1746330"/>
            <a:ext cx="555569"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A5E6361-FF5B-4BF1-9CCC-CD1A6C0BE227}" type="TxLink">
              <a:rPr lang="en-US" sz="1050" b="1" i="0" u="none" strike="noStrike">
                <a:solidFill>
                  <a:srgbClr val="000000"/>
                </a:solidFill>
                <a:latin typeface="+mn-lt"/>
                <a:cs typeface="Calibri"/>
              </a:rPr>
              <a:pPr algn="l"/>
              <a:t>ND</a:t>
            </a:fld>
            <a:endParaRPr lang="fr-FR" sz="1050" b="1">
              <a:latin typeface="+mn-lt"/>
            </a:endParaRPr>
          </a:p>
        </cdr:txBody>
      </cdr:sp>
    </cdr:grpSp>
  </cdr:relSizeAnchor>
  <cdr:relSizeAnchor xmlns:cdr="http://schemas.openxmlformats.org/drawingml/2006/chartDrawing">
    <cdr:from>
      <cdr:x>0.35395</cdr:x>
      <cdr:y>0.10294</cdr:y>
    </cdr:from>
    <cdr:to>
      <cdr:x>0.50032</cdr:x>
      <cdr:y>0.13957</cdr:y>
    </cdr:to>
    <cdr:sp macro="" textlink="'TRAD-visualiz'!$B$7">
      <cdr:nvSpPr>
        <cdr:cNvPr id="50" name="ZoneTexte 6"/>
        <cdr:cNvSpPr txBox="1"/>
      </cdr:nvSpPr>
      <cdr:spPr>
        <a:xfrm xmlns:a="http://schemas.openxmlformats.org/drawingml/2006/main">
          <a:off x="3597490" y="708270"/>
          <a:ext cx="1487666"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04CB069-5638-4835-8C8D-5794ECCECC61}" type="TxLink">
            <a:rPr lang="en-US" sz="1050" b="0" i="0" u="none" strike="noStrike">
              <a:solidFill>
                <a:srgbClr val="000000"/>
              </a:solidFill>
              <a:latin typeface="+mn-lt"/>
              <a:cs typeface="Calibri"/>
            </a:rPr>
            <a:pPr/>
            <a:t>Dates de péremption </a:t>
          </a:fld>
          <a:endParaRPr lang="fr-FR" sz="1050" i="1">
            <a:latin typeface="+mn-lt"/>
          </a:endParaRPr>
        </a:p>
      </cdr:txBody>
    </cdr:sp>
  </cdr:relSizeAnchor>
  <cdr:relSizeAnchor xmlns:cdr="http://schemas.openxmlformats.org/drawingml/2006/chartDrawing">
    <cdr:from>
      <cdr:x>0.55868</cdr:x>
      <cdr:y>0.10131</cdr:y>
    </cdr:from>
    <cdr:to>
      <cdr:x>0.88024</cdr:x>
      <cdr:y>0.13794</cdr:y>
    </cdr:to>
    <cdr:sp macro="" textlink="Calculs!$F$499">
      <cdr:nvSpPr>
        <cdr:cNvPr id="51" name="ZoneTexte 1"/>
        <cdr:cNvSpPr txBox="1"/>
      </cdr:nvSpPr>
      <cdr:spPr>
        <a:xfrm xmlns:a="http://schemas.openxmlformats.org/drawingml/2006/main">
          <a:off x="5678261" y="697064"/>
          <a:ext cx="3268251"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917AE06-EA2E-473C-A08B-658F85D8EF9F}"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0.30691</cdr:x>
      <cdr:y>0</cdr:y>
    </cdr:from>
    <cdr:to>
      <cdr:x>0.4763</cdr:x>
      <cdr:y>0.04072</cdr:y>
    </cdr:to>
    <cdr:sp macro="" textlink="'TRAD-visualiz'!$B$14">
      <cdr:nvSpPr>
        <cdr:cNvPr id="52" name="ZoneTexte 51"/>
        <cdr:cNvSpPr txBox="1"/>
      </cdr:nvSpPr>
      <cdr:spPr>
        <a:xfrm xmlns:a="http://schemas.openxmlformats.org/drawingml/2006/main">
          <a:off x="3119390" y="0"/>
          <a:ext cx="1721551" cy="2801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2E5EEB36-F5C6-4DBE-841C-4606C3ED3A88}" type="TxLink">
            <a:rPr lang="en-US" sz="1600" b="1" i="0" u="none" strike="noStrike">
              <a:solidFill>
                <a:srgbClr val="FF0000"/>
              </a:solidFill>
              <a:latin typeface="+mn-lt"/>
              <a:cs typeface="Calibri"/>
            </a:rPr>
            <a:pPr/>
            <a:t> Comprimés - CDF</a:t>
          </a:fld>
          <a:endParaRPr lang="fr-FR" sz="1600" b="1">
            <a:solidFill>
              <a:srgbClr val="FF0000"/>
            </a:solidFill>
            <a:latin typeface="+mn-lt"/>
          </a:endParaRPr>
        </a:p>
      </cdr:txBody>
    </cdr:sp>
  </cdr:relSizeAnchor>
  <cdr:relSizeAnchor xmlns:cdr="http://schemas.openxmlformats.org/drawingml/2006/chartDrawing">
    <cdr:from>
      <cdr:x>0.85229</cdr:x>
      <cdr:y>0.00219</cdr:y>
    </cdr:from>
    <cdr:to>
      <cdr:x>1</cdr:x>
      <cdr:y>0.10104</cdr:y>
    </cdr:to>
    <cdr:pic>
      <cdr:nvPicPr>
        <cdr:cNvPr id="53" name="Image 52"/>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55844" y="15081"/>
          <a:ext cx="1500187" cy="680245"/>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absoluteAnchor>
    <xdr:pos x="0" y="0"/>
    <xdr:ext cx="10106025" cy="68580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0.0194</cdr:x>
      <cdr:y>0.07026</cdr:y>
    </cdr:from>
    <cdr:to>
      <cdr:x>0.24898</cdr:x>
      <cdr:y>0.11195</cdr:y>
    </cdr:to>
    <cdr:sp macro="" textlink="'TRAD-visualiz'!$B$4">
      <cdr:nvSpPr>
        <cdr:cNvPr id="7" name="ZoneTexte 6"/>
        <cdr:cNvSpPr txBox="1"/>
      </cdr:nvSpPr>
      <cdr:spPr>
        <a:xfrm xmlns:a="http://schemas.openxmlformats.org/drawingml/2006/main">
          <a:off x="196057" y="481833"/>
          <a:ext cx="2320141" cy="28591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C30CAAD8-DA25-4CC7-A9A9-0B52C340559F}"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0.0194</cdr:x>
      <cdr:y>0.03948</cdr:y>
    </cdr:from>
    <cdr:to>
      <cdr:x>0.19072</cdr:x>
      <cdr:y>0.08112</cdr:y>
    </cdr:to>
    <cdr:sp macro="" textlink="'TRAD-visualiz'!$B$3">
      <cdr:nvSpPr>
        <cdr:cNvPr id="9" name="ZoneTexte 1"/>
        <cdr:cNvSpPr txBox="1"/>
      </cdr:nvSpPr>
      <cdr:spPr>
        <a:xfrm xmlns:a="http://schemas.openxmlformats.org/drawingml/2006/main">
          <a:off x="196056" y="270754"/>
          <a:ext cx="1731355" cy="285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B2AAEC7A-8D81-4A44-9EA1-FAE7D8248B46}"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0.18739</cdr:x>
      <cdr:y>0.04111</cdr:y>
    </cdr:from>
    <cdr:to>
      <cdr:x>0.32627</cdr:x>
      <cdr:y>0.0836</cdr:y>
    </cdr:to>
    <cdr:sp macro="" textlink="Paramétrage!$D$11">
      <cdr:nvSpPr>
        <cdr:cNvPr id="10" name="ZoneTexte 1"/>
        <cdr:cNvSpPr txBox="1"/>
      </cdr:nvSpPr>
      <cdr:spPr>
        <a:xfrm xmlns:a="http://schemas.openxmlformats.org/drawingml/2006/main">
          <a:off x="1893794" y="281960"/>
          <a:ext cx="1403507"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0.86378</cdr:x>
      <cdr:y>0.08171</cdr:y>
    </cdr:from>
    <cdr:to>
      <cdr:x>0.99684</cdr:x>
      <cdr:y>0.16177</cdr:y>
    </cdr:to>
    <cdr:sp macro="" textlink="'TRAD-visualiz'!$B$8">
      <cdr:nvSpPr>
        <cdr:cNvPr id="12" name="ZoneTexte 11"/>
        <cdr:cNvSpPr txBox="1"/>
      </cdr:nvSpPr>
      <cdr:spPr>
        <a:xfrm xmlns:a="http://schemas.openxmlformats.org/drawingml/2006/main">
          <a:off x="8729382" y="560341"/>
          <a:ext cx="1344708"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F30D8D38-07BA-4E78-9A11-E16E258D4E9E}"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0.87347</cdr:x>
      <cdr:y>0.00337</cdr:y>
    </cdr:from>
    <cdr:to>
      <cdr:x>0.99579</cdr:x>
      <cdr:y>0.08987</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827341" y="23112"/>
          <a:ext cx="1236169" cy="593217"/>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0.43023</cdr:x>
      <cdr:y>0.07026</cdr:y>
    </cdr:from>
    <cdr:to>
      <cdr:x>0.61984</cdr:x>
      <cdr:y>0.11195</cdr:y>
    </cdr:to>
    <cdr:sp macro="" textlink="'TRAD-visualiz'!$B$6">
      <cdr:nvSpPr>
        <cdr:cNvPr id="119" name="ZoneTexte 6"/>
        <cdr:cNvSpPr txBox="1"/>
      </cdr:nvSpPr>
      <cdr:spPr>
        <a:xfrm xmlns:a="http://schemas.openxmlformats.org/drawingml/2006/main">
          <a:off x="4347882" y="481833"/>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C41C18C-B06D-43D6-9666-9EE7F2F861C3}"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0.21844</cdr:x>
      <cdr:y>0.07026</cdr:y>
    </cdr:from>
    <cdr:to>
      <cdr:x>0.36322</cdr:x>
      <cdr:y>0.11275</cdr:y>
    </cdr:to>
    <cdr:sp macro="" textlink="Paramétrage!$H$19">
      <cdr:nvSpPr>
        <cdr:cNvPr id="122" name="ZoneTexte 1"/>
        <cdr:cNvSpPr txBox="1"/>
      </cdr:nvSpPr>
      <cdr:spPr>
        <a:xfrm xmlns:a="http://schemas.openxmlformats.org/drawingml/2006/main">
          <a:off x="2207595" y="481833"/>
          <a:ext cx="1463150"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0.60875</cdr:x>
      <cdr:y>0.07026</cdr:y>
    </cdr:from>
    <cdr:to>
      <cdr:x>0.93031</cdr:x>
      <cdr:y>0.11275</cdr:y>
    </cdr:to>
    <cdr:sp macro="" textlink="'Calculs dispo Données FA'!$F$122">
      <cdr:nvSpPr>
        <cdr:cNvPr id="123" name="ZoneTexte 1"/>
        <cdr:cNvSpPr txBox="1"/>
      </cdr:nvSpPr>
      <cdr:spPr>
        <a:xfrm xmlns:a="http://schemas.openxmlformats.org/drawingml/2006/main">
          <a:off x="6152079" y="481833"/>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1F67E7D-304B-4BBF-8F8E-0F2ABA6D85A1}" type="TxLink">
            <a:rPr lang="fr-FR" sz="1100" b="1" i="1" u="none" strike="noStrike">
              <a:solidFill>
                <a:srgbClr val="C00000"/>
              </a:solidFill>
              <a:latin typeface="Arialri"/>
            </a:rPr>
            <a:pPr/>
            <a:t>Stocks centraux</a:t>
          </a:fld>
          <a:endParaRPr lang="fr-FR" sz="1100" b="1" i="1">
            <a:solidFill>
              <a:srgbClr val="C00000"/>
            </a:solidFill>
          </a:endParaRPr>
        </a:p>
      </cdr:txBody>
    </cdr:sp>
  </cdr:relSizeAnchor>
  <cdr:relSizeAnchor xmlns:cdr="http://schemas.openxmlformats.org/drawingml/2006/chartDrawing">
    <cdr:from>
      <cdr:x>0.43023</cdr:x>
      <cdr:y>0.03922</cdr:y>
    </cdr:from>
    <cdr:to>
      <cdr:x>0.67029</cdr:x>
      <cdr:y>0.08091</cdr:y>
    </cdr:to>
    <cdr:sp macro="" textlink="'TRAD-visualiz'!$B$5">
      <cdr:nvSpPr>
        <cdr:cNvPr id="100" name="ZoneTexte 6"/>
        <cdr:cNvSpPr txBox="1"/>
      </cdr:nvSpPr>
      <cdr:spPr>
        <a:xfrm xmlns:a="http://schemas.openxmlformats.org/drawingml/2006/main">
          <a:off x="4347882" y="268941"/>
          <a:ext cx="2426119"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C860C6F3-7672-4258-AC0F-33D9FA8E610F}"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0.64978</cdr:x>
      <cdr:y>0.03922</cdr:y>
    </cdr:from>
    <cdr:to>
      <cdr:x>0.87709</cdr:x>
      <cdr:y>0.08171</cdr:y>
    </cdr:to>
    <cdr:sp macro="" textlink="Calculs!$J$488">
      <cdr:nvSpPr>
        <cdr:cNvPr id="101" name="ZoneTexte 1"/>
        <cdr:cNvSpPr txBox="1"/>
      </cdr:nvSpPr>
      <cdr:spPr>
        <a:xfrm xmlns:a="http://schemas.openxmlformats.org/drawingml/2006/main">
          <a:off x="6566647" y="268941"/>
          <a:ext cx="2297206"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BFC03409-4260-4D42-B497-57DB69DB2F45}" type="TxLink">
            <a:rPr lang="fr-FR" sz="1100" b="1" i="1" u="none" strike="noStrike">
              <a:solidFill>
                <a:srgbClr val="C00000"/>
              </a:solidFill>
              <a:latin typeface="Arialri"/>
            </a:rPr>
            <a:pPr/>
            <a:t>Données de consommation</a:t>
          </a:fld>
          <a:endParaRPr lang="fr-FR" sz="1100" b="1" i="1">
            <a:solidFill>
              <a:srgbClr val="C00000"/>
            </a:solidFill>
          </a:endParaRPr>
        </a:p>
      </cdr:txBody>
    </cdr:sp>
  </cdr:relSizeAnchor>
  <cdr:relSizeAnchor xmlns:cdr="http://schemas.openxmlformats.org/drawingml/2006/chartDrawing">
    <cdr:from>
      <cdr:x>0.60099</cdr:x>
      <cdr:y>0.98039</cdr:y>
    </cdr:from>
    <cdr:to>
      <cdr:x>0.61319</cdr:x>
      <cdr:y>0.99346</cdr:y>
    </cdr:to>
    <cdr:sp macro="" textlink="">
      <cdr:nvSpPr>
        <cdr:cNvPr id="102" name="Rectangle 101"/>
        <cdr:cNvSpPr/>
      </cdr:nvSpPr>
      <cdr:spPr>
        <a:xfrm xmlns:a="http://schemas.openxmlformats.org/drawingml/2006/main">
          <a:off x="6073574" y="6723542"/>
          <a:ext cx="123293" cy="89634"/>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0.61873</cdr:x>
      <cdr:y>0.96732</cdr:y>
    </cdr:from>
    <cdr:to>
      <cdr:x>0.89355</cdr:x>
      <cdr:y>1</cdr:y>
    </cdr:to>
    <cdr:sp macro="" textlink="'TRAD-visualiz'!$B$10">
      <cdr:nvSpPr>
        <cdr:cNvPr id="103" name="ZoneTexte 2"/>
        <cdr:cNvSpPr txBox="1"/>
      </cdr:nvSpPr>
      <cdr:spPr>
        <a:xfrm xmlns:a="http://schemas.openxmlformats.org/drawingml/2006/main">
          <a:off x="6252901" y="6633882"/>
          <a:ext cx="2777338" cy="224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33153B25-C7DB-4AD6-8B46-E03C1FC99907}" type="TxLink">
            <a:rPr lang="en-US" sz="1000" b="0" i="0" u="none" strike="noStrike">
              <a:solidFill>
                <a:srgbClr val="000000"/>
              </a:solidFill>
              <a:latin typeface="Arialri"/>
              <a:cs typeface="Calibri"/>
            </a:rPr>
            <a:pPr/>
            <a:t>Période pendant laquelle le ST a été utilisé </a:t>
          </a:fld>
          <a:endParaRPr lang="fr-FR" sz="1000"/>
        </a:p>
      </cdr:txBody>
    </cdr:sp>
  </cdr:relSizeAnchor>
  <cdr:relSizeAnchor xmlns:cdr="http://schemas.openxmlformats.org/drawingml/2006/chartDrawing">
    <cdr:from>
      <cdr:x>0.36481</cdr:x>
      <cdr:y>0.97059</cdr:y>
    </cdr:from>
    <cdr:to>
      <cdr:x>0.4391</cdr:x>
      <cdr:y>1</cdr:y>
    </cdr:to>
    <cdr:sp macro="" textlink="Calculs!$D$486">
      <cdr:nvSpPr>
        <cdr:cNvPr id="104" name="ZoneTexte 1"/>
        <cdr:cNvSpPr txBox="1"/>
      </cdr:nvSpPr>
      <cdr:spPr>
        <a:xfrm xmlns:a="http://schemas.openxmlformats.org/drawingml/2006/main">
          <a:off x="3686736" y="6667512"/>
          <a:ext cx="750777" cy="2016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5ED024F-8C4D-4D6B-852D-0DD46A7FAAFC}" type="TxLink">
            <a:rPr lang="fr-FR" sz="1000" b="1" i="1" u="none" strike="noStrike">
              <a:solidFill>
                <a:srgbClr val="000000"/>
              </a:solidFill>
              <a:latin typeface="Arialri"/>
            </a:rPr>
            <a:pPr/>
            <a:t>3 mois</a:t>
          </a:fld>
          <a:endParaRPr lang="fr-FR" sz="1000" b="1" i="1"/>
        </a:p>
      </cdr:txBody>
    </cdr:sp>
  </cdr:relSizeAnchor>
  <cdr:relSizeAnchor xmlns:cdr="http://schemas.openxmlformats.org/drawingml/2006/chartDrawing">
    <cdr:from>
      <cdr:x>0.89372</cdr:x>
      <cdr:y>0.18384</cdr:y>
    </cdr:from>
    <cdr:to>
      <cdr:x>0.96469</cdr:x>
      <cdr:y>0.94392</cdr:y>
    </cdr:to>
    <cdr:grpSp>
      <cdr:nvGrpSpPr>
        <cdr:cNvPr id="108" name="Groupe 107"/>
        <cdr:cNvGrpSpPr/>
      </cdr:nvGrpSpPr>
      <cdr:grpSpPr>
        <a:xfrm xmlns:a="http://schemas.openxmlformats.org/drawingml/2006/main">
          <a:off x="9031957" y="1260775"/>
          <a:ext cx="717224" cy="5212628"/>
          <a:chOff x="8269957" y="1252498"/>
          <a:chExt cx="717224" cy="5212619"/>
        </a:xfrm>
      </cdr:grpSpPr>
      <cdr:sp macro="" textlink="Calculs!$Y$153">
        <cdr:nvSpPr>
          <cdr:cNvPr id="11" name="ZoneTexte 10"/>
          <cdr:cNvSpPr txBox="1"/>
        </cdr:nvSpPr>
        <cdr:spPr>
          <a:xfrm xmlns:a="http://schemas.openxmlformats.org/drawingml/2006/main">
            <a:off x="8269957" y="1252498"/>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marL="0" indent="0" algn="l"/>
            <a:fld id="{B21F5C82-B1DA-4BFD-A52F-F2141AE87B43}" type="TxLink">
              <a:rPr lang="fr-FR" sz="900" b="1" i="0" u="none" strike="noStrike">
                <a:solidFill>
                  <a:srgbClr val="000000"/>
                </a:solidFill>
                <a:latin typeface="+mn-lt"/>
                <a:ea typeface="+mn-ea"/>
                <a:cs typeface="+mn-cs"/>
              </a:rPr>
              <a:pPr marL="0" indent="0" algn="l"/>
              <a:t>6338</a:t>
            </a:fld>
            <a:endParaRPr lang="fr-FR" sz="900" b="1">
              <a:latin typeface="+mn-lt"/>
              <a:ea typeface="+mn-ea"/>
              <a:cs typeface="+mn-cs"/>
            </a:endParaRPr>
          </a:p>
        </cdr:txBody>
      </cdr:sp>
      <cdr:sp macro="" textlink="Calculs!$Y$164">
        <cdr:nvSpPr>
          <cdr:cNvPr id="13" name="ZoneTexte 1"/>
          <cdr:cNvSpPr txBox="1"/>
        </cdr:nvSpPr>
        <cdr:spPr>
          <a:xfrm xmlns:a="http://schemas.openxmlformats.org/drawingml/2006/main">
            <a:off x="8269957" y="2835318"/>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B84EF09-9EE5-4850-A6CE-29E226F2DC54}" type="TxLink">
              <a:rPr lang="fr-FR" sz="900" b="1" i="0" u="none" strike="noStrike">
                <a:solidFill>
                  <a:srgbClr val="000000"/>
                </a:solidFill>
                <a:latin typeface="+mn-lt"/>
                <a:cs typeface="Calibri"/>
              </a:rPr>
              <a:pPr algn="l"/>
              <a:t>0</a:t>
            </a:fld>
            <a:endParaRPr lang="fr-FR" sz="900" b="1">
              <a:latin typeface="+mn-lt"/>
            </a:endParaRPr>
          </a:p>
        </cdr:txBody>
      </cdr:sp>
      <cdr:sp macro="" textlink="Calculs!$Y$163">
        <cdr:nvSpPr>
          <cdr:cNvPr id="14" name="ZoneTexte 1"/>
          <cdr:cNvSpPr txBox="1"/>
        </cdr:nvSpPr>
        <cdr:spPr>
          <a:xfrm xmlns:a="http://schemas.openxmlformats.org/drawingml/2006/main">
            <a:off x="8269957" y="2677036"/>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E4FEC60-2BA2-436E-A165-648CF2883AF8}" type="TxLink">
              <a:rPr lang="fr-FR" sz="900" b="1" i="0" u="none" strike="noStrike">
                <a:solidFill>
                  <a:srgbClr val="000000"/>
                </a:solidFill>
                <a:latin typeface="+mn-lt"/>
                <a:cs typeface="Calibri"/>
              </a:rPr>
              <a:pPr algn="l"/>
              <a:t>0</a:t>
            </a:fld>
            <a:endParaRPr lang="fr-FR" sz="900" b="1">
              <a:latin typeface="+mn-lt"/>
            </a:endParaRPr>
          </a:p>
        </cdr:txBody>
      </cdr:sp>
      <cdr:sp macro="" textlink="Calculs!$Y$162">
        <cdr:nvSpPr>
          <cdr:cNvPr id="15" name="ZoneTexte 1"/>
          <cdr:cNvSpPr txBox="1"/>
        </cdr:nvSpPr>
        <cdr:spPr>
          <a:xfrm xmlns:a="http://schemas.openxmlformats.org/drawingml/2006/main">
            <a:off x="8269957" y="2518754"/>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4B99D6-9A0A-49CE-9AB4-F5DD3084C34C}" type="TxLink">
              <a:rPr lang="fr-FR" sz="900" b="1" i="0" u="none" strike="noStrike">
                <a:solidFill>
                  <a:srgbClr val="000000"/>
                </a:solidFill>
                <a:latin typeface="+mn-lt"/>
                <a:cs typeface="Calibri"/>
              </a:rPr>
              <a:pPr algn="l"/>
              <a:t>45</a:t>
            </a:fld>
            <a:endParaRPr lang="fr-FR" sz="900" b="1">
              <a:latin typeface="+mn-lt"/>
            </a:endParaRPr>
          </a:p>
        </cdr:txBody>
      </cdr:sp>
      <cdr:sp macro="" textlink="Calculs!$Y$161">
        <cdr:nvSpPr>
          <cdr:cNvPr id="16" name="ZoneTexte 1"/>
          <cdr:cNvSpPr txBox="1"/>
        </cdr:nvSpPr>
        <cdr:spPr>
          <a:xfrm xmlns:a="http://schemas.openxmlformats.org/drawingml/2006/main">
            <a:off x="8269957" y="2360472"/>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951257C-7021-48FD-8005-03D054E51194}" type="TxLink">
              <a:rPr lang="fr-FR" sz="900" b="1" i="0" u="none" strike="noStrike">
                <a:solidFill>
                  <a:srgbClr val="000000"/>
                </a:solidFill>
                <a:latin typeface="+mn-lt"/>
                <a:cs typeface="Calibri"/>
              </a:rPr>
              <a:pPr algn="l"/>
              <a:t>100</a:t>
            </a:fld>
            <a:endParaRPr lang="fr-FR" sz="900" b="1">
              <a:latin typeface="+mn-lt"/>
            </a:endParaRPr>
          </a:p>
        </cdr:txBody>
      </cdr:sp>
      <cdr:sp macro="" textlink="Calculs!$Y$160">
        <cdr:nvSpPr>
          <cdr:cNvPr id="17" name="ZoneTexte 1"/>
          <cdr:cNvSpPr txBox="1"/>
        </cdr:nvSpPr>
        <cdr:spPr>
          <a:xfrm xmlns:a="http://schemas.openxmlformats.org/drawingml/2006/main">
            <a:off x="8269957" y="2202190"/>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4995DA9-6C95-4665-B992-599C9DADD66A}" type="TxLink">
              <a:rPr lang="fr-FR" sz="900" b="1" i="0" u="none" strike="noStrike">
                <a:solidFill>
                  <a:srgbClr val="000000"/>
                </a:solidFill>
                <a:latin typeface="+mn-lt"/>
                <a:cs typeface="Calibri"/>
              </a:rPr>
              <a:pPr algn="l"/>
              <a:t>0</a:t>
            </a:fld>
            <a:endParaRPr lang="fr-FR" sz="900" b="1">
              <a:latin typeface="+mn-lt"/>
            </a:endParaRPr>
          </a:p>
        </cdr:txBody>
      </cdr:sp>
      <cdr:sp macro="" textlink="Calculs!$Y$156">
        <cdr:nvSpPr>
          <cdr:cNvPr id="18" name="ZoneTexte 1"/>
          <cdr:cNvSpPr txBox="1"/>
        </cdr:nvSpPr>
        <cdr:spPr>
          <a:xfrm xmlns:a="http://schemas.openxmlformats.org/drawingml/2006/main">
            <a:off x="8269957" y="1727344"/>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1929155-C7AD-4121-84DB-C69CC29EE6F8}" type="TxLink">
              <a:rPr lang="fr-FR" sz="900" b="1" i="0" u="none" strike="noStrike">
                <a:solidFill>
                  <a:srgbClr val="000000"/>
                </a:solidFill>
                <a:latin typeface="+mn-lt"/>
                <a:cs typeface="Calibri"/>
              </a:rPr>
              <a:pPr algn="l"/>
              <a:t>1267</a:t>
            </a:fld>
            <a:endParaRPr lang="fr-FR" sz="900" b="1">
              <a:latin typeface="+mn-lt"/>
            </a:endParaRPr>
          </a:p>
        </cdr:txBody>
      </cdr:sp>
      <cdr:sp macro="" textlink="Calculs!$Y$155">
        <cdr:nvSpPr>
          <cdr:cNvPr id="19" name="ZoneTexte 1"/>
          <cdr:cNvSpPr txBox="1"/>
        </cdr:nvSpPr>
        <cdr:spPr>
          <a:xfrm xmlns:a="http://schemas.openxmlformats.org/drawingml/2006/main">
            <a:off x="8269957" y="1569062"/>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D5BF645-F7BB-4C35-8D52-D2980A2F52EB}" type="TxLink">
              <a:rPr lang="fr-FR" sz="900" b="1" i="0" u="none" strike="noStrike">
                <a:solidFill>
                  <a:srgbClr val="000000"/>
                </a:solidFill>
                <a:latin typeface="+mn-lt"/>
                <a:cs typeface="Calibri"/>
              </a:rPr>
              <a:pPr algn="l"/>
              <a:t>27</a:t>
            </a:fld>
            <a:endParaRPr lang="fr-FR" sz="900" b="1">
              <a:latin typeface="+mn-lt"/>
            </a:endParaRPr>
          </a:p>
        </cdr:txBody>
      </cdr:sp>
      <cdr:sp macro="" textlink="Calculs!$Y$172">
        <cdr:nvSpPr>
          <cdr:cNvPr id="20" name="ZoneTexte 1"/>
          <cdr:cNvSpPr txBox="1"/>
        </cdr:nvSpPr>
        <cdr:spPr>
          <a:xfrm xmlns:a="http://schemas.openxmlformats.org/drawingml/2006/main">
            <a:off x="8269957" y="3785010"/>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2150DBF-25CB-463D-AA8B-29080015B636}" type="TxLink">
              <a:rPr lang="fr-FR" sz="900" b="1" i="0" u="none" strike="noStrike">
                <a:solidFill>
                  <a:srgbClr val="000000"/>
                </a:solidFill>
                <a:latin typeface="+mn-lt"/>
                <a:cs typeface="Calibri"/>
              </a:rPr>
              <a:pPr algn="l"/>
              <a:t>0</a:t>
            </a:fld>
            <a:endParaRPr lang="fr-FR" sz="900" b="1">
              <a:latin typeface="+mn-lt"/>
            </a:endParaRPr>
          </a:p>
        </cdr:txBody>
      </cdr:sp>
      <cdr:sp macro="" textlink="Calculs!$Y$170">
        <cdr:nvSpPr>
          <cdr:cNvPr id="21" name="ZoneTexte 1"/>
          <cdr:cNvSpPr txBox="1"/>
        </cdr:nvSpPr>
        <cdr:spPr>
          <a:xfrm xmlns:a="http://schemas.openxmlformats.org/drawingml/2006/main">
            <a:off x="8269957" y="3626728"/>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F76EA3A-B0DA-4B03-BCD4-7B9CBCF28467}" type="TxLink">
              <a:rPr lang="fr-FR" sz="900" b="1" i="0" u="none" strike="noStrike">
                <a:solidFill>
                  <a:srgbClr val="000000"/>
                </a:solidFill>
                <a:latin typeface="+mn-lt"/>
                <a:cs typeface="Calibri"/>
              </a:rPr>
              <a:pPr algn="l"/>
              <a:t>1485</a:t>
            </a:fld>
            <a:endParaRPr lang="fr-FR" sz="900" b="1">
              <a:latin typeface="+mn-lt"/>
            </a:endParaRPr>
          </a:p>
        </cdr:txBody>
      </cdr:sp>
      <cdr:sp macro="" textlink="Calculs!$Y$169">
        <cdr:nvSpPr>
          <cdr:cNvPr id="22" name="ZoneTexte 1"/>
          <cdr:cNvSpPr txBox="1"/>
        </cdr:nvSpPr>
        <cdr:spPr>
          <a:xfrm xmlns:a="http://schemas.openxmlformats.org/drawingml/2006/main">
            <a:off x="8269957" y="3468446"/>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3F45726-55F9-4C53-8766-E8480989D61A}" type="TxLink">
              <a:rPr lang="fr-FR" sz="900" b="1" i="0" u="none" strike="noStrike">
                <a:solidFill>
                  <a:srgbClr val="000000"/>
                </a:solidFill>
                <a:latin typeface="+mn-lt"/>
                <a:cs typeface="Calibri"/>
              </a:rPr>
              <a:pPr algn="l"/>
              <a:t>ND</a:t>
            </a:fld>
            <a:endParaRPr lang="fr-FR" sz="900" b="1">
              <a:latin typeface="+mn-lt"/>
            </a:endParaRPr>
          </a:p>
        </cdr:txBody>
      </cdr:sp>
      <cdr:sp macro="" textlink="Calculs!$Y$168">
        <cdr:nvSpPr>
          <cdr:cNvPr id="23" name="ZoneTexte 1"/>
          <cdr:cNvSpPr txBox="1"/>
        </cdr:nvSpPr>
        <cdr:spPr>
          <a:xfrm xmlns:a="http://schemas.openxmlformats.org/drawingml/2006/main">
            <a:off x="8269957" y="3310164"/>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ED2495F-40C4-4F05-861E-F06BA6CFC48B}" type="TxLink">
              <a:rPr lang="fr-FR" sz="900" b="1" i="0" u="none" strike="noStrike">
                <a:solidFill>
                  <a:srgbClr val="000000"/>
                </a:solidFill>
                <a:latin typeface="+mn-lt"/>
                <a:cs typeface="Calibri"/>
              </a:rPr>
              <a:pPr algn="l"/>
              <a:t>ND</a:t>
            </a:fld>
            <a:endParaRPr lang="fr-FR" sz="900" b="1">
              <a:latin typeface="+mn-lt"/>
            </a:endParaRPr>
          </a:p>
        </cdr:txBody>
      </cdr:sp>
      <cdr:sp macro="" textlink="Calculs!$Y$166">
        <cdr:nvSpPr>
          <cdr:cNvPr id="24" name="ZoneTexte 1"/>
          <cdr:cNvSpPr txBox="1"/>
        </cdr:nvSpPr>
        <cdr:spPr>
          <a:xfrm xmlns:a="http://schemas.openxmlformats.org/drawingml/2006/main">
            <a:off x="8269957" y="3151882"/>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19DAC5A-E745-41CA-8D38-B4FB037E2086}" type="TxLink">
              <a:rPr lang="fr-FR" sz="900" b="1" i="0" u="none" strike="noStrike">
                <a:solidFill>
                  <a:srgbClr val="000000"/>
                </a:solidFill>
                <a:latin typeface="+mn-lt"/>
                <a:cs typeface="Calibri"/>
              </a:rPr>
              <a:pPr algn="l"/>
              <a:t>104</a:t>
            </a:fld>
            <a:endParaRPr lang="fr-FR" sz="900" b="1">
              <a:latin typeface="+mn-lt"/>
            </a:endParaRPr>
          </a:p>
        </cdr:txBody>
      </cdr:sp>
      <cdr:sp macro="" textlink="Calculs!$Y$165">
        <cdr:nvSpPr>
          <cdr:cNvPr id="25" name="ZoneTexte 1"/>
          <cdr:cNvSpPr txBox="1"/>
        </cdr:nvSpPr>
        <cdr:spPr>
          <a:xfrm xmlns:a="http://schemas.openxmlformats.org/drawingml/2006/main">
            <a:off x="8269957" y="2993600"/>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2C4A588-558D-4085-A8E8-046FCBEA42C1}" type="TxLink">
              <a:rPr lang="fr-FR" sz="900" b="1" i="0" u="none" strike="noStrike">
                <a:solidFill>
                  <a:srgbClr val="000000"/>
                </a:solidFill>
                <a:latin typeface="+mn-lt"/>
                <a:cs typeface="Calibri"/>
              </a:rPr>
              <a:pPr algn="l"/>
              <a:t>1484</a:t>
            </a:fld>
            <a:endParaRPr lang="fr-FR" sz="900" b="1">
              <a:latin typeface="+mn-lt"/>
            </a:endParaRPr>
          </a:p>
        </cdr:txBody>
      </cdr:sp>
      <cdr:sp macro="" textlink="Calculs!$Y$174">
        <cdr:nvSpPr>
          <cdr:cNvPr id="26" name="ZoneTexte 1"/>
          <cdr:cNvSpPr txBox="1"/>
        </cdr:nvSpPr>
        <cdr:spPr>
          <a:xfrm xmlns:a="http://schemas.openxmlformats.org/drawingml/2006/main">
            <a:off x="8269957" y="3943292"/>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5CB03D1-E632-4EC9-8B8C-16802DC887FC}" type="TxLink">
              <a:rPr lang="fr-FR" sz="900" b="1" i="0" u="none" strike="noStrike">
                <a:solidFill>
                  <a:srgbClr val="000000"/>
                </a:solidFill>
                <a:latin typeface="+mn-lt"/>
                <a:cs typeface="Calibri"/>
              </a:rPr>
              <a:pPr algn="l"/>
              <a:t>2</a:t>
            </a:fld>
            <a:endParaRPr lang="fr-FR" sz="900" b="1">
              <a:latin typeface="+mn-lt"/>
            </a:endParaRPr>
          </a:p>
        </cdr:txBody>
      </cdr:sp>
      <cdr:sp macro="" textlink="Calculs!$Y$176">
        <cdr:nvSpPr>
          <cdr:cNvPr id="27" name="ZoneTexte 1"/>
          <cdr:cNvSpPr txBox="1"/>
        </cdr:nvSpPr>
        <cdr:spPr>
          <a:xfrm xmlns:a="http://schemas.openxmlformats.org/drawingml/2006/main">
            <a:off x="8269957" y="4101574"/>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9EE877A-3917-4327-96CB-9D2BD33A9428}" type="TxLink">
              <a:rPr lang="fr-FR" sz="900" b="1" i="0" u="none" strike="noStrike">
                <a:solidFill>
                  <a:srgbClr val="000000"/>
                </a:solidFill>
                <a:latin typeface="+mn-lt"/>
                <a:cs typeface="Calibri"/>
              </a:rPr>
              <a:pPr algn="l"/>
              <a:t>0</a:t>
            </a:fld>
            <a:endParaRPr lang="fr-FR" sz="900" b="1">
              <a:latin typeface="+mn-lt"/>
            </a:endParaRPr>
          </a:p>
        </cdr:txBody>
      </cdr:sp>
      <cdr:sp macro="" textlink="Calculs!$Y$179">
        <cdr:nvSpPr>
          <cdr:cNvPr id="28" name="ZoneTexte 1"/>
          <cdr:cNvSpPr txBox="1"/>
        </cdr:nvSpPr>
        <cdr:spPr>
          <a:xfrm xmlns:a="http://schemas.openxmlformats.org/drawingml/2006/main">
            <a:off x="8269957" y="4418138"/>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6201D63-3BA1-4C69-872B-670AA507ABED}" type="TxLink">
              <a:rPr lang="fr-FR" sz="900" b="1" i="0" u="none" strike="noStrike">
                <a:solidFill>
                  <a:srgbClr val="000000"/>
                </a:solidFill>
                <a:latin typeface="+mn-lt"/>
                <a:cs typeface="Calibri"/>
              </a:rPr>
              <a:pPr algn="l"/>
              <a:t>0</a:t>
            </a:fld>
            <a:endParaRPr lang="fr-FR" sz="900" b="1">
              <a:latin typeface="+mn-lt"/>
            </a:endParaRPr>
          </a:p>
        </cdr:txBody>
      </cdr:sp>
      <cdr:sp macro="" textlink="Calculs!$Y$180">
        <cdr:nvSpPr>
          <cdr:cNvPr id="29" name="ZoneTexte 1"/>
          <cdr:cNvSpPr txBox="1"/>
        </cdr:nvSpPr>
        <cdr:spPr>
          <a:xfrm xmlns:a="http://schemas.openxmlformats.org/drawingml/2006/main">
            <a:off x="8269957" y="4576420"/>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CBEC51-140C-44FA-811B-3D06A49D5C80}" type="TxLink">
              <a:rPr lang="fr-FR" sz="900" b="1" i="0" u="none" strike="noStrike">
                <a:solidFill>
                  <a:srgbClr val="000000"/>
                </a:solidFill>
                <a:latin typeface="+mn-lt"/>
                <a:cs typeface="Calibri"/>
              </a:rPr>
              <a:pPr algn="l"/>
              <a:t>0</a:t>
            </a:fld>
            <a:endParaRPr lang="fr-FR" sz="900" b="1">
              <a:latin typeface="+mn-lt"/>
            </a:endParaRPr>
          </a:p>
        </cdr:txBody>
      </cdr:sp>
      <cdr:sp macro="" textlink="Calculs!$Y$182">
        <cdr:nvSpPr>
          <cdr:cNvPr id="30" name="ZoneTexte 1"/>
          <cdr:cNvSpPr txBox="1"/>
        </cdr:nvSpPr>
        <cdr:spPr>
          <a:xfrm xmlns:a="http://schemas.openxmlformats.org/drawingml/2006/main">
            <a:off x="8269957" y="4734702"/>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1637DD-B272-44B9-BA07-D33C58DC4279}" type="TxLink">
              <a:rPr lang="fr-FR" sz="900" b="1" i="0" u="none" strike="noStrike">
                <a:solidFill>
                  <a:srgbClr val="000000"/>
                </a:solidFill>
                <a:latin typeface="+mn-lt"/>
                <a:cs typeface="Calibri"/>
              </a:rPr>
              <a:pPr algn="l"/>
              <a:t>0</a:t>
            </a:fld>
            <a:endParaRPr lang="fr-FR" sz="900" b="1">
              <a:latin typeface="+mn-lt"/>
            </a:endParaRPr>
          </a:p>
        </cdr:txBody>
      </cdr:sp>
      <cdr:sp macro="" textlink="Calculs!$Y$183">
        <cdr:nvSpPr>
          <cdr:cNvPr id="31" name="ZoneTexte 1"/>
          <cdr:cNvSpPr txBox="1"/>
        </cdr:nvSpPr>
        <cdr:spPr>
          <a:xfrm xmlns:a="http://schemas.openxmlformats.org/drawingml/2006/main">
            <a:off x="8269957" y="4892984"/>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39ED5-B3AE-4141-93AD-CAA4B9179337}" type="TxLink">
              <a:rPr lang="fr-FR" sz="900" b="1" i="0" u="none" strike="noStrike">
                <a:solidFill>
                  <a:srgbClr val="000000"/>
                </a:solidFill>
                <a:latin typeface="+mn-lt"/>
                <a:cs typeface="Calibri"/>
              </a:rPr>
              <a:pPr algn="l"/>
              <a:t>2</a:t>
            </a:fld>
            <a:endParaRPr lang="fr-FR" sz="900" b="1">
              <a:latin typeface="+mn-lt"/>
            </a:endParaRPr>
          </a:p>
        </cdr:txBody>
      </cdr:sp>
      <cdr:sp macro="" textlink="Calculs!$Y$184">
        <cdr:nvSpPr>
          <cdr:cNvPr id="32" name="ZoneTexte 1"/>
          <cdr:cNvSpPr txBox="1"/>
        </cdr:nvSpPr>
        <cdr:spPr>
          <a:xfrm xmlns:a="http://schemas.openxmlformats.org/drawingml/2006/main">
            <a:off x="8269957" y="5051266"/>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62B81E7-B327-4CE0-96F0-DDBF530D3CB3}" type="TxLink">
              <a:rPr lang="fr-FR" sz="900" b="1" i="0" u="none" strike="noStrike">
                <a:solidFill>
                  <a:srgbClr val="000000"/>
                </a:solidFill>
                <a:latin typeface="+mn-lt"/>
                <a:cs typeface="Calibri"/>
              </a:rPr>
              <a:pPr algn="l"/>
              <a:t>0</a:t>
            </a:fld>
            <a:endParaRPr lang="fr-FR" sz="900" b="1">
              <a:latin typeface="+mn-lt"/>
            </a:endParaRPr>
          </a:p>
        </cdr:txBody>
      </cdr:sp>
      <cdr:sp macro="" textlink="Calculs!$Y$185">
        <cdr:nvSpPr>
          <cdr:cNvPr id="33" name="ZoneTexte 1"/>
          <cdr:cNvSpPr txBox="1"/>
        </cdr:nvSpPr>
        <cdr:spPr>
          <a:xfrm xmlns:a="http://schemas.openxmlformats.org/drawingml/2006/main">
            <a:off x="8269957" y="5209548"/>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941D7A5-7DC0-4551-9CBC-0B1DD107F183}" type="TxLink">
              <a:rPr lang="fr-FR" sz="900" b="1" i="0" u="none" strike="noStrike">
                <a:solidFill>
                  <a:srgbClr val="000000"/>
                </a:solidFill>
                <a:latin typeface="+mn-lt"/>
                <a:cs typeface="Calibri"/>
              </a:rPr>
              <a:pPr algn="l"/>
              <a:t>106</a:t>
            </a:fld>
            <a:endParaRPr lang="fr-FR" sz="900" b="1">
              <a:latin typeface="+mn-lt"/>
            </a:endParaRPr>
          </a:p>
        </cdr:txBody>
      </cdr:sp>
      <cdr:sp macro="" textlink="Calculs!$Y$189">
        <cdr:nvSpPr>
          <cdr:cNvPr id="34" name="ZoneTexte 1"/>
          <cdr:cNvSpPr txBox="1"/>
        </cdr:nvSpPr>
        <cdr:spPr>
          <a:xfrm xmlns:a="http://schemas.openxmlformats.org/drawingml/2006/main">
            <a:off x="8269957" y="5526112"/>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DD1155D-6118-49AB-A858-D116EAAACFF2}" type="TxLink">
              <a:rPr lang="fr-FR" sz="900" b="1" i="0" u="none" strike="noStrike">
                <a:solidFill>
                  <a:srgbClr val="000000"/>
                </a:solidFill>
                <a:latin typeface="+mn-lt"/>
                <a:cs typeface="Calibri"/>
              </a:rPr>
              <a:pPr algn="l"/>
              <a:t>ND</a:t>
            </a:fld>
            <a:endParaRPr lang="fr-FR" sz="900" b="1">
              <a:latin typeface="+mn-lt"/>
            </a:endParaRPr>
          </a:p>
        </cdr:txBody>
      </cdr:sp>
      <cdr:sp macro="" textlink="Calculs!$Y$191">
        <cdr:nvSpPr>
          <cdr:cNvPr id="35" name="ZoneTexte 1"/>
          <cdr:cNvSpPr txBox="1"/>
        </cdr:nvSpPr>
        <cdr:spPr>
          <a:xfrm xmlns:a="http://schemas.openxmlformats.org/drawingml/2006/main">
            <a:off x="8269957" y="5684394"/>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F91E137-A0EC-4A56-8819-6AF99A775637}" type="TxLink">
              <a:rPr lang="fr-FR" sz="900" b="1" i="0" u="none" strike="noStrike">
                <a:solidFill>
                  <a:srgbClr val="000000"/>
                </a:solidFill>
                <a:latin typeface="+mn-lt"/>
                <a:cs typeface="Calibri"/>
              </a:rPr>
              <a:pPr algn="l"/>
              <a:t>0</a:t>
            </a:fld>
            <a:endParaRPr lang="fr-FR" sz="900" b="1">
              <a:latin typeface="+mn-lt"/>
            </a:endParaRPr>
          </a:p>
        </cdr:txBody>
      </cdr:sp>
      <cdr:sp macro="" textlink="Calculs!$Y$192">
        <cdr:nvSpPr>
          <cdr:cNvPr id="37" name="ZoneTexte 1"/>
          <cdr:cNvSpPr txBox="1"/>
        </cdr:nvSpPr>
        <cdr:spPr>
          <a:xfrm xmlns:a="http://schemas.openxmlformats.org/drawingml/2006/main">
            <a:off x="8269957" y="6159240"/>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862147-9144-4743-8714-2034CCAD0FC5}" type="TxLink">
              <a:rPr lang="fr-FR" sz="900" b="1" i="0" u="none" strike="noStrike">
                <a:solidFill>
                  <a:srgbClr val="000000"/>
                </a:solidFill>
                <a:latin typeface="+mn-lt"/>
                <a:cs typeface="Calibri"/>
              </a:rPr>
              <a:pPr algn="l"/>
              <a:t>ND</a:t>
            </a:fld>
            <a:endParaRPr lang="fr-FR" sz="900" b="1">
              <a:latin typeface="+mn-lt"/>
            </a:endParaRPr>
          </a:p>
        </cdr:txBody>
      </cdr:sp>
      <cdr:sp macro="" textlink="Calculs!$Y$193">
        <cdr:nvSpPr>
          <cdr:cNvPr id="120" name="ZoneTexte 1"/>
          <cdr:cNvSpPr txBox="1"/>
        </cdr:nvSpPr>
        <cdr:spPr>
          <a:xfrm xmlns:a="http://schemas.openxmlformats.org/drawingml/2006/main">
            <a:off x="8269957" y="631751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5B63C66-11D6-4DB2-B941-4929F8719716}" type="TxLink">
              <a:rPr lang="fr-FR" sz="900" b="1" i="0" u="none" strike="noStrike">
                <a:solidFill>
                  <a:srgbClr val="000000"/>
                </a:solidFill>
                <a:latin typeface="+mn-lt"/>
                <a:cs typeface="Calibri"/>
              </a:rPr>
              <a:pPr algn="l"/>
              <a:t>0</a:t>
            </a:fld>
            <a:endParaRPr lang="fr-FR" sz="900" b="1">
              <a:latin typeface="+mn-lt"/>
            </a:endParaRPr>
          </a:p>
        </cdr:txBody>
      </cdr:sp>
      <cdr:sp macro="" textlink="Calculs!$Y$154">
        <cdr:nvSpPr>
          <cdr:cNvPr id="125" name="ZoneTexte 1"/>
          <cdr:cNvSpPr txBox="1"/>
        </cdr:nvSpPr>
        <cdr:spPr>
          <a:xfrm xmlns:a="http://schemas.openxmlformats.org/drawingml/2006/main">
            <a:off x="8269957" y="1410780"/>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16CD871-7F3A-4E24-B58E-FC0260599ACF}" type="TxLink">
              <a:rPr lang="fr-FR" sz="900" b="1" i="0" u="none" strike="noStrike">
                <a:solidFill>
                  <a:srgbClr val="000000"/>
                </a:solidFill>
                <a:latin typeface="+mn-lt"/>
                <a:cs typeface="Calibri"/>
              </a:rPr>
              <a:pPr algn="l"/>
              <a:t>546</a:t>
            </a:fld>
            <a:endParaRPr lang="fr-FR" sz="900" b="1">
              <a:latin typeface="+mn-lt"/>
            </a:endParaRPr>
          </a:p>
        </cdr:txBody>
      </cdr:sp>
      <cdr:sp macro="" textlink="Calculs!$Y$157">
        <cdr:nvSpPr>
          <cdr:cNvPr id="126" name="ZoneTexte 1"/>
          <cdr:cNvSpPr txBox="1"/>
        </cdr:nvSpPr>
        <cdr:spPr>
          <a:xfrm xmlns:a="http://schemas.openxmlformats.org/drawingml/2006/main">
            <a:off x="8269957" y="1885626"/>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F561B0E-E105-43E0-A6C6-8EA028D6AB91}" type="TxLink">
              <a:rPr lang="fr-FR" sz="900" b="1" i="0" u="none" strike="noStrike">
                <a:solidFill>
                  <a:srgbClr val="000000"/>
                </a:solidFill>
                <a:latin typeface="+mn-lt"/>
                <a:cs typeface="Calibri"/>
              </a:rPr>
              <a:pPr algn="l"/>
              <a:t>146</a:t>
            </a:fld>
            <a:endParaRPr lang="fr-FR" sz="900" b="1">
              <a:latin typeface="+mn-lt"/>
            </a:endParaRPr>
          </a:p>
        </cdr:txBody>
      </cdr:sp>
      <cdr:sp macro="" textlink="Calculs!$Y$190">
        <cdr:nvSpPr>
          <cdr:cNvPr id="128" name="ZoneTexte 1"/>
          <cdr:cNvSpPr txBox="1"/>
        </cdr:nvSpPr>
        <cdr:spPr>
          <a:xfrm xmlns:a="http://schemas.openxmlformats.org/drawingml/2006/main">
            <a:off x="8269957" y="6000958"/>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73EECF0-0D94-4CB6-9214-3727D8648ACA}" type="TxLink">
              <a:rPr lang="fr-FR" sz="900" b="1" i="0" u="none" strike="noStrike">
                <a:solidFill>
                  <a:srgbClr val="000000"/>
                </a:solidFill>
                <a:latin typeface="+mn-lt"/>
                <a:cs typeface="Calibri"/>
              </a:rPr>
              <a:pPr algn="l"/>
              <a:t>0</a:t>
            </a:fld>
            <a:endParaRPr lang="fr-FR" sz="900" b="1">
              <a:latin typeface="+mn-lt"/>
            </a:endParaRPr>
          </a:p>
        </cdr:txBody>
      </cdr:sp>
      <cdr:sp macro="" textlink="Calculs!$Y$187">
        <cdr:nvSpPr>
          <cdr:cNvPr id="129" name="ZoneTexte 1"/>
          <cdr:cNvSpPr txBox="1"/>
        </cdr:nvSpPr>
        <cdr:spPr>
          <a:xfrm xmlns:a="http://schemas.openxmlformats.org/drawingml/2006/main">
            <a:off x="8269957" y="5842676"/>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D30AE6-4231-4BF3-8265-BFF7D866C5C1}" type="TxLink">
              <a:rPr lang="fr-FR" sz="900" b="1" i="0" u="none" strike="noStrike">
                <a:solidFill>
                  <a:srgbClr val="000000"/>
                </a:solidFill>
                <a:latin typeface="+mn-lt"/>
                <a:cs typeface="Calibri"/>
              </a:rPr>
              <a:pPr algn="l"/>
              <a:t>0</a:t>
            </a:fld>
            <a:endParaRPr lang="fr-FR" sz="900" b="1">
              <a:latin typeface="+mn-lt"/>
            </a:endParaRPr>
          </a:p>
        </cdr:txBody>
      </cdr:sp>
      <cdr:sp macro="" textlink="Calculs!$Y$158">
        <cdr:nvSpPr>
          <cdr:cNvPr id="105" name="ZoneTexte 1"/>
          <cdr:cNvSpPr txBox="1"/>
        </cdr:nvSpPr>
        <cdr:spPr>
          <a:xfrm xmlns:a="http://schemas.openxmlformats.org/drawingml/2006/main">
            <a:off x="8269957" y="2043908"/>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D64F433-01A0-4AA3-A2E9-2E8273A9B6AE}" type="TxLink">
              <a:rPr lang="fr-FR" sz="900" b="1" i="0" u="none" strike="noStrike">
                <a:solidFill>
                  <a:srgbClr val="000000"/>
                </a:solidFill>
                <a:latin typeface="Calibri"/>
                <a:cs typeface="Calibri"/>
              </a:rPr>
              <a:pPr algn="l"/>
              <a:t>56</a:t>
            </a:fld>
            <a:endParaRPr lang="fr-FR" sz="900" b="1">
              <a:latin typeface="Calibri"/>
            </a:endParaRPr>
          </a:p>
        </cdr:txBody>
      </cdr:sp>
      <cdr:sp macro="" textlink="Calculs!$Y$177">
        <cdr:nvSpPr>
          <cdr:cNvPr id="106" name="ZoneTexte 1"/>
          <cdr:cNvSpPr txBox="1"/>
        </cdr:nvSpPr>
        <cdr:spPr>
          <a:xfrm xmlns:a="http://schemas.openxmlformats.org/drawingml/2006/main">
            <a:off x="8269957" y="4259856"/>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4CFF13-3DCA-403D-BA1B-017644673034}" type="TxLink">
              <a:rPr lang="fr-FR" sz="900" b="1" i="0" u="none" strike="noStrike">
                <a:solidFill>
                  <a:srgbClr val="000000"/>
                </a:solidFill>
                <a:latin typeface="+mn-lt"/>
                <a:cs typeface="Calibri"/>
              </a:rPr>
              <a:pPr algn="l"/>
              <a:t>ND</a:t>
            </a:fld>
            <a:endParaRPr lang="fr-FR" sz="900" b="1">
              <a:latin typeface="+mn-lt"/>
            </a:endParaRPr>
          </a:p>
        </cdr:txBody>
      </cdr:sp>
      <cdr:sp macro="" textlink="Calculs!$Y$186">
        <cdr:nvSpPr>
          <cdr:cNvPr id="107" name="ZoneTexte 1"/>
          <cdr:cNvSpPr txBox="1"/>
        </cdr:nvSpPr>
        <cdr:spPr>
          <a:xfrm xmlns:a="http://schemas.openxmlformats.org/drawingml/2006/main">
            <a:off x="8269957" y="5367830"/>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FA8EEB8-93CC-41C1-92D9-D596E6A8C188}" type="TxLink">
              <a:rPr lang="fr-FR" sz="900" b="1" i="0" u="none" strike="noStrike">
                <a:solidFill>
                  <a:srgbClr val="000000"/>
                </a:solidFill>
                <a:latin typeface="+mn-lt"/>
                <a:cs typeface="Calibri"/>
              </a:rPr>
              <a:pPr algn="l"/>
              <a:t>18</a:t>
            </a:fld>
            <a:endParaRPr lang="fr-FR" sz="900" b="1">
              <a:latin typeface="+mn-lt"/>
            </a:endParaRPr>
          </a:p>
        </cdr:txBody>
      </cdr:sp>
    </cdr:grpSp>
  </cdr:relSizeAnchor>
  <cdr:relSizeAnchor xmlns:cdr="http://schemas.openxmlformats.org/drawingml/2006/chartDrawing">
    <cdr:from>
      <cdr:x>0.94574</cdr:x>
      <cdr:y>0.18373</cdr:y>
    </cdr:from>
    <cdr:to>
      <cdr:x>0.99918</cdr:x>
      <cdr:y>0.94338</cdr:y>
    </cdr:to>
    <cdr:grpSp>
      <cdr:nvGrpSpPr>
        <cdr:cNvPr id="112" name="Groupe 111"/>
        <cdr:cNvGrpSpPr/>
      </cdr:nvGrpSpPr>
      <cdr:grpSpPr>
        <a:xfrm xmlns:a="http://schemas.openxmlformats.org/drawingml/2006/main">
          <a:off x="9557672" y="1260020"/>
          <a:ext cx="540066" cy="5209680"/>
          <a:chOff x="8273872" y="1251760"/>
          <a:chExt cx="540066" cy="5209634"/>
        </a:xfrm>
      </cdr:grpSpPr>
      <cdr:sp macro="" textlink="Calculs!$Y$207">
        <cdr:nvSpPr>
          <cdr:cNvPr id="74" name="ZoneTexte 73"/>
          <cdr:cNvSpPr txBox="1"/>
        </cdr:nvSpPr>
        <cdr:spPr>
          <a:xfrm xmlns:a="http://schemas.openxmlformats.org/drawingml/2006/main">
            <a:off x="8273872" y="125176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algn="l"/>
            <a:fld id="{4D577F86-3A53-468F-B4BC-EB02906EF29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8">
        <cdr:nvSpPr>
          <cdr:cNvPr id="75" name="ZoneTexte 1"/>
          <cdr:cNvSpPr txBox="1"/>
        </cdr:nvSpPr>
        <cdr:spPr>
          <a:xfrm xmlns:a="http://schemas.openxmlformats.org/drawingml/2006/main">
            <a:off x="8273872" y="283365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1D9A81-A0CB-4E68-8299-96E9C97B41F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7">
        <cdr:nvSpPr>
          <cdr:cNvPr id="76" name="ZoneTexte 1"/>
          <cdr:cNvSpPr txBox="1"/>
        </cdr:nvSpPr>
        <cdr:spPr>
          <a:xfrm xmlns:a="http://schemas.openxmlformats.org/drawingml/2006/main">
            <a:off x="8273872" y="267546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DA55A6A-B9F5-4DE1-AA62-5F1E0A22E416}" type="TxLink">
              <a:rPr lang="fr-FR" sz="900" b="1" i="0" u="none" strike="noStrike">
                <a:solidFill>
                  <a:srgbClr val="000000"/>
                </a:solidFill>
                <a:latin typeface="+mn-lt"/>
                <a:cs typeface="Calibri"/>
              </a:rPr>
              <a:pPr algn="l"/>
              <a:t>ND</a:t>
            </a:fld>
            <a:endParaRPr lang="fr-FR" sz="900" b="1">
              <a:latin typeface="+mn-lt"/>
            </a:endParaRPr>
          </a:p>
        </cdr:txBody>
      </cdr:sp>
      <cdr:sp macro="" textlink="Calculs!$Y$216">
        <cdr:nvSpPr>
          <cdr:cNvPr id="77" name="ZoneTexte 1"/>
          <cdr:cNvSpPr txBox="1"/>
        </cdr:nvSpPr>
        <cdr:spPr>
          <a:xfrm xmlns:a="http://schemas.openxmlformats.org/drawingml/2006/main">
            <a:off x="8273872" y="251727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E748D6-E4D8-490B-AF5E-8023F149CF01}" type="TxLink">
              <a:rPr lang="fr-FR" sz="900" b="1" i="0" u="none" strike="noStrike">
                <a:solidFill>
                  <a:srgbClr val="000000"/>
                </a:solidFill>
                <a:latin typeface="+mn-lt"/>
                <a:cs typeface="Calibri"/>
              </a:rPr>
              <a:pPr algn="l"/>
              <a:t>ND</a:t>
            </a:fld>
            <a:endParaRPr lang="fr-FR" sz="900" b="1">
              <a:latin typeface="+mn-lt"/>
            </a:endParaRPr>
          </a:p>
        </cdr:txBody>
      </cdr:sp>
      <cdr:sp macro="" textlink="Calculs!$Y$215">
        <cdr:nvSpPr>
          <cdr:cNvPr id="78" name="ZoneTexte 1"/>
          <cdr:cNvSpPr txBox="1"/>
        </cdr:nvSpPr>
        <cdr:spPr>
          <a:xfrm xmlns:a="http://schemas.openxmlformats.org/drawingml/2006/main">
            <a:off x="8273872" y="235908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927761-A451-4312-BDBC-B54595157844}" type="TxLink">
              <a:rPr lang="fr-FR" sz="900" b="1" i="0" u="none" strike="noStrike">
                <a:solidFill>
                  <a:srgbClr val="000000"/>
                </a:solidFill>
                <a:latin typeface="+mn-lt"/>
                <a:cs typeface="Calibri"/>
              </a:rPr>
              <a:pPr algn="l"/>
              <a:t>ND</a:t>
            </a:fld>
            <a:endParaRPr lang="fr-FR" sz="900" b="1">
              <a:latin typeface="+mn-lt"/>
            </a:endParaRPr>
          </a:p>
        </cdr:txBody>
      </cdr:sp>
      <cdr:sp macro="" textlink="Calculs!$Y$214">
        <cdr:nvSpPr>
          <cdr:cNvPr id="79" name="ZoneTexte 1"/>
          <cdr:cNvSpPr txBox="1"/>
        </cdr:nvSpPr>
        <cdr:spPr>
          <a:xfrm xmlns:a="http://schemas.openxmlformats.org/drawingml/2006/main">
            <a:off x="8273872" y="220089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111C6CF-6996-4656-B2A8-4B846EC1DFA6}" type="TxLink">
              <a:rPr lang="fr-FR" sz="900" b="1" i="0" u="none" strike="noStrike">
                <a:solidFill>
                  <a:srgbClr val="000000"/>
                </a:solidFill>
                <a:latin typeface="+mn-lt"/>
                <a:cs typeface="Calibri"/>
              </a:rPr>
              <a:pPr algn="l"/>
              <a:t>ND</a:t>
            </a:fld>
            <a:endParaRPr lang="fr-FR" sz="900" b="1">
              <a:latin typeface="+mn-lt"/>
            </a:endParaRPr>
          </a:p>
        </cdr:txBody>
      </cdr:sp>
      <cdr:sp macro="" textlink="Calculs!$Y$210">
        <cdr:nvSpPr>
          <cdr:cNvPr id="80" name="ZoneTexte 1"/>
          <cdr:cNvSpPr txBox="1"/>
        </cdr:nvSpPr>
        <cdr:spPr>
          <a:xfrm xmlns:a="http://schemas.openxmlformats.org/drawingml/2006/main">
            <a:off x="8273872" y="172632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1FDB11-28F2-4777-B3E8-94ABCD4B18BA}" type="TxLink">
              <a:rPr lang="fr-FR" sz="900" b="1" i="0" u="none" strike="noStrike">
                <a:solidFill>
                  <a:srgbClr val="000000"/>
                </a:solidFill>
                <a:latin typeface="+mn-lt"/>
                <a:cs typeface="Calibri"/>
              </a:rPr>
              <a:pPr algn="l"/>
              <a:t>ND</a:t>
            </a:fld>
            <a:endParaRPr lang="fr-FR" sz="900" b="1">
              <a:latin typeface="+mn-lt"/>
            </a:endParaRPr>
          </a:p>
        </cdr:txBody>
      </cdr:sp>
      <cdr:sp macro="" textlink="Calculs!$Y$209">
        <cdr:nvSpPr>
          <cdr:cNvPr id="81" name="ZoneTexte 1"/>
          <cdr:cNvSpPr txBox="1"/>
        </cdr:nvSpPr>
        <cdr:spPr>
          <a:xfrm xmlns:a="http://schemas.openxmlformats.org/drawingml/2006/main">
            <a:off x="8273872" y="156813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4BBF744-8778-450C-964E-78F116FC56DA}" type="TxLink">
              <a:rPr lang="fr-FR" sz="900" b="1" i="0" u="none" strike="noStrike">
                <a:solidFill>
                  <a:srgbClr val="000000"/>
                </a:solidFill>
                <a:latin typeface="+mn-lt"/>
                <a:cs typeface="Calibri"/>
              </a:rPr>
              <a:pPr algn="l"/>
              <a:t>ND</a:t>
            </a:fld>
            <a:endParaRPr lang="fr-FR" sz="900" b="1">
              <a:latin typeface="+mn-lt"/>
            </a:endParaRPr>
          </a:p>
        </cdr:txBody>
      </cdr:sp>
      <cdr:sp macro="" textlink="Calculs!$Y$226">
        <cdr:nvSpPr>
          <cdr:cNvPr id="82" name="ZoneTexte 1"/>
          <cdr:cNvSpPr txBox="1"/>
        </cdr:nvSpPr>
        <cdr:spPr>
          <a:xfrm xmlns:a="http://schemas.openxmlformats.org/drawingml/2006/main">
            <a:off x="8273872" y="378278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DFB9F49-0EC8-4D13-8D1E-ED32A0809F5D}" type="TxLink">
              <a:rPr lang="fr-FR" sz="900" b="1" i="0" u="none" strike="noStrike">
                <a:solidFill>
                  <a:srgbClr val="000000"/>
                </a:solidFill>
                <a:latin typeface="+mn-lt"/>
                <a:cs typeface="Calibri"/>
              </a:rPr>
              <a:pPr algn="l"/>
              <a:t>ND</a:t>
            </a:fld>
            <a:endParaRPr lang="fr-FR" sz="900" b="1">
              <a:latin typeface="+mn-lt"/>
            </a:endParaRPr>
          </a:p>
        </cdr:txBody>
      </cdr:sp>
      <cdr:sp macro="" textlink="Calculs!$Y$224">
        <cdr:nvSpPr>
          <cdr:cNvPr id="83" name="ZoneTexte 1"/>
          <cdr:cNvSpPr txBox="1"/>
        </cdr:nvSpPr>
        <cdr:spPr>
          <a:xfrm xmlns:a="http://schemas.openxmlformats.org/drawingml/2006/main">
            <a:off x="8273872" y="362459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11EACE-A00F-415F-8677-16961836FAD0}" type="TxLink">
              <a:rPr lang="fr-FR" sz="900" b="1" i="0" u="none" strike="noStrike">
                <a:solidFill>
                  <a:srgbClr val="000000"/>
                </a:solidFill>
                <a:latin typeface="+mn-lt"/>
                <a:cs typeface="Calibri"/>
              </a:rPr>
              <a:pPr algn="l"/>
              <a:t>ND</a:t>
            </a:fld>
            <a:endParaRPr lang="fr-FR" sz="900" b="1">
              <a:latin typeface="+mn-lt"/>
            </a:endParaRPr>
          </a:p>
        </cdr:txBody>
      </cdr:sp>
      <cdr:sp macro="" textlink="Calculs!$Y$223">
        <cdr:nvSpPr>
          <cdr:cNvPr id="84" name="ZoneTexte 1"/>
          <cdr:cNvSpPr txBox="1"/>
        </cdr:nvSpPr>
        <cdr:spPr>
          <a:xfrm xmlns:a="http://schemas.openxmlformats.org/drawingml/2006/main">
            <a:off x="8273872" y="346640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EF26F0-C3BB-415A-94F0-F4B30FEEED4B}" type="TxLink">
              <a:rPr lang="fr-FR" sz="900" b="1" i="0" u="none" strike="noStrike">
                <a:solidFill>
                  <a:srgbClr val="000000"/>
                </a:solidFill>
                <a:latin typeface="+mn-lt"/>
                <a:cs typeface="Calibri"/>
              </a:rPr>
              <a:pPr algn="l"/>
              <a:t>ND</a:t>
            </a:fld>
            <a:endParaRPr lang="fr-FR" sz="900" b="1">
              <a:latin typeface="+mn-lt"/>
            </a:endParaRPr>
          </a:p>
        </cdr:txBody>
      </cdr:sp>
      <cdr:sp macro="" textlink="Calculs!$Y$222">
        <cdr:nvSpPr>
          <cdr:cNvPr id="85" name="ZoneTexte 1"/>
          <cdr:cNvSpPr txBox="1"/>
        </cdr:nvSpPr>
        <cdr:spPr>
          <a:xfrm xmlns:a="http://schemas.openxmlformats.org/drawingml/2006/main">
            <a:off x="8273872" y="330821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117A601-F80D-4987-B52C-CD1DAAC64813}" type="TxLink">
              <a:rPr lang="fr-FR" sz="900" b="1" i="0" u="none" strike="noStrike">
                <a:solidFill>
                  <a:srgbClr val="000000"/>
                </a:solidFill>
                <a:latin typeface="+mn-lt"/>
                <a:cs typeface="Calibri"/>
              </a:rPr>
              <a:pPr algn="l"/>
              <a:t>ND</a:t>
            </a:fld>
            <a:endParaRPr lang="fr-FR" sz="900" b="1">
              <a:latin typeface="+mn-lt"/>
            </a:endParaRPr>
          </a:p>
        </cdr:txBody>
      </cdr:sp>
      <cdr:sp macro="" textlink="Calculs!$Y$220">
        <cdr:nvSpPr>
          <cdr:cNvPr id="86" name="ZoneTexte 1"/>
          <cdr:cNvSpPr txBox="1"/>
        </cdr:nvSpPr>
        <cdr:spPr>
          <a:xfrm xmlns:a="http://schemas.openxmlformats.org/drawingml/2006/main">
            <a:off x="8273872" y="315002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29691-D3E1-45D2-AB35-6D3D1271D5DB}" type="TxLink">
              <a:rPr lang="fr-FR" sz="900" b="1" i="0" u="none" strike="noStrike">
                <a:solidFill>
                  <a:srgbClr val="000000"/>
                </a:solidFill>
                <a:latin typeface="+mn-lt"/>
                <a:cs typeface="Calibri"/>
              </a:rPr>
              <a:pPr algn="l"/>
              <a:t>ND</a:t>
            </a:fld>
            <a:endParaRPr lang="fr-FR" sz="900" b="1">
              <a:latin typeface="+mn-lt"/>
            </a:endParaRPr>
          </a:p>
        </cdr:txBody>
      </cdr:sp>
      <cdr:sp macro="" textlink="Calculs!$Y$219">
        <cdr:nvSpPr>
          <cdr:cNvPr id="87" name="ZoneTexte 1"/>
          <cdr:cNvSpPr txBox="1"/>
        </cdr:nvSpPr>
        <cdr:spPr>
          <a:xfrm xmlns:a="http://schemas.openxmlformats.org/drawingml/2006/main">
            <a:off x="8273872" y="299183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8A3195-1948-4E9B-9F42-2A4808DC3143}" type="TxLink">
              <a:rPr lang="fr-FR" sz="900" b="1" i="0" u="none" strike="noStrike">
                <a:solidFill>
                  <a:srgbClr val="000000"/>
                </a:solidFill>
                <a:latin typeface="+mn-lt"/>
                <a:cs typeface="Calibri"/>
              </a:rPr>
              <a:pPr algn="l"/>
              <a:t>ND</a:t>
            </a:fld>
            <a:endParaRPr lang="fr-FR" sz="900" b="1">
              <a:latin typeface="+mn-lt"/>
            </a:endParaRPr>
          </a:p>
        </cdr:txBody>
      </cdr:sp>
      <cdr:sp macro="" textlink="Calculs!$Y$228">
        <cdr:nvSpPr>
          <cdr:cNvPr id="88" name="ZoneTexte 1"/>
          <cdr:cNvSpPr txBox="1"/>
        </cdr:nvSpPr>
        <cdr:spPr>
          <a:xfrm xmlns:a="http://schemas.openxmlformats.org/drawingml/2006/main">
            <a:off x="8273872" y="394097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DB97231-A90A-4CA7-AAF7-EBBB3CC240B9}" type="TxLink">
              <a:rPr lang="fr-FR" sz="900" b="1" i="0" u="none" strike="noStrike">
                <a:solidFill>
                  <a:srgbClr val="000000"/>
                </a:solidFill>
                <a:latin typeface="+mn-lt"/>
                <a:cs typeface="Calibri"/>
              </a:rPr>
              <a:pPr algn="l"/>
              <a:t>ND</a:t>
            </a:fld>
            <a:endParaRPr lang="fr-FR" sz="900" b="1">
              <a:latin typeface="+mn-lt"/>
            </a:endParaRPr>
          </a:p>
        </cdr:txBody>
      </cdr:sp>
      <cdr:sp macro="" textlink="Calculs!$Y$230">
        <cdr:nvSpPr>
          <cdr:cNvPr id="89" name="ZoneTexte 1"/>
          <cdr:cNvSpPr txBox="1"/>
        </cdr:nvSpPr>
        <cdr:spPr>
          <a:xfrm xmlns:a="http://schemas.openxmlformats.org/drawingml/2006/main">
            <a:off x="8273872" y="409916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A548B35-C887-43A0-B679-3E83D9C91869}" type="TxLink">
              <a:rPr lang="fr-FR" sz="900" b="1" i="0" u="none" strike="noStrike">
                <a:solidFill>
                  <a:srgbClr val="000000"/>
                </a:solidFill>
                <a:latin typeface="+mn-lt"/>
                <a:cs typeface="Calibri"/>
              </a:rPr>
              <a:pPr algn="l"/>
              <a:t>ND</a:t>
            </a:fld>
            <a:endParaRPr lang="fr-FR" sz="900" b="1">
              <a:latin typeface="+mn-lt"/>
            </a:endParaRPr>
          </a:p>
        </cdr:txBody>
      </cdr:sp>
      <cdr:sp macro="" textlink="Calculs!$Y$233">
        <cdr:nvSpPr>
          <cdr:cNvPr id="90" name="ZoneTexte 1"/>
          <cdr:cNvSpPr txBox="1"/>
        </cdr:nvSpPr>
        <cdr:spPr>
          <a:xfrm xmlns:a="http://schemas.openxmlformats.org/drawingml/2006/main">
            <a:off x="8273872" y="441554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75B3BFF-2F88-4DC9-B1DC-5553DF8AC63E}" type="TxLink">
              <a:rPr lang="fr-FR" sz="900" b="1" i="0" u="none" strike="noStrike">
                <a:solidFill>
                  <a:srgbClr val="000000"/>
                </a:solidFill>
                <a:latin typeface="+mn-lt"/>
                <a:cs typeface="Calibri"/>
              </a:rPr>
              <a:pPr algn="l"/>
              <a:t>ND</a:t>
            </a:fld>
            <a:endParaRPr lang="fr-FR" sz="900" b="1">
              <a:latin typeface="+mn-lt"/>
            </a:endParaRPr>
          </a:p>
        </cdr:txBody>
      </cdr:sp>
      <cdr:sp macro="" textlink="Calculs!$Y$234">
        <cdr:nvSpPr>
          <cdr:cNvPr id="91" name="ZoneTexte 1"/>
          <cdr:cNvSpPr txBox="1"/>
        </cdr:nvSpPr>
        <cdr:spPr>
          <a:xfrm xmlns:a="http://schemas.openxmlformats.org/drawingml/2006/main">
            <a:off x="8273872" y="457372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236813F-CC0C-4398-9224-2BDE3FA59E88}" type="TxLink">
              <a:rPr lang="fr-FR" sz="900" b="1" i="0" u="none" strike="noStrike">
                <a:solidFill>
                  <a:srgbClr val="000000"/>
                </a:solidFill>
                <a:latin typeface="+mn-lt"/>
                <a:cs typeface="Calibri"/>
              </a:rPr>
              <a:pPr algn="l"/>
              <a:t>ND</a:t>
            </a:fld>
            <a:endParaRPr lang="fr-FR" sz="900" b="1">
              <a:latin typeface="+mn-lt"/>
            </a:endParaRPr>
          </a:p>
        </cdr:txBody>
      </cdr:sp>
      <cdr:sp macro="" textlink="Calculs!$Y$236">
        <cdr:nvSpPr>
          <cdr:cNvPr id="92" name="ZoneTexte 1"/>
          <cdr:cNvSpPr txBox="1"/>
        </cdr:nvSpPr>
        <cdr:spPr>
          <a:xfrm xmlns:a="http://schemas.openxmlformats.org/drawingml/2006/main">
            <a:off x="8273872" y="473191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795761-420A-4B01-8680-8AED6DA4B598}" type="TxLink">
              <a:rPr lang="fr-FR" sz="900" b="1" i="0" u="none" strike="noStrike">
                <a:solidFill>
                  <a:srgbClr val="000000"/>
                </a:solidFill>
                <a:latin typeface="+mn-lt"/>
                <a:cs typeface="Calibri"/>
              </a:rPr>
              <a:pPr algn="l"/>
              <a:t>ND</a:t>
            </a:fld>
            <a:endParaRPr lang="fr-FR" sz="900" b="1">
              <a:latin typeface="+mn-lt"/>
            </a:endParaRPr>
          </a:p>
        </cdr:txBody>
      </cdr:sp>
      <cdr:sp macro="" textlink="Calculs!$Y$237">
        <cdr:nvSpPr>
          <cdr:cNvPr id="93" name="ZoneTexte 1"/>
          <cdr:cNvSpPr txBox="1"/>
        </cdr:nvSpPr>
        <cdr:spPr>
          <a:xfrm xmlns:a="http://schemas.openxmlformats.org/drawingml/2006/main">
            <a:off x="8273872" y="489010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2132CCD-D56C-4046-B2B1-766BE9CD91A2}" type="TxLink">
              <a:rPr lang="fr-FR" sz="900" b="1" i="0" u="none" strike="noStrike">
                <a:solidFill>
                  <a:srgbClr val="000000"/>
                </a:solidFill>
                <a:latin typeface="+mn-lt"/>
                <a:cs typeface="Calibri"/>
              </a:rPr>
              <a:pPr algn="l"/>
              <a:t>ND</a:t>
            </a:fld>
            <a:endParaRPr lang="fr-FR" sz="900" b="1">
              <a:latin typeface="+mn-lt"/>
            </a:endParaRPr>
          </a:p>
        </cdr:txBody>
      </cdr:sp>
      <cdr:sp macro="" textlink="Calculs!$Y$238">
        <cdr:nvSpPr>
          <cdr:cNvPr id="94" name="ZoneTexte 1"/>
          <cdr:cNvSpPr txBox="1"/>
        </cdr:nvSpPr>
        <cdr:spPr>
          <a:xfrm xmlns:a="http://schemas.openxmlformats.org/drawingml/2006/main">
            <a:off x="8273872" y="504829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A609977-16FB-47BA-9587-EBF9F5E5F553}" type="TxLink">
              <a:rPr lang="fr-FR" sz="900" b="1" i="0" u="none" strike="noStrike">
                <a:solidFill>
                  <a:srgbClr val="000000"/>
                </a:solidFill>
                <a:latin typeface="+mn-lt"/>
                <a:cs typeface="Calibri"/>
              </a:rPr>
              <a:pPr algn="l"/>
              <a:t>ND</a:t>
            </a:fld>
            <a:endParaRPr lang="fr-FR" sz="900" b="1">
              <a:latin typeface="+mn-lt"/>
            </a:endParaRPr>
          </a:p>
        </cdr:txBody>
      </cdr:sp>
      <cdr:sp macro="" textlink="Calculs!$Y$239">
        <cdr:nvSpPr>
          <cdr:cNvPr id="95" name="ZoneTexte 1"/>
          <cdr:cNvSpPr txBox="1"/>
        </cdr:nvSpPr>
        <cdr:spPr>
          <a:xfrm xmlns:a="http://schemas.openxmlformats.org/drawingml/2006/main">
            <a:off x="8273872" y="520648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9C44A4-88B2-4630-9E7E-C46969CD43BC}" type="TxLink">
              <a:rPr lang="fr-FR" sz="900" b="1" i="0" u="none" strike="noStrike">
                <a:solidFill>
                  <a:srgbClr val="000000"/>
                </a:solidFill>
                <a:latin typeface="+mn-lt"/>
                <a:cs typeface="Calibri"/>
              </a:rPr>
              <a:pPr algn="l"/>
              <a:t>ND</a:t>
            </a:fld>
            <a:endParaRPr lang="fr-FR" sz="900" b="1">
              <a:latin typeface="+mn-lt"/>
            </a:endParaRPr>
          </a:p>
        </cdr:txBody>
      </cdr:sp>
      <cdr:sp macro="" textlink="Calculs!$Y$243">
        <cdr:nvSpPr>
          <cdr:cNvPr id="96" name="ZoneTexte 1"/>
          <cdr:cNvSpPr txBox="1"/>
        </cdr:nvSpPr>
        <cdr:spPr>
          <a:xfrm xmlns:a="http://schemas.openxmlformats.org/drawingml/2006/main">
            <a:off x="8273872" y="552286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AF8E4C3-C11F-43AC-AF51-73C36EA139AA}" type="TxLink">
              <a:rPr lang="fr-FR" sz="900" b="1" i="0" u="none" strike="noStrike">
                <a:solidFill>
                  <a:srgbClr val="000000"/>
                </a:solidFill>
                <a:latin typeface="+mn-lt"/>
                <a:cs typeface="Calibri"/>
              </a:rPr>
              <a:pPr algn="l"/>
              <a:t>ND</a:t>
            </a:fld>
            <a:endParaRPr lang="fr-FR" sz="900" b="1">
              <a:latin typeface="+mn-lt"/>
            </a:endParaRPr>
          </a:p>
        </cdr:txBody>
      </cdr:sp>
      <cdr:sp macro="" textlink="Calculs!$Y$245">
        <cdr:nvSpPr>
          <cdr:cNvPr id="97" name="ZoneTexte 1"/>
          <cdr:cNvSpPr txBox="1"/>
        </cdr:nvSpPr>
        <cdr:spPr>
          <a:xfrm xmlns:a="http://schemas.openxmlformats.org/drawingml/2006/main">
            <a:off x="8273872" y="568105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20D50EE-137F-45F7-8129-19BAE725CE55}" type="TxLink">
              <a:rPr lang="fr-FR" sz="900" b="1" i="0" u="none" strike="noStrike">
                <a:solidFill>
                  <a:srgbClr val="000000"/>
                </a:solidFill>
                <a:latin typeface="+mn-lt"/>
                <a:cs typeface="Calibri"/>
              </a:rPr>
              <a:pPr algn="l"/>
              <a:t>ND</a:t>
            </a:fld>
            <a:endParaRPr lang="fr-FR" sz="900" b="1">
              <a:latin typeface="+mn-lt"/>
            </a:endParaRPr>
          </a:p>
        </cdr:txBody>
      </cdr:sp>
      <cdr:sp macro="" textlink="Calculs!$Y$246">
        <cdr:nvSpPr>
          <cdr:cNvPr id="98" name="ZoneTexte 1"/>
          <cdr:cNvSpPr txBox="1"/>
        </cdr:nvSpPr>
        <cdr:spPr>
          <a:xfrm xmlns:a="http://schemas.openxmlformats.org/drawingml/2006/main">
            <a:off x="8273872" y="615561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24BEC5E-E02F-40B2-8DB6-8E8A7A8DC8EF}" type="TxLink">
              <a:rPr lang="fr-FR" sz="900" b="1" i="0" u="none" strike="noStrike">
                <a:solidFill>
                  <a:srgbClr val="000000"/>
                </a:solidFill>
                <a:latin typeface="+mn-lt"/>
                <a:cs typeface="Calibri"/>
              </a:rPr>
              <a:pPr algn="l"/>
              <a:t>ND</a:t>
            </a:fld>
            <a:endParaRPr lang="fr-FR" sz="900" b="1">
              <a:latin typeface="+mn-lt"/>
            </a:endParaRPr>
          </a:p>
        </cdr:txBody>
      </cdr:sp>
      <cdr:sp macro="" textlink="Calculs!$Y$247">
        <cdr:nvSpPr>
          <cdr:cNvPr id="121" name="ZoneTexte 1"/>
          <cdr:cNvSpPr txBox="1"/>
        </cdr:nvSpPr>
        <cdr:spPr>
          <a:xfrm xmlns:a="http://schemas.openxmlformats.org/drawingml/2006/main">
            <a:off x="8273872" y="631379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04D4E8-CD17-4BE6-B6FC-5D7C465DE892}" type="TxLink">
              <a:rPr lang="fr-FR" sz="900" b="1" i="0" u="none" strike="noStrike">
                <a:solidFill>
                  <a:srgbClr val="000000"/>
                </a:solidFill>
                <a:latin typeface="+mn-lt"/>
                <a:cs typeface="Calibri"/>
              </a:rPr>
              <a:pPr algn="l"/>
              <a:t>ND</a:t>
            </a:fld>
            <a:endParaRPr lang="fr-FR" sz="900" b="1">
              <a:latin typeface="+mn-lt"/>
            </a:endParaRPr>
          </a:p>
        </cdr:txBody>
      </cdr:sp>
      <cdr:sp macro="" textlink="Calculs!$Y$208">
        <cdr:nvSpPr>
          <cdr:cNvPr id="130" name="ZoneTexte 1"/>
          <cdr:cNvSpPr txBox="1"/>
        </cdr:nvSpPr>
        <cdr:spPr>
          <a:xfrm xmlns:a="http://schemas.openxmlformats.org/drawingml/2006/main">
            <a:off x="8273872" y="140994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BA59C32-7A71-4462-ABDB-6FFA3DA8471F}" type="TxLink">
              <a:rPr lang="fr-FR" sz="900" b="1" i="0" u="none" strike="noStrike">
                <a:solidFill>
                  <a:srgbClr val="000000"/>
                </a:solidFill>
                <a:latin typeface="+mn-lt"/>
                <a:cs typeface="Calibri"/>
              </a:rPr>
              <a:pPr algn="l"/>
              <a:t>ND</a:t>
            </a:fld>
            <a:endParaRPr lang="fr-FR" sz="900" b="1">
              <a:latin typeface="+mn-lt"/>
            </a:endParaRPr>
          </a:p>
        </cdr:txBody>
      </cdr:sp>
      <cdr:sp macro="" textlink="Calculs!$Y$211">
        <cdr:nvSpPr>
          <cdr:cNvPr id="131" name="ZoneTexte 1"/>
          <cdr:cNvSpPr txBox="1"/>
        </cdr:nvSpPr>
        <cdr:spPr>
          <a:xfrm xmlns:a="http://schemas.openxmlformats.org/drawingml/2006/main">
            <a:off x="8273872" y="188451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284B8CD-A5DA-4DD3-838A-4B595882215C}" type="TxLink">
              <a:rPr lang="fr-FR" sz="900" b="1" i="0" u="none" strike="noStrike">
                <a:solidFill>
                  <a:srgbClr val="000000"/>
                </a:solidFill>
                <a:latin typeface="+mn-lt"/>
                <a:cs typeface="Calibri"/>
              </a:rPr>
              <a:pPr algn="l"/>
              <a:t>ND</a:t>
            </a:fld>
            <a:endParaRPr lang="fr-FR" sz="900" b="1">
              <a:latin typeface="+mn-lt"/>
            </a:endParaRPr>
          </a:p>
        </cdr:txBody>
      </cdr:sp>
      <cdr:sp macro="" textlink="Calculs!$Y$244">
        <cdr:nvSpPr>
          <cdr:cNvPr id="134" name="ZoneTexte 1"/>
          <cdr:cNvSpPr txBox="1"/>
        </cdr:nvSpPr>
        <cdr:spPr>
          <a:xfrm xmlns:a="http://schemas.openxmlformats.org/drawingml/2006/main">
            <a:off x="8273872" y="599743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DCD7737-432E-4BC6-851E-3B618429F4A1}" type="TxLink">
              <a:rPr lang="fr-FR" sz="900" b="1" i="0" u="none" strike="noStrike">
                <a:solidFill>
                  <a:srgbClr val="000000"/>
                </a:solidFill>
                <a:latin typeface="+mn-lt"/>
                <a:cs typeface="Calibri"/>
              </a:rPr>
              <a:pPr algn="l"/>
              <a:t>ND</a:t>
            </a:fld>
            <a:endParaRPr lang="fr-FR" sz="900" b="1">
              <a:latin typeface="+mn-lt"/>
            </a:endParaRPr>
          </a:p>
        </cdr:txBody>
      </cdr:sp>
      <cdr:sp macro="" textlink="Calculs!$Y$241">
        <cdr:nvSpPr>
          <cdr:cNvPr id="135" name="ZoneTexte 1"/>
          <cdr:cNvSpPr txBox="1"/>
        </cdr:nvSpPr>
        <cdr:spPr>
          <a:xfrm xmlns:a="http://schemas.openxmlformats.org/drawingml/2006/main">
            <a:off x="8273872" y="583924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C3BAE3-2E1A-43E1-B7D1-4CF9310F4EFE}" type="TxLink">
              <a:rPr lang="fr-FR" sz="900" b="1" i="0" u="none" strike="noStrike">
                <a:solidFill>
                  <a:srgbClr val="000000"/>
                </a:solidFill>
                <a:latin typeface="+mn-lt"/>
                <a:cs typeface="Calibri"/>
              </a:rPr>
              <a:pPr algn="l"/>
              <a:t>ND</a:t>
            </a:fld>
            <a:endParaRPr lang="fr-FR" sz="900" b="1">
              <a:latin typeface="+mn-lt"/>
            </a:endParaRPr>
          </a:p>
        </cdr:txBody>
      </cdr:sp>
      <cdr:sp macro="" textlink="Calculs!$Y$240">
        <cdr:nvSpPr>
          <cdr:cNvPr id="109" name="ZoneTexte 1"/>
          <cdr:cNvSpPr txBox="1"/>
        </cdr:nvSpPr>
        <cdr:spPr>
          <a:xfrm xmlns:a="http://schemas.openxmlformats.org/drawingml/2006/main">
            <a:off x="8273872" y="536467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6D48B5F-36A7-4156-B45A-76CBA29FFEB6}" type="TxLink">
              <a:rPr lang="fr-FR" sz="900" b="1" i="0" u="none" strike="noStrike">
                <a:solidFill>
                  <a:srgbClr val="000000"/>
                </a:solidFill>
                <a:latin typeface="Calibri"/>
                <a:cs typeface="Calibri"/>
              </a:rPr>
              <a:pPr algn="l"/>
              <a:t>ND</a:t>
            </a:fld>
            <a:endParaRPr lang="fr-FR" sz="900" b="1">
              <a:latin typeface="Calibri"/>
            </a:endParaRPr>
          </a:p>
        </cdr:txBody>
      </cdr:sp>
      <cdr:sp macro="" textlink="Calculs!$Y$231">
        <cdr:nvSpPr>
          <cdr:cNvPr id="110" name="ZoneTexte 1"/>
          <cdr:cNvSpPr txBox="1"/>
        </cdr:nvSpPr>
        <cdr:spPr>
          <a:xfrm xmlns:a="http://schemas.openxmlformats.org/drawingml/2006/main">
            <a:off x="8273872" y="425735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63ED8C6-9FCF-4440-A755-90DD343A692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2">
        <cdr:nvSpPr>
          <cdr:cNvPr id="111" name="ZoneTexte 1"/>
          <cdr:cNvSpPr txBox="1"/>
        </cdr:nvSpPr>
        <cdr:spPr>
          <a:xfrm xmlns:a="http://schemas.openxmlformats.org/drawingml/2006/main">
            <a:off x="8273872" y="204270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CFEF5F0-00AA-41A2-BCBF-509C906FC886}" type="TxLink">
              <a:rPr lang="fr-FR" sz="900" b="1" i="0" u="none" strike="noStrike">
                <a:solidFill>
                  <a:srgbClr val="000000"/>
                </a:solidFill>
                <a:latin typeface="+mn-lt"/>
                <a:cs typeface="Calibri"/>
              </a:rPr>
              <a:pPr algn="l"/>
              <a:t>ND</a:t>
            </a:fld>
            <a:endParaRPr lang="fr-FR" sz="900" b="1">
              <a:latin typeface="+mn-lt"/>
            </a:endParaRPr>
          </a:p>
        </cdr:txBody>
      </cdr:sp>
    </cdr:grpSp>
  </cdr:relSizeAnchor>
</c:userShapes>
</file>

<file path=xl/drawings/drawing19.xml><?xml version="1.0" encoding="utf-8"?>
<xdr:wsDr xmlns:xdr="http://schemas.openxmlformats.org/drawingml/2006/spreadsheetDrawing" xmlns:a="http://schemas.openxmlformats.org/drawingml/2006/main">
  <xdr:absoluteAnchor>
    <xdr:pos x="0" y="0"/>
    <xdr:ext cx="10156031" cy="68818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3</xdr:col>
      <xdr:colOff>1083469</xdr:colOff>
      <xdr:row>209</xdr:row>
      <xdr:rowOff>1427</xdr:rowOff>
    </xdr:from>
    <xdr:to>
      <xdr:col>3</xdr:col>
      <xdr:colOff>1571625</xdr:colOff>
      <xdr:row>211</xdr:row>
      <xdr:rowOff>97630</xdr:rowOff>
    </xdr:to>
    <xdr:pic>
      <xdr:nvPicPr>
        <xdr:cNvPr id="2" name="Image 1" descr="300px-A14_svg.png"/>
        <xdr:cNvPicPr>
          <a:picLocks noChangeAspect="1"/>
        </xdr:cNvPicPr>
      </xdr:nvPicPr>
      <xdr:blipFill>
        <a:blip xmlns:r="http://schemas.openxmlformats.org/officeDocument/2006/relationships" r:embed="rId1" cstate="print"/>
        <a:stretch>
          <a:fillRect/>
        </a:stretch>
      </xdr:blipFill>
      <xdr:spPr>
        <a:xfrm>
          <a:off x="1916907" y="40935115"/>
          <a:ext cx="488156" cy="4295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0.00886</cdr:x>
      <cdr:y>0.07625</cdr:y>
    </cdr:from>
    <cdr:to>
      <cdr:x>0.23844</cdr:x>
      <cdr:y>0.11794</cdr:y>
    </cdr:to>
    <cdr:sp macro="" textlink="'TRAD-visualiz'!$B$4">
      <cdr:nvSpPr>
        <cdr:cNvPr id="7" name="ZoneTexte 6"/>
        <cdr:cNvSpPr txBox="1"/>
      </cdr:nvSpPr>
      <cdr:spPr>
        <a:xfrm xmlns:a="http://schemas.openxmlformats.org/drawingml/2006/main">
          <a:off x="90019" y="524640"/>
          <a:ext cx="2333391" cy="2868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A4760C0E-263A-49B3-A1C3-9EEB25EAF0B6}"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latin typeface="+mn-lt"/>
            </a:rPr>
            <a:pPr/>
            <a:t> </a:t>
          </a:fld>
          <a:endParaRPr lang="fr-FR" sz="1100" b="1" i="1">
            <a:latin typeface="+mn-lt"/>
          </a:endParaRPr>
        </a:p>
      </cdr:txBody>
    </cdr:sp>
  </cdr:relSizeAnchor>
  <cdr:relSizeAnchor xmlns:cdr="http://schemas.openxmlformats.org/drawingml/2006/chartDrawing">
    <cdr:from>
      <cdr:x>0.00886</cdr:x>
      <cdr:y>0.04272</cdr:y>
    </cdr:from>
    <cdr:to>
      <cdr:x>0.18905</cdr:x>
      <cdr:y>0.08436</cdr:y>
    </cdr:to>
    <cdr:sp macro="" textlink="'TRAD-visualiz'!$B$3">
      <cdr:nvSpPr>
        <cdr:cNvPr id="9" name="ZoneTexte 1"/>
        <cdr:cNvSpPr txBox="1"/>
      </cdr:nvSpPr>
      <cdr:spPr>
        <a:xfrm xmlns:a="http://schemas.openxmlformats.org/drawingml/2006/main">
          <a:off x="90019" y="293928"/>
          <a:ext cx="1831404" cy="286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6280157-BEEC-4FFD-B044-98A9707C73AE}"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0.16594</cdr:x>
      <cdr:y>0.0436</cdr:y>
    </cdr:from>
    <cdr:to>
      <cdr:x>0.31072</cdr:x>
      <cdr:y>0.08609</cdr:y>
    </cdr:to>
    <cdr:sp macro="" textlink="Paramétrage!$D$11">
      <cdr:nvSpPr>
        <cdr:cNvPr id="10" name="ZoneTexte 1"/>
        <cdr:cNvSpPr txBox="1"/>
      </cdr:nvSpPr>
      <cdr:spPr>
        <a:xfrm xmlns:a="http://schemas.openxmlformats.org/drawingml/2006/main">
          <a:off x="1686611" y="299986"/>
          <a:ext cx="1471506"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mn-lt"/>
              <a:cs typeface="Calibri"/>
            </a:rPr>
            <a:pPr/>
            <a:t>TEST</a:t>
          </a:fld>
          <a:endParaRPr lang="fr-FR" sz="1050" b="1" i="1">
            <a:latin typeface="+mn-lt"/>
          </a:endParaRPr>
        </a:p>
      </cdr:txBody>
    </cdr:sp>
  </cdr:relSizeAnchor>
  <cdr:relSizeAnchor xmlns:cdr="http://schemas.openxmlformats.org/drawingml/2006/chartDrawing">
    <cdr:from>
      <cdr:x>0.85862</cdr:x>
      <cdr:y>0.09151</cdr:y>
    </cdr:from>
    <cdr:to>
      <cdr:x>0.99684</cdr:x>
      <cdr:y>0.17157</cdr:y>
    </cdr:to>
    <cdr:sp macro="" textlink="'TRAD-visualiz'!$B$8">
      <cdr:nvSpPr>
        <cdr:cNvPr id="12" name="ZoneTexte 11"/>
        <cdr:cNvSpPr txBox="1"/>
      </cdr:nvSpPr>
      <cdr:spPr>
        <a:xfrm xmlns:a="http://schemas.openxmlformats.org/drawingml/2006/main">
          <a:off x="8677275" y="627576"/>
          <a:ext cx="1396815"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E9DD04AF-4A41-4968-9C6F-FA5F218B8C07}" type="TxLink">
            <a:rPr lang="en-US" sz="1000" b="0" i="0" u="none" strike="noStrike">
              <a:solidFill>
                <a:srgbClr val="000000"/>
              </a:solidFill>
              <a:latin typeface="+mn-lt"/>
              <a:cs typeface="Calibri"/>
            </a:rPr>
            <a:pPr algn="ctr"/>
            <a:t>Nb de patients concernés / mois</a:t>
          </a:fld>
          <a:endParaRPr lang="fr-FR" sz="1000" b="1">
            <a:latin typeface="+mn-lt"/>
          </a:endParaRPr>
        </a:p>
      </cdr:txBody>
    </cdr:sp>
  </cdr:relSizeAnchor>
  <cdr:relSizeAnchor xmlns:cdr="http://schemas.openxmlformats.org/drawingml/2006/chartDrawing">
    <cdr:from>
      <cdr:x>0.33185</cdr:x>
      <cdr:y>0.06877</cdr:y>
    </cdr:from>
    <cdr:to>
      <cdr:x>0.52146</cdr:x>
      <cdr:y>0.11046</cdr:y>
    </cdr:to>
    <cdr:sp macro="" textlink="'TRAD-visualiz'!$B$6">
      <cdr:nvSpPr>
        <cdr:cNvPr id="119" name="ZoneTexte 6"/>
        <cdr:cNvSpPr txBox="1"/>
      </cdr:nvSpPr>
      <cdr:spPr>
        <a:xfrm xmlns:a="http://schemas.openxmlformats.org/drawingml/2006/main">
          <a:off x="3372835" y="473200"/>
          <a:ext cx="192714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728B3A1-387C-46D9-A5C1-F51B4DEDCDA9}" type="TxLink">
            <a:rPr lang="en-US" sz="1000" b="0" i="0" u="none" strike="noStrike">
              <a:solidFill>
                <a:srgbClr val="000000"/>
              </a:solidFill>
              <a:latin typeface="+mn-lt"/>
              <a:cs typeface="Calibri"/>
            </a:rPr>
            <a:pPr/>
            <a:t>Nature des stocks considérés </a:t>
          </a:fld>
          <a:endParaRPr lang="fr-FR" sz="1100" i="1">
            <a:latin typeface="+mn-lt"/>
          </a:endParaRPr>
        </a:p>
      </cdr:txBody>
    </cdr:sp>
  </cdr:relSizeAnchor>
  <cdr:relSizeAnchor xmlns:cdr="http://schemas.openxmlformats.org/drawingml/2006/chartDrawing">
    <cdr:from>
      <cdr:x>0.18703</cdr:x>
      <cdr:y>0.07882</cdr:y>
    </cdr:from>
    <cdr:to>
      <cdr:x>0.33181</cdr:x>
      <cdr:y>0.11967</cdr:y>
    </cdr:to>
    <cdr:sp macro="" textlink="Paramétrage!$H$19">
      <cdr:nvSpPr>
        <cdr:cNvPr id="122" name="ZoneTexte 1"/>
        <cdr:cNvSpPr txBox="1"/>
      </cdr:nvSpPr>
      <cdr:spPr>
        <a:xfrm xmlns:a="http://schemas.openxmlformats.org/drawingml/2006/main">
          <a:off x="1900923" y="542326"/>
          <a:ext cx="1471506" cy="28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0.53837</cdr:x>
      <cdr:y>0.06838</cdr:y>
    </cdr:from>
    <cdr:to>
      <cdr:x>0.85993</cdr:x>
      <cdr:y>0.11087</cdr:y>
    </cdr:to>
    <cdr:sp macro="" textlink="'Calculs dispo Données conso'!$V$182">
      <cdr:nvSpPr>
        <cdr:cNvPr id="123" name="ZoneTexte 1"/>
        <cdr:cNvSpPr txBox="1"/>
      </cdr:nvSpPr>
      <cdr:spPr>
        <a:xfrm xmlns:a="http://schemas.openxmlformats.org/drawingml/2006/main">
          <a:off x="5471826" y="470449"/>
          <a:ext cx="3268250"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97B32D6-FB82-4C4E-883A-9B34D485A470}" type="TxLink">
            <a:rPr lang="fr-FR" sz="1000" b="1" i="1" u="none" strike="noStrike">
              <a:solidFill>
                <a:srgbClr val="C00000"/>
              </a:solidFill>
              <a:latin typeface="+mn-lt"/>
            </a:rPr>
            <a:pPr/>
            <a:t>Stocks centraux, périphériques et commandes</a:t>
          </a:fld>
          <a:endParaRPr lang="fr-FR" sz="1000" b="1" i="1">
            <a:solidFill>
              <a:srgbClr val="C00000"/>
            </a:solidFill>
            <a:latin typeface="+mn-lt"/>
          </a:endParaRPr>
        </a:p>
      </cdr:txBody>
    </cdr:sp>
  </cdr:relSizeAnchor>
  <cdr:relSizeAnchor xmlns:cdr="http://schemas.openxmlformats.org/drawingml/2006/chartDrawing">
    <cdr:from>
      <cdr:x>0.33185</cdr:x>
      <cdr:y>0.03707</cdr:y>
    </cdr:from>
    <cdr:to>
      <cdr:x>0.57191</cdr:x>
      <cdr:y>0.07876</cdr:y>
    </cdr:to>
    <cdr:sp macro="" textlink="'TRAD-visualiz'!$B$5">
      <cdr:nvSpPr>
        <cdr:cNvPr id="101" name="ZoneTexte 6"/>
        <cdr:cNvSpPr txBox="1"/>
      </cdr:nvSpPr>
      <cdr:spPr>
        <a:xfrm xmlns:a="http://schemas.openxmlformats.org/drawingml/2006/main">
          <a:off x="3372818" y="255066"/>
          <a:ext cx="2439907"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01EB528-6239-4467-B5B8-D3EB4EC6DAB4}" type="TxLink">
            <a:rPr lang="en-US" sz="1000" b="0" i="0" u="none" strike="noStrike">
              <a:solidFill>
                <a:srgbClr val="000000"/>
              </a:solidFill>
              <a:latin typeface="+mn-lt"/>
              <a:cs typeface="Calibri"/>
            </a:rPr>
            <a:pPr/>
            <a:t>Méthode / type de données utilisées </a:t>
          </a:fld>
          <a:endParaRPr lang="fr-FR" sz="1100" i="1">
            <a:latin typeface="+mn-lt"/>
          </a:endParaRPr>
        </a:p>
      </cdr:txBody>
    </cdr:sp>
  </cdr:relSizeAnchor>
  <cdr:relSizeAnchor xmlns:cdr="http://schemas.openxmlformats.org/drawingml/2006/chartDrawing">
    <cdr:from>
      <cdr:x>0.53837</cdr:x>
      <cdr:y>0.03707</cdr:y>
    </cdr:from>
    <cdr:to>
      <cdr:x>0.71468</cdr:x>
      <cdr:y>0.07956</cdr:y>
    </cdr:to>
    <cdr:sp macro="" textlink="Calculs!$J$488">
      <cdr:nvSpPr>
        <cdr:cNvPr id="102" name="ZoneTexte 1"/>
        <cdr:cNvSpPr txBox="1"/>
      </cdr:nvSpPr>
      <cdr:spPr>
        <a:xfrm xmlns:a="http://schemas.openxmlformats.org/drawingml/2006/main">
          <a:off x="5471826" y="255057"/>
          <a:ext cx="1791968"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31A341C-DC4C-47C0-B93E-3A14A026F6EC}" type="TxLink">
            <a:rPr lang="fr-FR" sz="1000" b="1" i="1" u="none" strike="noStrike">
              <a:solidFill>
                <a:srgbClr val="C00000"/>
              </a:solidFill>
              <a:latin typeface="+mn-lt"/>
            </a:rPr>
            <a:pPr/>
            <a:t>Données de consommation</a:t>
          </a:fld>
          <a:endParaRPr lang="fr-FR" sz="1000" b="1" i="1">
            <a:solidFill>
              <a:srgbClr val="C00000"/>
            </a:solidFill>
            <a:latin typeface="+mn-lt"/>
          </a:endParaRPr>
        </a:p>
      </cdr:txBody>
    </cdr:sp>
  </cdr:relSizeAnchor>
  <cdr:relSizeAnchor xmlns:cdr="http://schemas.openxmlformats.org/drawingml/2006/chartDrawing">
    <cdr:from>
      <cdr:x>0.37811</cdr:x>
      <cdr:y>0.98203</cdr:y>
    </cdr:from>
    <cdr:to>
      <cdr:x>0.3903</cdr:x>
      <cdr:y>0.9951</cdr:y>
    </cdr:to>
    <cdr:sp macro="" textlink="">
      <cdr:nvSpPr>
        <cdr:cNvPr id="103" name="Rectangle 102"/>
        <cdr:cNvSpPr/>
      </cdr:nvSpPr>
      <cdr:spPr>
        <a:xfrm xmlns:a="http://schemas.openxmlformats.org/drawingml/2006/main">
          <a:off x="3821239" y="6734748"/>
          <a:ext cx="123192" cy="89634"/>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latin typeface="+mn-lt"/>
          </a:endParaRPr>
        </a:p>
      </cdr:txBody>
    </cdr:sp>
  </cdr:relSizeAnchor>
  <cdr:relSizeAnchor xmlns:cdr="http://schemas.openxmlformats.org/drawingml/2006/chartDrawing">
    <cdr:from>
      <cdr:x>0.38479</cdr:x>
      <cdr:y>0.97386</cdr:y>
    </cdr:from>
    <cdr:to>
      <cdr:x>0.65962</cdr:x>
      <cdr:y>1</cdr:y>
    </cdr:to>
    <cdr:sp macro="" textlink="'TRAD-visualiz'!$B$10">
      <cdr:nvSpPr>
        <cdr:cNvPr id="104" name="ZoneTexte 2"/>
        <cdr:cNvSpPr txBox="1"/>
      </cdr:nvSpPr>
      <cdr:spPr>
        <a:xfrm xmlns:a="http://schemas.openxmlformats.org/drawingml/2006/main">
          <a:off x="3910877" y="6700558"/>
          <a:ext cx="2793299" cy="179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2597CC0-76D0-4C36-A00C-301EEBC28A53}" type="TxLink">
            <a:rPr lang="en-US" sz="1000" b="0" i="0" u="none" strike="noStrike">
              <a:solidFill>
                <a:srgbClr val="000000"/>
              </a:solidFill>
              <a:latin typeface="+mn-lt"/>
              <a:cs typeface="Calibri"/>
            </a:rPr>
            <a:pPr/>
            <a:t>Période pendant laquelle le ST a été utilisé </a:t>
          </a:fld>
          <a:endParaRPr lang="fr-FR" sz="1000">
            <a:latin typeface="+mn-lt"/>
          </a:endParaRPr>
        </a:p>
      </cdr:txBody>
    </cdr:sp>
  </cdr:relSizeAnchor>
  <cdr:relSizeAnchor xmlns:cdr="http://schemas.openxmlformats.org/drawingml/2006/chartDrawing">
    <cdr:from>
      <cdr:x>0.97577</cdr:x>
      <cdr:y>0.16667</cdr:y>
    </cdr:from>
    <cdr:to>
      <cdr:x>1</cdr:x>
      <cdr:y>0.98366</cdr:y>
    </cdr:to>
    <cdr:sp macro="" textlink="Calculs!$D$496">
      <cdr:nvSpPr>
        <cdr:cNvPr id="100" name="ZoneTexte 1"/>
        <cdr:cNvSpPr txBox="1"/>
      </cdr:nvSpPr>
      <cdr:spPr>
        <a:xfrm xmlns:a="http://schemas.openxmlformats.org/drawingml/2006/main" rot="5400000">
          <a:off x="7182142" y="3822033"/>
          <a:ext cx="5602916" cy="244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B9801C2-2547-4B08-9325-5F5C5FAABC06}" type="TxLink">
            <a:rPr lang="fr-FR" sz="900" b="0" i="1" u="none" strike="noStrike">
              <a:solidFill>
                <a:srgbClr val="FF0000"/>
              </a:solidFill>
              <a:latin typeface="+mn-lt"/>
            </a:rPr>
            <a:pPr/>
            <a:t>Attention, le nombre de patients mentionné ici est estimé à partir de la consommation.</a:t>
          </a:fld>
          <a:endParaRPr lang="fr-FR" sz="900" i="1">
            <a:solidFill>
              <a:srgbClr val="FF0000"/>
            </a:solidFill>
            <a:latin typeface="+mn-lt"/>
          </a:endParaRPr>
        </a:p>
      </cdr:txBody>
    </cdr:sp>
  </cdr:relSizeAnchor>
  <cdr:relSizeAnchor xmlns:cdr="http://schemas.openxmlformats.org/drawingml/2006/chartDrawing">
    <cdr:from>
      <cdr:x>0.88817</cdr:x>
      <cdr:y>0.19488</cdr:y>
    </cdr:from>
    <cdr:to>
      <cdr:x>0.95229</cdr:x>
      <cdr:y>0.93268</cdr:y>
    </cdr:to>
    <cdr:grpSp>
      <cdr:nvGrpSpPr>
        <cdr:cNvPr id="167" name="Groupe 166"/>
        <cdr:cNvGrpSpPr/>
      </cdr:nvGrpSpPr>
      <cdr:grpSpPr>
        <a:xfrm xmlns:a="http://schemas.openxmlformats.org/drawingml/2006/main">
          <a:off x="9020282" y="1341128"/>
          <a:ext cx="651205" cy="5077400"/>
          <a:chOff x="8975913" y="1381339"/>
          <a:chExt cx="647998" cy="5059796"/>
        </a:xfrm>
      </cdr:grpSpPr>
      <cdr:sp macro="" textlink="Calculs!$Y$166">
        <cdr:nvSpPr>
          <cdr:cNvPr id="143" name="ZoneTexte 1"/>
          <cdr:cNvSpPr txBox="1"/>
        </cdr:nvSpPr>
        <cdr:spPr>
          <a:xfrm xmlns:a="http://schemas.openxmlformats.org/drawingml/2006/main">
            <a:off x="8975913" y="5912580"/>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05A4D6B-294F-4F01-ACC4-5D1394C1671F}" type="TxLink">
              <a:rPr lang="en-US" sz="1000" b="1" i="0" u="none" strike="noStrike">
                <a:solidFill>
                  <a:srgbClr val="000000"/>
                </a:solidFill>
                <a:latin typeface="+mn-lt"/>
                <a:cs typeface="Calibri"/>
              </a:rPr>
              <a:pPr algn="l"/>
              <a:t>104</a:t>
            </a:fld>
            <a:endParaRPr lang="fr-FR" sz="1000" b="1">
              <a:latin typeface="+mn-lt"/>
            </a:endParaRPr>
          </a:p>
        </cdr:txBody>
      </cdr:sp>
      <cdr:sp macro="" textlink="Calculs!$Y$165">
        <cdr:nvSpPr>
          <cdr:cNvPr id="144" name="ZoneTexte 1"/>
          <cdr:cNvSpPr txBox="1"/>
        </cdr:nvSpPr>
        <cdr:spPr>
          <a:xfrm xmlns:a="http://schemas.openxmlformats.org/drawingml/2006/main">
            <a:off x="8975913" y="5564023"/>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27F5D8A-145B-43CB-ACE2-81AC76336C14}" type="TxLink">
              <a:rPr lang="en-US" sz="1000" b="1" i="0" u="none" strike="noStrike">
                <a:solidFill>
                  <a:srgbClr val="000000"/>
                </a:solidFill>
                <a:latin typeface="+mn-lt"/>
                <a:cs typeface="Calibri"/>
              </a:rPr>
              <a:pPr algn="l"/>
              <a:t>1484</a:t>
            </a:fld>
            <a:endParaRPr lang="fr-FR" sz="1000" b="1">
              <a:latin typeface="+mn-lt"/>
            </a:endParaRPr>
          </a:p>
        </cdr:txBody>
      </cdr:sp>
      <cdr:sp macro="" textlink="Calculs!$Y$164">
        <cdr:nvSpPr>
          <cdr:cNvPr id="145" name="ZoneTexte 1"/>
          <cdr:cNvSpPr txBox="1"/>
        </cdr:nvSpPr>
        <cdr:spPr>
          <a:xfrm xmlns:a="http://schemas.openxmlformats.org/drawingml/2006/main">
            <a:off x="8975913" y="5215466"/>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101B05B-A998-41A7-B51E-E93EB90DCAA2}" type="TxLink">
              <a:rPr lang="en-US" sz="1000" b="1" i="0" u="none" strike="noStrike">
                <a:solidFill>
                  <a:srgbClr val="000000"/>
                </a:solidFill>
                <a:latin typeface="+mn-lt"/>
                <a:cs typeface="Calibri"/>
              </a:rPr>
              <a:pPr algn="l"/>
              <a:t>0</a:t>
            </a:fld>
            <a:endParaRPr lang="fr-FR" sz="1000" b="1">
              <a:latin typeface="+mn-lt"/>
            </a:endParaRPr>
          </a:p>
        </cdr:txBody>
      </cdr:sp>
      <cdr:sp macro="" textlink="Calculs!$Y$163">
        <cdr:nvSpPr>
          <cdr:cNvPr id="146" name="ZoneTexte 1"/>
          <cdr:cNvSpPr txBox="1"/>
        </cdr:nvSpPr>
        <cdr:spPr>
          <a:xfrm xmlns:a="http://schemas.openxmlformats.org/drawingml/2006/main">
            <a:off x="8975913" y="4866909"/>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BE15737-FF2D-4D18-AFC6-92BBF7B78772}" type="TxLink">
              <a:rPr lang="en-US" sz="1000" b="1" i="0" u="none" strike="noStrike">
                <a:solidFill>
                  <a:srgbClr val="000000"/>
                </a:solidFill>
                <a:latin typeface="+mn-lt"/>
                <a:cs typeface="Calibri"/>
              </a:rPr>
              <a:pPr algn="l"/>
              <a:t>0</a:t>
            </a:fld>
            <a:endParaRPr lang="fr-FR" sz="1000" b="1">
              <a:latin typeface="+mn-lt"/>
            </a:endParaRPr>
          </a:p>
        </cdr:txBody>
      </cdr:sp>
      <cdr:sp macro="" textlink="Calculs!$Y$167">
        <cdr:nvSpPr>
          <cdr:cNvPr id="147" name="ZoneTexte 1"/>
          <cdr:cNvSpPr txBox="1"/>
        </cdr:nvSpPr>
        <cdr:spPr>
          <a:xfrm xmlns:a="http://schemas.openxmlformats.org/drawingml/2006/main">
            <a:off x="8975913" y="6261135"/>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B4AA679-40F7-4415-A5AE-8F3F595DA43D}" type="TxLink">
              <a:rPr lang="en-US" sz="1000" b="1" i="0" u="none" strike="noStrike">
                <a:solidFill>
                  <a:srgbClr val="000000"/>
                </a:solidFill>
                <a:latin typeface="+mn-lt"/>
                <a:cs typeface="Calibri"/>
              </a:rPr>
              <a:pPr algn="l"/>
              <a:t>0</a:t>
            </a:fld>
            <a:endParaRPr lang="fr-FR" sz="1000" b="1">
              <a:latin typeface="+mn-lt"/>
            </a:endParaRPr>
          </a:p>
        </cdr:txBody>
      </cdr:sp>
      <cdr:sp macro="" textlink="Calculs!$Y$159">
        <cdr:nvSpPr>
          <cdr:cNvPr id="148" name="ZoneTexte 1"/>
          <cdr:cNvSpPr txBox="1"/>
        </cdr:nvSpPr>
        <cdr:spPr>
          <a:xfrm xmlns:a="http://schemas.openxmlformats.org/drawingml/2006/main">
            <a:off x="8975913" y="3472681"/>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C2FAFA2-5E93-441E-BD39-8BEC39B63A99}" type="TxLink">
              <a:rPr lang="en-US" sz="1000" b="1" i="0" u="none" strike="noStrike">
                <a:solidFill>
                  <a:srgbClr val="000000"/>
                </a:solidFill>
                <a:latin typeface="+mn-lt"/>
                <a:cs typeface="Calibri"/>
              </a:rPr>
              <a:pPr algn="l"/>
              <a:t>22</a:t>
            </a:fld>
            <a:endParaRPr lang="fr-FR" sz="1000" b="1">
              <a:latin typeface="+mn-lt"/>
            </a:endParaRPr>
          </a:p>
        </cdr:txBody>
      </cdr:sp>
      <cdr:sp macro="" textlink="Calculs!$Y$153">
        <cdr:nvSpPr>
          <cdr:cNvPr id="149" name="ZoneTexte 8"/>
          <cdr:cNvSpPr txBox="1"/>
        </cdr:nvSpPr>
        <cdr:spPr>
          <a:xfrm xmlns:a="http://schemas.openxmlformats.org/drawingml/2006/main">
            <a:off x="8975913" y="1381339"/>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0355D0DD-B2C1-4590-AE23-C9B284B6A939}" type="TxLink">
              <a:rPr lang="en-US" sz="1000" b="1" i="0" u="none" strike="noStrike">
                <a:solidFill>
                  <a:srgbClr val="000000"/>
                </a:solidFill>
                <a:latin typeface="+mn-lt"/>
                <a:cs typeface="Calibri"/>
              </a:rPr>
              <a:pPr marL="0" indent="0" algn="l"/>
              <a:t>6338</a:t>
            </a:fld>
            <a:endParaRPr lang="fr-FR" sz="1000" b="1">
              <a:latin typeface="+mn-lt"/>
            </a:endParaRPr>
          </a:p>
        </cdr:txBody>
      </cdr:sp>
      <cdr:sp macro="" textlink="Calculs!$Y$158">
        <cdr:nvSpPr>
          <cdr:cNvPr id="150" name="ZoneTexte 1"/>
          <cdr:cNvSpPr txBox="1"/>
        </cdr:nvSpPr>
        <cdr:spPr>
          <a:xfrm xmlns:a="http://schemas.openxmlformats.org/drawingml/2006/main">
            <a:off x="8975913" y="3124124"/>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9E2A71C-71E3-4FC0-A0A9-621DB3B3C1D0}" type="TxLink">
              <a:rPr lang="en-US" sz="1000" b="1" i="0" u="none" strike="noStrike">
                <a:solidFill>
                  <a:srgbClr val="000000"/>
                </a:solidFill>
                <a:latin typeface="+mn-lt"/>
                <a:cs typeface="Calibri"/>
              </a:rPr>
              <a:pPr algn="l"/>
              <a:t>56</a:t>
            </a:fld>
            <a:endParaRPr lang="fr-FR" sz="1000" b="1">
              <a:latin typeface="+mn-lt"/>
            </a:endParaRPr>
          </a:p>
        </cdr:txBody>
      </cdr:sp>
      <cdr:sp macro="" textlink="Calculs!$Y$156">
        <cdr:nvSpPr>
          <cdr:cNvPr id="151" name="ZoneTexte 1"/>
          <cdr:cNvSpPr txBox="1"/>
        </cdr:nvSpPr>
        <cdr:spPr>
          <a:xfrm xmlns:a="http://schemas.openxmlformats.org/drawingml/2006/main">
            <a:off x="8975913" y="2427010"/>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48524D7-ED67-491B-8FA0-D1B92B2E308B}" type="TxLink">
              <a:rPr lang="en-US" sz="1000" b="1" i="0" u="none" strike="noStrike">
                <a:solidFill>
                  <a:srgbClr val="000000"/>
                </a:solidFill>
                <a:latin typeface="+mn-lt"/>
                <a:cs typeface="Calibri"/>
              </a:rPr>
              <a:pPr algn="l"/>
              <a:t>1267</a:t>
            </a:fld>
            <a:endParaRPr lang="fr-FR" sz="1000" b="1">
              <a:latin typeface="+mn-lt"/>
            </a:endParaRPr>
          </a:p>
        </cdr:txBody>
      </cdr:sp>
      <cdr:sp macro="" textlink="Calculs!$Y$155">
        <cdr:nvSpPr>
          <cdr:cNvPr id="152" name="ZoneTexte 1"/>
          <cdr:cNvSpPr txBox="1"/>
        </cdr:nvSpPr>
        <cdr:spPr>
          <a:xfrm xmlns:a="http://schemas.openxmlformats.org/drawingml/2006/main">
            <a:off x="8975913" y="2078453"/>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2947DD4-5AE8-40AF-BAB7-08307287C947}" type="TxLink">
              <a:rPr lang="en-US" sz="1000" b="1" i="0" u="none" strike="noStrike">
                <a:solidFill>
                  <a:srgbClr val="000000"/>
                </a:solidFill>
                <a:latin typeface="+mn-lt"/>
                <a:cs typeface="Calibri"/>
              </a:rPr>
              <a:pPr algn="l"/>
              <a:t>27</a:t>
            </a:fld>
            <a:endParaRPr lang="fr-FR" sz="1000" b="1">
              <a:latin typeface="+mn-lt"/>
            </a:endParaRPr>
          </a:p>
        </cdr:txBody>
      </cdr:sp>
      <cdr:sp macro="" textlink="Calculs!$Y$154">
        <cdr:nvSpPr>
          <cdr:cNvPr id="153" name="ZoneTexte 1"/>
          <cdr:cNvSpPr txBox="1"/>
        </cdr:nvSpPr>
        <cdr:spPr>
          <a:xfrm xmlns:a="http://schemas.openxmlformats.org/drawingml/2006/main">
            <a:off x="8975913" y="1729896"/>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CDC06DB-93E4-430C-86F7-7170CC8E695E}" type="TxLink">
              <a:rPr lang="en-US" sz="1000" b="1" i="0" u="none" strike="noStrike">
                <a:solidFill>
                  <a:srgbClr val="000000"/>
                </a:solidFill>
                <a:latin typeface="+mn-lt"/>
                <a:cs typeface="Calibri"/>
              </a:rPr>
              <a:pPr algn="l"/>
              <a:t>546</a:t>
            </a:fld>
            <a:endParaRPr lang="fr-FR" sz="1000" b="1">
              <a:latin typeface="+mn-lt"/>
            </a:endParaRPr>
          </a:p>
        </cdr:txBody>
      </cdr:sp>
      <cdr:sp macro="" textlink="Calculs!$Y$157">
        <cdr:nvSpPr>
          <cdr:cNvPr id="154" name="ZoneTexte 1"/>
          <cdr:cNvSpPr txBox="1"/>
        </cdr:nvSpPr>
        <cdr:spPr>
          <a:xfrm xmlns:a="http://schemas.openxmlformats.org/drawingml/2006/main">
            <a:off x="8975913" y="2775567"/>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FBEB3CB-8F66-45D1-AAA2-7966569527BE}" type="TxLink">
              <a:rPr lang="en-US" sz="1000" b="1" i="0" u="none" strike="noStrike">
                <a:solidFill>
                  <a:srgbClr val="000000"/>
                </a:solidFill>
                <a:latin typeface="+mn-lt"/>
                <a:cs typeface="Calibri"/>
              </a:rPr>
              <a:pPr algn="l"/>
              <a:t>146</a:t>
            </a:fld>
            <a:endParaRPr lang="fr-FR" sz="1000" b="1">
              <a:latin typeface="+mn-lt"/>
            </a:endParaRPr>
          </a:p>
        </cdr:txBody>
      </cdr:sp>
      <cdr:sp macro="" textlink="Calculs!$Y$160">
        <cdr:nvSpPr>
          <cdr:cNvPr id="155" name="ZoneTexte 1"/>
          <cdr:cNvSpPr txBox="1"/>
        </cdr:nvSpPr>
        <cdr:spPr>
          <a:xfrm xmlns:a="http://schemas.openxmlformats.org/drawingml/2006/main">
            <a:off x="8975913" y="3821238"/>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F60214A2-3027-48EC-80B3-15A87FDE4716}" type="TxLink">
              <a:rPr lang="en-US" sz="1000" b="1" i="0" u="none" strike="noStrike">
                <a:solidFill>
                  <a:srgbClr val="000000"/>
                </a:solidFill>
                <a:latin typeface="+mn-lt"/>
                <a:cs typeface="Calibri"/>
              </a:rPr>
              <a:pPr marL="0" indent="0" algn="l"/>
              <a:t>0</a:t>
            </a:fld>
            <a:endParaRPr lang="fr-FR" sz="1000" b="1">
              <a:latin typeface="+mn-lt"/>
            </a:endParaRPr>
          </a:p>
        </cdr:txBody>
      </cdr:sp>
      <cdr:sp macro="" textlink="Calculs!$Y$161">
        <cdr:nvSpPr>
          <cdr:cNvPr id="156" name="ZoneTexte 1"/>
          <cdr:cNvSpPr txBox="1"/>
        </cdr:nvSpPr>
        <cdr:spPr>
          <a:xfrm xmlns:a="http://schemas.openxmlformats.org/drawingml/2006/main">
            <a:off x="8975913" y="4169795"/>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41782264-69F3-4CA3-9D4B-0C024C3969FA}" type="TxLink">
              <a:rPr lang="en-US" sz="1000" b="1" i="0" u="none" strike="noStrike">
                <a:solidFill>
                  <a:srgbClr val="000000"/>
                </a:solidFill>
                <a:latin typeface="+mn-lt"/>
                <a:cs typeface="Calibri"/>
              </a:rPr>
              <a:pPr marL="0" indent="0" algn="l"/>
              <a:t>100</a:t>
            </a:fld>
            <a:endParaRPr lang="fr-FR" sz="1000" b="1">
              <a:latin typeface="+mn-lt"/>
            </a:endParaRPr>
          </a:p>
        </cdr:txBody>
      </cdr:sp>
      <cdr:sp macro="" textlink="Calculs!$Y$162">
        <cdr:nvSpPr>
          <cdr:cNvPr id="157" name="ZoneTexte 1"/>
          <cdr:cNvSpPr txBox="1"/>
        </cdr:nvSpPr>
        <cdr:spPr>
          <a:xfrm xmlns:a="http://schemas.openxmlformats.org/drawingml/2006/main">
            <a:off x="8975913" y="4518352"/>
            <a:ext cx="647998"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32A8E119-CC3D-4A38-BDA3-D0956C4D0255}" type="TxLink">
              <a:rPr lang="en-US" sz="1000" b="1" i="0" u="none" strike="noStrike">
                <a:solidFill>
                  <a:srgbClr val="000000"/>
                </a:solidFill>
                <a:latin typeface="+mn-lt"/>
                <a:cs typeface="Calibri"/>
              </a:rPr>
              <a:pPr marL="0" indent="0" algn="l"/>
              <a:t>45</a:t>
            </a:fld>
            <a:endParaRPr lang="fr-FR" sz="1000" b="1">
              <a:latin typeface="+mn-lt"/>
            </a:endParaRPr>
          </a:p>
        </cdr:txBody>
      </cdr:sp>
    </cdr:grpSp>
  </cdr:relSizeAnchor>
  <cdr:relSizeAnchor xmlns:cdr="http://schemas.openxmlformats.org/drawingml/2006/chartDrawing">
    <cdr:from>
      <cdr:x>0.9536</cdr:x>
      <cdr:y>0.19608</cdr:y>
    </cdr:from>
    <cdr:to>
      <cdr:x>0.99778</cdr:x>
      <cdr:y>0.93215</cdr:y>
    </cdr:to>
    <cdr:grpSp>
      <cdr:nvGrpSpPr>
        <cdr:cNvPr id="168" name="Groupe 167"/>
        <cdr:cNvGrpSpPr/>
      </cdr:nvGrpSpPr>
      <cdr:grpSpPr>
        <a:xfrm xmlns:a="http://schemas.openxmlformats.org/drawingml/2006/main">
          <a:off x="9684791" y="1349386"/>
          <a:ext cx="448694" cy="5065495"/>
          <a:chOff x="9543547" y="1378325"/>
          <a:chExt cx="540066" cy="5047969"/>
        </a:xfrm>
      </cdr:grpSpPr>
      <cdr:sp macro="" textlink="Calculs!$Y$207">
        <cdr:nvSpPr>
          <cdr:cNvPr id="110" name="ZoneTexte 18"/>
          <cdr:cNvSpPr txBox="1"/>
        </cdr:nvSpPr>
        <cdr:spPr>
          <a:xfrm xmlns:a="http://schemas.openxmlformats.org/drawingml/2006/main">
            <a:off x="9543547" y="1378325"/>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97B4CA8-F37F-48E1-A5C4-972F3BF7CCB5}"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4">
        <cdr:nvSpPr>
          <cdr:cNvPr id="111" name="ZoneTexte 1"/>
          <cdr:cNvSpPr txBox="1"/>
        </cdr:nvSpPr>
        <cdr:spPr>
          <a:xfrm xmlns:a="http://schemas.openxmlformats.org/drawingml/2006/main">
            <a:off x="9543547" y="3812309"/>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A5B6F13-7F35-4394-B1D3-9D78C8741A9C}"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0">
        <cdr:nvSpPr>
          <cdr:cNvPr id="112" name="ZoneTexte 1"/>
          <cdr:cNvSpPr txBox="1"/>
        </cdr:nvSpPr>
        <cdr:spPr>
          <a:xfrm xmlns:a="http://schemas.openxmlformats.org/drawingml/2006/main">
            <a:off x="9543547" y="2421461"/>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EC24D31-4775-46EB-93EA-E0269EF51E4C}"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09">
        <cdr:nvSpPr>
          <cdr:cNvPr id="113" name="ZoneTexte 1"/>
          <cdr:cNvSpPr txBox="1"/>
        </cdr:nvSpPr>
        <cdr:spPr>
          <a:xfrm xmlns:a="http://schemas.openxmlformats.org/drawingml/2006/main">
            <a:off x="9543547" y="2073749"/>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54F532A-C6F7-42D4-9699-3731BDC84FC9}"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08">
        <cdr:nvSpPr>
          <cdr:cNvPr id="114" name="ZoneTexte 1"/>
          <cdr:cNvSpPr txBox="1"/>
        </cdr:nvSpPr>
        <cdr:spPr>
          <a:xfrm xmlns:a="http://schemas.openxmlformats.org/drawingml/2006/main">
            <a:off x="9543547" y="1726037"/>
            <a:ext cx="540066" cy="1800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5EB5F45-018C-4DA3-80F4-6161773F394B}"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1">
        <cdr:nvSpPr>
          <cdr:cNvPr id="115" name="ZoneTexte 1"/>
          <cdr:cNvSpPr txBox="1"/>
        </cdr:nvSpPr>
        <cdr:spPr>
          <a:xfrm xmlns:a="http://schemas.openxmlformats.org/drawingml/2006/main">
            <a:off x="9543547" y="2769173"/>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1089D43-E36F-4645-889D-2A515176920F}"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8">
        <cdr:nvSpPr>
          <cdr:cNvPr id="116" name="ZoneTexte 1"/>
          <cdr:cNvSpPr txBox="1"/>
        </cdr:nvSpPr>
        <cdr:spPr>
          <a:xfrm xmlns:a="http://schemas.openxmlformats.org/drawingml/2006/main">
            <a:off x="9543547" y="5203157"/>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F3D3C3D-6B66-4667-A13F-DC0523D82C01}"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7">
        <cdr:nvSpPr>
          <cdr:cNvPr id="117" name="ZoneTexte 1"/>
          <cdr:cNvSpPr txBox="1"/>
        </cdr:nvSpPr>
        <cdr:spPr>
          <a:xfrm xmlns:a="http://schemas.openxmlformats.org/drawingml/2006/main">
            <a:off x="9543547" y="4855445"/>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677F155-082A-48AB-8593-0085664E86C7}"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6">
        <cdr:nvSpPr>
          <cdr:cNvPr id="136" name="ZoneTexte 1"/>
          <cdr:cNvSpPr txBox="1"/>
        </cdr:nvSpPr>
        <cdr:spPr>
          <a:xfrm xmlns:a="http://schemas.openxmlformats.org/drawingml/2006/main">
            <a:off x="9543547" y="4507733"/>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E82A5B5-00FA-40F0-8B29-7D1152AA47BB}"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5">
        <cdr:nvSpPr>
          <cdr:cNvPr id="137" name="ZoneTexte 1"/>
          <cdr:cNvSpPr txBox="1"/>
        </cdr:nvSpPr>
        <cdr:spPr>
          <a:xfrm xmlns:a="http://schemas.openxmlformats.org/drawingml/2006/main">
            <a:off x="9543547" y="4160021"/>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8E25FB7-F220-4877-99A6-3F0BC49F1C0B}"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3">
        <cdr:nvSpPr>
          <cdr:cNvPr id="138" name="ZoneTexte 1"/>
          <cdr:cNvSpPr txBox="1"/>
        </cdr:nvSpPr>
        <cdr:spPr>
          <a:xfrm xmlns:a="http://schemas.openxmlformats.org/drawingml/2006/main">
            <a:off x="9543547" y="3464597"/>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EA54E0E-6383-4EF4-AE23-B85722BAF069}"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21">
        <cdr:nvSpPr>
          <cdr:cNvPr id="139" name="ZoneTexte 1"/>
          <cdr:cNvSpPr txBox="1"/>
        </cdr:nvSpPr>
        <cdr:spPr>
          <a:xfrm xmlns:a="http://schemas.openxmlformats.org/drawingml/2006/main">
            <a:off x="9543547" y="6246294"/>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62AC50F-4684-471A-A1D5-0944CD96420D}"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20">
        <cdr:nvSpPr>
          <cdr:cNvPr id="140" name="ZoneTexte 1"/>
          <cdr:cNvSpPr txBox="1"/>
        </cdr:nvSpPr>
        <cdr:spPr>
          <a:xfrm xmlns:a="http://schemas.openxmlformats.org/drawingml/2006/main">
            <a:off x="9543547" y="5898581"/>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1FBA420-93B8-4DEA-86B2-ADE367120C72}"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9">
        <cdr:nvSpPr>
          <cdr:cNvPr id="141" name="ZoneTexte 1"/>
          <cdr:cNvSpPr txBox="1"/>
        </cdr:nvSpPr>
        <cdr:spPr>
          <a:xfrm xmlns:a="http://schemas.openxmlformats.org/drawingml/2006/main">
            <a:off x="9543547" y="5550869"/>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DDE6668-D530-4775-AB5D-6212AB4B9D0C}" type="TxLink">
              <a:rPr lang="en-US" sz="1000" b="1" i="0" u="none" strike="noStrike">
                <a:solidFill>
                  <a:srgbClr val="000000"/>
                </a:solidFill>
                <a:latin typeface="+mn-lt"/>
                <a:cs typeface="Calibri"/>
              </a:rPr>
              <a:pPr algn="l"/>
              <a:t>ND</a:t>
            </a:fld>
            <a:endParaRPr lang="fr-FR" sz="1000" b="1">
              <a:latin typeface="+mn-lt"/>
            </a:endParaRPr>
          </a:p>
        </cdr:txBody>
      </cdr:sp>
      <cdr:sp macro="" textlink="Calculs!$Y$212">
        <cdr:nvSpPr>
          <cdr:cNvPr id="142" name="ZoneTexte 1"/>
          <cdr:cNvSpPr txBox="1"/>
        </cdr:nvSpPr>
        <cdr:spPr>
          <a:xfrm xmlns:a="http://schemas.openxmlformats.org/drawingml/2006/main">
            <a:off x="9543547" y="3116885"/>
            <a:ext cx="540066" cy="1800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90BFFA2-199E-462E-AF30-06226A3AFEAF}" type="TxLink">
              <a:rPr lang="en-US" sz="1000" b="1" i="0" u="none" strike="noStrike">
                <a:solidFill>
                  <a:srgbClr val="000000"/>
                </a:solidFill>
                <a:latin typeface="+mn-lt"/>
                <a:cs typeface="Calibri"/>
              </a:rPr>
              <a:pPr algn="l"/>
              <a:t>ND</a:t>
            </a:fld>
            <a:endParaRPr lang="fr-FR" sz="1000" b="1">
              <a:latin typeface="+mn-lt"/>
            </a:endParaRPr>
          </a:p>
        </cdr:txBody>
      </cdr:sp>
    </cdr:grpSp>
  </cdr:relSizeAnchor>
  <cdr:relSizeAnchor xmlns:cdr="http://schemas.openxmlformats.org/drawingml/2006/chartDrawing">
    <cdr:from>
      <cdr:x>0.33185</cdr:x>
      <cdr:y>0.10048</cdr:y>
    </cdr:from>
    <cdr:to>
      <cdr:x>0.47821</cdr:x>
      <cdr:y>0.14217</cdr:y>
    </cdr:to>
    <cdr:sp macro="" textlink="'TRAD-visualiz'!$B$7">
      <cdr:nvSpPr>
        <cdr:cNvPr id="51" name="ZoneTexte 6"/>
        <cdr:cNvSpPr txBox="1"/>
      </cdr:nvSpPr>
      <cdr:spPr>
        <a:xfrm xmlns:a="http://schemas.openxmlformats.org/drawingml/2006/main">
          <a:off x="3372835" y="691344"/>
          <a:ext cx="1487565"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87C7768-8464-4834-BAA6-9749321BBCD6}" type="TxLink">
            <a:rPr lang="en-US" sz="1000" b="0" i="0" u="none" strike="noStrike">
              <a:solidFill>
                <a:srgbClr val="000000"/>
              </a:solidFill>
              <a:latin typeface="+mn-lt"/>
              <a:cs typeface="Calibri"/>
            </a:rPr>
            <a:pPr/>
            <a:t>Dates de péremption </a:t>
          </a:fld>
          <a:endParaRPr lang="fr-FR" sz="1100" i="1">
            <a:latin typeface="+mn-lt"/>
          </a:endParaRPr>
        </a:p>
      </cdr:txBody>
    </cdr:sp>
  </cdr:relSizeAnchor>
  <cdr:relSizeAnchor xmlns:cdr="http://schemas.openxmlformats.org/drawingml/2006/chartDrawing">
    <cdr:from>
      <cdr:x>0.53837</cdr:x>
      <cdr:y>0.09968</cdr:y>
    </cdr:from>
    <cdr:to>
      <cdr:x>0.85993</cdr:x>
      <cdr:y>0.14217</cdr:y>
    </cdr:to>
    <cdr:sp macro="" textlink="Calculs!$F$499">
      <cdr:nvSpPr>
        <cdr:cNvPr id="52" name="ZoneTexte 1"/>
        <cdr:cNvSpPr txBox="1"/>
      </cdr:nvSpPr>
      <cdr:spPr>
        <a:xfrm xmlns:a="http://schemas.openxmlformats.org/drawingml/2006/main">
          <a:off x="5471826" y="685839"/>
          <a:ext cx="3268250"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19631E2-0265-4193-9EB8-E9D9475D4000}" type="TxLink">
            <a:rPr lang="en-US" sz="1000" b="1" i="1" u="none" strike="noStrike">
              <a:solidFill>
                <a:srgbClr val="C00000"/>
              </a:solidFill>
              <a:latin typeface="+mn-lt"/>
              <a:ea typeface="+mn-ea"/>
              <a:cs typeface="+mn-cs"/>
            </a:rPr>
            <a:pPr/>
            <a:t>Prises en compte</a:t>
          </a:fld>
          <a:endParaRPr lang="fr-FR" sz="1000" b="1" i="1" u="none" strike="noStrike">
            <a:solidFill>
              <a:srgbClr val="C00000"/>
            </a:solidFill>
            <a:latin typeface="+mn-lt"/>
            <a:ea typeface="+mn-ea"/>
            <a:cs typeface="+mn-cs"/>
          </a:endParaRPr>
        </a:p>
      </cdr:txBody>
    </cdr:sp>
  </cdr:relSizeAnchor>
  <cdr:relSizeAnchor xmlns:cdr="http://schemas.openxmlformats.org/drawingml/2006/chartDrawing">
    <cdr:from>
      <cdr:x>0.30451</cdr:x>
      <cdr:y>0</cdr:y>
    </cdr:from>
    <cdr:to>
      <cdr:x>0.41917</cdr:x>
      <cdr:y>0.04723</cdr:y>
    </cdr:to>
    <cdr:sp macro="" textlink="'TRAD-visualiz'!$B$14">
      <cdr:nvSpPr>
        <cdr:cNvPr id="2" name="ZoneTexte 1"/>
        <cdr:cNvSpPr txBox="1"/>
      </cdr:nvSpPr>
      <cdr:spPr>
        <a:xfrm xmlns:a="http://schemas.openxmlformats.org/drawingml/2006/main">
          <a:off x="3094965" y="-35719"/>
          <a:ext cx="1165374" cy="32496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08BADDF-963F-4CFB-824B-465AD7F7FBB2}" type="TxLink">
            <a:rPr lang="fr-FR" sz="1600" b="1" i="0" u="none" strike="noStrike">
              <a:solidFill>
                <a:srgbClr val="FF0000"/>
              </a:solidFill>
              <a:latin typeface="+mn-lt"/>
              <a:cs typeface="Arial" pitchFamily="34" charset="0"/>
            </a:rPr>
            <a:pPr/>
            <a:t> Comprimés - CDF</a:t>
          </a:fld>
          <a:endParaRPr lang="fr-FR" sz="1600" b="1">
            <a:solidFill>
              <a:srgbClr val="FF0000"/>
            </a:solidFill>
            <a:latin typeface="+mn-lt"/>
            <a:cs typeface="Arial" pitchFamily="34" charset="0"/>
          </a:endParaRPr>
        </a:p>
      </cdr:txBody>
    </cdr:sp>
  </cdr:relSizeAnchor>
  <cdr:relSizeAnchor xmlns:cdr="http://schemas.openxmlformats.org/drawingml/2006/chartDrawing">
    <cdr:from>
      <cdr:x>0.85229</cdr:x>
      <cdr:y>0.00565</cdr:y>
    </cdr:from>
    <cdr:to>
      <cdr:x>1</cdr:x>
      <cdr:y>0.1045</cdr:y>
    </cdr:to>
    <cdr:pic>
      <cdr:nvPicPr>
        <cdr:cNvPr id="53" name="Image 52"/>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55844" y="38893"/>
          <a:ext cx="1500187" cy="680245"/>
        </a:xfrm>
        <a:prstGeom xmlns:a="http://schemas.openxmlformats.org/drawingml/2006/main" prst="rect">
          <a:avLst/>
        </a:prstGeom>
      </cdr:spPr>
    </cdr:pic>
  </cdr:relSizeAnchor>
</c:userShapes>
</file>

<file path=xl/drawings/drawing21.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0.0194</cdr:x>
      <cdr:y>0.07353</cdr:y>
    </cdr:from>
    <cdr:to>
      <cdr:x>0.24898</cdr:x>
      <cdr:y>0.11522</cdr:y>
    </cdr:to>
    <cdr:sp macro="" textlink="'TRAD-visualiz'!$B$4">
      <cdr:nvSpPr>
        <cdr:cNvPr id="7" name="ZoneTexte 6"/>
        <cdr:cNvSpPr txBox="1"/>
      </cdr:nvSpPr>
      <cdr:spPr>
        <a:xfrm xmlns:a="http://schemas.openxmlformats.org/drawingml/2006/main">
          <a:off x="196057" y="504244"/>
          <a:ext cx="2320141" cy="28591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FF00FC66-852C-49BA-840C-367A92C41A4C}"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02">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0.0194</cdr:x>
      <cdr:y>0.04197</cdr:y>
    </cdr:from>
    <cdr:to>
      <cdr:x>0.19959</cdr:x>
      <cdr:y>0.08361</cdr:y>
    </cdr:to>
    <cdr:sp macro="" textlink="'TRAD-visualiz'!$B$3">
      <cdr:nvSpPr>
        <cdr:cNvPr id="9" name="ZoneTexte 1"/>
        <cdr:cNvSpPr txBox="1"/>
      </cdr:nvSpPr>
      <cdr:spPr>
        <a:xfrm xmlns:a="http://schemas.openxmlformats.org/drawingml/2006/main">
          <a:off x="196057" y="287830"/>
          <a:ext cx="1821002" cy="285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2C4D5F9-CF77-4D51-838D-6F0844727C63}"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0.17607</cdr:x>
      <cdr:y>0.04034</cdr:y>
    </cdr:from>
    <cdr:to>
      <cdr:x>0.32085</cdr:x>
      <cdr:y>0.08283</cdr:y>
    </cdr:to>
    <cdr:sp macro="" textlink="Paramétrage!$D$11">
      <cdr:nvSpPr>
        <cdr:cNvPr id="10" name="ZoneTexte 1"/>
        <cdr:cNvSpPr txBox="1"/>
      </cdr:nvSpPr>
      <cdr:spPr>
        <a:xfrm xmlns:a="http://schemas.openxmlformats.org/drawingml/2006/main">
          <a:off x="1789521" y="277565"/>
          <a:ext cx="1471506"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mn-lt"/>
              <a:cs typeface="Calibri"/>
            </a:rPr>
            <a:pPr/>
            <a:t>TEST</a:t>
          </a:fld>
          <a:endParaRPr lang="fr-FR" sz="1050" b="1" i="1">
            <a:latin typeface="+mn-lt"/>
          </a:endParaRPr>
        </a:p>
      </cdr:txBody>
    </cdr:sp>
  </cdr:relSizeAnchor>
  <cdr:relSizeAnchor xmlns:cdr="http://schemas.openxmlformats.org/drawingml/2006/chartDrawing">
    <cdr:from>
      <cdr:x>0.85935</cdr:x>
      <cdr:y>0.09637</cdr:y>
    </cdr:from>
    <cdr:to>
      <cdr:x>0.99795</cdr:x>
      <cdr:y>0.17643</cdr:y>
    </cdr:to>
    <cdr:sp macro="" textlink="'TRAD-visualiz'!$B$8">
      <cdr:nvSpPr>
        <cdr:cNvPr id="12" name="ZoneTexte 11"/>
        <cdr:cNvSpPr txBox="1"/>
      </cdr:nvSpPr>
      <cdr:spPr>
        <a:xfrm xmlns:a="http://schemas.openxmlformats.org/drawingml/2006/main">
          <a:off x="8734206" y="663070"/>
          <a:ext cx="1408693" cy="55084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B43094EC-4AB2-4DC9-9208-642C952CE64B}" type="TxLink">
            <a:rPr lang="en-US" sz="1050" b="0" i="0" u="none" strike="noStrike">
              <a:solidFill>
                <a:srgbClr val="000000"/>
              </a:solidFill>
              <a:latin typeface="+mn-lt"/>
              <a:cs typeface="Calibri"/>
            </a:rPr>
            <a:pPr algn="ctr"/>
            <a:t>Nb de patients concernés / mois</a:t>
          </a:fld>
          <a:endParaRPr lang="fr-FR" sz="105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02">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0.344</cdr:x>
      <cdr:y>0.07164</cdr:y>
    </cdr:from>
    <cdr:to>
      <cdr:x>0.53361</cdr:x>
      <cdr:y>0.11333</cdr:y>
    </cdr:to>
    <cdr:sp macro="" textlink="'TRAD-visualiz'!$B$6">
      <cdr:nvSpPr>
        <cdr:cNvPr id="119" name="ZoneTexte 6"/>
        <cdr:cNvSpPr txBox="1"/>
      </cdr:nvSpPr>
      <cdr:spPr>
        <a:xfrm xmlns:a="http://schemas.openxmlformats.org/drawingml/2006/main">
          <a:off x="3496360" y="492947"/>
          <a:ext cx="192714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6EAB430-849C-4829-B6E1-263F804DE284}" type="TxLink">
            <a:rPr lang="en-US" sz="1050" b="0" i="0" u="none" strike="noStrike">
              <a:solidFill>
                <a:srgbClr val="000000"/>
              </a:solidFill>
              <a:latin typeface="+mn-lt"/>
              <a:cs typeface="Calibri"/>
            </a:rPr>
            <a:pPr/>
            <a:t>Nature des stocks considérés </a:t>
          </a:fld>
          <a:endParaRPr lang="fr-FR" sz="1050" i="1">
            <a:latin typeface="+mn-lt"/>
          </a:endParaRPr>
        </a:p>
      </cdr:txBody>
    </cdr:sp>
  </cdr:relSizeAnchor>
  <cdr:relSizeAnchor xmlns:cdr="http://schemas.openxmlformats.org/drawingml/2006/chartDrawing">
    <cdr:from>
      <cdr:x>0.19812</cdr:x>
      <cdr:y>0.07353</cdr:y>
    </cdr:from>
    <cdr:to>
      <cdr:x>0.3429</cdr:x>
      <cdr:y>0.11602</cdr:y>
    </cdr:to>
    <cdr:sp macro="" textlink="Paramétrage!$H$19">
      <cdr:nvSpPr>
        <cdr:cNvPr id="122" name="ZoneTexte 1"/>
        <cdr:cNvSpPr txBox="1"/>
      </cdr:nvSpPr>
      <cdr:spPr>
        <a:xfrm xmlns:a="http://schemas.openxmlformats.org/drawingml/2006/main">
          <a:off x="2013640" y="505917"/>
          <a:ext cx="1471505"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0.54653</cdr:x>
      <cdr:y>0.07165</cdr:y>
    </cdr:from>
    <cdr:to>
      <cdr:x>0.86809</cdr:x>
      <cdr:y>0.11414</cdr:y>
    </cdr:to>
    <cdr:sp macro="" textlink="'Calculs dispo Données FA'!$F$122">
      <cdr:nvSpPr>
        <cdr:cNvPr id="123" name="ZoneTexte 1"/>
        <cdr:cNvSpPr txBox="1"/>
      </cdr:nvSpPr>
      <cdr:spPr>
        <a:xfrm xmlns:a="http://schemas.openxmlformats.org/drawingml/2006/main">
          <a:off x="5554794" y="492948"/>
          <a:ext cx="3268251"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1F67E7D-304B-4BBF-8F8E-0F2ABA6D85A1}" type="TxLink">
            <a:rPr lang="fr-FR" sz="1050" b="1" i="1" u="none" strike="noStrike">
              <a:solidFill>
                <a:srgbClr val="C00000"/>
              </a:solidFill>
              <a:latin typeface="+mn-lt"/>
            </a:rPr>
            <a:pPr/>
            <a:t>Stocks centraux</a:t>
          </a:fld>
          <a:endParaRPr lang="fr-FR" sz="1050" b="1" i="1">
            <a:solidFill>
              <a:srgbClr val="C00000"/>
            </a:solidFill>
            <a:latin typeface="+mn-lt"/>
          </a:endParaRPr>
        </a:p>
      </cdr:txBody>
    </cdr:sp>
  </cdr:relSizeAnchor>
  <cdr:relSizeAnchor xmlns:cdr="http://schemas.openxmlformats.org/drawingml/2006/chartDrawing">
    <cdr:from>
      <cdr:x>0.344</cdr:x>
      <cdr:y>0.04034</cdr:y>
    </cdr:from>
    <cdr:to>
      <cdr:x>0.58407</cdr:x>
      <cdr:y>0.08203</cdr:y>
    </cdr:to>
    <cdr:sp macro="" textlink="'TRAD-visualiz'!$B$5">
      <cdr:nvSpPr>
        <cdr:cNvPr id="101" name="ZoneTexte 6"/>
        <cdr:cNvSpPr txBox="1"/>
      </cdr:nvSpPr>
      <cdr:spPr>
        <a:xfrm xmlns:a="http://schemas.openxmlformats.org/drawingml/2006/main">
          <a:off x="3496360" y="277556"/>
          <a:ext cx="2440008"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C61807EB-D41E-4F56-B44B-55B5F09D9CF1}" type="TxLink">
            <a:rPr lang="en-US" sz="1050" b="0" i="0" u="none" strike="noStrike">
              <a:solidFill>
                <a:srgbClr val="000000"/>
              </a:solidFill>
              <a:latin typeface="+mn-lt"/>
              <a:cs typeface="Calibri"/>
            </a:rPr>
            <a:pPr/>
            <a:t>Méthode / type de données utilisées </a:t>
          </a:fld>
          <a:endParaRPr lang="fr-FR" sz="1050" i="1">
            <a:latin typeface="+mn-lt"/>
          </a:endParaRPr>
        </a:p>
      </cdr:txBody>
    </cdr:sp>
  </cdr:relSizeAnchor>
  <cdr:relSizeAnchor xmlns:cdr="http://schemas.openxmlformats.org/drawingml/2006/chartDrawing">
    <cdr:from>
      <cdr:x>0.54653</cdr:x>
      <cdr:y>0.04034</cdr:y>
    </cdr:from>
    <cdr:to>
      <cdr:x>0.74817</cdr:x>
      <cdr:y>0.08283</cdr:y>
    </cdr:to>
    <cdr:sp macro="" textlink="Calculs!$C$487">
      <cdr:nvSpPr>
        <cdr:cNvPr id="102" name="ZoneTexte 1"/>
        <cdr:cNvSpPr txBox="1"/>
      </cdr:nvSpPr>
      <cdr:spPr>
        <a:xfrm xmlns:a="http://schemas.openxmlformats.org/drawingml/2006/main">
          <a:off x="5554794" y="277556"/>
          <a:ext cx="2049415"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4CC3C31-D4B6-48F7-8C27-E05024BF02C9}" type="TxLink">
            <a:rPr lang="fr-FR" sz="1050" b="1" i="1" u="none" strike="noStrike">
              <a:solidFill>
                <a:srgbClr val="C00000"/>
              </a:solidFill>
              <a:latin typeface="+mn-lt"/>
            </a:rPr>
            <a:pPr/>
            <a:t>Données suivi de file active</a:t>
          </a:fld>
          <a:endParaRPr lang="fr-FR" sz="1050" b="1" i="1">
            <a:solidFill>
              <a:srgbClr val="C00000"/>
            </a:solidFill>
            <a:latin typeface="+mn-lt"/>
          </a:endParaRPr>
        </a:p>
      </cdr:txBody>
    </cdr:sp>
  </cdr:relSizeAnchor>
  <cdr:relSizeAnchor xmlns:cdr="http://schemas.openxmlformats.org/drawingml/2006/chartDrawing">
    <cdr:from>
      <cdr:x>0.60764</cdr:x>
      <cdr:y>0.97876</cdr:y>
    </cdr:from>
    <cdr:to>
      <cdr:x>0.61984</cdr:x>
      <cdr:y>0.99183</cdr:y>
    </cdr:to>
    <cdr:sp macro="" textlink="">
      <cdr:nvSpPr>
        <cdr:cNvPr id="103" name="Rectangle 102"/>
        <cdr:cNvSpPr/>
      </cdr:nvSpPr>
      <cdr:spPr>
        <a:xfrm xmlns:a="http://schemas.openxmlformats.org/drawingml/2006/main">
          <a:off x="6140823" y="6712324"/>
          <a:ext cx="123265" cy="89647"/>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sz="1050">
            <a:latin typeface="+mn-lt"/>
          </a:endParaRPr>
        </a:p>
      </cdr:txBody>
    </cdr:sp>
  </cdr:relSizeAnchor>
  <cdr:relSizeAnchor xmlns:cdr="http://schemas.openxmlformats.org/drawingml/2006/chartDrawing">
    <cdr:from>
      <cdr:x>0.62205</cdr:x>
      <cdr:y>0.96732</cdr:y>
    </cdr:from>
    <cdr:to>
      <cdr:x>0.89688</cdr:x>
      <cdr:y>1</cdr:y>
    </cdr:to>
    <cdr:sp macro="" textlink="'TRAD-visualiz'!$B$10">
      <cdr:nvSpPr>
        <cdr:cNvPr id="104" name="ZoneTexte 2"/>
        <cdr:cNvSpPr txBox="1"/>
      </cdr:nvSpPr>
      <cdr:spPr>
        <a:xfrm xmlns:a="http://schemas.openxmlformats.org/drawingml/2006/main">
          <a:off x="6286501" y="6667499"/>
          <a:ext cx="2777378" cy="224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E756FD4-1F77-4281-B31A-55121144111B}" type="TxLink">
            <a:rPr lang="en-US" sz="1000" b="0" i="0" u="none" strike="noStrike">
              <a:solidFill>
                <a:srgbClr val="000000"/>
              </a:solidFill>
              <a:latin typeface="+mn-lt"/>
              <a:cs typeface="Calibri"/>
            </a:rPr>
            <a:pPr/>
            <a:t>Période pendant laquelle le ST a été utilisé </a:t>
          </a:fld>
          <a:endParaRPr lang="fr-FR" sz="1000">
            <a:latin typeface="+mn-lt"/>
          </a:endParaRPr>
        </a:p>
      </cdr:txBody>
    </cdr:sp>
  </cdr:relSizeAnchor>
  <cdr:relSizeAnchor xmlns:cdr="http://schemas.openxmlformats.org/drawingml/2006/chartDrawing">
    <cdr:from>
      <cdr:x>0.89832</cdr:x>
      <cdr:y>0.18301</cdr:y>
    </cdr:from>
    <cdr:to>
      <cdr:x>0.96244</cdr:x>
      <cdr:y>0.93492</cdr:y>
    </cdr:to>
    <cdr:grpSp>
      <cdr:nvGrpSpPr>
        <cdr:cNvPr id="124" name="Groupe 123"/>
        <cdr:cNvGrpSpPr/>
      </cdr:nvGrpSpPr>
      <cdr:grpSpPr>
        <a:xfrm xmlns:a="http://schemas.openxmlformats.org/drawingml/2006/main">
          <a:off x="9130286" y="1259184"/>
          <a:ext cx="651699" cy="5173451"/>
          <a:chOff x="8865575" y="1243948"/>
          <a:chExt cx="647998" cy="5167747"/>
        </a:xfrm>
      </cdr:grpSpPr>
      <cdr:sp macro="" textlink="Calculs!$R$176">
        <cdr:nvSpPr>
          <cdr:cNvPr id="20" name="ZoneTexte 1"/>
          <cdr:cNvSpPr txBox="1"/>
        </cdr:nvSpPr>
        <cdr:spPr>
          <a:xfrm xmlns:a="http://schemas.openxmlformats.org/drawingml/2006/main">
            <a:off x="8865575" y="285039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5C1FFD1-C1AA-4F0E-8043-C6DB07EE017E}"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4">
        <cdr:nvSpPr>
          <cdr:cNvPr id="21" name="ZoneTexte 1"/>
          <cdr:cNvSpPr txBox="1"/>
        </cdr:nvSpPr>
        <cdr:spPr>
          <a:xfrm xmlns:a="http://schemas.openxmlformats.org/drawingml/2006/main">
            <a:off x="8865575" y="244878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D9C9B76-D2A1-4740-B1BC-B31F625DEE46}"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2">
        <cdr:nvSpPr>
          <cdr:cNvPr id="22" name="ZoneTexte 1"/>
          <cdr:cNvSpPr txBox="1"/>
        </cdr:nvSpPr>
        <cdr:spPr>
          <a:xfrm xmlns:a="http://schemas.openxmlformats.org/drawingml/2006/main">
            <a:off x="8865575" y="204717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8F9FA59-FAC0-4577-BA1A-8B21A9DD56A0}"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0">
        <cdr:nvSpPr>
          <cdr:cNvPr id="23" name="ZoneTexte 1"/>
          <cdr:cNvSpPr txBox="1"/>
        </cdr:nvSpPr>
        <cdr:spPr>
          <a:xfrm xmlns:a="http://schemas.openxmlformats.org/drawingml/2006/main">
            <a:off x="8865575" y="164556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E7F1782-96ED-4A80-9655-29333C77C79B}" type="TxLink">
              <a:rPr lang="en-US" sz="1050" b="1" i="0" u="none" strike="noStrike">
                <a:solidFill>
                  <a:srgbClr val="000000"/>
                </a:solidFill>
                <a:latin typeface="+mn-lt"/>
                <a:cs typeface="Calibri"/>
              </a:rPr>
              <a:pPr algn="l"/>
              <a:t>0</a:t>
            </a:fld>
            <a:endParaRPr lang="fr-FR" sz="1050" b="1">
              <a:latin typeface="+mn-lt"/>
            </a:endParaRPr>
          </a:p>
        </cdr:txBody>
      </cdr:sp>
      <cdr:sp macro="" textlink="Calculs!$R$169">
        <cdr:nvSpPr>
          <cdr:cNvPr id="24" name="ZoneTexte 1"/>
          <cdr:cNvSpPr txBox="1"/>
        </cdr:nvSpPr>
        <cdr:spPr>
          <a:xfrm xmlns:a="http://schemas.openxmlformats.org/drawingml/2006/main">
            <a:off x="8865575" y="144475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D9AC5EB-760A-4A3C-AFE7-F77E0FCFA60E}" type="TxLink">
              <a:rPr lang="en-US" sz="1050" b="1" i="0" u="none" strike="noStrike">
                <a:solidFill>
                  <a:srgbClr val="000000"/>
                </a:solidFill>
                <a:latin typeface="+mn-lt"/>
                <a:cs typeface="Calibri"/>
              </a:rPr>
              <a:pPr algn="l"/>
              <a:t>0</a:t>
            </a:fld>
            <a:endParaRPr lang="fr-FR" sz="1050" b="1">
              <a:latin typeface="+mn-lt"/>
            </a:endParaRPr>
          </a:p>
        </cdr:txBody>
      </cdr:sp>
      <cdr:sp macro="" textlink="Calculs!$R$168">
        <cdr:nvSpPr>
          <cdr:cNvPr id="25" name="ZoneTexte 1"/>
          <cdr:cNvSpPr txBox="1"/>
        </cdr:nvSpPr>
        <cdr:spPr>
          <a:xfrm xmlns:a="http://schemas.openxmlformats.org/drawingml/2006/main">
            <a:off x="8865575" y="124394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556ED62-6DD9-4AB2-A3B8-CFE07559A833}"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7">
        <cdr:nvSpPr>
          <cdr:cNvPr id="26" name="ZoneTexte 1"/>
          <cdr:cNvSpPr txBox="1"/>
        </cdr:nvSpPr>
        <cdr:spPr>
          <a:xfrm xmlns:a="http://schemas.openxmlformats.org/drawingml/2006/main">
            <a:off x="8865575" y="305120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66F0749-AD8F-477B-AFC1-18CFA539F831}"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9">
        <cdr:nvSpPr>
          <cdr:cNvPr id="27" name="ZoneTexte 1"/>
          <cdr:cNvSpPr txBox="1"/>
        </cdr:nvSpPr>
        <cdr:spPr>
          <a:xfrm xmlns:a="http://schemas.openxmlformats.org/drawingml/2006/main">
            <a:off x="8865575" y="345281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16DB912-A450-42FA-9BA7-53FC012A6C1C}"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0">
        <cdr:nvSpPr>
          <cdr:cNvPr id="28" name="ZoneTexte 1"/>
          <cdr:cNvSpPr txBox="1"/>
        </cdr:nvSpPr>
        <cdr:spPr>
          <a:xfrm xmlns:a="http://schemas.openxmlformats.org/drawingml/2006/main">
            <a:off x="8865575" y="365362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EB943ED-2F51-4D69-8EEC-D75B78F2CF7B}"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2">
        <cdr:nvSpPr>
          <cdr:cNvPr id="29" name="ZoneTexte 1"/>
          <cdr:cNvSpPr txBox="1"/>
        </cdr:nvSpPr>
        <cdr:spPr>
          <a:xfrm xmlns:a="http://schemas.openxmlformats.org/drawingml/2006/main">
            <a:off x="8865575" y="405523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BA5C944-C86A-4FD7-91DE-3522D9292592}"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3">
        <cdr:nvSpPr>
          <cdr:cNvPr id="30" name="ZoneTexte 1"/>
          <cdr:cNvSpPr txBox="1"/>
        </cdr:nvSpPr>
        <cdr:spPr>
          <a:xfrm xmlns:a="http://schemas.openxmlformats.org/drawingml/2006/main">
            <a:off x="8865575" y="425603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B7D8B4-069E-441C-B1C9-D5ED7F178BF8}"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4">
        <cdr:nvSpPr>
          <cdr:cNvPr id="31" name="ZoneTexte 1"/>
          <cdr:cNvSpPr txBox="1"/>
        </cdr:nvSpPr>
        <cdr:spPr>
          <a:xfrm xmlns:a="http://schemas.openxmlformats.org/drawingml/2006/main">
            <a:off x="8865575" y="445684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5D92CFB-348C-443D-B235-90BFD14100F4}"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5">
        <cdr:nvSpPr>
          <cdr:cNvPr id="32" name="ZoneTexte 1"/>
          <cdr:cNvSpPr txBox="1"/>
        </cdr:nvSpPr>
        <cdr:spPr>
          <a:xfrm xmlns:a="http://schemas.openxmlformats.org/drawingml/2006/main">
            <a:off x="8865575" y="465765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6A3F482-8316-474F-9012-B712DC3117B8}"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6">
        <cdr:nvSpPr>
          <cdr:cNvPr id="33" name="ZoneTexte 1"/>
          <cdr:cNvSpPr txBox="1"/>
        </cdr:nvSpPr>
        <cdr:spPr>
          <a:xfrm xmlns:a="http://schemas.openxmlformats.org/drawingml/2006/main">
            <a:off x="8865575" y="485845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E0BC603-9F45-438F-9A5D-74965628802E}"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9">
        <cdr:nvSpPr>
          <cdr:cNvPr id="35" name="ZoneTexte 1"/>
          <cdr:cNvSpPr txBox="1"/>
        </cdr:nvSpPr>
        <cdr:spPr>
          <a:xfrm xmlns:a="http://schemas.openxmlformats.org/drawingml/2006/main">
            <a:off x="8865575" y="546087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EA0E3F8-5957-4594-83BF-03AB5D90A995}" type="TxLink">
              <a:rPr lang="en-US" sz="1050" b="1" i="0" u="none" strike="noStrike">
                <a:solidFill>
                  <a:srgbClr val="000000"/>
                </a:solidFill>
                <a:latin typeface="+mn-lt"/>
                <a:cs typeface="Calibri"/>
              </a:rPr>
              <a:pPr algn="l"/>
              <a:t>0</a:t>
            </a:fld>
            <a:endParaRPr lang="fr-FR" sz="1050" b="1">
              <a:latin typeface="+mn-lt"/>
            </a:endParaRPr>
          </a:p>
        </cdr:txBody>
      </cdr:sp>
      <cdr:sp macro="" textlink="Calculs!$R$192">
        <cdr:nvSpPr>
          <cdr:cNvPr id="37" name="ZoneTexte 1"/>
          <cdr:cNvSpPr txBox="1"/>
        </cdr:nvSpPr>
        <cdr:spPr>
          <a:xfrm xmlns:a="http://schemas.openxmlformats.org/drawingml/2006/main">
            <a:off x="8865575" y="606329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A6F8988-DE6B-4DC6-AAA8-CE6A2BE45840}" type="TxLink">
              <a:rPr lang="en-US" sz="1050" b="1" i="0" u="none" strike="noStrike">
                <a:solidFill>
                  <a:srgbClr val="000000"/>
                </a:solidFill>
                <a:latin typeface="+mn-lt"/>
                <a:cs typeface="Calibri"/>
              </a:rPr>
              <a:pPr algn="l"/>
              <a:t>0</a:t>
            </a:fld>
            <a:endParaRPr lang="fr-FR" sz="1050" b="1">
              <a:latin typeface="+mn-lt"/>
            </a:endParaRPr>
          </a:p>
        </cdr:txBody>
      </cdr:sp>
      <cdr:sp macro="" textlink="Calculs!$R$193">
        <cdr:nvSpPr>
          <cdr:cNvPr id="120" name="ZoneTexte 1"/>
          <cdr:cNvSpPr txBox="1"/>
        </cdr:nvSpPr>
        <cdr:spPr>
          <a:xfrm xmlns:a="http://schemas.openxmlformats.org/drawingml/2006/main">
            <a:off x="8865575" y="626409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3774EBFB-CD67-4A51-98E3-B03BB85F44BF}" type="TxLink">
              <a:rPr lang="en-US" sz="1050" b="1" i="0" u="none" strike="noStrike">
                <a:solidFill>
                  <a:srgbClr val="000000"/>
                </a:solidFill>
                <a:latin typeface="+mn-lt"/>
                <a:ea typeface="+mn-ea"/>
                <a:cs typeface="Calibri"/>
              </a:rPr>
              <a:pPr marL="0" indent="0" algn="l"/>
              <a:t>0</a:t>
            </a:fld>
            <a:endParaRPr lang="fr-FR" sz="1050" b="1">
              <a:latin typeface="+mn-lt"/>
              <a:ea typeface="+mn-ea"/>
              <a:cs typeface="+mn-cs"/>
            </a:endParaRPr>
          </a:p>
        </cdr:txBody>
      </cdr:sp>
      <cdr:sp macro="" textlink="Calculs!$R$191">
        <cdr:nvSpPr>
          <cdr:cNvPr id="128" name="ZoneTexte 1"/>
          <cdr:cNvSpPr txBox="1"/>
        </cdr:nvSpPr>
        <cdr:spPr>
          <a:xfrm xmlns:a="http://schemas.openxmlformats.org/drawingml/2006/main">
            <a:off x="8865575" y="586248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44F674D-BEC5-4927-AD7B-520A44B011FB}" type="TxLink">
              <a:rPr lang="en-US" sz="1050" b="1" i="0" u="none" strike="noStrike">
                <a:solidFill>
                  <a:srgbClr val="000000"/>
                </a:solidFill>
                <a:latin typeface="+mn-lt"/>
                <a:cs typeface="Calibri"/>
              </a:rPr>
              <a:pPr algn="l"/>
              <a:t>0</a:t>
            </a:fld>
            <a:endParaRPr lang="fr-FR" sz="1050" b="1">
              <a:latin typeface="+mn-lt"/>
            </a:endParaRPr>
          </a:p>
        </cdr:txBody>
      </cdr:sp>
      <cdr:sp macro="" textlink="Calculs!$R$190">
        <cdr:nvSpPr>
          <cdr:cNvPr id="129" name="ZoneTexte 1"/>
          <cdr:cNvSpPr txBox="1"/>
        </cdr:nvSpPr>
        <cdr:spPr>
          <a:xfrm xmlns:a="http://schemas.openxmlformats.org/drawingml/2006/main">
            <a:off x="8865575" y="566168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6DD3DB-89BC-43C0-A1EE-3235A66A764D}"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1">
        <cdr:nvSpPr>
          <cdr:cNvPr id="107" name="ZoneTexte 1"/>
          <cdr:cNvSpPr txBox="1"/>
        </cdr:nvSpPr>
        <cdr:spPr>
          <a:xfrm xmlns:a="http://schemas.openxmlformats.org/drawingml/2006/main">
            <a:off x="8865575" y="184636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4D83886-99CA-4B54-9B3F-FFE19ED42A90}"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3">
        <cdr:nvSpPr>
          <cdr:cNvPr id="108" name="ZoneTexte 1"/>
          <cdr:cNvSpPr txBox="1"/>
        </cdr:nvSpPr>
        <cdr:spPr>
          <a:xfrm xmlns:a="http://schemas.openxmlformats.org/drawingml/2006/main">
            <a:off x="8865575" y="224797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A256D9F-E061-4E03-9683-B44AEC464EF2}"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5">
        <cdr:nvSpPr>
          <cdr:cNvPr id="109" name="ZoneTexte 1"/>
          <cdr:cNvSpPr txBox="1"/>
        </cdr:nvSpPr>
        <cdr:spPr>
          <a:xfrm xmlns:a="http://schemas.openxmlformats.org/drawingml/2006/main">
            <a:off x="8865575" y="264959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6E0CEC2-91CF-4636-98EC-85A38EDC2E37}" type="TxLink">
              <a:rPr lang="en-US" sz="1050" b="1" i="0" u="none" strike="noStrike">
                <a:solidFill>
                  <a:srgbClr val="000000"/>
                </a:solidFill>
                <a:latin typeface="+mn-lt"/>
                <a:cs typeface="Calibri"/>
              </a:rPr>
              <a:pPr algn="l"/>
              <a:t>0</a:t>
            </a:fld>
            <a:endParaRPr lang="fr-FR" sz="1050" b="1">
              <a:latin typeface="+mn-lt"/>
            </a:endParaRPr>
          </a:p>
        </cdr:txBody>
      </cdr:sp>
      <cdr:sp macro="" textlink="Calculs!$R$178">
        <cdr:nvSpPr>
          <cdr:cNvPr id="113" name="ZoneTexte 1"/>
          <cdr:cNvSpPr txBox="1"/>
        </cdr:nvSpPr>
        <cdr:spPr>
          <a:xfrm xmlns:a="http://schemas.openxmlformats.org/drawingml/2006/main">
            <a:off x="8865575" y="325200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F65F947-0251-468E-A9CA-F5412BE09DA7}"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1">
        <cdr:nvSpPr>
          <cdr:cNvPr id="114" name="ZoneTexte 1"/>
          <cdr:cNvSpPr txBox="1"/>
        </cdr:nvSpPr>
        <cdr:spPr>
          <a:xfrm xmlns:a="http://schemas.openxmlformats.org/drawingml/2006/main">
            <a:off x="8865575" y="385442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2C7365D-35C4-4685-9AAE-513DBCAEDB6E}"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7">
        <cdr:nvSpPr>
          <cdr:cNvPr id="115" name="ZoneTexte 1"/>
          <cdr:cNvSpPr txBox="1"/>
        </cdr:nvSpPr>
        <cdr:spPr>
          <a:xfrm xmlns:a="http://schemas.openxmlformats.org/drawingml/2006/main">
            <a:off x="8865575" y="505926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DE27FF1-2269-47C1-8BE9-FD1CEB511F55}" type="TxLink">
              <a:rPr lang="en-US" sz="1050" b="1" i="0" u="none" strike="noStrike">
                <a:solidFill>
                  <a:srgbClr val="000000"/>
                </a:solidFill>
                <a:latin typeface="+mn-lt"/>
                <a:cs typeface="Calibri"/>
              </a:rPr>
              <a:pPr algn="l"/>
              <a:t>0</a:t>
            </a:fld>
            <a:endParaRPr lang="fr-FR" sz="1050" b="1">
              <a:latin typeface="+mn-lt"/>
            </a:endParaRPr>
          </a:p>
        </cdr:txBody>
      </cdr:sp>
      <cdr:sp macro="" textlink="Calculs!$R$188">
        <cdr:nvSpPr>
          <cdr:cNvPr id="116" name="ZoneTexte 1"/>
          <cdr:cNvSpPr txBox="1"/>
        </cdr:nvSpPr>
        <cdr:spPr>
          <a:xfrm xmlns:a="http://schemas.openxmlformats.org/drawingml/2006/main">
            <a:off x="8865575" y="526006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7C13BD6-DD29-4189-98E8-98E0C08D997C}" type="TxLink">
              <a:rPr lang="en-US" sz="1050" b="1" i="0" u="none" strike="noStrike">
                <a:solidFill>
                  <a:srgbClr val="000000"/>
                </a:solidFill>
                <a:latin typeface="+mn-lt"/>
                <a:cs typeface="Calibri"/>
              </a:rPr>
              <a:pPr algn="l"/>
              <a:t>0</a:t>
            </a:fld>
            <a:endParaRPr lang="fr-FR" sz="1050" b="1">
              <a:latin typeface="+mn-lt"/>
            </a:endParaRPr>
          </a:p>
        </cdr:txBody>
      </cdr:sp>
    </cdr:grpSp>
  </cdr:relSizeAnchor>
  <cdr:relSizeAnchor xmlns:cdr="http://schemas.openxmlformats.org/drawingml/2006/chartDrawing">
    <cdr:from>
      <cdr:x>0.94545</cdr:x>
      <cdr:y>0.18093</cdr:y>
    </cdr:from>
    <cdr:to>
      <cdr:x>0.99889</cdr:x>
      <cdr:y>0.93281</cdr:y>
    </cdr:to>
    <cdr:grpSp>
      <cdr:nvGrpSpPr>
        <cdr:cNvPr id="150" name="Groupe 149"/>
        <cdr:cNvGrpSpPr/>
      </cdr:nvGrpSpPr>
      <cdr:grpSpPr>
        <a:xfrm xmlns:a="http://schemas.openxmlformats.org/drawingml/2006/main">
          <a:off x="9609303" y="1244873"/>
          <a:ext cx="543150" cy="5173244"/>
          <a:chOff x="8624665" y="1207208"/>
          <a:chExt cx="540066" cy="5156371"/>
        </a:xfrm>
      </cdr:grpSpPr>
      <cdr:sp macro="" textlink="Calculs!$R$226">
        <cdr:nvSpPr>
          <cdr:cNvPr id="82" name="ZoneTexte 1"/>
          <cdr:cNvSpPr txBox="1"/>
        </cdr:nvSpPr>
        <cdr:spPr>
          <a:xfrm xmlns:a="http://schemas.openxmlformats.org/drawingml/2006/main">
            <a:off x="8624665" y="200861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B949CD9-3E56-4BD9-8FB4-F3B95A62D6E9}"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4">
        <cdr:nvSpPr>
          <cdr:cNvPr id="83" name="ZoneTexte 1"/>
          <cdr:cNvSpPr txBox="1"/>
        </cdr:nvSpPr>
        <cdr:spPr>
          <a:xfrm xmlns:a="http://schemas.openxmlformats.org/drawingml/2006/main">
            <a:off x="8624665" y="160791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7126C0-DC2E-4987-8A8B-53601B2D2501}"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3">
        <cdr:nvSpPr>
          <cdr:cNvPr id="84" name="ZoneTexte 1"/>
          <cdr:cNvSpPr txBox="1"/>
        </cdr:nvSpPr>
        <cdr:spPr>
          <a:xfrm xmlns:a="http://schemas.openxmlformats.org/drawingml/2006/main">
            <a:off x="8624665" y="140755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A71B209-B097-4406-8400-B5FC51E9A817}"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2">
        <cdr:nvSpPr>
          <cdr:cNvPr id="85" name="ZoneTexte 1"/>
          <cdr:cNvSpPr txBox="1"/>
        </cdr:nvSpPr>
        <cdr:spPr>
          <a:xfrm xmlns:a="http://schemas.openxmlformats.org/drawingml/2006/main">
            <a:off x="8624665" y="120720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10FAD1A-2780-4DCF-AC7C-3411B3A48C89}"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8">
        <cdr:nvSpPr>
          <cdr:cNvPr id="88" name="ZoneTexte 1"/>
          <cdr:cNvSpPr txBox="1"/>
        </cdr:nvSpPr>
        <cdr:spPr>
          <a:xfrm xmlns:a="http://schemas.openxmlformats.org/drawingml/2006/main">
            <a:off x="8624665" y="240931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4163D49-2715-485B-AAB0-DCF9CF7730B9}"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0">
        <cdr:nvSpPr>
          <cdr:cNvPr id="89" name="ZoneTexte 1"/>
          <cdr:cNvSpPr txBox="1"/>
        </cdr:nvSpPr>
        <cdr:spPr>
          <a:xfrm xmlns:a="http://schemas.openxmlformats.org/drawingml/2006/main">
            <a:off x="8624665" y="281001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B1DAF58-4BCE-413E-B34D-CD2A0D9EDF9B}"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3">
        <cdr:nvSpPr>
          <cdr:cNvPr id="90" name="ZoneTexte 1"/>
          <cdr:cNvSpPr txBox="1"/>
        </cdr:nvSpPr>
        <cdr:spPr>
          <a:xfrm xmlns:a="http://schemas.openxmlformats.org/drawingml/2006/main">
            <a:off x="8624665" y="341106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12B3CBF-9991-4A69-8A5F-090D08FC7038}"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4">
        <cdr:nvSpPr>
          <cdr:cNvPr id="91" name="ZoneTexte 1"/>
          <cdr:cNvSpPr txBox="1"/>
        </cdr:nvSpPr>
        <cdr:spPr>
          <a:xfrm xmlns:a="http://schemas.openxmlformats.org/drawingml/2006/main">
            <a:off x="8624665" y="361142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B7B73C0-FD33-4BA4-B7DC-0EC23F20CB9A}"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6">
        <cdr:nvSpPr>
          <cdr:cNvPr id="92" name="ZoneTexte 1"/>
          <cdr:cNvSpPr txBox="1"/>
        </cdr:nvSpPr>
        <cdr:spPr>
          <a:xfrm xmlns:a="http://schemas.openxmlformats.org/drawingml/2006/main">
            <a:off x="8624665" y="401212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654848-C1AE-4CDD-BD87-6AD3E6D5367D}"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7">
        <cdr:nvSpPr>
          <cdr:cNvPr id="93" name="ZoneTexte 1"/>
          <cdr:cNvSpPr txBox="1"/>
        </cdr:nvSpPr>
        <cdr:spPr>
          <a:xfrm xmlns:a="http://schemas.openxmlformats.org/drawingml/2006/main">
            <a:off x="8624665" y="421247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CCDC7C3-C60C-486C-8B58-23DB1EF68364}"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8">
        <cdr:nvSpPr>
          <cdr:cNvPr id="94" name="ZoneTexte 1"/>
          <cdr:cNvSpPr txBox="1"/>
        </cdr:nvSpPr>
        <cdr:spPr>
          <a:xfrm xmlns:a="http://schemas.openxmlformats.org/drawingml/2006/main">
            <a:off x="8624665" y="441282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401CF98-BB73-4BB8-B859-8DEBE1776DD3}"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9">
        <cdr:nvSpPr>
          <cdr:cNvPr id="95" name="ZoneTexte 1"/>
          <cdr:cNvSpPr txBox="1"/>
        </cdr:nvSpPr>
        <cdr:spPr>
          <a:xfrm xmlns:a="http://schemas.openxmlformats.org/drawingml/2006/main">
            <a:off x="8624665" y="4613175"/>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DB4DDE0-9278-4940-8896-03419915766C}" type="TxLink">
              <a:rPr lang="en-US" sz="1050" b="1" i="0" u="none" strike="noStrike">
                <a:solidFill>
                  <a:srgbClr val="000000"/>
                </a:solidFill>
                <a:latin typeface="+mn-lt"/>
                <a:cs typeface="Calibri"/>
              </a:rPr>
              <a:pPr algn="l"/>
              <a:t>0</a:t>
            </a:fld>
            <a:endParaRPr lang="fr-FR" sz="1050" b="1">
              <a:latin typeface="+mn-lt"/>
            </a:endParaRPr>
          </a:p>
        </cdr:txBody>
      </cdr:sp>
      <cdr:sp macro="" textlink="Calculs!$R$242">
        <cdr:nvSpPr>
          <cdr:cNvPr id="96" name="ZoneTexte 1"/>
          <cdr:cNvSpPr txBox="1"/>
        </cdr:nvSpPr>
        <cdr:spPr>
          <a:xfrm xmlns:a="http://schemas.openxmlformats.org/drawingml/2006/main">
            <a:off x="8624665" y="521422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6BD4692-7FAB-463F-B893-EF04DAC6C3B2}" type="TxLink">
              <a:rPr lang="en-US" sz="1050" b="1" i="0" u="none" strike="noStrike">
                <a:solidFill>
                  <a:srgbClr val="000000"/>
                </a:solidFill>
                <a:latin typeface="+mn-lt"/>
                <a:cs typeface="Calibri"/>
              </a:rPr>
              <a:pPr algn="l"/>
              <a:t>0</a:t>
            </a:fld>
            <a:endParaRPr lang="fr-FR" sz="1050" b="1">
              <a:latin typeface="+mn-lt"/>
            </a:endParaRPr>
          </a:p>
        </cdr:txBody>
      </cdr:sp>
      <cdr:sp macro="" textlink="Calculs!$R$243">
        <cdr:nvSpPr>
          <cdr:cNvPr id="97" name="ZoneTexte 1"/>
          <cdr:cNvSpPr txBox="1"/>
        </cdr:nvSpPr>
        <cdr:spPr>
          <a:xfrm xmlns:a="http://schemas.openxmlformats.org/drawingml/2006/main">
            <a:off x="8624665" y="541457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3F8D421-79D1-4632-A416-EA179B5E4AD8}" type="TxLink">
              <a:rPr lang="en-US" sz="1050" b="1" i="0" u="none" strike="noStrike">
                <a:solidFill>
                  <a:srgbClr val="000000"/>
                </a:solidFill>
                <a:latin typeface="+mn-lt"/>
                <a:cs typeface="Calibri"/>
              </a:rPr>
              <a:pPr algn="l"/>
              <a:t>0</a:t>
            </a:fld>
            <a:endParaRPr lang="fr-FR" sz="1050" b="1">
              <a:latin typeface="+mn-lt"/>
            </a:endParaRPr>
          </a:p>
        </cdr:txBody>
      </cdr:sp>
      <cdr:sp macro="" textlink="Calculs!$R$246">
        <cdr:nvSpPr>
          <cdr:cNvPr id="98" name="ZoneTexte 1"/>
          <cdr:cNvSpPr txBox="1"/>
        </cdr:nvSpPr>
        <cdr:spPr>
          <a:xfrm xmlns:a="http://schemas.openxmlformats.org/drawingml/2006/main">
            <a:off x="8624665" y="601563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37F07ED-07E1-4290-A852-DCD893B92AEE}" type="TxLink">
              <a:rPr lang="en-US" sz="1050" b="1" i="0" u="none" strike="noStrike">
                <a:solidFill>
                  <a:srgbClr val="000000"/>
                </a:solidFill>
                <a:latin typeface="+mn-lt"/>
                <a:cs typeface="Calibri"/>
              </a:rPr>
              <a:pPr algn="l"/>
              <a:t>0</a:t>
            </a:fld>
            <a:endParaRPr lang="fr-FR" sz="1050" b="1">
              <a:latin typeface="+mn-lt"/>
            </a:endParaRPr>
          </a:p>
        </cdr:txBody>
      </cdr:sp>
      <cdr:sp macro="" textlink="Calculs!$R$247">
        <cdr:nvSpPr>
          <cdr:cNvPr id="121" name="ZoneTexte 1"/>
          <cdr:cNvSpPr txBox="1"/>
        </cdr:nvSpPr>
        <cdr:spPr>
          <a:xfrm xmlns:a="http://schemas.openxmlformats.org/drawingml/2006/main">
            <a:off x="8624665" y="621597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A850EA4-E5D3-44CA-9924-D6D88E26F53B}" type="TxLink">
              <a:rPr lang="en-US" sz="1050" b="1" i="0" u="none" strike="noStrike">
                <a:solidFill>
                  <a:srgbClr val="000000"/>
                </a:solidFill>
                <a:latin typeface="+mn-lt"/>
                <a:cs typeface="Calibri"/>
              </a:rPr>
              <a:pPr algn="l"/>
              <a:t>0</a:t>
            </a:fld>
            <a:endParaRPr lang="fr-FR" sz="1050" b="1">
              <a:latin typeface="+mn-lt"/>
            </a:endParaRPr>
          </a:p>
        </cdr:txBody>
      </cdr:sp>
      <cdr:sp macro="" textlink="Calculs!$R$245">
        <cdr:nvSpPr>
          <cdr:cNvPr id="134" name="ZoneTexte 1"/>
          <cdr:cNvSpPr txBox="1"/>
        </cdr:nvSpPr>
        <cdr:spPr>
          <a:xfrm xmlns:a="http://schemas.openxmlformats.org/drawingml/2006/main">
            <a:off x="8624665" y="581528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4F8FC77-A656-4EC9-AE3E-C9F1B787F213}" type="TxLink">
              <a:rPr lang="en-US" sz="1050" b="1" i="0" u="none" strike="noStrike">
                <a:solidFill>
                  <a:srgbClr val="000000"/>
                </a:solidFill>
                <a:latin typeface="+mn-lt"/>
                <a:cs typeface="Calibri"/>
              </a:rPr>
              <a:pPr algn="l"/>
              <a:t>0</a:t>
            </a:fld>
            <a:endParaRPr lang="fr-FR" sz="1050" b="1">
              <a:latin typeface="+mn-lt"/>
            </a:endParaRPr>
          </a:p>
        </cdr:txBody>
      </cdr:sp>
      <cdr:sp macro="" textlink="Calculs!$R$244">
        <cdr:nvSpPr>
          <cdr:cNvPr id="135" name="ZoneTexte 1"/>
          <cdr:cNvSpPr txBox="1"/>
        </cdr:nvSpPr>
        <cdr:spPr>
          <a:xfrm xmlns:a="http://schemas.openxmlformats.org/drawingml/2006/main">
            <a:off x="8624665" y="561493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4215D5A-7486-4899-9FF4-DC2D270CFD21}"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1">
        <cdr:nvSpPr>
          <cdr:cNvPr id="111" name="ZoneTexte 1"/>
          <cdr:cNvSpPr txBox="1"/>
        </cdr:nvSpPr>
        <cdr:spPr>
          <a:xfrm xmlns:a="http://schemas.openxmlformats.org/drawingml/2006/main">
            <a:off x="8624665" y="3010367"/>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5C413D2-25FC-4D67-9EB8-C547398C021B}" type="TxLink">
              <a:rPr lang="en-US" sz="1050" b="1" i="0" u="none" strike="noStrike">
                <a:solidFill>
                  <a:srgbClr val="000000"/>
                </a:solidFill>
                <a:latin typeface="+mn-lt"/>
                <a:cs typeface="Calibri"/>
              </a:rPr>
              <a:pPr algn="l"/>
              <a:t>0</a:t>
            </a:fld>
            <a:endParaRPr lang="fr-FR" sz="1050" b="1">
              <a:latin typeface="+mn-lt"/>
            </a:endParaRPr>
          </a:p>
        </cdr:txBody>
      </cdr:sp>
      <cdr:sp macro="" textlink="Calculs!$R$240">
        <cdr:nvSpPr>
          <cdr:cNvPr id="112" name="ZoneTexte 1"/>
          <cdr:cNvSpPr txBox="1"/>
        </cdr:nvSpPr>
        <cdr:spPr>
          <a:xfrm xmlns:a="http://schemas.openxmlformats.org/drawingml/2006/main">
            <a:off x="8624665" y="481352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B95C9C-2089-4CBD-ABB5-4E7D5C5487F3}"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5">
        <cdr:nvSpPr>
          <cdr:cNvPr id="127" name="ZoneTexte 1"/>
          <cdr:cNvSpPr txBox="1"/>
        </cdr:nvSpPr>
        <cdr:spPr>
          <a:xfrm xmlns:a="http://schemas.openxmlformats.org/drawingml/2006/main">
            <a:off x="8624665" y="180826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174FC13-22E7-40C5-AAC9-1608F76A2C02}"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7">
        <cdr:nvSpPr>
          <cdr:cNvPr id="133" name="ZoneTexte 1"/>
          <cdr:cNvSpPr txBox="1"/>
        </cdr:nvSpPr>
        <cdr:spPr>
          <a:xfrm xmlns:a="http://schemas.openxmlformats.org/drawingml/2006/main">
            <a:off x="8624665" y="220896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012E71C-B901-42F5-B4D2-8DAB0D0D48CA}"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9">
        <cdr:nvSpPr>
          <cdr:cNvPr id="136" name="ZoneTexte 1"/>
          <cdr:cNvSpPr txBox="1"/>
        </cdr:nvSpPr>
        <cdr:spPr>
          <a:xfrm xmlns:a="http://schemas.openxmlformats.org/drawingml/2006/main">
            <a:off x="8624665" y="2609665"/>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9ECC8B8-3290-4EFD-949A-7541C8698907}"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2">
        <cdr:nvSpPr>
          <cdr:cNvPr id="137" name="ZoneTexte 1"/>
          <cdr:cNvSpPr txBox="1"/>
        </cdr:nvSpPr>
        <cdr:spPr>
          <a:xfrm xmlns:a="http://schemas.openxmlformats.org/drawingml/2006/main">
            <a:off x="8624665" y="321071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2AD934D-1355-401C-9E07-9FAFCEA05EDF}" type="TxLink">
              <a:rPr lang="en-US" sz="1050" b="1" i="0" u="none" strike="noStrike">
                <a:solidFill>
                  <a:srgbClr val="000000"/>
                </a:solidFill>
                <a:latin typeface="+mn-lt"/>
                <a:cs typeface="Calibri"/>
              </a:rPr>
              <a:pPr algn="l"/>
              <a:t>0</a:t>
            </a:fld>
            <a:endParaRPr lang="fr-FR" sz="1050" b="1">
              <a:latin typeface="+mn-lt"/>
            </a:endParaRPr>
          </a:p>
        </cdr:txBody>
      </cdr:sp>
      <cdr:sp macro="" textlink="Calculs!$R$241">
        <cdr:nvSpPr>
          <cdr:cNvPr id="140" name="ZoneTexte 1"/>
          <cdr:cNvSpPr txBox="1"/>
        </cdr:nvSpPr>
        <cdr:spPr>
          <a:xfrm xmlns:a="http://schemas.openxmlformats.org/drawingml/2006/main">
            <a:off x="8624665" y="5013877"/>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E877F11-1974-4046-8DC1-32728F48B0E5}" type="TxLink">
              <a:rPr lang="en-US" sz="1050" b="1" i="0" u="none" strike="noStrike">
                <a:solidFill>
                  <a:srgbClr val="000000"/>
                </a:solidFill>
                <a:latin typeface="+mn-lt"/>
                <a:cs typeface="Calibri"/>
              </a:rPr>
              <a:pPr algn="l"/>
              <a:t>0</a:t>
            </a:fld>
            <a:endParaRPr lang="fr-FR" sz="1050" b="1">
              <a:latin typeface="+mn-lt"/>
            </a:endParaRPr>
          </a:p>
        </cdr:txBody>
      </cdr:sp>
      <cdr:sp macro="" textlink="Calculs!$R$235">
        <cdr:nvSpPr>
          <cdr:cNvPr id="141" name="ZoneTexte 1"/>
          <cdr:cNvSpPr txBox="1"/>
        </cdr:nvSpPr>
        <cdr:spPr>
          <a:xfrm xmlns:a="http://schemas.openxmlformats.org/drawingml/2006/main">
            <a:off x="8624665" y="381177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2D3DD59-66EB-43E2-B8C1-D9F540FF5B7E}" type="TxLink">
              <a:rPr lang="en-US" sz="1050" b="1" i="0" u="none" strike="noStrike">
                <a:solidFill>
                  <a:srgbClr val="000000"/>
                </a:solidFill>
                <a:latin typeface="+mn-lt"/>
                <a:cs typeface="Calibri"/>
              </a:rPr>
              <a:pPr algn="l"/>
              <a:t>0</a:t>
            </a:fld>
            <a:endParaRPr lang="fr-FR" sz="1050" b="1">
              <a:latin typeface="+mn-lt"/>
            </a:endParaRPr>
          </a:p>
        </cdr:txBody>
      </cdr:sp>
    </cdr:grpSp>
  </cdr:relSizeAnchor>
  <cdr:relSizeAnchor xmlns:cdr="http://schemas.openxmlformats.org/drawingml/2006/chartDrawing">
    <cdr:from>
      <cdr:x>0.344</cdr:x>
      <cdr:y>0.10295</cdr:y>
    </cdr:from>
    <cdr:to>
      <cdr:x>0.49037</cdr:x>
      <cdr:y>0.14464</cdr:y>
    </cdr:to>
    <cdr:sp macro="" textlink="'TRAD-visualiz'!$B$7">
      <cdr:nvSpPr>
        <cdr:cNvPr id="73" name="ZoneTexte 6"/>
        <cdr:cNvSpPr txBox="1"/>
      </cdr:nvSpPr>
      <cdr:spPr>
        <a:xfrm xmlns:a="http://schemas.openxmlformats.org/drawingml/2006/main">
          <a:off x="3496360" y="708338"/>
          <a:ext cx="1487666" cy="286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BBD263C5-9F0B-48E8-8251-1739599EFC25}" type="TxLink">
            <a:rPr lang="en-US" sz="1050" b="0" i="0" u="none" strike="noStrike">
              <a:solidFill>
                <a:srgbClr val="000000"/>
              </a:solidFill>
              <a:latin typeface="+mn-lt"/>
              <a:cs typeface="Calibri"/>
            </a:rPr>
            <a:pPr/>
            <a:t>Dates de péremption </a:t>
          </a:fld>
          <a:endParaRPr lang="fr-FR" sz="1050" i="1">
            <a:latin typeface="+mn-lt"/>
          </a:endParaRPr>
        </a:p>
      </cdr:txBody>
    </cdr:sp>
  </cdr:relSizeAnchor>
  <cdr:relSizeAnchor xmlns:cdr="http://schemas.openxmlformats.org/drawingml/2006/chartDrawing">
    <cdr:from>
      <cdr:x>0.54653</cdr:x>
      <cdr:y>0.10295</cdr:y>
    </cdr:from>
    <cdr:to>
      <cdr:x>0.86809</cdr:x>
      <cdr:y>0.14544</cdr:y>
    </cdr:to>
    <cdr:sp macro="" textlink="Calculs!$F$500">
      <cdr:nvSpPr>
        <cdr:cNvPr id="74" name="ZoneTexte 1"/>
        <cdr:cNvSpPr txBox="1"/>
      </cdr:nvSpPr>
      <cdr:spPr>
        <a:xfrm xmlns:a="http://schemas.openxmlformats.org/drawingml/2006/main">
          <a:off x="5554794" y="708338"/>
          <a:ext cx="3268250"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0C2F942-279F-4EB9-BA5F-79793C8D00CB}"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0.30651</cdr:x>
      <cdr:y>0</cdr:y>
    </cdr:from>
    <cdr:to>
      <cdr:x>0.39647</cdr:x>
      <cdr:y>0.03746</cdr:y>
    </cdr:to>
    <cdr:sp macro="" textlink="'TRAD-visualiz'!$B$11">
      <cdr:nvSpPr>
        <cdr:cNvPr id="2" name="ZoneTexte 1"/>
        <cdr:cNvSpPr txBox="1"/>
      </cdr:nvSpPr>
      <cdr:spPr>
        <a:xfrm xmlns:a="http://schemas.openxmlformats.org/drawingml/2006/main">
          <a:off x="3115277" y="-11206"/>
          <a:ext cx="914329" cy="2577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63C915-B763-4893-A10C-4E1526753F1E}" type="TxLink">
            <a:rPr lang="fr-FR" sz="1600" b="1" i="0" u="none" strike="noStrike">
              <a:solidFill>
                <a:srgbClr val="FF0000"/>
              </a:solidFill>
              <a:latin typeface="+mn-lt"/>
              <a:cs typeface="Arial" pitchFamily="34" charset="0"/>
            </a:rPr>
            <a:pPr/>
            <a:t> Comprimés - Formes simples</a:t>
          </a:fld>
          <a:endParaRPr lang="fr-FR" sz="1600" b="1">
            <a:solidFill>
              <a:srgbClr val="FF0000"/>
            </a:solidFill>
            <a:latin typeface="+mn-lt"/>
            <a:cs typeface="Arial" pitchFamily="34" charset="0"/>
          </a:endParaRPr>
        </a:p>
      </cdr:txBody>
    </cdr:sp>
  </cdr:relSizeAnchor>
  <cdr:relSizeAnchor xmlns:cdr="http://schemas.openxmlformats.org/drawingml/2006/chartDrawing">
    <cdr:from>
      <cdr:x>0.8524</cdr:x>
      <cdr:y>0.00651</cdr:y>
    </cdr:from>
    <cdr:to>
      <cdr:x>1</cdr:x>
      <cdr:y>0.10538</cdr:y>
    </cdr:to>
    <cdr:pic>
      <cdr:nvPicPr>
        <cdr:cNvPr id="75" name="Image 7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44823"/>
          <a:ext cx="1500187" cy="680245"/>
        </a:xfrm>
        <a:prstGeom xmlns:a="http://schemas.openxmlformats.org/drawingml/2006/main" prst="rect">
          <a:avLst/>
        </a:prstGeom>
      </cdr:spPr>
    </cdr:pic>
  </cdr:relSizeAnchor>
</c:userShapes>
</file>

<file path=xl/drawings/drawing23.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0.0194</cdr:x>
      <cdr:y>0.07106</cdr:y>
    </cdr:from>
    <cdr:to>
      <cdr:x>0.24898</cdr:x>
      <cdr:y>0.11275</cdr:y>
    </cdr:to>
    <cdr:sp macro="" textlink="'TRAD-visualiz'!$B$4">
      <cdr:nvSpPr>
        <cdr:cNvPr id="7" name="ZoneTexte 6"/>
        <cdr:cNvSpPr txBox="1"/>
      </cdr:nvSpPr>
      <cdr:spPr>
        <a:xfrm xmlns:a="http://schemas.openxmlformats.org/drawingml/2006/main">
          <a:off x="197176" y="488922"/>
          <a:ext cx="2333391" cy="2868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D0146068-94E7-4CA7-B7A1-0C4B21855848}" type="TxLink">
            <a:rPr lang="en-US" sz="1050" b="0" i="0" u="none" strike="noStrike">
              <a:solidFill>
                <a:srgbClr val="000000"/>
              </a:solidFill>
              <a:latin typeface="+mn-lt"/>
              <a:cs typeface="Calibri"/>
            </a:rPr>
            <a:pPr/>
            <a:t>Date de mise à jour des données </a:t>
          </a:fld>
          <a:endParaRPr lang="fr-FR" sz="120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307371" y="539700"/>
          <a:ext cx="1471506" cy="27494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latin typeface="+mn-lt"/>
            </a:rPr>
            <a:pPr/>
            <a:t> </a:t>
          </a:fld>
          <a:endParaRPr lang="fr-FR" sz="1100" b="1" i="1">
            <a:latin typeface="+mn-lt"/>
          </a:endParaRPr>
        </a:p>
      </cdr:txBody>
    </cdr:sp>
  </cdr:relSizeAnchor>
  <cdr:relSizeAnchor xmlns:cdr="http://schemas.openxmlformats.org/drawingml/2006/chartDrawing">
    <cdr:from>
      <cdr:x>0.0194</cdr:x>
      <cdr:y>0.04033</cdr:y>
    </cdr:from>
    <cdr:to>
      <cdr:x>0.20292</cdr:x>
      <cdr:y>0.08197</cdr:y>
    </cdr:to>
    <cdr:sp macro="" textlink="'TRAD-visualiz'!$B$3">
      <cdr:nvSpPr>
        <cdr:cNvPr id="9" name="ZoneTexte 1"/>
        <cdr:cNvSpPr txBox="1"/>
      </cdr:nvSpPr>
      <cdr:spPr>
        <a:xfrm xmlns:a="http://schemas.openxmlformats.org/drawingml/2006/main">
          <a:off x="197176" y="277487"/>
          <a:ext cx="1865249" cy="286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D3A5E40-2D83-4BD3-9151-BFBF03E4B973}" type="TxLink">
            <a:rPr lang="en-US" sz="1050" b="0" i="0" u="none" strike="noStrike">
              <a:solidFill>
                <a:srgbClr val="000000"/>
              </a:solidFill>
              <a:latin typeface="+mn-lt"/>
              <a:cs typeface="Calibri"/>
            </a:rPr>
            <a:pPr/>
            <a:t>Pays et/ou structure </a:t>
          </a:fld>
          <a:endParaRPr lang="fr-FR" sz="1200" i="1">
            <a:latin typeface="+mn-lt"/>
          </a:endParaRPr>
        </a:p>
      </cdr:txBody>
    </cdr:sp>
  </cdr:relSizeAnchor>
  <cdr:relSizeAnchor xmlns:cdr="http://schemas.openxmlformats.org/drawingml/2006/chartDrawing">
    <cdr:from>
      <cdr:x>0.17608</cdr:x>
      <cdr:y>0.03707</cdr:y>
    </cdr:from>
    <cdr:to>
      <cdr:x>0.32086</cdr:x>
      <cdr:y>0.07956</cdr:y>
    </cdr:to>
    <cdr:sp macro="" textlink="Paramétrage!$D$11">
      <cdr:nvSpPr>
        <cdr:cNvPr id="10" name="ZoneTexte 1"/>
        <cdr:cNvSpPr txBox="1"/>
      </cdr:nvSpPr>
      <cdr:spPr>
        <a:xfrm xmlns:a="http://schemas.openxmlformats.org/drawingml/2006/main">
          <a:off x="1789597" y="255075"/>
          <a:ext cx="1471505"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mn-lt"/>
              <a:cs typeface="Calibri"/>
            </a:rPr>
            <a:pPr/>
            <a:t>TEST</a:t>
          </a:fld>
          <a:endParaRPr lang="fr-FR" sz="1100" b="1" i="1">
            <a:latin typeface="+mn-lt"/>
          </a:endParaRPr>
        </a:p>
      </cdr:txBody>
    </cdr:sp>
  </cdr:relSizeAnchor>
  <cdr:relSizeAnchor xmlns:cdr="http://schemas.openxmlformats.org/drawingml/2006/chartDrawing">
    <cdr:from>
      <cdr:x>0.85862</cdr:x>
      <cdr:y>0.09151</cdr:y>
    </cdr:from>
    <cdr:to>
      <cdr:x>0.99684</cdr:x>
      <cdr:y>0.17157</cdr:y>
    </cdr:to>
    <cdr:sp macro="" textlink="'TRAD-visualiz'!$B$8">
      <cdr:nvSpPr>
        <cdr:cNvPr id="12" name="ZoneTexte 11"/>
        <cdr:cNvSpPr txBox="1"/>
      </cdr:nvSpPr>
      <cdr:spPr>
        <a:xfrm xmlns:a="http://schemas.openxmlformats.org/drawingml/2006/main">
          <a:off x="8726786" y="629627"/>
          <a:ext cx="1404832" cy="55084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04226990-A435-4F84-A8AF-E79D7A886434}" type="TxLink">
            <a:rPr lang="en-US" sz="1000" b="0" i="0" u="none" strike="noStrike">
              <a:solidFill>
                <a:srgbClr val="000000"/>
              </a:solidFill>
              <a:latin typeface="+mn-lt"/>
              <a:cs typeface="Calibri"/>
            </a:rPr>
            <a:pPr algn="ctr"/>
            <a:t>Nb de patients concernés / mois</a:t>
          </a:fld>
          <a:endParaRPr lang="fr-FR" sz="100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307371" y="539700"/>
          <a:ext cx="1471506" cy="27494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latin typeface="+mn-lt"/>
            </a:rPr>
            <a:pPr/>
            <a:t> </a:t>
          </a:fld>
          <a:endParaRPr lang="fr-FR" sz="1100" b="1" i="1">
            <a:latin typeface="+mn-lt"/>
          </a:endParaRPr>
        </a:p>
      </cdr:txBody>
    </cdr:sp>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731147" y="6554349"/>
          <a:ext cx="259175" cy="22485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latin typeface="+mn-lt"/>
            </a:rPr>
            <a:pPr/>
            <a:t> </a:t>
          </a:fld>
          <a:endParaRPr lang="fr-FR" sz="1000">
            <a:latin typeface="+mn-lt"/>
          </a:endParaRPr>
        </a:p>
      </cdr:txBody>
    </cdr:sp>
  </cdr:relSizeAnchor>
  <cdr:relSizeAnchor xmlns:cdr="http://schemas.openxmlformats.org/drawingml/2006/chartDrawing">
    <cdr:from>
      <cdr:x>0.34398</cdr:x>
      <cdr:y>0.07082</cdr:y>
    </cdr:from>
    <cdr:to>
      <cdr:x>0.53359</cdr:x>
      <cdr:y>0.11252</cdr:y>
    </cdr:to>
    <cdr:sp macro="" textlink="'TRAD-visualiz'!$B$6">
      <cdr:nvSpPr>
        <cdr:cNvPr id="119" name="ZoneTexte 6"/>
        <cdr:cNvSpPr txBox="1"/>
      </cdr:nvSpPr>
      <cdr:spPr>
        <a:xfrm xmlns:a="http://schemas.openxmlformats.org/drawingml/2006/main">
          <a:off x="3496082" y="487279"/>
          <a:ext cx="1927146" cy="2869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CD984317-85EF-44E1-B99C-FED7BC860F7C}" type="TxLink">
            <a:rPr lang="en-US" sz="1050" b="0" i="0" u="none" strike="noStrike">
              <a:solidFill>
                <a:srgbClr val="000000"/>
              </a:solidFill>
              <a:latin typeface="+mn-lt"/>
              <a:cs typeface="Calibri"/>
            </a:rPr>
            <a:pPr/>
            <a:t>Nature des stocks considérés </a:t>
          </a:fld>
          <a:endParaRPr lang="fr-FR" sz="1200" i="1">
            <a:latin typeface="+mn-lt"/>
          </a:endParaRPr>
        </a:p>
      </cdr:txBody>
    </cdr:sp>
  </cdr:relSizeAnchor>
  <cdr:relSizeAnchor xmlns:cdr="http://schemas.openxmlformats.org/drawingml/2006/chartDrawing">
    <cdr:from>
      <cdr:x>0.22177</cdr:x>
      <cdr:y>0.07106</cdr:y>
    </cdr:from>
    <cdr:to>
      <cdr:x>0.36655</cdr:x>
      <cdr:y>0.11191</cdr:y>
    </cdr:to>
    <cdr:sp macro="" textlink="Paramétrage!$H$19">
      <cdr:nvSpPr>
        <cdr:cNvPr id="122" name="ZoneTexte 1"/>
        <cdr:cNvSpPr txBox="1"/>
      </cdr:nvSpPr>
      <cdr:spPr>
        <a:xfrm xmlns:a="http://schemas.openxmlformats.org/drawingml/2006/main">
          <a:off x="2254012" y="488922"/>
          <a:ext cx="1471505" cy="28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mn-lt"/>
            </a:rPr>
            <a:pPr/>
            <a:t>07/10/2014</a:t>
          </a:fld>
          <a:endParaRPr lang="fr-FR" sz="1100" b="1" i="1">
            <a:latin typeface="+mn-lt"/>
          </a:endParaRPr>
        </a:p>
      </cdr:txBody>
    </cdr:sp>
  </cdr:relSizeAnchor>
  <cdr:relSizeAnchor xmlns:cdr="http://schemas.openxmlformats.org/drawingml/2006/chartDrawing">
    <cdr:from>
      <cdr:x>0.54539</cdr:x>
      <cdr:y>0.07205</cdr:y>
    </cdr:from>
    <cdr:to>
      <cdr:x>0.86695</cdr:x>
      <cdr:y>0.11454</cdr:y>
    </cdr:to>
    <cdr:sp macro="" textlink="'Calculs dispo Données FA'!$F$179">
      <cdr:nvSpPr>
        <cdr:cNvPr id="123" name="ZoneTexte 1"/>
        <cdr:cNvSpPr txBox="1"/>
      </cdr:nvSpPr>
      <cdr:spPr>
        <a:xfrm xmlns:a="http://schemas.openxmlformats.org/drawingml/2006/main">
          <a:off x="5543234" y="495768"/>
          <a:ext cx="3268250"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D9618AC-EFB4-4346-BF53-E17319167841}" type="TxLink">
            <a:rPr lang="fr-FR" sz="1050" b="1" i="1" u="none" strike="noStrike">
              <a:solidFill>
                <a:srgbClr val="C00000"/>
              </a:solidFill>
              <a:latin typeface="+mn-lt"/>
              <a:cs typeface="Calibri"/>
            </a:rPr>
            <a:pPr/>
            <a:t>Stocks centraux &amp; Commandes</a:t>
          </a:fld>
          <a:endParaRPr lang="fr-FR" sz="1050" b="1" i="1">
            <a:solidFill>
              <a:srgbClr val="C00000"/>
            </a:solidFill>
            <a:latin typeface="+mn-lt"/>
          </a:endParaRPr>
        </a:p>
      </cdr:txBody>
    </cdr: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8022439" y="5631136"/>
          <a:ext cx="687475" cy="157355"/>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00" b="1">
              <a:latin typeface="+mn-lt"/>
            </a:rPr>
            <a:pPr algn="l"/>
            <a:t> </a:t>
          </a:fld>
          <a:endParaRPr lang="fr-FR" sz="1000" b="1">
            <a:latin typeface="+mn-lt"/>
          </a:endParaRPr>
        </a:p>
      </cdr:txBody>
    </cdr:sp>
  </cdr:relSizeAnchor>
  <cdr:relSizeAnchor xmlns:cdr="http://schemas.openxmlformats.org/drawingml/2006/chartDrawing">
    <cdr:from>
      <cdr:x>0.34398</cdr:x>
      <cdr:y>0.0387</cdr:y>
    </cdr:from>
    <cdr:to>
      <cdr:x>0.58404</cdr:x>
      <cdr:y>0.08039</cdr:y>
    </cdr:to>
    <cdr:sp macro="" textlink="'TRAD-visualiz'!$B$5">
      <cdr:nvSpPr>
        <cdr:cNvPr id="101" name="ZoneTexte 6"/>
        <cdr:cNvSpPr txBox="1"/>
      </cdr:nvSpPr>
      <cdr:spPr>
        <a:xfrm xmlns:a="http://schemas.openxmlformats.org/drawingml/2006/main">
          <a:off x="3496082" y="266281"/>
          <a:ext cx="2439907"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ABE2606-23FB-4D6A-86D6-D7128E49BD68}" type="TxLink">
            <a:rPr lang="en-US" sz="1050" b="0" i="0" u="none" strike="noStrike">
              <a:solidFill>
                <a:srgbClr val="000000"/>
              </a:solidFill>
              <a:latin typeface="+mn-lt"/>
              <a:cs typeface="Calibri"/>
            </a:rPr>
            <a:pPr/>
            <a:t>Méthode / type de données utilisées </a:t>
          </a:fld>
          <a:endParaRPr lang="fr-FR" sz="1200" i="1">
            <a:latin typeface="+mn-lt"/>
          </a:endParaRPr>
        </a:p>
      </cdr:txBody>
    </cdr:sp>
  </cdr:relSizeAnchor>
  <cdr:relSizeAnchor xmlns:cdr="http://schemas.openxmlformats.org/drawingml/2006/chartDrawing">
    <cdr:from>
      <cdr:x>0.54539</cdr:x>
      <cdr:y>0.03953</cdr:y>
    </cdr:from>
    <cdr:to>
      <cdr:x>0.7217</cdr:x>
      <cdr:y>0.08202</cdr:y>
    </cdr:to>
    <cdr:sp macro="" textlink="Calculs!$C$487">
      <cdr:nvSpPr>
        <cdr:cNvPr id="102" name="ZoneTexte 1"/>
        <cdr:cNvSpPr txBox="1"/>
      </cdr:nvSpPr>
      <cdr:spPr>
        <a:xfrm xmlns:a="http://schemas.openxmlformats.org/drawingml/2006/main">
          <a:off x="5543234" y="271983"/>
          <a:ext cx="1791969"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0921A9E-1E84-4D85-B507-3E0F2C99B2CF}" type="TxLink">
            <a:rPr lang="fr-FR" sz="1050" b="1" i="1" u="none" strike="noStrike">
              <a:solidFill>
                <a:srgbClr val="C00000"/>
              </a:solidFill>
              <a:latin typeface="+mn-lt"/>
            </a:rPr>
            <a:pPr/>
            <a:t>Données suivi de file active</a:t>
          </a:fld>
          <a:endParaRPr lang="fr-FR" sz="1050" b="1" i="1">
            <a:solidFill>
              <a:srgbClr val="C00000"/>
            </a:solidFill>
            <a:latin typeface="+mn-lt"/>
          </a:endParaRPr>
        </a:p>
      </cdr:txBody>
    </cdr:sp>
  </cdr:relSizeAnchor>
  <cdr:relSizeAnchor xmlns:cdr="http://schemas.openxmlformats.org/drawingml/2006/chartDrawing">
    <cdr:from>
      <cdr:x>0.37811</cdr:x>
      <cdr:y>0.98203</cdr:y>
    </cdr:from>
    <cdr:to>
      <cdr:x>0.3903</cdr:x>
      <cdr:y>0.9951</cdr:y>
    </cdr:to>
    <cdr:sp macro="" textlink="">
      <cdr:nvSpPr>
        <cdr:cNvPr id="103" name="Rectangle 102"/>
        <cdr:cNvSpPr/>
      </cdr:nvSpPr>
      <cdr:spPr>
        <a:xfrm xmlns:a="http://schemas.openxmlformats.org/drawingml/2006/main">
          <a:off x="3843010" y="6756771"/>
          <a:ext cx="123896" cy="89927"/>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latin typeface="+mn-lt"/>
          </a:endParaRPr>
        </a:p>
      </cdr:txBody>
    </cdr:sp>
  </cdr:relSizeAnchor>
  <cdr:relSizeAnchor xmlns:cdr="http://schemas.openxmlformats.org/drawingml/2006/chartDrawing">
    <cdr:from>
      <cdr:x>0.39252</cdr:x>
      <cdr:y>0.96895</cdr:y>
    </cdr:from>
    <cdr:to>
      <cdr:x>0.66735</cdr:x>
      <cdr:y>1</cdr:y>
    </cdr:to>
    <cdr:sp macro="" textlink="'TRAD-visualiz'!$B$10">
      <cdr:nvSpPr>
        <cdr:cNvPr id="104" name="ZoneTexte 2"/>
        <cdr:cNvSpPr txBox="1"/>
      </cdr:nvSpPr>
      <cdr:spPr>
        <a:xfrm xmlns:a="http://schemas.openxmlformats.org/drawingml/2006/main">
          <a:off x="3989469" y="6666775"/>
          <a:ext cx="2793300" cy="2136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FAC9D7F-8DFB-45AE-B3CE-9F3CE35C7D4F}" type="TxLink">
            <a:rPr lang="en-US" sz="1000" b="0" i="0" u="none" strike="noStrike">
              <a:solidFill>
                <a:srgbClr val="000000"/>
              </a:solidFill>
              <a:latin typeface="+mn-lt"/>
              <a:cs typeface="Calibri"/>
            </a:rPr>
            <a:pPr/>
            <a:t>Période pendant laquelle le ST a été utilisé </a:t>
          </a:fld>
          <a:endParaRPr lang="fr-FR" sz="1000">
            <a:latin typeface="+mn-lt"/>
          </a:endParaRPr>
        </a:p>
      </cdr:txBody>
    </cdr:sp>
  </cdr:relSizeAnchor>
  <cdr:relSizeAnchor xmlns:cdr="http://schemas.openxmlformats.org/drawingml/2006/chartDrawing">
    <cdr:from>
      <cdr:x>0.89815</cdr:x>
      <cdr:y>0.18998</cdr:y>
    </cdr:from>
    <cdr:to>
      <cdr:x>0.96227</cdr:x>
      <cdr:y>0.94352</cdr:y>
    </cdr:to>
    <cdr:grpSp>
      <cdr:nvGrpSpPr>
        <cdr:cNvPr id="100" name="Groupe 99"/>
        <cdr:cNvGrpSpPr/>
      </cdr:nvGrpSpPr>
      <cdr:grpSpPr>
        <a:xfrm xmlns:a="http://schemas.openxmlformats.org/drawingml/2006/main">
          <a:off x="9128559" y="1307141"/>
          <a:ext cx="651698" cy="5184665"/>
          <a:chOff x="0" y="14232"/>
          <a:chExt cx="647998" cy="5178870"/>
        </a:xfrm>
      </cdr:grpSpPr>
      <cdr:sp macro="" textlink="Calculs!$R$176">
        <cdr:nvSpPr>
          <cdr:cNvPr id="153" name="ZoneTexte 1"/>
          <cdr:cNvSpPr txBox="1"/>
        </cdr:nvSpPr>
        <cdr:spPr>
          <a:xfrm xmlns:a="http://schemas.openxmlformats.org/drawingml/2006/main">
            <a:off x="0" y="162413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1E46C71-23CA-4731-B45B-782F74FFF957}"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4">
        <cdr:nvSpPr>
          <cdr:cNvPr id="154" name="ZoneTexte 1"/>
          <cdr:cNvSpPr txBox="1"/>
        </cdr:nvSpPr>
        <cdr:spPr>
          <a:xfrm xmlns:a="http://schemas.openxmlformats.org/drawingml/2006/main">
            <a:off x="0" y="1221661"/>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67D48FF-800D-4DA4-9889-E8EF6089ACC5}"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2">
        <cdr:nvSpPr>
          <cdr:cNvPr id="155" name="ZoneTexte 1"/>
          <cdr:cNvSpPr txBox="1"/>
        </cdr:nvSpPr>
        <cdr:spPr>
          <a:xfrm xmlns:a="http://schemas.openxmlformats.org/drawingml/2006/main">
            <a:off x="0" y="819185"/>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BF5E5E6-4CD1-4CFA-8713-E3FA912CEE6A}"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0">
        <cdr:nvSpPr>
          <cdr:cNvPr id="156" name="ZoneTexte 1"/>
          <cdr:cNvSpPr txBox="1"/>
        </cdr:nvSpPr>
        <cdr:spPr>
          <a:xfrm xmlns:a="http://schemas.openxmlformats.org/drawingml/2006/main">
            <a:off x="0" y="41670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A238367-C96D-47A2-9259-93A51363CCFA}" type="TxLink">
              <a:rPr lang="en-US" sz="1000" b="1" i="0" u="none" strike="noStrike">
                <a:solidFill>
                  <a:srgbClr val="000000"/>
                </a:solidFill>
                <a:latin typeface="+mn-lt"/>
                <a:cs typeface="Calibri"/>
              </a:rPr>
              <a:pPr algn="l"/>
              <a:t>0</a:t>
            </a:fld>
            <a:endParaRPr lang="fr-FR" sz="1000" b="1">
              <a:latin typeface="+mn-lt"/>
            </a:endParaRPr>
          </a:p>
        </cdr:txBody>
      </cdr:sp>
      <cdr:sp macro="" textlink="Calculs!$R$169">
        <cdr:nvSpPr>
          <cdr:cNvPr id="157" name="ZoneTexte 1"/>
          <cdr:cNvSpPr txBox="1"/>
        </cdr:nvSpPr>
        <cdr:spPr>
          <a:xfrm xmlns:a="http://schemas.openxmlformats.org/drawingml/2006/main">
            <a:off x="0" y="21547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DCDB913-08DB-4B60-9D6F-037C4810FE56}" type="TxLink">
              <a:rPr lang="en-US" sz="1000" b="1" i="0" u="none" strike="noStrike">
                <a:solidFill>
                  <a:srgbClr val="000000"/>
                </a:solidFill>
                <a:latin typeface="+mn-lt"/>
                <a:cs typeface="Calibri"/>
              </a:rPr>
              <a:pPr algn="l"/>
              <a:t>0</a:t>
            </a:fld>
            <a:endParaRPr lang="fr-FR" sz="1000" b="1">
              <a:latin typeface="+mn-lt"/>
            </a:endParaRPr>
          </a:p>
        </cdr:txBody>
      </cdr:sp>
      <cdr:sp macro="" textlink="Calculs!$R$168">
        <cdr:nvSpPr>
          <cdr:cNvPr id="158" name="ZoneTexte 1"/>
          <cdr:cNvSpPr txBox="1"/>
        </cdr:nvSpPr>
        <cdr:spPr>
          <a:xfrm xmlns:a="http://schemas.openxmlformats.org/drawingml/2006/main">
            <a:off x="0" y="1423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D3AA947-F1FC-489F-BDF7-44BB99694F9C}"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7">
        <cdr:nvSpPr>
          <cdr:cNvPr id="159" name="ZoneTexte 1"/>
          <cdr:cNvSpPr txBox="1"/>
        </cdr:nvSpPr>
        <cdr:spPr>
          <a:xfrm xmlns:a="http://schemas.openxmlformats.org/drawingml/2006/main">
            <a:off x="0" y="1825376"/>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80A4BEC-CAF6-420B-9946-706764F99FAD}"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9">
        <cdr:nvSpPr>
          <cdr:cNvPr id="161" name="ZoneTexte 1"/>
          <cdr:cNvSpPr txBox="1"/>
        </cdr:nvSpPr>
        <cdr:spPr>
          <a:xfrm xmlns:a="http://schemas.openxmlformats.org/drawingml/2006/main">
            <a:off x="0" y="222785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C576170-68B2-48C5-AFDD-282333B393C3}"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0">
        <cdr:nvSpPr>
          <cdr:cNvPr id="162" name="ZoneTexte 1"/>
          <cdr:cNvSpPr txBox="1"/>
        </cdr:nvSpPr>
        <cdr:spPr>
          <a:xfrm xmlns:a="http://schemas.openxmlformats.org/drawingml/2006/main">
            <a:off x="0" y="242909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8DE8BD5-49D3-4674-973C-9731BA8C940D}"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2">
        <cdr:nvSpPr>
          <cdr:cNvPr id="163" name="ZoneTexte 1"/>
          <cdr:cNvSpPr txBox="1"/>
        </cdr:nvSpPr>
        <cdr:spPr>
          <a:xfrm xmlns:a="http://schemas.openxmlformats.org/drawingml/2006/main">
            <a:off x="0" y="2831567"/>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5F7A627-EF8A-4335-B173-74439FAA1A19}"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3">
        <cdr:nvSpPr>
          <cdr:cNvPr id="164" name="ZoneTexte 1"/>
          <cdr:cNvSpPr txBox="1"/>
        </cdr:nvSpPr>
        <cdr:spPr>
          <a:xfrm xmlns:a="http://schemas.openxmlformats.org/drawingml/2006/main">
            <a:off x="0" y="3032805"/>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1BB91ED-AA8B-400E-80A5-B04886E4D438}"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4">
        <cdr:nvSpPr>
          <cdr:cNvPr id="165" name="ZoneTexte 1"/>
          <cdr:cNvSpPr txBox="1"/>
        </cdr:nvSpPr>
        <cdr:spPr>
          <a:xfrm xmlns:a="http://schemas.openxmlformats.org/drawingml/2006/main">
            <a:off x="0" y="323404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02C893A-4B65-41EF-9C57-0E820F5C4EAF}"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5">
        <cdr:nvSpPr>
          <cdr:cNvPr id="166" name="ZoneTexte 1"/>
          <cdr:cNvSpPr txBox="1"/>
        </cdr:nvSpPr>
        <cdr:spPr>
          <a:xfrm xmlns:a="http://schemas.openxmlformats.org/drawingml/2006/main">
            <a:off x="0" y="343528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763117B-A71F-4861-8CFB-96AE96B4D264}"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6">
        <cdr:nvSpPr>
          <cdr:cNvPr id="167" name="ZoneTexte 1"/>
          <cdr:cNvSpPr txBox="1"/>
        </cdr:nvSpPr>
        <cdr:spPr>
          <a:xfrm xmlns:a="http://schemas.openxmlformats.org/drawingml/2006/main">
            <a:off x="0" y="363652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6DEBD9C-CD60-4A91-9651-170DAF29909B}"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9">
        <cdr:nvSpPr>
          <cdr:cNvPr id="168" name="ZoneTexte 1"/>
          <cdr:cNvSpPr txBox="1"/>
        </cdr:nvSpPr>
        <cdr:spPr>
          <a:xfrm xmlns:a="http://schemas.openxmlformats.org/drawingml/2006/main">
            <a:off x="0" y="4240234"/>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A3216C8-54D7-4663-964C-E9BF6B440964}" type="TxLink">
              <a:rPr lang="en-US" sz="1000" b="1" i="0" u="none" strike="noStrike">
                <a:solidFill>
                  <a:srgbClr val="000000"/>
                </a:solidFill>
                <a:latin typeface="+mn-lt"/>
                <a:cs typeface="Calibri"/>
              </a:rPr>
              <a:pPr algn="l"/>
              <a:t>0</a:t>
            </a:fld>
            <a:endParaRPr lang="fr-FR" sz="1000" b="1">
              <a:latin typeface="+mn-lt"/>
            </a:endParaRPr>
          </a:p>
        </cdr:txBody>
      </cdr:sp>
      <cdr:sp macro="" textlink="Calculs!$R$192">
        <cdr:nvSpPr>
          <cdr:cNvPr id="169" name="ZoneTexte 1"/>
          <cdr:cNvSpPr txBox="1"/>
        </cdr:nvSpPr>
        <cdr:spPr>
          <a:xfrm xmlns:a="http://schemas.openxmlformats.org/drawingml/2006/main">
            <a:off x="0" y="484394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9C858AA-F63C-494B-96EC-C83C9E1CA694}" type="TxLink">
              <a:rPr lang="en-US" sz="1000" b="1" i="0" u="none" strike="noStrike">
                <a:solidFill>
                  <a:srgbClr val="000000"/>
                </a:solidFill>
                <a:latin typeface="+mn-lt"/>
                <a:cs typeface="Calibri"/>
              </a:rPr>
              <a:pPr algn="l"/>
              <a:t>0</a:t>
            </a:fld>
            <a:endParaRPr lang="fr-FR" sz="1000" b="1">
              <a:latin typeface="+mn-lt"/>
            </a:endParaRPr>
          </a:p>
        </cdr:txBody>
      </cdr:sp>
      <cdr:sp macro="" textlink="Calculs!$R$193">
        <cdr:nvSpPr>
          <cdr:cNvPr id="170" name="ZoneTexte 1"/>
          <cdr:cNvSpPr txBox="1"/>
        </cdr:nvSpPr>
        <cdr:spPr>
          <a:xfrm xmlns:a="http://schemas.openxmlformats.org/drawingml/2006/main">
            <a:off x="0" y="504518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9B551578-CCEC-44DD-BD60-EB30473D3B90}" type="TxLink">
              <a:rPr lang="en-US" sz="1000" b="1" i="0" u="none" strike="noStrike">
                <a:solidFill>
                  <a:srgbClr val="000000"/>
                </a:solidFill>
                <a:latin typeface="+mn-lt"/>
                <a:cs typeface="Calibri"/>
              </a:rPr>
              <a:pPr marL="0" indent="0" algn="l"/>
              <a:t>0</a:t>
            </a:fld>
            <a:endParaRPr lang="fr-FR" sz="1000" b="1">
              <a:latin typeface="+mn-lt"/>
            </a:endParaRPr>
          </a:p>
        </cdr:txBody>
      </cdr:sp>
      <cdr:sp macro="" textlink="Calculs!$R$191">
        <cdr:nvSpPr>
          <cdr:cNvPr id="171" name="ZoneTexte 1"/>
          <cdr:cNvSpPr txBox="1"/>
        </cdr:nvSpPr>
        <cdr:spPr>
          <a:xfrm xmlns:a="http://schemas.openxmlformats.org/drawingml/2006/main">
            <a:off x="0" y="4642711"/>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3FC909D-8C5A-4DE2-BF34-96F28A3448FA}" type="TxLink">
              <a:rPr lang="en-US" sz="1000" b="1" i="0" u="none" strike="noStrike">
                <a:solidFill>
                  <a:srgbClr val="000000"/>
                </a:solidFill>
                <a:latin typeface="+mn-lt"/>
                <a:cs typeface="Calibri"/>
              </a:rPr>
              <a:pPr algn="l"/>
              <a:t>0</a:t>
            </a:fld>
            <a:endParaRPr lang="fr-FR" sz="1000" b="1">
              <a:latin typeface="+mn-lt"/>
            </a:endParaRPr>
          </a:p>
        </cdr:txBody>
      </cdr:sp>
      <cdr:sp macro="" textlink="Calculs!$R$190">
        <cdr:nvSpPr>
          <cdr:cNvPr id="172" name="ZoneTexte 1"/>
          <cdr:cNvSpPr txBox="1"/>
        </cdr:nvSpPr>
        <cdr:spPr>
          <a:xfrm xmlns:a="http://schemas.openxmlformats.org/drawingml/2006/main">
            <a:off x="0" y="444147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78F4B89-4371-466C-93B6-05EBE2414EC9}"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1">
        <cdr:nvSpPr>
          <cdr:cNvPr id="173" name="ZoneTexte 1"/>
          <cdr:cNvSpPr txBox="1"/>
        </cdr:nvSpPr>
        <cdr:spPr>
          <a:xfrm xmlns:a="http://schemas.openxmlformats.org/drawingml/2006/main">
            <a:off x="0" y="617947"/>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B43E098-DF8D-4D16-B052-3A9D0C102050}"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3">
        <cdr:nvSpPr>
          <cdr:cNvPr id="174" name="ZoneTexte 1"/>
          <cdr:cNvSpPr txBox="1"/>
        </cdr:nvSpPr>
        <cdr:spPr>
          <a:xfrm xmlns:a="http://schemas.openxmlformats.org/drawingml/2006/main">
            <a:off x="0" y="102042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5957A0F-1415-4365-A6F3-835F0B9E1F79}"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5">
        <cdr:nvSpPr>
          <cdr:cNvPr id="175" name="ZoneTexte 1"/>
          <cdr:cNvSpPr txBox="1"/>
        </cdr:nvSpPr>
        <cdr:spPr>
          <a:xfrm xmlns:a="http://schemas.openxmlformats.org/drawingml/2006/main">
            <a:off x="0" y="142289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34455E7-0C0D-47C5-8349-888726A69C10}" type="TxLink">
              <a:rPr lang="en-US" sz="1000" b="1" i="0" u="none" strike="noStrike">
                <a:solidFill>
                  <a:srgbClr val="000000"/>
                </a:solidFill>
                <a:latin typeface="+mn-lt"/>
                <a:cs typeface="Calibri"/>
              </a:rPr>
              <a:pPr algn="l"/>
              <a:t>0</a:t>
            </a:fld>
            <a:endParaRPr lang="fr-FR" sz="1000" b="1">
              <a:latin typeface="+mn-lt"/>
            </a:endParaRPr>
          </a:p>
        </cdr:txBody>
      </cdr:sp>
      <cdr:sp macro="" textlink="Calculs!$R$178">
        <cdr:nvSpPr>
          <cdr:cNvPr id="176" name="ZoneTexte 1"/>
          <cdr:cNvSpPr txBox="1"/>
        </cdr:nvSpPr>
        <cdr:spPr>
          <a:xfrm xmlns:a="http://schemas.openxmlformats.org/drawingml/2006/main">
            <a:off x="0" y="2026614"/>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5E04061-44BE-4060-82CB-B7B6CC4E7CE7}"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1">
        <cdr:nvSpPr>
          <cdr:cNvPr id="177" name="ZoneTexte 1"/>
          <cdr:cNvSpPr txBox="1"/>
        </cdr:nvSpPr>
        <cdr:spPr>
          <a:xfrm xmlns:a="http://schemas.openxmlformats.org/drawingml/2006/main">
            <a:off x="0" y="263032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7814D16-7181-4595-B054-0FA86F80E657}"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7">
        <cdr:nvSpPr>
          <cdr:cNvPr id="178" name="ZoneTexte 1"/>
          <cdr:cNvSpPr txBox="1"/>
        </cdr:nvSpPr>
        <cdr:spPr>
          <a:xfrm xmlns:a="http://schemas.openxmlformats.org/drawingml/2006/main">
            <a:off x="0" y="383775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E9444FD-F4BD-4B12-9D3E-518B97211225}" type="TxLink">
              <a:rPr lang="en-US" sz="1000" b="1" i="0" u="none" strike="noStrike">
                <a:solidFill>
                  <a:srgbClr val="000000"/>
                </a:solidFill>
                <a:latin typeface="+mn-lt"/>
                <a:cs typeface="Calibri"/>
              </a:rPr>
              <a:pPr algn="l"/>
              <a:t>0</a:t>
            </a:fld>
            <a:endParaRPr lang="fr-FR" sz="1000" b="1">
              <a:latin typeface="+mn-lt"/>
            </a:endParaRPr>
          </a:p>
        </cdr:txBody>
      </cdr:sp>
      <cdr:sp macro="" textlink="Calculs!$R$188">
        <cdr:nvSpPr>
          <cdr:cNvPr id="179" name="ZoneTexte 1"/>
          <cdr:cNvSpPr txBox="1"/>
        </cdr:nvSpPr>
        <cdr:spPr>
          <a:xfrm xmlns:a="http://schemas.openxmlformats.org/drawingml/2006/main">
            <a:off x="0" y="4038996"/>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460E28B-4811-4236-917F-8B2E981DE4ED}" type="TxLink">
              <a:rPr lang="en-US" sz="1000" b="1" i="0" u="none" strike="noStrike">
                <a:solidFill>
                  <a:srgbClr val="000000"/>
                </a:solidFill>
                <a:latin typeface="+mn-lt"/>
                <a:cs typeface="Calibri"/>
              </a:rPr>
              <a:pPr algn="l"/>
              <a:t>0</a:t>
            </a:fld>
            <a:endParaRPr lang="fr-FR" sz="1000" b="1">
              <a:latin typeface="+mn-lt"/>
            </a:endParaRPr>
          </a:p>
        </cdr:txBody>
      </cdr:sp>
    </cdr:grpSp>
  </cdr:relSizeAnchor>
  <cdr:relSizeAnchor xmlns:cdr="http://schemas.openxmlformats.org/drawingml/2006/chartDrawing">
    <cdr:from>
      <cdr:x>0.94528</cdr:x>
      <cdr:y>0.18791</cdr:y>
    </cdr:from>
    <cdr:to>
      <cdr:x>0.99872</cdr:x>
      <cdr:y>0.93979</cdr:y>
    </cdr:to>
    <cdr:grpSp>
      <cdr:nvGrpSpPr>
        <cdr:cNvPr id="105" name="Groupe 104"/>
        <cdr:cNvGrpSpPr/>
      </cdr:nvGrpSpPr>
      <cdr:grpSpPr>
        <a:xfrm xmlns:a="http://schemas.openxmlformats.org/drawingml/2006/main">
          <a:off x="9607575" y="1292898"/>
          <a:ext cx="543150" cy="5173244"/>
          <a:chOff x="476266" y="0"/>
          <a:chExt cx="540066" cy="5156371"/>
        </a:xfrm>
      </cdr:grpSpPr>
      <cdr:sp macro="" textlink="Calculs!$R$226">
        <cdr:nvSpPr>
          <cdr:cNvPr id="106" name="ZoneTexte 1"/>
          <cdr:cNvSpPr txBox="1"/>
        </cdr:nvSpPr>
        <cdr:spPr>
          <a:xfrm xmlns:a="http://schemas.openxmlformats.org/drawingml/2006/main">
            <a:off x="476266" y="80140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DA3EF71-BCDB-48E1-ABC0-8C04BB2DEBC0}" type="TxLink">
              <a:rPr lang="en-US" sz="1000" b="1" i="0" u="none" strike="noStrike">
                <a:solidFill>
                  <a:srgbClr val="000000"/>
                </a:solidFill>
                <a:latin typeface="+mn-lt"/>
                <a:cs typeface="Calibri"/>
              </a:rPr>
              <a:pPr algn="l"/>
              <a:t>0</a:t>
            </a:fld>
            <a:endParaRPr lang="fr-FR" sz="1000" b="1">
              <a:latin typeface="+mn-lt"/>
            </a:endParaRPr>
          </a:p>
        </cdr:txBody>
      </cdr:sp>
      <cdr:sp macro="" textlink="Calculs!$R$224">
        <cdr:nvSpPr>
          <cdr:cNvPr id="110" name="ZoneTexte 1"/>
          <cdr:cNvSpPr txBox="1"/>
        </cdr:nvSpPr>
        <cdr:spPr>
          <a:xfrm xmlns:a="http://schemas.openxmlformats.org/drawingml/2006/main">
            <a:off x="476266" y="40070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6B934CD-C3E7-4AB9-A461-22B5A6E02C75}" type="TxLink">
              <a:rPr lang="en-US" sz="1000" b="1" i="0" u="none" strike="noStrike">
                <a:solidFill>
                  <a:srgbClr val="000000"/>
                </a:solidFill>
                <a:latin typeface="+mn-lt"/>
                <a:cs typeface="Calibri"/>
              </a:rPr>
              <a:pPr algn="l"/>
              <a:t>0</a:t>
            </a:fld>
            <a:endParaRPr lang="fr-FR" sz="1000" b="1">
              <a:latin typeface="+mn-lt"/>
            </a:endParaRPr>
          </a:p>
        </cdr:txBody>
      </cdr:sp>
      <cdr:sp macro="" textlink="Calculs!$R$223">
        <cdr:nvSpPr>
          <cdr:cNvPr id="111" name="ZoneTexte 1"/>
          <cdr:cNvSpPr txBox="1"/>
        </cdr:nvSpPr>
        <cdr:spPr>
          <a:xfrm xmlns:a="http://schemas.openxmlformats.org/drawingml/2006/main">
            <a:off x="476266" y="20035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113223C-11E9-463A-A2CA-05B4C59A8F4C}" type="TxLink">
              <a:rPr lang="en-US" sz="1000" b="1" i="0" u="none" strike="noStrike">
                <a:solidFill>
                  <a:srgbClr val="000000"/>
                </a:solidFill>
                <a:latin typeface="+mn-lt"/>
                <a:cs typeface="Calibri"/>
              </a:rPr>
              <a:pPr algn="l"/>
              <a:t>0</a:t>
            </a:fld>
            <a:endParaRPr lang="fr-FR" sz="1000" b="1">
              <a:latin typeface="+mn-lt"/>
            </a:endParaRPr>
          </a:p>
        </cdr:txBody>
      </cdr:sp>
      <cdr:sp macro="" textlink="Calculs!$R$222">
        <cdr:nvSpPr>
          <cdr:cNvPr id="112" name="ZoneTexte 1"/>
          <cdr:cNvSpPr txBox="1"/>
        </cdr:nvSpPr>
        <cdr:spPr>
          <a:xfrm xmlns:a="http://schemas.openxmlformats.org/drawingml/2006/main">
            <a:off x="476266" y="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06855C2-1BBC-4773-8AE6-8D9C38F4CE4E}" type="TxLink">
              <a:rPr lang="en-US" sz="1000" b="1" i="0" u="none" strike="noStrike">
                <a:solidFill>
                  <a:srgbClr val="000000"/>
                </a:solidFill>
                <a:latin typeface="+mn-lt"/>
                <a:cs typeface="Calibri"/>
              </a:rPr>
              <a:pPr algn="l"/>
              <a:t>0</a:t>
            </a:fld>
            <a:endParaRPr lang="fr-FR" sz="1000" b="1">
              <a:latin typeface="+mn-lt"/>
            </a:endParaRPr>
          </a:p>
        </cdr:txBody>
      </cdr:sp>
      <cdr:sp macro="" textlink="Calculs!$R$228">
        <cdr:nvSpPr>
          <cdr:cNvPr id="113" name="ZoneTexte 1"/>
          <cdr:cNvSpPr txBox="1"/>
        </cdr:nvSpPr>
        <cdr:spPr>
          <a:xfrm xmlns:a="http://schemas.openxmlformats.org/drawingml/2006/main">
            <a:off x="476266" y="120210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1031D3A-6C5C-4F71-9A99-177718DF3FCB}"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0">
        <cdr:nvSpPr>
          <cdr:cNvPr id="114" name="ZoneTexte 1"/>
          <cdr:cNvSpPr txBox="1"/>
        </cdr:nvSpPr>
        <cdr:spPr>
          <a:xfrm xmlns:a="http://schemas.openxmlformats.org/drawingml/2006/main">
            <a:off x="476266" y="160280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7C77E03-1FE6-4787-8DB6-D32AE054BB0A}"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3">
        <cdr:nvSpPr>
          <cdr:cNvPr id="115" name="ZoneTexte 1"/>
          <cdr:cNvSpPr txBox="1"/>
        </cdr:nvSpPr>
        <cdr:spPr>
          <a:xfrm xmlns:a="http://schemas.openxmlformats.org/drawingml/2006/main">
            <a:off x="476266" y="220386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C7429D9-884B-4722-A6F8-7845B38C2FB1}"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4">
        <cdr:nvSpPr>
          <cdr:cNvPr id="116" name="ZoneTexte 1"/>
          <cdr:cNvSpPr txBox="1"/>
        </cdr:nvSpPr>
        <cdr:spPr>
          <a:xfrm xmlns:a="http://schemas.openxmlformats.org/drawingml/2006/main">
            <a:off x="476266" y="240421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7C3F31C-8BE3-41EC-85BC-2F9E23AC5A78}"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6">
        <cdr:nvSpPr>
          <cdr:cNvPr id="117" name="ZoneTexte 1"/>
          <cdr:cNvSpPr txBox="1"/>
        </cdr:nvSpPr>
        <cdr:spPr>
          <a:xfrm xmlns:a="http://schemas.openxmlformats.org/drawingml/2006/main">
            <a:off x="476266" y="280491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E596178-515D-47BD-9FA2-9075CFC17022}"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7">
        <cdr:nvSpPr>
          <cdr:cNvPr id="136" name="ZoneTexte 1"/>
          <cdr:cNvSpPr txBox="1"/>
        </cdr:nvSpPr>
        <cdr:spPr>
          <a:xfrm xmlns:a="http://schemas.openxmlformats.org/drawingml/2006/main">
            <a:off x="476266" y="3005265"/>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D04B6E3-5555-457E-9D0E-3700E285C249}"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8">
        <cdr:nvSpPr>
          <cdr:cNvPr id="137" name="ZoneTexte 1"/>
          <cdr:cNvSpPr txBox="1"/>
        </cdr:nvSpPr>
        <cdr:spPr>
          <a:xfrm xmlns:a="http://schemas.openxmlformats.org/drawingml/2006/main">
            <a:off x="476266" y="320561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8E88C6-2ED9-41EB-9625-9AD4E36184F6}"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9">
        <cdr:nvSpPr>
          <cdr:cNvPr id="138" name="ZoneTexte 1"/>
          <cdr:cNvSpPr txBox="1"/>
        </cdr:nvSpPr>
        <cdr:spPr>
          <a:xfrm xmlns:a="http://schemas.openxmlformats.org/drawingml/2006/main">
            <a:off x="476266" y="3405967"/>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AD9B59F-E39E-4356-9DC3-2C6E3F636D71}" type="TxLink">
              <a:rPr lang="en-US" sz="1000" b="1" i="0" u="none" strike="noStrike">
                <a:solidFill>
                  <a:srgbClr val="000000"/>
                </a:solidFill>
                <a:latin typeface="+mn-lt"/>
                <a:cs typeface="Calibri"/>
              </a:rPr>
              <a:pPr algn="l"/>
              <a:t>0</a:t>
            </a:fld>
            <a:endParaRPr lang="fr-FR" sz="1000" b="1">
              <a:latin typeface="+mn-lt"/>
            </a:endParaRPr>
          </a:p>
        </cdr:txBody>
      </cdr:sp>
      <cdr:sp macro="" textlink="Calculs!$R$242">
        <cdr:nvSpPr>
          <cdr:cNvPr id="139" name="ZoneTexte 1"/>
          <cdr:cNvSpPr txBox="1"/>
        </cdr:nvSpPr>
        <cdr:spPr>
          <a:xfrm xmlns:a="http://schemas.openxmlformats.org/drawingml/2006/main">
            <a:off x="476266" y="400702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E421273-3782-44E9-8B4B-B2C30E990F58}" type="TxLink">
              <a:rPr lang="en-US" sz="1000" b="1" i="0" u="none" strike="noStrike">
                <a:solidFill>
                  <a:srgbClr val="000000"/>
                </a:solidFill>
                <a:latin typeface="+mn-lt"/>
                <a:cs typeface="Calibri"/>
              </a:rPr>
              <a:pPr algn="l"/>
              <a:t>0</a:t>
            </a:fld>
            <a:endParaRPr lang="fr-FR" sz="1000" b="1">
              <a:latin typeface="+mn-lt"/>
            </a:endParaRPr>
          </a:p>
        </cdr:txBody>
      </cdr:sp>
      <cdr:sp macro="" textlink="Calculs!$R$243">
        <cdr:nvSpPr>
          <cdr:cNvPr id="140" name="ZoneTexte 1"/>
          <cdr:cNvSpPr txBox="1"/>
        </cdr:nvSpPr>
        <cdr:spPr>
          <a:xfrm xmlns:a="http://schemas.openxmlformats.org/drawingml/2006/main">
            <a:off x="476266" y="420737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C02F308-5123-41EC-AC0F-D10895213404}" type="TxLink">
              <a:rPr lang="en-US" sz="1000" b="1" i="0" u="none" strike="noStrike">
                <a:solidFill>
                  <a:srgbClr val="000000"/>
                </a:solidFill>
                <a:latin typeface="+mn-lt"/>
                <a:cs typeface="Calibri"/>
              </a:rPr>
              <a:pPr algn="l"/>
              <a:t>0</a:t>
            </a:fld>
            <a:endParaRPr lang="fr-FR" sz="1000" b="1">
              <a:latin typeface="+mn-lt"/>
            </a:endParaRPr>
          </a:p>
        </cdr:txBody>
      </cdr:sp>
      <cdr:sp macro="" textlink="Calculs!$R$246">
        <cdr:nvSpPr>
          <cdr:cNvPr id="141" name="ZoneTexte 1"/>
          <cdr:cNvSpPr txBox="1"/>
        </cdr:nvSpPr>
        <cdr:spPr>
          <a:xfrm xmlns:a="http://schemas.openxmlformats.org/drawingml/2006/main">
            <a:off x="476266" y="480842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5122FEF-BBE3-4102-913A-56AF20ABAD19}" type="TxLink">
              <a:rPr lang="en-US" sz="1000" b="1" i="0" u="none" strike="noStrike">
                <a:solidFill>
                  <a:srgbClr val="000000"/>
                </a:solidFill>
                <a:latin typeface="+mn-lt"/>
                <a:cs typeface="Calibri"/>
              </a:rPr>
              <a:pPr algn="l"/>
              <a:t>0</a:t>
            </a:fld>
            <a:endParaRPr lang="fr-FR" sz="1000" b="1">
              <a:latin typeface="+mn-lt"/>
            </a:endParaRPr>
          </a:p>
        </cdr:txBody>
      </cdr:sp>
      <cdr:sp macro="" textlink="Calculs!$R$247">
        <cdr:nvSpPr>
          <cdr:cNvPr id="142" name="ZoneTexte 1"/>
          <cdr:cNvSpPr txBox="1"/>
        </cdr:nvSpPr>
        <cdr:spPr>
          <a:xfrm xmlns:a="http://schemas.openxmlformats.org/drawingml/2006/main">
            <a:off x="476266" y="500877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0376328-F86A-4B80-AE44-CD9452C0E1D5}" type="TxLink">
              <a:rPr lang="en-US" sz="1000" b="1" i="0" u="none" strike="noStrike">
                <a:solidFill>
                  <a:srgbClr val="000000"/>
                </a:solidFill>
                <a:latin typeface="+mn-lt"/>
                <a:cs typeface="Calibri"/>
              </a:rPr>
              <a:pPr algn="l"/>
              <a:t>0</a:t>
            </a:fld>
            <a:endParaRPr lang="fr-FR" sz="1000" b="1">
              <a:latin typeface="+mn-lt"/>
            </a:endParaRPr>
          </a:p>
        </cdr:txBody>
      </cdr:sp>
      <cdr:sp macro="" textlink="Calculs!$R$245">
        <cdr:nvSpPr>
          <cdr:cNvPr id="143" name="ZoneTexte 1"/>
          <cdr:cNvSpPr txBox="1"/>
        </cdr:nvSpPr>
        <cdr:spPr>
          <a:xfrm xmlns:a="http://schemas.openxmlformats.org/drawingml/2006/main">
            <a:off x="476266" y="460807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6335956-3CB3-4FA6-AF00-3192A82A0665}" type="TxLink">
              <a:rPr lang="en-US" sz="1000" b="1" i="0" u="none" strike="noStrike">
                <a:solidFill>
                  <a:srgbClr val="000000"/>
                </a:solidFill>
                <a:latin typeface="+mn-lt"/>
                <a:cs typeface="Calibri"/>
              </a:rPr>
              <a:pPr algn="l"/>
              <a:t>0</a:t>
            </a:fld>
            <a:endParaRPr lang="fr-FR" sz="1000" b="1">
              <a:latin typeface="+mn-lt"/>
            </a:endParaRPr>
          </a:p>
        </cdr:txBody>
      </cdr:sp>
      <cdr:sp macro="" textlink="Calculs!$R$244">
        <cdr:nvSpPr>
          <cdr:cNvPr id="144" name="ZoneTexte 1"/>
          <cdr:cNvSpPr txBox="1"/>
        </cdr:nvSpPr>
        <cdr:spPr>
          <a:xfrm xmlns:a="http://schemas.openxmlformats.org/drawingml/2006/main">
            <a:off x="476266" y="440772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A207C07-7B65-452F-B4A3-C24F67B6DC8C}"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1">
        <cdr:nvSpPr>
          <cdr:cNvPr id="145" name="ZoneTexte 1"/>
          <cdr:cNvSpPr txBox="1"/>
        </cdr:nvSpPr>
        <cdr:spPr>
          <a:xfrm xmlns:a="http://schemas.openxmlformats.org/drawingml/2006/main">
            <a:off x="476266" y="180315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0959E7E-36BE-4BD9-917C-C0A0D3AA4A4A}" type="TxLink">
              <a:rPr lang="en-US" sz="1000" b="1" i="0" u="none" strike="noStrike">
                <a:solidFill>
                  <a:srgbClr val="000000"/>
                </a:solidFill>
                <a:latin typeface="+mn-lt"/>
                <a:cs typeface="Calibri"/>
              </a:rPr>
              <a:pPr algn="l"/>
              <a:t>0</a:t>
            </a:fld>
            <a:endParaRPr lang="fr-FR" sz="1000" b="1">
              <a:latin typeface="+mn-lt"/>
            </a:endParaRPr>
          </a:p>
        </cdr:txBody>
      </cdr:sp>
      <cdr:sp macro="" textlink="Calculs!$R$240">
        <cdr:nvSpPr>
          <cdr:cNvPr id="146" name="ZoneTexte 1"/>
          <cdr:cNvSpPr txBox="1"/>
        </cdr:nvSpPr>
        <cdr:spPr>
          <a:xfrm xmlns:a="http://schemas.openxmlformats.org/drawingml/2006/main">
            <a:off x="476266" y="360631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0567673-B4CA-416D-9ECA-F7F7CEDE0BCD}" type="TxLink">
              <a:rPr lang="en-US" sz="1000" b="1" i="0" u="none" strike="noStrike">
                <a:solidFill>
                  <a:srgbClr val="000000"/>
                </a:solidFill>
                <a:latin typeface="+mn-lt"/>
                <a:cs typeface="Calibri"/>
              </a:rPr>
              <a:pPr algn="l"/>
              <a:t>0</a:t>
            </a:fld>
            <a:endParaRPr lang="fr-FR" sz="1000" b="1">
              <a:latin typeface="+mn-lt"/>
            </a:endParaRPr>
          </a:p>
        </cdr:txBody>
      </cdr:sp>
      <cdr:sp macro="" textlink="Calculs!$R$225">
        <cdr:nvSpPr>
          <cdr:cNvPr id="147" name="ZoneTexte 1"/>
          <cdr:cNvSpPr txBox="1"/>
        </cdr:nvSpPr>
        <cdr:spPr>
          <a:xfrm xmlns:a="http://schemas.openxmlformats.org/drawingml/2006/main">
            <a:off x="476266" y="60105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20EBB2F-1DC9-4BEA-BC93-0D08F9677AED}" type="TxLink">
              <a:rPr lang="en-US" sz="1000" b="1" i="0" u="none" strike="noStrike">
                <a:solidFill>
                  <a:srgbClr val="000000"/>
                </a:solidFill>
                <a:latin typeface="+mn-lt"/>
                <a:cs typeface="Calibri"/>
              </a:rPr>
              <a:pPr algn="l"/>
              <a:t>0</a:t>
            </a:fld>
            <a:endParaRPr lang="fr-FR" sz="1000" b="1">
              <a:latin typeface="+mn-lt"/>
            </a:endParaRPr>
          </a:p>
        </cdr:txBody>
      </cdr:sp>
      <cdr:sp macro="" textlink="Calculs!$R$227">
        <cdr:nvSpPr>
          <cdr:cNvPr id="148" name="ZoneTexte 1"/>
          <cdr:cNvSpPr txBox="1"/>
        </cdr:nvSpPr>
        <cdr:spPr>
          <a:xfrm xmlns:a="http://schemas.openxmlformats.org/drawingml/2006/main">
            <a:off x="476266" y="1001755"/>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B881533-E607-407C-A101-E4FBD04441CE}" type="TxLink">
              <a:rPr lang="en-US" sz="1000" b="1" i="0" u="none" strike="noStrike">
                <a:solidFill>
                  <a:srgbClr val="000000"/>
                </a:solidFill>
                <a:latin typeface="+mn-lt"/>
                <a:cs typeface="Calibri"/>
              </a:rPr>
              <a:pPr algn="l"/>
              <a:t>0</a:t>
            </a:fld>
            <a:endParaRPr lang="fr-FR" sz="1000" b="1">
              <a:latin typeface="+mn-lt"/>
            </a:endParaRPr>
          </a:p>
        </cdr:txBody>
      </cdr:sp>
      <cdr:sp macro="" textlink="Calculs!$R$229">
        <cdr:nvSpPr>
          <cdr:cNvPr id="149" name="ZoneTexte 1"/>
          <cdr:cNvSpPr txBox="1"/>
        </cdr:nvSpPr>
        <cdr:spPr>
          <a:xfrm xmlns:a="http://schemas.openxmlformats.org/drawingml/2006/main">
            <a:off x="476266" y="1402457"/>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F150D46-8629-4754-AD26-FF77D7B0D4A5}"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2">
        <cdr:nvSpPr>
          <cdr:cNvPr id="150" name="ZoneTexte 1"/>
          <cdr:cNvSpPr txBox="1"/>
        </cdr:nvSpPr>
        <cdr:spPr>
          <a:xfrm xmlns:a="http://schemas.openxmlformats.org/drawingml/2006/main">
            <a:off x="476266" y="200351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B392920-0AE5-4CE5-BDDF-07D665B98A7A}" type="TxLink">
              <a:rPr lang="en-US" sz="1000" b="1" i="0" u="none" strike="noStrike">
                <a:solidFill>
                  <a:srgbClr val="000000"/>
                </a:solidFill>
                <a:latin typeface="+mn-lt"/>
                <a:cs typeface="Calibri"/>
              </a:rPr>
              <a:pPr algn="l"/>
              <a:t>0</a:t>
            </a:fld>
            <a:endParaRPr lang="fr-FR" sz="1000" b="1">
              <a:latin typeface="+mn-lt"/>
            </a:endParaRPr>
          </a:p>
        </cdr:txBody>
      </cdr:sp>
      <cdr:sp macro="" textlink="Calculs!$R$241">
        <cdr:nvSpPr>
          <cdr:cNvPr id="151" name="ZoneTexte 1"/>
          <cdr:cNvSpPr txBox="1"/>
        </cdr:nvSpPr>
        <cdr:spPr>
          <a:xfrm xmlns:a="http://schemas.openxmlformats.org/drawingml/2006/main">
            <a:off x="476266" y="380666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24D5900-80BC-41ED-813D-6C3AEA10F0E7}" type="TxLink">
              <a:rPr lang="en-US" sz="1000" b="1" i="0" u="none" strike="noStrike">
                <a:solidFill>
                  <a:srgbClr val="000000"/>
                </a:solidFill>
                <a:latin typeface="+mn-lt"/>
                <a:cs typeface="Calibri"/>
              </a:rPr>
              <a:pPr algn="l"/>
              <a:t>0</a:t>
            </a:fld>
            <a:endParaRPr lang="fr-FR" sz="1000" b="1">
              <a:latin typeface="+mn-lt"/>
            </a:endParaRPr>
          </a:p>
        </cdr:txBody>
      </cdr:sp>
      <cdr:sp macro="" textlink="Calculs!$R$235">
        <cdr:nvSpPr>
          <cdr:cNvPr id="152" name="ZoneTexte 1"/>
          <cdr:cNvSpPr txBox="1"/>
        </cdr:nvSpPr>
        <cdr:spPr>
          <a:xfrm xmlns:a="http://schemas.openxmlformats.org/drawingml/2006/main">
            <a:off x="476266" y="260456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A88F17D-823D-4B99-8CAB-45E47D95A5B6}" type="TxLink">
              <a:rPr lang="en-US" sz="1000" b="1" i="0" u="none" strike="noStrike">
                <a:solidFill>
                  <a:srgbClr val="000000"/>
                </a:solidFill>
                <a:latin typeface="+mn-lt"/>
                <a:cs typeface="Calibri"/>
              </a:rPr>
              <a:pPr algn="l"/>
              <a:t>0</a:t>
            </a:fld>
            <a:endParaRPr lang="fr-FR" sz="1000" b="1">
              <a:latin typeface="+mn-lt"/>
            </a:endParaRPr>
          </a:p>
        </cdr:txBody>
      </cdr:sp>
    </cdr:grpSp>
  </cdr:relSizeAnchor>
  <cdr:relSizeAnchor xmlns:cdr="http://schemas.openxmlformats.org/drawingml/2006/chartDrawing">
    <cdr:from>
      <cdr:x>0.34398</cdr:x>
      <cdr:y>0.10295</cdr:y>
    </cdr:from>
    <cdr:to>
      <cdr:x>0.49034</cdr:x>
      <cdr:y>0.14464</cdr:y>
    </cdr:to>
    <cdr:sp macro="" textlink="'TRAD-visualiz'!$B$7">
      <cdr:nvSpPr>
        <cdr:cNvPr id="72" name="ZoneTexte 6"/>
        <cdr:cNvSpPr txBox="1"/>
      </cdr:nvSpPr>
      <cdr:spPr>
        <a:xfrm xmlns:a="http://schemas.openxmlformats.org/drawingml/2006/main">
          <a:off x="3496082" y="708347"/>
          <a:ext cx="1487565" cy="286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09DDA8A-7DDF-4368-B103-BF243998C489}" type="TxLink">
            <a:rPr lang="en-US" sz="1050" b="0" i="0" u="none" strike="noStrike">
              <a:solidFill>
                <a:srgbClr val="000000"/>
              </a:solidFill>
              <a:latin typeface="+mn-lt"/>
              <a:cs typeface="Calibri"/>
            </a:rPr>
            <a:pPr/>
            <a:t>Dates de péremption </a:t>
          </a:fld>
          <a:endParaRPr lang="fr-FR" sz="1200" i="1">
            <a:latin typeface="+mn-lt"/>
          </a:endParaRPr>
        </a:p>
      </cdr:txBody>
    </cdr:sp>
  </cdr:relSizeAnchor>
  <cdr:relSizeAnchor xmlns:cdr="http://schemas.openxmlformats.org/drawingml/2006/chartDrawing">
    <cdr:from>
      <cdr:x>0.54539</cdr:x>
      <cdr:y>0.10458</cdr:y>
    </cdr:from>
    <cdr:to>
      <cdr:x>0.86695</cdr:x>
      <cdr:y>0.14707</cdr:y>
    </cdr:to>
    <cdr:sp macro="" textlink="Calculs!$F$500">
      <cdr:nvSpPr>
        <cdr:cNvPr id="73" name="ZoneTexte 1"/>
        <cdr:cNvSpPr txBox="1"/>
      </cdr:nvSpPr>
      <cdr:spPr>
        <a:xfrm xmlns:a="http://schemas.openxmlformats.org/drawingml/2006/main">
          <a:off x="5543234" y="719553"/>
          <a:ext cx="3268251"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AE1916B-0A2D-44B2-8611-3934A4DC090B}"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0.3043</cdr:x>
      <cdr:y>0</cdr:y>
    </cdr:from>
    <cdr:to>
      <cdr:x>0.39427</cdr:x>
      <cdr:y>0.03583</cdr:y>
    </cdr:to>
    <cdr:sp macro="" textlink="'TRAD-visualiz'!$B$11">
      <cdr:nvSpPr>
        <cdr:cNvPr id="2" name="ZoneTexte 1"/>
        <cdr:cNvSpPr txBox="1"/>
      </cdr:nvSpPr>
      <cdr:spPr>
        <a:xfrm xmlns:a="http://schemas.openxmlformats.org/drawingml/2006/main">
          <a:off x="3092815" y="-33618"/>
          <a:ext cx="914431" cy="246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7236B44-829E-4520-ADB0-9200B0B3E620}" type="TxLink">
            <a:rPr lang="fr-FR" sz="1600" b="1" i="0" u="none" strike="noStrike">
              <a:solidFill>
                <a:srgbClr val="FF0000"/>
              </a:solidFill>
              <a:latin typeface="+mn-lt"/>
              <a:cs typeface="Arial" pitchFamily="34" charset="0"/>
            </a:rPr>
            <a:pPr/>
            <a:t> Comprimés - Formes simples</a:t>
          </a:fld>
          <a:endParaRPr lang="fr-FR" sz="1600" b="1">
            <a:solidFill>
              <a:srgbClr val="FF0000"/>
            </a:solidFill>
            <a:latin typeface="+mn-lt"/>
            <a:cs typeface="Arial" pitchFamily="34" charset="0"/>
          </a:endParaRPr>
        </a:p>
      </cdr:txBody>
    </cdr:sp>
  </cdr:relSizeAnchor>
  <cdr:relSizeAnchor xmlns:cdr="http://schemas.openxmlformats.org/drawingml/2006/chartDrawing">
    <cdr:from>
      <cdr:x>0.8524</cdr:x>
      <cdr:y>0.00413</cdr:y>
    </cdr:from>
    <cdr:to>
      <cdr:x>1</cdr:x>
      <cdr:y>0.10299</cdr:y>
    </cdr:to>
    <cdr:pic>
      <cdr:nvPicPr>
        <cdr:cNvPr id="75" name="Image 7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28389"/>
          <a:ext cx="1500187" cy="680245"/>
        </a:xfrm>
        <a:prstGeom xmlns:a="http://schemas.openxmlformats.org/drawingml/2006/main" prst="rect">
          <a:avLst/>
        </a:prstGeom>
      </cdr:spPr>
    </cdr:pic>
  </cdr:relSizeAnchor>
</c:userShapes>
</file>

<file path=xl/drawings/drawing25.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0.01496</cdr:x>
      <cdr:y>0.07353</cdr:y>
    </cdr:from>
    <cdr:to>
      <cdr:x>0.24454</cdr:x>
      <cdr:y>0.11522</cdr:y>
    </cdr:to>
    <cdr:sp macro="" textlink="'TRAD-visualiz'!$B$4">
      <cdr:nvSpPr>
        <cdr:cNvPr id="7" name="ZoneTexte 6"/>
        <cdr:cNvSpPr txBox="1"/>
      </cdr:nvSpPr>
      <cdr:spPr>
        <a:xfrm xmlns:a="http://schemas.openxmlformats.org/drawingml/2006/main">
          <a:off x="152049" y="505917"/>
          <a:ext cx="2333391" cy="2868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332E3297-EE12-4042-84B2-28E46968496E}"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0.01496</cdr:x>
      <cdr:y>0.03707</cdr:y>
    </cdr:from>
    <cdr:to>
      <cdr:x>0.20735</cdr:x>
      <cdr:y>0.07871</cdr:y>
    </cdr:to>
    <cdr:sp macro="" textlink="'TRAD-visualiz'!$B$3">
      <cdr:nvSpPr>
        <cdr:cNvPr id="9" name="ZoneTexte 1"/>
        <cdr:cNvSpPr txBox="1"/>
      </cdr:nvSpPr>
      <cdr:spPr>
        <a:xfrm xmlns:a="http://schemas.openxmlformats.org/drawingml/2006/main">
          <a:off x="152049" y="255057"/>
          <a:ext cx="1955401" cy="286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4DE4957-5814-47C8-BBEB-7DD8A30D57CC}"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0.17868</cdr:x>
      <cdr:y>0.03708</cdr:y>
    </cdr:from>
    <cdr:to>
      <cdr:x>0.26988</cdr:x>
      <cdr:y>0.07957</cdr:y>
    </cdr:to>
    <cdr:sp macro="" textlink="Paramétrage!$D$11">
      <cdr:nvSpPr>
        <cdr:cNvPr id="10" name="ZoneTexte 1"/>
        <cdr:cNvSpPr txBox="1"/>
      </cdr:nvSpPr>
      <cdr:spPr>
        <a:xfrm xmlns:a="http://schemas.openxmlformats.org/drawingml/2006/main">
          <a:off x="1816096" y="255153"/>
          <a:ext cx="926933"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0.85824</cdr:x>
      <cdr:y>0.09151</cdr:y>
    </cdr:from>
    <cdr:to>
      <cdr:x>0.99684</cdr:x>
      <cdr:y>0.17157</cdr:y>
    </cdr:to>
    <cdr:sp macro="" textlink="'TRAD-visualiz'!$B$8">
      <cdr:nvSpPr>
        <cdr:cNvPr id="12" name="ZoneTexte 11"/>
        <cdr:cNvSpPr txBox="1"/>
      </cdr:nvSpPr>
      <cdr:spPr>
        <a:xfrm xmlns:a="http://schemas.openxmlformats.org/drawingml/2006/main">
          <a:off x="8673348" y="627546"/>
          <a:ext cx="1400695" cy="54905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B2426CE4-C47E-48FF-ACCF-3D7254E9F074}"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0.34064</cdr:x>
      <cdr:y>0.0749</cdr:y>
    </cdr:from>
    <cdr:to>
      <cdr:x>0.53025</cdr:x>
      <cdr:y>0.11659</cdr:y>
    </cdr:to>
    <cdr:sp macro="" textlink="'TRAD-visualiz'!$B$6">
      <cdr:nvSpPr>
        <cdr:cNvPr id="119" name="ZoneTexte 6"/>
        <cdr:cNvSpPr txBox="1"/>
      </cdr:nvSpPr>
      <cdr:spPr>
        <a:xfrm xmlns:a="http://schemas.openxmlformats.org/drawingml/2006/main">
          <a:off x="3462211" y="515325"/>
          <a:ext cx="192714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B9D71DD-0391-4686-9652-2B39E363B793}"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0.20514</cdr:x>
      <cdr:y>0.0719</cdr:y>
    </cdr:from>
    <cdr:to>
      <cdr:x>0.34992</cdr:x>
      <cdr:y>0.11439</cdr:y>
    </cdr:to>
    <cdr:sp macro="" textlink="Paramétrage!$H$19">
      <cdr:nvSpPr>
        <cdr:cNvPr id="122" name="ZoneTexte 1"/>
        <cdr:cNvSpPr txBox="1"/>
      </cdr:nvSpPr>
      <cdr:spPr>
        <a:xfrm xmlns:a="http://schemas.openxmlformats.org/drawingml/2006/main">
          <a:off x="2085038" y="494711"/>
          <a:ext cx="1471505"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mn-lt"/>
            </a:rPr>
            <a:pPr/>
            <a:t>07/10/2014</a:t>
          </a:fld>
          <a:endParaRPr lang="fr-FR" sz="1100" b="1" i="1">
            <a:latin typeface="+mn-lt"/>
          </a:endParaRPr>
        </a:p>
      </cdr:txBody>
    </cdr:sp>
  </cdr:relSizeAnchor>
  <cdr:relSizeAnchor xmlns:cdr="http://schemas.openxmlformats.org/drawingml/2006/chartDrawing">
    <cdr:from>
      <cdr:x>0.55199</cdr:x>
      <cdr:y>0.07327</cdr:y>
    </cdr:from>
    <cdr:to>
      <cdr:x>0.87355</cdr:x>
      <cdr:y>0.11576</cdr:y>
    </cdr:to>
    <cdr:sp macro="" textlink="'Calculs dispo Données FA'!$F$122">
      <cdr:nvSpPr>
        <cdr:cNvPr id="123" name="ZoneTexte 1"/>
        <cdr:cNvSpPr txBox="1"/>
      </cdr:nvSpPr>
      <cdr:spPr>
        <a:xfrm xmlns:a="http://schemas.openxmlformats.org/drawingml/2006/main">
          <a:off x="5610293" y="504119"/>
          <a:ext cx="3268250"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1F67E7D-304B-4BBF-8F8E-0F2ABA6D85A1}" type="TxLink">
            <a:rPr lang="fr-FR" sz="1100" b="1" i="1" u="none" strike="noStrike">
              <a:solidFill>
                <a:srgbClr val="C00000"/>
              </a:solidFill>
              <a:latin typeface="+mn-lt"/>
            </a:rPr>
            <a:pPr/>
            <a:t>Stocks centraux</a:t>
          </a:fld>
          <a:endParaRPr lang="fr-FR" sz="1100" b="1" i="1">
            <a:solidFill>
              <a:srgbClr val="C00000"/>
            </a:solidFill>
            <a:latin typeface="+mn-lt"/>
          </a:endParaRPr>
        </a:p>
      </cdr:txBody>
    </cdr:sp>
  </cdr:relSizeAnchor>
  <cdr:relSizeAnchor xmlns:cdr="http://schemas.openxmlformats.org/drawingml/2006/chartDrawing">
    <cdr:from>
      <cdr:x>0.34064</cdr:x>
      <cdr:y>0.0436</cdr:y>
    </cdr:from>
    <cdr:to>
      <cdr:x>0.58071</cdr:x>
      <cdr:y>0.08529</cdr:y>
    </cdr:to>
    <cdr:sp macro="" textlink="'TRAD-visualiz'!$B$5">
      <cdr:nvSpPr>
        <cdr:cNvPr id="101" name="ZoneTexte 6"/>
        <cdr:cNvSpPr txBox="1"/>
      </cdr:nvSpPr>
      <cdr:spPr>
        <a:xfrm xmlns:a="http://schemas.openxmlformats.org/drawingml/2006/main">
          <a:off x="3462211" y="299968"/>
          <a:ext cx="2440008"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ECF77A4-4DE5-431B-A9BA-F5BAE16D01E0}"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0.55199</cdr:x>
      <cdr:y>0.04197</cdr:y>
    </cdr:from>
    <cdr:to>
      <cdr:x>0.75363</cdr:x>
      <cdr:y>0.08446</cdr:y>
    </cdr:to>
    <cdr:sp macro="" textlink="Calculs!$J$488">
      <cdr:nvSpPr>
        <cdr:cNvPr id="102" name="ZoneTexte 1"/>
        <cdr:cNvSpPr txBox="1"/>
      </cdr:nvSpPr>
      <cdr:spPr>
        <a:xfrm xmlns:a="http://schemas.openxmlformats.org/drawingml/2006/main">
          <a:off x="5610293" y="288762"/>
          <a:ext cx="2049416"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C4E3FE4D-174B-42AB-8F9D-158FA81DFB9B}" type="TxLink">
            <a:rPr lang="fr-FR" sz="1100" b="1" i="1" u="none" strike="noStrike">
              <a:solidFill>
                <a:srgbClr val="C00000"/>
              </a:solidFill>
              <a:latin typeface="+mn-lt"/>
            </a:rPr>
            <a:pPr/>
            <a:t>Données de consommation</a:t>
          </a:fld>
          <a:endParaRPr lang="fr-FR" sz="1100" b="1" i="1">
            <a:solidFill>
              <a:srgbClr val="C00000"/>
            </a:solidFill>
            <a:latin typeface="+mn-lt"/>
          </a:endParaRPr>
        </a:p>
      </cdr:txBody>
    </cdr:sp>
  </cdr:relSizeAnchor>
  <cdr:relSizeAnchor xmlns:cdr="http://schemas.openxmlformats.org/drawingml/2006/chartDrawing">
    <cdr:from>
      <cdr:x>0.55996</cdr:x>
      <cdr:y>0.97876</cdr:y>
    </cdr:from>
    <cdr:to>
      <cdr:x>0.57216</cdr:x>
      <cdr:y>0.99183</cdr:y>
    </cdr:to>
    <cdr:sp macro="" textlink="">
      <cdr:nvSpPr>
        <cdr:cNvPr id="103" name="Rectangle 102"/>
        <cdr:cNvSpPr/>
      </cdr:nvSpPr>
      <cdr:spPr>
        <a:xfrm xmlns:a="http://schemas.openxmlformats.org/drawingml/2006/main">
          <a:off x="5658970" y="6712324"/>
          <a:ext cx="123265" cy="89647"/>
        </a:xfrm>
        <a:prstGeom xmlns:a="http://schemas.openxmlformats.org/drawingml/2006/main" prst="rect">
          <a:avLst/>
        </a:prstGeom>
        <a:noFill xmlns:a="http://schemas.openxmlformats.org/drawingml/2006/main"/>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0.57437</cdr:x>
      <cdr:y>0.96895</cdr:y>
    </cdr:from>
    <cdr:to>
      <cdr:x>0.8492</cdr:x>
      <cdr:y>1</cdr:y>
    </cdr:to>
    <cdr:sp macro="" textlink="'TRAD-visualiz'!$B$10">
      <cdr:nvSpPr>
        <cdr:cNvPr id="104" name="ZoneTexte 103"/>
        <cdr:cNvSpPr txBox="1"/>
      </cdr:nvSpPr>
      <cdr:spPr>
        <a:xfrm xmlns:a="http://schemas.openxmlformats.org/drawingml/2006/main">
          <a:off x="5804598" y="6645088"/>
          <a:ext cx="2777438" cy="212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C0C0C24-E84B-4F30-8C43-95C0493A64A7}" type="TxLink">
            <a:rPr lang="en-US" sz="1000" b="0" i="0" u="none" strike="noStrike">
              <a:solidFill>
                <a:srgbClr val="000000"/>
              </a:solidFill>
              <a:latin typeface="Arialri"/>
              <a:cs typeface="Calibri"/>
            </a:rPr>
            <a:pPr/>
            <a:t>Période pendant laquelle le ST a été utilisé </a:t>
          </a:fld>
          <a:endParaRPr lang="fr-FR" sz="1000"/>
        </a:p>
      </cdr:txBody>
    </cdr:sp>
  </cdr:relSizeAnchor>
  <cdr:relSizeAnchor xmlns:cdr="http://schemas.openxmlformats.org/drawingml/2006/chartDrawing">
    <cdr:from>
      <cdr:x>0.97466</cdr:x>
      <cdr:y>0.18137</cdr:y>
    </cdr:from>
    <cdr:to>
      <cdr:x>0.99889</cdr:x>
      <cdr:y>0.99836</cdr:y>
    </cdr:to>
    <cdr:sp macro="" textlink="Calculs!$D$496">
      <cdr:nvSpPr>
        <cdr:cNvPr id="99" name="ZoneTexte 1"/>
        <cdr:cNvSpPr txBox="1"/>
      </cdr:nvSpPr>
      <cdr:spPr>
        <a:xfrm xmlns:a="http://schemas.openxmlformats.org/drawingml/2006/main" rot="5400000">
          <a:off x="7170938" y="3922886"/>
          <a:ext cx="5602916" cy="244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87CB9EC-4656-4D7D-9EB9-363619E44C6C}" type="TxLink">
            <a:rPr lang="fr-FR" sz="900" b="0" i="1" u="none" strike="noStrike">
              <a:solidFill>
                <a:srgbClr val="FF0000"/>
              </a:solidFill>
              <a:latin typeface="Arialri"/>
            </a:rPr>
            <a:pPr/>
            <a:t>Attention, le nombre de patients mentionné ici est estimé à partir de la consommation.</a:t>
          </a:fld>
          <a:endParaRPr lang="fr-FR" sz="900" i="1">
            <a:solidFill>
              <a:srgbClr val="FF0000"/>
            </a:solidFill>
          </a:endParaRPr>
        </a:p>
      </cdr:txBody>
    </cdr:sp>
  </cdr:relSizeAnchor>
  <cdr:relSizeAnchor xmlns:cdr="http://schemas.openxmlformats.org/drawingml/2006/chartDrawing">
    <cdr:from>
      <cdr:x>0.89372</cdr:x>
      <cdr:y>0.18835</cdr:y>
    </cdr:from>
    <cdr:to>
      <cdr:x>0.95784</cdr:x>
      <cdr:y>0.94189</cdr:y>
    </cdr:to>
    <cdr:grpSp>
      <cdr:nvGrpSpPr>
        <cdr:cNvPr id="100" name="Groupe 99"/>
        <cdr:cNvGrpSpPr/>
      </cdr:nvGrpSpPr>
      <cdr:grpSpPr>
        <a:xfrm xmlns:a="http://schemas.openxmlformats.org/drawingml/2006/main">
          <a:off x="9083533" y="1295926"/>
          <a:ext cx="651699" cy="5184665"/>
          <a:chOff x="0" y="14232"/>
          <a:chExt cx="647998" cy="5178870"/>
        </a:xfrm>
      </cdr:grpSpPr>
      <cdr:sp macro="" textlink="Calculs!$Y$176">
        <cdr:nvSpPr>
          <cdr:cNvPr id="153" name="ZoneTexte 1"/>
          <cdr:cNvSpPr txBox="1"/>
        </cdr:nvSpPr>
        <cdr:spPr>
          <a:xfrm xmlns:a="http://schemas.openxmlformats.org/drawingml/2006/main">
            <a:off x="0" y="162413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DA2EBC0-8C64-4D38-A46C-049C8FCF4CFA}"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74">
        <cdr:nvSpPr>
          <cdr:cNvPr id="154" name="ZoneTexte 1"/>
          <cdr:cNvSpPr txBox="1"/>
        </cdr:nvSpPr>
        <cdr:spPr>
          <a:xfrm xmlns:a="http://schemas.openxmlformats.org/drawingml/2006/main">
            <a:off x="0" y="1221661"/>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FFFF976-2D4D-4A91-808A-D302888D66FA}" type="TxLink">
              <a:rPr lang="en-US" sz="1000" b="1" i="0" u="none" strike="noStrike">
                <a:solidFill>
                  <a:srgbClr val="000000"/>
                </a:solidFill>
                <a:latin typeface="Calibri"/>
                <a:cs typeface="Calibri"/>
              </a:rPr>
              <a:pPr algn="l"/>
              <a:t>2</a:t>
            </a:fld>
            <a:endParaRPr lang="fr-FR" sz="1000" b="1">
              <a:latin typeface="Calibri"/>
            </a:endParaRPr>
          </a:p>
        </cdr:txBody>
      </cdr:sp>
      <cdr:sp macro="" textlink="Calculs!$Y$172">
        <cdr:nvSpPr>
          <cdr:cNvPr id="156" name="ZoneTexte 1"/>
          <cdr:cNvSpPr txBox="1"/>
        </cdr:nvSpPr>
        <cdr:spPr>
          <a:xfrm xmlns:a="http://schemas.openxmlformats.org/drawingml/2006/main">
            <a:off x="0" y="819185"/>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43D3257-64AC-4CE1-943D-C459ACF9DE78}"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70">
        <cdr:nvSpPr>
          <cdr:cNvPr id="157" name="ZoneTexte 1"/>
          <cdr:cNvSpPr txBox="1"/>
        </cdr:nvSpPr>
        <cdr:spPr>
          <a:xfrm xmlns:a="http://schemas.openxmlformats.org/drawingml/2006/main">
            <a:off x="0" y="41670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C35AA40-AEAF-4EB0-9CE7-679E419EE2B8}" type="TxLink">
              <a:rPr lang="en-US" sz="1000" b="1" i="0" u="none" strike="noStrike">
                <a:solidFill>
                  <a:srgbClr val="000000"/>
                </a:solidFill>
                <a:latin typeface="Calibri"/>
                <a:cs typeface="Calibri"/>
              </a:rPr>
              <a:pPr algn="l"/>
              <a:t>1485</a:t>
            </a:fld>
            <a:endParaRPr lang="fr-FR" sz="1000" b="1">
              <a:latin typeface="Calibri"/>
            </a:endParaRPr>
          </a:p>
        </cdr:txBody>
      </cdr:sp>
      <cdr:sp macro="" textlink="Calculs!$Y$169">
        <cdr:nvSpPr>
          <cdr:cNvPr id="158" name="ZoneTexte 1"/>
          <cdr:cNvSpPr txBox="1"/>
        </cdr:nvSpPr>
        <cdr:spPr>
          <a:xfrm xmlns:a="http://schemas.openxmlformats.org/drawingml/2006/main">
            <a:off x="0" y="21547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CFAF3C-5DFC-4D84-9844-2A6FF0AD3454}"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168">
        <cdr:nvSpPr>
          <cdr:cNvPr id="159" name="ZoneTexte 1"/>
          <cdr:cNvSpPr txBox="1"/>
        </cdr:nvSpPr>
        <cdr:spPr>
          <a:xfrm xmlns:a="http://schemas.openxmlformats.org/drawingml/2006/main">
            <a:off x="0" y="1423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79B88C2-AA21-4617-9CCA-6873C1CE3128}"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177">
        <cdr:nvSpPr>
          <cdr:cNvPr id="160" name="ZoneTexte 1"/>
          <cdr:cNvSpPr txBox="1"/>
        </cdr:nvSpPr>
        <cdr:spPr>
          <a:xfrm xmlns:a="http://schemas.openxmlformats.org/drawingml/2006/main">
            <a:off x="0" y="1825376"/>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77982B9-350F-44EA-BD21-AB081C7143D3}"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179">
        <cdr:nvSpPr>
          <cdr:cNvPr id="161" name="ZoneTexte 1"/>
          <cdr:cNvSpPr txBox="1"/>
        </cdr:nvSpPr>
        <cdr:spPr>
          <a:xfrm xmlns:a="http://schemas.openxmlformats.org/drawingml/2006/main">
            <a:off x="0" y="222785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CCB48A9-F21E-44A3-976E-8D461443E545}"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80">
        <cdr:nvSpPr>
          <cdr:cNvPr id="162" name="ZoneTexte 1"/>
          <cdr:cNvSpPr txBox="1"/>
        </cdr:nvSpPr>
        <cdr:spPr>
          <a:xfrm xmlns:a="http://schemas.openxmlformats.org/drawingml/2006/main">
            <a:off x="0" y="242909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3F6E34F-25CD-4145-8F1D-971073E77845}"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82">
        <cdr:nvSpPr>
          <cdr:cNvPr id="163" name="ZoneTexte 1"/>
          <cdr:cNvSpPr txBox="1"/>
        </cdr:nvSpPr>
        <cdr:spPr>
          <a:xfrm xmlns:a="http://schemas.openxmlformats.org/drawingml/2006/main">
            <a:off x="0" y="2831567"/>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CEECA36-B710-4E9F-A2D4-D4FCB635F713}"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83">
        <cdr:nvSpPr>
          <cdr:cNvPr id="164" name="ZoneTexte 1"/>
          <cdr:cNvSpPr txBox="1"/>
        </cdr:nvSpPr>
        <cdr:spPr>
          <a:xfrm xmlns:a="http://schemas.openxmlformats.org/drawingml/2006/main">
            <a:off x="0" y="3032805"/>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6E590D0-8788-4A7E-B9A9-2FE6D6FEF721}" type="TxLink">
              <a:rPr lang="en-US" sz="1000" b="1" i="0" u="none" strike="noStrike">
                <a:solidFill>
                  <a:srgbClr val="000000"/>
                </a:solidFill>
                <a:latin typeface="Calibri"/>
                <a:cs typeface="Calibri"/>
              </a:rPr>
              <a:pPr algn="l"/>
              <a:t>2</a:t>
            </a:fld>
            <a:endParaRPr lang="fr-FR" sz="1000" b="1">
              <a:latin typeface="Calibri"/>
            </a:endParaRPr>
          </a:p>
        </cdr:txBody>
      </cdr:sp>
      <cdr:sp macro="" textlink="Calculs!$Y$184">
        <cdr:nvSpPr>
          <cdr:cNvPr id="165" name="ZoneTexte 1"/>
          <cdr:cNvSpPr txBox="1"/>
        </cdr:nvSpPr>
        <cdr:spPr>
          <a:xfrm xmlns:a="http://schemas.openxmlformats.org/drawingml/2006/main">
            <a:off x="0" y="323404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6E148C8-1B9B-4E0A-B709-5CF0843BF871}"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85">
        <cdr:nvSpPr>
          <cdr:cNvPr id="166" name="ZoneTexte 1"/>
          <cdr:cNvSpPr txBox="1"/>
        </cdr:nvSpPr>
        <cdr:spPr>
          <a:xfrm xmlns:a="http://schemas.openxmlformats.org/drawingml/2006/main">
            <a:off x="0" y="343528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7A7F464-C3C2-4BE2-97CB-E59B30C22C8D}" type="TxLink">
              <a:rPr lang="en-US" sz="1000" b="1" i="0" u="none" strike="noStrike">
                <a:solidFill>
                  <a:srgbClr val="000000"/>
                </a:solidFill>
                <a:latin typeface="Calibri"/>
                <a:cs typeface="Calibri"/>
              </a:rPr>
              <a:pPr algn="l"/>
              <a:t>106</a:t>
            </a:fld>
            <a:endParaRPr lang="fr-FR" sz="1000" b="1">
              <a:latin typeface="Calibri"/>
            </a:endParaRPr>
          </a:p>
        </cdr:txBody>
      </cdr:sp>
      <cdr:sp macro="" textlink="Calculs!$Y$186">
        <cdr:nvSpPr>
          <cdr:cNvPr id="167" name="ZoneTexte 1"/>
          <cdr:cNvSpPr txBox="1"/>
        </cdr:nvSpPr>
        <cdr:spPr>
          <a:xfrm xmlns:a="http://schemas.openxmlformats.org/drawingml/2006/main">
            <a:off x="0" y="363652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2FFAA63-635F-45D3-98F2-A74CA557EB3C}" type="TxLink">
              <a:rPr lang="en-US" sz="1000" b="1" i="0" u="none" strike="noStrike">
                <a:solidFill>
                  <a:srgbClr val="000000"/>
                </a:solidFill>
                <a:latin typeface="Calibri"/>
                <a:cs typeface="Calibri"/>
              </a:rPr>
              <a:pPr algn="l"/>
              <a:t>18</a:t>
            </a:fld>
            <a:endParaRPr lang="fr-FR" sz="1000" b="1">
              <a:latin typeface="Calibri"/>
            </a:endParaRPr>
          </a:p>
        </cdr:txBody>
      </cdr:sp>
      <cdr:sp macro="" textlink="Calculs!$Y$189">
        <cdr:nvSpPr>
          <cdr:cNvPr id="168" name="ZoneTexte 1"/>
          <cdr:cNvSpPr txBox="1"/>
        </cdr:nvSpPr>
        <cdr:spPr>
          <a:xfrm xmlns:a="http://schemas.openxmlformats.org/drawingml/2006/main">
            <a:off x="0" y="4240234"/>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545091F-E909-47DC-ADA2-F1A371DBE4C7}"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192">
        <cdr:nvSpPr>
          <cdr:cNvPr id="169" name="ZoneTexte 1"/>
          <cdr:cNvSpPr txBox="1"/>
        </cdr:nvSpPr>
        <cdr:spPr>
          <a:xfrm xmlns:a="http://schemas.openxmlformats.org/drawingml/2006/main">
            <a:off x="0" y="484394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1A962E9-9DB0-4417-84F7-32BAECA7C8A6}"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193">
        <cdr:nvSpPr>
          <cdr:cNvPr id="170" name="ZoneTexte 1"/>
          <cdr:cNvSpPr txBox="1"/>
        </cdr:nvSpPr>
        <cdr:spPr>
          <a:xfrm xmlns:a="http://schemas.openxmlformats.org/drawingml/2006/main">
            <a:off x="0" y="504518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13F56A69-6C68-4F06-BDDC-8D74328FA4C5}" type="TxLink">
              <a:rPr lang="en-US" sz="1000" b="1" i="0" u="none" strike="noStrike">
                <a:solidFill>
                  <a:srgbClr val="000000"/>
                </a:solidFill>
                <a:latin typeface="Calibri"/>
                <a:cs typeface="Calibri"/>
              </a:rPr>
              <a:pPr marL="0" indent="0" algn="l"/>
              <a:t>0</a:t>
            </a:fld>
            <a:endParaRPr lang="fr-FR" sz="1000" b="1">
              <a:latin typeface="Calibri"/>
            </a:endParaRPr>
          </a:p>
        </cdr:txBody>
      </cdr:sp>
      <cdr:sp macro="" textlink="Calculs!$Y$191">
        <cdr:nvSpPr>
          <cdr:cNvPr id="171" name="ZoneTexte 1"/>
          <cdr:cNvSpPr txBox="1"/>
        </cdr:nvSpPr>
        <cdr:spPr>
          <a:xfrm xmlns:a="http://schemas.openxmlformats.org/drawingml/2006/main">
            <a:off x="0" y="4642711"/>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7328186-8D4C-4DC5-82CA-8E6F63290E1A}"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90">
        <cdr:nvSpPr>
          <cdr:cNvPr id="172" name="ZoneTexte 1"/>
          <cdr:cNvSpPr txBox="1"/>
        </cdr:nvSpPr>
        <cdr:spPr>
          <a:xfrm xmlns:a="http://schemas.openxmlformats.org/drawingml/2006/main">
            <a:off x="0" y="444147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75FE972-D5FD-44D7-A5DA-2FB21CCA40C9}"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71">
        <cdr:nvSpPr>
          <cdr:cNvPr id="173" name="ZoneTexte 1"/>
          <cdr:cNvSpPr txBox="1"/>
        </cdr:nvSpPr>
        <cdr:spPr>
          <a:xfrm xmlns:a="http://schemas.openxmlformats.org/drawingml/2006/main">
            <a:off x="0" y="617947"/>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8E2FFD3-44FD-499E-B1DA-C68D9E13AC06}"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73">
        <cdr:nvSpPr>
          <cdr:cNvPr id="174" name="ZoneTexte 1"/>
          <cdr:cNvSpPr txBox="1"/>
        </cdr:nvSpPr>
        <cdr:spPr>
          <a:xfrm xmlns:a="http://schemas.openxmlformats.org/drawingml/2006/main">
            <a:off x="0" y="102042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E08FBEE-2C62-4F61-A204-99955FAABC7C}"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75">
        <cdr:nvSpPr>
          <cdr:cNvPr id="175" name="ZoneTexte 1"/>
          <cdr:cNvSpPr txBox="1"/>
        </cdr:nvSpPr>
        <cdr:spPr>
          <a:xfrm xmlns:a="http://schemas.openxmlformats.org/drawingml/2006/main">
            <a:off x="0" y="142289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2FE146D-7E56-4436-AF50-558D5BA17309}"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78">
        <cdr:nvSpPr>
          <cdr:cNvPr id="176" name="ZoneTexte 1"/>
          <cdr:cNvSpPr txBox="1"/>
        </cdr:nvSpPr>
        <cdr:spPr>
          <a:xfrm xmlns:a="http://schemas.openxmlformats.org/drawingml/2006/main">
            <a:off x="0" y="2026614"/>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D14FBA4-45D6-4A73-B63D-C47D62A899FA}"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81">
        <cdr:nvSpPr>
          <cdr:cNvPr id="177" name="ZoneTexte 1"/>
          <cdr:cNvSpPr txBox="1"/>
        </cdr:nvSpPr>
        <cdr:spPr>
          <a:xfrm xmlns:a="http://schemas.openxmlformats.org/drawingml/2006/main">
            <a:off x="0" y="263032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A721284-084C-47AC-BF28-333308C2C9FA}"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87">
        <cdr:nvSpPr>
          <cdr:cNvPr id="178" name="ZoneTexte 1"/>
          <cdr:cNvSpPr txBox="1"/>
        </cdr:nvSpPr>
        <cdr:spPr>
          <a:xfrm xmlns:a="http://schemas.openxmlformats.org/drawingml/2006/main">
            <a:off x="0" y="383775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570F903-53B8-45E6-A656-3643F1333F05}" type="TxLink">
              <a:rPr lang="en-US" sz="1000" b="1" i="0" u="none" strike="noStrike">
                <a:solidFill>
                  <a:srgbClr val="000000"/>
                </a:solidFill>
                <a:latin typeface="Calibri"/>
                <a:cs typeface="Calibri"/>
              </a:rPr>
              <a:pPr algn="l"/>
              <a:t>0</a:t>
            </a:fld>
            <a:endParaRPr lang="fr-FR" sz="1000" b="1">
              <a:latin typeface="Calibri"/>
            </a:endParaRPr>
          </a:p>
        </cdr:txBody>
      </cdr:sp>
      <cdr:sp macro="" textlink="Calculs!$Y$188">
        <cdr:nvSpPr>
          <cdr:cNvPr id="179" name="ZoneTexte 1"/>
          <cdr:cNvSpPr txBox="1"/>
        </cdr:nvSpPr>
        <cdr:spPr>
          <a:xfrm xmlns:a="http://schemas.openxmlformats.org/drawingml/2006/main">
            <a:off x="0" y="4038996"/>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B692AF2-5B15-4162-BF30-26B6D408B1FA}" type="TxLink">
              <a:rPr lang="en-US" sz="1000" b="1" i="0" u="none" strike="noStrike">
                <a:solidFill>
                  <a:srgbClr val="000000"/>
                </a:solidFill>
                <a:latin typeface="Calibri"/>
                <a:cs typeface="Calibri"/>
              </a:rPr>
              <a:pPr algn="l"/>
              <a:t>0</a:t>
            </a:fld>
            <a:endParaRPr lang="fr-FR" sz="1000" b="1">
              <a:latin typeface="Calibri"/>
            </a:endParaRPr>
          </a:p>
        </cdr:txBody>
      </cdr:sp>
    </cdr:grpSp>
  </cdr:relSizeAnchor>
  <cdr:relSizeAnchor xmlns:cdr="http://schemas.openxmlformats.org/drawingml/2006/chartDrawing">
    <cdr:from>
      <cdr:x>0.94306</cdr:x>
      <cdr:y>0.18627</cdr:y>
    </cdr:from>
    <cdr:to>
      <cdr:x>0.9965</cdr:x>
      <cdr:y>0.93815</cdr:y>
    </cdr:to>
    <cdr:grpSp>
      <cdr:nvGrpSpPr>
        <cdr:cNvPr id="105" name="Groupe 104"/>
        <cdr:cNvGrpSpPr/>
      </cdr:nvGrpSpPr>
      <cdr:grpSpPr>
        <a:xfrm xmlns:a="http://schemas.openxmlformats.org/drawingml/2006/main">
          <a:off x="9585012" y="1281614"/>
          <a:ext cx="543150" cy="5173245"/>
          <a:chOff x="476266" y="0"/>
          <a:chExt cx="540066" cy="5156371"/>
        </a:xfrm>
      </cdr:grpSpPr>
      <cdr:sp macro="" textlink="Calculs!$Y$226">
        <cdr:nvSpPr>
          <cdr:cNvPr id="106" name="ZoneTexte 1"/>
          <cdr:cNvSpPr txBox="1"/>
        </cdr:nvSpPr>
        <cdr:spPr>
          <a:xfrm xmlns:a="http://schemas.openxmlformats.org/drawingml/2006/main">
            <a:off x="476266" y="80140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40142FC-8950-4DF6-BA68-D889F7A8394C}"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24">
        <cdr:nvSpPr>
          <cdr:cNvPr id="107" name="ZoneTexte 1"/>
          <cdr:cNvSpPr txBox="1"/>
        </cdr:nvSpPr>
        <cdr:spPr>
          <a:xfrm xmlns:a="http://schemas.openxmlformats.org/drawingml/2006/main">
            <a:off x="476266" y="40070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830189C-6115-48AD-9AF3-8FA04D457AC3}"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23">
        <cdr:nvSpPr>
          <cdr:cNvPr id="108" name="ZoneTexte 1"/>
          <cdr:cNvSpPr txBox="1"/>
        </cdr:nvSpPr>
        <cdr:spPr>
          <a:xfrm xmlns:a="http://schemas.openxmlformats.org/drawingml/2006/main">
            <a:off x="476266" y="20035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B280706-4A47-4681-94AA-60E89CBA7D46}"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22">
        <cdr:nvSpPr>
          <cdr:cNvPr id="109" name="ZoneTexte 1"/>
          <cdr:cNvSpPr txBox="1"/>
        </cdr:nvSpPr>
        <cdr:spPr>
          <a:xfrm xmlns:a="http://schemas.openxmlformats.org/drawingml/2006/main">
            <a:off x="476266" y="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1DFAE20-0A8C-43F8-AAAD-85C00B4C6D09}"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28">
        <cdr:nvSpPr>
          <cdr:cNvPr id="110" name="ZoneTexte 1"/>
          <cdr:cNvSpPr txBox="1"/>
        </cdr:nvSpPr>
        <cdr:spPr>
          <a:xfrm xmlns:a="http://schemas.openxmlformats.org/drawingml/2006/main">
            <a:off x="476266" y="120210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E6E40AD-963C-4400-98C9-D95FCB2F8276}"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0">
        <cdr:nvSpPr>
          <cdr:cNvPr id="111" name="ZoneTexte 1"/>
          <cdr:cNvSpPr txBox="1"/>
        </cdr:nvSpPr>
        <cdr:spPr>
          <a:xfrm xmlns:a="http://schemas.openxmlformats.org/drawingml/2006/main">
            <a:off x="476266" y="160280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6DA9674-285B-48A8-B536-02D92E9617C6}"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3">
        <cdr:nvSpPr>
          <cdr:cNvPr id="112" name="ZoneTexte 1"/>
          <cdr:cNvSpPr txBox="1"/>
        </cdr:nvSpPr>
        <cdr:spPr>
          <a:xfrm xmlns:a="http://schemas.openxmlformats.org/drawingml/2006/main">
            <a:off x="476266" y="220386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AF71EEC-ADFB-461B-BDE3-7A00FF8E089E}"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4">
        <cdr:nvSpPr>
          <cdr:cNvPr id="113" name="ZoneTexte 1"/>
          <cdr:cNvSpPr txBox="1"/>
        </cdr:nvSpPr>
        <cdr:spPr>
          <a:xfrm xmlns:a="http://schemas.openxmlformats.org/drawingml/2006/main">
            <a:off x="476266" y="240421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28A0FCD-4ED5-483C-9FC1-98EB108EDDA3}"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6">
        <cdr:nvSpPr>
          <cdr:cNvPr id="114" name="ZoneTexte 1"/>
          <cdr:cNvSpPr txBox="1"/>
        </cdr:nvSpPr>
        <cdr:spPr>
          <a:xfrm xmlns:a="http://schemas.openxmlformats.org/drawingml/2006/main">
            <a:off x="476266" y="280491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7CAF4FC-10E4-45C1-816A-2B216F508FF4}"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7">
        <cdr:nvSpPr>
          <cdr:cNvPr id="115" name="ZoneTexte 1"/>
          <cdr:cNvSpPr txBox="1"/>
        </cdr:nvSpPr>
        <cdr:spPr>
          <a:xfrm xmlns:a="http://schemas.openxmlformats.org/drawingml/2006/main">
            <a:off x="476266" y="3005265"/>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BA73976-49A9-44A6-AD7F-2BED0F469FEE}"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8">
        <cdr:nvSpPr>
          <cdr:cNvPr id="116" name="ZoneTexte 1"/>
          <cdr:cNvSpPr txBox="1"/>
        </cdr:nvSpPr>
        <cdr:spPr>
          <a:xfrm xmlns:a="http://schemas.openxmlformats.org/drawingml/2006/main">
            <a:off x="476266" y="320561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9DB1C8E-22D4-471A-8BE3-EC4391A908A4}"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9">
        <cdr:nvSpPr>
          <cdr:cNvPr id="132" name="ZoneTexte 1"/>
          <cdr:cNvSpPr txBox="1"/>
        </cdr:nvSpPr>
        <cdr:spPr>
          <a:xfrm xmlns:a="http://schemas.openxmlformats.org/drawingml/2006/main">
            <a:off x="476266" y="3405967"/>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7FD46EF-6A5E-4BED-B992-682369E15E82}"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42">
        <cdr:nvSpPr>
          <cdr:cNvPr id="139" name="ZoneTexte 1"/>
          <cdr:cNvSpPr txBox="1"/>
        </cdr:nvSpPr>
        <cdr:spPr>
          <a:xfrm xmlns:a="http://schemas.openxmlformats.org/drawingml/2006/main">
            <a:off x="476266" y="400702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B8FAAFE-56CB-4A90-BECA-20D51656690F}"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43">
        <cdr:nvSpPr>
          <cdr:cNvPr id="140" name="ZoneTexte 1"/>
          <cdr:cNvSpPr txBox="1"/>
        </cdr:nvSpPr>
        <cdr:spPr>
          <a:xfrm xmlns:a="http://schemas.openxmlformats.org/drawingml/2006/main">
            <a:off x="476266" y="420737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59B4CEA-00A7-4733-817C-FF7A392021EB}"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46">
        <cdr:nvSpPr>
          <cdr:cNvPr id="141" name="ZoneTexte 1"/>
          <cdr:cNvSpPr txBox="1"/>
        </cdr:nvSpPr>
        <cdr:spPr>
          <a:xfrm xmlns:a="http://schemas.openxmlformats.org/drawingml/2006/main">
            <a:off x="476266" y="480842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1108887-626A-42DE-A6E6-D68C04D0377E}"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47">
        <cdr:nvSpPr>
          <cdr:cNvPr id="142" name="ZoneTexte 1"/>
          <cdr:cNvSpPr txBox="1"/>
        </cdr:nvSpPr>
        <cdr:spPr>
          <a:xfrm xmlns:a="http://schemas.openxmlformats.org/drawingml/2006/main">
            <a:off x="476266" y="500877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0E9E6AC-9C99-40E5-BDF5-DD05C376EF2D}"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45">
        <cdr:nvSpPr>
          <cdr:cNvPr id="143" name="ZoneTexte 1"/>
          <cdr:cNvSpPr txBox="1"/>
        </cdr:nvSpPr>
        <cdr:spPr>
          <a:xfrm xmlns:a="http://schemas.openxmlformats.org/drawingml/2006/main">
            <a:off x="476266" y="460807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B6CDC8A-F8CF-440E-ABE7-2E0CD010133D}"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44">
        <cdr:nvSpPr>
          <cdr:cNvPr id="144" name="ZoneTexte 1"/>
          <cdr:cNvSpPr txBox="1"/>
        </cdr:nvSpPr>
        <cdr:spPr>
          <a:xfrm xmlns:a="http://schemas.openxmlformats.org/drawingml/2006/main">
            <a:off x="476266" y="440772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49C243B-4330-4C27-AE68-7A590E7C3070}"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1">
        <cdr:nvSpPr>
          <cdr:cNvPr id="145" name="ZoneTexte 1"/>
          <cdr:cNvSpPr txBox="1"/>
        </cdr:nvSpPr>
        <cdr:spPr>
          <a:xfrm xmlns:a="http://schemas.openxmlformats.org/drawingml/2006/main">
            <a:off x="476266" y="180315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23E80A7-DC30-451C-A49E-CB87788EA7F7}"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40">
        <cdr:nvSpPr>
          <cdr:cNvPr id="146" name="ZoneTexte 1"/>
          <cdr:cNvSpPr txBox="1"/>
        </cdr:nvSpPr>
        <cdr:spPr>
          <a:xfrm xmlns:a="http://schemas.openxmlformats.org/drawingml/2006/main">
            <a:off x="476266" y="360631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AF1FFAA-062C-4FCE-9474-9F1818031BD2}"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25">
        <cdr:nvSpPr>
          <cdr:cNvPr id="147" name="ZoneTexte 1"/>
          <cdr:cNvSpPr txBox="1"/>
        </cdr:nvSpPr>
        <cdr:spPr>
          <a:xfrm xmlns:a="http://schemas.openxmlformats.org/drawingml/2006/main">
            <a:off x="476266" y="60105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D59E972-DF5F-4335-8E1F-4583DD01B116}"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27">
        <cdr:nvSpPr>
          <cdr:cNvPr id="148" name="ZoneTexte 1"/>
          <cdr:cNvSpPr txBox="1"/>
        </cdr:nvSpPr>
        <cdr:spPr>
          <a:xfrm xmlns:a="http://schemas.openxmlformats.org/drawingml/2006/main">
            <a:off x="476266" y="1001755"/>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A2DA75C-6BE0-40FD-A39F-93449A0CF0B2}"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29">
        <cdr:nvSpPr>
          <cdr:cNvPr id="149" name="ZoneTexte 1"/>
          <cdr:cNvSpPr txBox="1"/>
        </cdr:nvSpPr>
        <cdr:spPr>
          <a:xfrm xmlns:a="http://schemas.openxmlformats.org/drawingml/2006/main">
            <a:off x="476266" y="1402457"/>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DE574D1-B14C-4A55-99F2-C706C73506A9}"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2">
        <cdr:nvSpPr>
          <cdr:cNvPr id="150" name="ZoneTexte 1"/>
          <cdr:cNvSpPr txBox="1"/>
        </cdr:nvSpPr>
        <cdr:spPr>
          <a:xfrm xmlns:a="http://schemas.openxmlformats.org/drawingml/2006/main">
            <a:off x="476266" y="200351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5B08171-D5BB-4499-A599-FCC0D53CE9CC}"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41">
        <cdr:nvSpPr>
          <cdr:cNvPr id="151" name="ZoneTexte 1"/>
          <cdr:cNvSpPr txBox="1"/>
        </cdr:nvSpPr>
        <cdr:spPr>
          <a:xfrm xmlns:a="http://schemas.openxmlformats.org/drawingml/2006/main">
            <a:off x="476266" y="380666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8EFB545-A4E5-4A57-AF89-68EBFE973E6A}" type="TxLink">
              <a:rPr lang="en-US" sz="1000" b="1" i="0" u="none" strike="noStrike">
                <a:solidFill>
                  <a:srgbClr val="000000"/>
                </a:solidFill>
                <a:latin typeface="Calibri"/>
                <a:cs typeface="Calibri"/>
              </a:rPr>
              <a:pPr algn="l"/>
              <a:t>ND</a:t>
            </a:fld>
            <a:endParaRPr lang="fr-FR" sz="1000" b="1">
              <a:latin typeface="Calibri"/>
            </a:endParaRPr>
          </a:p>
        </cdr:txBody>
      </cdr:sp>
      <cdr:sp macro="" textlink="Calculs!$Y$235">
        <cdr:nvSpPr>
          <cdr:cNvPr id="152" name="ZoneTexte 1"/>
          <cdr:cNvSpPr txBox="1"/>
        </cdr:nvSpPr>
        <cdr:spPr>
          <a:xfrm xmlns:a="http://schemas.openxmlformats.org/drawingml/2006/main">
            <a:off x="476266" y="260456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95D6FD5-31F2-41A7-AFB9-EDF9D2BAD0D0}" type="TxLink">
              <a:rPr lang="en-US" sz="1000" b="1" i="0" u="none" strike="noStrike">
                <a:solidFill>
                  <a:srgbClr val="000000"/>
                </a:solidFill>
                <a:latin typeface="Calibri"/>
                <a:cs typeface="Calibri"/>
              </a:rPr>
              <a:pPr algn="l"/>
              <a:t>ND</a:t>
            </a:fld>
            <a:endParaRPr lang="fr-FR" sz="1000" b="1">
              <a:latin typeface="Calibri"/>
            </a:endParaRPr>
          </a:p>
        </cdr:txBody>
      </cdr:sp>
    </cdr:grpSp>
  </cdr:relSizeAnchor>
  <cdr:relSizeAnchor xmlns:cdr="http://schemas.openxmlformats.org/drawingml/2006/chartDrawing">
    <cdr:from>
      <cdr:x>0.34064</cdr:x>
      <cdr:y>0.1062</cdr:y>
    </cdr:from>
    <cdr:to>
      <cdr:x>0.48701</cdr:x>
      <cdr:y>0.14789</cdr:y>
    </cdr:to>
    <cdr:sp macro="" textlink="'TRAD-visualiz'!$B$7">
      <cdr:nvSpPr>
        <cdr:cNvPr id="72" name="ZoneTexte 6"/>
        <cdr:cNvSpPr txBox="1"/>
      </cdr:nvSpPr>
      <cdr:spPr>
        <a:xfrm xmlns:a="http://schemas.openxmlformats.org/drawingml/2006/main">
          <a:off x="3462211" y="730682"/>
          <a:ext cx="148766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5D583D0-8285-45F1-976E-0875341B3E8E}" type="TxLink">
            <a:rPr lang="en-US" sz="1000" b="0" i="0" u="none" strike="noStrike">
              <a:solidFill>
                <a:srgbClr val="000000"/>
              </a:solidFill>
              <a:latin typeface="Arialri"/>
              <a:cs typeface="Calibri"/>
            </a:rPr>
            <a:pPr/>
            <a:t>Dates de péremption </a:t>
          </a:fld>
          <a:endParaRPr lang="fr-FR" sz="1100" i="1"/>
        </a:p>
      </cdr:txBody>
    </cdr:sp>
  </cdr:relSizeAnchor>
  <cdr:relSizeAnchor xmlns:cdr="http://schemas.openxmlformats.org/drawingml/2006/chartDrawing">
    <cdr:from>
      <cdr:x>0.55199</cdr:x>
      <cdr:y>0.10457</cdr:y>
    </cdr:from>
    <cdr:to>
      <cdr:x>0.87355</cdr:x>
      <cdr:y>0.14706</cdr:y>
    </cdr:to>
    <cdr:sp macro="" textlink="Calculs!$F$500">
      <cdr:nvSpPr>
        <cdr:cNvPr id="73" name="ZoneTexte 1"/>
        <cdr:cNvSpPr txBox="1"/>
      </cdr:nvSpPr>
      <cdr:spPr>
        <a:xfrm xmlns:a="http://schemas.openxmlformats.org/drawingml/2006/main">
          <a:off x="5610293" y="719476"/>
          <a:ext cx="3268250"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23CE4781-7730-4DBB-942E-5D424B0928E2}" type="TxLink">
            <a:rPr lang="en-US" sz="1100" b="1" i="1" u="none" strike="noStrike">
              <a:solidFill>
                <a:srgbClr val="C00000"/>
              </a:solidFill>
              <a:latin typeface="Calibri"/>
              <a:ea typeface="+mn-ea"/>
              <a:cs typeface="+mn-cs"/>
            </a:rPr>
            <a:pPr/>
            <a:t>Prises en compte</a:t>
          </a:fld>
          <a:endParaRPr lang="fr-FR" sz="1100" b="1" i="1" u="none" strike="noStrike">
            <a:solidFill>
              <a:srgbClr val="C00000"/>
            </a:solidFill>
            <a:latin typeface="Calibri"/>
            <a:ea typeface="+mn-ea"/>
            <a:cs typeface="+mn-cs"/>
          </a:endParaRPr>
        </a:p>
      </cdr:txBody>
    </cdr:sp>
  </cdr:relSizeAnchor>
  <cdr:relSizeAnchor xmlns:cdr="http://schemas.openxmlformats.org/drawingml/2006/chartDrawing">
    <cdr:from>
      <cdr:x>0.3065</cdr:x>
      <cdr:y>0</cdr:y>
    </cdr:from>
    <cdr:to>
      <cdr:x>0.39647</cdr:x>
      <cdr:y>0.05049</cdr:y>
    </cdr:to>
    <cdr:sp macro="" textlink="'TRAD-visualiz'!$B$11">
      <cdr:nvSpPr>
        <cdr:cNvPr id="2" name="ZoneTexte 1"/>
        <cdr:cNvSpPr txBox="1"/>
      </cdr:nvSpPr>
      <cdr:spPr>
        <a:xfrm xmlns:a="http://schemas.openxmlformats.org/drawingml/2006/main">
          <a:off x="3115200" y="-33618"/>
          <a:ext cx="914431" cy="3473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68FBE31-DD75-4291-A0EA-38EC77AFCDEA}" type="TxLink">
            <a:rPr lang="fr-FR" sz="1600" b="1" i="0" u="none" strike="noStrike">
              <a:solidFill>
                <a:srgbClr val="FF0000"/>
              </a:solidFill>
              <a:latin typeface="+mn-lt"/>
              <a:cs typeface="Arial" pitchFamily="34" charset="0"/>
            </a:rPr>
            <a:pPr/>
            <a:t> Comprimés - Formes simples</a:t>
          </a:fld>
          <a:endParaRPr lang="fr-FR" sz="1600" b="1">
            <a:solidFill>
              <a:srgbClr val="FF0000"/>
            </a:solidFill>
            <a:latin typeface="+mn-lt"/>
            <a:cs typeface="Arial" pitchFamily="34" charset="0"/>
          </a:endParaRPr>
        </a:p>
      </cdr:txBody>
    </cdr:sp>
  </cdr:relSizeAnchor>
  <cdr:relSizeAnchor xmlns:cdr="http://schemas.openxmlformats.org/drawingml/2006/chartDrawing">
    <cdr:from>
      <cdr:x>0.8524</cdr:x>
      <cdr:y>0.0025</cdr:y>
    </cdr:from>
    <cdr:to>
      <cdr:x>1</cdr:x>
      <cdr:y>0.10136</cdr:y>
    </cdr:to>
    <cdr:pic>
      <cdr:nvPicPr>
        <cdr:cNvPr id="75" name="Image 7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17183"/>
          <a:ext cx="1500187" cy="680245"/>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0.0194</cdr:x>
      <cdr:y>0.07106</cdr:y>
    </cdr:from>
    <cdr:to>
      <cdr:x>0.24898</cdr:x>
      <cdr:y>0.11275</cdr:y>
    </cdr:to>
    <cdr:sp macro="" textlink="'TRAD-visualiz'!$B$4">
      <cdr:nvSpPr>
        <cdr:cNvPr id="7" name="ZoneTexte 6"/>
        <cdr:cNvSpPr txBox="1"/>
      </cdr:nvSpPr>
      <cdr:spPr>
        <a:xfrm xmlns:a="http://schemas.openxmlformats.org/drawingml/2006/main">
          <a:off x="196057" y="487331"/>
          <a:ext cx="2320141" cy="28591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4DD72F7E-8482-4842-8785-878BFBB7525C}"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0.0194</cdr:x>
      <cdr:y>0.04033</cdr:y>
    </cdr:from>
    <cdr:to>
      <cdr:x>0.19626</cdr:x>
      <cdr:y>0.08197</cdr:y>
    </cdr:to>
    <cdr:sp macro="" textlink="'TRAD-visualiz'!$B$3">
      <cdr:nvSpPr>
        <cdr:cNvPr id="9" name="ZoneTexte 1"/>
        <cdr:cNvSpPr txBox="1"/>
      </cdr:nvSpPr>
      <cdr:spPr>
        <a:xfrm xmlns:a="http://schemas.openxmlformats.org/drawingml/2006/main">
          <a:off x="196057" y="276583"/>
          <a:ext cx="1787384" cy="285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30DE6346-8166-4711-B99D-902656078A24}"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0.18418</cdr:x>
      <cdr:y>0.0387</cdr:y>
    </cdr:from>
    <cdr:to>
      <cdr:x>0.31092</cdr:x>
      <cdr:y>0.08119</cdr:y>
    </cdr:to>
    <cdr:sp macro="" textlink="Paramétrage!$D$11">
      <cdr:nvSpPr>
        <cdr:cNvPr id="10" name="ZoneTexte 1"/>
        <cdr:cNvSpPr txBox="1"/>
      </cdr:nvSpPr>
      <cdr:spPr>
        <a:xfrm xmlns:a="http://schemas.openxmlformats.org/drawingml/2006/main">
          <a:off x="1871957" y="266272"/>
          <a:ext cx="1288102"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mn-lt"/>
              <a:cs typeface="Calibri"/>
            </a:rPr>
            <a:pPr/>
            <a:t>TEST</a:t>
          </a:fld>
          <a:endParaRPr lang="fr-FR" sz="1050" b="1" i="1">
            <a:latin typeface="+mn-lt"/>
          </a:endParaRPr>
        </a:p>
      </cdr:txBody>
    </cdr:sp>
  </cdr:relSizeAnchor>
  <cdr:relSizeAnchor xmlns:cdr="http://schemas.openxmlformats.org/drawingml/2006/chartDrawing">
    <cdr:from>
      <cdr:x>0.85862</cdr:x>
      <cdr:y>0.09151</cdr:y>
    </cdr:from>
    <cdr:to>
      <cdr:x>0.99684</cdr:x>
      <cdr:y>0.17157</cdr:y>
    </cdr:to>
    <cdr:sp macro="" textlink="'TRAD-visualiz'!$B$8">
      <cdr:nvSpPr>
        <cdr:cNvPr id="12" name="ZoneTexte 11"/>
        <cdr:cNvSpPr txBox="1"/>
      </cdr:nvSpPr>
      <cdr:spPr>
        <a:xfrm xmlns:a="http://schemas.openxmlformats.org/drawingml/2006/main">
          <a:off x="8677275" y="627576"/>
          <a:ext cx="1396815"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5F3273D4-D078-4F94-8BE8-527EFA77D740}" type="TxLink">
            <a:rPr lang="en-US" sz="1050" b="0" i="0" u="none" strike="noStrike">
              <a:solidFill>
                <a:srgbClr val="000000"/>
              </a:solidFill>
              <a:latin typeface="+mn-lt"/>
              <a:cs typeface="Calibri"/>
            </a:rPr>
            <a:pPr algn="ctr"/>
            <a:t>Nb de patients concernés / mois</a:t>
          </a:fld>
          <a:endParaRPr lang="fr-FR" sz="105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50">
              <a:latin typeface="+mn-lt"/>
            </a:rPr>
            <a:pPr/>
            <a:t> </a:t>
          </a:fld>
          <a:endParaRPr lang="fr-FR" sz="1050">
            <a:latin typeface="+mn-lt"/>
          </a:endParaRPr>
        </a:p>
      </cdr:txBody>
    </cdr:sp>
  </cdr:relSizeAnchor>
  <cdr:relSizeAnchor xmlns:cdr="http://schemas.openxmlformats.org/drawingml/2006/chartDrawing">
    <cdr:from>
      <cdr:x>0.33057</cdr:x>
      <cdr:y>0.07284</cdr:y>
    </cdr:from>
    <cdr:to>
      <cdr:x>0.52018</cdr:x>
      <cdr:y>0.11453</cdr:y>
    </cdr:to>
    <cdr:sp macro="" textlink="'TRAD-visualiz'!$B$6">
      <cdr:nvSpPr>
        <cdr:cNvPr id="119" name="ZoneTexte 6"/>
        <cdr:cNvSpPr txBox="1"/>
      </cdr:nvSpPr>
      <cdr:spPr>
        <a:xfrm xmlns:a="http://schemas.openxmlformats.org/drawingml/2006/main">
          <a:off x="3359792" y="501147"/>
          <a:ext cx="192714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A49CA82-1D31-4585-AAD0-C175D28B51E6}" type="TxLink">
            <a:rPr lang="en-US" sz="1050" b="0" i="0" u="none" strike="noStrike">
              <a:solidFill>
                <a:srgbClr val="000000"/>
              </a:solidFill>
              <a:latin typeface="+mn-lt"/>
              <a:cs typeface="Calibri"/>
            </a:rPr>
            <a:pPr/>
            <a:t>Nature des stocks considérés </a:t>
          </a:fld>
          <a:endParaRPr lang="fr-FR" sz="1050" i="1">
            <a:latin typeface="+mn-lt"/>
          </a:endParaRPr>
        </a:p>
      </cdr:txBody>
    </cdr:sp>
  </cdr:relSizeAnchor>
  <cdr:relSizeAnchor xmlns:cdr="http://schemas.openxmlformats.org/drawingml/2006/chartDrawing">
    <cdr:from>
      <cdr:x>0.20513</cdr:x>
      <cdr:y>0.07106</cdr:y>
    </cdr:from>
    <cdr:to>
      <cdr:x>0.34991</cdr:x>
      <cdr:y>0.11191</cdr:y>
    </cdr:to>
    <cdr:sp macro="" textlink="Paramétrage!$H$19">
      <cdr:nvSpPr>
        <cdr:cNvPr id="122" name="ZoneTexte 1"/>
        <cdr:cNvSpPr txBox="1"/>
      </cdr:nvSpPr>
      <cdr:spPr>
        <a:xfrm xmlns:a="http://schemas.openxmlformats.org/drawingml/2006/main">
          <a:off x="2084887" y="488922"/>
          <a:ext cx="1471505" cy="28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0.53309</cdr:x>
      <cdr:y>0.07326</cdr:y>
    </cdr:from>
    <cdr:to>
      <cdr:x>0.85465</cdr:x>
      <cdr:y>0.11575</cdr:y>
    </cdr:to>
    <cdr:sp macro="" textlink="'Calculs dispo Données conso'!$V$182">
      <cdr:nvSpPr>
        <cdr:cNvPr id="123" name="ZoneTexte 1"/>
        <cdr:cNvSpPr txBox="1"/>
      </cdr:nvSpPr>
      <cdr:spPr>
        <a:xfrm xmlns:a="http://schemas.openxmlformats.org/drawingml/2006/main">
          <a:off x="5418150" y="504032"/>
          <a:ext cx="3268251"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97B32D6-FB82-4C4E-883A-9B34D485A470}" type="TxLink">
            <a:rPr lang="fr-FR" sz="1050" b="1" i="1" u="none" strike="noStrike">
              <a:solidFill>
                <a:srgbClr val="C00000"/>
              </a:solidFill>
              <a:latin typeface="+mn-lt"/>
            </a:rPr>
            <a:pPr/>
            <a:t>Stocks centraux, périphériques et commandes</a:t>
          </a:fld>
          <a:endParaRPr lang="fr-FR" sz="1050" b="1" i="1">
            <a:solidFill>
              <a:srgbClr val="C00000"/>
            </a:solidFill>
            <a:latin typeface="+mn-lt"/>
          </a:endParaRPr>
        </a:p>
      </cdr:txBody>
    </cdr: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50" b="1">
              <a:latin typeface="+mn-lt"/>
            </a:rPr>
            <a:pPr algn="l"/>
            <a:t> </a:t>
          </a:fld>
          <a:endParaRPr lang="fr-FR" sz="1050" b="1">
            <a:latin typeface="+mn-lt"/>
          </a:endParaRPr>
        </a:p>
      </cdr:txBody>
    </cdr:sp>
  </cdr:relSizeAnchor>
  <cdr:relSizeAnchor xmlns:cdr="http://schemas.openxmlformats.org/drawingml/2006/chartDrawing">
    <cdr:from>
      <cdr:x>0.33057</cdr:x>
      <cdr:y>0.04032</cdr:y>
    </cdr:from>
    <cdr:to>
      <cdr:x>0.57063</cdr:x>
      <cdr:y>0.08201</cdr:y>
    </cdr:to>
    <cdr:sp macro="" textlink="'TRAD-visualiz'!$B$5">
      <cdr:nvSpPr>
        <cdr:cNvPr id="101" name="ZoneTexte 6"/>
        <cdr:cNvSpPr txBox="1"/>
      </cdr:nvSpPr>
      <cdr:spPr>
        <a:xfrm xmlns:a="http://schemas.openxmlformats.org/drawingml/2006/main">
          <a:off x="3359792" y="277400"/>
          <a:ext cx="2439907"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2FDD5D9C-9C60-44FB-BC98-F2A33A048840}" type="TxLink">
            <a:rPr lang="en-US" sz="1050" b="0" i="0" u="none" strike="noStrike">
              <a:solidFill>
                <a:srgbClr val="000000"/>
              </a:solidFill>
              <a:latin typeface="+mn-lt"/>
              <a:cs typeface="Calibri"/>
            </a:rPr>
            <a:pPr/>
            <a:t>Méthode / type de données utilisées </a:t>
          </a:fld>
          <a:endParaRPr lang="fr-FR" sz="1050" i="1">
            <a:latin typeface="+mn-lt"/>
          </a:endParaRPr>
        </a:p>
      </cdr:txBody>
    </cdr:sp>
  </cdr:relSizeAnchor>
  <cdr:relSizeAnchor xmlns:cdr="http://schemas.openxmlformats.org/drawingml/2006/chartDrawing">
    <cdr:from>
      <cdr:x>0.53309</cdr:x>
      <cdr:y>0.04032</cdr:y>
    </cdr:from>
    <cdr:to>
      <cdr:x>0.7094</cdr:x>
      <cdr:y>0.08281</cdr:y>
    </cdr:to>
    <cdr:sp macro="" textlink="Calculs!$J$488">
      <cdr:nvSpPr>
        <cdr:cNvPr id="102" name="ZoneTexte 1"/>
        <cdr:cNvSpPr txBox="1"/>
      </cdr:nvSpPr>
      <cdr:spPr>
        <a:xfrm xmlns:a="http://schemas.openxmlformats.org/drawingml/2006/main">
          <a:off x="5418150" y="277400"/>
          <a:ext cx="1791968"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31A341C-DC4C-47C0-B93E-3A14A026F6EC}" type="TxLink">
            <a:rPr lang="fr-FR" sz="1050" b="1" i="1" u="none" strike="noStrike">
              <a:solidFill>
                <a:srgbClr val="C00000"/>
              </a:solidFill>
              <a:latin typeface="+mn-lt"/>
            </a:rPr>
            <a:pPr/>
            <a:t>Données de consommation</a:t>
          </a:fld>
          <a:endParaRPr lang="fr-FR" sz="1050" b="1" i="1">
            <a:solidFill>
              <a:srgbClr val="C00000"/>
            </a:solidFill>
            <a:latin typeface="+mn-lt"/>
          </a:endParaRPr>
        </a:p>
      </cdr:txBody>
    </cdr:sp>
  </cdr:relSizeAnchor>
  <cdr:relSizeAnchor xmlns:cdr="http://schemas.openxmlformats.org/drawingml/2006/chartDrawing">
    <cdr:from>
      <cdr:x>0.37811</cdr:x>
      <cdr:y>0.98203</cdr:y>
    </cdr:from>
    <cdr:to>
      <cdr:x>0.3903</cdr:x>
      <cdr:y>0.9951</cdr:y>
    </cdr:to>
    <cdr:sp macro="" textlink="">
      <cdr:nvSpPr>
        <cdr:cNvPr id="103" name="Rectangle 102"/>
        <cdr:cNvSpPr/>
      </cdr:nvSpPr>
      <cdr:spPr>
        <a:xfrm xmlns:a="http://schemas.openxmlformats.org/drawingml/2006/main">
          <a:off x="3821239" y="6734748"/>
          <a:ext cx="123192" cy="89634"/>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sz="1050">
            <a:latin typeface="+mn-lt"/>
          </a:endParaRPr>
        </a:p>
      </cdr:txBody>
    </cdr:sp>
  </cdr:relSizeAnchor>
  <cdr:relSizeAnchor xmlns:cdr="http://schemas.openxmlformats.org/drawingml/2006/chartDrawing">
    <cdr:from>
      <cdr:x>0.39252</cdr:x>
      <cdr:y>0.96895</cdr:y>
    </cdr:from>
    <cdr:to>
      <cdr:x>0.66735</cdr:x>
      <cdr:y>1</cdr:y>
    </cdr:to>
    <cdr:sp macro="" textlink="'TRAD-visualiz'!$B$10">
      <cdr:nvSpPr>
        <cdr:cNvPr id="104" name="ZoneTexte 2"/>
        <cdr:cNvSpPr txBox="1"/>
      </cdr:nvSpPr>
      <cdr:spPr>
        <a:xfrm xmlns:a="http://schemas.openxmlformats.org/drawingml/2006/main">
          <a:off x="3966817" y="6645088"/>
          <a:ext cx="2777439" cy="2129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CEE62C9-D208-495F-86D2-F27A1805FC14}" type="TxLink">
            <a:rPr lang="en-US" sz="1050" b="0" i="0" u="none" strike="noStrike">
              <a:solidFill>
                <a:srgbClr val="000000"/>
              </a:solidFill>
              <a:latin typeface="+mn-lt"/>
              <a:cs typeface="Calibri"/>
            </a:rPr>
            <a:pPr/>
            <a:t>Période pendant laquelle le ST a été utilisé </a:t>
          </a:fld>
          <a:endParaRPr lang="fr-FR" sz="1050">
            <a:latin typeface="+mn-lt"/>
          </a:endParaRPr>
        </a:p>
      </cdr:txBody>
    </cdr:sp>
  </cdr:relSizeAnchor>
  <cdr:relSizeAnchor xmlns:cdr="http://schemas.openxmlformats.org/drawingml/2006/chartDrawing">
    <cdr:from>
      <cdr:x>0.97577</cdr:x>
      <cdr:y>0.16667</cdr:y>
    </cdr:from>
    <cdr:to>
      <cdr:x>1</cdr:x>
      <cdr:y>0.98366</cdr:y>
    </cdr:to>
    <cdr:sp macro="" textlink="Calculs!$D$496">
      <cdr:nvSpPr>
        <cdr:cNvPr id="100" name="ZoneTexte 1"/>
        <cdr:cNvSpPr txBox="1"/>
      </cdr:nvSpPr>
      <cdr:spPr>
        <a:xfrm xmlns:a="http://schemas.openxmlformats.org/drawingml/2006/main" rot="5400000">
          <a:off x="7182142" y="3822033"/>
          <a:ext cx="5602916" cy="244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B9801C2-2547-4B08-9325-5F5C5FAABC06}" type="TxLink">
            <a:rPr lang="fr-FR" sz="1050" b="0" i="1" u="none" strike="noStrike">
              <a:solidFill>
                <a:srgbClr val="FF0000"/>
              </a:solidFill>
              <a:latin typeface="+mn-lt"/>
            </a:rPr>
            <a:pPr/>
            <a:t>Attention, le nombre de patients mentionné ici est estimé à partir de la consommation.</a:t>
          </a:fld>
          <a:endParaRPr lang="fr-FR" sz="1050" i="1">
            <a:solidFill>
              <a:srgbClr val="FF0000"/>
            </a:solidFill>
            <a:latin typeface="+mn-lt"/>
          </a:endParaRPr>
        </a:p>
      </cdr:txBody>
    </cdr:sp>
  </cdr:relSizeAnchor>
  <cdr:relSizeAnchor xmlns:cdr="http://schemas.openxmlformats.org/drawingml/2006/chartDrawing">
    <cdr:from>
      <cdr:x>0.8915</cdr:x>
      <cdr:y>0.18672</cdr:y>
    </cdr:from>
    <cdr:to>
      <cdr:x>0.95562</cdr:x>
      <cdr:y>0.94025</cdr:y>
    </cdr:to>
    <cdr:grpSp>
      <cdr:nvGrpSpPr>
        <cdr:cNvPr id="105" name="Groupe 104"/>
        <cdr:cNvGrpSpPr/>
      </cdr:nvGrpSpPr>
      <cdr:grpSpPr>
        <a:xfrm xmlns:a="http://schemas.openxmlformats.org/drawingml/2006/main">
          <a:off x="9060970" y="1284711"/>
          <a:ext cx="651698" cy="5184596"/>
          <a:chOff x="0" y="14232"/>
          <a:chExt cx="647998" cy="5178870"/>
        </a:xfrm>
      </cdr:grpSpPr>
      <cdr:sp macro="" textlink="Calculs!$Y$176">
        <cdr:nvSpPr>
          <cdr:cNvPr id="154" name="ZoneTexte 1"/>
          <cdr:cNvSpPr txBox="1"/>
        </cdr:nvSpPr>
        <cdr:spPr>
          <a:xfrm xmlns:a="http://schemas.openxmlformats.org/drawingml/2006/main">
            <a:off x="0" y="162413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3333E85-C9D2-4ED3-9FC2-CF364C012497}" type="TxLink">
              <a:rPr lang="en-US" sz="1050" b="1" i="0" u="none" strike="noStrike">
                <a:solidFill>
                  <a:srgbClr val="000000"/>
                </a:solidFill>
                <a:latin typeface="+mn-lt"/>
                <a:cs typeface="Calibri"/>
              </a:rPr>
              <a:pPr algn="l"/>
              <a:t>0</a:t>
            </a:fld>
            <a:endParaRPr lang="fr-FR" sz="1050" b="1">
              <a:latin typeface="+mn-lt"/>
            </a:endParaRPr>
          </a:p>
        </cdr:txBody>
      </cdr:sp>
      <cdr:sp macro="" textlink="Calculs!$Y$174">
        <cdr:nvSpPr>
          <cdr:cNvPr id="155" name="ZoneTexte 1"/>
          <cdr:cNvSpPr txBox="1"/>
        </cdr:nvSpPr>
        <cdr:spPr>
          <a:xfrm xmlns:a="http://schemas.openxmlformats.org/drawingml/2006/main">
            <a:off x="0" y="1221661"/>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F1D7D79-3D74-48E7-959C-6C3D498B1E4A}" type="TxLink">
              <a:rPr lang="en-US" sz="1050" b="1" i="0" u="none" strike="noStrike">
                <a:solidFill>
                  <a:srgbClr val="000000"/>
                </a:solidFill>
                <a:latin typeface="+mn-lt"/>
                <a:cs typeface="Calibri"/>
              </a:rPr>
              <a:pPr algn="l"/>
              <a:t>2</a:t>
            </a:fld>
            <a:endParaRPr lang="fr-FR" sz="1050" b="1">
              <a:latin typeface="+mn-lt"/>
            </a:endParaRPr>
          </a:p>
        </cdr:txBody>
      </cdr:sp>
      <cdr:sp macro="" textlink="Calculs!$Y$172">
        <cdr:nvSpPr>
          <cdr:cNvPr id="156" name="ZoneTexte 1"/>
          <cdr:cNvSpPr txBox="1"/>
        </cdr:nvSpPr>
        <cdr:spPr>
          <a:xfrm xmlns:a="http://schemas.openxmlformats.org/drawingml/2006/main">
            <a:off x="0" y="819185"/>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8CEE291-9BEC-4FB1-8DDA-D736911AADC1}" type="TxLink">
              <a:rPr lang="en-US" sz="1050" b="1" i="0" u="none" strike="noStrike">
                <a:solidFill>
                  <a:srgbClr val="000000"/>
                </a:solidFill>
                <a:latin typeface="+mn-lt"/>
                <a:cs typeface="Calibri"/>
              </a:rPr>
              <a:pPr algn="l"/>
              <a:t>0</a:t>
            </a:fld>
            <a:endParaRPr lang="fr-FR" sz="1050" b="1">
              <a:latin typeface="+mn-lt"/>
            </a:endParaRPr>
          </a:p>
        </cdr:txBody>
      </cdr:sp>
      <cdr:sp macro="" textlink="Calculs!$Y$170">
        <cdr:nvSpPr>
          <cdr:cNvPr id="157" name="ZoneTexte 1"/>
          <cdr:cNvSpPr txBox="1"/>
        </cdr:nvSpPr>
        <cdr:spPr>
          <a:xfrm xmlns:a="http://schemas.openxmlformats.org/drawingml/2006/main">
            <a:off x="0" y="41670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2492B72-B6F4-42F5-BD10-AC45F3706DD6}" type="TxLink">
              <a:rPr lang="en-US" sz="1050" b="1" i="0" u="none" strike="noStrike">
                <a:solidFill>
                  <a:srgbClr val="000000"/>
                </a:solidFill>
                <a:latin typeface="+mn-lt"/>
                <a:cs typeface="Calibri"/>
              </a:rPr>
              <a:pPr algn="l"/>
              <a:t>1485</a:t>
            </a:fld>
            <a:endParaRPr lang="fr-FR" sz="1050" b="1">
              <a:latin typeface="+mn-lt"/>
            </a:endParaRPr>
          </a:p>
        </cdr:txBody>
      </cdr:sp>
      <cdr:sp macro="" textlink="Calculs!$Y$169">
        <cdr:nvSpPr>
          <cdr:cNvPr id="158" name="ZoneTexte 1"/>
          <cdr:cNvSpPr txBox="1"/>
        </cdr:nvSpPr>
        <cdr:spPr>
          <a:xfrm xmlns:a="http://schemas.openxmlformats.org/drawingml/2006/main">
            <a:off x="0" y="21547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F442EC5-F467-4B65-8893-6829C0E15B25}" type="TxLink">
              <a:rPr lang="en-US" sz="1050" b="1" i="0" u="none" strike="noStrike">
                <a:solidFill>
                  <a:srgbClr val="000000"/>
                </a:solidFill>
                <a:latin typeface="+mn-lt"/>
                <a:cs typeface="Calibri"/>
              </a:rPr>
              <a:pPr algn="l"/>
              <a:t>ND</a:t>
            </a:fld>
            <a:endParaRPr lang="fr-FR" sz="1050" b="1">
              <a:latin typeface="+mn-lt"/>
            </a:endParaRPr>
          </a:p>
        </cdr:txBody>
      </cdr:sp>
      <cdr:sp macro="" textlink="Calculs!$Y$168">
        <cdr:nvSpPr>
          <cdr:cNvPr id="159" name="ZoneTexte 1"/>
          <cdr:cNvSpPr txBox="1"/>
        </cdr:nvSpPr>
        <cdr:spPr>
          <a:xfrm xmlns:a="http://schemas.openxmlformats.org/drawingml/2006/main">
            <a:off x="0" y="1423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557099E-22EF-4619-94C5-8CDCB15EB9F4}" type="TxLink">
              <a:rPr lang="en-US" sz="1050" b="1" i="0" u="none" strike="noStrike">
                <a:solidFill>
                  <a:srgbClr val="000000"/>
                </a:solidFill>
                <a:latin typeface="+mn-lt"/>
                <a:cs typeface="Calibri"/>
              </a:rPr>
              <a:pPr algn="l"/>
              <a:t>ND</a:t>
            </a:fld>
            <a:endParaRPr lang="fr-FR" sz="1050" b="1">
              <a:latin typeface="+mn-lt"/>
            </a:endParaRPr>
          </a:p>
        </cdr:txBody>
      </cdr:sp>
      <cdr:sp macro="" textlink="Calculs!$Y$177">
        <cdr:nvSpPr>
          <cdr:cNvPr id="161" name="ZoneTexte 1"/>
          <cdr:cNvSpPr txBox="1"/>
        </cdr:nvSpPr>
        <cdr:spPr>
          <a:xfrm xmlns:a="http://schemas.openxmlformats.org/drawingml/2006/main">
            <a:off x="0" y="1825376"/>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5EC7EC3-DE5D-41A7-9199-BCDB2DD8332A}" type="TxLink">
              <a:rPr lang="en-US" sz="1050" b="1" i="0" u="none" strike="noStrike">
                <a:solidFill>
                  <a:srgbClr val="000000"/>
                </a:solidFill>
                <a:latin typeface="+mn-lt"/>
                <a:cs typeface="Calibri"/>
              </a:rPr>
              <a:pPr algn="l"/>
              <a:t>ND</a:t>
            </a:fld>
            <a:endParaRPr lang="fr-FR" sz="1050" b="1">
              <a:latin typeface="+mn-lt"/>
            </a:endParaRPr>
          </a:p>
        </cdr:txBody>
      </cdr:sp>
      <cdr:sp macro="" textlink="Calculs!$Y$179">
        <cdr:nvSpPr>
          <cdr:cNvPr id="162" name="ZoneTexte 1"/>
          <cdr:cNvSpPr txBox="1"/>
        </cdr:nvSpPr>
        <cdr:spPr>
          <a:xfrm xmlns:a="http://schemas.openxmlformats.org/drawingml/2006/main">
            <a:off x="0" y="222785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A585EA-578D-4A67-8D66-8C08CF40935A}" type="TxLink">
              <a:rPr lang="en-US" sz="1050" b="1" i="0" u="none" strike="noStrike">
                <a:solidFill>
                  <a:srgbClr val="000000"/>
                </a:solidFill>
                <a:latin typeface="+mn-lt"/>
                <a:cs typeface="Calibri"/>
              </a:rPr>
              <a:pPr algn="l"/>
              <a:t>0</a:t>
            </a:fld>
            <a:endParaRPr lang="fr-FR" sz="1050" b="1">
              <a:latin typeface="+mn-lt"/>
            </a:endParaRPr>
          </a:p>
        </cdr:txBody>
      </cdr:sp>
      <cdr:sp macro="" textlink="Calculs!$Y$180">
        <cdr:nvSpPr>
          <cdr:cNvPr id="163" name="ZoneTexte 1"/>
          <cdr:cNvSpPr txBox="1"/>
        </cdr:nvSpPr>
        <cdr:spPr>
          <a:xfrm xmlns:a="http://schemas.openxmlformats.org/drawingml/2006/main">
            <a:off x="0" y="242909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3438BF7-E708-411C-BD40-A06A20A65403}" type="TxLink">
              <a:rPr lang="en-US" sz="1050" b="1" i="0" u="none" strike="noStrike">
                <a:solidFill>
                  <a:srgbClr val="000000"/>
                </a:solidFill>
                <a:latin typeface="+mn-lt"/>
                <a:cs typeface="Calibri"/>
              </a:rPr>
              <a:pPr algn="l"/>
              <a:t>0</a:t>
            </a:fld>
            <a:endParaRPr lang="fr-FR" sz="1050" b="1">
              <a:latin typeface="+mn-lt"/>
            </a:endParaRPr>
          </a:p>
        </cdr:txBody>
      </cdr:sp>
      <cdr:sp macro="" textlink="Calculs!$Y$182">
        <cdr:nvSpPr>
          <cdr:cNvPr id="164" name="ZoneTexte 1"/>
          <cdr:cNvSpPr txBox="1"/>
        </cdr:nvSpPr>
        <cdr:spPr>
          <a:xfrm xmlns:a="http://schemas.openxmlformats.org/drawingml/2006/main">
            <a:off x="0" y="2831567"/>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F7ECE0E-DFFB-4CCC-815F-492DE8D0C1E8}" type="TxLink">
              <a:rPr lang="en-US" sz="1050" b="1" i="0" u="none" strike="noStrike">
                <a:solidFill>
                  <a:srgbClr val="000000"/>
                </a:solidFill>
                <a:latin typeface="+mn-lt"/>
                <a:cs typeface="Calibri"/>
              </a:rPr>
              <a:pPr algn="l"/>
              <a:t>0</a:t>
            </a:fld>
            <a:endParaRPr lang="fr-FR" sz="1050" b="1">
              <a:latin typeface="+mn-lt"/>
            </a:endParaRPr>
          </a:p>
        </cdr:txBody>
      </cdr:sp>
      <cdr:sp macro="" textlink="Calculs!$Y$183">
        <cdr:nvSpPr>
          <cdr:cNvPr id="165" name="ZoneTexte 1"/>
          <cdr:cNvSpPr txBox="1"/>
        </cdr:nvSpPr>
        <cdr:spPr>
          <a:xfrm xmlns:a="http://schemas.openxmlformats.org/drawingml/2006/main">
            <a:off x="0" y="3032805"/>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D62A2E1-41BB-4E25-955A-C3210EC25F3F}" type="TxLink">
              <a:rPr lang="en-US" sz="1050" b="1" i="0" u="none" strike="noStrike">
                <a:solidFill>
                  <a:srgbClr val="000000"/>
                </a:solidFill>
                <a:latin typeface="+mn-lt"/>
                <a:cs typeface="Calibri"/>
              </a:rPr>
              <a:pPr algn="l"/>
              <a:t>2</a:t>
            </a:fld>
            <a:endParaRPr lang="fr-FR" sz="1050" b="1">
              <a:latin typeface="+mn-lt"/>
            </a:endParaRPr>
          </a:p>
        </cdr:txBody>
      </cdr:sp>
      <cdr:sp macro="" textlink="Calculs!$Y$184">
        <cdr:nvSpPr>
          <cdr:cNvPr id="166" name="ZoneTexte 1"/>
          <cdr:cNvSpPr txBox="1"/>
        </cdr:nvSpPr>
        <cdr:spPr>
          <a:xfrm xmlns:a="http://schemas.openxmlformats.org/drawingml/2006/main">
            <a:off x="0" y="323404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E19977E-1E41-4868-B3ED-2FABB774A15E}" type="TxLink">
              <a:rPr lang="en-US" sz="1050" b="1" i="0" u="none" strike="noStrike">
                <a:solidFill>
                  <a:srgbClr val="000000"/>
                </a:solidFill>
                <a:latin typeface="+mn-lt"/>
                <a:cs typeface="Calibri"/>
              </a:rPr>
              <a:pPr algn="l"/>
              <a:t>0</a:t>
            </a:fld>
            <a:endParaRPr lang="fr-FR" sz="1050" b="1">
              <a:latin typeface="+mn-lt"/>
            </a:endParaRPr>
          </a:p>
        </cdr:txBody>
      </cdr:sp>
      <cdr:sp macro="" textlink="Calculs!$Y$185">
        <cdr:nvSpPr>
          <cdr:cNvPr id="167" name="ZoneTexte 1"/>
          <cdr:cNvSpPr txBox="1"/>
        </cdr:nvSpPr>
        <cdr:spPr>
          <a:xfrm xmlns:a="http://schemas.openxmlformats.org/drawingml/2006/main">
            <a:off x="0" y="3435282"/>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CE8E4C6-E62F-47FA-B1C4-95549E3BE812}" type="TxLink">
              <a:rPr lang="en-US" sz="1050" b="1" i="0" u="none" strike="noStrike">
                <a:solidFill>
                  <a:srgbClr val="000000"/>
                </a:solidFill>
                <a:latin typeface="+mn-lt"/>
                <a:cs typeface="Calibri"/>
              </a:rPr>
              <a:pPr algn="l"/>
              <a:t>106</a:t>
            </a:fld>
            <a:endParaRPr lang="fr-FR" sz="1050" b="1">
              <a:latin typeface="+mn-lt"/>
            </a:endParaRPr>
          </a:p>
        </cdr:txBody>
      </cdr:sp>
      <cdr:sp macro="" textlink="Calculs!$Y$186">
        <cdr:nvSpPr>
          <cdr:cNvPr id="168" name="ZoneTexte 1"/>
          <cdr:cNvSpPr txBox="1"/>
        </cdr:nvSpPr>
        <cdr:spPr>
          <a:xfrm xmlns:a="http://schemas.openxmlformats.org/drawingml/2006/main">
            <a:off x="0" y="3636520"/>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B0FE31F-F761-49E3-920C-F5704DFF5EA1}" type="TxLink">
              <a:rPr lang="en-US" sz="1050" b="1" i="0" u="none" strike="noStrike">
                <a:solidFill>
                  <a:srgbClr val="000000"/>
                </a:solidFill>
                <a:latin typeface="+mn-lt"/>
                <a:cs typeface="Calibri"/>
              </a:rPr>
              <a:pPr algn="l"/>
              <a:t>18</a:t>
            </a:fld>
            <a:endParaRPr lang="fr-FR" sz="1050" b="1">
              <a:latin typeface="+mn-lt"/>
            </a:endParaRPr>
          </a:p>
        </cdr:txBody>
      </cdr:sp>
      <cdr:sp macro="" textlink="Calculs!$Y$189">
        <cdr:nvSpPr>
          <cdr:cNvPr id="169" name="ZoneTexte 1"/>
          <cdr:cNvSpPr txBox="1"/>
        </cdr:nvSpPr>
        <cdr:spPr>
          <a:xfrm xmlns:a="http://schemas.openxmlformats.org/drawingml/2006/main">
            <a:off x="0" y="4240234"/>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9B3153F-4F70-4CA7-AD24-B546B3B7F90C}" type="TxLink">
              <a:rPr lang="en-US" sz="1050" b="1" i="0" u="none" strike="noStrike">
                <a:solidFill>
                  <a:srgbClr val="000000"/>
                </a:solidFill>
                <a:latin typeface="+mn-lt"/>
                <a:cs typeface="Calibri"/>
              </a:rPr>
              <a:pPr algn="l"/>
              <a:t>ND</a:t>
            </a:fld>
            <a:endParaRPr lang="fr-FR" sz="1050" b="1">
              <a:latin typeface="+mn-lt"/>
            </a:endParaRPr>
          </a:p>
        </cdr:txBody>
      </cdr:sp>
      <cdr:sp macro="" textlink="Calculs!$Y$192">
        <cdr:nvSpPr>
          <cdr:cNvPr id="170" name="ZoneTexte 1"/>
          <cdr:cNvSpPr txBox="1"/>
        </cdr:nvSpPr>
        <cdr:spPr>
          <a:xfrm xmlns:a="http://schemas.openxmlformats.org/drawingml/2006/main">
            <a:off x="0" y="484394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80839A8-726F-4AFB-9455-0135CA18FBE4}" type="TxLink">
              <a:rPr lang="en-US" sz="1050" b="1" i="0" u="none" strike="noStrike">
                <a:solidFill>
                  <a:srgbClr val="000000"/>
                </a:solidFill>
                <a:latin typeface="+mn-lt"/>
                <a:cs typeface="Calibri"/>
              </a:rPr>
              <a:pPr algn="l"/>
              <a:t>ND</a:t>
            </a:fld>
            <a:endParaRPr lang="fr-FR" sz="1050" b="1">
              <a:latin typeface="+mn-lt"/>
            </a:endParaRPr>
          </a:p>
        </cdr:txBody>
      </cdr:sp>
      <cdr:sp macro="" textlink="Calculs!$Y$193">
        <cdr:nvSpPr>
          <cdr:cNvPr id="171" name="ZoneTexte 1"/>
          <cdr:cNvSpPr txBox="1"/>
        </cdr:nvSpPr>
        <cdr:spPr>
          <a:xfrm xmlns:a="http://schemas.openxmlformats.org/drawingml/2006/main">
            <a:off x="0" y="504518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9CC98FA3-589A-48A1-BE33-7D87BEF45EA6}" type="TxLink">
              <a:rPr lang="en-US" sz="1050" b="1" i="0" u="none" strike="noStrike">
                <a:solidFill>
                  <a:srgbClr val="000000"/>
                </a:solidFill>
                <a:latin typeface="+mn-lt"/>
                <a:cs typeface="Calibri"/>
              </a:rPr>
              <a:pPr marL="0" indent="0" algn="l"/>
              <a:t>0</a:t>
            </a:fld>
            <a:endParaRPr lang="fr-FR" sz="1050" b="1">
              <a:latin typeface="+mn-lt"/>
            </a:endParaRPr>
          </a:p>
        </cdr:txBody>
      </cdr:sp>
      <cdr:sp macro="" textlink="Calculs!$Y$191">
        <cdr:nvSpPr>
          <cdr:cNvPr id="172" name="ZoneTexte 1"/>
          <cdr:cNvSpPr txBox="1"/>
        </cdr:nvSpPr>
        <cdr:spPr>
          <a:xfrm xmlns:a="http://schemas.openxmlformats.org/drawingml/2006/main">
            <a:off x="0" y="4642711"/>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6F8BB1D-C38D-44AC-893B-62BEBC0304F3}" type="TxLink">
              <a:rPr lang="en-US" sz="1050" b="1" i="0" u="none" strike="noStrike">
                <a:solidFill>
                  <a:srgbClr val="000000"/>
                </a:solidFill>
                <a:latin typeface="+mn-lt"/>
                <a:cs typeface="Calibri"/>
              </a:rPr>
              <a:pPr algn="l"/>
              <a:t>0</a:t>
            </a:fld>
            <a:endParaRPr lang="fr-FR" sz="1050" b="1">
              <a:latin typeface="+mn-lt"/>
            </a:endParaRPr>
          </a:p>
        </cdr:txBody>
      </cdr:sp>
      <cdr:sp macro="" textlink="Calculs!$Y$190">
        <cdr:nvSpPr>
          <cdr:cNvPr id="173" name="ZoneTexte 1"/>
          <cdr:cNvSpPr txBox="1"/>
        </cdr:nvSpPr>
        <cdr:spPr>
          <a:xfrm xmlns:a="http://schemas.openxmlformats.org/drawingml/2006/main">
            <a:off x="0" y="444147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41AA428-B4EF-43B7-A9F9-84C52D34981E}" type="TxLink">
              <a:rPr lang="en-US" sz="1050" b="1" i="0" u="none" strike="noStrike">
                <a:solidFill>
                  <a:srgbClr val="000000"/>
                </a:solidFill>
                <a:latin typeface="+mn-lt"/>
                <a:cs typeface="Calibri"/>
              </a:rPr>
              <a:pPr algn="l"/>
              <a:t>0</a:t>
            </a:fld>
            <a:endParaRPr lang="fr-FR" sz="1050" b="1">
              <a:latin typeface="+mn-lt"/>
            </a:endParaRPr>
          </a:p>
        </cdr:txBody>
      </cdr:sp>
      <cdr:sp macro="" textlink="Calculs!$Y$171">
        <cdr:nvSpPr>
          <cdr:cNvPr id="174" name="ZoneTexte 1"/>
          <cdr:cNvSpPr txBox="1"/>
        </cdr:nvSpPr>
        <cdr:spPr>
          <a:xfrm xmlns:a="http://schemas.openxmlformats.org/drawingml/2006/main">
            <a:off x="0" y="617947"/>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3E7F5E8-E620-4629-B716-E67187D9C7F7}" type="TxLink">
              <a:rPr lang="en-US" sz="1050" b="1" i="0" u="none" strike="noStrike">
                <a:solidFill>
                  <a:srgbClr val="000000"/>
                </a:solidFill>
                <a:latin typeface="+mn-lt"/>
                <a:cs typeface="Calibri"/>
              </a:rPr>
              <a:pPr algn="l"/>
              <a:t>0</a:t>
            </a:fld>
            <a:endParaRPr lang="fr-FR" sz="1050" b="1">
              <a:latin typeface="+mn-lt"/>
            </a:endParaRPr>
          </a:p>
        </cdr:txBody>
      </cdr:sp>
      <cdr:sp macro="" textlink="Calculs!$Y$173">
        <cdr:nvSpPr>
          <cdr:cNvPr id="175" name="ZoneTexte 1"/>
          <cdr:cNvSpPr txBox="1"/>
        </cdr:nvSpPr>
        <cdr:spPr>
          <a:xfrm xmlns:a="http://schemas.openxmlformats.org/drawingml/2006/main">
            <a:off x="0" y="1020423"/>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E1B87F8-14CA-4569-86A2-0B6337129EC1}" type="TxLink">
              <a:rPr lang="en-US" sz="1050" b="1" i="0" u="none" strike="noStrike">
                <a:solidFill>
                  <a:srgbClr val="000000"/>
                </a:solidFill>
                <a:latin typeface="+mn-lt"/>
                <a:cs typeface="Calibri"/>
              </a:rPr>
              <a:pPr algn="l"/>
              <a:t>0</a:t>
            </a:fld>
            <a:endParaRPr lang="fr-FR" sz="1050" b="1">
              <a:latin typeface="+mn-lt"/>
            </a:endParaRPr>
          </a:p>
        </cdr:txBody>
      </cdr:sp>
      <cdr:sp macro="" textlink="Calculs!$Y$175">
        <cdr:nvSpPr>
          <cdr:cNvPr id="176" name="ZoneTexte 1"/>
          <cdr:cNvSpPr txBox="1"/>
        </cdr:nvSpPr>
        <cdr:spPr>
          <a:xfrm xmlns:a="http://schemas.openxmlformats.org/drawingml/2006/main">
            <a:off x="0" y="142289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0126A41-03B7-45F0-AE66-0735A872723C}" type="TxLink">
              <a:rPr lang="en-US" sz="1050" b="1" i="0" u="none" strike="noStrike">
                <a:solidFill>
                  <a:srgbClr val="000000"/>
                </a:solidFill>
                <a:latin typeface="+mn-lt"/>
                <a:cs typeface="Calibri"/>
              </a:rPr>
              <a:pPr algn="l"/>
              <a:t>0</a:t>
            </a:fld>
            <a:endParaRPr lang="fr-FR" sz="1050" b="1">
              <a:latin typeface="+mn-lt"/>
            </a:endParaRPr>
          </a:p>
        </cdr:txBody>
      </cdr:sp>
      <cdr:sp macro="" textlink="Calculs!$Y$178">
        <cdr:nvSpPr>
          <cdr:cNvPr id="177" name="ZoneTexte 1"/>
          <cdr:cNvSpPr txBox="1"/>
        </cdr:nvSpPr>
        <cdr:spPr>
          <a:xfrm xmlns:a="http://schemas.openxmlformats.org/drawingml/2006/main">
            <a:off x="0" y="2026614"/>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90ACC60-803C-43A1-991D-BF8CC6F4C048}" type="TxLink">
              <a:rPr lang="en-US" sz="1050" b="1" i="0" u="none" strike="noStrike">
                <a:solidFill>
                  <a:srgbClr val="000000"/>
                </a:solidFill>
                <a:latin typeface="+mn-lt"/>
                <a:cs typeface="Calibri"/>
              </a:rPr>
              <a:pPr algn="l"/>
              <a:t>0</a:t>
            </a:fld>
            <a:endParaRPr lang="fr-FR" sz="1050" b="1">
              <a:latin typeface="+mn-lt"/>
            </a:endParaRPr>
          </a:p>
        </cdr:txBody>
      </cdr:sp>
      <cdr:sp macro="" textlink="Calculs!$Y$181">
        <cdr:nvSpPr>
          <cdr:cNvPr id="178" name="ZoneTexte 1"/>
          <cdr:cNvSpPr txBox="1"/>
        </cdr:nvSpPr>
        <cdr:spPr>
          <a:xfrm xmlns:a="http://schemas.openxmlformats.org/drawingml/2006/main">
            <a:off x="0" y="2630329"/>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F18BFF1-1473-4A81-86C3-B9EA74FD161B}" type="TxLink">
              <a:rPr lang="en-US" sz="1050" b="1" i="0" u="none" strike="noStrike">
                <a:solidFill>
                  <a:srgbClr val="000000"/>
                </a:solidFill>
                <a:latin typeface="+mn-lt"/>
                <a:cs typeface="Calibri"/>
              </a:rPr>
              <a:pPr algn="l"/>
              <a:t>0</a:t>
            </a:fld>
            <a:endParaRPr lang="fr-FR" sz="1050" b="1">
              <a:latin typeface="+mn-lt"/>
            </a:endParaRPr>
          </a:p>
        </cdr:txBody>
      </cdr:sp>
      <cdr:sp macro="" textlink="Calculs!$Y$187">
        <cdr:nvSpPr>
          <cdr:cNvPr id="179" name="ZoneTexte 1"/>
          <cdr:cNvSpPr txBox="1"/>
        </cdr:nvSpPr>
        <cdr:spPr>
          <a:xfrm xmlns:a="http://schemas.openxmlformats.org/drawingml/2006/main">
            <a:off x="0" y="3837758"/>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361234B-2E8A-4875-AA64-644F3DFBB423}" type="TxLink">
              <a:rPr lang="en-US" sz="1050" b="1" i="0" u="none" strike="noStrike">
                <a:solidFill>
                  <a:srgbClr val="000000"/>
                </a:solidFill>
                <a:latin typeface="+mn-lt"/>
                <a:cs typeface="Calibri"/>
              </a:rPr>
              <a:pPr algn="l"/>
              <a:t>0</a:t>
            </a:fld>
            <a:endParaRPr lang="fr-FR" sz="1050" b="1">
              <a:latin typeface="+mn-lt"/>
            </a:endParaRPr>
          </a:p>
        </cdr:txBody>
      </cdr:sp>
      <cdr:sp macro="" textlink="Calculs!$Y$188">
        <cdr:nvSpPr>
          <cdr:cNvPr id="180" name="ZoneTexte 1"/>
          <cdr:cNvSpPr txBox="1"/>
        </cdr:nvSpPr>
        <cdr:spPr>
          <a:xfrm xmlns:a="http://schemas.openxmlformats.org/drawingml/2006/main">
            <a:off x="0" y="4038996"/>
            <a:ext cx="647998" cy="147919"/>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F5BB700-7B25-442E-A2B0-AEB0C978BCC0}" type="TxLink">
              <a:rPr lang="en-US" sz="1050" b="1" i="0" u="none" strike="noStrike">
                <a:solidFill>
                  <a:srgbClr val="000000"/>
                </a:solidFill>
                <a:latin typeface="+mn-lt"/>
                <a:cs typeface="Calibri"/>
              </a:rPr>
              <a:pPr algn="l"/>
              <a:t>0</a:t>
            </a:fld>
            <a:endParaRPr lang="fr-FR" sz="1050" b="1">
              <a:latin typeface="+mn-lt"/>
            </a:endParaRPr>
          </a:p>
        </cdr:txBody>
      </cdr:sp>
    </cdr:grpSp>
  </cdr:relSizeAnchor>
  <cdr:relSizeAnchor xmlns:cdr="http://schemas.openxmlformats.org/drawingml/2006/chartDrawing">
    <cdr:from>
      <cdr:x>0.94656</cdr:x>
      <cdr:y>0.18791</cdr:y>
    </cdr:from>
    <cdr:to>
      <cdr:x>1</cdr:x>
      <cdr:y>0.93979</cdr:y>
    </cdr:to>
    <cdr:grpSp>
      <cdr:nvGrpSpPr>
        <cdr:cNvPr id="106" name="Groupe 105"/>
        <cdr:cNvGrpSpPr/>
      </cdr:nvGrpSpPr>
      <cdr:grpSpPr>
        <a:xfrm xmlns:a="http://schemas.openxmlformats.org/drawingml/2006/main">
          <a:off x="9620585" y="1292898"/>
          <a:ext cx="543150" cy="5173244"/>
          <a:chOff x="476266" y="0"/>
          <a:chExt cx="540066" cy="5156371"/>
        </a:xfrm>
      </cdr:grpSpPr>
      <cdr:sp macro="" textlink="Calculs!$Y$226">
        <cdr:nvSpPr>
          <cdr:cNvPr id="110" name="ZoneTexte 1"/>
          <cdr:cNvSpPr txBox="1"/>
        </cdr:nvSpPr>
        <cdr:spPr>
          <a:xfrm xmlns:a="http://schemas.openxmlformats.org/drawingml/2006/main">
            <a:off x="476266" y="80140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FA14A3F-1E58-4EBD-B387-BC78707C03CF}"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4">
        <cdr:nvSpPr>
          <cdr:cNvPr id="111" name="ZoneTexte 1"/>
          <cdr:cNvSpPr txBox="1"/>
        </cdr:nvSpPr>
        <cdr:spPr>
          <a:xfrm xmlns:a="http://schemas.openxmlformats.org/drawingml/2006/main">
            <a:off x="476266" y="40070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CFF03C2-8241-48A5-B7AE-5C8B99B56EF9}"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3">
        <cdr:nvSpPr>
          <cdr:cNvPr id="112" name="ZoneTexte 1"/>
          <cdr:cNvSpPr txBox="1"/>
        </cdr:nvSpPr>
        <cdr:spPr>
          <a:xfrm xmlns:a="http://schemas.openxmlformats.org/drawingml/2006/main">
            <a:off x="476266" y="20035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3DB0678-EDA8-4443-A476-3AC97201C7A7}"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2">
        <cdr:nvSpPr>
          <cdr:cNvPr id="113" name="ZoneTexte 1"/>
          <cdr:cNvSpPr txBox="1"/>
        </cdr:nvSpPr>
        <cdr:spPr>
          <a:xfrm xmlns:a="http://schemas.openxmlformats.org/drawingml/2006/main">
            <a:off x="476266" y="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5F6AE52-D15A-4243-B3D3-EDEE8E8A0480}"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8">
        <cdr:nvSpPr>
          <cdr:cNvPr id="114" name="ZoneTexte 1"/>
          <cdr:cNvSpPr txBox="1"/>
        </cdr:nvSpPr>
        <cdr:spPr>
          <a:xfrm xmlns:a="http://schemas.openxmlformats.org/drawingml/2006/main">
            <a:off x="476266" y="120210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14378FE-06B1-47FC-85AC-AB456B2FA0F5}"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0">
        <cdr:nvSpPr>
          <cdr:cNvPr id="115" name="ZoneTexte 1"/>
          <cdr:cNvSpPr txBox="1"/>
        </cdr:nvSpPr>
        <cdr:spPr>
          <a:xfrm xmlns:a="http://schemas.openxmlformats.org/drawingml/2006/main">
            <a:off x="476266" y="160280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0395F0E-9C33-4AFF-A279-B6375E3C46B7}"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3">
        <cdr:nvSpPr>
          <cdr:cNvPr id="116" name="ZoneTexte 1"/>
          <cdr:cNvSpPr txBox="1"/>
        </cdr:nvSpPr>
        <cdr:spPr>
          <a:xfrm xmlns:a="http://schemas.openxmlformats.org/drawingml/2006/main">
            <a:off x="476266" y="220386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06140F8-FD0C-4A38-9330-A25E61A5516C}"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4">
        <cdr:nvSpPr>
          <cdr:cNvPr id="117" name="ZoneTexte 1"/>
          <cdr:cNvSpPr txBox="1"/>
        </cdr:nvSpPr>
        <cdr:spPr>
          <a:xfrm xmlns:a="http://schemas.openxmlformats.org/drawingml/2006/main">
            <a:off x="476266" y="240421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0F64CF5-2076-41EB-8F25-48D2FE6D42E0}"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6">
        <cdr:nvSpPr>
          <cdr:cNvPr id="136" name="ZoneTexte 1"/>
          <cdr:cNvSpPr txBox="1"/>
        </cdr:nvSpPr>
        <cdr:spPr>
          <a:xfrm xmlns:a="http://schemas.openxmlformats.org/drawingml/2006/main">
            <a:off x="476266" y="280491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7CDD54E-9BC6-43CB-8ABC-71B366D2BA21}"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7">
        <cdr:nvSpPr>
          <cdr:cNvPr id="137" name="ZoneTexte 1"/>
          <cdr:cNvSpPr txBox="1"/>
        </cdr:nvSpPr>
        <cdr:spPr>
          <a:xfrm xmlns:a="http://schemas.openxmlformats.org/drawingml/2006/main">
            <a:off x="476266" y="3005265"/>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D892ADF-0F23-4667-B327-C6317F578197}"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8">
        <cdr:nvSpPr>
          <cdr:cNvPr id="138" name="ZoneTexte 1"/>
          <cdr:cNvSpPr txBox="1"/>
        </cdr:nvSpPr>
        <cdr:spPr>
          <a:xfrm xmlns:a="http://schemas.openxmlformats.org/drawingml/2006/main">
            <a:off x="476266" y="320561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AFBF0B0-984E-4D5E-BF94-5F38AB994741}"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9">
        <cdr:nvSpPr>
          <cdr:cNvPr id="139" name="ZoneTexte 1"/>
          <cdr:cNvSpPr txBox="1"/>
        </cdr:nvSpPr>
        <cdr:spPr>
          <a:xfrm xmlns:a="http://schemas.openxmlformats.org/drawingml/2006/main">
            <a:off x="476266" y="3405967"/>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074244A-CCD6-4DFF-98FB-645BF30E24D6}"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42">
        <cdr:nvSpPr>
          <cdr:cNvPr id="140" name="ZoneTexte 1"/>
          <cdr:cNvSpPr txBox="1"/>
        </cdr:nvSpPr>
        <cdr:spPr>
          <a:xfrm xmlns:a="http://schemas.openxmlformats.org/drawingml/2006/main">
            <a:off x="476266" y="400702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2423099-B305-4151-A597-D7BD5DD2FF23}"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43">
        <cdr:nvSpPr>
          <cdr:cNvPr id="141" name="ZoneTexte 1"/>
          <cdr:cNvSpPr txBox="1"/>
        </cdr:nvSpPr>
        <cdr:spPr>
          <a:xfrm xmlns:a="http://schemas.openxmlformats.org/drawingml/2006/main">
            <a:off x="476266" y="420737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7ECA17C-D901-405B-8709-5DE55AFCCE7F}"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46">
        <cdr:nvSpPr>
          <cdr:cNvPr id="142" name="ZoneTexte 1"/>
          <cdr:cNvSpPr txBox="1"/>
        </cdr:nvSpPr>
        <cdr:spPr>
          <a:xfrm xmlns:a="http://schemas.openxmlformats.org/drawingml/2006/main">
            <a:off x="476266" y="480842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5530D34-D3FB-4757-BB72-6D87932DED18}"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47">
        <cdr:nvSpPr>
          <cdr:cNvPr id="143" name="ZoneTexte 1"/>
          <cdr:cNvSpPr txBox="1"/>
        </cdr:nvSpPr>
        <cdr:spPr>
          <a:xfrm xmlns:a="http://schemas.openxmlformats.org/drawingml/2006/main">
            <a:off x="476266" y="500877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A6AF6AF-CAE7-47F5-B717-41C744083AF7}"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45">
        <cdr:nvSpPr>
          <cdr:cNvPr id="144" name="ZoneTexte 1"/>
          <cdr:cNvSpPr txBox="1"/>
        </cdr:nvSpPr>
        <cdr:spPr>
          <a:xfrm xmlns:a="http://schemas.openxmlformats.org/drawingml/2006/main">
            <a:off x="476266" y="460807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D9F8763-EA11-4A6F-870E-4DDCF8C52DF9}"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44">
        <cdr:nvSpPr>
          <cdr:cNvPr id="145" name="ZoneTexte 1"/>
          <cdr:cNvSpPr txBox="1"/>
        </cdr:nvSpPr>
        <cdr:spPr>
          <a:xfrm xmlns:a="http://schemas.openxmlformats.org/drawingml/2006/main">
            <a:off x="476266" y="440772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D016D2B-2193-40A0-AD0D-56527AD94912}"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1">
        <cdr:nvSpPr>
          <cdr:cNvPr id="146" name="ZoneTexte 1"/>
          <cdr:cNvSpPr txBox="1"/>
        </cdr:nvSpPr>
        <cdr:spPr>
          <a:xfrm xmlns:a="http://schemas.openxmlformats.org/drawingml/2006/main">
            <a:off x="476266" y="180315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0D702214-1E72-424E-84F2-7846397A2DF1}"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40">
        <cdr:nvSpPr>
          <cdr:cNvPr id="147" name="ZoneTexte 1"/>
          <cdr:cNvSpPr txBox="1"/>
        </cdr:nvSpPr>
        <cdr:spPr>
          <a:xfrm xmlns:a="http://schemas.openxmlformats.org/drawingml/2006/main">
            <a:off x="476266" y="360631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382203A-7BB4-4F0E-9D26-A5C621659F52}"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5">
        <cdr:nvSpPr>
          <cdr:cNvPr id="148" name="ZoneTexte 1"/>
          <cdr:cNvSpPr txBox="1"/>
        </cdr:nvSpPr>
        <cdr:spPr>
          <a:xfrm xmlns:a="http://schemas.openxmlformats.org/drawingml/2006/main">
            <a:off x="476266" y="60105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19E767E-17CF-4D09-80A4-EEA4D3221C08}"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7">
        <cdr:nvSpPr>
          <cdr:cNvPr id="149" name="ZoneTexte 1"/>
          <cdr:cNvSpPr txBox="1"/>
        </cdr:nvSpPr>
        <cdr:spPr>
          <a:xfrm xmlns:a="http://schemas.openxmlformats.org/drawingml/2006/main">
            <a:off x="476266" y="1001755"/>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C80BF6B-9370-40B8-8849-48CBA4B9E7AE}"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29">
        <cdr:nvSpPr>
          <cdr:cNvPr id="150" name="ZoneTexte 1"/>
          <cdr:cNvSpPr txBox="1"/>
        </cdr:nvSpPr>
        <cdr:spPr>
          <a:xfrm xmlns:a="http://schemas.openxmlformats.org/drawingml/2006/main">
            <a:off x="476266" y="1402457"/>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49269EB-6B71-4557-B583-A38E67A0D69D}"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2">
        <cdr:nvSpPr>
          <cdr:cNvPr id="151" name="ZoneTexte 1"/>
          <cdr:cNvSpPr txBox="1"/>
        </cdr:nvSpPr>
        <cdr:spPr>
          <a:xfrm xmlns:a="http://schemas.openxmlformats.org/drawingml/2006/main">
            <a:off x="476266" y="200351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29890FB-7BFB-40CA-A426-2A4C18818281}"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41">
        <cdr:nvSpPr>
          <cdr:cNvPr id="152" name="ZoneTexte 1"/>
          <cdr:cNvSpPr txBox="1"/>
        </cdr:nvSpPr>
        <cdr:spPr>
          <a:xfrm xmlns:a="http://schemas.openxmlformats.org/drawingml/2006/main">
            <a:off x="476266" y="3806669"/>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99B92F1-74D1-4D75-9372-2947DEB0C40A}" type="TxLink">
              <a:rPr lang="en-US" sz="1050" b="1" i="0" u="none" strike="noStrike">
                <a:solidFill>
                  <a:srgbClr val="000000"/>
                </a:solidFill>
                <a:latin typeface="+mn-lt"/>
                <a:cs typeface="Calibri"/>
              </a:rPr>
              <a:pPr algn="l"/>
              <a:t>ND</a:t>
            </a:fld>
            <a:endParaRPr lang="fr-FR" sz="1050" b="1">
              <a:latin typeface="+mn-lt"/>
            </a:endParaRPr>
          </a:p>
        </cdr:txBody>
      </cdr:sp>
      <cdr:sp macro="" textlink="Calculs!$Y$235">
        <cdr:nvSpPr>
          <cdr:cNvPr id="153" name="ZoneTexte 1"/>
          <cdr:cNvSpPr txBox="1"/>
        </cdr:nvSpPr>
        <cdr:spPr>
          <a:xfrm xmlns:a="http://schemas.openxmlformats.org/drawingml/2006/main">
            <a:off x="476266" y="2604563"/>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FB47226-F13C-4B6E-BC0A-D1591591584C}" type="TxLink">
              <a:rPr lang="en-US" sz="1050" b="1" i="0" u="none" strike="noStrike">
                <a:solidFill>
                  <a:srgbClr val="000000"/>
                </a:solidFill>
                <a:latin typeface="+mn-lt"/>
                <a:cs typeface="Calibri"/>
              </a:rPr>
              <a:pPr algn="l"/>
              <a:t>ND</a:t>
            </a:fld>
            <a:endParaRPr lang="fr-FR" sz="1050" b="1">
              <a:latin typeface="+mn-lt"/>
            </a:endParaRPr>
          </a:p>
        </cdr:txBody>
      </cdr:sp>
    </cdr:grpSp>
  </cdr:relSizeAnchor>
  <cdr:relSizeAnchor xmlns:cdr="http://schemas.openxmlformats.org/drawingml/2006/chartDrawing">
    <cdr:from>
      <cdr:x>0.33057</cdr:x>
      <cdr:y>0.10536</cdr:y>
    </cdr:from>
    <cdr:to>
      <cdr:x>0.47693</cdr:x>
      <cdr:y>0.14705</cdr:y>
    </cdr:to>
    <cdr:sp macro="" textlink="'TRAD-visualiz'!$B$7">
      <cdr:nvSpPr>
        <cdr:cNvPr id="73" name="ZoneTexte 6"/>
        <cdr:cNvSpPr txBox="1"/>
      </cdr:nvSpPr>
      <cdr:spPr>
        <a:xfrm xmlns:a="http://schemas.openxmlformats.org/drawingml/2006/main">
          <a:off x="3359792" y="724893"/>
          <a:ext cx="1487565"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99D94BE-29FC-4B8E-A62C-605561159384}" type="TxLink">
            <a:rPr lang="en-US" sz="1050" b="0" i="0" u="none" strike="noStrike">
              <a:solidFill>
                <a:srgbClr val="000000"/>
              </a:solidFill>
              <a:latin typeface="+mn-lt"/>
              <a:cs typeface="Calibri"/>
            </a:rPr>
            <a:pPr/>
            <a:t>Dates de péremption </a:t>
          </a:fld>
          <a:endParaRPr lang="fr-FR" sz="1050" i="1">
            <a:latin typeface="+mn-lt"/>
          </a:endParaRPr>
        </a:p>
      </cdr:txBody>
    </cdr:sp>
  </cdr:relSizeAnchor>
  <cdr:relSizeAnchor xmlns:cdr="http://schemas.openxmlformats.org/drawingml/2006/chartDrawing">
    <cdr:from>
      <cdr:x>0.53309</cdr:x>
      <cdr:y>0.10456</cdr:y>
    </cdr:from>
    <cdr:to>
      <cdr:x>0.85465</cdr:x>
      <cdr:y>0.14705</cdr:y>
    </cdr:to>
    <cdr:sp macro="" textlink="Calculs!$F$500">
      <cdr:nvSpPr>
        <cdr:cNvPr id="74" name="ZoneTexte 1"/>
        <cdr:cNvSpPr txBox="1"/>
      </cdr:nvSpPr>
      <cdr:spPr>
        <a:xfrm xmlns:a="http://schemas.openxmlformats.org/drawingml/2006/main">
          <a:off x="5418150" y="719389"/>
          <a:ext cx="3268251"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B800D375-E163-48B5-865D-CDF0A77CC0FB}"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0.35281</cdr:x>
      <cdr:y>0.03257</cdr:y>
    </cdr:from>
    <cdr:to>
      <cdr:x>0.44278</cdr:x>
      <cdr:y>0.16547</cdr:y>
    </cdr:to>
    <cdr:sp macro="" textlink="">
      <cdr:nvSpPr>
        <cdr:cNvPr id="2" name="ZoneTexte 1"/>
        <cdr:cNvSpPr txBox="1"/>
      </cdr:nvSpPr>
      <cdr:spPr>
        <a:xfrm xmlns:a="http://schemas.openxmlformats.org/drawingml/2006/main">
          <a:off x="3585882" y="22411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050">
            <a:latin typeface="+mn-lt"/>
          </a:endParaRPr>
        </a:p>
      </cdr:txBody>
    </cdr:sp>
  </cdr:relSizeAnchor>
  <cdr:relSizeAnchor xmlns:cdr="http://schemas.openxmlformats.org/drawingml/2006/chartDrawing">
    <cdr:from>
      <cdr:x>0.3054</cdr:x>
      <cdr:y>0</cdr:y>
    </cdr:from>
    <cdr:to>
      <cdr:x>0.39537</cdr:x>
      <cdr:y>0.05212</cdr:y>
    </cdr:to>
    <cdr:sp macro="" textlink="'TRAD-visualiz'!$B$11">
      <cdr:nvSpPr>
        <cdr:cNvPr id="3" name="ZoneTexte 2"/>
        <cdr:cNvSpPr txBox="1"/>
      </cdr:nvSpPr>
      <cdr:spPr>
        <a:xfrm xmlns:a="http://schemas.openxmlformats.org/drawingml/2006/main">
          <a:off x="3104020" y="-33618"/>
          <a:ext cx="914431" cy="3585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03CF594-653E-41A4-841E-3064CDA1DCA4}" type="TxLink">
            <a:rPr lang="fr-FR" sz="1800" b="1" i="0" u="none" strike="noStrike">
              <a:solidFill>
                <a:srgbClr val="FF0000"/>
              </a:solidFill>
              <a:latin typeface="+mn-lt"/>
              <a:cs typeface="Arial" pitchFamily="34" charset="0"/>
            </a:rPr>
            <a:pPr/>
            <a:t> Comprimés - Formes simples</a:t>
          </a:fld>
          <a:endParaRPr lang="fr-FR" sz="1800" b="1">
            <a:solidFill>
              <a:srgbClr val="FF0000"/>
            </a:solidFill>
            <a:latin typeface="+mn-lt"/>
            <a:cs typeface="Arial" pitchFamily="34" charset="0"/>
          </a:endParaRPr>
        </a:p>
      </cdr:txBody>
    </cdr:sp>
  </cdr:relSizeAnchor>
  <cdr:relSizeAnchor xmlns:cdr="http://schemas.openxmlformats.org/drawingml/2006/chartDrawing">
    <cdr:from>
      <cdr:x>0.8524</cdr:x>
      <cdr:y>0.00575</cdr:y>
    </cdr:from>
    <cdr:to>
      <cdr:x>1</cdr:x>
      <cdr:y>0.10462</cdr:y>
    </cdr:to>
    <cdr:pic>
      <cdr:nvPicPr>
        <cdr:cNvPr id="77" name="Image 76"/>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39594"/>
          <a:ext cx="1500187" cy="680245"/>
        </a:xfrm>
        <a:prstGeom xmlns:a="http://schemas.openxmlformats.org/drawingml/2006/main" prst="rect">
          <a:avLst/>
        </a:prstGeom>
      </cdr:spPr>
    </cdr:pic>
  </cdr:relSizeAnchor>
</c:userShapes>
</file>

<file path=xl/drawings/drawing29.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13</xdr:col>
      <xdr:colOff>157841</xdr:colOff>
      <xdr:row>5</xdr:row>
      <xdr:rowOff>28302</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53625" y="171450"/>
          <a:ext cx="1700891" cy="771252"/>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0.01718</cdr:x>
      <cdr:y>0.07465</cdr:y>
    </cdr:from>
    <cdr:to>
      <cdr:x>0.24676</cdr:x>
      <cdr:y>0.11139</cdr:y>
    </cdr:to>
    <cdr:sp macro="" textlink="'TRAD-visualiz'!$B$4">
      <cdr:nvSpPr>
        <cdr:cNvPr id="7" name="ZoneTexte 6"/>
        <cdr:cNvSpPr txBox="1"/>
      </cdr:nvSpPr>
      <cdr:spPr>
        <a:xfrm xmlns:a="http://schemas.openxmlformats.org/drawingml/2006/main">
          <a:off x="173644" y="511921"/>
          <a:ext cx="2320141" cy="2520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0B16594A-59E3-4681-AA30-C73B2772FEAA}"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0.01718</cdr:x>
      <cdr:y>0.04248</cdr:y>
    </cdr:from>
    <cdr:to>
      <cdr:x>0.19294</cdr:x>
      <cdr:y>0.07353</cdr:y>
    </cdr:to>
    <cdr:sp macro="" textlink="'TRAD-visualiz'!$B$3">
      <cdr:nvSpPr>
        <cdr:cNvPr id="9" name="ZoneTexte 1"/>
        <cdr:cNvSpPr txBox="1"/>
      </cdr:nvSpPr>
      <cdr:spPr>
        <a:xfrm xmlns:a="http://schemas.openxmlformats.org/drawingml/2006/main">
          <a:off x="173622" y="291328"/>
          <a:ext cx="1776202" cy="2129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8105310-93F2-4D85-A8AB-8799CB08EE3E}"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0.17861</cdr:x>
      <cdr:y>0.03922</cdr:y>
    </cdr:from>
    <cdr:to>
      <cdr:x>0.28201</cdr:x>
      <cdr:y>0.0776</cdr:y>
    </cdr:to>
    <cdr:sp macro="" textlink="Paramétrage!$D$11">
      <cdr:nvSpPr>
        <cdr:cNvPr id="10" name="ZoneTexte 1"/>
        <cdr:cNvSpPr txBox="1"/>
      </cdr:nvSpPr>
      <cdr:spPr>
        <a:xfrm xmlns:a="http://schemas.openxmlformats.org/drawingml/2006/main">
          <a:off x="1815364" y="269859"/>
          <a:ext cx="1050930" cy="2640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mn-lt"/>
              <a:cs typeface="Calibri"/>
            </a:rPr>
            <a:pPr/>
            <a:t>TEST</a:t>
          </a:fld>
          <a:endParaRPr lang="fr-FR" sz="1050" b="1" i="1">
            <a:latin typeface="+mn-lt"/>
          </a:endParaRPr>
        </a:p>
      </cdr:txBody>
    </cdr:sp>
  </cdr:relSizeAnchor>
  <cdr:relSizeAnchor xmlns:cdr="http://schemas.openxmlformats.org/drawingml/2006/chartDrawing">
    <cdr:from>
      <cdr:x>0.86489</cdr:x>
      <cdr:y>0.09151</cdr:y>
    </cdr:from>
    <cdr:to>
      <cdr:x>0.99684</cdr:x>
      <cdr:y>0.17157</cdr:y>
    </cdr:to>
    <cdr:sp macro="" textlink="">
      <cdr:nvSpPr>
        <cdr:cNvPr id="12" name="ZoneTexte 11"/>
        <cdr:cNvSpPr txBox="1"/>
      </cdr:nvSpPr>
      <cdr:spPr>
        <a:xfrm xmlns:a="http://schemas.openxmlformats.org/drawingml/2006/main">
          <a:off x="8740588" y="627576"/>
          <a:ext cx="1333502"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fr-FR" sz="1050" i="1">
              <a:latin typeface="+mn-lt"/>
            </a:rPr>
            <a:t>Nb de patients concernés</a:t>
          </a:r>
          <a:r>
            <a:rPr lang="fr-FR" sz="1050" i="1" baseline="0">
              <a:latin typeface="+mn-lt"/>
            </a:rPr>
            <a:t> / mois</a:t>
          </a:r>
        </a:p>
        <a:p xmlns:a="http://schemas.openxmlformats.org/drawingml/2006/main">
          <a:pPr algn="ctr"/>
          <a:endParaRPr lang="fr-FR" sz="1050" i="1" baseline="0">
            <a:latin typeface="+mn-lt"/>
          </a:endParaRPr>
        </a:p>
        <a:p xmlns:a="http://schemas.openxmlformats.org/drawingml/2006/main">
          <a:pPr algn="l"/>
          <a:r>
            <a:rPr lang="fr-FR" sz="1050" b="1" baseline="0">
              <a:latin typeface="+mn-lt"/>
            </a:rPr>
            <a:t>      Actuel </a:t>
          </a:r>
          <a:r>
            <a:rPr lang="fr-FR" sz="1050" baseline="0">
              <a:latin typeface="+mn-lt"/>
            </a:rPr>
            <a:t>    </a:t>
          </a:r>
          <a:r>
            <a:rPr lang="fr-FR" sz="1050" b="1" baseline="0">
              <a:latin typeface="+mn-lt"/>
            </a:rPr>
            <a:t>Nvx</a:t>
          </a:r>
          <a:endParaRPr lang="fr-FR" sz="105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50">
              <a:latin typeface="+mn-lt"/>
            </a:rPr>
            <a:pPr/>
            <a:t> </a:t>
          </a:fld>
          <a:endParaRPr lang="fr-FR" sz="1050">
            <a:latin typeface="+mn-lt"/>
          </a:endParaRPr>
        </a:p>
      </cdr:txBody>
    </cdr:sp>
  </cdr:relSizeAnchor>
  <cdr:relSizeAnchor xmlns:cdr="http://schemas.openxmlformats.org/drawingml/2006/chartDrawing">
    <cdr:from>
      <cdr:x>0.35108</cdr:x>
      <cdr:y>0.07417</cdr:y>
    </cdr:from>
    <cdr:to>
      <cdr:x>0.54069</cdr:x>
      <cdr:y>0.11587</cdr:y>
    </cdr:to>
    <cdr:sp macro="" textlink="'TRAD-visualiz'!$B$6">
      <cdr:nvSpPr>
        <cdr:cNvPr id="119" name="ZoneTexte 6"/>
        <cdr:cNvSpPr txBox="1"/>
      </cdr:nvSpPr>
      <cdr:spPr>
        <a:xfrm xmlns:a="http://schemas.openxmlformats.org/drawingml/2006/main">
          <a:off x="3568330" y="510354"/>
          <a:ext cx="1927146" cy="286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F6780D7-BB7A-4B6D-BE0D-5289596933E3}" type="TxLink">
            <a:rPr lang="en-US" sz="1050" b="0" i="0" u="none" strike="noStrike">
              <a:solidFill>
                <a:srgbClr val="000000"/>
              </a:solidFill>
              <a:latin typeface="+mn-lt"/>
              <a:cs typeface="Calibri"/>
            </a:rPr>
            <a:pPr/>
            <a:t>Nature des stocks considérés </a:t>
          </a:fld>
          <a:endParaRPr lang="fr-FR" sz="1050" i="1">
            <a:latin typeface="+mn-lt"/>
          </a:endParaRPr>
        </a:p>
      </cdr:txBody>
    </cdr:sp>
  </cdr:relSizeAnchor>
  <cdr:relSizeAnchor xmlns:cdr="http://schemas.openxmlformats.org/drawingml/2006/chartDrawing">
    <cdr:from>
      <cdr:x>0.19846</cdr:x>
      <cdr:y>0.07465</cdr:y>
    </cdr:from>
    <cdr:to>
      <cdr:x>0.34324</cdr:x>
      <cdr:y>0.11139</cdr:y>
    </cdr:to>
    <cdr:sp macro="" textlink="Paramétrage!$H$19">
      <cdr:nvSpPr>
        <cdr:cNvPr id="122" name="ZoneTexte 1"/>
        <cdr:cNvSpPr txBox="1"/>
      </cdr:nvSpPr>
      <cdr:spPr>
        <a:xfrm xmlns:a="http://schemas.openxmlformats.org/drawingml/2006/main">
          <a:off x="2017070" y="513623"/>
          <a:ext cx="1471506" cy="2527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0.57108</cdr:x>
      <cdr:y>0.07278</cdr:y>
    </cdr:from>
    <cdr:to>
      <cdr:x>0.89264</cdr:x>
      <cdr:y>0.11527</cdr:y>
    </cdr:to>
    <cdr:sp macro="" textlink="'Calculs dispo Données FA'!$F$122">
      <cdr:nvSpPr>
        <cdr:cNvPr id="123" name="ZoneTexte 1"/>
        <cdr:cNvSpPr txBox="1"/>
      </cdr:nvSpPr>
      <cdr:spPr>
        <a:xfrm xmlns:a="http://schemas.openxmlformats.org/drawingml/2006/main">
          <a:off x="5804330" y="500757"/>
          <a:ext cx="3268251"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10E6E4C-A42A-4B98-9604-B150B805FF29}" type="TxLink">
            <a:rPr lang="fr-FR" sz="1050" b="1" i="1" u="none" strike="noStrike">
              <a:solidFill>
                <a:srgbClr val="C00000"/>
              </a:solidFill>
              <a:latin typeface="+mn-lt"/>
            </a:rPr>
            <a:pPr/>
            <a:t>Stocks centraux</a:t>
          </a:fld>
          <a:endParaRPr lang="fr-FR" sz="1050" b="1" i="1">
            <a:solidFill>
              <a:srgbClr val="C00000"/>
            </a:solidFill>
            <a:latin typeface="+mn-lt"/>
          </a:endParaRPr>
        </a:p>
      </cdr:txBody>
    </cdr:sp>
  </cdr:relSizeAnchor>
  <cdr:relSizeAnchor xmlns:cdr="http://schemas.openxmlformats.org/drawingml/2006/chartDrawing">
    <cdr:from>
      <cdr:x>0.89594</cdr:x>
      <cdr:y>0.21332</cdr:y>
    </cdr:from>
    <cdr:to>
      <cdr:x>0.96691</cdr:x>
      <cdr:y>0.90553</cdr:y>
    </cdr:to>
    <cdr:grpSp>
      <cdr:nvGrpSpPr>
        <cdr:cNvPr id="40" name="Groupe 39"/>
        <cdr:cNvGrpSpPr/>
      </cdr:nvGrpSpPr>
      <cdr:grpSpPr>
        <a:xfrm xmlns:a="http://schemas.openxmlformats.org/drawingml/2006/main">
          <a:off x="9106097" y="1467729"/>
          <a:ext cx="721320" cy="4762690"/>
          <a:chOff x="8897509" y="1250036"/>
          <a:chExt cx="717225" cy="4747176"/>
        </a:xfrm>
      </cdr:grpSpPr>
      <cdr:sp macro="" textlink="Calculs!$S$195">
        <cdr:nvSpPr>
          <cdr:cNvPr id="11" name="ZoneTexte 10"/>
          <cdr:cNvSpPr txBox="1"/>
        </cdr:nvSpPr>
        <cdr:spPr>
          <a:xfrm xmlns:a="http://schemas.openxmlformats.org/drawingml/2006/main">
            <a:off x="8897509" y="1250036"/>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marL="0" indent="0" algn="l"/>
            <a:fld id="{57D468A7-BD2F-4FE8-A094-3529665239E0}" type="TxLink">
              <a:rPr lang="en-US" sz="1050" b="1" i="0" u="none" strike="noStrike">
                <a:solidFill>
                  <a:sysClr val="windowText" lastClr="000000"/>
                </a:solidFill>
                <a:latin typeface="+mn-lt"/>
                <a:ea typeface="+mn-ea"/>
                <a:cs typeface="+mn-cs"/>
              </a:rPr>
              <a:pPr marL="0" indent="0" algn="l"/>
              <a:t>0</a:t>
            </a:fld>
            <a:endParaRPr lang="fr-FR" sz="1050" b="1">
              <a:solidFill>
                <a:sysClr val="windowText" lastClr="000000"/>
              </a:solidFill>
              <a:latin typeface="+mn-lt"/>
              <a:ea typeface="+mn-ea"/>
              <a:cs typeface="+mn-cs"/>
            </a:endParaRPr>
          </a:p>
        </cdr:txBody>
      </cdr:sp>
      <cdr:sp macro="" textlink="Calculs!$S$202">
        <cdr:nvSpPr>
          <cdr:cNvPr id="15" name="ZoneTexte 1"/>
          <cdr:cNvSpPr txBox="1"/>
        </cdr:nvSpPr>
        <cdr:spPr>
          <a:xfrm xmlns:a="http://schemas.openxmlformats.org/drawingml/2006/main">
            <a:off x="8897509" y="5817189"/>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0DC5ADE-4D74-4913-9DF2-6A0C4CBE86B8}"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01">
        <cdr:nvSpPr>
          <cdr:cNvPr id="16" name="ZoneTexte 1"/>
          <cdr:cNvSpPr txBox="1"/>
        </cdr:nvSpPr>
        <cdr:spPr>
          <a:xfrm xmlns:a="http://schemas.openxmlformats.org/drawingml/2006/main">
            <a:off x="8897509" y="5164776"/>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14A7994-E38F-466C-887E-591CA70EF2B0}"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00">
        <cdr:nvSpPr>
          <cdr:cNvPr id="17" name="ZoneTexte 1"/>
          <cdr:cNvSpPr txBox="1"/>
        </cdr:nvSpPr>
        <cdr:spPr>
          <a:xfrm xmlns:a="http://schemas.openxmlformats.org/drawingml/2006/main">
            <a:off x="8897509" y="4512297"/>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704A8FE-CA4B-4E08-ADB2-B3395C3461CF}"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198">
        <cdr:nvSpPr>
          <cdr:cNvPr id="18" name="ZoneTexte 1"/>
          <cdr:cNvSpPr txBox="1"/>
        </cdr:nvSpPr>
        <cdr:spPr>
          <a:xfrm xmlns:a="http://schemas.openxmlformats.org/drawingml/2006/main">
            <a:off x="8897509" y="3207407"/>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3541D73-72F7-4419-AD58-535BEDD93722}"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197">
        <cdr:nvSpPr>
          <cdr:cNvPr id="19" name="ZoneTexte 1"/>
          <cdr:cNvSpPr txBox="1"/>
        </cdr:nvSpPr>
        <cdr:spPr>
          <a:xfrm xmlns:a="http://schemas.openxmlformats.org/drawingml/2006/main">
            <a:off x="8897509" y="2554996"/>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13354BF-B4F1-4C37-8CEB-7163699D302C}"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196">
        <cdr:nvSpPr>
          <cdr:cNvPr id="125" name="ZoneTexte 1"/>
          <cdr:cNvSpPr txBox="1"/>
        </cdr:nvSpPr>
        <cdr:spPr>
          <a:xfrm xmlns:a="http://schemas.openxmlformats.org/drawingml/2006/main">
            <a:off x="8897509" y="1902516"/>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6933E75-FFF9-446A-908E-547AAFA05170}"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199">
        <cdr:nvSpPr>
          <cdr:cNvPr id="126" name="ZoneTexte 1"/>
          <cdr:cNvSpPr txBox="1"/>
        </cdr:nvSpPr>
        <cdr:spPr>
          <a:xfrm xmlns:a="http://schemas.openxmlformats.org/drawingml/2006/main">
            <a:off x="8897509" y="3859818"/>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C4BEB3A-025F-4797-82EB-CD784D599BB9}"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grp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50" b="1">
              <a:latin typeface="+mn-lt"/>
            </a:rPr>
            <a:pPr algn="l"/>
            <a:t> </a:t>
          </a:fld>
          <a:endParaRPr lang="fr-FR" sz="1050" b="1">
            <a:latin typeface="+mn-lt"/>
          </a:endParaRPr>
        </a:p>
      </cdr:txBody>
    </cdr:sp>
  </cdr:relSizeAnchor>
  <cdr:relSizeAnchor xmlns:cdr="http://schemas.openxmlformats.org/drawingml/2006/chartDrawing">
    <cdr:from>
      <cdr:x>0.9388</cdr:x>
      <cdr:y>0.21443</cdr:y>
    </cdr:from>
    <cdr:to>
      <cdr:x>0.99335</cdr:x>
      <cdr:y>0.90459</cdr:y>
    </cdr:to>
    <cdr:grpSp>
      <cdr:nvGrpSpPr>
        <cdr:cNvPr id="41" name="Groupe 40"/>
        <cdr:cNvGrpSpPr/>
      </cdr:nvGrpSpPr>
      <cdr:grpSpPr>
        <a:xfrm xmlns:a="http://schemas.openxmlformats.org/drawingml/2006/main">
          <a:off x="9541714" y="1475367"/>
          <a:ext cx="554432" cy="4748585"/>
          <a:chOff x="8893601" y="1257621"/>
          <a:chExt cx="551272" cy="4733145"/>
        </a:xfrm>
      </cdr:grpSpPr>
      <cdr:sp macro="" textlink="Calculs!$S$249">
        <cdr:nvSpPr>
          <cdr:cNvPr id="74" name="ZoneTexte 73"/>
          <cdr:cNvSpPr txBox="1"/>
        </cdr:nvSpPr>
        <cdr:spPr>
          <a:xfrm xmlns:a="http://schemas.openxmlformats.org/drawingml/2006/main">
            <a:off x="8893601" y="1257621"/>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algn="l"/>
            <a:fld id="{F711002C-1E19-48A5-AAEA-FC1CD642AD13}"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6">
        <cdr:nvSpPr>
          <cdr:cNvPr id="77" name="ZoneTexte 1"/>
          <cdr:cNvSpPr txBox="1"/>
        </cdr:nvSpPr>
        <cdr:spPr>
          <a:xfrm xmlns:a="http://schemas.openxmlformats.org/drawingml/2006/main">
            <a:off x="8904807" y="5810812"/>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E376199-D936-45E1-A34F-D9E3C52A6964}"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5">
        <cdr:nvSpPr>
          <cdr:cNvPr id="78" name="ZoneTexte 1"/>
          <cdr:cNvSpPr txBox="1"/>
        </cdr:nvSpPr>
        <cdr:spPr>
          <a:xfrm xmlns:a="http://schemas.openxmlformats.org/drawingml/2006/main">
            <a:off x="8893601" y="5169934"/>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26B76F5-FDC4-4570-AEA7-6075803C0E91}"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4">
        <cdr:nvSpPr>
          <cdr:cNvPr id="79" name="ZoneTexte 1"/>
          <cdr:cNvSpPr txBox="1"/>
        </cdr:nvSpPr>
        <cdr:spPr>
          <a:xfrm xmlns:a="http://schemas.openxmlformats.org/drawingml/2006/main">
            <a:off x="8893601" y="4517916"/>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CEFE871-8B9D-4281-9BC6-7027424B1425}"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2">
        <cdr:nvSpPr>
          <cdr:cNvPr id="80" name="ZoneTexte 1"/>
          <cdr:cNvSpPr txBox="1"/>
        </cdr:nvSpPr>
        <cdr:spPr>
          <a:xfrm xmlns:a="http://schemas.openxmlformats.org/drawingml/2006/main">
            <a:off x="8893601" y="3213743"/>
            <a:ext cx="540066"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56D6767-22BF-4EEC-B289-FCA037B1E99A}"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1">
        <cdr:nvSpPr>
          <cdr:cNvPr id="81" name="ZoneTexte 1"/>
          <cdr:cNvSpPr txBox="1"/>
        </cdr:nvSpPr>
        <cdr:spPr>
          <a:xfrm xmlns:a="http://schemas.openxmlformats.org/drawingml/2006/main">
            <a:off x="8893601" y="2561725"/>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19BA76E-7FCF-4262-A136-AF07A1B3549F}"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0">
        <cdr:nvSpPr>
          <cdr:cNvPr id="130" name="ZoneTexte 1"/>
          <cdr:cNvSpPr txBox="1"/>
        </cdr:nvSpPr>
        <cdr:spPr>
          <a:xfrm xmlns:a="http://schemas.openxmlformats.org/drawingml/2006/main">
            <a:off x="8893601" y="1909639"/>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BC38F77-43AA-4AB5-AEAE-F2070FA902A2}"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3">
        <cdr:nvSpPr>
          <cdr:cNvPr id="131" name="ZoneTexte 1"/>
          <cdr:cNvSpPr txBox="1"/>
        </cdr:nvSpPr>
        <cdr:spPr>
          <a:xfrm xmlns:a="http://schemas.openxmlformats.org/drawingml/2006/main">
            <a:off x="8893601" y="3865830"/>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81551C4-19EE-4CA1-AB45-ABE69582D7CC}"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grpSp>
  </cdr:relSizeAnchor>
  <cdr:relSizeAnchor xmlns:cdr="http://schemas.openxmlformats.org/drawingml/2006/chartDrawing">
    <cdr:from>
      <cdr:x>0.35108</cdr:x>
      <cdr:y>0.04085</cdr:y>
    </cdr:from>
    <cdr:to>
      <cdr:x>0.59114</cdr:x>
      <cdr:y>0.08254</cdr:y>
    </cdr:to>
    <cdr:sp macro="" textlink="'TRAD-visualiz'!$B$5">
      <cdr:nvSpPr>
        <cdr:cNvPr id="31" name="ZoneTexte 6"/>
        <cdr:cNvSpPr txBox="1"/>
      </cdr:nvSpPr>
      <cdr:spPr>
        <a:xfrm xmlns:a="http://schemas.openxmlformats.org/drawingml/2006/main">
          <a:off x="3568330" y="281065"/>
          <a:ext cx="243990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0F58B89-D788-485A-9C58-A2D183BF10A4}" type="TxLink">
            <a:rPr lang="en-US" sz="1050" b="0" i="0" u="none" strike="noStrike">
              <a:solidFill>
                <a:srgbClr val="000000"/>
              </a:solidFill>
              <a:latin typeface="+mn-lt"/>
              <a:cs typeface="Calibri"/>
            </a:rPr>
            <a:pPr/>
            <a:t>Méthode / type de données utilisées </a:t>
          </a:fld>
          <a:endParaRPr lang="fr-FR" sz="1050" i="1">
            <a:latin typeface="+mn-lt"/>
          </a:endParaRPr>
        </a:p>
      </cdr:txBody>
    </cdr:sp>
  </cdr:relSizeAnchor>
  <cdr:relSizeAnchor xmlns:cdr="http://schemas.openxmlformats.org/drawingml/2006/chartDrawing">
    <cdr:from>
      <cdr:x>0.57108</cdr:x>
      <cdr:y>0.04085</cdr:y>
    </cdr:from>
    <cdr:to>
      <cdr:x>0.82833</cdr:x>
      <cdr:y>0.0817</cdr:y>
    </cdr:to>
    <cdr:sp macro="" textlink="Calculs!$C$487">
      <cdr:nvSpPr>
        <cdr:cNvPr id="32" name="ZoneTexte 1"/>
        <cdr:cNvSpPr txBox="1"/>
      </cdr:nvSpPr>
      <cdr:spPr>
        <a:xfrm xmlns:a="http://schemas.openxmlformats.org/drawingml/2006/main">
          <a:off x="5804330" y="281065"/>
          <a:ext cx="2614620" cy="28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F5E9E0B-92FA-4E4A-A94A-A469CF9E1E0D}" type="TxLink">
            <a:rPr lang="fr-FR" sz="1050" b="1" i="1" u="none" strike="noStrike">
              <a:solidFill>
                <a:srgbClr val="C00000"/>
              </a:solidFill>
              <a:latin typeface="+mn-lt"/>
            </a:rPr>
            <a:pPr/>
            <a:t>Données suivi de file active</a:t>
          </a:fld>
          <a:endParaRPr lang="fr-FR" sz="1050" b="1" i="1">
            <a:solidFill>
              <a:srgbClr val="C00000"/>
            </a:solidFill>
            <a:latin typeface="+mn-lt"/>
          </a:endParaRPr>
        </a:p>
      </cdr:txBody>
    </cdr:sp>
  </cdr:relSizeAnchor>
  <cdr:relSizeAnchor xmlns:cdr="http://schemas.openxmlformats.org/drawingml/2006/chartDrawing">
    <cdr:from>
      <cdr:x>0.60653</cdr:x>
      <cdr:y>0.97876</cdr:y>
    </cdr:from>
    <cdr:to>
      <cdr:x>0.61873</cdr:x>
      <cdr:y>0.99183</cdr:y>
    </cdr:to>
    <cdr:sp macro="" textlink="">
      <cdr:nvSpPr>
        <cdr:cNvPr id="33" name="Rectangle 32"/>
        <cdr:cNvSpPr/>
      </cdr:nvSpPr>
      <cdr:spPr>
        <a:xfrm xmlns:a="http://schemas.openxmlformats.org/drawingml/2006/main">
          <a:off x="6129618" y="6712325"/>
          <a:ext cx="123265" cy="89647"/>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sz="1050">
            <a:latin typeface="+mn-lt"/>
          </a:endParaRPr>
        </a:p>
      </cdr:txBody>
    </cdr:sp>
  </cdr:relSizeAnchor>
  <cdr:relSizeAnchor xmlns:cdr="http://schemas.openxmlformats.org/drawingml/2006/chartDrawing">
    <cdr:from>
      <cdr:x>0.62095</cdr:x>
      <cdr:y>0.96732</cdr:y>
    </cdr:from>
    <cdr:to>
      <cdr:x>0.89577</cdr:x>
      <cdr:y>1</cdr:y>
    </cdr:to>
    <cdr:sp macro="" textlink="'TRAD-visualiz'!$B$10">
      <cdr:nvSpPr>
        <cdr:cNvPr id="34" name="ZoneTexte 2"/>
        <cdr:cNvSpPr txBox="1"/>
      </cdr:nvSpPr>
      <cdr:spPr>
        <a:xfrm xmlns:a="http://schemas.openxmlformats.org/drawingml/2006/main">
          <a:off x="6275296" y="6633883"/>
          <a:ext cx="2777378" cy="224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25F9316-C6D9-460E-A5DA-2376BBC08D97}" type="TxLink">
            <a:rPr lang="en-US" sz="1050" b="0" i="0" u="none" strike="noStrike">
              <a:solidFill>
                <a:srgbClr val="000000"/>
              </a:solidFill>
              <a:latin typeface="+mn-lt"/>
              <a:cs typeface="Calibri"/>
            </a:rPr>
            <a:pPr/>
            <a:t>Période pendant laquelle le ST a été utilisé </a:t>
          </a:fld>
          <a:endParaRPr lang="fr-FR" sz="1050">
            <a:latin typeface="+mn-lt"/>
          </a:endParaRPr>
        </a:p>
      </cdr:txBody>
    </cdr:sp>
  </cdr:relSizeAnchor>
  <cdr:relSizeAnchor xmlns:cdr="http://schemas.openxmlformats.org/drawingml/2006/chartDrawing">
    <cdr:from>
      <cdr:x>0.95581</cdr:x>
      <cdr:y>0.17484</cdr:y>
    </cdr:from>
    <cdr:to>
      <cdr:x>0.99906</cdr:x>
      <cdr:y>0.99183</cdr:y>
    </cdr:to>
    <cdr:sp macro="" textlink="'TRAD-visualiz'!$B$13">
      <cdr:nvSpPr>
        <cdr:cNvPr id="35" name="ZoneTexte 34"/>
        <cdr:cNvSpPr txBox="1"/>
      </cdr:nvSpPr>
      <cdr:spPr>
        <a:xfrm xmlns:a="http://schemas.openxmlformats.org/drawingml/2006/main" rot="5400000">
          <a:off x="7076514" y="3781988"/>
          <a:ext cx="5602944" cy="437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403FC43-DB41-445E-9D31-8458999CE59A}" type="TxLink">
            <a:rPr lang="en-US" sz="1050" b="0" i="0" u="none" strike="noStrike">
              <a:solidFill>
                <a:srgbClr val="000000"/>
              </a:solidFill>
              <a:latin typeface="+mn-lt"/>
              <a:cs typeface="Calibri"/>
            </a:rPr>
            <a:pPr/>
            <a:t>Attention, le nombre de patients présentés ici dépend des options thérapeutiques retenues, notemment l'utilisation de CDF pédiatriques - Voir paramétrage dans "Données à saisir" </a:t>
          </a:fld>
          <a:endParaRPr lang="fr-FR" sz="1050" i="1">
            <a:latin typeface="+mn-lt"/>
          </a:endParaRPr>
        </a:p>
      </cdr:txBody>
    </cdr:sp>
  </cdr:relSizeAnchor>
  <cdr:relSizeAnchor xmlns:cdr="http://schemas.openxmlformats.org/drawingml/2006/chartDrawing">
    <cdr:from>
      <cdr:x>0.35108</cdr:x>
      <cdr:y>0.1075</cdr:y>
    </cdr:from>
    <cdr:to>
      <cdr:x>0.49745</cdr:x>
      <cdr:y>0.14919</cdr:y>
    </cdr:to>
    <cdr:sp macro="" textlink="'TRAD-visualiz'!$B$7">
      <cdr:nvSpPr>
        <cdr:cNvPr id="37" name="ZoneTexte 6"/>
        <cdr:cNvSpPr txBox="1"/>
      </cdr:nvSpPr>
      <cdr:spPr>
        <a:xfrm xmlns:a="http://schemas.openxmlformats.org/drawingml/2006/main">
          <a:off x="3568330" y="739644"/>
          <a:ext cx="1487666" cy="286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364BC72D-1F70-4A16-9FC5-E926DE6C70AB}" type="TxLink">
            <a:rPr lang="en-US" sz="1050" b="0" i="0" u="none" strike="noStrike">
              <a:solidFill>
                <a:srgbClr val="000000"/>
              </a:solidFill>
              <a:latin typeface="+mn-lt"/>
              <a:cs typeface="Calibri"/>
            </a:rPr>
            <a:pPr/>
            <a:t>Dates de péremption </a:t>
          </a:fld>
          <a:endParaRPr lang="fr-FR" sz="1050" i="1">
            <a:latin typeface="+mn-lt"/>
          </a:endParaRPr>
        </a:p>
      </cdr:txBody>
    </cdr:sp>
  </cdr:relSizeAnchor>
  <cdr:relSizeAnchor xmlns:cdr="http://schemas.openxmlformats.org/drawingml/2006/chartDrawing">
    <cdr:from>
      <cdr:x>0.57108</cdr:x>
      <cdr:y>0.1067</cdr:y>
    </cdr:from>
    <cdr:to>
      <cdr:x>0.89264</cdr:x>
      <cdr:y>0.14919</cdr:y>
    </cdr:to>
    <cdr:sp macro="" textlink="Calculs!$F$501">
      <cdr:nvSpPr>
        <cdr:cNvPr id="38" name="ZoneTexte 1"/>
        <cdr:cNvSpPr txBox="1"/>
      </cdr:nvSpPr>
      <cdr:spPr>
        <a:xfrm xmlns:a="http://schemas.openxmlformats.org/drawingml/2006/main">
          <a:off x="5804330" y="734140"/>
          <a:ext cx="3268250"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A7B199B-747D-4F61-8875-8C4F1576DF67}"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0.30761</cdr:x>
      <cdr:y>0</cdr:y>
    </cdr:from>
    <cdr:to>
      <cdr:x>0.39758</cdr:x>
      <cdr:y>0.05049</cdr:y>
    </cdr:to>
    <cdr:sp macro="" textlink="'TRAD-visualiz'!$B$12">
      <cdr:nvSpPr>
        <cdr:cNvPr id="2" name="ZoneTexte 1"/>
        <cdr:cNvSpPr txBox="1"/>
      </cdr:nvSpPr>
      <cdr:spPr>
        <a:xfrm xmlns:a="http://schemas.openxmlformats.org/drawingml/2006/main">
          <a:off x="3126455" y="-33618"/>
          <a:ext cx="914431" cy="34738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B391D09-963E-4275-91C6-6F3536C72958}" type="TxLink">
            <a:rPr lang="fr-FR" sz="1800" b="1" i="0" u="none" strike="noStrike">
              <a:solidFill>
                <a:srgbClr val="FF0000"/>
              </a:solidFill>
              <a:latin typeface="+mn-lt"/>
              <a:cs typeface="Arial" pitchFamily="34" charset="0"/>
            </a:rPr>
            <a:pPr/>
            <a:t> Solutions buvables </a:t>
          </a:fld>
          <a:endParaRPr lang="fr-FR" sz="1800" b="1">
            <a:solidFill>
              <a:srgbClr val="FF0000"/>
            </a:solidFill>
            <a:latin typeface="+mn-lt"/>
            <a:cs typeface="Arial" pitchFamily="34" charset="0"/>
          </a:endParaRPr>
        </a:p>
      </cdr:txBody>
    </cdr:sp>
  </cdr:relSizeAnchor>
  <cdr:relSizeAnchor xmlns:cdr="http://schemas.openxmlformats.org/drawingml/2006/chartDrawing">
    <cdr:from>
      <cdr:x>0.8524</cdr:x>
      <cdr:y>0.0025</cdr:y>
    </cdr:from>
    <cdr:to>
      <cdr:x>1</cdr:x>
      <cdr:y>0.10136</cdr:y>
    </cdr:to>
    <cdr:pic>
      <cdr:nvPicPr>
        <cdr:cNvPr id="42" name="Image 4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17182"/>
          <a:ext cx="1500187" cy="680245"/>
        </a:xfrm>
        <a:prstGeom xmlns:a="http://schemas.openxmlformats.org/drawingml/2006/main" prst="rect">
          <a:avLst/>
        </a:prstGeom>
      </cdr:spPr>
    </cdr:pic>
  </cdr:relSizeAnchor>
</c:userShapes>
</file>

<file path=xl/drawings/drawing31.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0.01718</cdr:x>
      <cdr:y>0.07465</cdr:y>
    </cdr:from>
    <cdr:to>
      <cdr:x>0.24676</cdr:x>
      <cdr:y>0.11139</cdr:y>
    </cdr:to>
    <cdr:sp macro="" textlink="'TRAD-visualiz'!$B$4">
      <cdr:nvSpPr>
        <cdr:cNvPr id="7" name="ZoneTexte 6"/>
        <cdr:cNvSpPr txBox="1"/>
      </cdr:nvSpPr>
      <cdr:spPr>
        <a:xfrm xmlns:a="http://schemas.openxmlformats.org/drawingml/2006/main">
          <a:off x="173644" y="511921"/>
          <a:ext cx="2320141" cy="2520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162D6B1D-1212-4BEB-A051-532DA3E7CDFD}"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0.01718</cdr:x>
      <cdr:y>0.04248</cdr:y>
    </cdr:from>
    <cdr:to>
      <cdr:x>0.19072</cdr:x>
      <cdr:y>0.07516</cdr:y>
    </cdr:to>
    <cdr:sp macro="" textlink="'TRAD-visualiz'!$B$3">
      <cdr:nvSpPr>
        <cdr:cNvPr id="9" name="ZoneTexte 1"/>
        <cdr:cNvSpPr txBox="1"/>
      </cdr:nvSpPr>
      <cdr:spPr>
        <a:xfrm xmlns:a="http://schemas.openxmlformats.org/drawingml/2006/main">
          <a:off x="173622" y="291328"/>
          <a:ext cx="1753790" cy="2241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8B547FCD-C7F3-4D00-8BD6-DFD619F1C1D2}"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0.18739</cdr:x>
      <cdr:y>0.04248</cdr:y>
    </cdr:from>
    <cdr:to>
      <cdr:x>0.29855</cdr:x>
      <cdr:y>0.07843</cdr:y>
    </cdr:to>
    <cdr:sp macro="" textlink="Paramétrage!$D$11">
      <cdr:nvSpPr>
        <cdr:cNvPr id="10" name="ZoneTexte 1"/>
        <cdr:cNvSpPr txBox="1"/>
      </cdr:nvSpPr>
      <cdr:spPr>
        <a:xfrm xmlns:a="http://schemas.openxmlformats.org/drawingml/2006/main">
          <a:off x="1893794" y="291329"/>
          <a:ext cx="1123360" cy="246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0.86489</cdr:x>
      <cdr:y>0.09151</cdr:y>
    </cdr:from>
    <cdr:to>
      <cdr:x>0.99684</cdr:x>
      <cdr:y>0.17157</cdr:y>
    </cdr:to>
    <cdr:sp macro="" textlink="'TRAD-visualiz'!$B$8">
      <cdr:nvSpPr>
        <cdr:cNvPr id="12" name="ZoneTexte 11"/>
        <cdr:cNvSpPr txBox="1"/>
      </cdr:nvSpPr>
      <cdr:spPr>
        <a:xfrm xmlns:a="http://schemas.openxmlformats.org/drawingml/2006/main">
          <a:off x="8740588" y="627576"/>
          <a:ext cx="1333502"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532F8803-D27A-48AD-9A9C-A128055814D2}"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0.86682</cdr:x>
      <cdr:y>0.01154</cdr:y>
    </cdr:from>
    <cdr:to>
      <cdr:x>0.98914</cdr:x>
      <cdr:y>0.09804</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60078" y="79140"/>
          <a:ext cx="1236168" cy="593213"/>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0.40084</cdr:x>
      <cdr:y>0.07465</cdr:y>
    </cdr:from>
    <cdr:to>
      <cdr:x>0.59045</cdr:x>
      <cdr:y>0.11634</cdr:y>
    </cdr:to>
    <cdr:sp macro="" textlink="'TRAD-visualiz'!$B$6">
      <cdr:nvSpPr>
        <cdr:cNvPr id="119" name="ZoneTexte 6"/>
        <cdr:cNvSpPr txBox="1"/>
      </cdr:nvSpPr>
      <cdr:spPr>
        <a:xfrm xmlns:a="http://schemas.openxmlformats.org/drawingml/2006/main">
          <a:off x="4050880" y="511921"/>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CBE8665D-BB78-4446-ADAB-DCBFECDADFCD}"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0.21955</cdr:x>
      <cdr:y>0.07465</cdr:y>
    </cdr:from>
    <cdr:to>
      <cdr:x>0.36433</cdr:x>
      <cdr:y>0.11139</cdr:y>
    </cdr:to>
    <cdr:sp macro="" textlink="Paramétrage!$H$19">
      <cdr:nvSpPr>
        <cdr:cNvPr id="122" name="ZoneTexte 1"/>
        <cdr:cNvSpPr txBox="1"/>
      </cdr:nvSpPr>
      <cdr:spPr>
        <a:xfrm xmlns:a="http://schemas.openxmlformats.org/drawingml/2006/main">
          <a:off x="2218800" y="511921"/>
          <a:ext cx="1463150"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0.58547</cdr:x>
      <cdr:y>0.07465</cdr:y>
    </cdr:from>
    <cdr:to>
      <cdr:x>0.90703</cdr:x>
      <cdr:y>0.11714</cdr:y>
    </cdr:to>
    <cdr:sp macro="" textlink="'Calculs dispo Données FA'!$F$122">
      <cdr:nvSpPr>
        <cdr:cNvPr id="123" name="ZoneTexte 1"/>
        <cdr:cNvSpPr txBox="1"/>
      </cdr:nvSpPr>
      <cdr:spPr>
        <a:xfrm xmlns:a="http://schemas.openxmlformats.org/drawingml/2006/main">
          <a:off x="5916755" y="511921"/>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10E6E4C-A42A-4B98-9604-B150B805FF29}" type="TxLink">
            <a:rPr lang="fr-FR" sz="1100" b="1" i="1" u="none" strike="noStrike">
              <a:solidFill>
                <a:srgbClr val="C00000"/>
              </a:solidFill>
              <a:latin typeface="Arialri"/>
            </a:rPr>
            <a:pPr/>
            <a:t>Stocks centraux</a:t>
          </a:fld>
          <a:endParaRPr lang="fr-FR" sz="1100" b="1" i="1">
            <a:solidFill>
              <a:srgbClr val="C00000"/>
            </a:solidFill>
          </a:endParaRPr>
        </a:p>
      </cdr:txBody>
    </cdr:sp>
  </cdr:relSizeAnchor>
  <cdr:relSizeAnchor xmlns:cdr="http://schemas.openxmlformats.org/drawingml/2006/chartDrawing">
    <cdr:from>
      <cdr:x>0.89594</cdr:x>
      <cdr:y>0.21332</cdr:y>
    </cdr:from>
    <cdr:to>
      <cdr:x>0.96691</cdr:x>
      <cdr:y>0.23957</cdr:y>
    </cdr:to>
    <cdr:sp macro="" textlink="Calculs!$Z$195">
      <cdr:nvSpPr>
        <cdr:cNvPr id="11" name="ZoneTexte 10"/>
        <cdr:cNvSpPr txBox="1"/>
      </cdr:nvSpPr>
      <cdr:spPr>
        <a:xfrm xmlns:a="http://schemas.openxmlformats.org/drawingml/2006/main">
          <a:off x="9054374" y="1462948"/>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marL="0" indent="0" algn="l"/>
          <a:fld id="{9B0F15E3-7C99-46A8-A2E5-93C8657E82F0}" type="TxLink">
            <a:rPr lang="fr-FR" sz="1000" b="1" i="0" u="none" strike="noStrike">
              <a:solidFill>
                <a:srgbClr val="FFFFFF"/>
              </a:solidFill>
              <a:latin typeface="+mn-lt"/>
              <a:ea typeface="+mn-ea"/>
              <a:cs typeface="+mn-cs"/>
            </a:rPr>
            <a:pPr marL="0" indent="0" algn="l"/>
            <a:t>0</a:t>
          </a:fld>
          <a:endParaRPr lang="fr-FR" sz="1000" b="1">
            <a:latin typeface="+mn-lt"/>
            <a:ea typeface="+mn-ea"/>
            <a:cs typeface="+mn-cs"/>
          </a:endParaRPr>
        </a:p>
      </cdr:txBody>
    </cdr:sp>
  </cdr:relSizeAnchor>
  <cdr:relSizeAnchor xmlns:cdr="http://schemas.openxmlformats.org/drawingml/2006/chartDrawing">
    <cdr:from>
      <cdr:x>0.89594</cdr:x>
      <cdr:y>0.87928</cdr:y>
    </cdr:from>
    <cdr:to>
      <cdr:x>0.96691</cdr:x>
      <cdr:y>0.90553</cdr:y>
    </cdr:to>
    <cdr:sp macro="" textlink="Calculs!$Z$202">
      <cdr:nvSpPr>
        <cdr:cNvPr id="15" name="ZoneTexte 1"/>
        <cdr:cNvSpPr txBox="1"/>
      </cdr:nvSpPr>
      <cdr:spPr>
        <a:xfrm xmlns:a="http://schemas.openxmlformats.org/drawingml/2006/main">
          <a:off x="9054374" y="6030101"/>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3EBD99A-EE8D-423B-93CA-F6109DFDB597}" type="TxLink">
            <a:rPr lang="fr-FR" sz="1000" b="1" i="0" u="none" strike="noStrike">
              <a:solidFill>
                <a:srgbClr val="FFFFFF"/>
              </a:solidFill>
              <a:latin typeface="Calibri"/>
              <a:cs typeface="Calibri"/>
            </a:rPr>
            <a:pPr algn="l"/>
            <a:t>31</a:t>
          </a:fld>
          <a:endParaRPr lang="fr-FR" sz="1000" b="1"/>
        </a:p>
      </cdr:txBody>
    </cdr:sp>
  </cdr:relSizeAnchor>
  <cdr:relSizeAnchor xmlns:cdr="http://schemas.openxmlformats.org/drawingml/2006/chartDrawing">
    <cdr:from>
      <cdr:x>0.89594</cdr:x>
      <cdr:y>0.78415</cdr:y>
    </cdr:from>
    <cdr:to>
      <cdr:x>0.96691</cdr:x>
      <cdr:y>0.81039</cdr:y>
    </cdr:to>
    <cdr:sp macro="" textlink="Calculs!$Z$201">
      <cdr:nvSpPr>
        <cdr:cNvPr id="16" name="ZoneTexte 1"/>
        <cdr:cNvSpPr txBox="1"/>
      </cdr:nvSpPr>
      <cdr:spPr>
        <a:xfrm xmlns:a="http://schemas.openxmlformats.org/drawingml/2006/main">
          <a:off x="9054374" y="5377700"/>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E4420CB-844D-436B-A8B8-90ED7FC70AE1}"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0.68901</cdr:y>
    </cdr:from>
    <cdr:to>
      <cdr:x>0.96691</cdr:x>
      <cdr:y>0.71526</cdr:y>
    </cdr:to>
    <cdr:sp macro="" textlink="Calculs!$Z$200">
      <cdr:nvSpPr>
        <cdr:cNvPr id="17" name="ZoneTexte 1"/>
        <cdr:cNvSpPr txBox="1"/>
      </cdr:nvSpPr>
      <cdr:spPr>
        <a:xfrm xmlns:a="http://schemas.openxmlformats.org/drawingml/2006/main">
          <a:off x="9054374" y="4725230"/>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BFFACD-5179-45F2-9F24-90FC8FA3991B}" type="TxLink">
            <a:rPr lang="fr-FR" sz="1000" b="1" i="0" u="none" strike="noStrike">
              <a:solidFill>
                <a:srgbClr val="FFFFFF"/>
              </a:solidFill>
              <a:latin typeface="Calibri"/>
              <a:cs typeface="Calibri"/>
            </a:rPr>
            <a:pPr algn="l"/>
            <a:t>332</a:t>
          </a:fld>
          <a:endParaRPr lang="fr-FR" sz="1000" b="1"/>
        </a:p>
      </cdr:txBody>
    </cdr:sp>
  </cdr:relSizeAnchor>
  <cdr:relSizeAnchor xmlns:cdr="http://schemas.openxmlformats.org/drawingml/2006/chartDrawing">
    <cdr:from>
      <cdr:x>0.89594</cdr:x>
      <cdr:y>0.49874</cdr:y>
    </cdr:from>
    <cdr:to>
      <cdr:x>0.96691</cdr:x>
      <cdr:y>0.52498</cdr:y>
    </cdr:to>
    <cdr:sp macro="" textlink="Calculs!$Z$198">
      <cdr:nvSpPr>
        <cdr:cNvPr id="18" name="ZoneTexte 1"/>
        <cdr:cNvSpPr txBox="1"/>
      </cdr:nvSpPr>
      <cdr:spPr>
        <a:xfrm xmlns:a="http://schemas.openxmlformats.org/drawingml/2006/main">
          <a:off x="9054374" y="3420358"/>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99D982F-DB4C-4244-A8A7-BA523B911285}"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0.4036</cdr:y>
    </cdr:from>
    <cdr:to>
      <cdr:x>0.96691</cdr:x>
      <cdr:y>0.42984</cdr:y>
    </cdr:to>
    <cdr:sp macro="" textlink="Calculs!$Z$197">
      <cdr:nvSpPr>
        <cdr:cNvPr id="19" name="ZoneTexte 1"/>
        <cdr:cNvSpPr txBox="1"/>
      </cdr:nvSpPr>
      <cdr:spPr>
        <a:xfrm xmlns:a="http://schemas.openxmlformats.org/drawingml/2006/main">
          <a:off x="9054374" y="2767888"/>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4F53D87-1836-4EEC-825F-EE34403BF1C3}"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0.30846</cdr:y>
    </cdr:from>
    <cdr:to>
      <cdr:x>0.96691</cdr:x>
      <cdr:y>0.33471</cdr:y>
    </cdr:to>
    <cdr:sp macro="" textlink="Calculs!$Z$196">
      <cdr:nvSpPr>
        <cdr:cNvPr id="125" name="ZoneTexte 1"/>
        <cdr:cNvSpPr txBox="1"/>
      </cdr:nvSpPr>
      <cdr:spPr>
        <a:xfrm xmlns:a="http://schemas.openxmlformats.org/drawingml/2006/main">
          <a:off x="9054374" y="2115418"/>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EBED236-C99E-4C0B-A123-A3360417A498}"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0.59387</cdr:y>
    </cdr:from>
    <cdr:to>
      <cdr:x>0.96691</cdr:x>
      <cdr:y>0.62012</cdr:y>
    </cdr:to>
    <cdr:sp macro="" textlink="Calculs!$Z$199">
      <cdr:nvSpPr>
        <cdr:cNvPr id="126" name="ZoneTexte 1"/>
        <cdr:cNvSpPr txBox="1"/>
      </cdr:nvSpPr>
      <cdr:spPr>
        <a:xfrm xmlns:a="http://schemas.openxmlformats.org/drawingml/2006/main">
          <a:off x="9054374" y="4072760"/>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6528F57-F57D-4E53-9CF6-5E10B4D4E0A0}"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00" b="1"/>
            <a:pPr algn="l"/>
            <a:t> </a:t>
          </a:fld>
          <a:endParaRPr lang="fr-FR" sz="1000" b="1"/>
        </a:p>
      </cdr:txBody>
    </cdr:sp>
  </cdr:relSizeAnchor>
  <cdr:relSizeAnchor xmlns:cdr="http://schemas.openxmlformats.org/drawingml/2006/chartDrawing">
    <cdr:from>
      <cdr:x>0.93658</cdr:x>
      <cdr:y>0.21606</cdr:y>
    </cdr:from>
    <cdr:to>
      <cdr:x>0.99002</cdr:x>
      <cdr:y>0.2423</cdr:y>
    </cdr:to>
    <cdr:sp macro="" textlink="Calculs!$Z$249">
      <cdr:nvSpPr>
        <cdr:cNvPr id="74" name="ZoneTexte 73"/>
        <cdr:cNvSpPr txBox="1"/>
      </cdr:nvSpPr>
      <cdr:spPr>
        <a:xfrm xmlns:a="http://schemas.openxmlformats.org/drawingml/2006/main">
          <a:off x="9465106" y="1481739"/>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algn="l"/>
          <a:fld id="{24689DB8-BD3D-47F9-BFEA-35FA161EE4A4}"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0.87835</cdr:y>
    </cdr:from>
    <cdr:to>
      <cdr:x>0.99002</cdr:x>
      <cdr:y>0.90459</cdr:y>
    </cdr:to>
    <cdr:sp macro="" textlink="Calculs!$Z$256">
      <cdr:nvSpPr>
        <cdr:cNvPr id="77" name="ZoneTexte 1"/>
        <cdr:cNvSpPr txBox="1"/>
      </cdr:nvSpPr>
      <cdr:spPr>
        <a:xfrm xmlns:a="http://schemas.openxmlformats.org/drawingml/2006/main">
          <a:off x="9465106" y="6023723"/>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B1D46A2-95A0-4095-90DC-22FFC15300C3}"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0.78373</cdr:y>
    </cdr:from>
    <cdr:to>
      <cdr:x>0.99002</cdr:x>
      <cdr:y>0.80998</cdr:y>
    </cdr:to>
    <cdr:sp macro="" textlink="Calculs!$Z$255">
      <cdr:nvSpPr>
        <cdr:cNvPr id="78" name="ZoneTexte 1"/>
        <cdr:cNvSpPr txBox="1"/>
      </cdr:nvSpPr>
      <cdr:spPr>
        <a:xfrm xmlns:a="http://schemas.openxmlformats.org/drawingml/2006/main">
          <a:off x="9465106" y="5374820"/>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C81DF4B-008D-40A3-B59D-306A7CC2430C}"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0.68913</cdr:y>
    </cdr:from>
    <cdr:to>
      <cdr:x>0.99002</cdr:x>
      <cdr:y>0.71537</cdr:y>
    </cdr:to>
    <cdr:sp macro="" textlink="Calculs!$Z$254">
      <cdr:nvSpPr>
        <cdr:cNvPr id="79" name="ZoneTexte 1"/>
        <cdr:cNvSpPr txBox="1"/>
      </cdr:nvSpPr>
      <cdr:spPr>
        <a:xfrm xmlns:a="http://schemas.openxmlformats.org/drawingml/2006/main">
          <a:off x="9465106" y="4726053"/>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86D5BF-FA92-494C-B5AA-6DDFCD9A2DA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0.49989</cdr:y>
    </cdr:from>
    <cdr:to>
      <cdr:x>0.99002</cdr:x>
      <cdr:y>0.52614</cdr:y>
    </cdr:to>
    <cdr:sp macro="" textlink="Calculs!$Z$252">
      <cdr:nvSpPr>
        <cdr:cNvPr id="80" name="ZoneTexte 1"/>
        <cdr:cNvSpPr txBox="1"/>
      </cdr:nvSpPr>
      <cdr:spPr>
        <a:xfrm xmlns:a="http://schemas.openxmlformats.org/drawingml/2006/main">
          <a:off x="9465106" y="3428245"/>
          <a:ext cx="540066"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829084D-80D6-42D5-A71E-C9350DBA1480}"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0.40528</cdr:y>
    </cdr:from>
    <cdr:to>
      <cdr:x>0.99002</cdr:x>
      <cdr:y>0.43152</cdr:y>
    </cdr:to>
    <cdr:sp macro="" textlink="Calculs!$Z$251">
      <cdr:nvSpPr>
        <cdr:cNvPr id="81" name="ZoneTexte 1"/>
        <cdr:cNvSpPr txBox="1"/>
      </cdr:nvSpPr>
      <cdr:spPr>
        <a:xfrm xmlns:a="http://schemas.openxmlformats.org/drawingml/2006/main">
          <a:off x="9465106" y="2779410"/>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65ECA51-E6EB-41AF-8212-82B9D52319AE}"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0.31067</cdr:y>
    </cdr:from>
    <cdr:to>
      <cdr:x>0.99002</cdr:x>
      <cdr:y>0.33692</cdr:y>
    </cdr:to>
    <cdr:sp macro="" textlink="Calculs!$Z$250">
      <cdr:nvSpPr>
        <cdr:cNvPr id="130" name="ZoneTexte 1"/>
        <cdr:cNvSpPr txBox="1"/>
      </cdr:nvSpPr>
      <cdr:spPr>
        <a:xfrm xmlns:a="http://schemas.openxmlformats.org/drawingml/2006/main">
          <a:off x="9465106" y="2130575"/>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8665A04-D2B8-4A61-B48E-B98786C6697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0.59451</cdr:y>
    </cdr:from>
    <cdr:to>
      <cdr:x>0.99002</cdr:x>
      <cdr:y>0.62076</cdr:y>
    </cdr:to>
    <cdr:sp macro="" textlink="Calculs!$Z$253">
      <cdr:nvSpPr>
        <cdr:cNvPr id="131" name="ZoneTexte 1"/>
        <cdr:cNvSpPr txBox="1"/>
      </cdr:nvSpPr>
      <cdr:spPr>
        <a:xfrm xmlns:a="http://schemas.openxmlformats.org/drawingml/2006/main">
          <a:off x="9465106" y="4077149"/>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6EC726E-B841-4CFA-962B-4DCAF311034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0.36702</cdr:x>
      <cdr:y>0.96568</cdr:y>
    </cdr:from>
    <cdr:to>
      <cdr:x>0.44131</cdr:x>
      <cdr:y>1</cdr:y>
    </cdr:to>
    <cdr:sp macro="" textlink="Calculs!$D$486">
      <cdr:nvSpPr>
        <cdr:cNvPr id="30" name="ZoneTexte 1"/>
        <cdr:cNvSpPr txBox="1"/>
      </cdr:nvSpPr>
      <cdr:spPr>
        <a:xfrm xmlns:a="http://schemas.openxmlformats.org/drawingml/2006/main">
          <a:off x="3709162" y="6622633"/>
          <a:ext cx="750776" cy="235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88C9A044-8F15-4A41-9383-36FF71675F91}" type="TxLink">
            <a:rPr lang="fr-FR" sz="1000" b="1" i="1" u="none" strike="noStrike">
              <a:solidFill>
                <a:srgbClr val="000000"/>
              </a:solidFill>
              <a:latin typeface="Arialri"/>
            </a:rPr>
            <a:pPr/>
            <a:t>3 mois</a:t>
          </a:fld>
          <a:endParaRPr lang="fr-FR" sz="1000" b="1" i="1"/>
        </a:p>
      </cdr:txBody>
    </cdr:sp>
  </cdr:relSizeAnchor>
  <cdr:relSizeAnchor xmlns:cdr="http://schemas.openxmlformats.org/drawingml/2006/chartDrawing">
    <cdr:from>
      <cdr:x>0.40084</cdr:x>
      <cdr:y>0.04248</cdr:y>
    </cdr:from>
    <cdr:to>
      <cdr:x>0.6409</cdr:x>
      <cdr:y>0.08417</cdr:y>
    </cdr:to>
    <cdr:sp macro="" textlink="'TRAD-visualiz'!$B$5">
      <cdr:nvSpPr>
        <cdr:cNvPr id="31" name="ZoneTexte 6"/>
        <cdr:cNvSpPr txBox="1"/>
      </cdr:nvSpPr>
      <cdr:spPr>
        <a:xfrm xmlns:a="http://schemas.openxmlformats.org/drawingml/2006/main">
          <a:off x="4050880" y="291353"/>
          <a:ext cx="2426119"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952F145-F99D-416B-8387-C10C30F3B170}"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0.62205</cdr:x>
      <cdr:y>0.04248</cdr:y>
    </cdr:from>
    <cdr:to>
      <cdr:x>0.8793</cdr:x>
      <cdr:y>0.08333</cdr:y>
    </cdr:to>
    <cdr:sp macro="" textlink="Calculs!$C$487">
      <cdr:nvSpPr>
        <cdr:cNvPr id="32" name="ZoneTexte 1"/>
        <cdr:cNvSpPr txBox="1"/>
      </cdr:nvSpPr>
      <cdr:spPr>
        <a:xfrm xmlns:a="http://schemas.openxmlformats.org/drawingml/2006/main">
          <a:off x="6286500" y="291353"/>
          <a:ext cx="259976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F5E9E0B-92FA-4E4A-A94A-A469CF9E1E0D}" type="TxLink">
            <a:rPr lang="fr-FR" sz="1100" b="1" i="1" u="none" strike="noStrike">
              <a:solidFill>
                <a:srgbClr val="C00000"/>
              </a:solidFill>
              <a:latin typeface="Arialri"/>
            </a:rPr>
            <a:pPr/>
            <a:t>Données suivi de file active</a:t>
          </a:fld>
          <a:endParaRPr lang="fr-FR" sz="1100" b="1" i="1">
            <a:solidFill>
              <a:srgbClr val="C00000"/>
            </a:solidFill>
          </a:endParaRPr>
        </a:p>
      </cdr:txBody>
    </cdr:sp>
  </cdr:relSizeAnchor>
  <cdr:relSizeAnchor xmlns:cdr="http://schemas.openxmlformats.org/drawingml/2006/chartDrawing">
    <cdr:from>
      <cdr:x>0.60099</cdr:x>
      <cdr:y>0.97876</cdr:y>
    </cdr:from>
    <cdr:to>
      <cdr:x>0.61319</cdr:x>
      <cdr:y>0.99183</cdr:y>
    </cdr:to>
    <cdr:sp macro="" textlink="">
      <cdr:nvSpPr>
        <cdr:cNvPr id="33" name="Rectangle 32"/>
        <cdr:cNvSpPr/>
      </cdr:nvSpPr>
      <cdr:spPr>
        <a:xfrm xmlns:a="http://schemas.openxmlformats.org/drawingml/2006/main">
          <a:off x="6073578" y="6712336"/>
          <a:ext cx="123294" cy="89634"/>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0.61208</cdr:x>
      <cdr:y>0.96732</cdr:y>
    </cdr:from>
    <cdr:to>
      <cdr:x>0.8869</cdr:x>
      <cdr:y>1</cdr:y>
    </cdr:to>
    <cdr:sp macro="" textlink="'TRAD-visualiz'!$B$10">
      <cdr:nvSpPr>
        <cdr:cNvPr id="34" name="ZoneTexte 2"/>
        <cdr:cNvSpPr txBox="1"/>
      </cdr:nvSpPr>
      <cdr:spPr>
        <a:xfrm xmlns:a="http://schemas.openxmlformats.org/drawingml/2006/main">
          <a:off x="6185690" y="6667498"/>
          <a:ext cx="2777338" cy="224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0AF5E47-09E7-4236-8633-800DC00E2E74}" type="TxLink">
            <a:rPr lang="en-US" sz="1000" b="0" i="0" u="none" strike="noStrike">
              <a:solidFill>
                <a:srgbClr val="000000"/>
              </a:solidFill>
              <a:latin typeface="Arialri"/>
              <a:cs typeface="Calibri"/>
            </a:rPr>
            <a:pPr/>
            <a:t>Période pendant laquelle le ST a été utilisé </a:t>
          </a:fld>
          <a:endParaRPr lang="fr-FR" sz="1000"/>
        </a:p>
      </cdr:txBody>
    </cdr:sp>
  </cdr:relSizeAnchor>
  <cdr:relSizeAnchor xmlns:cdr="http://schemas.openxmlformats.org/drawingml/2006/chartDrawing">
    <cdr:from>
      <cdr:x>0.95581</cdr:x>
      <cdr:y>0.17484</cdr:y>
    </cdr:from>
    <cdr:to>
      <cdr:x>0.99906</cdr:x>
      <cdr:y>0.99183</cdr:y>
    </cdr:to>
    <cdr:sp macro="" textlink="'TRAD-visualiz'!$B$13">
      <cdr:nvSpPr>
        <cdr:cNvPr id="35" name="ZoneTexte 34"/>
        <cdr:cNvSpPr txBox="1"/>
      </cdr:nvSpPr>
      <cdr:spPr>
        <a:xfrm xmlns:a="http://schemas.openxmlformats.org/drawingml/2006/main" rot="5400000">
          <a:off x="7076514" y="3781988"/>
          <a:ext cx="5602944" cy="437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352E94C-D738-40B3-B3A6-4C0BB2A144AB}" type="TxLink">
            <a:rPr lang="en-US" sz="1000" b="0" i="0" u="none" strike="noStrike">
              <a:solidFill>
                <a:srgbClr val="000000"/>
              </a:solidFill>
              <a:latin typeface="Arialri"/>
              <a:cs typeface="Calibri"/>
            </a:rPr>
            <a:pPr/>
            <a:t>Attention, le nombre de patients présentés ici dépend des options thérapeutiques retenues, notemment l'utilisation de CDF pédiatriques - Voir paramétrage dans "Données à saisir" </a:t>
          </a:fld>
          <a:endParaRPr lang="fr-FR" sz="900" i="1"/>
        </a:p>
      </cdr:txBody>
    </cdr:sp>
  </cdr:relSizeAnchor>
  <cdr:relSizeAnchor xmlns:cdr="http://schemas.openxmlformats.org/drawingml/2006/chartDrawing">
    <cdr:from>
      <cdr:x>0.16189</cdr:x>
      <cdr:y>0.4183</cdr:y>
    </cdr:from>
    <cdr:to>
      <cdr:x>0.94626</cdr:x>
      <cdr:y>0.48003</cdr:y>
    </cdr:to>
    <cdr:sp macro="" textlink="">
      <cdr:nvSpPr>
        <cdr:cNvPr id="37" name="ZoneTexte 1"/>
        <cdr:cNvSpPr txBox="1"/>
      </cdr:nvSpPr>
      <cdr:spPr>
        <a:xfrm xmlns:a="http://schemas.openxmlformats.org/drawingml/2006/main" rot="19739527">
          <a:off x="1636059" y="2868706"/>
          <a:ext cx="7926916" cy="42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800" b="1">
              <a:solidFill>
                <a:srgbClr val="FF0000"/>
              </a:solidFill>
            </a:rPr>
            <a:t>Feuille non mise à jour dans la version 7.1</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0.01718</cdr:x>
      <cdr:y>0.07465</cdr:y>
    </cdr:from>
    <cdr:to>
      <cdr:x>0.24676</cdr:x>
      <cdr:y>0.11139</cdr:y>
    </cdr:to>
    <cdr:sp macro="" textlink="'TRAD-visualiz'!$B$4">
      <cdr:nvSpPr>
        <cdr:cNvPr id="7" name="ZoneTexte 6"/>
        <cdr:cNvSpPr txBox="1"/>
      </cdr:nvSpPr>
      <cdr:spPr>
        <a:xfrm xmlns:a="http://schemas.openxmlformats.org/drawingml/2006/main">
          <a:off x="173644" y="511921"/>
          <a:ext cx="2320141" cy="2520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20832F8A-AF83-4388-B691-5188ABABE451}"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0.01718</cdr:x>
      <cdr:y>0.04248</cdr:y>
    </cdr:from>
    <cdr:to>
      <cdr:x>0.19405</cdr:x>
      <cdr:y>0.0768</cdr:y>
    </cdr:to>
    <cdr:sp macro="" textlink="'TRAD-visualiz'!$B$3">
      <cdr:nvSpPr>
        <cdr:cNvPr id="9" name="ZoneTexte 1"/>
        <cdr:cNvSpPr txBox="1"/>
      </cdr:nvSpPr>
      <cdr:spPr>
        <a:xfrm xmlns:a="http://schemas.openxmlformats.org/drawingml/2006/main">
          <a:off x="173621" y="291329"/>
          <a:ext cx="1787408" cy="235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2D07C97-9127-4319-ABD8-FB89174E8C83}"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0.18961</cdr:x>
      <cdr:y>0.04248</cdr:y>
    </cdr:from>
    <cdr:to>
      <cdr:x>0.29855</cdr:x>
      <cdr:y>0.07843</cdr:y>
    </cdr:to>
    <cdr:sp macro="" textlink="Paramétrage!$D$11">
      <cdr:nvSpPr>
        <cdr:cNvPr id="10" name="ZoneTexte 1"/>
        <cdr:cNvSpPr txBox="1"/>
      </cdr:nvSpPr>
      <cdr:spPr>
        <a:xfrm xmlns:a="http://schemas.openxmlformats.org/drawingml/2006/main">
          <a:off x="1916206" y="291329"/>
          <a:ext cx="1100948" cy="246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0.86489</cdr:x>
      <cdr:y>0.09151</cdr:y>
    </cdr:from>
    <cdr:to>
      <cdr:x>0.99684</cdr:x>
      <cdr:y>0.17157</cdr:y>
    </cdr:to>
    <cdr:sp macro="" textlink="'TRAD-visualiz'!$B$8">
      <cdr:nvSpPr>
        <cdr:cNvPr id="12" name="ZoneTexte 11"/>
        <cdr:cNvSpPr txBox="1"/>
      </cdr:nvSpPr>
      <cdr:spPr>
        <a:xfrm xmlns:a="http://schemas.openxmlformats.org/drawingml/2006/main">
          <a:off x="8740588" y="627576"/>
          <a:ext cx="1333502"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7D61FF21-66D4-4621-A63C-1993F311227E}"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0.86682</cdr:x>
      <cdr:y>0.01154</cdr:y>
    </cdr:from>
    <cdr:to>
      <cdr:x>0.98914</cdr:x>
      <cdr:y>0.09804</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60078" y="79140"/>
          <a:ext cx="1236168" cy="593213"/>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0.40084</cdr:x>
      <cdr:y>0.07465</cdr:y>
    </cdr:from>
    <cdr:to>
      <cdr:x>0.59045</cdr:x>
      <cdr:y>0.11634</cdr:y>
    </cdr:to>
    <cdr:sp macro="" textlink="'TRAD-visualiz'!$B$6">
      <cdr:nvSpPr>
        <cdr:cNvPr id="119" name="ZoneTexte 6"/>
        <cdr:cNvSpPr txBox="1"/>
      </cdr:nvSpPr>
      <cdr:spPr>
        <a:xfrm xmlns:a="http://schemas.openxmlformats.org/drawingml/2006/main">
          <a:off x="4050880" y="511921"/>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220A6848-A849-40BD-9AA0-2747AAA9F9AB}"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0.21955</cdr:x>
      <cdr:y>0.07465</cdr:y>
    </cdr:from>
    <cdr:to>
      <cdr:x>0.36433</cdr:x>
      <cdr:y>0.11139</cdr:y>
    </cdr:to>
    <cdr:sp macro="" textlink="Paramétrage!$H$19">
      <cdr:nvSpPr>
        <cdr:cNvPr id="122" name="ZoneTexte 1"/>
        <cdr:cNvSpPr txBox="1"/>
      </cdr:nvSpPr>
      <cdr:spPr>
        <a:xfrm xmlns:a="http://schemas.openxmlformats.org/drawingml/2006/main">
          <a:off x="2218800" y="511921"/>
          <a:ext cx="1463150"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0.58547</cdr:x>
      <cdr:y>0.07465</cdr:y>
    </cdr:from>
    <cdr:to>
      <cdr:x>0.90703</cdr:x>
      <cdr:y>0.11714</cdr:y>
    </cdr:to>
    <cdr:sp macro="" textlink="'Calculs dispo Données FA'!$F$122">
      <cdr:nvSpPr>
        <cdr:cNvPr id="123" name="ZoneTexte 1"/>
        <cdr:cNvSpPr txBox="1"/>
      </cdr:nvSpPr>
      <cdr:spPr>
        <a:xfrm xmlns:a="http://schemas.openxmlformats.org/drawingml/2006/main">
          <a:off x="5916755" y="511921"/>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10E6E4C-A42A-4B98-9604-B150B805FF29}" type="TxLink">
            <a:rPr lang="fr-FR" sz="1100" b="1" i="1" u="none" strike="noStrike">
              <a:solidFill>
                <a:srgbClr val="C00000"/>
              </a:solidFill>
              <a:latin typeface="Arialri"/>
            </a:rPr>
            <a:pPr/>
            <a:t>Stocks centraux</a:t>
          </a:fld>
          <a:endParaRPr lang="fr-FR" sz="1100" b="1" i="1">
            <a:solidFill>
              <a:srgbClr val="C00000"/>
            </a:solidFill>
          </a:endParaRPr>
        </a:p>
      </cdr:txBody>
    </cdr:sp>
  </cdr:relSizeAnchor>
  <cdr:relSizeAnchor xmlns:cdr="http://schemas.openxmlformats.org/drawingml/2006/chartDrawing">
    <cdr:from>
      <cdr:x>0.89594</cdr:x>
      <cdr:y>0.21332</cdr:y>
    </cdr:from>
    <cdr:to>
      <cdr:x>0.96691</cdr:x>
      <cdr:y>0.23957</cdr:y>
    </cdr:to>
    <cdr:sp macro="" textlink="Calculs!$Z$195">
      <cdr:nvSpPr>
        <cdr:cNvPr id="11" name="ZoneTexte 10"/>
        <cdr:cNvSpPr txBox="1"/>
      </cdr:nvSpPr>
      <cdr:spPr>
        <a:xfrm xmlns:a="http://schemas.openxmlformats.org/drawingml/2006/main">
          <a:off x="9054374" y="1462948"/>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marL="0" indent="0" algn="l"/>
          <a:fld id="{9B0F15E3-7C99-46A8-A2E5-93C8657E82F0}" type="TxLink">
            <a:rPr lang="fr-FR" sz="1000" b="1" i="0" u="none" strike="noStrike">
              <a:solidFill>
                <a:srgbClr val="FFFFFF"/>
              </a:solidFill>
              <a:latin typeface="+mn-lt"/>
              <a:ea typeface="+mn-ea"/>
              <a:cs typeface="+mn-cs"/>
            </a:rPr>
            <a:pPr marL="0" indent="0" algn="l"/>
            <a:t>0</a:t>
          </a:fld>
          <a:endParaRPr lang="fr-FR" sz="1000" b="1">
            <a:latin typeface="+mn-lt"/>
            <a:ea typeface="+mn-ea"/>
            <a:cs typeface="+mn-cs"/>
          </a:endParaRPr>
        </a:p>
      </cdr:txBody>
    </cdr:sp>
  </cdr:relSizeAnchor>
  <cdr:relSizeAnchor xmlns:cdr="http://schemas.openxmlformats.org/drawingml/2006/chartDrawing">
    <cdr:from>
      <cdr:x>0.89594</cdr:x>
      <cdr:y>0.87928</cdr:y>
    </cdr:from>
    <cdr:to>
      <cdr:x>0.96691</cdr:x>
      <cdr:y>0.90553</cdr:y>
    </cdr:to>
    <cdr:sp macro="" textlink="Calculs!$Z$202">
      <cdr:nvSpPr>
        <cdr:cNvPr id="15" name="ZoneTexte 1"/>
        <cdr:cNvSpPr txBox="1"/>
      </cdr:nvSpPr>
      <cdr:spPr>
        <a:xfrm xmlns:a="http://schemas.openxmlformats.org/drawingml/2006/main">
          <a:off x="9054374" y="6030101"/>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3EBD99A-EE8D-423B-93CA-F6109DFDB597}" type="TxLink">
            <a:rPr lang="fr-FR" sz="1000" b="1" i="0" u="none" strike="noStrike">
              <a:solidFill>
                <a:srgbClr val="FFFFFF"/>
              </a:solidFill>
              <a:latin typeface="Calibri"/>
              <a:cs typeface="Calibri"/>
            </a:rPr>
            <a:pPr algn="l"/>
            <a:t>31</a:t>
          </a:fld>
          <a:endParaRPr lang="fr-FR" sz="1000" b="1"/>
        </a:p>
      </cdr:txBody>
    </cdr:sp>
  </cdr:relSizeAnchor>
  <cdr:relSizeAnchor xmlns:cdr="http://schemas.openxmlformats.org/drawingml/2006/chartDrawing">
    <cdr:from>
      <cdr:x>0.89594</cdr:x>
      <cdr:y>0.78415</cdr:y>
    </cdr:from>
    <cdr:to>
      <cdr:x>0.96691</cdr:x>
      <cdr:y>0.81039</cdr:y>
    </cdr:to>
    <cdr:sp macro="" textlink="Calculs!$Z$201">
      <cdr:nvSpPr>
        <cdr:cNvPr id="16" name="ZoneTexte 1"/>
        <cdr:cNvSpPr txBox="1"/>
      </cdr:nvSpPr>
      <cdr:spPr>
        <a:xfrm xmlns:a="http://schemas.openxmlformats.org/drawingml/2006/main">
          <a:off x="9054374" y="5377700"/>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E4420CB-844D-436B-A8B8-90ED7FC70AE1}"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0.68901</cdr:y>
    </cdr:from>
    <cdr:to>
      <cdr:x>0.96691</cdr:x>
      <cdr:y>0.71526</cdr:y>
    </cdr:to>
    <cdr:sp macro="" textlink="Calculs!$Z$200">
      <cdr:nvSpPr>
        <cdr:cNvPr id="17" name="ZoneTexte 1"/>
        <cdr:cNvSpPr txBox="1"/>
      </cdr:nvSpPr>
      <cdr:spPr>
        <a:xfrm xmlns:a="http://schemas.openxmlformats.org/drawingml/2006/main">
          <a:off x="9054374" y="4725230"/>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BFFACD-5179-45F2-9F24-90FC8FA3991B}" type="TxLink">
            <a:rPr lang="fr-FR" sz="1000" b="1" i="0" u="none" strike="noStrike">
              <a:solidFill>
                <a:srgbClr val="FFFFFF"/>
              </a:solidFill>
              <a:latin typeface="Calibri"/>
              <a:cs typeface="Calibri"/>
            </a:rPr>
            <a:pPr algn="l"/>
            <a:t>332</a:t>
          </a:fld>
          <a:endParaRPr lang="fr-FR" sz="1000" b="1"/>
        </a:p>
      </cdr:txBody>
    </cdr:sp>
  </cdr:relSizeAnchor>
  <cdr:relSizeAnchor xmlns:cdr="http://schemas.openxmlformats.org/drawingml/2006/chartDrawing">
    <cdr:from>
      <cdr:x>0.89594</cdr:x>
      <cdr:y>0.49874</cdr:y>
    </cdr:from>
    <cdr:to>
      <cdr:x>0.96691</cdr:x>
      <cdr:y>0.52498</cdr:y>
    </cdr:to>
    <cdr:sp macro="" textlink="Calculs!$Z$198">
      <cdr:nvSpPr>
        <cdr:cNvPr id="18" name="ZoneTexte 1"/>
        <cdr:cNvSpPr txBox="1"/>
      </cdr:nvSpPr>
      <cdr:spPr>
        <a:xfrm xmlns:a="http://schemas.openxmlformats.org/drawingml/2006/main">
          <a:off x="9054374" y="3420358"/>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99D982F-DB4C-4244-A8A7-BA523B911285}"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0.4036</cdr:y>
    </cdr:from>
    <cdr:to>
      <cdr:x>0.96691</cdr:x>
      <cdr:y>0.42984</cdr:y>
    </cdr:to>
    <cdr:sp macro="" textlink="Calculs!$Z$197">
      <cdr:nvSpPr>
        <cdr:cNvPr id="19" name="ZoneTexte 1"/>
        <cdr:cNvSpPr txBox="1"/>
      </cdr:nvSpPr>
      <cdr:spPr>
        <a:xfrm xmlns:a="http://schemas.openxmlformats.org/drawingml/2006/main">
          <a:off x="9054374" y="2767888"/>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4F53D87-1836-4EEC-825F-EE34403BF1C3}"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0.30846</cdr:y>
    </cdr:from>
    <cdr:to>
      <cdr:x>0.96691</cdr:x>
      <cdr:y>0.33471</cdr:y>
    </cdr:to>
    <cdr:sp macro="" textlink="Calculs!$Z$196">
      <cdr:nvSpPr>
        <cdr:cNvPr id="125" name="ZoneTexte 1"/>
        <cdr:cNvSpPr txBox="1"/>
      </cdr:nvSpPr>
      <cdr:spPr>
        <a:xfrm xmlns:a="http://schemas.openxmlformats.org/drawingml/2006/main">
          <a:off x="9054374" y="2115418"/>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EBED236-C99E-4C0B-A123-A3360417A498}"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0.59387</cdr:y>
    </cdr:from>
    <cdr:to>
      <cdr:x>0.96691</cdr:x>
      <cdr:y>0.62012</cdr:y>
    </cdr:to>
    <cdr:sp macro="" textlink="Calculs!$Z$199">
      <cdr:nvSpPr>
        <cdr:cNvPr id="126" name="ZoneTexte 1"/>
        <cdr:cNvSpPr txBox="1"/>
      </cdr:nvSpPr>
      <cdr:spPr>
        <a:xfrm xmlns:a="http://schemas.openxmlformats.org/drawingml/2006/main">
          <a:off x="9054374" y="4072760"/>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6528F57-F57D-4E53-9CF6-5E10B4D4E0A0}"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00" b="1"/>
            <a:pPr algn="l"/>
            <a:t> </a:t>
          </a:fld>
          <a:endParaRPr lang="fr-FR" sz="1000" b="1"/>
        </a:p>
      </cdr:txBody>
    </cdr:sp>
  </cdr:relSizeAnchor>
  <cdr:relSizeAnchor xmlns:cdr="http://schemas.openxmlformats.org/drawingml/2006/chartDrawing">
    <cdr:from>
      <cdr:x>0.93658</cdr:x>
      <cdr:y>0.21606</cdr:y>
    </cdr:from>
    <cdr:to>
      <cdr:x>0.99002</cdr:x>
      <cdr:y>0.2423</cdr:y>
    </cdr:to>
    <cdr:sp macro="" textlink="Calculs!$Z$249">
      <cdr:nvSpPr>
        <cdr:cNvPr id="74" name="ZoneTexte 73"/>
        <cdr:cNvSpPr txBox="1"/>
      </cdr:nvSpPr>
      <cdr:spPr>
        <a:xfrm xmlns:a="http://schemas.openxmlformats.org/drawingml/2006/main">
          <a:off x="9465106" y="1481739"/>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algn="l"/>
          <a:fld id="{24689DB8-BD3D-47F9-BFEA-35FA161EE4A4}"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0.87835</cdr:y>
    </cdr:from>
    <cdr:to>
      <cdr:x>0.99002</cdr:x>
      <cdr:y>0.90459</cdr:y>
    </cdr:to>
    <cdr:sp macro="" textlink="Calculs!$Z$256">
      <cdr:nvSpPr>
        <cdr:cNvPr id="77" name="ZoneTexte 1"/>
        <cdr:cNvSpPr txBox="1"/>
      </cdr:nvSpPr>
      <cdr:spPr>
        <a:xfrm xmlns:a="http://schemas.openxmlformats.org/drawingml/2006/main">
          <a:off x="9465106" y="6023723"/>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B1D46A2-95A0-4095-90DC-22FFC15300C3}"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0.78373</cdr:y>
    </cdr:from>
    <cdr:to>
      <cdr:x>0.99002</cdr:x>
      <cdr:y>0.80998</cdr:y>
    </cdr:to>
    <cdr:sp macro="" textlink="Calculs!$Z$255">
      <cdr:nvSpPr>
        <cdr:cNvPr id="78" name="ZoneTexte 1"/>
        <cdr:cNvSpPr txBox="1"/>
      </cdr:nvSpPr>
      <cdr:spPr>
        <a:xfrm xmlns:a="http://schemas.openxmlformats.org/drawingml/2006/main">
          <a:off x="9465106" y="5374820"/>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C81DF4B-008D-40A3-B59D-306A7CC2430C}"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0.68913</cdr:y>
    </cdr:from>
    <cdr:to>
      <cdr:x>0.99002</cdr:x>
      <cdr:y>0.71537</cdr:y>
    </cdr:to>
    <cdr:sp macro="" textlink="Calculs!$Z$254">
      <cdr:nvSpPr>
        <cdr:cNvPr id="79" name="ZoneTexte 1"/>
        <cdr:cNvSpPr txBox="1"/>
      </cdr:nvSpPr>
      <cdr:spPr>
        <a:xfrm xmlns:a="http://schemas.openxmlformats.org/drawingml/2006/main">
          <a:off x="9465106" y="4726053"/>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86D5BF-FA92-494C-B5AA-6DDFCD9A2DA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0.49989</cdr:y>
    </cdr:from>
    <cdr:to>
      <cdr:x>0.99002</cdr:x>
      <cdr:y>0.52614</cdr:y>
    </cdr:to>
    <cdr:sp macro="" textlink="Calculs!$Z$252">
      <cdr:nvSpPr>
        <cdr:cNvPr id="80" name="ZoneTexte 1"/>
        <cdr:cNvSpPr txBox="1"/>
      </cdr:nvSpPr>
      <cdr:spPr>
        <a:xfrm xmlns:a="http://schemas.openxmlformats.org/drawingml/2006/main">
          <a:off x="9465106" y="3428245"/>
          <a:ext cx="540066"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829084D-80D6-42D5-A71E-C9350DBA1480}"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0.40528</cdr:y>
    </cdr:from>
    <cdr:to>
      <cdr:x>0.99002</cdr:x>
      <cdr:y>0.43152</cdr:y>
    </cdr:to>
    <cdr:sp macro="" textlink="Calculs!$Z$251">
      <cdr:nvSpPr>
        <cdr:cNvPr id="81" name="ZoneTexte 1"/>
        <cdr:cNvSpPr txBox="1"/>
      </cdr:nvSpPr>
      <cdr:spPr>
        <a:xfrm xmlns:a="http://schemas.openxmlformats.org/drawingml/2006/main">
          <a:off x="9465106" y="2779410"/>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65ECA51-E6EB-41AF-8212-82B9D52319AE}"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0.31067</cdr:y>
    </cdr:from>
    <cdr:to>
      <cdr:x>0.99002</cdr:x>
      <cdr:y>0.33692</cdr:y>
    </cdr:to>
    <cdr:sp macro="" textlink="Calculs!$Z$250">
      <cdr:nvSpPr>
        <cdr:cNvPr id="130" name="ZoneTexte 1"/>
        <cdr:cNvSpPr txBox="1"/>
      </cdr:nvSpPr>
      <cdr:spPr>
        <a:xfrm xmlns:a="http://schemas.openxmlformats.org/drawingml/2006/main">
          <a:off x="9465106" y="2130575"/>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8665A04-D2B8-4A61-B48E-B98786C6697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0.59451</cdr:y>
    </cdr:from>
    <cdr:to>
      <cdr:x>0.99002</cdr:x>
      <cdr:y>0.62076</cdr:y>
    </cdr:to>
    <cdr:sp macro="" textlink="Calculs!$Z$253">
      <cdr:nvSpPr>
        <cdr:cNvPr id="131" name="ZoneTexte 1"/>
        <cdr:cNvSpPr txBox="1"/>
      </cdr:nvSpPr>
      <cdr:spPr>
        <a:xfrm xmlns:a="http://schemas.openxmlformats.org/drawingml/2006/main">
          <a:off x="9465106" y="4077149"/>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6EC726E-B841-4CFA-962B-4DCAF311034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0.82719</cdr:x>
      <cdr:y>0.94117</cdr:y>
    </cdr:from>
    <cdr:to>
      <cdr:x>0.90148</cdr:x>
      <cdr:y>0.97549</cdr:y>
    </cdr:to>
    <cdr:sp macro="" textlink="Calculs!$D$486">
      <cdr:nvSpPr>
        <cdr:cNvPr id="30" name="ZoneTexte 1"/>
        <cdr:cNvSpPr txBox="1"/>
      </cdr:nvSpPr>
      <cdr:spPr>
        <a:xfrm xmlns:a="http://schemas.openxmlformats.org/drawingml/2006/main">
          <a:off x="8359603" y="6454571"/>
          <a:ext cx="750776" cy="2353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88C9A044-8F15-4A41-9383-36FF71675F91}" type="TxLink">
            <a:rPr lang="fr-FR" sz="1000" b="1" i="1" u="none" strike="noStrike">
              <a:solidFill>
                <a:srgbClr val="000000"/>
              </a:solidFill>
              <a:latin typeface="Arialri"/>
            </a:rPr>
            <a:pPr/>
            <a:t>3 mois</a:t>
          </a:fld>
          <a:endParaRPr lang="fr-FR" sz="1000" b="1" i="1"/>
        </a:p>
      </cdr:txBody>
    </cdr:sp>
  </cdr:relSizeAnchor>
  <cdr:relSizeAnchor xmlns:cdr="http://schemas.openxmlformats.org/drawingml/2006/chartDrawing">
    <cdr:from>
      <cdr:x>0.40084</cdr:x>
      <cdr:y>0.04248</cdr:y>
    </cdr:from>
    <cdr:to>
      <cdr:x>0.6409</cdr:x>
      <cdr:y>0.08417</cdr:y>
    </cdr:to>
    <cdr:sp macro="" textlink="'TRAD-visualiz'!$B$5">
      <cdr:nvSpPr>
        <cdr:cNvPr id="31" name="ZoneTexte 6"/>
        <cdr:cNvSpPr txBox="1"/>
      </cdr:nvSpPr>
      <cdr:spPr>
        <a:xfrm xmlns:a="http://schemas.openxmlformats.org/drawingml/2006/main">
          <a:off x="4050880" y="291353"/>
          <a:ext cx="2426119"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8A047CD-53D4-435B-BCE1-52B7A30B11A8}"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0.62205</cdr:x>
      <cdr:y>0.04248</cdr:y>
    </cdr:from>
    <cdr:to>
      <cdr:x>0.8793</cdr:x>
      <cdr:y>0.08333</cdr:y>
    </cdr:to>
    <cdr:sp macro="" textlink="Calculs!$C$487">
      <cdr:nvSpPr>
        <cdr:cNvPr id="32" name="ZoneTexte 1"/>
        <cdr:cNvSpPr txBox="1"/>
      </cdr:nvSpPr>
      <cdr:spPr>
        <a:xfrm xmlns:a="http://schemas.openxmlformats.org/drawingml/2006/main">
          <a:off x="6286500" y="291353"/>
          <a:ext cx="259976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F5E9E0B-92FA-4E4A-A94A-A469CF9E1E0D}" type="TxLink">
            <a:rPr lang="fr-FR" sz="1100" b="1" i="1" u="none" strike="noStrike">
              <a:solidFill>
                <a:srgbClr val="C00000"/>
              </a:solidFill>
              <a:latin typeface="Arialri"/>
            </a:rPr>
            <a:pPr/>
            <a:t>Données suivi de file active</a:t>
          </a:fld>
          <a:endParaRPr lang="fr-FR" sz="1100" b="1" i="1">
            <a:solidFill>
              <a:srgbClr val="C00000"/>
            </a:solidFill>
          </a:endParaRPr>
        </a:p>
      </cdr:txBody>
    </cdr:sp>
  </cdr:relSizeAnchor>
  <cdr:relSizeAnchor xmlns:cdr="http://schemas.openxmlformats.org/drawingml/2006/chartDrawing">
    <cdr:from>
      <cdr:x>0.60653</cdr:x>
      <cdr:y>0.97876</cdr:y>
    </cdr:from>
    <cdr:to>
      <cdr:x>0.61873</cdr:x>
      <cdr:y>0.99183</cdr:y>
    </cdr:to>
    <cdr:sp macro="" textlink="">
      <cdr:nvSpPr>
        <cdr:cNvPr id="33" name="Rectangle 32"/>
        <cdr:cNvSpPr/>
      </cdr:nvSpPr>
      <cdr:spPr>
        <a:xfrm xmlns:a="http://schemas.openxmlformats.org/drawingml/2006/main">
          <a:off x="6129618" y="6712325"/>
          <a:ext cx="123265" cy="89647"/>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0.62095</cdr:x>
      <cdr:y>0.96732</cdr:y>
    </cdr:from>
    <cdr:to>
      <cdr:x>0.89577</cdr:x>
      <cdr:y>1</cdr:y>
    </cdr:to>
    <cdr:sp macro="" textlink="'TRAD-visualiz'!$B$10">
      <cdr:nvSpPr>
        <cdr:cNvPr id="34" name="ZoneTexte 2"/>
        <cdr:cNvSpPr txBox="1"/>
      </cdr:nvSpPr>
      <cdr:spPr>
        <a:xfrm xmlns:a="http://schemas.openxmlformats.org/drawingml/2006/main">
          <a:off x="6275296" y="6633883"/>
          <a:ext cx="2777378" cy="224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BB6443B-E06A-4C75-B657-5883FDBFBDB0}" type="TxLink">
            <a:rPr lang="en-US" sz="1000" b="0" i="0" u="none" strike="noStrike">
              <a:solidFill>
                <a:srgbClr val="000000"/>
              </a:solidFill>
              <a:latin typeface="Arialri"/>
              <a:cs typeface="Calibri"/>
            </a:rPr>
            <a:pPr/>
            <a:t>Période pendant laquelle le ST a été utilisé </a:t>
          </a:fld>
          <a:endParaRPr lang="fr-FR" sz="1000"/>
        </a:p>
      </cdr:txBody>
    </cdr:sp>
  </cdr:relSizeAnchor>
  <cdr:relSizeAnchor xmlns:cdr="http://schemas.openxmlformats.org/drawingml/2006/chartDrawing">
    <cdr:from>
      <cdr:x>0.95581</cdr:x>
      <cdr:y>0.17484</cdr:y>
    </cdr:from>
    <cdr:to>
      <cdr:x>0.99906</cdr:x>
      <cdr:y>0.99183</cdr:y>
    </cdr:to>
    <cdr:sp macro="" textlink="'TRAD-visualiz'!$B$13">
      <cdr:nvSpPr>
        <cdr:cNvPr id="35" name="ZoneTexte 34"/>
        <cdr:cNvSpPr txBox="1"/>
      </cdr:nvSpPr>
      <cdr:spPr>
        <a:xfrm xmlns:a="http://schemas.openxmlformats.org/drawingml/2006/main" rot="5400000">
          <a:off x="7076514" y="3781988"/>
          <a:ext cx="5602944" cy="437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ECF6979-0F48-432F-9142-B0F0DBDACB92}" type="TxLink">
            <a:rPr lang="en-US" sz="1000" b="0" i="0" u="none" strike="noStrike">
              <a:solidFill>
                <a:srgbClr val="000000"/>
              </a:solidFill>
              <a:latin typeface="Arialri"/>
              <a:cs typeface="Calibri"/>
            </a:rPr>
            <a:pPr/>
            <a:t>Attention, le nombre de patients présentés ici dépend des options thérapeutiques retenues, notemment l'utilisation de CDF pédiatriques - Voir paramétrage dans "Données à saisir" </a:t>
          </a:fld>
          <a:endParaRPr lang="fr-FR" sz="900" i="1"/>
        </a:p>
      </cdr:txBody>
    </cdr:sp>
  </cdr:relSizeAnchor>
  <cdr:relSizeAnchor xmlns:cdr="http://schemas.openxmlformats.org/drawingml/2006/chartDrawing">
    <cdr:from>
      <cdr:x>0.14747</cdr:x>
      <cdr:y>0.50163</cdr:y>
    </cdr:from>
    <cdr:to>
      <cdr:x>0.93185</cdr:x>
      <cdr:y>0.56336</cdr:y>
    </cdr:to>
    <cdr:sp macro="" textlink="">
      <cdr:nvSpPr>
        <cdr:cNvPr id="37" name="ZoneTexte 1"/>
        <cdr:cNvSpPr txBox="1"/>
      </cdr:nvSpPr>
      <cdr:spPr>
        <a:xfrm xmlns:a="http://schemas.openxmlformats.org/drawingml/2006/main" rot="19739527">
          <a:off x="1490383" y="3440206"/>
          <a:ext cx="7926916" cy="42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800" b="1">
              <a:solidFill>
                <a:srgbClr val="FF0000"/>
              </a:solidFill>
            </a:rPr>
            <a:t>Feuille non mise à jour dans la version 7.1</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0.01718</cdr:x>
      <cdr:y>0.07465</cdr:y>
    </cdr:from>
    <cdr:to>
      <cdr:x>0.24676</cdr:x>
      <cdr:y>0.11139</cdr:y>
    </cdr:to>
    <cdr:sp macro="" textlink="'TRAD-visualiz'!$B$4">
      <cdr:nvSpPr>
        <cdr:cNvPr id="7" name="ZoneTexte 6"/>
        <cdr:cNvSpPr txBox="1"/>
      </cdr:nvSpPr>
      <cdr:spPr>
        <a:xfrm xmlns:a="http://schemas.openxmlformats.org/drawingml/2006/main">
          <a:off x="173644" y="511921"/>
          <a:ext cx="2320141" cy="2520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9B208672-C276-4B97-AF6C-5CC9A3DB2C93}"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0.01718</cdr:x>
      <cdr:y>0.04248</cdr:y>
    </cdr:from>
    <cdr:to>
      <cdr:x>0.21058</cdr:x>
      <cdr:y>0.0798</cdr:y>
    </cdr:to>
    <cdr:sp macro="" textlink="'TRAD-visualiz'!$B$3">
      <cdr:nvSpPr>
        <cdr:cNvPr id="9" name="ZoneTexte 1"/>
        <cdr:cNvSpPr txBox="1"/>
      </cdr:nvSpPr>
      <cdr:spPr>
        <a:xfrm xmlns:a="http://schemas.openxmlformats.org/drawingml/2006/main">
          <a:off x="174613" y="292280"/>
          <a:ext cx="1965711" cy="2568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67E722A-5E24-4180-89AB-BDF88C7E81B4}"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0.18023</cdr:x>
      <cdr:y>0.04248</cdr:y>
    </cdr:from>
    <cdr:to>
      <cdr:x>0.32501</cdr:x>
      <cdr:y>0.07923</cdr:y>
    </cdr:to>
    <cdr:sp macro="" textlink="Paramétrage!$D$11">
      <cdr:nvSpPr>
        <cdr:cNvPr id="10" name="ZoneTexte 1"/>
        <cdr:cNvSpPr txBox="1"/>
      </cdr:nvSpPr>
      <cdr:spPr>
        <a:xfrm xmlns:a="http://schemas.openxmlformats.org/drawingml/2006/main">
          <a:off x="1831819" y="292280"/>
          <a:ext cx="1471505" cy="2528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mn-lt"/>
              <a:cs typeface="Calibri"/>
            </a:rPr>
            <a:pPr/>
            <a:t>TEST</a:t>
          </a:fld>
          <a:endParaRPr lang="fr-FR" sz="1050" b="1" i="1">
            <a:latin typeface="+mn-lt"/>
          </a:endParaRPr>
        </a:p>
      </cdr:txBody>
    </cdr:sp>
  </cdr:relSizeAnchor>
  <cdr:relSizeAnchor xmlns:cdr="http://schemas.openxmlformats.org/drawingml/2006/chartDrawing">
    <cdr:from>
      <cdr:x>0.86489</cdr:x>
      <cdr:y>0.09151</cdr:y>
    </cdr:from>
    <cdr:to>
      <cdr:x>0.99684</cdr:x>
      <cdr:y>0.17157</cdr:y>
    </cdr:to>
    <cdr:sp macro="" textlink="'TRAD-visualiz'!$B$8">
      <cdr:nvSpPr>
        <cdr:cNvPr id="12" name="ZoneTexte 11"/>
        <cdr:cNvSpPr txBox="1"/>
      </cdr:nvSpPr>
      <cdr:spPr>
        <a:xfrm xmlns:a="http://schemas.openxmlformats.org/drawingml/2006/main">
          <a:off x="8740588" y="627576"/>
          <a:ext cx="1333502"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9F1E4121-52C1-455A-9E3F-14E12BB81C31}" type="TxLink">
            <a:rPr lang="en-US" sz="1050" b="0" i="0" u="none" strike="noStrike">
              <a:solidFill>
                <a:srgbClr val="000000"/>
              </a:solidFill>
              <a:latin typeface="+mn-lt"/>
              <a:cs typeface="Calibri"/>
            </a:rPr>
            <a:pPr algn="ctr"/>
            <a:t>Nb de patients concernés / mois</a:t>
          </a:fld>
          <a:endParaRPr lang="fr-FR" sz="105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50">
              <a:latin typeface="+mn-lt"/>
            </a:rPr>
            <a:pPr/>
            <a:t> </a:t>
          </a:fld>
          <a:endParaRPr lang="fr-FR" sz="1050">
            <a:latin typeface="+mn-lt"/>
          </a:endParaRPr>
        </a:p>
      </cdr:txBody>
    </cdr:sp>
  </cdr:relSizeAnchor>
  <cdr:relSizeAnchor xmlns:cdr="http://schemas.openxmlformats.org/drawingml/2006/chartDrawing">
    <cdr:from>
      <cdr:x>0.33615</cdr:x>
      <cdr:y>0.07353</cdr:y>
    </cdr:from>
    <cdr:to>
      <cdr:x>0.52576</cdr:x>
      <cdr:y>0.11522</cdr:y>
    </cdr:to>
    <cdr:sp macro="" textlink="'TRAD-visualiz'!$B$6">
      <cdr:nvSpPr>
        <cdr:cNvPr id="119" name="ZoneTexte 6"/>
        <cdr:cNvSpPr txBox="1"/>
      </cdr:nvSpPr>
      <cdr:spPr>
        <a:xfrm xmlns:a="http://schemas.openxmlformats.org/drawingml/2006/main">
          <a:off x="3416555" y="505926"/>
          <a:ext cx="192714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AB43B6D-5BE1-4B54-8B92-949A8D3CCF1E}" type="TxLink">
            <a:rPr lang="en-US" sz="1050" b="0" i="0" u="none" strike="noStrike">
              <a:solidFill>
                <a:srgbClr val="000000"/>
              </a:solidFill>
              <a:latin typeface="+mn-lt"/>
              <a:cs typeface="Calibri"/>
            </a:rPr>
            <a:pPr/>
            <a:t>Nature des stocks considérés </a:t>
          </a:fld>
          <a:endParaRPr lang="fr-FR" sz="1050" i="1">
            <a:latin typeface="+mn-lt"/>
          </a:endParaRPr>
        </a:p>
      </cdr:txBody>
    </cdr:sp>
  </cdr:relSizeAnchor>
  <cdr:relSizeAnchor xmlns:cdr="http://schemas.openxmlformats.org/drawingml/2006/chartDrawing">
    <cdr:from>
      <cdr:x>0.20449</cdr:x>
      <cdr:y>0.07465</cdr:y>
    </cdr:from>
    <cdr:to>
      <cdr:x>0.34927</cdr:x>
      <cdr:y>0.11139</cdr:y>
    </cdr:to>
    <cdr:sp macro="" textlink="Paramétrage!$H$19">
      <cdr:nvSpPr>
        <cdr:cNvPr id="122" name="ZoneTexte 1"/>
        <cdr:cNvSpPr txBox="1"/>
      </cdr:nvSpPr>
      <cdr:spPr>
        <a:xfrm xmlns:a="http://schemas.openxmlformats.org/drawingml/2006/main">
          <a:off x="2078348" y="513623"/>
          <a:ext cx="1471506" cy="2527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0.5497</cdr:x>
      <cdr:y>0.0715</cdr:y>
    </cdr:from>
    <cdr:to>
      <cdr:x>0.87126</cdr:x>
      <cdr:y>0.11399</cdr:y>
    </cdr:to>
    <cdr:sp macro="" textlink="'Calculs dispo Données FA'!$F$179">
      <cdr:nvSpPr>
        <cdr:cNvPr id="123" name="ZoneTexte 1"/>
        <cdr:cNvSpPr txBox="1"/>
      </cdr:nvSpPr>
      <cdr:spPr>
        <a:xfrm xmlns:a="http://schemas.openxmlformats.org/drawingml/2006/main">
          <a:off x="5586970" y="491930"/>
          <a:ext cx="3268251"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26399F1-CEC7-410C-AE27-D990BA069FF9}" type="TxLink">
            <a:rPr lang="fr-FR" sz="1050" b="1" i="1" u="none" strike="noStrike">
              <a:solidFill>
                <a:srgbClr val="C00000"/>
              </a:solidFill>
              <a:latin typeface="+mn-lt"/>
              <a:cs typeface="Calibri"/>
            </a:rPr>
            <a:pPr/>
            <a:t>Stocks centraux &amp; Commandes</a:t>
          </a:fld>
          <a:endParaRPr lang="fr-FR" sz="1050" b="1" i="1">
            <a:solidFill>
              <a:srgbClr val="C00000"/>
            </a:solidFill>
            <a:latin typeface="+mn-lt"/>
          </a:endParaRPr>
        </a:p>
      </cdr:txBody>
    </cdr:sp>
  </cdr:relSizeAnchor>
  <cdr:relSizeAnchor xmlns:cdr="http://schemas.openxmlformats.org/drawingml/2006/chartDrawing">
    <cdr:from>
      <cdr:x>0.8904</cdr:x>
      <cdr:y>0.21659</cdr:y>
    </cdr:from>
    <cdr:to>
      <cdr:x>0.96137</cdr:x>
      <cdr:y>0.89082</cdr:y>
    </cdr:to>
    <cdr:grpSp>
      <cdr:nvGrpSpPr>
        <cdr:cNvPr id="40" name="Groupe 39"/>
        <cdr:cNvGrpSpPr/>
      </cdr:nvGrpSpPr>
      <cdr:grpSpPr>
        <a:xfrm xmlns:a="http://schemas.openxmlformats.org/drawingml/2006/main">
          <a:off x="9049790" y="1490228"/>
          <a:ext cx="721320" cy="4638981"/>
          <a:chOff x="8852686" y="1250037"/>
          <a:chExt cx="717225" cy="4623910"/>
        </a:xfrm>
      </cdr:grpSpPr>
      <cdr:sp macro="" textlink="Calculs!$S$195">
        <cdr:nvSpPr>
          <cdr:cNvPr id="11" name="ZoneTexte 10"/>
          <cdr:cNvSpPr txBox="1"/>
        </cdr:nvSpPr>
        <cdr:spPr>
          <a:xfrm xmlns:a="http://schemas.openxmlformats.org/drawingml/2006/main">
            <a:off x="8852686" y="1250037"/>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marL="0" indent="0" algn="l"/>
            <a:fld id="{D63CEE91-74E6-44FA-93DA-988162263CE6}" type="TxLink">
              <a:rPr lang="en-US" sz="1050" b="1" i="0" u="none" strike="noStrike">
                <a:solidFill>
                  <a:sysClr val="windowText" lastClr="000000"/>
                </a:solidFill>
                <a:latin typeface="+mn-lt"/>
                <a:ea typeface="+mn-ea"/>
                <a:cs typeface="+mn-cs"/>
              </a:rPr>
              <a:pPr marL="0" indent="0" algn="l"/>
              <a:t>0</a:t>
            </a:fld>
            <a:endParaRPr lang="fr-FR" sz="1050" b="1">
              <a:solidFill>
                <a:sysClr val="windowText" lastClr="000000"/>
              </a:solidFill>
              <a:latin typeface="+mn-lt"/>
              <a:ea typeface="+mn-ea"/>
              <a:cs typeface="+mn-cs"/>
            </a:endParaRPr>
          </a:p>
        </cdr:txBody>
      </cdr:sp>
      <cdr:sp macro="" textlink="Calculs!$S$202">
        <cdr:nvSpPr>
          <cdr:cNvPr id="15" name="ZoneTexte 1"/>
          <cdr:cNvSpPr txBox="1"/>
        </cdr:nvSpPr>
        <cdr:spPr>
          <a:xfrm xmlns:a="http://schemas.openxmlformats.org/drawingml/2006/main">
            <a:off x="8852686" y="5693924"/>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94A8881-C6DA-45D1-B1B6-21543C7F2D02}"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01">
        <cdr:nvSpPr>
          <cdr:cNvPr id="16" name="ZoneTexte 1"/>
          <cdr:cNvSpPr txBox="1"/>
        </cdr:nvSpPr>
        <cdr:spPr>
          <a:xfrm xmlns:a="http://schemas.openxmlformats.org/drawingml/2006/main">
            <a:off x="8852686" y="5059123"/>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92A3960-8006-409F-8568-80E8EA3D0E40}"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00">
        <cdr:nvSpPr>
          <cdr:cNvPr id="17" name="ZoneTexte 1"/>
          <cdr:cNvSpPr txBox="1"/>
        </cdr:nvSpPr>
        <cdr:spPr>
          <a:xfrm xmlns:a="http://schemas.openxmlformats.org/drawingml/2006/main">
            <a:off x="8852686" y="4424253"/>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C39A2F0-6313-4571-977D-6C63050274AF}"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198">
        <cdr:nvSpPr>
          <cdr:cNvPr id="18" name="ZoneTexte 1"/>
          <cdr:cNvSpPr txBox="1"/>
        </cdr:nvSpPr>
        <cdr:spPr>
          <a:xfrm xmlns:a="http://schemas.openxmlformats.org/drawingml/2006/main">
            <a:off x="8852686" y="3154581"/>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5EB258F-C7E8-47D6-B106-D6F991FA94D5}"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197">
        <cdr:nvSpPr>
          <cdr:cNvPr id="19" name="ZoneTexte 1"/>
          <cdr:cNvSpPr txBox="1"/>
        </cdr:nvSpPr>
        <cdr:spPr>
          <a:xfrm xmlns:a="http://schemas.openxmlformats.org/drawingml/2006/main">
            <a:off x="8852686" y="2519779"/>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13DA7D8-555C-4EF8-896C-117F652F8ED4}"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196">
        <cdr:nvSpPr>
          <cdr:cNvPr id="125" name="ZoneTexte 1"/>
          <cdr:cNvSpPr txBox="1"/>
        </cdr:nvSpPr>
        <cdr:spPr>
          <a:xfrm xmlns:a="http://schemas.openxmlformats.org/drawingml/2006/main">
            <a:off x="8852686" y="1884908"/>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5AA6B6-E55B-40A9-8907-D8AA2063F7E9}"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199">
        <cdr:nvSpPr>
          <cdr:cNvPr id="126" name="ZoneTexte 1"/>
          <cdr:cNvSpPr txBox="1"/>
        </cdr:nvSpPr>
        <cdr:spPr>
          <a:xfrm xmlns:a="http://schemas.openxmlformats.org/drawingml/2006/main">
            <a:off x="8852686" y="3789383"/>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9E9A86-8A90-4DA2-8BA4-62C6DA8272FA}"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grp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50" b="1">
              <a:latin typeface="+mn-lt"/>
            </a:rPr>
            <a:pPr algn="l"/>
            <a:t> </a:t>
          </a:fld>
          <a:endParaRPr lang="fr-FR" sz="1050" b="1">
            <a:latin typeface="+mn-lt"/>
          </a:endParaRPr>
        </a:p>
      </cdr:txBody>
    </cdr:sp>
  </cdr:relSizeAnchor>
  <cdr:relSizeAnchor xmlns:cdr="http://schemas.openxmlformats.org/drawingml/2006/chartDrawing">
    <cdr:from>
      <cdr:x>0.9388</cdr:x>
      <cdr:y>0.21659</cdr:y>
    </cdr:from>
    <cdr:to>
      <cdr:x>0.99224</cdr:x>
      <cdr:y>0.89052</cdr:y>
    </cdr:to>
    <cdr:grpSp>
      <cdr:nvGrpSpPr>
        <cdr:cNvPr id="41" name="Groupe 40"/>
        <cdr:cNvGrpSpPr/>
      </cdr:nvGrpSpPr>
      <cdr:grpSpPr>
        <a:xfrm xmlns:a="http://schemas.openxmlformats.org/drawingml/2006/main">
          <a:off x="9541714" y="1490228"/>
          <a:ext cx="543150" cy="4636916"/>
          <a:chOff x="8848778" y="1257621"/>
          <a:chExt cx="540066" cy="4609880"/>
        </a:xfrm>
      </cdr:grpSpPr>
      <cdr:sp macro="" textlink="Calculs!$S$249">
        <cdr:nvSpPr>
          <cdr:cNvPr id="74" name="ZoneTexte 73"/>
          <cdr:cNvSpPr txBox="1"/>
        </cdr:nvSpPr>
        <cdr:spPr>
          <a:xfrm xmlns:a="http://schemas.openxmlformats.org/drawingml/2006/main">
            <a:off x="8848778" y="1257621"/>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algn="l"/>
            <a:fld id="{9711BC1F-1EC7-415C-8B4C-E9947D06E9BD}"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6">
        <cdr:nvSpPr>
          <cdr:cNvPr id="77" name="ZoneTexte 1"/>
          <cdr:cNvSpPr txBox="1"/>
        </cdr:nvSpPr>
        <cdr:spPr>
          <a:xfrm xmlns:a="http://schemas.openxmlformats.org/drawingml/2006/main">
            <a:off x="8848778" y="5687547"/>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B878D5D-3F17-435A-BDCE-1BCEABD1A0AD}"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5">
        <cdr:nvSpPr>
          <cdr:cNvPr id="78" name="ZoneTexte 1"/>
          <cdr:cNvSpPr txBox="1"/>
        </cdr:nvSpPr>
        <cdr:spPr>
          <a:xfrm xmlns:a="http://schemas.openxmlformats.org/drawingml/2006/main">
            <a:off x="8848778" y="5054674"/>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F3FDFD-1847-4F03-95B0-92ACF34C82D8}"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4">
        <cdr:nvSpPr>
          <cdr:cNvPr id="79" name="ZoneTexte 1"/>
          <cdr:cNvSpPr txBox="1"/>
        </cdr:nvSpPr>
        <cdr:spPr>
          <a:xfrm xmlns:a="http://schemas.openxmlformats.org/drawingml/2006/main">
            <a:off x="8848778" y="4421866"/>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8E2FC3-B196-4464-B5ED-AC7713A7643E}"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2">
        <cdr:nvSpPr>
          <cdr:cNvPr id="80" name="ZoneTexte 1"/>
          <cdr:cNvSpPr txBox="1"/>
        </cdr:nvSpPr>
        <cdr:spPr>
          <a:xfrm xmlns:a="http://schemas.openxmlformats.org/drawingml/2006/main">
            <a:off x="8848778" y="3156113"/>
            <a:ext cx="540066"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C9C6899-DFC2-4A69-AB21-4CD3F65B2AB3}"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1">
        <cdr:nvSpPr>
          <cdr:cNvPr id="81" name="ZoneTexte 1"/>
          <cdr:cNvSpPr txBox="1"/>
        </cdr:nvSpPr>
        <cdr:spPr>
          <a:xfrm xmlns:a="http://schemas.openxmlformats.org/drawingml/2006/main">
            <a:off x="8848778" y="2523305"/>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9DBF500-BD9A-4D4B-AF14-47FB59773E5A}"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0">
        <cdr:nvSpPr>
          <cdr:cNvPr id="130" name="ZoneTexte 1"/>
          <cdr:cNvSpPr txBox="1"/>
        </cdr:nvSpPr>
        <cdr:spPr>
          <a:xfrm xmlns:a="http://schemas.openxmlformats.org/drawingml/2006/main">
            <a:off x="8848778" y="1890429"/>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B36E1829-AB4B-413C-BC38-8B8C934BB5B0}"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S$253">
        <cdr:nvSpPr>
          <cdr:cNvPr id="131" name="ZoneTexte 1"/>
          <cdr:cNvSpPr txBox="1"/>
        </cdr:nvSpPr>
        <cdr:spPr>
          <a:xfrm xmlns:a="http://schemas.openxmlformats.org/drawingml/2006/main">
            <a:off x="8848778" y="3788990"/>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D3187E7-B666-46DA-8EDB-2853A736FED9}" type="TxLink">
              <a:rPr lang="en-US"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grpSp>
  </cdr:relSizeAnchor>
  <cdr:relSizeAnchor xmlns:cdr="http://schemas.openxmlformats.org/drawingml/2006/chartDrawing">
    <cdr:from>
      <cdr:x>0.33615</cdr:x>
      <cdr:y>0.03922</cdr:y>
    </cdr:from>
    <cdr:to>
      <cdr:x>0.57621</cdr:x>
      <cdr:y>0.08091</cdr:y>
    </cdr:to>
    <cdr:sp macro="" textlink="'TRAD-visualiz'!$B$5">
      <cdr:nvSpPr>
        <cdr:cNvPr id="31" name="ZoneTexte 6"/>
        <cdr:cNvSpPr txBox="1"/>
      </cdr:nvSpPr>
      <cdr:spPr>
        <a:xfrm xmlns:a="http://schemas.openxmlformats.org/drawingml/2006/main">
          <a:off x="3416555" y="269868"/>
          <a:ext cx="243990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FB99998-EC1A-4493-85AD-C3ECA55AEDA7}" type="TxLink">
            <a:rPr lang="en-US" sz="1050" b="0" i="0" u="none" strike="noStrike">
              <a:solidFill>
                <a:srgbClr val="000000"/>
              </a:solidFill>
              <a:latin typeface="+mn-lt"/>
              <a:cs typeface="Calibri"/>
            </a:rPr>
            <a:pPr/>
            <a:t>Méthode / type de données utilisées </a:t>
          </a:fld>
          <a:endParaRPr lang="fr-FR" sz="1050" i="1">
            <a:latin typeface="+mn-lt"/>
          </a:endParaRPr>
        </a:p>
      </cdr:txBody>
    </cdr:sp>
  </cdr:relSizeAnchor>
  <cdr:relSizeAnchor xmlns:cdr="http://schemas.openxmlformats.org/drawingml/2006/chartDrawing">
    <cdr:from>
      <cdr:x>0.5497</cdr:x>
      <cdr:y>0.03922</cdr:y>
    </cdr:from>
    <cdr:to>
      <cdr:x>0.80695</cdr:x>
      <cdr:y>0.08007</cdr:y>
    </cdr:to>
    <cdr:sp macro="" textlink="Calculs!$C$487">
      <cdr:nvSpPr>
        <cdr:cNvPr id="32" name="ZoneTexte 1"/>
        <cdr:cNvSpPr txBox="1"/>
      </cdr:nvSpPr>
      <cdr:spPr>
        <a:xfrm xmlns:a="http://schemas.openxmlformats.org/drawingml/2006/main">
          <a:off x="5586970" y="269868"/>
          <a:ext cx="2614620" cy="28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F5E9E0B-92FA-4E4A-A94A-A469CF9E1E0D}" type="TxLink">
            <a:rPr lang="fr-FR" sz="1050" b="1" i="1" u="none" strike="noStrike">
              <a:solidFill>
                <a:srgbClr val="C00000"/>
              </a:solidFill>
              <a:latin typeface="+mn-lt"/>
            </a:rPr>
            <a:pPr/>
            <a:t>Données suivi de file active</a:t>
          </a:fld>
          <a:endParaRPr lang="fr-FR" sz="1050" b="1" i="1">
            <a:solidFill>
              <a:srgbClr val="C00000"/>
            </a:solidFill>
            <a:latin typeface="+mn-lt"/>
          </a:endParaRPr>
        </a:p>
      </cdr:txBody>
    </cdr:sp>
  </cdr:relSizeAnchor>
  <cdr:relSizeAnchor xmlns:cdr="http://schemas.openxmlformats.org/drawingml/2006/chartDrawing">
    <cdr:from>
      <cdr:x>0.50008</cdr:x>
      <cdr:y>0.98366</cdr:y>
    </cdr:from>
    <cdr:to>
      <cdr:x>0.51228</cdr:x>
      <cdr:y>0.99673</cdr:y>
    </cdr:to>
    <cdr:sp macro="" textlink="">
      <cdr:nvSpPr>
        <cdr:cNvPr id="33" name="Rectangle 32"/>
        <cdr:cNvSpPr/>
      </cdr:nvSpPr>
      <cdr:spPr>
        <a:xfrm xmlns:a="http://schemas.openxmlformats.org/drawingml/2006/main">
          <a:off x="5053843" y="6745953"/>
          <a:ext cx="123294" cy="89634"/>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sz="1050">
            <a:latin typeface="+mn-lt"/>
          </a:endParaRPr>
        </a:p>
      </cdr:txBody>
    </cdr:sp>
  </cdr:relSizeAnchor>
  <cdr:relSizeAnchor xmlns:cdr="http://schemas.openxmlformats.org/drawingml/2006/chartDrawing">
    <cdr:from>
      <cdr:x>0.5145</cdr:x>
      <cdr:y>0.97386</cdr:y>
    </cdr:from>
    <cdr:to>
      <cdr:x>0.78932</cdr:x>
      <cdr:y>1</cdr:y>
    </cdr:to>
    <cdr:sp macro="" textlink="'TRAD-visualiz'!$B$10">
      <cdr:nvSpPr>
        <cdr:cNvPr id="34" name="ZoneTexte 2"/>
        <cdr:cNvSpPr txBox="1"/>
      </cdr:nvSpPr>
      <cdr:spPr>
        <a:xfrm xmlns:a="http://schemas.openxmlformats.org/drawingml/2006/main">
          <a:off x="5199550" y="6678706"/>
          <a:ext cx="2777338" cy="1792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3E6A6D2-B0F6-426E-987B-0900262AF3F6}" type="TxLink">
            <a:rPr lang="en-US" sz="1050" b="0" i="0" u="none" strike="noStrike">
              <a:solidFill>
                <a:srgbClr val="000000"/>
              </a:solidFill>
              <a:latin typeface="+mn-lt"/>
              <a:cs typeface="Calibri"/>
            </a:rPr>
            <a:pPr/>
            <a:t>Période pendant laquelle le ST a été utilisé </a:t>
          </a:fld>
          <a:endParaRPr lang="fr-FR" sz="1050">
            <a:latin typeface="+mn-lt"/>
          </a:endParaRPr>
        </a:p>
      </cdr:txBody>
    </cdr:sp>
  </cdr:relSizeAnchor>
  <cdr:relSizeAnchor xmlns:cdr="http://schemas.openxmlformats.org/drawingml/2006/chartDrawing">
    <cdr:from>
      <cdr:x>0.95581</cdr:x>
      <cdr:y>0.17484</cdr:y>
    </cdr:from>
    <cdr:to>
      <cdr:x>0.99906</cdr:x>
      <cdr:y>0.99183</cdr:y>
    </cdr:to>
    <cdr:sp macro="" textlink="'TRAD-visualiz'!$B$13">
      <cdr:nvSpPr>
        <cdr:cNvPr id="35" name="ZoneTexte 34"/>
        <cdr:cNvSpPr txBox="1"/>
      </cdr:nvSpPr>
      <cdr:spPr>
        <a:xfrm xmlns:a="http://schemas.openxmlformats.org/drawingml/2006/main" rot="5400000">
          <a:off x="7076514" y="3781988"/>
          <a:ext cx="5602944" cy="437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6AC0700-DA85-4670-82EB-F2EF55DF9683}" type="TxLink">
            <a:rPr lang="en-US" sz="1050" b="0" i="0" u="none" strike="noStrike">
              <a:solidFill>
                <a:srgbClr val="000000"/>
              </a:solidFill>
              <a:latin typeface="+mn-lt"/>
              <a:cs typeface="Calibri"/>
            </a:rPr>
            <a:pPr/>
            <a:t>Attention, le nombre de patients présentés ici dépend des options thérapeutiques retenues, notemment l'utilisation de CDF pédiatriques - Voir paramétrage dans "Données à saisir" </a:t>
          </a:fld>
          <a:endParaRPr lang="fr-FR" sz="1050" i="1">
            <a:latin typeface="+mn-lt"/>
          </a:endParaRPr>
        </a:p>
      </cdr:txBody>
    </cdr:sp>
  </cdr:relSizeAnchor>
  <cdr:relSizeAnchor xmlns:cdr="http://schemas.openxmlformats.org/drawingml/2006/chartDrawing">
    <cdr:from>
      <cdr:x>0.33615</cdr:x>
      <cdr:y>0.10621</cdr:y>
    </cdr:from>
    <cdr:to>
      <cdr:x>0.48252</cdr:x>
      <cdr:y>0.1479</cdr:y>
    </cdr:to>
    <cdr:sp macro="" textlink="'TRAD-visualiz'!$B$7">
      <cdr:nvSpPr>
        <cdr:cNvPr id="37" name="ZoneTexte 6"/>
        <cdr:cNvSpPr txBox="1"/>
      </cdr:nvSpPr>
      <cdr:spPr>
        <a:xfrm xmlns:a="http://schemas.openxmlformats.org/drawingml/2006/main">
          <a:off x="3416555" y="730778"/>
          <a:ext cx="148766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7D84B58-AC58-48C5-8BA6-A8A4D965539F}" type="TxLink">
            <a:rPr lang="en-US" sz="1050" b="0" i="0" u="none" strike="noStrike">
              <a:solidFill>
                <a:srgbClr val="000000"/>
              </a:solidFill>
              <a:latin typeface="+mn-lt"/>
              <a:cs typeface="Calibri"/>
            </a:rPr>
            <a:pPr/>
            <a:t>Dates de péremption </a:t>
          </a:fld>
          <a:endParaRPr lang="fr-FR" sz="1050" i="1">
            <a:latin typeface="+mn-lt"/>
          </a:endParaRPr>
        </a:p>
      </cdr:txBody>
    </cdr:sp>
  </cdr:relSizeAnchor>
  <cdr:relSizeAnchor xmlns:cdr="http://schemas.openxmlformats.org/drawingml/2006/chartDrawing">
    <cdr:from>
      <cdr:x>0.5497</cdr:x>
      <cdr:y>0.10541</cdr:y>
    </cdr:from>
    <cdr:to>
      <cdr:x>0.87126</cdr:x>
      <cdr:y>0.1479</cdr:y>
    </cdr:to>
    <cdr:sp macro="" textlink="Calculs!$F$501">
      <cdr:nvSpPr>
        <cdr:cNvPr id="38" name="ZoneTexte 1"/>
        <cdr:cNvSpPr txBox="1"/>
      </cdr:nvSpPr>
      <cdr:spPr>
        <a:xfrm xmlns:a="http://schemas.openxmlformats.org/drawingml/2006/main">
          <a:off x="5586970" y="725274"/>
          <a:ext cx="3268251"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3AC17E0-2600-49D4-BBBC-9AF77015D6EF}"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0.31422</cdr:x>
      <cdr:y>0</cdr:y>
    </cdr:from>
    <cdr:to>
      <cdr:x>0.40419</cdr:x>
      <cdr:y>0.04886</cdr:y>
    </cdr:to>
    <cdr:sp macro="" textlink="'TRAD-visualiz'!$B$12">
      <cdr:nvSpPr>
        <cdr:cNvPr id="2" name="ZoneTexte 1"/>
        <cdr:cNvSpPr txBox="1"/>
      </cdr:nvSpPr>
      <cdr:spPr>
        <a:xfrm xmlns:a="http://schemas.openxmlformats.org/drawingml/2006/main">
          <a:off x="3193667" y="-33618"/>
          <a:ext cx="914431" cy="33616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8D621EAD-42BE-4FDA-8014-DDBB29725E3E}" type="TxLink">
            <a:rPr lang="fr-FR" sz="1600" b="1" i="0" u="none" strike="noStrike">
              <a:solidFill>
                <a:srgbClr val="FF0000"/>
              </a:solidFill>
              <a:latin typeface="+mn-lt"/>
              <a:cs typeface="Arial" pitchFamily="34" charset="0"/>
            </a:rPr>
            <a:pPr/>
            <a:t> Solutions buvables </a:t>
          </a:fld>
          <a:endParaRPr lang="fr-FR" sz="1600" b="1">
            <a:solidFill>
              <a:srgbClr val="FF0000"/>
            </a:solidFill>
            <a:latin typeface="+mn-lt"/>
            <a:cs typeface="Arial" pitchFamily="34" charset="0"/>
          </a:endParaRPr>
        </a:p>
      </cdr:txBody>
    </cdr:sp>
  </cdr:relSizeAnchor>
  <cdr:relSizeAnchor xmlns:cdr="http://schemas.openxmlformats.org/drawingml/2006/chartDrawing">
    <cdr:from>
      <cdr:x>0.8524</cdr:x>
      <cdr:y>0.0025</cdr:y>
    </cdr:from>
    <cdr:to>
      <cdr:x>1</cdr:x>
      <cdr:y>0.10136</cdr:y>
    </cdr:to>
    <cdr:pic>
      <cdr:nvPicPr>
        <cdr:cNvPr id="42" name="Image 4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17183"/>
          <a:ext cx="1500187" cy="680245"/>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0.01718</cdr:x>
      <cdr:y>0.07465</cdr:y>
    </cdr:from>
    <cdr:to>
      <cdr:x>0.24676</cdr:x>
      <cdr:y>0.11139</cdr:y>
    </cdr:to>
    <cdr:sp macro="" textlink="'TRAD-visualiz'!$B$4">
      <cdr:nvSpPr>
        <cdr:cNvPr id="7" name="ZoneTexte 6"/>
        <cdr:cNvSpPr txBox="1"/>
      </cdr:nvSpPr>
      <cdr:spPr>
        <a:xfrm xmlns:a="http://schemas.openxmlformats.org/drawingml/2006/main">
          <a:off x="173644" y="511921"/>
          <a:ext cx="2320141" cy="2520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A6148A8-0889-466B-A0EC-E48A7113941B}"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0.01718</cdr:x>
      <cdr:y>0.04248</cdr:y>
    </cdr:from>
    <cdr:to>
      <cdr:x>0.19626</cdr:x>
      <cdr:y>0.07353</cdr:y>
    </cdr:to>
    <cdr:sp macro="" textlink="'TRAD-visualiz'!$B$3">
      <cdr:nvSpPr>
        <cdr:cNvPr id="9" name="ZoneTexte 1"/>
        <cdr:cNvSpPr txBox="1"/>
      </cdr:nvSpPr>
      <cdr:spPr>
        <a:xfrm xmlns:a="http://schemas.openxmlformats.org/drawingml/2006/main">
          <a:off x="174613" y="292280"/>
          <a:ext cx="1820122" cy="2136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8B27804E-3E97-4222-A7DC-84AB2DC208BA}"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0.13558</cdr:x>
      <cdr:y>0.04248</cdr:y>
    </cdr:from>
    <cdr:to>
      <cdr:x>0.24563</cdr:x>
      <cdr:y>0.07843</cdr:y>
    </cdr:to>
    <cdr:sp macro="" textlink="Paramétrage!$D$11">
      <cdr:nvSpPr>
        <cdr:cNvPr id="10" name="ZoneTexte 1"/>
        <cdr:cNvSpPr txBox="1"/>
      </cdr:nvSpPr>
      <cdr:spPr>
        <a:xfrm xmlns:a="http://schemas.openxmlformats.org/drawingml/2006/main">
          <a:off x="1377982" y="292280"/>
          <a:ext cx="1118519" cy="2473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mn-lt"/>
              <a:cs typeface="Calibri"/>
            </a:rPr>
            <a:pPr/>
            <a:t>TEST</a:t>
          </a:fld>
          <a:endParaRPr lang="fr-FR" sz="1050" b="1" i="1">
            <a:latin typeface="+mn-lt"/>
          </a:endParaRPr>
        </a:p>
      </cdr:txBody>
    </cdr:sp>
  </cdr:relSizeAnchor>
  <cdr:relSizeAnchor xmlns:cdr="http://schemas.openxmlformats.org/drawingml/2006/chartDrawing">
    <cdr:from>
      <cdr:x>0.86489</cdr:x>
      <cdr:y>0.09151</cdr:y>
    </cdr:from>
    <cdr:to>
      <cdr:x>0.99684</cdr:x>
      <cdr:y>0.17157</cdr:y>
    </cdr:to>
    <cdr:sp macro="" textlink="'TRAD-visualiz'!$B$8">
      <cdr:nvSpPr>
        <cdr:cNvPr id="12" name="ZoneTexte 11"/>
        <cdr:cNvSpPr txBox="1"/>
      </cdr:nvSpPr>
      <cdr:spPr>
        <a:xfrm xmlns:a="http://schemas.openxmlformats.org/drawingml/2006/main">
          <a:off x="8740588" y="627576"/>
          <a:ext cx="1333502"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DB91543D-146F-4D63-8C20-88D6907332A2}" type="TxLink">
            <a:rPr lang="en-US" sz="1050" b="0" i="0" u="none" strike="noStrike">
              <a:solidFill>
                <a:srgbClr val="000000"/>
              </a:solidFill>
              <a:latin typeface="+mn-lt"/>
              <a:cs typeface="Calibri"/>
            </a:rPr>
            <a:pPr algn="ctr"/>
            <a:t>Nb de patients concernés / mois</a:t>
          </a:fld>
          <a:endParaRPr lang="fr-FR" sz="105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0.35103</cdr:x>
      <cdr:y>0.07761</cdr:y>
    </cdr:from>
    <cdr:to>
      <cdr:x>0.54064</cdr:x>
      <cdr:y>0.1196</cdr:y>
    </cdr:to>
    <cdr:sp macro="" textlink="'TRAD-visualiz'!$B$6">
      <cdr:nvSpPr>
        <cdr:cNvPr id="119" name="ZoneTexte 6"/>
        <cdr:cNvSpPr txBox="1"/>
      </cdr:nvSpPr>
      <cdr:spPr>
        <a:xfrm xmlns:a="http://schemas.openxmlformats.org/drawingml/2006/main">
          <a:off x="3567745" y="533980"/>
          <a:ext cx="1927146" cy="288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87E643A-29B6-4AEC-B2C9-1F10B690BB15}" type="TxLink">
            <a:rPr lang="en-US" sz="1050" b="0" i="0" u="none" strike="noStrike">
              <a:solidFill>
                <a:srgbClr val="000000"/>
              </a:solidFill>
              <a:latin typeface="+mn-lt"/>
              <a:cs typeface="Calibri"/>
            </a:rPr>
            <a:pPr/>
            <a:t>Nature des stocks considérés </a:t>
          </a:fld>
          <a:endParaRPr lang="fr-FR" sz="1050" i="1">
            <a:latin typeface="+mn-lt"/>
          </a:endParaRPr>
        </a:p>
      </cdr:txBody>
    </cdr:sp>
  </cdr:relSizeAnchor>
  <cdr:relSizeAnchor xmlns:cdr="http://schemas.openxmlformats.org/drawingml/2006/chartDrawing">
    <cdr:from>
      <cdr:x>0.20504</cdr:x>
      <cdr:y>0.07465</cdr:y>
    </cdr:from>
    <cdr:to>
      <cdr:x>0.34982</cdr:x>
      <cdr:y>0.11139</cdr:y>
    </cdr:to>
    <cdr:sp macro="" textlink="Paramétrage!$H$19">
      <cdr:nvSpPr>
        <cdr:cNvPr id="122" name="ZoneTexte 1"/>
        <cdr:cNvSpPr txBox="1"/>
      </cdr:nvSpPr>
      <cdr:spPr>
        <a:xfrm xmlns:a="http://schemas.openxmlformats.org/drawingml/2006/main">
          <a:off x="2083952" y="513623"/>
          <a:ext cx="1471506" cy="2527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0.55741</cdr:x>
      <cdr:y>0.07679</cdr:y>
    </cdr:from>
    <cdr:to>
      <cdr:x>0.87897</cdr:x>
      <cdr:y>0.11928</cdr:y>
    </cdr:to>
    <cdr:sp macro="" textlink="'Calculs dispo Données FA'!$F$122">
      <cdr:nvSpPr>
        <cdr:cNvPr id="123" name="ZoneTexte 1"/>
        <cdr:cNvSpPr txBox="1"/>
      </cdr:nvSpPr>
      <cdr:spPr>
        <a:xfrm xmlns:a="http://schemas.openxmlformats.org/drawingml/2006/main">
          <a:off x="5665336" y="528337"/>
          <a:ext cx="3268250"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10E6E4C-A42A-4B98-9604-B150B805FF29}" type="TxLink">
            <a:rPr lang="fr-FR" sz="1050" b="1" i="1" u="none" strike="noStrike">
              <a:solidFill>
                <a:srgbClr val="C00000"/>
              </a:solidFill>
              <a:latin typeface="+mn-lt"/>
            </a:rPr>
            <a:pPr/>
            <a:t>Stocks centraux</a:t>
          </a:fld>
          <a:endParaRPr lang="fr-FR" sz="1050" b="1" i="1">
            <a:solidFill>
              <a:srgbClr val="C00000"/>
            </a:solidFill>
            <a:latin typeface="+mn-lt"/>
          </a:endParaRPr>
        </a:p>
      </cdr:txBody>
    </cdr:sp>
  </cdr:relSizeAnchor>
  <cdr:relSizeAnchor xmlns:cdr="http://schemas.openxmlformats.org/drawingml/2006/chartDrawing">
    <cdr:from>
      <cdr:x>0.89261</cdr:x>
      <cdr:y>0.21822</cdr:y>
    </cdr:from>
    <cdr:to>
      <cdr:x>0.96358</cdr:x>
      <cdr:y>0.90033</cdr:y>
    </cdr:to>
    <cdr:grpSp>
      <cdr:nvGrpSpPr>
        <cdr:cNvPr id="40" name="Groupe 39"/>
        <cdr:cNvGrpSpPr/>
      </cdr:nvGrpSpPr>
      <cdr:grpSpPr>
        <a:xfrm xmlns:a="http://schemas.openxmlformats.org/drawingml/2006/main">
          <a:off x="9072251" y="1501444"/>
          <a:ext cx="721321" cy="4693197"/>
          <a:chOff x="8886303" y="1250037"/>
          <a:chExt cx="717225" cy="4747175"/>
        </a:xfrm>
      </cdr:grpSpPr>
      <cdr:sp macro="" textlink="Calculs!$Z$195">
        <cdr:nvSpPr>
          <cdr:cNvPr id="11" name="ZoneTexte 10"/>
          <cdr:cNvSpPr txBox="1"/>
        </cdr:nvSpPr>
        <cdr:spPr>
          <a:xfrm xmlns:a="http://schemas.openxmlformats.org/drawingml/2006/main">
            <a:off x="8886303" y="1250037"/>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marL="0" indent="0" algn="l"/>
            <a:fld id="{9B0F15E3-7C99-46A8-A2E5-93C8657E82F0}" type="TxLink">
              <a:rPr lang="fr-FR" sz="1050" b="1" i="0" u="none" strike="noStrike">
                <a:solidFill>
                  <a:sysClr val="windowText" lastClr="000000"/>
                </a:solidFill>
                <a:latin typeface="+mn-lt"/>
                <a:ea typeface="+mn-ea"/>
                <a:cs typeface="+mn-cs"/>
              </a:rPr>
              <a:pPr marL="0" indent="0" algn="l"/>
              <a:t>0</a:t>
            </a:fld>
            <a:endParaRPr lang="fr-FR" sz="1050" b="1">
              <a:solidFill>
                <a:sysClr val="windowText" lastClr="000000"/>
              </a:solidFill>
              <a:latin typeface="+mn-lt"/>
              <a:ea typeface="+mn-ea"/>
              <a:cs typeface="+mn-cs"/>
            </a:endParaRPr>
          </a:p>
        </cdr:txBody>
      </cdr:sp>
      <cdr:sp macro="" textlink="Calculs!$Z$202">
        <cdr:nvSpPr>
          <cdr:cNvPr id="15" name="ZoneTexte 1"/>
          <cdr:cNvSpPr txBox="1"/>
        </cdr:nvSpPr>
        <cdr:spPr>
          <a:xfrm xmlns:a="http://schemas.openxmlformats.org/drawingml/2006/main">
            <a:off x="8886303" y="5817189"/>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3EBD99A-EE8D-423B-93CA-F6109DFDB597}" type="TxLink">
              <a:rPr lang="fr-FR" sz="1050" b="1" i="0" u="none" strike="noStrike">
                <a:solidFill>
                  <a:sysClr val="windowText" lastClr="000000"/>
                </a:solidFill>
                <a:latin typeface="+mn-lt"/>
                <a:cs typeface="Calibri"/>
              </a:rPr>
              <a:pPr algn="l"/>
              <a:t>31</a:t>
            </a:fld>
            <a:endParaRPr lang="fr-FR" sz="1050" b="1">
              <a:solidFill>
                <a:sysClr val="windowText" lastClr="000000"/>
              </a:solidFill>
              <a:latin typeface="+mn-lt"/>
            </a:endParaRPr>
          </a:p>
        </cdr:txBody>
      </cdr:sp>
      <cdr:sp macro="" textlink="Calculs!$Z$201">
        <cdr:nvSpPr>
          <cdr:cNvPr id="16" name="ZoneTexte 1"/>
          <cdr:cNvSpPr txBox="1"/>
        </cdr:nvSpPr>
        <cdr:spPr>
          <a:xfrm xmlns:a="http://schemas.openxmlformats.org/drawingml/2006/main">
            <a:off x="8886303" y="5164777"/>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E4420CB-844D-436B-A8B8-90ED7FC70AE1}"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200">
        <cdr:nvSpPr>
          <cdr:cNvPr id="17" name="ZoneTexte 1"/>
          <cdr:cNvSpPr txBox="1"/>
        </cdr:nvSpPr>
        <cdr:spPr>
          <a:xfrm xmlns:a="http://schemas.openxmlformats.org/drawingml/2006/main">
            <a:off x="8886303" y="4512298"/>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BFFACD-5179-45F2-9F24-90FC8FA3991B}" type="TxLink">
              <a:rPr lang="fr-FR" sz="1050" b="1" i="0" u="none" strike="noStrike">
                <a:solidFill>
                  <a:sysClr val="windowText" lastClr="000000"/>
                </a:solidFill>
                <a:latin typeface="+mn-lt"/>
                <a:cs typeface="Calibri"/>
              </a:rPr>
              <a:pPr algn="l"/>
              <a:t>332</a:t>
            </a:fld>
            <a:endParaRPr lang="fr-FR" sz="1050" b="1">
              <a:solidFill>
                <a:sysClr val="windowText" lastClr="000000"/>
              </a:solidFill>
              <a:latin typeface="+mn-lt"/>
            </a:endParaRPr>
          </a:p>
        </cdr:txBody>
      </cdr:sp>
      <cdr:sp macro="" textlink="Calculs!$Z$198">
        <cdr:nvSpPr>
          <cdr:cNvPr id="18" name="ZoneTexte 1"/>
          <cdr:cNvSpPr txBox="1"/>
        </cdr:nvSpPr>
        <cdr:spPr>
          <a:xfrm xmlns:a="http://schemas.openxmlformats.org/drawingml/2006/main">
            <a:off x="8886303" y="3207408"/>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99D982F-DB4C-4244-A8A7-BA523B911285}"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197">
        <cdr:nvSpPr>
          <cdr:cNvPr id="19" name="ZoneTexte 1"/>
          <cdr:cNvSpPr txBox="1"/>
        </cdr:nvSpPr>
        <cdr:spPr>
          <a:xfrm xmlns:a="http://schemas.openxmlformats.org/drawingml/2006/main">
            <a:off x="8886303" y="2554997"/>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4F53D87-1836-4EEC-825F-EE34403BF1C3}"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196">
        <cdr:nvSpPr>
          <cdr:cNvPr id="125" name="ZoneTexte 1"/>
          <cdr:cNvSpPr txBox="1"/>
        </cdr:nvSpPr>
        <cdr:spPr>
          <a:xfrm xmlns:a="http://schemas.openxmlformats.org/drawingml/2006/main">
            <a:off x="8886303" y="1902517"/>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EBED236-C99E-4C0B-A123-A3360417A498}"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199">
        <cdr:nvSpPr>
          <cdr:cNvPr id="126" name="ZoneTexte 1"/>
          <cdr:cNvSpPr txBox="1"/>
        </cdr:nvSpPr>
        <cdr:spPr>
          <a:xfrm xmlns:a="http://schemas.openxmlformats.org/drawingml/2006/main">
            <a:off x="8886303" y="3859819"/>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6528F57-F57D-4E53-9CF6-5E10B4D4E0A0}"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grp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50" b="1">
              <a:latin typeface="+mn-lt"/>
            </a:rPr>
            <a:pPr algn="l"/>
            <a:t> </a:t>
          </a:fld>
          <a:endParaRPr lang="fr-FR" sz="1050" b="1">
            <a:latin typeface="+mn-lt"/>
          </a:endParaRPr>
        </a:p>
      </cdr:txBody>
    </cdr:sp>
  </cdr:relSizeAnchor>
  <cdr:relSizeAnchor xmlns:cdr="http://schemas.openxmlformats.org/drawingml/2006/chartDrawing">
    <cdr:from>
      <cdr:x>0.94102</cdr:x>
      <cdr:y>0.21732</cdr:y>
    </cdr:from>
    <cdr:to>
      <cdr:x>0.99446</cdr:x>
      <cdr:y>0.901</cdr:y>
    </cdr:to>
    <cdr:grpSp>
      <cdr:nvGrpSpPr>
        <cdr:cNvPr id="41" name="Groupe 40"/>
        <cdr:cNvGrpSpPr/>
      </cdr:nvGrpSpPr>
      <cdr:grpSpPr>
        <a:xfrm xmlns:a="http://schemas.openxmlformats.org/drawingml/2006/main">
          <a:off x="9564278" y="1495251"/>
          <a:ext cx="543150" cy="4704000"/>
          <a:chOff x="8848776" y="1257622"/>
          <a:chExt cx="540066" cy="4733144"/>
        </a:xfrm>
      </cdr:grpSpPr>
      <cdr:sp macro="" textlink="Calculs!$Z$249">
        <cdr:nvSpPr>
          <cdr:cNvPr id="74" name="ZoneTexte 73"/>
          <cdr:cNvSpPr txBox="1"/>
        </cdr:nvSpPr>
        <cdr:spPr>
          <a:xfrm xmlns:a="http://schemas.openxmlformats.org/drawingml/2006/main">
            <a:off x="8848776" y="1257622"/>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algn="l"/>
            <a:fld id="{24689DB8-BD3D-47F9-BFEA-35FA161EE4A4}"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256">
        <cdr:nvSpPr>
          <cdr:cNvPr id="77" name="ZoneTexte 1"/>
          <cdr:cNvSpPr txBox="1"/>
        </cdr:nvSpPr>
        <cdr:spPr>
          <a:xfrm xmlns:a="http://schemas.openxmlformats.org/drawingml/2006/main">
            <a:off x="8848776" y="5810812"/>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B1D46A2-95A0-4095-90DC-22FFC15300C3}"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255">
        <cdr:nvSpPr>
          <cdr:cNvPr id="78" name="ZoneTexte 1"/>
          <cdr:cNvSpPr txBox="1"/>
        </cdr:nvSpPr>
        <cdr:spPr>
          <a:xfrm xmlns:a="http://schemas.openxmlformats.org/drawingml/2006/main">
            <a:off x="8848776" y="5160329"/>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C81DF4B-008D-40A3-B59D-306A7CC2430C}"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254">
        <cdr:nvSpPr>
          <cdr:cNvPr id="79" name="ZoneTexte 1"/>
          <cdr:cNvSpPr txBox="1"/>
        </cdr:nvSpPr>
        <cdr:spPr>
          <a:xfrm xmlns:a="http://schemas.openxmlformats.org/drawingml/2006/main">
            <a:off x="8848776" y="4509912"/>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86D5BF-FA92-494C-B5AA-6DDFCD9A2DA9}"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252">
        <cdr:nvSpPr>
          <cdr:cNvPr id="80" name="ZoneTexte 1"/>
          <cdr:cNvSpPr txBox="1"/>
        </cdr:nvSpPr>
        <cdr:spPr>
          <a:xfrm xmlns:a="http://schemas.openxmlformats.org/drawingml/2006/main">
            <a:off x="8848776" y="3208941"/>
            <a:ext cx="540066"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829084D-80D6-42D5-A71E-C9350DBA1480}"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251">
        <cdr:nvSpPr>
          <cdr:cNvPr id="81" name="ZoneTexte 1"/>
          <cdr:cNvSpPr txBox="1"/>
        </cdr:nvSpPr>
        <cdr:spPr>
          <a:xfrm xmlns:a="http://schemas.openxmlformats.org/drawingml/2006/main">
            <a:off x="8848776" y="2558524"/>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65ECA51-E6EB-41AF-8212-82B9D52319AE}"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250">
        <cdr:nvSpPr>
          <cdr:cNvPr id="130" name="ZoneTexte 1"/>
          <cdr:cNvSpPr txBox="1"/>
        </cdr:nvSpPr>
        <cdr:spPr>
          <a:xfrm xmlns:a="http://schemas.openxmlformats.org/drawingml/2006/main">
            <a:off x="8848776" y="1908039"/>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8665A04-D2B8-4A61-B48E-B98786C66979}"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sp macro="" textlink="Calculs!$Z$253">
        <cdr:nvSpPr>
          <cdr:cNvPr id="131" name="ZoneTexte 1"/>
          <cdr:cNvSpPr txBox="1"/>
        </cdr:nvSpPr>
        <cdr:spPr>
          <a:xfrm xmlns:a="http://schemas.openxmlformats.org/drawingml/2006/main">
            <a:off x="8848776" y="3859427"/>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6EC726E-B841-4CFA-962B-4DCAF3110349}" type="TxLink">
              <a:rPr lang="fr-FR" sz="1050" b="1" i="0" u="none" strike="noStrike">
                <a:solidFill>
                  <a:sysClr val="windowText" lastClr="000000"/>
                </a:solidFill>
                <a:latin typeface="+mn-lt"/>
                <a:cs typeface="Calibri"/>
              </a:rPr>
              <a:pPr algn="l"/>
              <a:t>0</a:t>
            </a:fld>
            <a:endParaRPr lang="fr-FR" sz="1050" b="1">
              <a:solidFill>
                <a:sysClr val="windowText" lastClr="000000"/>
              </a:solidFill>
              <a:latin typeface="+mn-lt"/>
            </a:endParaRPr>
          </a:p>
        </cdr:txBody>
      </cdr:sp>
    </cdr:grpSp>
  </cdr:relSizeAnchor>
  <cdr:relSizeAnchor xmlns:cdr="http://schemas.openxmlformats.org/drawingml/2006/chartDrawing">
    <cdr:from>
      <cdr:x>0.35103</cdr:x>
      <cdr:y>0.04411</cdr:y>
    </cdr:from>
    <cdr:to>
      <cdr:x>0.59109</cdr:x>
      <cdr:y>0.0861</cdr:y>
    </cdr:to>
    <cdr:sp macro="" textlink="'TRAD-visualiz'!$B$5">
      <cdr:nvSpPr>
        <cdr:cNvPr id="31" name="ZoneTexte 6"/>
        <cdr:cNvSpPr txBox="1"/>
      </cdr:nvSpPr>
      <cdr:spPr>
        <a:xfrm xmlns:a="http://schemas.openxmlformats.org/drawingml/2006/main">
          <a:off x="3567745" y="303485"/>
          <a:ext cx="2439906" cy="288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4B642F1-C55F-4078-BA2B-FF4AE7220D8B}" type="TxLink">
            <a:rPr lang="en-US" sz="1050" b="0" i="0" u="none" strike="noStrike">
              <a:solidFill>
                <a:srgbClr val="000000"/>
              </a:solidFill>
              <a:latin typeface="+mn-lt"/>
              <a:cs typeface="Calibri"/>
            </a:rPr>
            <a:pPr/>
            <a:t>Méthode / type de données utilisées </a:t>
          </a:fld>
          <a:endParaRPr lang="fr-FR" sz="1050" i="1">
            <a:latin typeface="+mn-lt"/>
          </a:endParaRPr>
        </a:p>
      </cdr:txBody>
    </cdr:sp>
  </cdr:relSizeAnchor>
  <cdr:relSizeAnchor xmlns:cdr="http://schemas.openxmlformats.org/drawingml/2006/chartDrawing">
    <cdr:from>
      <cdr:x>0.55741</cdr:x>
      <cdr:y>0.04411</cdr:y>
    </cdr:from>
    <cdr:to>
      <cdr:x>0.81466</cdr:x>
      <cdr:y>0.08496</cdr:y>
    </cdr:to>
    <cdr:sp macro="" textlink="Calculs!$J$488">
      <cdr:nvSpPr>
        <cdr:cNvPr id="32" name="ZoneTexte 1"/>
        <cdr:cNvSpPr txBox="1"/>
      </cdr:nvSpPr>
      <cdr:spPr>
        <a:xfrm xmlns:a="http://schemas.openxmlformats.org/drawingml/2006/main">
          <a:off x="5665336" y="303485"/>
          <a:ext cx="2614621" cy="28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B269EF9-56FE-4B7B-A165-5696A3E2B21C}" type="TxLink">
            <a:rPr lang="fr-FR" sz="1050" b="1" i="1" u="none" strike="noStrike">
              <a:solidFill>
                <a:srgbClr val="C00000"/>
              </a:solidFill>
              <a:latin typeface="+mn-lt"/>
            </a:rPr>
            <a:pPr/>
            <a:t>Données de consommation</a:t>
          </a:fld>
          <a:endParaRPr lang="fr-FR" sz="1050" b="1" i="1">
            <a:solidFill>
              <a:srgbClr val="C00000"/>
            </a:solidFill>
            <a:latin typeface="+mn-lt"/>
          </a:endParaRPr>
        </a:p>
      </cdr:txBody>
    </cdr:sp>
  </cdr:relSizeAnchor>
  <cdr:relSizeAnchor xmlns:cdr="http://schemas.openxmlformats.org/drawingml/2006/chartDrawing">
    <cdr:from>
      <cdr:x>0.55774</cdr:x>
      <cdr:y>0.98039</cdr:y>
    </cdr:from>
    <cdr:to>
      <cdr:x>0.56994</cdr:x>
      <cdr:y>0.99346</cdr:y>
    </cdr:to>
    <cdr:sp macro="" textlink="">
      <cdr:nvSpPr>
        <cdr:cNvPr id="33" name="Rectangle 32"/>
        <cdr:cNvSpPr/>
      </cdr:nvSpPr>
      <cdr:spPr>
        <a:xfrm xmlns:a="http://schemas.openxmlformats.org/drawingml/2006/main">
          <a:off x="5636548" y="6723541"/>
          <a:ext cx="123294" cy="89634"/>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sz="1050">
            <a:latin typeface="+mn-lt"/>
          </a:endParaRPr>
        </a:p>
      </cdr:txBody>
    </cdr:sp>
  </cdr:relSizeAnchor>
  <cdr:relSizeAnchor xmlns:cdr="http://schemas.openxmlformats.org/drawingml/2006/chartDrawing">
    <cdr:from>
      <cdr:x>0.56329</cdr:x>
      <cdr:y>0.96732</cdr:y>
    </cdr:from>
    <cdr:to>
      <cdr:x>0.83811</cdr:x>
      <cdr:y>1</cdr:y>
    </cdr:to>
    <cdr:sp macro="" textlink="'TRAD-visualiz'!$B$10">
      <cdr:nvSpPr>
        <cdr:cNvPr id="34" name="ZoneTexte 2"/>
        <cdr:cNvSpPr txBox="1"/>
      </cdr:nvSpPr>
      <cdr:spPr>
        <a:xfrm xmlns:a="http://schemas.openxmlformats.org/drawingml/2006/main">
          <a:off x="5692630" y="6633880"/>
          <a:ext cx="2777338" cy="224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E9299D2-2E2B-4514-A3A0-BB558FFBB586}" type="TxLink">
            <a:rPr lang="en-US" sz="1050" b="0" i="0" u="none" strike="noStrike">
              <a:solidFill>
                <a:srgbClr val="000000"/>
              </a:solidFill>
              <a:latin typeface="+mn-lt"/>
              <a:cs typeface="Calibri"/>
            </a:rPr>
            <a:pPr/>
            <a:t>Période pendant laquelle le ST a été utilisé </a:t>
          </a:fld>
          <a:endParaRPr lang="fr-FR" sz="1050">
            <a:latin typeface="+mn-lt"/>
          </a:endParaRPr>
        </a:p>
      </cdr:txBody>
    </cdr:sp>
  </cdr:relSizeAnchor>
  <cdr:relSizeAnchor xmlns:cdr="http://schemas.openxmlformats.org/drawingml/2006/chartDrawing">
    <cdr:from>
      <cdr:x>0.95581</cdr:x>
      <cdr:y>0.17484</cdr:y>
    </cdr:from>
    <cdr:to>
      <cdr:x>0.99906</cdr:x>
      <cdr:y>0.99183</cdr:y>
    </cdr:to>
    <cdr:sp macro="" textlink="'TRAD-visualiz'!$B$13">
      <cdr:nvSpPr>
        <cdr:cNvPr id="35" name="ZoneTexte 34"/>
        <cdr:cNvSpPr txBox="1"/>
      </cdr:nvSpPr>
      <cdr:spPr>
        <a:xfrm xmlns:a="http://schemas.openxmlformats.org/drawingml/2006/main" rot="5400000">
          <a:off x="7076514" y="3781988"/>
          <a:ext cx="5602944" cy="437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F735016-2C04-4E71-B62A-36AE07C54BBC}" type="TxLink">
            <a:rPr lang="en-US" sz="1050" b="0" i="0" u="none" strike="noStrike">
              <a:solidFill>
                <a:srgbClr val="000000"/>
              </a:solidFill>
              <a:latin typeface="+mn-lt"/>
              <a:cs typeface="Calibri"/>
            </a:rPr>
            <a:pPr/>
            <a:t>Attention, le nombre de patients présentés ici dépend des options thérapeutiques retenues, notemment l'utilisation de CDF pédiatriques - Voir paramétrage dans "Données à saisir" </a:t>
          </a:fld>
          <a:endParaRPr lang="fr-FR" sz="1050" i="1">
            <a:latin typeface="+mn-lt"/>
          </a:endParaRPr>
        </a:p>
      </cdr:txBody>
    </cdr:sp>
  </cdr:relSizeAnchor>
  <cdr:relSizeAnchor xmlns:cdr="http://schemas.openxmlformats.org/drawingml/2006/chartDrawing">
    <cdr:from>
      <cdr:x>0.35103</cdr:x>
      <cdr:y>0.11161</cdr:y>
    </cdr:from>
    <cdr:to>
      <cdr:x>0.49739</cdr:x>
      <cdr:y>0.1536</cdr:y>
    </cdr:to>
    <cdr:sp macro="" textlink="'TRAD-visualiz'!$B$7">
      <cdr:nvSpPr>
        <cdr:cNvPr id="37" name="ZoneTexte 6"/>
        <cdr:cNvSpPr txBox="1"/>
      </cdr:nvSpPr>
      <cdr:spPr>
        <a:xfrm xmlns:a="http://schemas.openxmlformats.org/drawingml/2006/main">
          <a:off x="3567745" y="767913"/>
          <a:ext cx="1487564" cy="288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6F79484-7D98-4B10-A104-8C977D86BC17}" type="TxLink">
            <a:rPr lang="en-US" sz="1050" b="0" i="0" u="none" strike="noStrike">
              <a:solidFill>
                <a:srgbClr val="000000"/>
              </a:solidFill>
              <a:latin typeface="+mn-lt"/>
              <a:cs typeface="Calibri"/>
            </a:rPr>
            <a:pPr/>
            <a:t>Dates de péremption </a:t>
          </a:fld>
          <a:endParaRPr lang="fr-FR" sz="1050" i="1">
            <a:latin typeface="+mn-lt"/>
          </a:endParaRPr>
        </a:p>
      </cdr:txBody>
    </cdr:sp>
  </cdr:relSizeAnchor>
  <cdr:relSizeAnchor xmlns:cdr="http://schemas.openxmlformats.org/drawingml/2006/chartDrawing">
    <cdr:from>
      <cdr:x>0.55741</cdr:x>
      <cdr:y>0.11111</cdr:y>
    </cdr:from>
    <cdr:to>
      <cdr:x>0.87897</cdr:x>
      <cdr:y>0.1536</cdr:y>
    </cdr:to>
    <cdr:sp macro="" textlink="Calculs!$F$501">
      <cdr:nvSpPr>
        <cdr:cNvPr id="38" name="ZoneTexte 1"/>
        <cdr:cNvSpPr txBox="1"/>
      </cdr:nvSpPr>
      <cdr:spPr>
        <a:xfrm xmlns:a="http://schemas.openxmlformats.org/drawingml/2006/main">
          <a:off x="5665336" y="764473"/>
          <a:ext cx="3268250"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37797F0-2488-4018-9957-A9C81AD61F4F}"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0.31092</cdr:x>
      <cdr:y>0</cdr:y>
    </cdr:from>
    <cdr:to>
      <cdr:x>0.40089</cdr:x>
      <cdr:y>0.04886</cdr:y>
    </cdr:to>
    <cdr:sp macro="" textlink="'TRAD-visualiz'!$B$12">
      <cdr:nvSpPr>
        <cdr:cNvPr id="42" name="ZoneTexte 1"/>
        <cdr:cNvSpPr txBox="1"/>
      </cdr:nvSpPr>
      <cdr:spPr>
        <a:xfrm xmlns:a="http://schemas.openxmlformats.org/drawingml/2006/main">
          <a:off x="3160058" y="-33618"/>
          <a:ext cx="914431" cy="3361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3294232-3657-4356-86EB-6B6B2144A9EA}" type="TxLink">
            <a:rPr lang="en-US" sz="1600" b="1" i="0" u="none" strike="noStrike">
              <a:solidFill>
                <a:srgbClr val="FF0000"/>
              </a:solidFill>
              <a:latin typeface="Calibri"/>
              <a:cs typeface="Calibri"/>
            </a:rPr>
            <a:pPr/>
            <a:t> Solutions buvables </a:t>
          </a:fld>
          <a:endParaRPr lang="fr-FR" sz="3200" b="1">
            <a:solidFill>
              <a:srgbClr val="FF0000"/>
            </a:solidFill>
            <a:latin typeface="Calibri"/>
            <a:cs typeface="Arial" pitchFamily="34" charset="0"/>
          </a:endParaRPr>
        </a:p>
      </cdr:txBody>
    </cdr:sp>
  </cdr:relSizeAnchor>
  <cdr:relSizeAnchor xmlns:cdr="http://schemas.openxmlformats.org/drawingml/2006/chartDrawing">
    <cdr:from>
      <cdr:x>0.8524</cdr:x>
      <cdr:y>0.0025</cdr:y>
    </cdr:from>
    <cdr:to>
      <cdr:x>1</cdr:x>
      <cdr:y>0.10136</cdr:y>
    </cdr:to>
    <cdr:pic>
      <cdr:nvPicPr>
        <cdr:cNvPr id="43" name="Image 42"/>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17182"/>
          <a:ext cx="1500187" cy="680245"/>
        </a:xfrm>
        <a:prstGeom xmlns:a="http://schemas.openxmlformats.org/drawingml/2006/main" prst="rect">
          <a:avLst/>
        </a:prstGeom>
      </cdr:spPr>
    </cdr:pic>
  </cdr:relSizeAnchor>
</c:userShapes>
</file>

<file path=xl/drawings/drawing39.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editAs="oneCell">
    <xdr:from>
      <xdr:col>14</xdr:col>
      <xdr:colOff>348249</xdr:colOff>
      <xdr:row>4</xdr:row>
      <xdr:rowOff>19050</xdr:rowOff>
    </xdr:from>
    <xdr:to>
      <xdr:col>16</xdr:col>
      <xdr:colOff>405</xdr:colOff>
      <xdr:row>5</xdr:row>
      <xdr:rowOff>0</xdr:rowOff>
    </xdr:to>
    <xdr:pic>
      <xdr:nvPicPr>
        <xdr:cNvPr id="2" name="Image 1" descr="logo_DEF réduit 2.jpg"/>
        <xdr:cNvPicPr>
          <a:picLocks noChangeAspect="1"/>
        </xdr:cNvPicPr>
      </xdr:nvPicPr>
      <xdr:blipFill>
        <a:blip xmlns:r="http://schemas.openxmlformats.org/officeDocument/2006/relationships" r:embed="rId1" cstate="print"/>
        <a:stretch>
          <a:fillRect/>
        </a:stretch>
      </xdr:blipFill>
      <xdr:spPr>
        <a:xfrm>
          <a:off x="10301874" y="190500"/>
          <a:ext cx="1099956" cy="476250"/>
        </a:xfrm>
        <a:prstGeom prst="rect">
          <a:avLst/>
        </a:prstGeom>
        <a:noFill/>
        <a:ln>
          <a:noFill/>
        </a:ln>
      </xdr:spPr>
    </xdr:pic>
    <xdr:clientData/>
  </xdr:twoCellAnchor>
</xdr:wsDr>
</file>

<file path=xl/drawings/drawing40.xml><?xml version="1.0" encoding="utf-8"?>
<c:userShapes xmlns:c="http://schemas.openxmlformats.org/drawingml/2006/chart">
  <cdr:relSizeAnchor xmlns:cdr="http://schemas.openxmlformats.org/drawingml/2006/chartDrawing">
    <cdr:from>
      <cdr:x>0.01718</cdr:x>
      <cdr:y>0.07465</cdr:y>
    </cdr:from>
    <cdr:to>
      <cdr:x>0.24676</cdr:x>
      <cdr:y>0.11139</cdr:y>
    </cdr:to>
    <cdr:sp macro="" textlink="'TRAD-visualiz'!$B$4">
      <cdr:nvSpPr>
        <cdr:cNvPr id="7" name="ZoneTexte 6"/>
        <cdr:cNvSpPr txBox="1"/>
      </cdr:nvSpPr>
      <cdr:spPr>
        <a:xfrm xmlns:a="http://schemas.openxmlformats.org/drawingml/2006/main">
          <a:off x="173644" y="511921"/>
          <a:ext cx="2320141" cy="2520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C4AD623F-B9C0-4584-ACB6-3BC9196BDA71}"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0.01718</cdr:x>
      <cdr:y>0.04248</cdr:y>
    </cdr:from>
    <cdr:to>
      <cdr:x>0.16075</cdr:x>
      <cdr:y>0.07923</cdr:y>
    </cdr:to>
    <cdr:sp macro="" textlink="'TRAD-visualiz'!$B$3">
      <cdr:nvSpPr>
        <cdr:cNvPr id="9" name="ZoneTexte 1"/>
        <cdr:cNvSpPr txBox="1"/>
      </cdr:nvSpPr>
      <cdr:spPr>
        <a:xfrm xmlns:a="http://schemas.openxmlformats.org/drawingml/2006/main">
          <a:off x="173644" y="291353"/>
          <a:ext cx="1450922"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7F85E61-CB3B-4F67-A8B5-7DACF10495ED}"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0.15377</cdr:x>
      <cdr:y>0.04248</cdr:y>
    </cdr:from>
    <cdr:to>
      <cdr:x>0.29855</cdr:x>
      <cdr:y>0.07923</cdr:y>
    </cdr:to>
    <cdr:sp macro="" textlink="Paramétrage!$D$11">
      <cdr:nvSpPr>
        <cdr:cNvPr id="10" name="ZoneTexte 1"/>
        <cdr:cNvSpPr txBox="1"/>
      </cdr:nvSpPr>
      <cdr:spPr>
        <a:xfrm xmlns:a="http://schemas.openxmlformats.org/drawingml/2006/main">
          <a:off x="1554003" y="291353"/>
          <a:ext cx="1463151"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0.86489</cdr:x>
      <cdr:y>0.09151</cdr:y>
    </cdr:from>
    <cdr:to>
      <cdr:x>0.99684</cdr:x>
      <cdr:y>0.17157</cdr:y>
    </cdr:to>
    <cdr:sp macro="" textlink="'TRAD-visualiz'!$B$8">
      <cdr:nvSpPr>
        <cdr:cNvPr id="12" name="ZoneTexte 11"/>
        <cdr:cNvSpPr txBox="1"/>
      </cdr:nvSpPr>
      <cdr:spPr>
        <a:xfrm xmlns:a="http://schemas.openxmlformats.org/drawingml/2006/main">
          <a:off x="8740588" y="627576"/>
          <a:ext cx="1333502"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CD083569-C352-46AA-B3AD-33E93469A520}"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0.86682</cdr:x>
      <cdr:y>0.01154</cdr:y>
    </cdr:from>
    <cdr:to>
      <cdr:x>0.98914</cdr:x>
      <cdr:y>0.09804</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60078" y="79140"/>
          <a:ext cx="1236168" cy="593213"/>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0.40084</cdr:x>
      <cdr:y>0.07465</cdr:y>
    </cdr:from>
    <cdr:to>
      <cdr:x>0.59045</cdr:x>
      <cdr:y>0.11634</cdr:y>
    </cdr:to>
    <cdr:sp macro="" textlink="'TRAD-visualiz'!$B$6">
      <cdr:nvSpPr>
        <cdr:cNvPr id="119" name="ZoneTexte 6"/>
        <cdr:cNvSpPr txBox="1"/>
      </cdr:nvSpPr>
      <cdr:spPr>
        <a:xfrm xmlns:a="http://schemas.openxmlformats.org/drawingml/2006/main">
          <a:off x="4050880" y="511921"/>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036656A-9690-4625-B706-560EF5412E25}"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0.21955</cdr:x>
      <cdr:y>0.07465</cdr:y>
    </cdr:from>
    <cdr:to>
      <cdr:x>0.36433</cdr:x>
      <cdr:y>0.11139</cdr:y>
    </cdr:to>
    <cdr:sp macro="" textlink="Paramétrage!$H$19">
      <cdr:nvSpPr>
        <cdr:cNvPr id="122" name="ZoneTexte 1"/>
        <cdr:cNvSpPr txBox="1"/>
      </cdr:nvSpPr>
      <cdr:spPr>
        <a:xfrm xmlns:a="http://schemas.openxmlformats.org/drawingml/2006/main">
          <a:off x="2218800" y="511921"/>
          <a:ext cx="1463150" cy="252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0.58547</cdr:x>
      <cdr:y>0.07465</cdr:y>
    </cdr:from>
    <cdr:to>
      <cdr:x>0.90703</cdr:x>
      <cdr:y>0.11714</cdr:y>
    </cdr:to>
    <cdr:sp macro="" textlink="'Calculs dispo Données FA'!$F$122">
      <cdr:nvSpPr>
        <cdr:cNvPr id="123" name="ZoneTexte 1"/>
        <cdr:cNvSpPr txBox="1"/>
      </cdr:nvSpPr>
      <cdr:spPr>
        <a:xfrm xmlns:a="http://schemas.openxmlformats.org/drawingml/2006/main">
          <a:off x="5916755" y="511921"/>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10E6E4C-A42A-4B98-9604-B150B805FF29}" type="TxLink">
            <a:rPr lang="fr-FR" sz="1100" b="1" i="1" u="none" strike="noStrike">
              <a:solidFill>
                <a:srgbClr val="C00000"/>
              </a:solidFill>
              <a:latin typeface="Arialri"/>
            </a:rPr>
            <a:pPr/>
            <a:t>Stocks centraux</a:t>
          </a:fld>
          <a:endParaRPr lang="fr-FR" sz="1100" b="1" i="1">
            <a:solidFill>
              <a:srgbClr val="C00000"/>
            </a:solidFill>
          </a:endParaRPr>
        </a:p>
      </cdr:txBody>
    </cdr:sp>
  </cdr:relSizeAnchor>
  <cdr:relSizeAnchor xmlns:cdr="http://schemas.openxmlformats.org/drawingml/2006/chartDrawing">
    <cdr:from>
      <cdr:x>0.89594</cdr:x>
      <cdr:y>0.21332</cdr:y>
    </cdr:from>
    <cdr:to>
      <cdr:x>0.96691</cdr:x>
      <cdr:y>0.23957</cdr:y>
    </cdr:to>
    <cdr:sp macro="" textlink="Calculs!$Z$195">
      <cdr:nvSpPr>
        <cdr:cNvPr id="11" name="ZoneTexte 10"/>
        <cdr:cNvSpPr txBox="1"/>
      </cdr:nvSpPr>
      <cdr:spPr>
        <a:xfrm xmlns:a="http://schemas.openxmlformats.org/drawingml/2006/main">
          <a:off x="9054374" y="1462948"/>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marL="0" indent="0" algn="l"/>
          <a:fld id="{9B0F15E3-7C99-46A8-A2E5-93C8657E82F0}" type="TxLink">
            <a:rPr lang="fr-FR" sz="1000" b="1" i="0" u="none" strike="noStrike">
              <a:solidFill>
                <a:srgbClr val="FFFFFF"/>
              </a:solidFill>
              <a:latin typeface="+mn-lt"/>
              <a:ea typeface="+mn-ea"/>
              <a:cs typeface="+mn-cs"/>
            </a:rPr>
            <a:pPr marL="0" indent="0" algn="l"/>
            <a:t>0</a:t>
          </a:fld>
          <a:endParaRPr lang="fr-FR" sz="1000" b="1">
            <a:latin typeface="+mn-lt"/>
            <a:ea typeface="+mn-ea"/>
            <a:cs typeface="+mn-cs"/>
          </a:endParaRPr>
        </a:p>
      </cdr:txBody>
    </cdr:sp>
  </cdr:relSizeAnchor>
  <cdr:relSizeAnchor xmlns:cdr="http://schemas.openxmlformats.org/drawingml/2006/chartDrawing">
    <cdr:from>
      <cdr:x>0.89594</cdr:x>
      <cdr:y>0.87928</cdr:y>
    </cdr:from>
    <cdr:to>
      <cdr:x>0.96691</cdr:x>
      <cdr:y>0.90553</cdr:y>
    </cdr:to>
    <cdr:sp macro="" textlink="Calculs!$Z$202">
      <cdr:nvSpPr>
        <cdr:cNvPr id="15" name="ZoneTexte 1"/>
        <cdr:cNvSpPr txBox="1"/>
      </cdr:nvSpPr>
      <cdr:spPr>
        <a:xfrm xmlns:a="http://schemas.openxmlformats.org/drawingml/2006/main">
          <a:off x="9054374" y="6030101"/>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3EBD99A-EE8D-423B-93CA-F6109DFDB597}" type="TxLink">
            <a:rPr lang="fr-FR" sz="1000" b="1" i="0" u="none" strike="noStrike">
              <a:solidFill>
                <a:srgbClr val="FFFFFF"/>
              </a:solidFill>
              <a:latin typeface="Calibri"/>
              <a:cs typeface="Calibri"/>
            </a:rPr>
            <a:pPr algn="l"/>
            <a:t>31</a:t>
          </a:fld>
          <a:endParaRPr lang="fr-FR" sz="1000" b="1"/>
        </a:p>
      </cdr:txBody>
    </cdr:sp>
  </cdr:relSizeAnchor>
  <cdr:relSizeAnchor xmlns:cdr="http://schemas.openxmlformats.org/drawingml/2006/chartDrawing">
    <cdr:from>
      <cdr:x>0.89594</cdr:x>
      <cdr:y>0.78415</cdr:y>
    </cdr:from>
    <cdr:to>
      <cdr:x>0.96691</cdr:x>
      <cdr:y>0.81039</cdr:y>
    </cdr:to>
    <cdr:sp macro="" textlink="Calculs!$Z$201">
      <cdr:nvSpPr>
        <cdr:cNvPr id="16" name="ZoneTexte 1"/>
        <cdr:cNvSpPr txBox="1"/>
      </cdr:nvSpPr>
      <cdr:spPr>
        <a:xfrm xmlns:a="http://schemas.openxmlformats.org/drawingml/2006/main">
          <a:off x="9054374" y="5377700"/>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E4420CB-844D-436B-A8B8-90ED7FC70AE1}"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0.68901</cdr:y>
    </cdr:from>
    <cdr:to>
      <cdr:x>0.96691</cdr:x>
      <cdr:y>0.71526</cdr:y>
    </cdr:to>
    <cdr:sp macro="" textlink="Calculs!$Z$200">
      <cdr:nvSpPr>
        <cdr:cNvPr id="17" name="ZoneTexte 1"/>
        <cdr:cNvSpPr txBox="1"/>
      </cdr:nvSpPr>
      <cdr:spPr>
        <a:xfrm xmlns:a="http://schemas.openxmlformats.org/drawingml/2006/main">
          <a:off x="9054374" y="4725230"/>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BFFACD-5179-45F2-9F24-90FC8FA3991B}" type="TxLink">
            <a:rPr lang="fr-FR" sz="1000" b="1" i="0" u="none" strike="noStrike">
              <a:solidFill>
                <a:srgbClr val="FFFFFF"/>
              </a:solidFill>
              <a:latin typeface="Calibri"/>
              <a:cs typeface="Calibri"/>
            </a:rPr>
            <a:pPr algn="l"/>
            <a:t>332</a:t>
          </a:fld>
          <a:endParaRPr lang="fr-FR" sz="1000" b="1"/>
        </a:p>
      </cdr:txBody>
    </cdr:sp>
  </cdr:relSizeAnchor>
  <cdr:relSizeAnchor xmlns:cdr="http://schemas.openxmlformats.org/drawingml/2006/chartDrawing">
    <cdr:from>
      <cdr:x>0.89594</cdr:x>
      <cdr:y>0.49874</cdr:y>
    </cdr:from>
    <cdr:to>
      <cdr:x>0.96691</cdr:x>
      <cdr:y>0.52498</cdr:y>
    </cdr:to>
    <cdr:sp macro="" textlink="Calculs!$Z$198">
      <cdr:nvSpPr>
        <cdr:cNvPr id="18" name="ZoneTexte 1"/>
        <cdr:cNvSpPr txBox="1"/>
      </cdr:nvSpPr>
      <cdr:spPr>
        <a:xfrm xmlns:a="http://schemas.openxmlformats.org/drawingml/2006/main">
          <a:off x="9054374" y="3420358"/>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99D982F-DB4C-4244-A8A7-BA523B911285}"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0.4036</cdr:y>
    </cdr:from>
    <cdr:to>
      <cdr:x>0.96691</cdr:x>
      <cdr:y>0.42984</cdr:y>
    </cdr:to>
    <cdr:sp macro="" textlink="Calculs!$Z$197">
      <cdr:nvSpPr>
        <cdr:cNvPr id="19" name="ZoneTexte 1"/>
        <cdr:cNvSpPr txBox="1"/>
      </cdr:nvSpPr>
      <cdr:spPr>
        <a:xfrm xmlns:a="http://schemas.openxmlformats.org/drawingml/2006/main">
          <a:off x="9054374" y="2767888"/>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4F53D87-1836-4EEC-825F-EE34403BF1C3}"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0.30846</cdr:y>
    </cdr:from>
    <cdr:to>
      <cdr:x>0.96691</cdr:x>
      <cdr:y>0.33471</cdr:y>
    </cdr:to>
    <cdr:sp macro="" textlink="Calculs!$Z$196">
      <cdr:nvSpPr>
        <cdr:cNvPr id="125" name="ZoneTexte 1"/>
        <cdr:cNvSpPr txBox="1"/>
      </cdr:nvSpPr>
      <cdr:spPr>
        <a:xfrm xmlns:a="http://schemas.openxmlformats.org/drawingml/2006/main">
          <a:off x="9054374" y="2115418"/>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EBED236-C99E-4C0B-A123-A3360417A498}"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0.89594</cdr:x>
      <cdr:y>0.59387</cdr:y>
    </cdr:from>
    <cdr:to>
      <cdr:x>0.96691</cdr:x>
      <cdr:y>0.62012</cdr:y>
    </cdr:to>
    <cdr:sp macro="" textlink="Calculs!$Z$199">
      <cdr:nvSpPr>
        <cdr:cNvPr id="126" name="ZoneTexte 1"/>
        <cdr:cNvSpPr txBox="1"/>
      </cdr:nvSpPr>
      <cdr:spPr>
        <a:xfrm xmlns:a="http://schemas.openxmlformats.org/drawingml/2006/main">
          <a:off x="9054374" y="4072760"/>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6528F57-F57D-4E53-9CF6-5E10B4D4E0A0}"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00" b="1"/>
            <a:pPr algn="l"/>
            <a:t> </a:t>
          </a:fld>
          <a:endParaRPr lang="fr-FR" sz="1000" b="1"/>
        </a:p>
      </cdr:txBody>
    </cdr:sp>
  </cdr:relSizeAnchor>
  <cdr:relSizeAnchor xmlns:cdr="http://schemas.openxmlformats.org/drawingml/2006/chartDrawing">
    <cdr:from>
      <cdr:x>0.93658</cdr:x>
      <cdr:y>0.21606</cdr:y>
    </cdr:from>
    <cdr:to>
      <cdr:x>0.99002</cdr:x>
      <cdr:y>0.2423</cdr:y>
    </cdr:to>
    <cdr:sp macro="" textlink="Calculs!$Z$249">
      <cdr:nvSpPr>
        <cdr:cNvPr id="74" name="ZoneTexte 73"/>
        <cdr:cNvSpPr txBox="1"/>
      </cdr:nvSpPr>
      <cdr:spPr>
        <a:xfrm xmlns:a="http://schemas.openxmlformats.org/drawingml/2006/main">
          <a:off x="9465106" y="1481739"/>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algn="l"/>
          <a:fld id="{24689DB8-BD3D-47F9-BFEA-35FA161EE4A4}"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0.87835</cdr:y>
    </cdr:from>
    <cdr:to>
      <cdr:x>0.99002</cdr:x>
      <cdr:y>0.90459</cdr:y>
    </cdr:to>
    <cdr:sp macro="" textlink="Calculs!$Z$256">
      <cdr:nvSpPr>
        <cdr:cNvPr id="77" name="ZoneTexte 1"/>
        <cdr:cNvSpPr txBox="1"/>
      </cdr:nvSpPr>
      <cdr:spPr>
        <a:xfrm xmlns:a="http://schemas.openxmlformats.org/drawingml/2006/main">
          <a:off x="9465106" y="6023723"/>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B1D46A2-95A0-4095-90DC-22FFC15300C3}"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0.78373</cdr:y>
    </cdr:from>
    <cdr:to>
      <cdr:x>0.99002</cdr:x>
      <cdr:y>0.80998</cdr:y>
    </cdr:to>
    <cdr:sp macro="" textlink="Calculs!$Z$255">
      <cdr:nvSpPr>
        <cdr:cNvPr id="78" name="ZoneTexte 1"/>
        <cdr:cNvSpPr txBox="1"/>
      </cdr:nvSpPr>
      <cdr:spPr>
        <a:xfrm xmlns:a="http://schemas.openxmlformats.org/drawingml/2006/main">
          <a:off x="9465106" y="5374820"/>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C81DF4B-008D-40A3-B59D-306A7CC2430C}"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0.68913</cdr:y>
    </cdr:from>
    <cdr:to>
      <cdr:x>0.99002</cdr:x>
      <cdr:y>0.71537</cdr:y>
    </cdr:to>
    <cdr:sp macro="" textlink="Calculs!$Z$254">
      <cdr:nvSpPr>
        <cdr:cNvPr id="79" name="ZoneTexte 1"/>
        <cdr:cNvSpPr txBox="1"/>
      </cdr:nvSpPr>
      <cdr:spPr>
        <a:xfrm xmlns:a="http://schemas.openxmlformats.org/drawingml/2006/main">
          <a:off x="9465106" y="4726053"/>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86D5BF-FA92-494C-B5AA-6DDFCD9A2DA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0.49989</cdr:y>
    </cdr:from>
    <cdr:to>
      <cdr:x>0.99002</cdr:x>
      <cdr:y>0.52614</cdr:y>
    </cdr:to>
    <cdr:sp macro="" textlink="Calculs!$Z$252">
      <cdr:nvSpPr>
        <cdr:cNvPr id="80" name="ZoneTexte 1"/>
        <cdr:cNvSpPr txBox="1"/>
      </cdr:nvSpPr>
      <cdr:spPr>
        <a:xfrm xmlns:a="http://schemas.openxmlformats.org/drawingml/2006/main">
          <a:off x="9465106" y="3428245"/>
          <a:ext cx="540066"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829084D-80D6-42D5-A71E-C9350DBA1480}"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0.40528</cdr:y>
    </cdr:from>
    <cdr:to>
      <cdr:x>0.99002</cdr:x>
      <cdr:y>0.43152</cdr:y>
    </cdr:to>
    <cdr:sp macro="" textlink="Calculs!$Z$251">
      <cdr:nvSpPr>
        <cdr:cNvPr id="81" name="ZoneTexte 1"/>
        <cdr:cNvSpPr txBox="1"/>
      </cdr:nvSpPr>
      <cdr:spPr>
        <a:xfrm xmlns:a="http://schemas.openxmlformats.org/drawingml/2006/main">
          <a:off x="9465106" y="2779410"/>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65ECA51-E6EB-41AF-8212-82B9D52319AE}"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0.31067</cdr:y>
    </cdr:from>
    <cdr:to>
      <cdr:x>0.99002</cdr:x>
      <cdr:y>0.33692</cdr:y>
    </cdr:to>
    <cdr:sp macro="" textlink="Calculs!$Z$250">
      <cdr:nvSpPr>
        <cdr:cNvPr id="130" name="ZoneTexte 1"/>
        <cdr:cNvSpPr txBox="1"/>
      </cdr:nvSpPr>
      <cdr:spPr>
        <a:xfrm xmlns:a="http://schemas.openxmlformats.org/drawingml/2006/main">
          <a:off x="9465106" y="2130575"/>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8665A04-D2B8-4A61-B48E-B98786C6697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0.93658</cdr:x>
      <cdr:y>0.59451</cdr:y>
    </cdr:from>
    <cdr:to>
      <cdr:x>0.99002</cdr:x>
      <cdr:y>0.62076</cdr:y>
    </cdr:to>
    <cdr:sp macro="" textlink="Calculs!$Z$253">
      <cdr:nvSpPr>
        <cdr:cNvPr id="131" name="ZoneTexte 1"/>
        <cdr:cNvSpPr txBox="1"/>
      </cdr:nvSpPr>
      <cdr:spPr>
        <a:xfrm xmlns:a="http://schemas.openxmlformats.org/drawingml/2006/main">
          <a:off x="9465106" y="4077149"/>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6EC726E-B841-4CFA-962B-4DCAF3110349}" type="TxLink">
            <a:rPr lang="fr-FR" sz="1000" b="1" i="0" u="none" strike="noStrike">
              <a:solidFill>
                <a:srgbClr val="FFFFFF"/>
              </a:solidFill>
              <a:latin typeface="Calibri"/>
              <a:cs typeface="Calibri"/>
            </a:rPr>
            <a:pPr algn="l"/>
            <a:t>0</a:t>
          </a:fld>
          <a:endParaRPr lang="fr-FR" sz="1000" b="1"/>
        </a:p>
      </cdr:txBody>
    </cdr:sp>
  </cdr:relSizeAnchor>
  <cdr:relSizeAnchor xmlns:cdr="http://schemas.openxmlformats.org/drawingml/2006/chartDrawing">
    <cdr:from>
      <cdr:x>0.36702</cdr:x>
      <cdr:y>0.96568</cdr:y>
    </cdr:from>
    <cdr:to>
      <cdr:x>0.44131</cdr:x>
      <cdr:y>1</cdr:y>
    </cdr:to>
    <cdr:sp macro="" textlink="Calculs!$D$486">
      <cdr:nvSpPr>
        <cdr:cNvPr id="30" name="ZoneTexte 1"/>
        <cdr:cNvSpPr txBox="1"/>
      </cdr:nvSpPr>
      <cdr:spPr>
        <a:xfrm xmlns:a="http://schemas.openxmlformats.org/drawingml/2006/main">
          <a:off x="3709162" y="6622633"/>
          <a:ext cx="750776" cy="235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88C9A044-8F15-4A41-9383-36FF71675F91}" type="TxLink">
            <a:rPr lang="fr-FR" sz="1000" b="1" i="1" u="none" strike="noStrike">
              <a:solidFill>
                <a:srgbClr val="000000"/>
              </a:solidFill>
              <a:latin typeface="Arialri"/>
            </a:rPr>
            <a:pPr/>
            <a:t>3 mois</a:t>
          </a:fld>
          <a:endParaRPr lang="fr-FR" sz="1000" b="1" i="1"/>
        </a:p>
      </cdr:txBody>
    </cdr:sp>
  </cdr:relSizeAnchor>
  <cdr:relSizeAnchor xmlns:cdr="http://schemas.openxmlformats.org/drawingml/2006/chartDrawing">
    <cdr:from>
      <cdr:x>0.40084</cdr:x>
      <cdr:y>0.04248</cdr:y>
    </cdr:from>
    <cdr:to>
      <cdr:x>0.6409</cdr:x>
      <cdr:y>0.08417</cdr:y>
    </cdr:to>
    <cdr:sp macro="" textlink="'TRAD-visualiz'!$B$5">
      <cdr:nvSpPr>
        <cdr:cNvPr id="31" name="ZoneTexte 6"/>
        <cdr:cNvSpPr txBox="1"/>
      </cdr:nvSpPr>
      <cdr:spPr>
        <a:xfrm xmlns:a="http://schemas.openxmlformats.org/drawingml/2006/main">
          <a:off x="4050880" y="291353"/>
          <a:ext cx="2426119"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B1499EC-4E61-4C34-A81E-E71695508AE7}"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0.62205</cdr:x>
      <cdr:y>0.04248</cdr:y>
    </cdr:from>
    <cdr:to>
      <cdr:x>0.8793</cdr:x>
      <cdr:y>0.08333</cdr:y>
    </cdr:to>
    <cdr:sp macro="" textlink="Calculs!$J$488">
      <cdr:nvSpPr>
        <cdr:cNvPr id="32" name="ZoneTexte 1"/>
        <cdr:cNvSpPr txBox="1"/>
      </cdr:nvSpPr>
      <cdr:spPr>
        <a:xfrm xmlns:a="http://schemas.openxmlformats.org/drawingml/2006/main">
          <a:off x="6286500" y="291353"/>
          <a:ext cx="259976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4A50931-A961-4B2A-8774-4E9063E4B82C}" type="TxLink">
            <a:rPr lang="fr-FR" sz="1100" b="1" i="1" u="none" strike="noStrike">
              <a:solidFill>
                <a:srgbClr val="C00000"/>
              </a:solidFill>
              <a:latin typeface="Arialri"/>
            </a:rPr>
            <a:pPr/>
            <a:t>Données de consommation</a:t>
          </a:fld>
          <a:endParaRPr lang="fr-FR" sz="1100" b="1" i="1">
            <a:solidFill>
              <a:srgbClr val="C00000"/>
            </a:solidFill>
          </a:endParaRPr>
        </a:p>
      </cdr:txBody>
    </cdr:sp>
  </cdr:relSizeAnchor>
  <cdr:relSizeAnchor xmlns:cdr="http://schemas.openxmlformats.org/drawingml/2006/chartDrawing">
    <cdr:from>
      <cdr:x>0.60099</cdr:x>
      <cdr:y>0.97876</cdr:y>
    </cdr:from>
    <cdr:to>
      <cdr:x>0.61319</cdr:x>
      <cdr:y>0.99183</cdr:y>
    </cdr:to>
    <cdr:sp macro="" textlink="">
      <cdr:nvSpPr>
        <cdr:cNvPr id="33" name="Rectangle 32"/>
        <cdr:cNvSpPr/>
      </cdr:nvSpPr>
      <cdr:spPr>
        <a:xfrm xmlns:a="http://schemas.openxmlformats.org/drawingml/2006/main">
          <a:off x="6073578" y="6712336"/>
          <a:ext cx="123294" cy="89634"/>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0.61208</cdr:x>
      <cdr:y>0.96732</cdr:y>
    </cdr:from>
    <cdr:to>
      <cdr:x>0.8869</cdr:x>
      <cdr:y>1</cdr:y>
    </cdr:to>
    <cdr:sp macro="" textlink="'TRAD-visualiz'!$B$10">
      <cdr:nvSpPr>
        <cdr:cNvPr id="34" name="ZoneTexte 2"/>
        <cdr:cNvSpPr txBox="1"/>
      </cdr:nvSpPr>
      <cdr:spPr>
        <a:xfrm xmlns:a="http://schemas.openxmlformats.org/drawingml/2006/main">
          <a:off x="6185690" y="6667498"/>
          <a:ext cx="2777338" cy="224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1033B52-95B4-488E-9DB0-8328DECB9067}" type="TxLink">
            <a:rPr lang="en-US" sz="1000" b="0" i="0" u="none" strike="noStrike">
              <a:solidFill>
                <a:srgbClr val="000000"/>
              </a:solidFill>
              <a:latin typeface="Arialri"/>
              <a:cs typeface="Calibri"/>
            </a:rPr>
            <a:pPr/>
            <a:t>Période pendant laquelle le ST a été utilisé </a:t>
          </a:fld>
          <a:endParaRPr lang="fr-FR" sz="1000"/>
        </a:p>
      </cdr:txBody>
    </cdr:sp>
  </cdr:relSizeAnchor>
  <cdr:relSizeAnchor xmlns:cdr="http://schemas.openxmlformats.org/drawingml/2006/chartDrawing">
    <cdr:from>
      <cdr:x>0.95581</cdr:x>
      <cdr:y>0.17484</cdr:y>
    </cdr:from>
    <cdr:to>
      <cdr:x>0.99906</cdr:x>
      <cdr:y>0.99183</cdr:y>
    </cdr:to>
    <cdr:sp macro="" textlink="'TRAD-visualiz'!$B$13">
      <cdr:nvSpPr>
        <cdr:cNvPr id="35" name="ZoneTexte 34"/>
        <cdr:cNvSpPr txBox="1"/>
      </cdr:nvSpPr>
      <cdr:spPr>
        <a:xfrm xmlns:a="http://schemas.openxmlformats.org/drawingml/2006/main" rot="5400000">
          <a:off x="7076514" y="3781988"/>
          <a:ext cx="5602944" cy="437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4B608C2-A93D-4295-AA60-D7B7D389F3D3}" type="TxLink">
            <a:rPr lang="en-US" sz="1000" b="0" i="0" u="none" strike="noStrike">
              <a:solidFill>
                <a:srgbClr val="000000"/>
              </a:solidFill>
              <a:latin typeface="Arialri"/>
              <a:cs typeface="Calibri"/>
            </a:rPr>
            <a:pPr/>
            <a:t>Attention, le nombre de patients présentés ici dépend des options thérapeutiques retenues, notemment l'utilisation de CDF pédiatriques - Voir paramétrage dans "Données à saisir" </a:t>
          </a:fld>
          <a:endParaRPr lang="fr-FR" sz="900" i="1"/>
        </a:p>
      </cdr:txBody>
    </cdr:sp>
  </cdr:relSizeAnchor>
  <cdr:relSizeAnchor xmlns:cdr="http://schemas.openxmlformats.org/drawingml/2006/chartDrawing">
    <cdr:from>
      <cdr:x>0.15745</cdr:x>
      <cdr:y>0.45752</cdr:y>
    </cdr:from>
    <cdr:to>
      <cdr:x>0.94183</cdr:x>
      <cdr:y>0.51925</cdr:y>
    </cdr:to>
    <cdr:sp macro="" textlink="">
      <cdr:nvSpPr>
        <cdr:cNvPr id="37" name="ZoneTexte 1"/>
        <cdr:cNvSpPr txBox="1"/>
      </cdr:nvSpPr>
      <cdr:spPr>
        <a:xfrm xmlns:a="http://schemas.openxmlformats.org/drawingml/2006/main" rot="19739527">
          <a:off x="1591235" y="3137648"/>
          <a:ext cx="7926916" cy="42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800" b="1">
              <a:solidFill>
                <a:srgbClr val="FF0000"/>
              </a:solidFill>
            </a:rPr>
            <a:t>Feuille non mise à jour dans la version 7.1</a:t>
          </a: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0.01718</cdr:x>
      <cdr:y>0.07465</cdr:y>
    </cdr:from>
    <cdr:to>
      <cdr:x>0.24676</cdr:x>
      <cdr:y>0.11139</cdr:y>
    </cdr:to>
    <cdr:sp macro="" textlink="'TRAD-visualiz'!$B$4">
      <cdr:nvSpPr>
        <cdr:cNvPr id="7" name="ZoneTexte 6"/>
        <cdr:cNvSpPr txBox="1"/>
      </cdr:nvSpPr>
      <cdr:spPr>
        <a:xfrm xmlns:a="http://schemas.openxmlformats.org/drawingml/2006/main">
          <a:off x="173644" y="511921"/>
          <a:ext cx="2320141" cy="2520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B2BCABE-BE4D-41DE-827E-FE0CF5BE3B82}"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0.01718</cdr:x>
      <cdr:y>0.04248</cdr:y>
    </cdr:from>
    <cdr:to>
      <cdr:x>0.19626</cdr:x>
      <cdr:y>0.0768</cdr:y>
    </cdr:to>
    <cdr:sp macro="" textlink="'TRAD-visualiz'!$B$3">
      <cdr:nvSpPr>
        <cdr:cNvPr id="9" name="ZoneTexte 1"/>
        <cdr:cNvSpPr txBox="1"/>
      </cdr:nvSpPr>
      <cdr:spPr>
        <a:xfrm xmlns:a="http://schemas.openxmlformats.org/drawingml/2006/main">
          <a:off x="173621" y="291329"/>
          <a:ext cx="1809819" cy="235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ADEBC5A-15E9-4DA3-9112-3025C55D0A25}"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0.20284</cdr:x>
      <cdr:y>0.04574</cdr:y>
    </cdr:from>
    <cdr:to>
      <cdr:x>0.31067</cdr:x>
      <cdr:y>0.08333</cdr:y>
    </cdr:to>
    <cdr:sp macro="" textlink="Paramétrage!$D$11">
      <cdr:nvSpPr>
        <cdr:cNvPr id="10" name="ZoneTexte 1"/>
        <cdr:cNvSpPr txBox="1"/>
      </cdr:nvSpPr>
      <cdr:spPr>
        <a:xfrm xmlns:a="http://schemas.openxmlformats.org/drawingml/2006/main">
          <a:off x="2061657" y="314701"/>
          <a:ext cx="1095956" cy="2586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0.86489</cdr:x>
      <cdr:y>0.09151</cdr:y>
    </cdr:from>
    <cdr:to>
      <cdr:x>0.99684</cdr:x>
      <cdr:y>0.17157</cdr:y>
    </cdr:to>
    <cdr:sp macro="" textlink="'TRAD-visualiz'!$B$8">
      <cdr:nvSpPr>
        <cdr:cNvPr id="12" name="ZoneTexte 11"/>
        <cdr:cNvSpPr txBox="1"/>
      </cdr:nvSpPr>
      <cdr:spPr>
        <a:xfrm xmlns:a="http://schemas.openxmlformats.org/drawingml/2006/main">
          <a:off x="8740588" y="627576"/>
          <a:ext cx="1333502" cy="54905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F63E8848-6984-4B51-85BC-95CEF606590D}"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0.33392</cdr:x>
      <cdr:y>0.07598</cdr:y>
    </cdr:from>
    <cdr:to>
      <cdr:x>0.52353</cdr:x>
      <cdr:y>0.11767</cdr:y>
    </cdr:to>
    <cdr:sp macro="" textlink="'TRAD-visualiz'!$B$6">
      <cdr:nvSpPr>
        <cdr:cNvPr id="119" name="ZoneTexte 6"/>
        <cdr:cNvSpPr txBox="1"/>
      </cdr:nvSpPr>
      <cdr:spPr>
        <a:xfrm xmlns:a="http://schemas.openxmlformats.org/drawingml/2006/main">
          <a:off x="3393840" y="522774"/>
          <a:ext cx="192714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BFC5696-267D-49B1-8917-D63200812C32}"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0.20505</cdr:x>
      <cdr:y>0.07465</cdr:y>
    </cdr:from>
    <cdr:to>
      <cdr:x>0.34983</cdr:x>
      <cdr:y>0.11139</cdr:y>
    </cdr:to>
    <cdr:sp macro="" textlink="Paramétrage!$H$19">
      <cdr:nvSpPr>
        <cdr:cNvPr id="122" name="ZoneTexte 1"/>
        <cdr:cNvSpPr txBox="1"/>
      </cdr:nvSpPr>
      <cdr:spPr>
        <a:xfrm xmlns:a="http://schemas.openxmlformats.org/drawingml/2006/main">
          <a:off x="2084105" y="513623"/>
          <a:ext cx="1471506" cy="2527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mn-lt"/>
            </a:rPr>
            <a:pPr/>
            <a:t>07/10/2014</a:t>
          </a:fld>
          <a:endParaRPr lang="fr-FR" sz="1100" b="1" i="1">
            <a:latin typeface="+mn-lt"/>
          </a:endParaRPr>
        </a:p>
      </cdr:txBody>
    </cdr:sp>
  </cdr:relSizeAnchor>
  <cdr:relSizeAnchor xmlns:cdr="http://schemas.openxmlformats.org/drawingml/2006/chartDrawing">
    <cdr:from>
      <cdr:x>0.55187</cdr:x>
      <cdr:y>0.07516</cdr:y>
    </cdr:from>
    <cdr:to>
      <cdr:x>0.87343</cdr:x>
      <cdr:y>0.11765</cdr:y>
    </cdr:to>
    <cdr:sp macro="" textlink="'Calculs dispo Données FA'!$F$179">
      <cdr:nvSpPr>
        <cdr:cNvPr id="123" name="ZoneTexte 1"/>
        <cdr:cNvSpPr txBox="1"/>
      </cdr:nvSpPr>
      <cdr:spPr>
        <a:xfrm xmlns:a="http://schemas.openxmlformats.org/drawingml/2006/main">
          <a:off x="5609079" y="517132"/>
          <a:ext cx="3268251"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fld id="{E26399F1-CEC7-410C-AE27-D990BA069FF9}" type="TxLink">
            <a:rPr lang="fr-FR" sz="1100" b="1" i="1" u="none" strike="noStrike">
              <a:solidFill>
                <a:srgbClr val="C00000"/>
              </a:solidFill>
              <a:latin typeface="Calibri"/>
              <a:ea typeface="+mn-ea"/>
              <a:cs typeface="+mn-cs"/>
            </a:rPr>
            <a:pPr marL="0" indent="0"/>
            <a:t>Stocks centraux &amp; Commandes</a:t>
          </a:fld>
          <a:endParaRPr lang="fr-FR" sz="1100" b="1" i="1" u="none" strike="noStrike">
            <a:solidFill>
              <a:srgbClr val="C00000"/>
            </a:solidFill>
            <a:latin typeface="Calibri"/>
            <a:ea typeface="+mn-ea"/>
            <a:cs typeface="+mn-cs"/>
          </a:endParaRPr>
        </a:p>
      </cdr:txBody>
    </cdr:sp>
  </cdr:relSizeAnchor>
  <cdr:relSizeAnchor xmlns:cdr="http://schemas.openxmlformats.org/drawingml/2006/chartDrawing">
    <cdr:from>
      <cdr:x>0.89927</cdr:x>
      <cdr:y>0.21659</cdr:y>
    </cdr:from>
    <cdr:to>
      <cdr:x>0.97024</cdr:x>
      <cdr:y>0.89736</cdr:y>
    </cdr:to>
    <cdr:grpSp>
      <cdr:nvGrpSpPr>
        <cdr:cNvPr id="38" name="Groupe 37"/>
        <cdr:cNvGrpSpPr/>
      </cdr:nvGrpSpPr>
      <cdr:grpSpPr>
        <a:xfrm xmlns:a="http://schemas.openxmlformats.org/drawingml/2006/main">
          <a:off x="9139942" y="1490228"/>
          <a:ext cx="721320" cy="4683979"/>
          <a:chOff x="8863892" y="1250037"/>
          <a:chExt cx="717225" cy="4668735"/>
        </a:xfrm>
      </cdr:grpSpPr>
      <cdr:sp macro="" textlink="Calculs!$Z$195">
        <cdr:nvSpPr>
          <cdr:cNvPr id="11" name="ZoneTexte 10"/>
          <cdr:cNvSpPr txBox="1"/>
        </cdr:nvSpPr>
        <cdr:spPr>
          <a:xfrm xmlns:a="http://schemas.openxmlformats.org/drawingml/2006/main">
            <a:off x="8863892" y="1250037"/>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marL="0" indent="0" algn="l"/>
            <a:fld id="{9B0F15E3-7C99-46A8-A2E5-93C8657E82F0}" type="TxLink">
              <a:rPr lang="fr-FR" sz="1000" b="1" i="0" u="none" strike="noStrike">
                <a:solidFill>
                  <a:sysClr val="windowText" lastClr="000000"/>
                </a:solidFill>
                <a:latin typeface="+mn-lt"/>
                <a:ea typeface="+mn-ea"/>
                <a:cs typeface="+mn-cs"/>
              </a:rPr>
              <a:pPr marL="0" indent="0" algn="l"/>
              <a:t>0</a:t>
            </a:fld>
            <a:endParaRPr lang="fr-FR" sz="1000" b="1">
              <a:solidFill>
                <a:sysClr val="windowText" lastClr="000000"/>
              </a:solidFill>
              <a:latin typeface="+mn-lt"/>
              <a:ea typeface="+mn-ea"/>
              <a:cs typeface="+mn-cs"/>
            </a:endParaRPr>
          </a:p>
        </cdr:txBody>
      </cdr:sp>
      <cdr:sp macro="" textlink="Calculs!$Z$202">
        <cdr:nvSpPr>
          <cdr:cNvPr id="15" name="ZoneTexte 1"/>
          <cdr:cNvSpPr txBox="1"/>
        </cdr:nvSpPr>
        <cdr:spPr>
          <a:xfrm xmlns:a="http://schemas.openxmlformats.org/drawingml/2006/main">
            <a:off x="8863892" y="5738749"/>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3EBD99A-EE8D-423B-93CA-F6109DFDB597}" type="TxLink">
              <a:rPr lang="fr-FR" sz="1000" b="1" i="0" u="none" strike="noStrike">
                <a:solidFill>
                  <a:sysClr val="windowText" lastClr="000000"/>
                </a:solidFill>
                <a:latin typeface="Calibri"/>
                <a:cs typeface="Calibri"/>
              </a:rPr>
              <a:pPr algn="l"/>
              <a:t>31</a:t>
            </a:fld>
            <a:endParaRPr lang="fr-FR" sz="1000" b="1">
              <a:solidFill>
                <a:sysClr val="windowText" lastClr="000000"/>
              </a:solidFill>
            </a:endParaRPr>
          </a:p>
        </cdr:txBody>
      </cdr:sp>
      <cdr:sp macro="" textlink="Calculs!$Z$201">
        <cdr:nvSpPr>
          <cdr:cNvPr id="16" name="ZoneTexte 1"/>
          <cdr:cNvSpPr txBox="1"/>
        </cdr:nvSpPr>
        <cdr:spPr>
          <a:xfrm xmlns:a="http://schemas.openxmlformats.org/drawingml/2006/main">
            <a:off x="8863892" y="5097541"/>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E4420CB-844D-436B-A8B8-90ED7FC70AE1}"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200">
        <cdr:nvSpPr>
          <cdr:cNvPr id="17" name="ZoneTexte 1"/>
          <cdr:cNvSpPr txBox="1"/>
        </cdr:nvSpPr>
        <cdr:spPr>
          <a:xfrm xmlns:a="http://schemas.openxmlformats.org/drawingml/2006/main">
            <a:off x="8863892" y="4456268"/>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BFFACD-5179-45F2-9F24-90FC8FA3991B}" type="TxLink">
              <a:rPr lang="fr-FR" sz="1000" b="1" i="0" u="none" strike="noStrike">
                <a:solidFill>
                  <a:sysClr val="windowText" lastClr="000000"/>
                </a:solidFill>
                <a:latin typeface="Calibri"/>
                <a:cs typeface="Calibri"/>
              </a:rPr>
              <a:pPr algn="l"/>
              <a:t>332</a:t>
            </a:fld>
            <a:endParaRPr lang="fr-FR" sz="1000" b="1">
              <a:solidFill>
                <a:sysClr val="windowText" lastClr="000000"/>
              </a:solidFill>
            </a:endParaRPr>
          </a:p>
        </cdr:txBody>
      </cdr:sp>
      <cdr:sp macro="" textlink="Calculs!$Z$198">
        <cdr:nvSpPr>
          <cdr:cNvPr id="18" name="ZoneTexte 1"/>
          <cdr:cNvSpPr txBox="1"/>
        </cdr:nvSpPr>
        <cdr:spPr>
          <a:xfrm xmlns:a="http://schemas.openxmlformats.org/drawingml/2006/main">
            <a:off x="8863892" y="3173790"/>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99D982F-DB4C-4244-A8A7-BA523B911285}"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197">
        <cdr:nvSpPr>
          <cdr:cNvPr id="19" name="ZoneTexte 1"/>
          <cdr:cNvSpPr txBox="1"/>
        </cdr:nvSpPr>
        <cdr:spPr>
          <a:xfrm xmlns:a="http://schemas.openxmlformats.org/drawingml/2006/main">
            <a:off x="8863892" y="2532585"/>
            <a:ext cx="717225"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4F53D87-1836-4EEC-825F-EE34403BF1C3}"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196">
        <cdr:nvSpPr>
          <cdr:cNvPr id="125" name="ZoneTexte 1"/>
          <cdr:cNvSpPr txBox="1"/>
        </cdr:nvSpPr>
        <cdr:spPr>
          <a:xfrm xmlns:a="http://schemas.openxmlformats.org/drawingml/2006/main">
            <a:off x="8863892" y="1891311"/>
            <a:ext cx="717225"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EBED236-C99E-4C0B-A123-A3360417A498}"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199">
        <cdr:nvSpPr>
          <cdr:cNvPr id="126" name="ZoneTexte 1"/>
          <cdr:cNvSpPr txBox="1"/>
        </cdr:nvSpPr>
        <cdr:spPr>
          <a:xfrm xmlns:a="http://schemas.openxmlformats.org/drawingml/2006/main">
            <a:off x="8863892" y="3814995"/>
            <a:ext cx="717225"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6528F57-F57D-4E53-9CF6-5E10B4D4E0A0}"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grpSp>
  </cdr:relSizeAnchor>
  <cdr:relSizeAnchor xmlns:cdr="http://schemas.openxmlformats.org/drawingml/2006/chartDrawing">
    <cdr:from>
      <cdr:x>0.78932</cdr:x>
      <cdr:y>0.81843</cdr:y>
    </cdr:from>
    <cdr:to>
      <cdr:x>0.85696</cdr:x>
      <cdr:y>0.8413</cdr:y>
    </cdr:to>
    <cdr:sp macro="" textlink="Calculs!#REF!">
      <cdr:nvSpPr>
        <cdr:cNvPr id="132" name="ZoneTexte 1"/>
        <cdr:cNvSpPr txBox="1"/>
      </cdr:nvSpPr>
      <cdr:spPr>
        <a:xfrm xmlns:a="http://schemas.openxmlformats.org/drawingml/2006/main">
          <a:off x="7976894" y="5612790"/>
          <a:ext cx="683572" cy="156879"/>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00" b="1"/>
            <a:pPr algn="l"/>
            <a:t> </a:t>
          </a:fld>
          <a:endParaRPr lang="fr-FR" sz="1000" b="1"/>
        </a:p>
      </cdr:txBody>
    </cdr:sp>
  </cdr:relSizeAnchor>
  <cdr:relSizeAnchor xmlns:cdr="http://schemas.openxmlformats.org/drawingml/2006/chartDrawing">
    <cdr:from>
      <cdr:x>0.9388</cdr:x>
      <cdr:y>0.21606</cdr:y>
    </cdr:from>
    <cdr:to>
      <cdr:x>0.99224</cdr:x>
      <cdr:y>0.89642</cdr:y>
    </cdr:to>
    <cdr:grpSp>
      <cdr:nvGrpSpPr>
        <cdr:cNvPr id="37" name="Groupe 36"/>
        <cdr:cNvGrpSpPr/>
      </cdr:nvGrpSpPr>
      <cdr:grpSpPr>
        <a:xfrm xmlns:a="http://schemas.openxmlformats.org/drawingml/2006/main">
          <a:off x="9541714" y="1486582"/>
          <a:ext cx="543150" cy="4681157"/>
          <a:chOff x="8781542" y="1257622"/>
          <a:chExt cx="540066" cy="4665909"/>
        </a:xfrm>
      </cdr:grpSpPr>
      <cdr:sp macro="" textlink="Calculs!$Z$249">
        <cdr:nvSpPr>
          <cdr:cNvPr id="74" name="ZoneTexte 73"/>
          <cdr:cNvSpPr txBox="1"/>
        </cdr:nvSpPr>
        <cdr:spPr>
          <a:xfrm xmlns:a="http://schemas.openxmlformats.org/drawingml/2006/main">
            <a:off x="8781542" y="1257622"/>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algn="l"/>
            <a:fld id="{24689DB8-BD3D-47F9-BFEA-35FA161EE4A4}"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256">
        <cdr:nvSpPr>
          <cdr:cNvPr id="77" name="ZoneTexte 1"/>
          <cdr:cNvSpPr txBox="1"/>
        </cdr:nvSpPr>
        <cdr:spPr>
          <a:xfrm xmlns:a="http://schemas.openxmlformats.org/drawingml/2006/main">
            <a:off x="8781542" y="5743577"/>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B1D46A2-95A0-4095-90DC-22FFC15300C3}"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255">
        <cdr:nvSpPr>
          <cdr:cNvPr id="78" name="ZoneTexte 1"/>
          <cdr:cNvSpPr txBox="1"/>
        </cdr:nvSpPr>
        <cdr:spPr>
          <a:xfrm xmlns:a="http://schemas.openxmlformats.org/drawingml/2006/main">
            <a:off x="8781542" y="5102699"/>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C81DF4B-008D-40A3-B59D-306A7CC2430C}"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254">
        <cdr:nvSpPr>
          <cdr:cNvPr id="79" name="ZoneTexte 1"/>
          <cdr:cNvSpPr txBox="1"/>
        </cdr:nvSpPr>
        <cdr:spPr>
          <a:xfrm xmlns:a="http://schemas.openxmlformats.org/drawingml/2006/main">
            <a:off x="8781542" y="4461887"/>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86D5BF-FA92-494C-B5AA-6DDFCD9A2DA9}"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252">
        <cdr:nvSpPr>
          <cdr:cNvPr id="80" name="ZoneTexte 1"/>
          <cdr:cNvSpPr txBox="1"/>
        </cdr:nvSpPr>
        <cdr:spPr>
          <a:xfrm xmlns:a="http://schemas.openxmlformats.org/drawingml/2006/main">
            <a:off x="8781542" y="3180126"/>
            <a:ext cx="540066" cy="180023"/>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829084D-80D6-42D5-A71E-C9350DBA1480}"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251">
        <cdr:nvSpPr>
          <cdr:cNvPr id="81" name="ZoneTexte 1"/>
          <cdr:cNvSpPr txBox="1"/>
        </cdr:nvSpPr>
        <cdr:spPr>
          <a:xfrm xmlns:a="http://schemas.openxmlformats.org/drawingml/2006/main">
            <a:off x="8781542" y="2539314"/>
            <a:ext cx="540066" cy="179954"/>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65ECA51-E6EB-41AF-8212-82B9D52319AE}"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250">
        <cdr:nvSpPr>
          <cdr:cNvPr id="130" name="ZoneTexte 1"/>
          <cdr:cNvSpPr txBox="1"/>
        </cdr:nvSpPr>
        <cdr:spPr>
          <a:xfrm xmlns:a="http://schemas.openxmlformats.org/drawingml/2006/main">
            <a:off x="8781542" y="1898434"/>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38665A04-D2B8-4A61-B48E-B98786C66979}"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sp macro="" textlink="Calculs!$Z$253">
        <cdr:nvSpPr>
          <cdr:cNvPr id="131" name="ZoneTexte 1"/>
          <cdr:cNvSpPr txBox="1"/>
        </cdr:nvSpPr>
        <cdr:spPr>
          <a:xfrm xmlns:a="http://schemas.openxmlformats.org/drawingml/2006/main">
            <a:off x="8781542" y="3821007"/>
            <a:ext cx="540066" cy="18002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6EC726E-B841-4CFA-962B-4DCAF3110349}" type="TxLink">
              <a:rPr lang="fr-FR" sz="1000" b="1" i="0" u="none" strike="noStrike">
                <a:solidFill>
                  <a:sysClr val="windowText" lastClr="000000"/>
                </a:solidFill>
                <a:latin typeface="Calibri"/>
                <a:cs typeface="Calibri"/>
              </a:rPr>
              <a:pPr algn="l"/>
              <a:t>0</a:t>
            </a:fld>
            <a:endParaRPr lang="fr-FR" sz="1000" b="1">
              <a:solidFill>
                <a:sysClr val="windowText" lastClr="000000"/>
              </a:solidFill>
            </a:endParaRPr>
          </a:p>
        </cdr:txBody>
      </cdr:sp>
    </cdr:grpSp>
  </cdr:relSizeAnchor>
  <cdr:relSizeAnchor xmlns:cdr="http://schemas.openxmlformats.org/drawingml/2006/chartDrawing">
    <cdr:from>
      <cdr:x>0.33392</cdr:x>
      <cdr:y>0.04248</cdr:y>
    </cdr:from>
    <cdr:to>
      <cdr:x>0.57398</cdr:x>
      <cdr:y>0.08417</cdr:y>
    </cdr:to>
    <cdr:sp macro="" textlink="'TRAD-visualiz'!$B$5">
      <cdr:nvSpPr>
        <cdr:cNvPr id="31" name="ZoneTexte 6"/>
        <cdr:cNvSpPr txBox="1"/>
      </cdr:nvSpPr>
      <cdr:spPr>
        <a:xfrm xmlns:a="http://schemas.openxmlformats.org/drawingml/2006/main">
          <a:off x="3393840" y="292280"/>
          <a:ext cx="2439906"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3B669046-9956-45FC-8AE0-8C03C7F4B01B}"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0.55187</cdr:x>
      <cdr:y>0.04248</cdr:y>
    </cdr:from>
    <cdr:to>
      <cdr:x>0.80912</cdr:x>
      <cdr:y>0.08333</cdr:y>
    </cdr:to>
    <cdr:sp macro="" textlink="Calculs!$J$488">
      <cdr:nvSpPr>
        <cdr:cNvPr id="32" name="ZoneTexte 1"/>
        <cdr:cNvSpPr txBox="1"/>
      </cdr:nvSpPr>
      <cdr:spPr>
        <a:xfrm xmlns:a="http://schemas.openxmlformats.org/drawingml/2006/main">
          <a:off x="5609079" y="292279"/>
          <a:ext cx="2614621" cy="281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B474323-02C3-44E2-AB82-4C927463D20F}" type="TxLink">
            <a:rPr lang="fr-FR" sz="1100" b="1" i="1" u="none" strike="noStrike">
              <a:solidFill>
                <a:srgbClr val="C00000"/>
              </a:solidFill>
              <a:latin typeface="+mn-lt"/>
            </a:rPr>
            <a:pPr/>
            <a:t>Données de consommation</a:t>
          </a:fld>
          <a:endParaRPr lang="fr-FR" sz="1100" b="1" i="1">
            <a:solidFill>
              <a:srgbClr val="C00000"/>
            </a:solidFill>
            <a:latin typeface="+mn-lt"/>
          </a:endParaRPr>
        </a:p>
      </cdr:txBody>
    </cdr:sp>
  </cdr:relSizeAnchor>
  <cdr:relSizeAnchor xmlns:cdr="http://schemas.openxmlformats.org/drawingml/2006/chartDrawing">
    <cdr:from>
      <cdr:x>0.95581</cdr:x>
      <cdr:y>0.17484</cdr:y>
    </cdr:from>
    <cdr:to>
      <cdr:x>0.99906</cdr:x>
      <cdr:y>0.99183</cdr:y>
    </cdr:to>
    <cdr:sp macro="" textlink="'TRAD-visualiz'!$B$13">
      <cdr:nvSpPr>
        <cdr:cNvPr id="35" name="ZoneTexte 34"/>
        <cdr:cNvSpPr txBox="1"/>
      </cdr:nvSpPr>
      <cdr:spPr>
        <a:xfrm xmlns:a="http://schemas.openxmlformats.org/drawingml/2006/main" rot="5400000">
          <a:off x="7076514" y="3781988"/>
          <a:ext cx="5602944" cy="4370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53366C3-724C-4671-A57C-1988683EDFFC}" type="TxLink">
            <a:rPr lang="en-US" sz="1000" b="0" i="0" u="none" strike="noStrike">
              <a:solidFill>
                <a:srgbClr val="000000"/>
              </a:solidFill>
              <a:latin typeface="Arialri"/>
              <a:cs typeface="Calibri"/>
            </a:rPr>
            <a:pPr/>
            <a:t>Attention, le nombre de patients présentés ici dépend des options thérapeutiques retenues, notemment l'utilisation de CDF pédiatriques - Voir paramétrage dans "Données à saisir" </a:t>
          </a:fld>
          <a:endParaRPr lang="fr-FR" sz="900" i="1"/>
        </a:p>
      </cdr:txBody>
    </cdr:sp>
  </cdr:relSizeAnchor>
  <cdr:relSizeAnchor xmlns:cdr="http://schemas.openxmlformats.org/drawingml/2006/chartDrawing">
    <cdr:from>
      <cdr:x>0.33392</cdr:x>
      <cdr:y>0.10948</cdr:y>
    </cdr:from>
    <cdr:to>
      <cdr:x>0.48028</cdr:x>
      <cdr:y>0.15117</cdr:y>
    </cdr:to>
    <cdr:sp macro="" textlink="'TRAD-visualiz'!$B$7">
      <cdr:nvSpPr>
        <cdr:cNvPr id="33" name="ZoneTexte 6"/>
        <cdr:cNvSpPr txBox="1"/>
      </cdr:nvSpPr>
      <cdr:spPr>
        <a:xfrm xmlns:a="http://schemas.openxmlformats.org/drawingml/2006/main">
          <a:off x="3393840" y="753268"/>
          <a:ext cx="1487564" cy="286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1B8DC56-68D6-44FF-ACEB-FE2A8A95B6B1}" type="TxLink">
            <a:rPr lang="en-US" sz="1000" b="0" i="0" u="none" strike="noStrike">
              <a:solidFill>
                <a:srgbClr val="000000"/>
              </a:solidFill>
              <a:latin typeface="Arialri"/>
              <a:cs typeface="Calibri"/>
            </a:rPr>
            <a:pPr/>
            <a:t>Dates de péremption </a:t>
          </a:fld>
          <a:endParaRPr lang="fr-FR" sz="1100" i="1"/>
        </a:p>
      </cdr:txBody>
    </cdr:sp>
  </cdr:relSizeAnchor>
  <cdr:relSizeAnchor xmlns:cdr="http://schemas.openxmlformats.org/drawingml/2006/chartDrawing">
    <cdr:from>
      <cdr:x>0.55187</cdr:x>
      <cdr:y>0.10948</cdr:y>
    </cdr:from>
    <cdr:to>
      <cdr:x>0.87343</cdr:x>
      <cdr:y>0.15197</cdr:y>
    </cdr:to>
    <cdr:sp macro="" textlink="Calculs!$F$501">
      <cdr:nvSpPr>
        <cdr:cNvPr id="34" name="ZoneTexte 1"/>
        <cdr:cNvSpPr txBox="1"/>
      </cdr:nvSpPr>
      <cdr:spPr>
        <a:xfrm xmlns:a="http://schemas.openxmlformats.org/drawingml/2006/main">
          <a:off x="5609079" y="753267"/>
          <a:ext cx="3268250"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fld id="{495F62AB-C30B-4171-B22E-1921CC48179E}" type="TxLink">
            <a:rPr lang="en-US" sz="1100" b="1" i="1" u="none" strike="noStrike">
              <a:solidFill>
                <a:srgbClr val="C00000"/>
              </a:solidFill>
              <a:latin typeface="Calibri"/>
              <a:ea typeface="+mn-ea"/>
              <a:cs typeface="+mn-cs"/>
            </a:rPr>
            <a:pPr marL="0" indent="0"/>
            <a:t>Prises en compte</a:t>
          </a:fld>
          <a:endParaRPr lang="fr-FR" sz="1100" b="1" i="1" u="none" strike="noStrike">
            <a:solidFill>
              <a:srgbClr val="C00000"/>
            </a:solidFill>
            <a:latin typeface="Calibri"/>
            <a:ea typeface="+mn-ea"/>
            <a:cs typeface="+mn-cs"/>
          </a:endParaRPr>
        </a:p>
      </cdr:txBody>
    </cdr:sp>
  </cdr:relSizeAnchor>
  <cdr:relSizeAnchor xmlns:cdr="http://schemas.openxmlformats.org/drawingml/2006/chartDrawing">
    <cdr:from>
      <cdr:x>0.29327</cdr:x>
      <cdr:y>0</cdr:y>
    </cdr:from>
    <cdr:to>
      <cdr:x>0.38324</cdr:x>
      <cdr:y>0.04886</cdr:y>
    </cdr:to>
    <cdr:sp macro="" textlink="'TRAD-visualiz'!$B$12">
      <cdr:nvSpPr>
        <cdr:cNvPr id="40" name="ZoneTexte 1"/>
        <cdr:cNvSpPr txBox="1"/>
      </cdr:nvSpPr>
      <cdr:spPr>
        <a:xfrm xmlns:a="http://schemas.openxmlformats.org/drawingml/2006/main">
          <a:off x="2980765" y="-33617"/>
          <a:ext cx="914431" cy="3361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2018668-D15B-4980-9B42-6F4B8A40254C}" type="TxLink">
            <a:rPr lang="en-US" sz="1600" b="1" i="0" u="none" strike="noStrike">
              <a:solidFill>
                <a:srgbClr val="FF0000"/>
              </a:solidFill>
              <a:latin typeface="Calibri"/>
              <a:cs typeface="Calibri"/>
            </a:rPr>
            <a:pPr/>
            <a:t> Solutions buvables </a:t>
          </a:fld>
          <a:endParaRPr lang="fr-FR" sz="5400" b="1">
            <a:solidFill>
              <a:srgbClr val="FF0000"/>
            </a:solidFill>
            <a:latin typeface="Calibri"/>
            <a:cs typeface="Arial" pitchFamily="34" charset="0"/>
          </a:endParaRPr>
        </a:p>
      </cdr:txBody>
    </cdr:sp>
  </cdr:relSizeAnchor>
  <cdr:relSizeAnchor xmlns:cdr="http://schemas.openxmlformats.org/drawingml/2006/chartDrawing">
    <cdr:from>
      <cdr:x>0.8524</cdr:x>
      <cdr:y>0.00575</cdr:y>
    </cdr:from>
    <cdr:to>
      <cdr:x>1</cdr:x>
      <cdr:y>0.10462</cdr:y>
    </cdr:to>
    <cdr:pic>
      <cdr:nvPicPr>
        <cdr:cNvPr id="41" name="Image 40"/>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63548" y="39595"/>
          <a:ext cx="1500187" cy="680245"/>
        </a:xfrm>
        <a:prstGeom xmlns:a="http://schemas.openxmlformats.org/drawingml/2006/main" prst="rect">
          <a:avLst/>
        </a:prstGeom>
      </cdr:spPr>
    </cdr:pic>
  </cdr:relSizeAnchor>
</c:userShapes>
</file>

<file path=xl/drawings/drawing43.xml><?xml version="1.0" encoding="utf-8"?>
<xdr:wsDr xmlns:xdr="http://schemas.openxmlformats.org/drawingml/2006/spreadsheetDrawing" xmlns:a="http://schemas.openxmlformats.org/drawingml/2006/main">
  <xdr:absoluteAnchor>
    <xdr:pos x="0" y="0"/>
    <xdr:ext cx="10163735" cy="68804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0.0194</cdr:x>
      <cdr:y>0.07353</cdr:y>
    </cdr:from>
    <cdr:to>
      <cdr:x>0.24898</cdr:x>
      <cdr:y>0.11522</cdr:y>
    </cdr:to>
    <cdr:sp macro="" textlink="">
      <cdr:nvSpPr>
        <cdr:cNvPr id="7" name="ZoneTexte 6"/>
        <cdr:cNvSpPr txBox="1"/>
      </cdr:nvSpPr>
      <cdr:spPr>
        <a:xfrm xmlns:a="http://schemas.openxmlformats.org/drawingml/2006/main">
          <a:off x="196057" y="504244"/>
          <a:ext cx="2320141" cy="28591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fr-FR" sz="1100" i="1"/>
            <a:t>Date de mise à jour </a:t>
          </a:r>
          <a:r>
            <a:rPr lang="fr-FR" sz="1100" i="1" baseline="0"/>
            <a:t>des données : </a:t>
          </a:r>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0.0194</cdr:x>
      <cdr:y>0.04197</cdr:y>
    </cdr:from>
    <cdr:to>
      <cdr:x>0.16297</cdr:x>
      <cdr:y>0.08361</cdr:y>
    </cdr:to>
    <cdr:sp macro="" textlink="">
      <cdr:nvSpPr>
        <cdr:cNvPr id="9" name="ZoneTexte 1"/>
        <cdr:cNvSpPr txBox="1"/>
      </cdr:nvSpPr>
      <cdr:spPr>
        <a:xfrm xmlns:a="http://schemas.openxmlformats.org/drawingml/2006/main">
          <a:off x="196057" y="287803"/>
          <a:ext cx="1450922" cy="285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i="1"/>
            <a:t>Pays et/ou structure </a:t>
          </a:r>
          <a:r>
            <a:rPr lang="fr-FR" sz="1100" i="1" baseline="0"/>
            <a:t>:</a:t>
          </a:r>
          <a:endParaRPr lang="fr-FR" sz="1100" i="1"/>
        </a:p>
      </cdr:txBody>
    </cdr:sp>
  </cdr:relSizeAnchor>
  <cdr:relSizeAnchor xmlns:cdr="http://schemas.openxmlformats.org/drawingml/2006/chartDrawing">
    <cdr:from>
      <cdr:x>0.15377</cdr:x>
      <cdr:y>0.04197</cdr:y>
    </cdr:from>
    <cdr:to>
      <cdr:x>0.29855</cdr:x>
      <cdr:y>0.08446</cdr:y>
    </cdr:to>
    <cdr:sp macro="" textlink="Paramétrage!$D$11">
      <cdr:nvSpPr>
        <cdr:cNvPr id="10" name="ZoneTexte 1"/>
        <cdr:cNvSpPr txBox="1"/>
      </cdr:nvSpPr>
      <cdr:spPr>
        <a:xfrm xmlns:a="http://schemas.openxmlformats.org/drawingml/2006/main">
          <a:off x="1554003" y="287803"/>
          <a:ext cx="1463151"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0.85824</cdr:x>
      <cdr:y>0.09151</cdr:y>
    </cdr:from>
    <cdr:to>
      <cdr:x>0.99684</cdr:x>
      <cdr:y>0.17157</cdr:y>
    </cdr:to>
    <cdr:sp macro="" textlink="">
      <cdr:nvSpPr>
        <cdr:cNvPr id="12" name="ZoneTexte 11"/>
        <cdr:cNvSpPr txBox="1"/>
      </cdr:nvSpPr>
      <cdr:spPr>
        <a:xfrm xmlns:a="http://schemas.openxmlformats.org/drawingml/2006/main">
          <a:off x="8673348" y="627546"/>
          <a:ext cx="1400695" cy="54905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fr-FR" sz="1000" i="1"/>
            <a:t>Nb de patients concernés</a:t>
          </a:r>
          <a:r>
            <a:rPr lang="fr-FR" sz="1000" i="1" baseline="0"/>
            <a:t> / mois</a:t>
          </a:r>
        </a:p>
        <a:p xmlns:a="http://schemas.openxmlformats.org/drawingml/2006/main">
          <a:pPr algn="l"/>
          <a:r>
            <a:rPr lang="fr-FR" sz="1000" b="1" baseline="0"/>
            <a:t>           Actuel </a:t>
          </a:r>
          <a:r>
            <a:rPr lang="fr-FR" sz="1000" baseline="0"/>
            <a:t>      </a:t>
          </a:r>
          <a:r>
            <a:rPr lang="fr-FR" sz="1000" b="1" baseline="0"/>
            <a:t>Nvx</a:t>
          </a:r>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0.86992</cdr:x>
      <cdr:y>0.00664</cdr:y>
    </cdr:from>
    <cdr:to>
      <cdr:x>0.99224</cdr:x>
      <cdr:y>0.09314</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91415" y="45524"/>
          <a:ext cx="1236169" cy="593217"/>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0.40932</cdr:x>
      <cdr:y>0.07353</cdr:y>
    </cdr:from>
    <cdr:to>
      <cdr:x>0.59893</cdr:x>
      <cdr:y>0.11522</cdr:y>
    </cdr:to>
    <cdr:sp macro="" textlink="">
      <cdr:nvSpPr>
        <cdr:cNvPr id="119" name="ZoneTexte 6"/>
        <cdr:cNvSpPr txBox="1"/>
      </cdr:nvSpPr>
      <cdr:spPr>
        <a:xfrm xmlns:a="http://schemas.openxmlformats.org/drawingml/2006/main">
          <a:off x="4136567" y="504269"/>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i="1"/>
            <a:t>Nature des stocks considérés</a:t>
          </a:r>
          <a:r>
            <a:rPr lang="fr-FR" sz="1100" i="1" baseline="0"/>
            <a:t> :</a:t>
          </a:r>
          <a:endParaRPr lang="fr-FR" sz="1100" i="1"/>
        </a:p>
      </cdr:txBody>
    </cdr:sp>
  </cdr:relSizeAnchor>
  <cdr:relSizeAnchor xmlns:cdr="http://schemas.openxmlformats.org/drawingml/2006/chartDrawing">
    <cdr:from>
      <cdr:x>0.21512</cdr:x>
      <cdr:y>0.07353</cdr:y>
    </cdr:from>
    <cdr:to>
      <cdr:x>0.3599</cdr:x>
      <cdr:y>0.11602</cdr:y>
    </cdr:to>
    <cdr:sp macro="" textlink="Paramétrage!$H$19">
      <cdr:nvSpPr>
        <cdr:cNvPr id="122" name="ZoneTexte 1"/>
        <cdr:cNvSpPr txBox="1"/>
      </cdr:nvSpPr>
      <cdr:spPr>
        <a:xfrm xmlns:a="http://schemas.openxmlformats.org/drawingml/2006/main">
          <a:off x="2173978" y="504244"/>
          <a:ext cx="1463150"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0.58087</cdr:x>
      <cdr:y>0.07353</cdr:y>
    </cdr:from>
    <cdr:to>
      <cdr:x>0.90243</cdr:x>
      <cdr:y>0.11602</cdr:y>
    </cdr:to>
    <cdr:sp macro="" textlink="'Calculs dispo Données FA'!$F$122">
      <cdr:nvSpPr>
        <cdr:cNvPr id="123" name="ZoneTexte 1"/>
        <cdr:cNvSpPr txBox="1"/>
      </cdr:nvSpPr>
      <cdr:spPr>
        <a:xfrm xmlns:a="http://schemas.openxmlformats.org/drawingml/2006/main">
          <a:off x="5870255" y="504269"/>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1F67E7D-304B-4BBF-8F8E-0F2ABA6D85A1}" type="TxLink">
            <a:rPr lang="fr-FR" sz="1100" b="1" i="1" u="none" strike="noStrike">
              <a:solidFill>
                <a:srgbClr val="C00000"/>
              </a:solidFill>
              <a:latin typeface="Arialri"/>
            </a:rPr>
            <a:pPr/>
            <a:t>Stocks centraux</a:t>
          </a:fld>
          <a:endParaRPr lang="fr-FR" sz="1100" b="1" i="1">
            <a:solidFill>
              <a:srgbClr val="C00000"/>
            </a:solidFill>
          </a:endParaRPr>
        </a:p>
      </cdr:txBody>
    </cdr:sp>
  </cdr:relSizeAnchor>
  <cdr:relSizeAnchor xmlns:cdr="http://schemas.openxmlformats.org/drawingml/2006/chartDrawing">
    <cdr:from>
      <cdr:x>0.72629</cdr:x>
      <cdr:y>0.97059</cdr:y>
    </cdr:from>
    <cdr:to>
      <cdr:x>0.80058</cdr:x>
      <cdr:y>1</cdr:y>
    </cdr:to>
    <cdr:sp macro="" textlink="Calculs!$D$486">
      <cdr:nvSpPr>
        <cdr:cNvPr id="100" name="ZoneTexte 99"/>
        <cdr:cNvSpPr txBox="1"/>
      </cdr:nvSpPr>
      <cdr:spPr>
        <a:xfrm xmlns:a="http://schemas.openxmlformats.org/drawingml/2006/main">
          <a:off x="7339898" y="6656306"/>
          <a:ext cx="750777" cy="2016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F4B2FD2-1E4F-480A-B115-4272D75590EE}" type="TxLink">
            <a:rPr lang="fr-FR" sz="1000" b="1" i="1" u="none" strike="noStrike">
              <a:solidFill>
                <a:srgbClr val="000000"/>
              </a:solidFill>
              <a:latin typeface="Arialri"/>
            </a:rPr>
            <a:pPr/>
            <a:t>3 mois</a:t>
          </a:fld>
          <a:endParaRPr lang="fr-FR" sz="1000" b="1" i="1"/>
        </a:p>
      </cdr:txBody>
    </cdr:sp>
  </cdr:relSizeAnchor>
  <cdr:relSizeAnchor xmlns:cdr="http://schemas.openxmlformats.org/drawingml/2006/chartDrawing">
    <cdr:from>
      <cdr:x>0.40932</cdr:x>
      <cdr:y>0.04197</cdr:y>
    </cdr:from>
    <cdr:to>
      <cdr:x>0.64939</cdr:x>
      <cdr:y>0.08366</cdr:y>
    </cdr:to>
    <cdr:sp macro="" textlink="">
      <cdr:nvSpPr>
        <cdr:cNvPr id="101" name="ZoneTexte 6"/>
        <cdr:cNvSpPr txBox="1"/>
      </cdr:nvSpPr>
      <cdr:spPr>
        <a:xfrm xmlns:a="http://schemas.openxmlformats.org/drawingml/2006/main">
          <a:off x="4136567" y="287830"/>
          <a:ext cx="242615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i="1"/>
            <a:t>Méthode</a:t>
          </a:r>
          <a:r>
            <a:rPr lang="fr-FR" sz="1100" i="1" baseline="0"/>
            <a:t> / t</a:t>
          </a:r>
          <a:r>
            <a:rPr lang="fr-FR" sz="1100" i="1"/>
            <a:t>ype</a:t>
          </a:r>
          <a:r>
            <a:rPr lang="fr-FR" sz="1100" i="1" baseline="0"/>
            <a:t> de données utilisées :</a:t>
          </a:r>
          <a:endParaRPr lang="fr-FR" sz="1100" i="1"/>
        </a:p>
      </cdr:txBody>
    </cdr:sp>
  </cdr:relSizeAnchor>
  <cdr:relSizeAnchor xmlns:cdr="http://schemas.openxmlformats.org/drawingml/2006/chartDrawing">
    <cdr:from>
      <cdr:x>0.62666</cdr:x>
      <cdr:y>0.04197</cdr:y>
    </cdr:from>
    <cdr:to>
      <cdr:x>0.91368</cdr:x>
      <cdr:y>0.08446</cdr:y>
    </cdr:to>
    <cdr:sp macro="" textlink="Calculs!$C$490">
      <cdr:nvSpPr>
        <cdr:cNvPr id="102" name="ZoneTexte 1"/>
        <cdr:cNvSpPr txBox="1"/>
      </cdr:nvSpPr>
      <cdr:spPr>
        <a:xfrm xmlns:a="http://schemas.openxmlformats.org/drawingml/2006/main">
          <a:off x="6333009" y="287830"/>
          <a:ext cx="2900638" cy="291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926D5E4-7743-4E63-B40F-85E65D7F3517}" type="TxLink">
            <a:rPr lang="fr-FR" sz="1100" b="1" i="1" u="none" strike="noStrike">
              <a:solidFill>
                <a:srgbClr val="C00000"/>
              </a:solidFill>
              <a:latin typeface="Arialri"/>
            </a:rPr>
            <a:pPr/>
            <a:t>Compilation de données de FA &amp; de Conso</a:t>
          </a:fld>
          <a:endParaRPr lang="fr-FR" sz="1100" b="1" i="1">
            <a:solidFill>
              <a:srgbClr val="C00000"/>
            </a:solidFill>
          </a:endParaRPr>
        </a:p>
      </cdr:txBody>
    </cdr:sp>
  </cdr:relSizeAnchor>
  <cdr:relSizeAnchor xmlns:cdr="http://schemas.openxmlformats.org/drawingml/2006/chartDrawing">
    <cdr:from>
      <cdr:x>0.27721</cdr:x>
      <cdr:y>0.97059</cdr:y>
    </cdr:from>
    <cdr:to>
      <cdr:x>0.3515</cdr:x>
      <cdr:y>1</cdr:y>
    </cdr:to>
    <cdr:sp macro="" textlink="Calculs!$D$486">
      <cdr:nvSpPr>
        <cdr:cNvPr id="103" name="ZoneTexte 1"/>
        <cdr:cNvSpPr txBox="1"/>
      </cdr:nvSpPr>
      <cdr:spPr>
        <a:xfrm xmlns:a="http://schemas.openxmlformats.org/drawingml/2006/main">
          <a:off x="2801485" y="6656306"/>
          <a:ext cx="750776" cy="2016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0C7E466-3C2C-4E83-A84B-0A1CC523B1C5}" type="TxLink">
            <a:rPr lang="fr-FR" sz="1000" b="1" i="1" u="none" strike="noStrike">
              <a:solidFill>
                <a:srgbClr val="000000"/>
              </a:solidFill>
              <a:latin typeface="Arialri"/>
            </a:rPr>
            <a:pPr/>
            <a:t>3 mois</a:t>
          </a:fld>
          <a:endParaRPr lang="fr-FR" sz="1000" b="1" i="1"/>
        </a:p>
      </cdr:txBody>
    </cdr:sp>
  </cdr:relSizeAnchor>
  <cdr:relSizeAnchor xmlns:cdr="http://schemas.openxmlformats.org/drawingml/2006/chartDrawing">
    <cdr:from>
      <cdr:x>0.88886</cdr:x>
      <cdr:y>0.18599</cdr:y>
    </cdr:from>
    <cdr:to>
      <cdr:x>0.95983</cdr:x>
      <cdr:y>0.94565</cdr:y>
    </cdr:to>
    <cdr:grpSp>
      <cdr:nvGrpSpPr>
        <cdr:cNvPr id="107" name="Groupe 106"/>
        <cdr:cNvGrpSpPr/>
      </cdr:nvGrpSpPr>
      <cdr:grpSpPr>
        <a:xfrm xmlns:a="http://schemas.openxmlformats.org/drawingml/2006/main">
          <a:off x="9034137" y="1279688"/>
          <a:ext cx="721321" cy="5226774"/>
          <a:chOff x="8382016" y="1253511"/>
          <a:chExt cx="717224" cy="5209752"/>
        </a:xfrm>
      </cdr:grpSpPr>
      <cdr:sp macro="" textlink="Calculs!$Y$153">
        <cdr:nvSpPr>
          <cdr:cNvPr id="11" name="ZoneTexte 10"/>
          <cdr:cNvSpPr txBox="1"/>
        </cdr:nvSpPr>
        <cdr:spPr>
          <a:xfrm xmlns:a="http://schemas.openxmlformats.org/drawingml/2006/main">
            <a:off x="8382016" y="125351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marL="0" indent="0" algn="l"/>
            <a:fld id="{B21F5C82-B1DA-4BFD-A52F-F2141AE87B43}" type="TxLink">
              <a:rPr lang="fr-FR" sz="900" b="1" i="0" u="none" strike="noStrike">
                <a:solidFill>
                  <a:srgbClr val="000000"/>
                </a:solidFill>
                <a:latin typeface="+mn-lt"/>
                <a:ea typeface="+mn-ea"/>
                <a:cs typeface="+mn-cs"/>
              </a:rPr>
              <a:pPr marL="0" indent="0" algn="l"/>
              <a:t>6338</a:t>
            </a:fld>
            <a:endParaRPr lang="fr-FR" sz="900" b="1">
              <a:latin typeface="+mn-lt"/>
              <a:ea typeface="+mn-ea"/>
              <a:cs typeface="+mn-cs"/>
            </a:endParaRPr>
          </a:p>
        </cdr:txBody>
      </cdr:sp>
      <cdr:sp macro="" textlink="Calculs!$Y$164">
        <cdr:nvSpPr>
          <cdr:cNvPr id="13" name="ZoneTexte 1"/>
          <cdr:cNvSpPr txBox="1"/>
        </cdr:nvSpPr>
        <cdr:spPr>
          <a:xfrm xmlns:a="http://schemas.openxmlformats.org/drawingml/2006/main">
            <a:off x="8382016" y="283543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B84EF09-9EE5-4850-A6CE-29E226F2DC54}" type="TxLink">
              <a:rPr lang="fr-FR" sz="900" b="1" i="0" u="none" strike="noStrike">
                <a:solidFill>
                  <a:srgbClr val="000000"/>
                </a:solidFill>
                <a:latin typeface="Calibri"/>
                <a:cs typeface="Calibri"/>
              </a:rPr>
              <a:pPr algn="l"/>
              <a:t>0</a:t>
            </a:fld>
            <a:endParaRPr lang="fr-FR" sz="900" b="1"/>
          </a:p>
        </cdr:txBody>
      </cdr:sp>
      <cdr:sp macro="" textlink="Calculs!$Y$163">
        <cdr:nvSpPr>
          <cdr:cNvPr id="14" name="ZoneTexte 1"/>
          <cdr:cNvSpPr txBox="1"/>
        </cdr:nvSpPr>
        <cdr:spPr>
          <a:xfrm xmlns:a="http://schemas.openxmlformats.org/drawingml/2006/main">
            <a:off x="8382016" y="267723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E4FEC60-2BA2-436E-A165-648CF2883AF8}" type="TxLink">
              <a:rPr lang="fr-FR" sz="900" b="1" i="0" u="none" strike="noStrike">
                <a:solidFill>
                  <a:srgbClr val="000000"/>
                </a:solidFill>
                <a:latin typeface="Calibri"/>
                <a:cs typeface="Calibri"/>
              </a:rPr>
              <a:pPr algn="l"/>
              <a:t>0</a:t>
            </a:fld>
            <a:endParaRPr lang="fr-FR" sz="900" b="1"/>
          </a:p>
        </cdr:txBody>
      </cdr:sp>
      <cdr:sp macro="" textlink="Calculs!$Y$162">
        <cdr:nvSpPr>
          <cdr:cNvPr id="15" name="ZoneTexte 1"/>
          <cdr:cNvSpPr txBox="1"/>
        </cdr:nvSpPr>
        <cdr:spPr>
          <a:xfrm xmlns:a="http://schemas.openxmlformats.org/drawingml/2006/main">
            <a:off x="8382016" y="251904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4B99D6-9A0A-49CE-9AB4-F5DD3084C34C}" type="TxLink">
              <a:rPr lang="fr-FR" sz="900" b="1" i="0" u="none" strike="noStrike">
                <a:solidFill>
                  <a:srgbClr val="000000"/>
                </a:solidFill>
                <a:latin typeface="Calibri"/>
                <a:cs typeface="Calibri"/>
              </a:rPr>
              <a:pPr algn="l"/>
              <a:t>45</a:t>
            </a:fld>
            <a:endParaRPr lang="fr-FR" sz="900" b="1"/>
          </a:p>
        </cdr:txBody>
      </cdr:sp>
      <cdr:sp macro="" textlink="Calculs!$Y$161">
        <cdr:nvSpPr>
          <cdr:cNvPr id="16" name="ZoneTexte 1"/>
          <cdr:cNvSpPr txBox="1"/>
        </cdr:nvSpPr>
        <cdr:spPr>
          <a:xfrm xmlns:a="http://schemas.openxmlformats.org/drawingml/2006/main">
            <a:off x="8382016" y="236085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951257C-7021-48FD-8005-03D054E51194}" type="TxLink">
              <a:rPr lang="fr-FR" sz="900" b="1" i="0" u="none" strike="noStrike">
                <a:solidFill>
                  <a:srgbClr val="000000"/>
                </a:solidFill>
                <a:latin typeface="Calibri"/>
                <a:cs typeface="Calibri"/>
              </a:rPr>
              <a:pPr algn="l"/>
              <a:t>100</a:t>
            </a:fld>
            <a:endParaRPr lang="fr-FR" sz="900" b="1"/>
          </a:p>
        </cdr:txBody>
      </cdr:sp>
      <cdr:sp macro="" textlink="Calculs!$Y$160">
        <cdr:nvSpPr>
          <cdr:cNvPr id="17" name="ZoneTexte 1"/>
          <cdr:cNvSpPr txBox="1"/>
        </cdr:nvSpPr>
        <cdr:spPr>
          <a:xfrm xmlns:a="http://schemas.openxmlformats.org/drawingml/2006/main">
            <a:off x="8382016" y="220266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4995DA9-6C95-4665-B992-599C9DADD66A}" type="TxLink">
              <a:rPr lang="fr-FR" sz="900" b="1" i="0" u="none" strike="noStrike">
                <a:solidFill>
                  <a:srgbClr val="000000"/>
                </a:solidFill>
                <a:latin typeface="Calibri"/>
                <a:cs typeface="Calibri"/>
              </a:rPr>
              <a:pPr algn="l"/>
              <a:t>0</a:t>
            </a:fld>
            <a:endParaRPr lang="fr-FR" sz="900" b="1"/>
          </a:p>
        </cdr:txBody>
      </cdr:sp>
      <cdr:sp macro="" textlink="Calculs!$Y$156">
        <cdr:nvSpPr>
          <cdr:cNvPr id="18" name="ZoneTexte 1"/>
          <cdr:cNvSpPr txBox="1"/>
        </cdr:nvSpPr>
        <cdr:spPr>
          <a:xfrm xmlns:a="http://schemas.openxmlformats.org/drawingml/2006/main">
            <a:off x="8382016" y="172808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1929155-C7AD-4121-84DB-C69CC29EE6F8}" type="TxLink">
              <a:rPr lang="fr-FR" sz="900" b="1" i="0" u="none" strike="noStrike">
                <a:solidFill>
                  <a:srgbClr val="000000"/>
                </a:solidFill>
                <a:latin typeface="Calibri"/>
                <a:cs typeface="Calibri"/>
              </a:rPr>
              <a:pPr algn="l"/>
              <a:t>1267</a:t>
            </a:fld>
            <a:endParaRPr lang="fr-FR" sz="900" b="1"/>
          </a:p>
        </cdr:txBody>
      </cdr:sp>
      <cdr:sp macro="" textlink="Calculs!$Y$155">
        <cdr:nvSpPr>
          <cdr:cNvPr id="19" name="ZoneTexte 1"/>
          <cdr:cNvSpPr txBox="1"/>
        </cdr:nvSpPr>
        <cdr:spPr>
          <a:xfrm xmlns:a="http://schemas.openxmlformats.org/drawingml/2006/main">
            <a:off x="8382016" y="156989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D5BF645-F7BB-4C35-8D52-D2980A2F52EB}" type="TxLink">
              <a:rPr lang="fr-FR" sz="900" b="1" i="0" u="none" strike="noStrike">
                <a:solidFill>
                  <a:srgbClr val="000000"/>
                </a:solidFill>
                <a:latin typeface="Calibri"/>
                <a:cs typeface="Calibri"/>
              </a:rPr>
              <a:pPr algn="l"/>
              <a:t>27</a:t>
            </a:fld>
            <a:endParaRPr lang="fr-FR" sz="900" b="1"/>
          </a:p>
        </cdr:txBody>
      </cdr:sp>
      <cdr:sp macro="" textlink="Calculs!$Y$172">
        <cdr:nvSpPr>
          <cdr:cNvPr id="20" name="ZoneTexte 1"/>
          <cdr:cNvSpPr txBox="1"/>
        </cdr:nvSpPr>
        <cdr:spPr>
          <a:xfrm xmlns:a="http://schemas.openxmlformats.org/drawingml/2006/main">
            <a:off x="8382016" y="378458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2150DBF-25CB-463D-AA8B-29080015B636}" type="TxLink">
              <a:rPr lang="fr-FR" sz="900" b="1" i="0" u="none" strike="noStrike">
                <a:solidFill>
                  <a:srgbClr val="000000"/>
                </a:solidFill>
                <a:latin typeface="Calibri"/>
                <a:cs typeface="Calibri"/>
              </a:rPr>
              <a:pPr algn="l"/>
              <a:t>0</a:t>
            </a:fld>
            <a:endParaRPr lang="fr-FR" sz="900" b="1"/>
          </a:p>
        </cdr:txBody>
      </cdr:sp>
      <cdr:sp macro="" textlink="Calculs!$Y$170">
        <cdr:nvSpPr>
          <cdr:cNvPr id="21" name="ZoneTexte 1"/>
          <cdr:cNvSpPr txBox="1"/>
        </cdr:nvSpPr>
        <cdr:spPr>
          <a:xfrm xmlns:a="http://schemas.openxmlformats.org/drawingml/2006/main">
            <a:off x="8382016" y="362639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F76EA3A-B0DA-4B03-BCD4-7B9CBCF28467}" type="TxLink">
              <a:rPr lang="fr-FR" sz="900" b="1" i="0" u="none" strike="noStrike">
                <a:solidFill>
                  <a:srgbClr val="000000"/>
                </a:solidFill>
                <a:latin typeface="Calibri"/>
                <a:cs typeface="Calibri"/>
              </a:rPr>
              <a:pPr algn="l"/>
              <a:t>1485</a:t>
            </a:fld>
            <a:endParaRPr lang="fr-FR" sz="900" b="1"/>
          </a:p>
        </cdr:txBody>
      </cdr:sp>
      <cdr:sp macro="" textlink="Calculs!$Y$169">
        <cdr:nvSpPr>
          <cdr:cNvPr id="22" name="ZoneTexte 1"/>
          <cdr:cNvSpPr txBox="1"/>
        </cdr:nvSpPr>
        <cdr:spPr>
          <a:xfrm xmlns:a="http://schemas.openxmlformats.org/drawingml/2006/main">
            <a:off x="8382016" y="346819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3F45726-55F9-4C53-8766-E8480989D61A}" type="TxLink">
              <a:rPr lang="fr-FR" sz="900" b="1" i="0" u="none" strike="noStrike">
                <a:solidFill>
                  <a:srgbClr val="000000"/>
                </a:solidFill>
                <a:latin typeface="Calibri"/>
                <a:cs typeface="Calibri"/>
              </a:rPr>
              <a:pPr algn="l"/>
              <a:t>ND</a:t>
            </a:fld>
            <a:endParaRPr lang="fr-FR" sz="900" b="1"/>
          </a:p>
        </cdr:txBody>
      </cdr:sp>
      <cdr:sp macro="" textlink="Calculs!$Y$168">
        <cdr:nvSpPr>
          <cdr:cNvPr id="23" name="ZoneTexte 1"/>
          <cdr:cNvSpPr txBox="1"/>
        </cdr:nvSpPr>
        <cdr:spPr>
          <a:xfrm xmlns:a="http://schemas.openxmlformats.org/drawingml/2006/main">
            <a:off x="8382016" y="331000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ED2495F-40C4-4F05-861E-F06BA6CFC48B}" type="TxLink">
              <a:rPr lang="fr-FR" sz="900" b="1" i="0" u="none" strike="noStrike">
                <a:solidFill>
                  <a:srgbClr val="000000"/>
                </a:solidFill>
                <a:latin typeface="Calibri"/>
                <a:cs typeface="Calibri"/>
              </a:rPr>
              <a:pPr algn="l"/>
              <a:t>ND</a:t>
            </a:fld>
            <a:endParaRPr lang="fr-FR" sz="900" b="1"/>
          </a:p>
        </cdr:txBody>
      </cdr:sp>
      <cdr:sp macro="" textlink="Calculs!$Y$166">
        <cdr:nvSpPr>
          <cdr:cNvPr id="24" name="ZoneTexte 1"/>
          <cdr:cNvSpPr txBox="1"/>
        </cdr:nvSpPr>
        <cdr:spPr>
          <a:xfrm xmlns:a="http://schemas.openxmlformats.org/drawingml/2006/main">
            <a:off x="8382016" y="315181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19DAC5A-E745-41CA-8D38-B4FB037E2086}" type="TxLink">
              <a:rPr lang="fr-FR" sz="900" b="1" i="0" u="none" strike="noStrike">
                <a:solidFill>
                  <a:srgbClr val="000000"/>
                </a:solidFill>
                <a:latin typeface="Calibri"/>
                <a:cs typeface="Calibri"/>
              </a:rPr>
              <a:pPr algn="l"/>
              <a:t>104</a:t>
            </a:fld>
            <a:endParaRPr lang="fr-FR" sz="900" b="1"/>
          </a:p>
        </cdr:txBody>
      </cdr:sp>
      <cdr:sp macro="" textlink="Calculs!$Y$165">
        <cdr:nvSpPr>
          <cdr:cNvPr id="25" name="ZoneTexte 1"/>
          <cdr:cNvSpPr txBox="1"/>
        </cdr:nvSpPr>
        <cdr:spPr>
          <a:xfrm xmlns:a="http://schemas.openxmlformats.org/drawingml/2006/main">
            <a:off x="8382016" y="299362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2C4A588-558D-4085-A8E8-046FCBEA42C1}" type="TxLink">
              <a:rPr lang="fr-FR" sz="900" b="1" i="0" u="none" strike="noStrike">
                <a:solidFill>
                  <a:srgbClr val="000000"/>
                </a:solidFill>
                <a:latin typeface="Calibri"/>
                <a:cs typeface="Calibri"/>
              </a:rPr>
              <a:pPr algn="l"/>
              <a:t>1484</a:t>
            </a:fld>
            <a:endParaRPr lang="fr-FR" sz="900" b="1"/>
          </a:p>
        </cdr:txBody>
      </cdr:sp>
      <cdr:sp macro="" textlink="Calculs!$Y$174">
        <cdr:nvSpPr>
          <cdr:cNvPr id="26" name="ZoneTexte 1"/>
          <cdr:cNvSpPr txBox="1"/>
        </cdr:nvSpPr>
        <cdr:spPr>
          <a:xfrm xmlns:a="http://schemas.openxmlformats.org/drawingml/2006/main">
            <a:off x="8382016" y="394277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5CB03D1-E632-4EC9-8B8C-16802DC887FC}" type="TxLink">
              <a:rPr lang="fr-FR" sz="900" b="1" i="0" u="none" strike="noStrike">
                <a:solidFill>
                  <a:srgbClr val="000000"/>
                </a:solidFill>
                <a:latin typeface="Calibri"/>
                <a:cs typeface="Calibri"/>
              </a:rPr>
              <a:pPr algn="l"/>
              <a:t>2</a:t>
            </a:fld>
            <a:endParaRPr lang="fr-FR" sz="900" b="1"/>
          </a:p>
        </cdr:txBody>
      </cdr:sp>
      <cdr:sp macro="" textlink="Calculs!$Y$176">
        <cdr:nvSpPr>
          <cdr:cNvPr id="27" name="ZoneTexte 1"/>
          <cdr:cNvSpPr txBox="1"/>
        </cdr:nvSpPr>
        <cdr:spPr>
          <a:xfrm xmlns:a="http://schemas.openxmlformats.org/drawingml/2006/main">
            <a:off x="8382016" y="410096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9EE877A-3917-4327-96CB-9D2BD33A9428}" type="TxLink">
              <a:rPr lang="fr-FR" sz="900" b="1" i="0" u="none" strike="noStrike">
                <a:solidFill>
                  <a:srgbClr val="000000"/>
                </a:solidFill>
                <a:latin typeface="Calibri"/>
                <a:cs typeface="Calibri"/>
              </a:rPr>
              <a:pPr algn="l"/>
              <a:t>0</a:t>
            </a:fld>
            <a:endParaRPr lang="fr-FR" sz="900" b="1"/>
          </a:p>
        </cdr:txBody>
      </cdr:sp>
      <cdr:sp macro="" textlink="Calculs!$Y$179">
        <cdr:nvSpPr>
          <cdr:cNvPr id="28" name="ZoneTexte 1"/>
          <cdr:cNvSpPr txBox="1"/>
        </cdr:nvSpPr>
        <cdr:spPr>
          <a:xfrm xmlns:a="http://schemas.openxmlformats.org/drawingml/2006/main">
            <a:off x="8382016" y="441735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6201D63-3BA1-4C69-872B-670AA507ABED}" type="TxLink">
              <a:rPr lang="fr-FR" sz="900" b="1" i="0" u="none" strike="noStrike">
                <a:solidFill>
                  <a:srgbClr val="000000"/>
                </a:solidFill>
                <a:latin typeface="Calibri"/>
                <a:cs typeface="Calibri"/>
              </a:rPr>
              <a:pPr algn="l"/>
              <a:t>0</a:t>
            </a:fld>
            <a:endParaRPr lang="fr-FR" sz="900" b="1"/>
          </a:p>
        </cdr:txBody>
      </cdr:sp>
      <cdr:sp macro="" textlink="Calculs!$Y$180">
        <cdr:nvSpPr>
          <cdr:cNvPr id="29" name="ZoneTexte 1"/>
          <cdr:cNvSpPr txBox="1"/>
        </cdr:nvSpPr>
        <cdr:spPr>
          <a:xfrm xmlns:a="http://schemas.openxmlformats.org/drawingml/2006/main">
            <a:off x="8382016" y="457554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CBEC51-140C-44FA-811B-3D06A49D5C80}" type="TxLink">
              <a:rPr lang="fr-FR" sz="900" b="1" i="0" u="none" strike="noStrike">
                <a:solidFill>
                  <a:srgbClr val="000000"/>
                </a:solidFill>
                <a:latin typeface="Calibri"/>
                <a:cs typeface="Calibri"/>
              </a:rPr>
              <a:pPr algn="l"/>
              <a:t>0</a:t>
            </a:fld>
            <a:endParaRPr lang="fr-FR" sz="900" b="1"/>
          </a:p>
        </cdr:txBody>
      </cdr:sp>
      <cdr:sp macro="" textlink="Calculs!$Y$182">
        <cdr:nvSpPr>
          <cdr:cNvPr id="30" name="ZoneTexte 1"/>
          <cdr:cNvSpPr txBox="1"/>
        </cdr:nvSpPr>
        <cdr:spPr>
          <a:xfrm xmlns:a="http://schemas.openxmlformats.org/drawingml/2006/main">
            <a:off x="8382016" y="473373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1637DD-B272-44B9-BA07-D33C58DC4279}" type="TxLink">
              <a:rPr lang="fr-FR" sz="900" b="1" i="0" u="none" strike="noStrike">
                <a:solidFill>
                  <a:srgbClr val="000000"/>
                </a:solidFill>
                <a:latin typeface="Calibri"/>
                <a:cs typeface="Calibri"/>
              </a:rPr>
              <a:pPr algn="l"/>
              <a:t>0</a:t>
            </a:fld>
            <a:endParaRPr lang="fr-FR" sz="900" b="1"/>
          </a:p>
        </cdr:txBody>
      </cdr:sp>
      <cdr:sp macro="" textlink="Calculs!$Y$183">
        <cdr:nvSpPr>
          <cdr:cNvPr id="31" name="ZoneTexte 1"/>
          <cdr:cNvSpPr txBox="1"/>
        </cdr:nvSpPr>
        <cdr:spPr>
          <a:xfrm xmlns:a="http://schemas.openxmlformats.org/drawingml/2006/main">
            <a:off x="8382016" y="489192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39ED5-B3AE-4141-93AD-CAA4B9179337}" type="TxLink">
              <a:rPr lang="fr-FR" sz="900" b="1" i="0" u="none" strike="noStrike">
                <a:solidFill>
                  <a:srgbClr val="000000"/>
                </a:solidFill>
                <a:latin typeface="Calibri"/>
                <a:cs typeface="Calibri"/>
              </a:rPr>
              <a:pPr algn="l"/>
              <a:t>2</a:t>
            </a:fld>
            <a:endParaRPr lang="fr-FR" sz="900" b="1"/>
          </a:p>
        </cdr:txBody>
      </cdr:sp>
      <cdr:sp macro="" textlink="Calculs!$Y$184">
        <cdr:nvSpPr>
          <cdr:cNvPr id="32" name="ZoneTexte 1"/>
          <cdr:cNvSpPr txBox="1"/>
        </cdr:nvSpPr>
        <cdr:spPr>
          <a:xfrm xmlns:a="http://schemas.openxmlformats.org/drawingml/2006/main">
            <a:off x="8382016" y="505011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62B81E7-B327-4CE0-96F0-DDBF530D3CB3}" type="TxLink">
              <a:rPr lang="fr-FR" sz="900" b="1" i="0" u="none" strike="noStrike">
                <a:solidFill>
                  <a:srgbClr val="000000"/>
                </a:solidFill>
                <a:latin typeface="Calibri"/>
                <a:cs typeface="Calibri"/>
              </a:rPr>
              <a:pPr algn="l"/>
              <a:t>0</a:t>
            </a:fld>
            <a:endParaRPr lang="fr-FR" sz="900" b="1"/>
          </a:p>
        </cdr:txBody>
      </cdr:sp>
      <cdr:sp macro="" textlink="Calculs!$Y$185">
        <cdr:nvSpPr>
          <cdr:cNvPr id="33" name="ZoneTexte 1"/>
          <cdr:cNvSpPr txBox="1"/>
        </cdr:nvSpPr>
        <cdr:spPr>
          <a:xfrm xmlns:a="http://schemas.openxmlformats.org/drawingml/2006/main">
            <a:off x="8382016" y="520831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D334FFB-A7D7-4E71-89EE-1CF523DD943E}" type="TxLink">
              <a:rPr lang="fr-FR" sz="900" b="1" i="0" u="none" strike="noStrike">
                <a:solidFill>
                  <a:srgbClr val="000000"/>
                </a:solidFill>
                <a:latin typeface="Calibri"/>
                <a:cs typeface="Calibri"/>
              </a:rPr>
              <a:pPr algn="l"/>
              <a:t>106</a:t>
            </a:fld>
            <a:endParaRPr lang="fr-FR" sz="900" b="1"/>
          </a:p>
        </cdr:txBody>
      </cdr:sp>
      <cdr:sp macro="" textlink="Calculs!$Y$189">
        <cdr:nvSpPr>
          <cdr:cNvPr id="34" name="ZoneTexte 1"/>
          <cdr:cNvSpPr txBox="1"/>
        </cdr:nvSpPr>
        <cdr:spPr>
          <a:xfrm xmlns:a="http://schemas.openxmlformats.org/drawingml/2006/main">
            <a:off x="8382016" y="5524695"/>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DD1155D-6118-49AB-A858-D116EAAACFF2}" type="TxLink">
              <a:rPr lang="fr-FR" sz="900" b="1" i="0" u="none" strike="noStrike">
                <a:solidFill>
                  <a:srgbClr val="000000"/>
                </a:solidFill>
                <a:latin typeface="Calibri"/>
                <a:cs typeface="Calibri"/>
              </a:rPr>
              <a:pPr algn="l"/>
              <a:t>ND</a:t>
            </a:fld>
            <a:endParaRPr lang="fr-FR" sz="900" b="1"/>
          </a:p>
        </cdr:txBody>
      </cdr:sp>
      <cdr:sp macro="" textlink="Calculs!$Y$191">
        <cdr:nvSpPr>
          <cdr:cNvPr id="35" name="ZoneTexte 1"/>
          <cdr:cNvSpPr txBox="1"/>
        </cdr:nvSpPr>
        <cdr:spPr>
          <a:xfrm xmlns:a="http://schemas.openxmlformats.org/drawingml/2006/main">
            <a:off x="8382016" y="5682887"/>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F91E137-A0EC-4A56-8819-6AF99A775637}" type="TxLink">
              <a:rPr lang="fr-FR" sz="900" b="1" i="0" u="none" strike="noStrike">
                <a:solidFill>
                  <a:srgbClr val="000000"/>
                </a:solidFill>
                <a:latin typeface="Calibri"/>
                <a:cs typeface="Calibri"/>
              </a:rPr>
              <a:pPr algn="l"/>
              <a:t>0</a:t>
            </a:fld>
            <a:endParaRPr lang="fr-FR" sz="900" b="1"/>
          </a:p>
        </cdr:txBody>
      </cdr:sp>
      <cdr:sp macro="" textlink="Calculs!$Y$192">
        <cdr:nvSpPr>
          <cdr:cNvPr id="37" name="ZoneTexte 1"/>
          <cdr:cNvSpPr txBox="1"/>
        </cdr:nvSpPr>
        <cdr:spPr>
          <a:xfrm xmlns:a="http://schemas.openxmlformats.org/drawingml/2006/main">
            <a:off x="8382016" y="615746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862147-9144-4743-8714-2034CCAD0FC5}" type="TxLink">
              <a:rPr lang="fr-FR" sz="900" b="1" i="0" u="none" strike="noStrike">
                <a:solidFill>
                  <a:srgbClr val="000000"/>
                </a:solidFill>
                <a:latin typeface="Calibri"/>
                <a:cs typeface="Calibri"/>
              </a:rPr>
              <a:pPr algn="l"/>
              <a:t>ND</a:t>
            </a:fld>
            <a:endParaRPr lang="fr-FR" sz="900" b="1"/>
          </a:p>
        </cdr:txBody>
      </cdr:sp>
      <cdr:sp macro="" textlink="Calculs!$Y$193">
        <cdr:nvSpPr>
          <cdr:cNvPr id="120" name="ZoneTexte 1"/>
          <cdr:cNvSpPr txBox="1"/>
        </cdr:nvSpPr>
        <cdr:spPr>
          <a:xfrm xmlns:a="http://schemas.openxmlformats.org/drawingml/2006/main">
            <a:off x="8382016" y="631566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5B63C66-11D6-4DB2-B941-4929F8719716}" type="TxLink">
              <a:rPr lang="fr-FR" sz="900" b="1" i="0" u="none" strike="noStrike">
                <a:solidFill>
                  <a:srgbClr val="000000"/>
                </a:solidFill>
                <a:latin typeface="Calibri"/>
                <a:cs typeface="Calibri"/>
              </a:rPr>
              <a:pPr algn="l"/>
              <a:t>0</a:t>
            </a:fld>
            <a:endParaRPr lang="fr-FR" sz="900" b="1"/>
          </a:p>
        </cdr:txBody>
      </cdr:sp>
      <cdr:sp macro="" textlink="Calculs!$Y$154">
        <cdr:nvSpPr>
          <cdr:cNvPr id="125" name="ZoneTexte 1"/>
          <cdr:cNvSpPr txBox="1"/>
        </cdr:nvSpPr>
        <cdr:spPr>
          <a:xfrm xmlns:a="http://schemas.openxmlformats.org/drawingml/2006/main">
            <a:off x="8382016" y="141170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16CD871-7F3A-4E24-B58E-FC0260599ACF}" type="TxLink">
              <a:rPr lang="fr-FR" sz="900" b="1" i="0" u="none" strike="noStrike">
                <a:solidFill>
                  <a:srgbClr val="000000"/>
                </a:solidFill>
                <a:latin typeface="Calibri"/>
                <a:cs typeface="Calibri"/>
              </a:rPr>
              <a:pPr algn="l"/>
              <a:t>546</a:t>
            </a:fld>
            <a:endParaRPr lang="fr-FR" sz="900" b="1"/>
          </a:p>
        </cdr:txBody>
      </cdr:sp>
      <cdr:sp macro="" textlink="Calculs!$Y$157">
        <cdr:nvSpPr>
          <cdr:cNvPr id="126" name="ZoneTexte 1"/>
          <cdr:cNvSpPr txBox="1"/>
        </cdr:nvSpPr>
        <cdr:spPr>
          <a:xfrm xmlns:a="http://schemas.openxmlformats.org/drawingml/2006/main">
            <a:off x="8382016" y="188627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6773B9E-04DD-4DFC-917E-DECF3BB9C9F8}" type="TxLink">
              <a:rPr lang="fr-FR" sz="900" b="1" i="0" u="none" strike="noStrike">
                <a:solidFill>
                  <a:srgbClr val="000000"/>
                </a:solidFill>
                <a:latin typeface="Calibri"/>
                <a:cs typeface="Calibri"/>
              </a:rPr>
              <a:pPr algn="l"/>
              <a:t>146</a:t>
            </a:fld>
            <a:endParaRPr lang="fr-FR" sz="900" b="1"/>
          </a:p>
        </cdr:txBody>
      </cdr:sp>
      <cdr:sp macro="" textlink="Calculs!$Y$190">
        <cdr:nvSpPr>
          <cdr:cNvPr id="128" name="ZoneTexte 1"/>
          <cdr:cNvSpPr txBox="1"/>
        </cdr:nvSpPr>
        <cdr:spPr>
          <a:xfrm xmlns:a="http://schemas.openxmlformats.org/drawingml/2006/main">
            <a:off x="8382016" y="599927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73EECF0-0D94-4CB6-9214-3727D8648ACA}" type="TxLink">
              <a:rPr lang="fr-FR" sz="900" b="1" i="0" u="none" strike="noStrike">
                <a:solidFill>
                  <a:srgbClr val="000000"/>
                </a:solidFill>
                <a:latin typeface="Calibri"/>
                <a:cs typeface="Calibri"/>
              </a:rPr>
              <a:pPr algn="l"/>
              <a:t>0</a:t>
            </a:fld>
            <a:endParaRPr lang="fr-FR" sz="900" b="1"/>
          </a:p>
        </cdr:txBody>
      </cdr:sp>
      <cdr:sp macro="" textlink="Calculs!$Y$187">
        <cdr:nvSpPr>
          <cdr:cNvPr id="129" name="ZoneTexte 1"/>
          <cdr:cNvSpPr txBox="1"/>
        </cdr:nvSpPr>
        <cdr:spPr>
          <a:xfrm xmlns:a="http://schemas.openxmlformats.org/drawingml/2006/main">
            <a:off x="8382016" y="584107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D30AE6-4231-4BF3-8265-BFF7D866C5C1}" type="TxLink">
              <a:rPr lang="fr-FR" sz="900" b="1" i="0" u="none" strike="noStrike">
                <a:solidFill>
                  <a:srgbClr val="000000"/>
                </a:solidFill>
                <a:latin typeface="Calibri"/>
                <a:cs typeface="Calibri"/>
              </a:rPr>
              <a:pPr algn="l"/>
              <a:t>0</a:t>
            </a:fld>
            <a:endParaRPr lang="fr-FR" sz="900" b="1"/>
          </a:p>
        </cdr:txBody>
      </cdr:sp>
      <cdr:sp macro="" textlink="Calculs!$Y$158">
        <cdr:nvSpPr>
          <cdr:cNvPr id="104" name="ZoneTexte 1"/>
          <cdr:cNvSpPr txBox="1"/>
        </cdr:nvSpPr>
        <cdr:spPr>
          <a:xfrm xmlns:a="http://schemas.openxmlformats.org/drawingml/2006/main">
            <a:off x="8382016" y="2044471"/>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A4A4130-94C7-4602-8BE8-276739A44C52}" type="TxLink">
              <a:rPr lang="fr-FR" sz="900" b="1" i="0" u="none" strike="noStrike">
                <a:solidFill>
                  <a:srgbClr val="000000"/>
                </a:solidFill>
                <a:latin typeface="Calibri"/>
                <a:cs typeface="Calibri"/>
              </a:rPr>
              <a:pPr algn="l"/>
              <a:t>56</a:t>
            </a:fld>
            <a:endParaRPr lang="fr-FR" sz="900" b="1"/>
          </a:p>
        </cdr:txBody>
      </cdr:sp>
      <cdr:sp macro="" textlink="Calculs!$Y$186">
        <cdr:nvSpPr>
          <cdr:cNvPr id="105" name="ZoneTexte 1"/>
          <cdr:cNvSpPr txBox="1"/>
        </cdr:nvSpPr>
        <cdr:spPr>
          <a:xfrm xmlns:a="http://schemas.openxmlformats.org/drawingml/2006/main">
            <a:off x="8382016" y="5366503"/>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E692D23-554F-46F4-AFFA-4FF17EDDF03D}" type="TxLink">
              <a:rPr lang="fr-FR" sz="900" b="1" i="0" u="none" strike="noStrike">
                <a:solidFill>
                  <a:srgbClr val="000000"/>
                </a:solidFill>
                <a:latin typeface="Calibri"/>
                <a:cs typeface="Calibri"/>
              </a:rPr>
              <a:pPr algn="l"/>
              <a:t>18</a:t>
            </a:fld>
            <a:endParaRPr lang="fr-FR" sz="900" b="1"/>
          </a:p>
        </cdr:txBody>
      </cdr:sp>
      <cdr:sp macro="" textlink="Calculs!$Y$177">
        <cdr:nvSpPr>
          <cdr:cNvPr id="106" name="ZoneTexte 1"/>
          <cdr:cNvSpPr txBox="1"/>
        </cdr:nvSpPr>
        <cdr:spPr>
          <a:xfrm xmlns:a="http://schemas.openxmlformats.org/drawingml/2006/main">
            <a:off x="8382016" y="4259159"/>
            <a:ext cx="717224"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47CBFE6-095C-4AC4-91A8-3B1BD04993B7}" type="TxLink">
              <a:rPr lang="fr-FR" sz="900" b="1" i="0" u="none" strike="noStrike">
                <a:solidFill>
                  <a:srgbClr val="000000"/>
                </a:solidFill>
                <a:latin typeface="Calibri"/>
                <a:cs typeface="Calibri"/>
              </a:rPr>
              <a:pPr algn="l"/>
              <a:t>ND</a:t>
            </a:fld>
            <a:endParaRPr lang="fr-FR" sz="900" b="1"/>
          </a:p>
        </cdr:txBody>
      </cdr:sp>
    </cdr:grpSp>
  </cdr:relSizeAnchor>
  <cdr:relSizeAnchor xmlns:cdr="http://schemas.openxmlformats.org/drawingml/2006/chartDrawing">
    <cdr:from>
      <cdr:x>0.94656</cdr:x>
      <cdr:y>0.18652</cdr:y>
    </cdr:from>
    <cdr:to>
      <cdr:x>1</cdr:x>
      <cdr:y>0.94561</cdr:y>
    </cdr:to>
    <cdr:grpSp>
      <cdr:nvGrpSpPr>
        <cdr:cNvPr id="180" name="Groupe 179"/>
        <cdr:cNvGrpSpPr/>
      </cdr:nvGrpSpPr>
      <cdr:grpSpPr>
        <a:xfrm xmlns:a="http://schemas.openxmlformats.org/drawingml/2006/main">
          <a:off x="9620585" y="1283334"/>
          <a:ext cx="543150" cy="5222852"/>
          <a:chOff x="8378998" y="1257176"/>
          <a:chExt cx="540066" cy="5205811"/>
        </a:xfrm>
      </cdr:grpSpPr>
      <cdr:sp macro="" textlink="Calculs!$Y$207">
        <cdr:nvSpPr>
          <cdr:cNvPr id="74" name="ZoneTexte 73"/>
          <cdr:cNvSpPr txBox="1"/>
        </cdr:nvSpPr>
        <cdr:spPr>
          <a:xfrm xmlns:a="http://schemas.openxmlformats.org/drawingml/2006/main">
            <a:off x="8378998" y="125717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algn="l"/>
            <a:fld id="{4D577F86-3A53-468F-B4BC-EB02906EF292}" type="TxLink">
              <a:rPr lang="fr-FR" sz="900" b="1" i="0" u="none" strike="noStrike">
                <a:solidFill>
                  <a:srgbClr val="000000"/>
                </a:solidFill>
                <a:latin typeface="Calibri"/>
                <a:cs typeface="Calibri"/>
              </a:rPr>
              <a:pPr algn="l"/>
              <a:t>ND</a:t>
            </a:fld>
            <a:endParaRPr lang="fr-FR" sz="900" b="1"/>
          </a:p>
        </cdr:txBody>
      </cdr:sp>
      <cdr:sp macro="" textlink="Calculs!$Y$218">
        <cdr:nvSpPr>
          <cdr:cNvPr id="75" name="ZoneTexte 1"/>
          <cdr:cNvSpPr txBox="1"/>
        </cdr:nvSpPr>
        <cdr:spPr>
          <a:xfrm xmlns:a="http://schemas.openxmlformats.org/drawingml/2006/main">
            <a:off x="8378998" y="283786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1D9A81-A0CB-4E68-8299-96E9C97B41F2}" type="TxLink">
              <a:rPr lang="fr-FR" sz="900" b="1" i="0" u="none" strike="noStrike">
                <a:solidFill>
                  <a:srgbClr val="000000"/>
                </a:solidFill>
                <a:latin typeface="Calibri"/>
                <a:cs typeface="Calibri"/>
              </a:rPr>
              <a:pPr algn="l"/>
              <a:t>ND</a:t>
            </a:fld>
            <a:endParaRPr lang="fr-FR" sz="900" b="1"/>
          </a:p>
        </cdr:txBody>
      </cdr:sp>
      <cdr:sp macro="" textlink="Calculs!$Y$217">
        <cdr:nvSpPr>
          <cdr:cNvPr id="76" name="ZoneTexte 1"/>
          <cdr:cNvSpPr txBox="1"/>
        </cdr:nvSpPr>
        <cdr:spPr>
          <a:xfrm xmlns:a="http://schemas.openxmlformats.org/drawingml/2006/main">
            <a:off x="8378998" y="267979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DA55A6A-B9F5-4DE1-AA62-5F1E0A22E416}" type="TxLink">
              <a:rPr lang="fr-FR" sz="900" b="1" i="0" u="none" strike="noStrike">
                <a:solidFill>
                  <a:srgbClr val="000000"/>
                </a:solidFill>
                <a:latin typeface="Calibri"/>
                <a:cs typeface="Calibri"/>
              </a:rPr>
              <a:pPr algn="l"/>
              <a:t>ND</a:t>
            </a:fld>
            <a:endParaRPr lang="fr-FR" sz="900" b="1"/>
          </a:p>
        </cdr:txBody>
      </cdr:sp>
      <cdr:sp macro="" textlink="Calculs!$Y$216">
        <cdr:nvSpPr>
          <cdr:cNvPr id="77" name="ZoneTexte 1"/>
          <cdr:cNvSpPr txBox="1"/>
        </cdr:nvSpPr>
        <cdr:spPr>
          <a:xfrm xmlns:a="http://schemas.openxmlformats.org/drawingml/2006/main">
            <a:off x="8378998" y="252172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E748D6-E4D8-490B-AF5E-8023F149CF01}" type="TxLink">
              <a:rPr lang="fr-FR" sz="900" b="1" i="0" u="none" strike="noStrike">
                <a:solidFill>
                  <a:srgbClr val="000000"/>
                </a:solidFill>
                <a:latin typeface="Calibri"/>
                <a:cs typeface="Calibri"/>
              </a:rPr>
              <a:pPr algn="l"/>
              <a:t>ND</a:t>
            </a:fld>
            <a:endParaRPr lang="fr-FR" sz="900" b="1"/>
          </a:p>
        </cdr:txBody>
      </cdr:sp>
      <cdr:sp macro="" textlink="Calculs!$Y$215">
        <cdr:nvSpPr>
          <cdr:cNvPr id="78" name="ZoneTexte 1"/>
          <cdr:cNvSpPr txBox="1"/>
        </cdr:nvSpPr>
        <cdr:spPr>
          <a:xfrm xmlns:a="http://schemas.openxmlformats.org/drawingml/2006/main">
            <a:off x="8378998" y="236365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927761-A451-4312-BDBC-B54595157844}" type="TxLink">
              <a:rPr lang="fr-FR" sz="900" b="1" i="0" u="none" strike="noStrike">
                <a:solidFill>
                  <a:srgbClr val="000000"/>
                </a:solidFill>
                <a:latin typeface="Calibri"/>
                <a:cs typeface="Calibri"/>
              </a:rPr>
              <a:pPr algn="l"/>
              <a:t>ND</a:t>
            </a:fld>
            <a:endParaRPr lang="fr-FR" sz="900" b="1"/>
          </a:p>
        </cdr:txBody>
      </cdr:sp>
      <cdr:sp macro="" textlink="Calculs!$Y$214">
        <cdr:nvSpPr>
          <cdr:cNvPr id="79" name="ZoneTexte 1"/>
          <cdr:cNvSpPr txBox="1"/>
        </cdr:nvSpPr>
        <cdr:spPr>
          <a:xfrm xmlns:a="http://schemas.openxmlformats.org/drawingml/2006/main">
            <a:off x="8378998" y="220559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111C6CF-6996-4656-B2A8-4B846EC1DFA6}" type="TxLink">
              <a:rPr lang="fr-FR" sz="900" b="1" i="0" u="none" strike="noStrike">
                <a:solidFill>
                  <a:srgbClr val="000000"/>
                </a:solidFill>
                <a:latin typeface="Calibri"/>
                <a:cs typeface="Calibri"/>
              </a:rPr>
              <a:pPr algn="l"/>
              <a:t>ND</a:t>
            </a:fld>
            <a:endParaRPr lang="fr-FR" sz="900" b="1"/>
          </a:p>
        </cdr:txBody>
      </cdr:sp>
      <cdr:sp macro="" textlink="Calculs!$Y$210">
        <cdr:nvSpPr>
          <cdr:cNvPr id="80" name="ZoneTexte 1"/>
          <cdr:cNvSpPr txBox="1"/>
        </cdr:nvSpPr>
        <cdr:spPr>
          <a:xfrm xmlns:a="http://schemas.openxmlformats.org/drawingml/2006/main">
            <a:off x="8378998" y="173138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1FDB11-28F2-4777-B3E8-94ABCD4B18BA}" type="TxLink">
              <a:rPr lang="fr-FR" sz="900" b="1" i="0" u="none" strike="noStrike">
                <a:solidFill>
                  <a:srgbClr val="000000"/>
                </a:solidFill>
                <a:latin typeface="Calibri"/>
                <a:cs typeface="Calibri"/>
              </a:rPr>
              <a:pPr algn="l"/>
              <a:t>ND</a:t>
            </a:fld>
            <a:endParaRPr lang="fr-FR" sz="900" b="1"/>
          </a:p>
        </cdr:txBody>
      </cdr:sp>
      <cdr:sp macro="" textlink="Calculs!$Y$209">
        <cdr:nvSpPr>
          <cdr:cNvPr id="81" name="ZoneTexte 1"/>
          <cdr:cNvSpPr txBox="1"/>
        </cdr:nvSpPr>
        <cdr:spPr>
          <a:xfrm xmlns:a="http://schemas.openxmlformats.org/drawingml/2006/main">
            <a:off x="8378998" y="157331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4BBF744-8778-450C-964E-78F116FC56DA}" type="TxLink">
              <a:rPr lang="fr-FR" sz="900" b="1" i="0" u="none" strike="noStrike">
                <a:solidFill>
                  <a:srgbClr val="000000"/>
                </a:solidFill>
                <a:latin typeface="Calibri"/>
                <a:cs typeface="Calibri"/>
              </a:rPr>
              <a:pPr algn="l"/>
              <a:t>ND</a:t>
            </a:fld>
            <a:endParaRPr lang="fr-FR" sz="900" b="1"/>
          </a:p>
        </cdr:txBody>
      </cdr:sp>
      <cdr:sp macro="" textlink="Calculs!$Y$226">
        <cdr:nvSpPr>
          <cdr:cNvPr id="82" name="ZoneTexte 1"/>
          <cdr:cNvSpPr txBox="1"/>
        </cdr:nvSpPr>
        <cdr:spPr>
          <a:xfrm xmlns:a="http://schemas.openxmlformats.org/drawingml/2006/main">
            <a:off x="8378998" y="378628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DFB9F49-0EC8-4D13-8D1E-ED32A0809F5D}" type="TxLink">
              <a:rPr lang="fr-FR" sz="900" b="1" i="0" u="none" strike="noStrike">
                <a:solidFill>
                  <a:srgbClr val="000000"/>
                </a:solidFill>
                <a:latin typeface="Calibri"/>
                <a:cs typeface="Calibri"/>
              </a:rPr>
              <a:pPr algn="l"/>
              <a:t>ND</a:t>
            </a:fld>
            <a:endParaRPr lang="fr-FR" sz="900" b="1"/>
          </a:p>
        </cdr:txBody>
      </cdr:sp>
      <cdr:sp macro="" textlink="Calculs!$Y$224">
        <cdr:nvSpPr>
          <cdr:cNvPr id="83" name="ZoneTexte 1"/>
          <cdr:cNvSpPr txBox="1"/>
        </cdr:nvSpPr>
        <cdr:spPr>
          <a:xfrm xmlns:a="http://schemas.openxmlformats.org/drawingml/2006/main">
            <a:off x="8378998" y="362821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11EACE-A00F-415F-8677-16961836FAD0}" type="TxLink">
              <a:rPr lang="fr-FR" sz="900" b="1" i="0" u="none" strike="noStrike">
                <a:solidFill>
                  <a:srgbClr val="000000"/>
                </a:solidFill>
                <a:latin typeface="Calibri"/>
                <a:cs typeface="Calibri"/>
              </a:rPr>
              <a:pPr algn="l"/>
              <a:t>ND</a:t>
            </a:fld>
            <a:endParaRPr lang="fr-FR" sz="900" b="1"/>
          </a:p>
        </cdr:txBody>
      </cdr:sp>
      <cdr:sp macro="" textlink="Calculs!$Y$223">
        <cdr:nvSpPr>
          <cdr:cNvPr id="84" name="ZoneTexte 1"/>
          <cdr:cNvSpPr txBox="1"/>
        </cdr:nvSpPr>
        <cdr:spPr>
          <a:xfrm xmlns:a="http://schemas.openxmlformats.org/drawingml/2006/main">
            <a:off x="8378998" y="347014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EF26F0-C3BB-415A-94F0-F4B30FEEED4B}" type="TxLink">
              <a:rPr lang="fr-FR" sz="900" b="1" i="0" u="none" strike="noStrike">
                <a:solidFill>
                  <a:srgbClr val="000000"/>
                </a:solidFill>
                <a:latin typeface="Calibri"/>
                <a:cs typeface="Calibri"/>
              </a:rPr>
              <a:pPr algn="l"/>
              <a:t>ND</a:t>
            </a:fld>
            <a:endParaRPr lang="fr-FR" sz="900" b="1"/>
          </a:p>
        </cdr:txBody>
      </cdr:sp>
      <cdr:sp macro="" textlink="Calculs!$Y$222">
        <cdr:nvSpPr>
          <cdr:cNvPr id="85" name="ZoneTexte 1"/>
          <cdr:cNvSpPr txBox="1"/>
        </cdr:nvSpPr>
        <cdr:spPr>
          <a:xfrm xmlns:a="http://schemas.openxmlformats.org/drawingml/2006/main">
            <a:off x="8378998" y="331207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117A601-F80D-4987-B52C-CD1DAAC64813}" type="TxLink">
              <a:rPr lang="fr-FR" sz="900" b="1" i="0" u="none" strike="noStrike">
                <a:solidFill>
                  <a:srgbClr val="000000"/>
                </a:solidFill>
                <a:latin typeface="Calibri"/>
                <a:cs typeface="Calibri"/>
              </a:rPr>
              <a:pPr algn="l"/>
              <a:t>ND</a:t>
            </a:fld>
            <a:endParaRPr lang="fr-FR" sz="900" b="1"/>
          </a:p>
        </cdr:txBody>
      </cdr:sp>
      <cdr:sp macro="" textlink="Calculs!$Y$220">
        <cdr:nvSpPr>
          <cdr:cNvPr id="86" name="ZoneTexte 1"/>
          <cdr:cNvSpPr txBox="1"/>
        </cdr:nvSpPr>
        <cdr:spPr>
          <a:xfrm xmlns:a="http://schemas.openxmlformats.org/drawingml/2006/main">
            <a:off x="8378998" y="315400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29691-D3E1-45D2-AB35-6D3D1271D5DB}" type="TxLink">
              <a:rPr lang="fr-FR" sz="900" b="1" i="0" u="none" strike="noStrike">
                <a:solidFill>
                  <a:srgbClr val="000000"/>
                </a:solidFill>
                <a:latin typeface="Calibri"/>
                <a:cs typeface="Calibri"/>
              </a:rPr>
              <a:pPr algn="l"/>
              <a:t>ND</a:t>
            </a:fld>
            <a:endParaRPr lang="fr-FR" sz="900" b="1"/>
          </a:p>
        </cdr:txBody>
      </cdr:sp>
      <cdr:sp macro="" textlink="Calculs!$Y$219">
        <cdr:nvSpPr>
          <cdr:cNvPr id="87" name="ZoneTexte 1"/>
          <cdr:cNvSpPr txBox="1"/>
        </cdr:nvSpPr>
        <cdr:spPr>
          <a:xfrm xmlns:a="http://schemas.openxmlformats.org/drawingml/2006/main">
            <a:off x="8378998" y="299593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8A3195-1948-4E9B-9F42-2A4808DC3143}" type="TxLink">
              <a:rPr lang="fr-FR" sz="900" b="1" i="0" u="none" strike="noStrike">
                <a:solidFill>
                  <a:srgbClr val="000000"/>
                </a:solidFill>
                <a:latin typeface="Calibri"/>
                <a:cs typeface="Calibri"/>
              </a:rPr>
              <a:pPr algn="l"/>
              <a:t>ND</a:t>
            </a:fld>
            <a:endParaRPr lang="fr-FR" sz="900" b="1"/>
          </a:p>
        </cdr:txBody>
      </cdr:sp>
      <cdr:sp macro="" textlink="Calculs!$Y$228">
        <cdr:nvSpPr>
          <cdr:cNvPr id="88" name="ZoneTexte 1"/>
          <cdr:cNvSpPr txBox="1"/>
        </cdr:nvSpPr>
        <cdr:spPr>
          <a:xfrm xmlns:a="http://schemas.openxmlformats.org/drawingml/2006/main">
            <a:off x="8378998" y="394434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DB97231-A90A-4CA7-AAF7-EBBB3CC240B9}" type="TxLink">
              <a:rPr lang="fr-FR" sz="900" b="1" i="0" u="none" strike="noStrike">
                <a:solidFill>
                  <a:srgbClr val="000000"/>
                </a:solidFill>
                <a:latin typeface="Calibri"/>
                <a:cs typeface="Calibri"/>
              </a:rPr>
              <a:pPr algn="l"/>
              <a:t>ND</a:t>
            </a:fld>
            <a:endParaRPr lang="fr-FR" sz="900" b="1"/>
          </a:p>
        </cdr:txBody>
      </cdr:sp>
      <cdr:sp macro="" textlink="Calculs!$Y$230">
        <cdr:nvSpPr>
          <cdr:cNvPr id="89" name="ZoneTexte 1"/>
          <cdr:cNvSpPr txBox="1"/>
        </cdr:nvSpPr>
        <cdr:spPr>
          <a:xfrm xmlns:a="http://schemas.openxmlformats.org/drawingml/2006/main">
            <a:off x="8378998" y="410241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A548B35-C887-43A0-B679-3E83D9C91869}" type="TxLink">
              <a:rPr lang="fr-FR" sz="900" b="1" i="0" u="none" strike="noStrike">
                <a:solidFill>
                  <a:srgbClr val="000000"/>
                </a:solidFill>
                <a:latin typeface="Calibri"/>
                <a:cs typeface="Calibri"/>
              </a:rPr>
              <a:pPr algn="l"/>
              <a:t>ND</a:t>
            </a:fld>
            <a:endParaRPr lang="fr-FR" sz="900" b="1"/>
          </a:p>
        </cdr:txBody>
      </cdr:sp>
      <cdr:sp macro="" textlink="Calculs!$Y$233">
        <cdr:nvSpPr>
          <cdr:cNvPr id="90" name="ZoneTexte 1"/>
          <cdr:cNvSpPr txBox="1"/>
        </cdr:nvSpPr>
        <cdr:spPr>
          <a:xfrm xmlns:a="http://schemas.openxmlformats.org/drawingml/2006/main">
            <a:off x="8378998" y="441855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75B3BFF-2F88-4DC9-B1DC-5553DF8AC63E}" type="TxLink">
              <a:rPr lang="fr-FR" sz="900" b="1" i="0" u="none" strike="noStrike">
                <a:solidFill>
                  <a:srgbClr val="000000"/>
                </a:solidFill>
                <a:latin typeface="Calibri"/>
                <a:cs typeface="Calibri"/>
              </a:rPr>
              <a:pPr algn="l"/>
              <a:t>ND</a:t>
            </a:fld>
            <a:endParaRPr lang="fr-FR" sz="900" b="1"/>
          </a:p>
        </cdr:txBody>
      </cdr:sp>
      <cdr:sp macro="" textlink="Calculs!$Y$234">
        <cdr:nvSpPr>
          <cdr:cNvPr id="91" name="ZoneTexte 1"/>
          <cdr:cNvSpPr txBox="1"/>
        </cdr:nvSpPr>
        <cdr:spPr>
          <a:xfrm xmlns:a="http://schemas.openxmlformats.org/drawingml/2006/main">
            <a:off x="8378998" y="457662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236813F-CC0C-4398-9224-2BDE3FA59E88}" type="TxLink">
              <a:rPr lang="fr-FR" sz="900" b="1" i="0" u="none" strike="noStrike">
                <a:solidFill>
                  <a:srgbClr val="000000"/>
                </a:solidFill>
                <a:latin typeface="Calibri"/>
                <a:cs typeface="Calibri"/>
              </a:rPr>
              <a:pPr algn="l"/>
              <a:t>ND</a:t>
            </a:fld>
            <a:endParaRPr lang="fr-FR" sz="900" b="1"/>
          </a:p>
        </cdr:txBody>
      </cdr:sp>
      <cdr:sp macro="" textlink="Calculs!$Y$236">
        <cdr:nvSpPr>
          <cdr:cNvPr id="92" name="ZoneTexte 1"/>
          <cdr:cNvSpPr txBox="1"/>
        </cdr:nvSpPr>
        <cdr:spPr>
          <a:xfrm xmlns:a="http://schemas.openxmlformats.org/drawingml/2006/main">
            <a:off x="8378998" y="473469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795761-420A-4B01-8680-8AED6DA4B598}" type="TxLink">
              <a:rPr lang="fr-FR" sz="900" b="1" i="0" u="none" strike="noStrike">
                <a:solidFill>
                  <a:srgbClr val="000000"/>
                </a:solidFill>
                <a:latin typeface="Calibri"/>
                <a:cs typeface="Calibri"/>
              </a:rPr>
              <a:pPr algn="l"/>
              <a:t>ND</a:t>
            </a:fld>
            <a:endParaRPr lang="fr-FR" sz="900" b="1"/>
          </a:p>
        </cdr:txBody>
      </cdr:sp>
      <cdr:sp macro="" textlink="Calculs!$Y$237">
        <cdr:nvSpPr>
          <cdr:cNvPr id="93" name="ZoneTexte 1"/>
          <cdr:cNvSpPr txBox="1"/>
        </cdr:nvSpPr>
        <cdr:spPr>
          <a:xfrm xmlns:a="http://schemas.openxmlformats.org/drawingml/2006/main">
            <a:off x="8378998" y="4892763"/>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2132CCD-D56C-4046-B2B1-766BE9CD91A2}" type="TxLink">
              <a:rPr lang="fr-FR" sz="900" b="1" i="0" u="none" strike="noStrike">
                <a:solidFill>
                  <a:srgbClr val="000000"/>
                </a:solidFill>
                <a:latin typeface="Calibri"/>
                <a:cs typeface="Calibri"/>
              </a:rPr>
              <a:pPr algn="l"/>
              <a:t>ND</a:t>
            </a:fld>
            <a:endParaRPr lang="fr-FR" sz="900" b="1"/>
          </a:p>
        </cdr:txBody>
      </cdr:sp>
      <cdr:sp macro="" textlink="Calculs!$Y$238">
        <cdr:nvSpPr>
          <cdr:cNvPr id="94" name="ZoneTexte 1"/>
          <cdr:cNvSpPr txBox="1"/>
        </cdr:nvSpPr>
        <cdr:spPr>
          <a:xfrm xmlns:a="http://schemas.openxmlformats.org/drawingml/2006/main">
            <a:off x="8378998" y="505083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A609977-16FB-47BA-9587-EBF9F5E5F553}" type="TxLink">
              <a:rPr lang="fr-FR" sz="900" b="1" i="0" u="none" strike="noStrike">
                <a:solidFill>
                  <a:srgbClr val="000000"/>
                </a:solidFill>
                <a:latin typeface="Calibri"/>
                <a:cs typeface="Calibri"/>
              </a:rPr>
              <a:pPr algn="l"/>
              <a:t>ND</a:t>
            </a:fld>
            <a:endParaRPr lang="fr-FR" sz="900" b="1"/>
          </a:p>
        </cdr:txBody>
      </cdr:sp>
      <cdr:sp macro="" textlink="Calculs!$Y$239">
        <cdr:nvSpPr>
          <cdr:cNvPr id="95" name="ZoneTexte 1"/>
          <cdr:cNvSpPr txBox="1"/>
        </cdr:nvSpPr>
        <cdr:spPr>
          <a:xfrm xmlns:a="http://schemas.openxmlformats.org/drawingml/2006/main">
            <a:off x="8378998" y="520890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9FAA19-3720-4A9D-808E-5DD40A5D1286}" type="TxLink">
              <a:rPr lang="fr-FR" sz="900" b="1" i="0" u="none" strike="noStrike">
                <a:solidFill>
                  <a:srgbClr val="000000"/>
                </a:solidFill>
                <a:latin typeface="Calibri"/>
                <a:cs typeface="Calibri"/>
              </a:rPr>
              <a:pPr algn="l"/>
              <a:t>ND</a:t>
            </a:fld>
            <a:endParaRPr lang="fr-FR" sz="900" b="1"/>
          </a:p>
        </cdr:txBody>
      </cdr:sp>
      <cdr:sp macro="" textlink="Calculs!$Y$243">
        <cdr:nvSpPr>
          <cdr:cNvPr id="96" name="ZoneTexte 1"/>
          <cdr:cNvSpPr txBox="1"/>
        </cdr:nvSpPr>
        <cdr:spPr>
          <a:xfrm xmlns:a="http://schemas.openxmlformats.org/drawingml/2006/main">
            <a:off x="8378998" y="552503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AF8E4C3-C11F-43AC-AF51-73C36EA139AA}" type="TxLink">
              <a:rPr lang="fr-FR" sz="900" b="1" i="0" u="none" strike="noStrike">
                <a:solidFill>
                  <a:srgbClr val="000000"/>
                </a:solidFill>
                <a:latin typeface="Calibri"/>
                <a:cs typeface="Calibri"/>
              </a:rPr>
              <a:pPr algn="l"/>
              <a:t>ND</a:t>
            </a:fld>
            <a:endParaRPr lang="fr-FR" sz="900" b="1"/>
          </a:p>
        </cdr:txBody>
      </cdr:sp>
      <cdr:sp macro="" textlink="Calculs!$Y$245">
        <cdr:nvSpPr>
          <cdr:cNvPr id="97" name="ZoneTexte 1"/>
          <cdr:cNvSpPr txBox="1"/>
        </cdr:nvSpPr>
        <cdr:spPr>
          <a:xfrm xmlns:a="http://schemas.openxmlformats.org/drawingml/2006/main">
            <a:off x="8378998" y="568310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20D50EE-137F-45F7-8129-19BAE725CE55}" type="TxLink">
              <a:rPr lang="fr-FR" sz="900" b="1" i="0" u="none" strike="noStrike">
                <a:solidFill>
                  <a:srgbClr val="000000"/>
                </a:solidFill>
                <a:latin typeface="Calibri"/>
                <a:cs typeface="Calibri"/>
              </a:rPr>
              <a:pPr algn="l"/>
              <a:t>ND</a:t>
            </a:fld>
            <a:endParaRPr lang="fr-FR" sz="900" b="1"/>
          </a:p>
        </cdr:txBody>
      </cdr:sp>
      <cdr:sp macro="" textlink="Calculs!$Y$246">
        <cdr:nvSpPr>
          <cdr:cNvPr id="98" name="ZoneTexte 1"/>
          <cdr:cNvSpPr txBox="1"/>
        </cdr:nvSpPr>
        <cdr:spPr>
          <a:xfrm xmlns:a="http://schemas.openxmlformats.org/drawingml/2006/main">
            <a:off x="8378998" y="615731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24BEC5E-E02F-40B2-8DB6-8E8A7A8DC8EF}" type="TxLink">
              <a:rPr lang="fr-FR" sz="900" b="1" i="0" u="none" strike="noStrike">
                <a:solidFill>
                  <a:srgbClr val="000000"/>
                </a:solidFill>
                <a:latin typeface="Calibri"/>
                <a:cs typeface="Calibri"/>
              </a:rPr>
              <a:pPr algn="l"/>
              <a:t>ND</a:t>
            </a:fld>
            <a:endParaRPr lang="fr-FR" sz="900" b="1"/>
          </a:p>
        </cdr:txBody>
      </cdr:sp>
      <cdr:sp macro="" textlink="Calculs!$Y$247">
        <cdr:nvSpPr>
          <cdr:cNvPr id="121" name="ZoneTexte 1"/>
          <cdr:cNvSpPr txBox="1"/>
        </cdr:nvSpPr>
        <cdr:spPr>
          <a:xfrm xmlns:a="http://schemas.openxmlformats.org/drawingml/2006/main">
            <a:off x="8378998" y="631538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04D4E8-CD17-4BE6-B6FC-5D7C465DE892}" type="TxLink">
              <a:rPr lang="fr-FR" sz="900" b="1" i="0" u="none" strike="noStrike">
                <a:solidFill>
                  <a:srgbClr val="000000"/>
                </a:solidFill>
                <a:latin typeface="Calibri"/>
                <a:cs typeface="Calibri"/>
              </a:rPr>
              <a:pPr algn="l"/>
              <a:t>ND</a:t>
            </a:fld>
            <a:endParaRPr lang="fr-FR" sz="900" b="1"/>
          </a:p>
        </cdr:txBody>
      </cdr:sp>
      <cdr:sp macro="" textlink="Calculs!$Y$208">
        <cdr:nvSpPr>
          <cdr:cNvPr id="130" name="ZoneTexte 1"/>
          <cdr:cNvSpPr txBox="1"/>
        </cdr:nvSpPr>
        <cdr:spPr>
          <a:xfrm xmlns:a="http://schemas.openxmlformats.org/drawingml/2006/main">
            <a:off x="8378998" y="1415245"/>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BA59C32-7A71-4462-ABDB-6FFA3DA8471F}" type="TxLink">
              <a:rPr lang="fr-FR" sz="900" b="1" i="0" u="none" strike="noStrike">
                <a:solidFill>
                  <a:srgbClr val="000000"/>
                </a:solidFill>
                <a:latin typeface="Calibri"/>
                <a:cs typeface="Calibri"/>
              </a:rPr>
              <a:pPr algn="l"/>
              <a:t>ND</a:t>
            </a:fld>
            <a:endParaRPr lang="fr-FR" sz="900" b="1"/>
          </a:p>
        </cdr:txBody>
      </cdr:sp>
      <cdr:sp macro="" textlink="Calculs!$Y$211">
        <cdr:nvSpPr>
          <cdr:cNvPr id="131" name="ZoneTexte 1"/>
          <cdr:cNvSpPr txBox="1"/>
        </cdr:nvSpPr>
        <cdr:spPr>
          <a:xfrm xmlns:a="http://schemas.openxmlformats.org/drawingml/2006/main">
            <a:off x="8378998" y="188945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21AE2F4-2385-4444-B155-64130768448B}" type="TxLink">
              <a:rPr lang="fr-FR" sz="900" b="1" i="0" u="none" strike="noStrike">
                <a:solidFill>
                  <a:srgbClr val="000000"/>
                </a:solidFill>
                <a:latin typeface="Calibri"/>
                <a:cs typeface="Calibri"/>
              </a:rPr>
              <a:pPr algn="l"/>
              <a:t>ND</a:t>
            </a:fld>
            <a:endParaRPr lang="fr-FR" sz="900" b="1"/>
          </a:p>
        </cdr:txBody>
      </cdr:sp>
      <cdr:sp macro="" textlink="Calculs!$Y$244">
        <cdr:nvSpPr>
          <cdr:cNvPr id="134" name="ZoneTexte 1"/>
          <cdr:cNvSpPr txBox="1"/>
        </cdr:nvSpPr>
        <cdr:spPr>
          <a:xfrm xmlns:a="http://schemas.openxmlformats.org/drawingml/2006/main">
            <a:off x="8378998" y="599924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DCD7737-432E-4BC6-851E-3B618429F4A1}" type="TxLink">
              <a:rPr lang="fr-FR" sz="900" b="1" i="0" u="none" strike="noStrike">
                <a:solidFill>
                  <a:srgbClr val="000000"/>
                </a:solidFill>
                <a:latin typeface="Calibri"/>
                <a:cs typeface="Calibri"/>
              </a:rPr>
              <a:pPr algn="l"/>
              <a:t>ND</a:t>
            </a:fld>
            <a:endParaRPr lang="fr-FR" sz="900" b="1"/>
          </a:p>
        </cdr:txBody>
      </cdr:sp>
      <cdr:sp macro="" textlink="Calculs!$Y$241">
        <cdr:nvSpPr>
          <cdr:cNvPr id="135" name="ZoneTexte 1"/>
          <cdr:cNvSpPr txBox="1"/>
        </cdr:nvSpPr>
        <cdr:spPr>
          <a:xfrm xmlns:a="http://schemas.openxmlformats.org/drawingml/2006/main">
            <a:off x="8378998" y="584117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C3BAE3-2E1A-43E1-B7D1-4CF9310F4EFE}" type="TxLink">
              <a:rPr lang="fr-FR" sz="900" b="1" i="0" u="none" strike="noStrike">
                <a:solidFill>
                  <a:srgbClr val="000000"/>
                </a:solidFill>
                <a:latin typeface="Calibri"/>
                <a:cs typeface="Calibri"/>
              </a:rPr>
              <a:pPr algn="l"/>
              <a:t>ND</a:t>
            </a:fld>
            <a:endParaRPr lang="fr-FR" sz="900" b="1"/>
          </a:p>
        </cdr:txBody>
      </cdr:sp>
      <cdr:sp macro="" textlink="Calculs!$Y$240">
        <cdr:nvSpPr>
          <cdr:cNvPr id="148" name="ZoneTexte 1"/>
          <cdr:cNvSpPr txBox="1"/>
        </cdr:nvSpPr>
        <cdr:spPr>
          <a:xfrm xmlns:a="http://schemas.openxmlformats.org/drawingml/2006/main">
            <a:off x="8378998" y="536697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EC40A89-E40E-4A7B-9576-E1DDEE5F1E80}" type="TxLink">
              <a:rPr lang="fr-FR" sz="900" b="1" i="0" u="none" strike="noStrike">
                <a:solidFill>
                  <a:srgbClr val="000000"/>
                </a:solidFill>
                <a:latin typeface="Calibri"/>
                <a:cs typeface="Calibri"/>
              </a:rPr>
              <a:pPr algn="l"/>
              <a:t>ND</a:t>
            </a:fld>
            <a:endParaRPr lang="fr-FR" sz="900" b="1"/>
          </a:p>
        </cdr:txBody>
      </cdr:sp>
      <cdr:sp macro="" textlink="Calculs!$Y$231">
        <cdr:nvSpPr>
          <cdr:cNvPr id="149" name="ZoneTexte 1"/>
          <cdr:cNvSpPr txBox="1"/>
        </cdr:nvSpPr>
        <cdr:spPr>
          <a:xfrm xmlns:a="http://schemas.openxmlformats.org/drawingml/2006/main">
            <a:off x="8378998" y="4260487"/>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47457C0-D3AE-404F-AC42-A962F550897C}" type="TxLink">
              <a:rPr lang="fr-FR" sz="900" b="1" i="0" u="none" strike="noStrike">
                <a:solidFill>
                  <a:srgbClr val="000000"/>
                </a:solidFill>
                <a:latin typeface="Calibri"/>
                <a:cs typeface="Calibri"/>
              </a:rPr>
              <a:pPr algn="l"/>
              <a:t>ND</a:t>
            </a:fld>
            <a:endParaRPr lang="fr-FR" sz="900" b="1"/>
          </a:p>
        </cdr:txBody>
      </cdr:sp>
      <cdr:sp macro="" textlink="Calculs!$Y$212">
        <cdr:nvSpPr>
          <cdr:cNvPr id="150" name="ZoneTexte 1"/>
          <cdr:cNvSpPr txBox="1"/>
        </cdr:nvSpPr>
        <cdr:spPr>
          <a:xfrm xmlns:a="http://schemas.openxmlformats.org/drawingml/2006/main">
            <a:off x="8378998" y="2047521"/>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E798F57-E585-49A5-97AF-783389CBCC6A}" type="TxLink">
              <a:rPr lang="fr-FR" sz="900" b="1" i="0" u="none" strike="noStrike">
                <a:solidFill>
                  <a:srgbClr val="000000"/>
                </a:solidFill>
                <a:latin typeface="Calibri"/>
                <a:cs typeface="Calibri"/>
              </a:rPr>
              <a:pPr algn="l"/>
              <a:t>ND</a:t>
            </a:fld>
            <a:endParaRPr lang="fr-FR" sz="900" b="1"/>
          </a:p>
        </cdr:txBody>
      </cdr:sp>
    </cdr:grpSp>
  </cdr:relSizeAnchor>
  <cdr:relSizeAnchor xmlns:cdr="http://schemas.openxmlformats.org/drawingml/2006/chartDrawing">
    <cdr:from>
      <cdr:x>0.16522</cdr:x>
      <cdr:y>0.47876</cdr:y>
    </cdr:from>
    <cdr:to>
      <cdr:x>0.94959</cdr:x>
      <cdr:y>0.54049</cdr:y>
    </cdr:to>
    <cdr:sp macro="" textlink="">
      <cdr:nvSpPr>
        <cdr:cNvPr id="99" name="ZoneTexte 1"/>
        <cdr:cNvSpPr txBox="1"/>
      </cdr:nvSpPr>
      <cdr:spPr>
        <a:xfrm xmlns:a="http://schemas.openxmlformats.org/drawingml/2006/main" rot="19739527">
          <a:off x="1669676" y="3283323"/>
          <a:ext cx="7926916" cy="42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800" b="1">
              <a:solidFill>
                <a:srgbClr val="FF0000"/>
              </a:solidFill>
            </a:rPr>
            <a:t>Feuille non mise à jour dans la version 7.1</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10106025" cy="68580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0.0194</cdr:x>
      <cdr:y>0.07353</cdr:y>
    </cdr:from>
    <cdr:to>
      <cdr:x>0.24898</cdr:x>
      <cdr:y>0.11522</cdr:y>
    </cdr:to>
    <cdr:sp macro="" textlink="">
      <cdr:nvSpPr>
        <cdr:cNvPr id="7" name="ZoneTexte 6"/>
        <cdr:cNvSpPr txBox="1"/>
      </cdr:nvSpPr>
      <cdr:spPr>
        <a:xfrm xmlns:a="http://schemas.openxmlformats.org/drawingml/2006/main">
          <a:off x="196057" y="504244"/>
          <a:ext cx="2320141" cy="28591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fr-FR" sz="1100" i="1"/>
            <a:t>Date de mise à jour </a:t>
          </a:r>
          <a:r>
            <a:rPr lang="fr-FR" sz="1100" i="1" baseline="0"/>
            <a:t>des données : </a:t>
          </a:r>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0.0194</cdr:x>
      <cdr:y>0.04197</cdr:y>
    </cdr:from>
    <cdr:to>
      <cdr:x>0.16297</cdr:x>
      <cdr:y>0.08361</cdr:y>
    </cdr:to>
    <cdr:sp macro="" textlink="">
      <cdr:nvSpPr>
        <cdr:cNvPr id="9" name="ZoneTexte 1"/>
        <cdr:cNvSpPr txBox="1"/>
      </cdr:nvSpPr>
      <cdr:spPr>
        <a:xfrm xmlns:a="http://schemas.openxmlformats.org/drawingml/2006/main">
          <a:off x="196057" y="287803"/>
          <a:ext cx="1450922" cy="285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i="1"/>
            <a:t>Pays et/ou structure </a:t>
          </a:r>
          <a:r>
            <a:rPr lang="fr-FR" sz="1100" i="1" baseline="0"/>
            <a:t>:</a:t>
          </a:r>
          <a:endParaRPr lang="fr-FR" sz="1100" i="1"/>
        </a:p>
      </cdr:txBody>
    </cdr:sp>
  </cdr:relSizeAnchor>
  <cdr:relSizeAnchor xmlns:cdr="http://schemas.openxmlformats.org/drawingml/2006/chartDrawing">
    <cdr:from>
      <cdr:x>0.15377</cdr:x>
      <cdr:y>0.04197</cdr:y>
    </cdr:from>
    <cdr:to>
      <cdr:x>0.29855</cdr:x>
      <cdr:y>0.08446</cdr:y>
    </cdr:to>
    <cdr:sp macro="" textlink="Paramétrage!$D$11">
      <cdr:nvSpPr>
        <cdr:cNvPr id="10" name="ZoneTexte 1"/>
        <cdr:cNvSpPr txBox="1"/>
      </cdr:nvSpPr>
      <cdr:spPr>
        <a:xfrm xmlns:a="http://schemas.openxmlformats.org/drawingml/2006/main">
          <a:off x="1554003" y="287803"/>
          <a:ext cx="1463151"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0.85824</cdr:x>
      <cdr:y>0.09151</cdr:y>
    </cdr:from>
    <cdr:to>
      <cdr:x>0.99684</cdr:x>
      <cdr:y>0.17157</cdr:y>
    </cdr:to>
    <cdr:sp macro="" textlink="">
      <cdr:nvSpPr>
        <cdr:cNvPr id="12" name="ZoneTexte 11"/>
        <cdr:cNvSpPr txBox="1"/>
      </cdr:nvSpPr>
      <cdr:spPr>
        <a:xfrm xmlns:a="http://schemas.openxmlformats.org/drawingml/2006/main">
          <a:off x="8673348" y="627546"/>
          <a:ext cx="1400695" cy="54905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fr-FR" sz="1000" i="1"/>
            <a:t>Nb de patients concernés</a:t>
          </a:r>
          <a:r>
            <a:rPr lang="fr-FR" sz="1000" i="1" baseline="0"/>
            <a:t> / mois</a:t>
          </a:r>
        </a:p>
        <a:p xmlns:a="http://schemas.openxmlformats.org/drawingml/2006/main">
          <a:pPr algn="l"/>
          <a:r>
            <a:rPr lang="fr-FR" sz="1000" b="1" baseline="0"/>
            <a:t>           Actuel </a:t>
          </a:r>
          <a:r>
            <a:rPr lang="fr-FR" sz="1000" baseline="0"/>
            <a:t>      </a:t>
          </a:r>
          <a:r>
            <a:rPr lang="fr-FR" sz="1000" b="1" baseline="0"/>
            <a:t>Nvx</a:t>
          </a:r>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0.86992</cdr:x>
      <cdr:y>0.00664</cdr:y>
    </cdr:from>
    <cdr:to>
      <cdr:x>0.99224</cdr:x>
      <cdr:y>0.09314</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91415" y="45524"/>
          <a:ext cx="1236169" cy="593217"/>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0.40932</cdr:x>
      <cdr:y>0.07353</cdr:y>
    </cdr:from>
    <cdr:to>
      <cdr:x>0.59893</cdr:x>
      <cdr:y>0.11522</cdr:y>
    </cdr:to>
    <cdr:sp macro="" textlink="">
      <cdr:nvSpPr>
        <cdr:cNvPr id="119" name="ZoneTexte 6"/>
        <cdr:cNvSpPr txBox="1"/>
      </cdr:nvSpPr>
      <cdr:spPr>
        <a:xfrm xmlns:a="http://schemas.openxmlformats.org/drawingml/2006/main">
          <a:off x="4136567" y="504269"/>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i="1"/>
            <a:t>Nature des stocks considérés</a:t>
          </a:r>
          <a:r>
            <a:rPr lang="fr-FR" sz="1100" i="1" baseline="0"/>
            <a:t> :</a:t>
          </a:r>
          <a:endParaRPr lang="fr-FR" sz="1100" i="1"/>
        </a:p>
      </cdr:txBody>
    </cdr:sp>
  </cdr:relSizeAnchor>
  <cdr:relSizeAnchor xmlns:cdr="http://schemas.openxmlformats.org/drawingml/2006/chartDrawing">
    <cdr:from>
      <cdr:x>0.21512</cdr:x>
      <cdr:y>0.07353</cdr:y>
    </cdr:from>
    <cdr:to>
      <cdr:x>0.3599</cdr:x>
      <cdr:y>0.11602</cdr:y>
    </cdr:to>
    <cdr:sp macro="" textlink="Paramétrage!$H$19">
      <cdr:nvSpPr>
        <cdr:cNvPr id="122" name="ZoneTexte 1"/>
        <cdr:cNvSpPr txBox="1"/>
      </cdr:nvSpPr>
      <cdr:spPr>
        <a:xfrm xmlns:a="http://schemas.openxmlformats.org/drawingml/2006/main">
          <a:off x="2173978" y="504244"/>
          <a:ext cx="1463150"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0.58087</cdr:x>
      <cdr:y>0.07353</cdr:y>
    </cdr:from>
    <cdr:to>
      <cdr:x>0.90243</cdr:x>
      <cdr:y>0.11602</cdr:y>
    </cdr:to>
    <cdr:sp macro="" textlink="'Calculs dispo Données FA'!$F$179">
      <cdr:nvSpPr>
        <cdr:cNvPr id="123" name="ZoneTexte 1"/>
        <cdr:cNvSpPr txBox="1"/>
      </cdr:nvSpPr>
      <cdr:spPr>
        <a:xfrm xmlns:a="http://schemas.openxmlformats.org/drawingml/2006/main">
          <a:off x="5870255" y="504269"/>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2B74681-F227-4EF8-BC18-588BA4D4E3CF}" type="TxLink">
            <a:rPr lang="fr-FR" sz="1100" b="1" i="1" u="none" strike="noStrike">
              <a:solidFill>
                <a:srgbClr val="C00000"/>
              </a:solidFill>
              <a:latin typeface="Calibri"/>
              <a:cs typeface="Calibri"/>
            </a:rPr>
            <a:pPr/>
            <a:t>Stocks centraux &amp; Commandes</a:t>
          </a:fld>
          <a:endParaRPr lang="fr-FR" sz="1100" b="1" i="1">
            <a:solidFill>
              <a:srgbClr val="C00000"/>
            </a:solidFill>
          </a:endParaRPr>
        </a:p>
      </cdr:txBody>
    </cdr:sp>
  </cdr:relSizeAnchor>
  <cdr:relSizeAnchor xmlns:cdr="http://schemas.openxmlformats.org/drawingml/2006/chartDrawing">
    <cdr:from>
      <cdr:x>0.7738</cdr:x>
      <cdr:y>0.82006</cdr:y>
    </cdr:from>
    <cdr:to>
      <cdr:x>0.84144</cdr:x>
      <cdr:y>0.84293</cdr:y>
    </cdr:to>
    <cdr:sp macro="" textlink="Calculs!#REF!">
      <cdr:nvSpPr>
        <cdr:cNvPr id="132" name="ZoneTexte 1"/>
        <cdr:cNvSpPr txBox="1"/>
      </cdr:nvSpPr>
      <cdr:spPr>
        <a:xfrm xmlns:a="http://schemas.openxmlformats.org/drawingml/2006/main">
          <a:off x="7820006" y="5623999"/>
          <a:ext cx="683571" cy="156842"/>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603D03E-071B-43E3-8C9C-E6B50BA17B4E}" type="TxLink">
            <a:rPr lang="fr-FR" sz="1000" b="1"/>
            <a:pPr algn="l"/>
            <a:t> </a:t>
          </a:fld>
          <a:endParaRPr lang="fr-FR" sz="1000" b="1"/>
        </a:p>
      </cdr:txBody>
    </cdr:sp>
  </cdr:relSizeAnchor>
  <cdr:relSizeAnchor xmlns:cdr="http://schemas.openxmlformats.org/drawingml/2006/chartDrawing">
    <cdr:from>
      <cdr:x>0.40932</cdr:x>
      <cdr:y>0.04197</cdr:y>
    </cdr:from>
    <cdr:to>
      <cdr:x>0.64939</cdr:x>
      <cdr:y>0.08366</cdr:y>
    </cdr:to>
    <cdr:sp macro="" textlink="">
      <cdr:nvSpPr>
        <cdr:cNvPr id="101" name="ZoneTexte 6"/>
        <cdr:cNvSpPr txBox="1"/>
      </cdr:nvSpPr>
      <cdr:spPr>
        <a:xfrm xmlns:a="http://schemas.openxmlformats.org/drawingml/2006/main">
          <a:off x="4136567" y="287830"/>
          <a:ext cx="242615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i="1"/>
            <a:t>Méthode</a:t>
          </a:r>
          <a:r>
            <a:rPr lang="fr-FR" sz="1100" i="1" baseline="0"/>
            <a:t> / t</a:t>
          </a:r>
          <a:r>
            <a:rPr lang="fr-FR" sz="1100" i="1"/>
            <a:t>ype</a:t>
          </a:r>
          <a:r>
            <a:rPr lang="fr-FR" sz="1100" i="1" baseline="0"/>
            <a:t> de données utilisées :</a:t>
          </a:r>
          <a:endParaRPr lang="fr-FR" sz="1100" i="1"/>
        </a:p>
      </cdr:txBody>
    </cdr:sp>
  </cdr:relSizeAnchor>
  <cdr:relSizeAnchor xmlns:cdr="http://schemas.openxmlformats.org/drawingml/2006/chartDrawing">
    <cdr:from>
      <cdr:x>0.62666</cdr:x>
      <cdr:y>0.04197</cdr:y>
    </cdr:from>
    <cdr:to>
      <cdr:x>0.91368</cdr:x>
      <cdr:y>0.08446</cdr:y>
    </cdr:to>
    <cdr:sp macro="" textlink="Calculs!$C$490">
      <cdr:nvSpPr>
        <cdr:cNvPr id="102" name="ZoneTexte 1"/>
        <cdr:cNvSpPr txBox="1"/>
      </cdr:nvSpPr>
      <cdr:spPr>
        <a:xfrm xmlns:a="http://schemas.openxmlformats.org/drawingml/2006/main">
          <a:off x="6333009" y="287830"/>
          <a:ext cx="2900638" cy="291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926D5E4-7743-4E63-B40F-85E65D7F3517}" type="TxLink">
            <a:rPr lang="fr-FR" sz="1100" b="1" i="1" u="none" strike="noStrike">
              <a:solidFill>
                <a:srgbClr val="C00000"/>
              </a:solidFill>
              <a:latin typeface="Arialri"/>
            </a:rPr>
            <a:pPr/>
            <a:t>Compilation de données de FA &amp; de Conso</a:t>
          </a:fld>
          <a:endParaRPr lang="fr-FR" sz="1100" b="1" i="1">
            <a:solidFill>
              <a:srgbClr val="C00000"/>
            </a:solidFill>
          </a:endParaRPr>
        </a:p>
      </cdr:txBody>
    </cdr:sp>
  </cdr:relSizeAnchor>
  <cdr:relSizeAnchor xmlns:cdr="http://schemas.openxmlformats.org/drawingml/2006/chartDrawing">
    <cdr:from>
      <cdr:x>0.57881</cdr:x>
      <cdr:y>0.94445</cdr:y>
    </cdr:from>
    <cdr:to>
      <cdr:x>0.6531</cdr:x>
      <cdr:y>0.97386</cdr:y>
    </cdr:to>
    <cdr:sp macro="" textlink="Calculs!$D$486">
      <cdr:nvSpPr>
        <cdr:cNvPr id="103" name="ZoneTexte 1"/>
        <cdr:cNvSpPr txBox="1"/>
      </cdr:nvSpPr>
      <cdr:spPr>
        <a:xfrm xmlns:a="http://schemas.openxmlformats.org/drawingml/2006/main">
          <a:off x="5849486" y="6477013"/>
          <a:ext cx="750776" cy="2016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0C7E466-3C2C-4E83-A84B-0A1CC523B1C5}" type="TxLink">
            <a:rPr lang="fr-FR" sz="800" b="1" i="1" u="none" strike="noStrike">
              <a:solidFill>
                <a:srgbClr val="000000"/>
              </a:solidFill>
              <a:latin typeface="Arialri"/>
            </a:rPr>
            <a:pPr/>
            <a:t>3 mois</a:t>
          </a:fld>
          <a:endParaRPr lang="fr-FR" sz="800" b="1" i="1"/>
        </a:p>
      </cdr:txBody>
    </cdr:sp>
  </cdr:relSizeAnchor>
  <cdr:relSizeAnchor xmlns:cdr="http://schemas.openxmlformats.org/drawingml/2006/chartDrawing">
    <cdr:from>
      <cdr:x>0.39031</cdr:x>
      <cdr:y>0.97876</cdr:y>
    </cdr:from>
    <cdr:to>
      <cdr:x>0.40251</cdr:x>
      <cdr:y>0.99183</cdr:y>
    </cdr:to>
    <cdr:sp macro="" textlink="">
      <cdr:nvSpPr>
        <cdr:cNvPr id="104" name="Rectangle 103"/>
        <cdr:cNvSpPr/>
      </cdr:nvSpPr>
      <cdr:spPr>
        <a:xfrm xmlns:a="http://schemas.openxmlformats.org/drawingml/2006/main">
          <a:off x="3944471" y="6712324"/>
          <a:ext cx="123265" cy="89647"/>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0.40472</cdr:x>
      <cdr:y>0.97222</cdr:y>
    </cdr:from>
    <cdr:to>
      <cdr:x>0.67955</cdr:x>
      <cdr:y>1</cdr:y>
    </cdr:to>
    <cdr:sp macro="" textlink="">
      <cdr:nvSpPr>
        <cdr:cNvPr id="105" name="ZoneTexte 2"/>
        <cdr:cNvSpPr txBox="1"/>
      </cdr:nvSpPr>
      <cdr:spPr>
        <a:xfrm xmlns:a="http://schemas.openxmlformats.org/drawingml/2006/main">
          <a:off x="4090149" y="6667500"/>
          <a:ext cx="2777378"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700"/>
            <a:t>Période</a:t>
          </a:r>
          <a:r>
            <a:rPr lang="fr-FR" sz="700" baseline="0"/>
            <a:t> pendant laquelle le SS a été utilisé</a:t>
          </a:r>
          <a:endParaRPr lang="fr-FR" sz="700"/>
        </a:p>
      </cdr:txBody>
    </cdr:sp>
  </cdr:relSizeAnchor>
  <cdr:relSizeAnchor xmlns:cdr="http://schemas.openxmlformats.org/drawingml/2006/chartDrawing">
    <cdr:from>
      <cdr:x>0.89196</cdr:x>
      <cdr:y>0.18515</cdr:y>
    </cdr:from>
    <cdr:to>
      <cdr:x>0.96293</cdr:x>
      <cdr:y>0.94352</cdr:y>
    </cdr:to>
    <cdr:grpSp>
      <cdr:nvGrpSpPr>
        <cdr:cNvPr id="148" name="Groupe 147"/>
        <cdr:cNvGrpSpPr/>
      </cdr:nvGrpSpPr>
      <cdr:grpSpPr>
        <a:xfrm xmlns:a="http://schemas.openxmlformats.org/drawingml/2006/main">
          <a:off x="9014170" y="1269759"/>
          <a:ext cx="717225" cy="5200901"/>
          <a:chOff x="8422974" y="1256632"/>
          <a:chExt cx="717224" cy="5200909"/>
        </a:xfrm>
      </cdr:grpSpPr>
      <cdr:sp macro="" textlink="Calculs!$Y$153">
        <cdr:nvSpPr>
          <cdr:cNvPr id="11" name="ZoneTexte 10"/>
          <cdr:cNvSpPr txBox="1"/>
        </cdr:nvSpPr>
        <cdr:spPr>
          <a:xfrm xmlns:a="http://schemas.openxmlformats.org/drawingml/2006/main">
            <a:off x="8422974" y="1256632"/>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p xmlns:a="http://schemas.openxmlformats.org/drawingml/2006/main">
            <a:pPr marL="0" indent="0" algn="l"/>
            <a:fld id="{B21F5C82-B1DA-4BFD-A52F-F2141AE87B43}" type="TxLink">
              <a:rPr lang="fr-FR" sz="900" b="1" i="0" u="none" strike="noStrike">
                <a:solidFill>
                  <a:srgbClr val="000000"/>
                </a:solidFill>
                <a:latin typeface="+mn-lt"/>
                <a:ea typeface="+mn-ea"/>
                <a:cs typeface="+mn-cs"/>
              </a:rPr>
              <a:pPr marL="0" indent="0" algn="l"/>
              <a:t>6338</a:t>
            </a:fld>
            <a:endParaRPr lang="fr-FR" sz="900" b="1">
              <a:latin typeface="+mn-lt"/>
              <a:ea typeface="+mn-ea"/>
              <a:cs typeface="+mn-cs"/>
            </a:endParaRPr>
          </a:p>
        </cdr:txBody>
      </cdr:sp>
      <cdr:sp macro="" textlink="Calculs!$Y$164">
        <cdr:nvSpPr>
          <cdr:cNvPr id="13" name="ZoneTexte 1"/>
          <cdr:cNvSpPr txBox="1"/>
        </cdr:nvSpPr>
        <cdr:spPr>
          <a:xfrm xmlns:a="http://schemas.openxmlformats.org/drawingml/2006/main">
            <a:off x="8422974" y="2835792"/>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B84EF09-9EE5-4850-A6CE-29E226F2DC54}" type="TxLink">
              <a:rPr lang="fr-FR" sz="900" b="1" i="0" u="none" strike="noStrike">
                <a:solidFill>
                  <a:srgbClr val="000000"/>
                </a:solidFill>
                <a:latin typeface="Calibri"/>
                <a:cs typeface="Calibri"/>
              </a:rPr>
              <a:pPr algn="l"/>
              <a:t>0</a:t>
            </a:fld>
            <a:endParaRPr lang="fr-FR" sz="900" b="1"/>
          </a:p>
        </cdr:txBody>
      </cdr:sp>
      <cdr:sp macro="" textlink="Calculs!$Y$163">
        <cdr:nvSpPr>
          <cdr:cNvPr id="14" name="ZoneTexte 1"/>
          <cdr:cNvSpPr txBox="1"/>
        </cdr:nvSpPr>
        <cdr:spPr>
          <a:xfrm xmlns:a="http://schemas.openxmlformats.org/drawingml/2006/main">
            <a:off x="8422974" y="2677876"/>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E4FEC60-2BA2-436E-A165-648CF2883AF8}" type="TxLink">
              <a:rPr lang="fr-FR" sz="900" b="1" i="0" u="none" strike="noStrike">
                <a:solidFill>
                  <a:srgbClr val="000000"/>
                </a:solidFill>
                <a:latin typeface="Calibri"/>
                <a:cs typeface="Calibri"/>
              </a:rPr>
              <a:pPr algn="l"/>
              <a:t>0</a:t>
            </a:fld>
            <a:endParaRPr lang="fr-FR" sz="900" b="1"/>
          </a:p>
        </cdr:txBody>
      </cdr:sp>
      <cdr:sp macro="" textlink="Calculs!$Y$162">
        <cdr:nvSpPr>
          <cdr:cNvPr id="15" name="ZoneTexte 1"/>
          <cdr:cNvSpPr txBox="1"/>
        </cdr:nvSpPr>
        <cdr:spPr>
          <a:xfrm xmlns:a="http://schemas.openxmlformats.org/drawingml/2006/main">
            <a:off x="8422974" y="2519960"/>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4B99D6-9A0A-49CE-9AB4-F5DD3084C34C}" type="TxLink">
              <a:rPr lang="fr-FR" sz="900" b="1" i="0" u="none" strike="noStrike">
                <a:solidFill>
                  <a:srgbClr val="000000"/>
                </a:solidFill>
                <a:latin typeface="Calibri"/>
                <a:cs typeface="Calibri"/>
              </a:rPr>
              <a:pPr algn="l"/>
              <a:t>45</a:t>
            </a:fld>
            <a:endParaRPr lang="fr-FR" sz="900" b="1"/>
          </a:p>
        </cdr:txBody>
      </cdr:sp>
      <cdr:sp macro="" textlink="Calculs!$Y$161">
        <cdr:nvSpPr>
          <cdr:cNvPr id="16" name="ZoneTexte 1"/>
          <cdr:cNvSpPr txBox="1"/>
        </cdr:nvSpPr>
        <cdr:spPr>
          <a:xfrm xmlns:a="http://schemas.openxmlformats.org/drawingml/2006/main">
            <a:off x="8422974" y="2362044"/>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951257C-7021-48FD-8005-03D054E51194}" type="TxLink">
              <a:rPr lang="fr-FR" sz="900" b="1" i="0" u="none" strike="noStrike">
                <a:solidFill>
                  <a:srgbClr val="000000"/>
                </a:solidFill>
                <a:latin typeface="Calibri"/>
                <a:cs typeface="Calibri"/>
              </a:rPr>
              <a:pPr algn="l"/>
              <a:t>100</a:t>
            </a:fld>
            <a:endParaRPr lang="fr-FR" sz="900" b="1"/>
          </a:p>
        </cdr:txBody>
      </cdr:sp>
      <cdr:sp macro="" textlink="Calculs!$Y$160">
        <cdr:nvSpPr>
          <cdr:cNvPr id="17" name="ZoneTexte 1"/>
          <cdr:cNvSpPr txBox="1"/>
        </cdr:nvSpPr>
        <cdr:spPr>
          <a:xfrm xmlns:a="http://schemas.openxmlformats.org/drawingml/2006/main">
            <a:off x="8422974" y="2204128"/>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DA05C0E-5703-4400-ADD2-12411F494C1E}" type="TxLink">
              <a:rPr lang="fr-FR" sz="900" b="1" i="0" u="none" strike="noStrike">
                <a:solidFill>
                  <a:srgbClr val="000000"/>
                </a:solidFill>
                <a:latin typeface="Calibri"/>
                <a:cs typeface="Calibri"/>
              </a:rPr>
              <a:pPr algn="l"/>
              <a:t>0</a:t>
            </a:fld>
            <a:endParaRPr lang="fr-FR" sz="900" b="1"/>
          </a:p>
        </cdr:txBody>
      </cdr:sp>
      <cdr:sp macro="" textlink="Calculs!$Y$156">
        <cdr:nvSpPr>
          <cdr:cNvPr id="18" name="ZoneTexte 1"/>
          <cdr:cNvSpPr txBox="1"/>
        </cdr:nvSpPr>
        <cdr:spPr>
          <a:xfrm xmlns:a="http://schemas.openxmlformats.org/drawingml/2006/main">
            <a:off x="8422974" y="1730380"/>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1929155-C7AD-4121-84DB-C69CC29EE6F8}" type="TxLink">
              <a:rPr lang="fr-FR" sz="900" b="1" i="0" u="none" strike="noStrike">
                <a:solidFill>
                  <a:srgbClr val="000000"/>
                </a:solidFill>
                <a:latin typeface="Calibri"/>
                <a:cs typeface="Calibri"/>
              </a:rPr>
              <a:pPr algn="l"/>
              <a:t>1267</a:t>
            </a:fld>
            <a:endParaRPr lang="fr-FR" sz="900" b="1"/>
          </a:p>
        </cdr:txBody>
      </cdr:sp>
      <cdr:sp macro="" textlink="Calculs!$Y$155">
        <cdr:nvSpPr>
          <cdr:cNvPr id="19" name="ZoneTexte 1"/>
          <cdr:cNvSpPr txBox="1"/>
        </cdr:nvSpPr>
        <cdr:spPr>
          <a:xfrm xmlns:a="http://schemas.openxmlformats.org/drawingml/2006/main">
            <a:off x="8422974" y="1572464"/>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D5BF645-F7BB-4C35-8D52-D2980A2F52EB}" type="TxLink">
              <a:rPr lang="fr-FR" sz="900" b="1" i="0" u="none" strike="noStrike">
                <a:solidFill>
                  <a:srgbClr val="000000"/>
                </a:solidFill>
                <a:latin typeface="Calibri"/>
                <a:cs typeface="Calibri"/>
              </a:rPr>
              <a:pPr algn="l"/>
              <a:t>27</a:t>
            </a:fld>
            <a:endParaRPr lang="fr-FR" sz="900" b="1"/>
          </a:p>
        </cdr:txBody>
      </cdr:sp>
      <cdr:sp macro="" textlink="Calculs!$Y$172">
        <cdr:nvSpPr>
          <cdr:cNvPr id="20" name="ZoneTexte 1"/>
          <cdr:cNvSpPr txBox="1"/>
        </cdr:nvSpPr>
        <cdr:spPr>
          <a:xfrm xmlns:a="http://schemas.openxmlformats.org/drawingml/2006/main">
            <a:off x="8422974" y="3783288"/>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E2150DBF-25CB-463D-AA8B-29080015B636}" type="TxLink">
              <a:rPr lang="fr-FR" sz="900" b="1" i="0" u="none" strike="noStrike">
                <a:solidFill>
                  <a:srgbClr val="000000"/>
                </a:solidFill>
                <a:latin typeface="Calibri"/>
                <a:cs typeface="Calibri"/>
              </a:rPr>
              <a:pPr algn="l"/>
              <a:t>0</a:t>
            </a:fld>
            <a:endParaRPr lang="fr-FR" sz="900" b="1"/>
          </a:p>
        </cdr:txBody>
      </cdr:sp>
      <cdr:sp macro="" textlink="Calculs!$Y$170">
        <cdr:nvSpPr>
          <cdr:cNvPr id="21" name="ZoneTexte 1"/>
          <cdr:cNvSpPr txBox="1"/>
        </cdr:nvSpPr>
        <cdr:spPr>
          <a:xfrm xmlns:a="http://schemas.openxmlformats.org/drawingml/2006/main">
            <a:off x="8422974" y="3625372"/>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F76EA3A-B0DA-4B03-BCD4-7B9CBCF28467}" type="TxLink">
              <a:rPr lang="fr-FR" sz="900" b="1" i="0" u="none" strike="noStrike">
                <a:solidFill>
                  <a:srgbClr val="000000"/>
                </a:solidFill>
                <a:latin typeface="Calibri"/>
                <a:cs typeface="Calibri"/>
              </a:rPr>
              <a:pPr algn="l"/>
              <a:t>1485</a:t>
            </a:fld>
            <a:endParaRPr lang="fr-FR" sz="900" b="1"/>
          </a:p>
        </cdr:txBody>
      </cdr:sp>
      <cdr:sp macro="" textlink="Calculs!$Y$169">
        <cdr:nvSpPr>
          <cdr:cNvPr id="22" name="ZoneTexte 1"/>
          <cdr:cNvSpPr txBox="1"/>
        </cdr:nvSpPr>
        <cdr:spPr>
          <a:xfrm xmlns:a="http://schemas.openxmlformats.org/drawingml/2006/main">
            <a:off x="8422974" y="3467456"/>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3F45726-55F9-4C53-8766-E8480989D61A}" type="TxLink">
              <a:rPr lang="fr-FR" sz="900" b="1" i="0" u="none" strike="noStrike">
                <a:solidFill>
                  <a:srgbClr val="000000"/>
                </a:solidFill>
                <a:latin typeface="Calibri"/>
                <a:cs typeface="Calibri"/>
              </a:rPr>
              <a:pPr algn="l"/>
              <a:t>ND</a:t>
            </a:fld>
            <a:endParaRPr lang="fr-FR" sz="900" b="1"/>
          </a:p>
        </cdr:txBody>
      </cdr:sp>
      <cdr:sp macro="" textlink="Calculs!$Y$168">
        <cdr:nvSpPr>
          <cdr:cNvPr id="23" name="ZoneTexte 1"/>
          <cdr:cNvSpPr txBox="1"/>
        </cdr:nvSpPr>
        <cdr:spPr>
          <a:xfrm xmlns:a="http://schemas.openxmlformats.org/drawingml/2006/main">
            <a:off x="8422974" y="3309540"/>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ED2495F-40C4-4F05-861E-F06BA6CFC48B}" type="TxLink">
              <a:rPr lang="fr-FR" sz="900" b="1" i="0" u="none" strike="noStrike">
                <a:solidFill>
                  <a:srgbClr val="000000"/>
                </a:solidFill>
                <a:latin typeface="Calibri"/>
                <a:cs typeface="Calibri"/>
              </a:rPr>
              <a:pPr algn="l"/>
              <a:t>ND</a:t>
            </a:fld>
            <a:endParaRPr lang="fr-FR" sz="900" b="1"/>
          </a:p>
        </cdr:txBody>
      </cdr:sp>
      <cdr:sp macro="" textlink="Calculs!$Y$166">
        <cdr:nvSpPr>
          <cdr:cNvPr id="24" name="ZoneTexte 1"/>
          <cdr:cNvSpPr txBox="1"/>
        </cdr:nvSpPr>
        <cdr:spPr>
          <a:xfrm xmlns:a="http://schemas.openxmlformats.org/drawingml/2006/main">
            <a:off x="8422974" y="3151624"/>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19DAC5A-E745-41CA-8D38-B4FB037E2086}" type="TxLink">
              <a:rPr lang="fr-FR" sz="900" b="1" i="0" u="none" strike="noStrike">
                <a:solidFill>
                  <a:srgbClr val="000000"/>
                </a:solidFill>
                <a:latin typeface="Calibri"/>
                <a:cs typeface="Calibri"/>
              </a:rPr>
              <a:pPr algn="l"/>
              <a:t>104</a:t>
            </a:fld>
            <a:endParaRPr lang="fr-FR" sz="900" b="1"/>
          </a:p>
        </cdr:txBody>
      </cdr:sp>
      <cdr:sp macro="" textlink="Calculs!$Y$165">
        <cdr:nvSpPr>
          <cdr:cNvPr id="25" name="ZoneTexte 1"/>
          <cdr:cNvSpPr txBox="1"/>
        </cdr:nvSpPr>
        <cdr:spPr>
          <a:xfrm xmlns:a="http://schemas.openxmlformats.org/drawingml/2006/main">
            <a:off x="8422974" y="2993708"/>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2C4A588-558D-4085-A8E8-046FCBEA42C1}" type="TxLink">
              <a:rPr lang="fr-FR" sz="900" b="1" i="0" u="none" strike="noStrike">
                <a:solidFill>
                  <a:srgbClr val="000000"/>
                </a:solidFill>
                <a:latin typeface="Calibri"/>
                <a:cs typeface="Calibri"/>
              </a:rPr>
              <a:pPr algn="l"/>
              <a:t>1484</a:t>
            </a:fld>
            <a:endParaRPr lang="fr-FR" sz="900" b="1"/>
          </a:p>
        </cdr:txBody>
      </cdr:sp>
      <cdr:sp macro="" textlink="Calculs!$Y$174">
        <cdr:nvSpPr>
          <cdr:cNvPr id="26" name="ZoneTexte 1"/>
          <cdr:cNvSpPr txBox="1"/>
        </cdr:nvSpPr>
        <cdr:spPr>
          <a:xfrm xmlns:a="http://schemas.openxmlformats.org/drawingml/2006/main">
            <a:off x="8422974" y="3941204"/>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5CB03D1-E632-4EC9-8B8C-16802DC887FC}" type="TxLink">
              <a:rPr lang="fr-FR" sz="900" b="1" i="0" u="none" strike="noStrike">
                <a:solidFill>
                  <a:srgbClr val="000000"/>
                </a:solidFill>
                <a:latin typeface="Calibri"/>
                <a:cs typeface="Calibri"/>
              </a:rPr>
              <a:pPr algn="l"/>
              <a:t>2</a:t>
            </a:fld>
            <a:endParaRPr lang="fr-FR" sz="900" b="1"/>
          </a:p>
        </cdr:txBody>
      </cdr:sp>
      <cdr:sp macro="" textlink="Calculs!$Y$176">
        <cdr:nvSpPr>
          <cdr:cNvPr id="27" name="ZoneTexte 1"/>
          <cdr:cNvSpPr txBox="1"/>
        </cdr:nvSpPr>
        <cdr:spPr>
          <a:xfrm xmlns:a="http://schemas.openxmlformats.org/drawingml/2006/main">
            <a:off x="8422974" y="4099120"/>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9EE877A-3917-4327-96CB-9D2BD33A9428}" type="TxLink">
              <a:rPr lang="fr-FR" sz="900" b="1" i="0" u="none" strike="noStrike">
                <a:solidFill>
                  <a:srgbClr val="000000"/>
                </a:solidFill>
                <a:latin typeface="Calibri"/>
                <a:cs typeface="Calibri"/>
              </a:rPr>
              <a:pPr algn="l"/>
              <a:t>0</a:t>
            </a:fld>
            <a:endParaRPr lang="fr-FR" sz="900" b="1"/>
          </a:p>
        </cdr:txBody>
      </cdr:sp>
      <cdr:sp macro="" textlink="Calculs!$Y$179">
        <cdr:nvSpPr>
          <cdr:cNvPr id="28" name="ZoneTexte 1"/>
          <cdr:cNvSpPr txBox="1"/>
        </cdr:nvSpPr>
        <cdr:spPr>
          <a:xfrm xmlns:a="http://schemas.openxmlformats.org/drawingml/2006/main">
            <a:off x="8422974" y="4414952"/>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6201D63-3BA1-4C69-872B-670AA507ABED}" type="TxLink">
              <a:rPr lang="fr-FR" sz="900" b="1" i="0" u="none" strike="noStrike">
                <a:solidFill>
                  <a:srgbClr val="000000"/>
                </a:solidFill>
                <a:latin typeface="Calibri"/>
                <a:cs typeface="Calibri"/>
              </a:rPr>
              <a:pPr algn="l"/>
              <a:t>0</a:t>
            </a:fld>
            <a:endParaRPr lang="fr-FR" sz="900" b="1"/>
          </a:p>
        </cdr:txBody>
      </cdr:sp>
      <cdr:sp macro="" textlink="Calculs!$Y$180">
        <cdr:nvSpPr>
          <cdr:cNvPr id="29" name="ZoneTexte 1"/>
          <cdr:cNvSpPr txBox="1"/>
        </cdr:nvSpPr>
        <cdr:spPr>
          <a:xfrm xmlns:a="http://schemas.openxmlformats.org/drawingml/2006/main">
            <a:off x="8422974" y="4572868"/>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CBEC51-140C-44FA-811B-3D06A49D5C80}" type="TxLink">
              <a:rPr lang="fr-FR" sz="900" b="1" i="0" u="none" strike="noStrike">
                <a:solidFill>
                  <a:srgbClr val="000000"/>
                </a:solidFill>
                <a:latin typeface="Calibri"/>
                <a:cs typeface="Calibri"/>
              </a:rPr>
              <a:pPr algn="l"/>
              <a:t>0</a:t>
            </a:fld>
            <a:endParaRPr lang="fr-FR" sz="900" b="1"/>
          </a:p>
        </cdr:txBody>
      </cdr:sp>
      <cdr:sp macro="" textlink="Calculs!$Y$182">
        <cdr:nvSpPr>
          <cdr:cNvPr id="30" name="ZoneTexte 1"/>
          <cdr:cNvSpPr txBox="1"/>
        </cdr:nvSpPr>
        <cdr:spPr>
          <a:xfrm xmlns:a="http://schemas.openxmlformats.org/drawingml/2006/main">
            <a:off x="8422974" y="4730784"/>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1637DD-B272-44B9-BA07-D33C58DC4279}" type="TxLink">
              <a:rPr lang="fr-FR" sz="900" b="1" i="0" u="none" strike="noStrike">
                <a:solidFill>
                  <a:srgbClr val="000000"/>
                </a:solidFill>
                <a:latin typeface="Calibri"/>
                <a:cs typeface="Calibri"/>
              </a:rPr>
              <a:pPr algn="l"/>
              <a:t>0</a:t>
            </a:fld>
            <a:endParaRPr lang="fr-FR" sz="900" b="1"/>
          </a:p>
        </cdr:txBody>
      </cdr:sp>
      <cdr:sp macro="" textlink="Calculs!$Y$183">
        <cdr:nvSpPr>
          <cdr:cNvPr id="31" name="ZoneTexte 1"/>
          <cdr:cNvSpPr txBox="1"/>
        </cdr:nvSpPr>
        <cdr:spPr>
          <a:xfrm xmlns:a="http://schemas.openxmlformats.org/drawingml/2006/main">
            <a:off x="8422974" y="4888700"/>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39ED5-B3AE-4141-93AD-CAA4B9179337}" type="TxLink">
              <a:rPr lang="fr-FR" sz="900" b="1" i="0" u="none" strike="noStrike">
                <a:solidFill>
                  <a:srgbClr val="000000"/>
                </a:solidFill>
                <a:latin typeface="Calibri"/>
                <a:cs typeface="Calibri"/>
              </a:rPr>
              <a:pPr algn="l"/>
              <a:t>2</a:t>
            </a:fld>
            <a:endParaRPr lang="fr-FR" sz="900" b="1"/>
          </a:p>
        </cdr:txBody>
      </cdr:sp>
      <cdr:sp macro="" textlink="Calculs!$Y$184">
        <cdr:nvSpPr>
          <cdr:cNvPr id="32" name="ZoneTexte 1"/>
          <cdr:cNvSpPr txBox="1"/>
        </cdr:nvSpPr>
        <cdr:spPr>
          <a:xfrm xmlns:a="http://schemas.openxmlformats.org/drawingml/2006/main">
            <a:off x="8422974" y="5046616"/>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62B81E7-B327-4CE0-96F0-DDBF530D3CB3}" type="TxLink">
              <a:rPr lang="fr-FR" sz="900" b="1" i="0" u="none" strike="noStrike">
                <a:solidFill>
                  <a:srgbClr val="000000"/>
                </a:solidFill>
                <a:latin typeface="Calibri"/>
                <a:cs typeface="Calibri"/>
              </a:rPr>
              <a:pPr algn="l"/>
              <a:t>0</a:t>
            </a:fld>
            <a:endParaRPr lang="fr-FR" sz="900" b="1"/>
          </a:p>
        </cdr:txBody>
      </cdr:sp>
      <cdr:sp macro="" textlink="Calculs!$Y$185">
        <cdr:nvSpPr>
          <cdr:cNvPr id="33" name="ZoneTexte 1"/>
          <cdr:cNvSpPr txBox="1"/>
        </cdr:nvSpPr>
        <cdr:spPr>
          <a:xfrm xmlns:a="http://schemas.openxmlformats.org/drawingml/2006/main">
            <a:off x="8422974" y="5204532"/>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D334FFB-A7D7-4E71-89EE-1CF523DD943E}" type="TxLink">
              <a:rPr lang="fr-FR" sz="900" b="1" i="0" u="none" strike="noStrike">
                <a:solidFill>
                  <a:srgbClr val="000000"/>
                </a:solidFill>
                <a:latin typeface="Calibri"/>
                <a:cs typeface="Calibri"/>
              </a:rPr>
              <a:pPr algn="l"/>
              <a:t>106</a:t>
            </a:fld>
            <a:endParaRPr lang="fr-FR" sz="900" b="1"/>
          </a:p>
        </cdr:txBody>
      </cdr:sp>
      <cdr:sp macro="" textlink="Calculs!$Y$189">
        <cdr:nvSpPr>
          <cdr:cNvPr id="34" name="ZoneTexte 1"/>
          <cdr:cNvSpPr txBox="1"/>
        </cdr:nvSpPr>
        <cdr:spPr>
          <a:xfrm xmlns:a="http://schemas.openxmlformats.org/drawingml/2006/main">
            <a:off x="8422974" y="5520364"/>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DD1155D-6118-49AB-A858-D116EAAACFF2}" type="TxLink">
              <a:rPr lang="fr-FR" sz="900" b="1" i="0" u="none" strike="noStrike">
                <a:solidFill>
                  <a:srgbClr val="000000"/>
                </a:solidFill>
                <a:latin typeface="Calibri"/>
                <a:cs typeface="Calibri"/>
              </a:rPr>
              <a:pPr algn="l"/>
              <a:t>ND</a:t>
            </a:fld>
            <a:endParaRPr lang="fr-FR" sz="900" b="1"/>
          </a:p>
        </cdr:txBody>
      </cdr:sp>
      <cdr:sp macro="" textlink="Calculs!$Y$191">
        <cdr:nvSpPr>
          <cdr:cNvPr id="35" name="ZoneTexte 1"/>
          <cdr:cNvSpPr txBox="1"/>
        </cdr:nvSpPr>
        <cdr:spPr>
          <a:xfrm xmlns:a="http://schemas.openxmlformats.org/drawingml/2006/main">
            <a:off x="8422974" y="5678280"/>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F91E137-A0EC-4A56-8819-6AF99A775637}" type="TxLink">
              <a:rPr lang="fr-FR" sz="900" b="1" i="0" u="none" strike="noStrike">
                <a:solidFill>
                  <a:srgbClr val="000000"/>
                </a:solidFill>
                <a:latin typeface="Calibri"/>
                <a:cs typeface="Calibri"/>
              </a:rPr>
              <a:pPr algn="l"/>
              <a:t>0</a:t>
            </a:fld>
            <a:endParaRPr lang="fr-FR" sz="900" b="1"/>
          </a:p>
        </cdr:txBody>
      </cdr:sp>
      <cdr:sp macro="" textlink="Calculs!$Y$192">
        <cdr:nvSpPr>
          <cdr:cNvPr id="37" name="ZoneTexte 1"/>
          <cdr:cNvSpPr txBox="1"/>
        </cdr:nvSpPr>
        <cdr:spPr>
          <a:xfrm xmlns:a="http://schemas.openxmlformats.org/drawingml/2006/main">
            <a:off x="8422974" y="6152028"/>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862147-9144-4743-8714-2034CCAD0FC5}" type="TxLink">
              <a:rPr lang="fr-FR" sz="900" b="1" i="0" u="none" strike="noStrike">
                <a:solidFill>
                  <a:srgbClr val="000000"/>
                </a:solidFill>
                <a:latin typeface="Calibri"/>
                <a:cs typeface="Calibri"/>
              </a:rPr>
              <a:pPr algn="l"/>
              <a:t>ND</a:t>
            </a:fld>
            <a:endParaRPr lang="fr-FR" sz="900" b="1"/>
          </a:p>
        </cdr:txBody>
      </cdr:sp>
      <cdr:sp macro="" textlink="Calculs!$Y$193">
        <cdr:nvSpPr>
          <cdr:cNvPr id="120" name="ZoneTexte 1"/>
          <cdr:cNvSpPr txBox="1"/>
        </cdr:nvSpPr>
        <cdr:spPr>
          <a:xfrm xmlns:a="http://schemas.openxmlformats.org/drawingml/2006/main">
            <a:off x="8422974" y="6309941"/>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5B63C66-11D6-4DB2-B941-4929F8719716}" type="TxLink">
              <a:rPr lang="fr-FR" sz="900" b="1" i="0" u="none" strike="noStrike">
                <a:solidFill>
                  <a:srgbClr val="000000"/>
                </a:solidFill>
                <a:latin typeface="Calibri"/>
                <a:cs typeface="Calibri"/>
              </a:rPr>
              <a:pPr algn="l"/>
              <a:t>0</a:t>
            </a:fld>
            <a:endParaRPr lang="fr-FR" sz="900" b="1"/>
          </a:p>
        </cdr:txBody>
      </cdr:sp>
      <cdr:sp macro="" textlink="Calculs!$Y$154">
        <cdr:nvSpPr>
          <cdr:cNvPr id="125" name="ZoneTexte 1"/>
          <cdr:cNvSpPr txBox="1"/>
        </cdr:nvSpPr>
        <cdr:spPr>
          <a:xfrm xmlns:a="http://schemas.openxmlformats.org/drawingml/2006/main">
            <a:off x="8422974" y="1414548"/>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16CD871-7F3A-4E24-B58E-FC0260599ACF}" type="TxLink">
              <a:rPr lang="fr-FR" sz="900" b="1" i="0" u="none" strike="noStrike">
                <a:solidFill>
                  <a:srgbClr val="000000"/>
                </a:solidFill>
                <a:latin typeface="Calibri"/>
                <a:cs typeface="Calibri"/>
              </a:rPr>
              <a:pPr algn="l"/>
              <a:t>546</a:t>
            </a:fld>
            <a:endParaRPr lang="fr-FR" sz="900" b="1"/>
          </a:p>
        </cdr:txBody>
      </cdr:sp>
      <cdr:sp macro="" textlink="Calculs!$Y$157">
        <cdr:nvSpPr>
          <cdr:cNvPr id="126" name="ZoneTexte 1"/>
          <cdr:cNvSpPr txBox="1"/>
        </cdr:nvSpPr>
        <cdr:spPr>
          <a:xfrm xmlns:a="http://schemas.openxmlformats.org/drawingml/2006/main">
            <a:off x="8422974" y="1888296"/>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F561B0E-E105-43E0-A6C6-8EA028D6AB91}" type="TxLink">
              <a:rPr lang="fr-FR" sz="900" b="1" i="0" u="none" strike="noStrike">
                <a:solidFill>
                  <a:srgbClr val="000000"/>
                </a:solidFill>
                <a:latin typeface="Calibri"/>
                <a:cs typeface="Calibri"/>
              </a:rPr>
              <a:pPr algn="l"/>
              <a:t>146</a:t>
            </a:fld>
            <a:endParaRPr lang="fr-FR" sz="900" b="1"/>
          </a:p>
        </cdr:txBody>
      </cdr:sp>
      <cdr:sp macro="" textlink="Calculs!$Y$190">
        <cdr:nvSpPr>
          <cdr:cNvPr id="128" name="ZoneTexte 1"/>
          <cdr:cNvSpPr txBox="1"/>
        </cdr:nvSpPr>
        <cdr:spPr>
          <a:xfrm xmlns:a="http://schemas.openxmlformats.org/drawingml/2006/main">
            <a:off x="8422974" y="5994112"/>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73EECF0-0D94-4CB6-9214-3727D8648ACA}" type="TxLink">
              <a:rPr lang="fr-FR" sz="900" b="1" i="0" u="none" strike="noStrike">
                <a:solidFill>
                  <a:srgbClr val="000000"/>
                </a:solidFill>
                <a:latin typeface="Calibri"/>
                <a:cs typeface="Calibri"/>
              </a:rPr>
              <a:pPr algn="l"/>
              <a:t>0</a:t>
            </a:fld>
            <a:endParaRPr lang="fr-FR" sz="900" b="1"/>
          </a:p>
        </cdr:txBody>
      </cdr:sp>
      <cdr:sp macro="" textlink="Calculs!$Y$187">
        <cdr:nvSpPr>
          <cdr:cNvPr id="129" name="ZoneTexte 1"/>
          <cdr:cNvSpPr txBox="1"/>
        </cdr:nvSpPr>
        <cdr:spPr>
          <a:xfrm xmlns:a="http://schemas.openxmlformats.org/drawingml/2006/main">
            <a:off x="8422974" y="5836196"/>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D30AE6-4231-4BF3-8265-BFF7D866C5C1}" type="TxLink">
              <a:rPr lang="fr-FR" sz="900" b="1" i="0" u="none" strike="noStrike">
                <a:solidFill>
                  <a:srgbClr val="000000"/>
                </a:solidFill>
                <a:latin typeface="Calibri"/>
                <a:cs typeface="Calibri"/>
              </a:rPr>
              <a:pPr algn="l"/>
              <a:t>0</a:t>
            </a:fld>
            <a:endParaRPr lang="fr-FR" sz="900" b="1"/>
          </a:p>
        </cdr:txBody>
      </cdr:sp>
      <cdr:sp macro="" textlink="Calculs!$Y$177">
        <cdr:nvSpPr>
          <cdr:cNvPr id="100" name="ZoneTexte 1"/>
          <cdr:cNvSpPr txBox="1"/>
        </cdr:nvSpPr>
        <cdr:spPr>
          <a:xfrm xmlns:a="http://schemas.openxmlformats.org/drawingml/2006/main">
            <a:off x="8422974" y="4257036"/>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8A9664EA-02EE-4E35-A9AB-6412267EEA39}" type="TxLink">
              <a:rPr lang="fr-FR" sz="900" b="1" i="0" u="none" strike="noStrike">
                <a:solidFill>
                  <a:srgbClr val="000000"/>
                </a:solidFill>
                <a:latin typeface="Calibri"/>
                <a:cs typeface="Calibri"/>
              </a:rPr>
              <a:pPr algn="l"/>
              <a:t>ND</a:t>
            </a:fld>
            <a:endParaRPr lang="fr-FR" sz="900" b="1"/>
          </a:p>
        </cdr:txBody>
      </cdr:sp>
      <cdr:sp macro="" textlink="Calculs!$Y$186">
        <cdr:nvSpPr>
          <cdr:cNvPr id="106" name="ZoneTexte 1"/>
          <cdr:cNvSpPr txBox="1"/>
        </cdr:nvSpPr>
        <cdr:spPr>
          <a:xfrm xmlns:a="http://schemas.openxmlformats.org/drawingml/2006/main">
            <a:off x="8422974" y="5362448"/>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5A902F-3120-4CC9-A238-C16E80BAB955}" type="TxLink">
              <a:rPr lang="fr-FR" sz="900" b="1" i="0" u="none" strike="noStrike">
                <a:solidFill>
                  <a:srgbClr val="000000"/>
                </a:solidFill>
                <a:latin typeface="Calibri"/>
                <a:cs typeface="Calibri"/>
              </a:rPr>
              <a:pPr algn="l"/>
              <a:t>18</a:t>
            </a:fld>
            <a:endParaRPr lang="fr-FR" sz="900" b="1"/>
          </a:p>
        </cdr:txBody>
      </cdr:sp>
      <cdr:sp macro="" textlink="Calculs!$Y$158">
        <cdr:nvSpPr>
          <cdr:cNvPr id="107" name="ZoneTexte 1"/>
          <cdr:cNvSpPr txBox="1"/>
        </cdr:nvSpPr>
        <cdr:spPr>
          <a:xfrm xmlns:a="http://schemas.openxmlformats.org/drawingml/2006/main">
            <a:off x="8422974" y="2046212"/>
            <a:ext cx="717224" cy="147600"/>
          </a:xfrm>
          <a:prstGeom xmlns:a="http://schemas.openxmlformats.org/drawingml/2006/main" prst="rect">
            <a:avLst/>
          </a:prstGeom>
        </cdr:spPr>
        <cdr:txBody>
          <a:bodyPr xmlns:a="http://schemas.openxmlformats.org/drawingml/2006/main" wrap="square" lIns="7200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620D524-5C6D-408B-9AF7-F06C9E1995E6}" type="TxLink">
              <a:rPr lang="fr-FR" sz="900" b="1" i="0" u="none" strike="noStrike">
                <a:solidFill>
                  <a:srgbClr val="000000"/>
                </a:solidFill>
                <a:latin typeface="Calibri"/>
                <a:cs typeface="Calibri"/>
              </a:rPr>
              <a:pPr algn="l"/>
              <a:t>56</a:t>
            </a:fld>
            <a:endParaRPr lang="fr-FR" sz="900" b="1"/>
          </a:p>
        </cdr:txBody>
      </cdr:sp>
    </cdr:grpSp>
  </cdr:relSizeAnchor>
  <cdr:relSizeAnchor xmlns:cdr="http://schemas.openxmlformats.org/drawingml/2006/chartDrawing">
    <cdr:from>
      <cdr:x>0.94656</cdr:x>
      <cdr:y>0.1849</cdr:y>
    </cdr:from>
    <cdr:to>
      <cdr:x>1</cdr:x>
      <cdr:y>0.94354</cdr:y>
    </cdr:to>
    <cdr:grpSp>
      <cdr:nvGrpSpPr>
        <cdr:cNvPr id="152" name="Groupe 151"/>
        <cdr:cNvGrpSpPr/>
      </cdr:nvGrpSpPr>
      <cdr:grpSpPr>
        <a:xfrm xmlns:a="http://schemas.openxmlformats.org/drawingml/2006/main">
          <a:off x="9565959" y="1268044"/>
          <a:ext cx="540066" cy="5202753"/>
          <a:chOff x="7982838" y="1254900"/>
          <a:chExt cx="540066" cy="5202779"/>
        </a:xfrm>
      </cdr:grpSpPr>
      <cdr:sp macro="" textlink="Calculs!$Y$207">
        <cdr:nvSpPr>
          <cdr:cNvPr id="74" name="ZoneTexte 73"/>
          <cdr:cNvSpPr txBox="1"/>
        </cdr:nvSpPr>
        <cdr:spPr>
          <a:xfrm xmlns:a="http://schemas.openxmlformats.org/drawingml/2006/main">
            <a:off x="7982838" y="125490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algn="l"/>
            <a:fld id="{4D577F86-3A53-468F-B4BC-EB02906EF29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8">
        <cdr:nvSpPr>
          <cdr:cNvPr id="75" name="ZoneTexte 1"/>
          <cdr:cNvSpPr txBox="1"/>
        </cdr:nvSpPr>
        <cdr:spPr>
          <a:xfrm xmlns:a="http://schemas.openxmlformats.org/drawingml/2006/main">
            <a:off x="7982838" y="283464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1D9A81-A0CB-4E68-8299-96E9C97B41F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7">
        <cdr:nvSpPr>
          <cdr:cNvPr id="76" name="ZoneTexte 1"/>
          <cdr:cNvSpPr txBox="1"/>
        </cdr:nvSpPr>
        <cdr:spPr>
          <a:xfrm xmlns:a="http://schemas.openxmlformats.org/drawingml/2006/main">
            <a:off x="7982838" y="267666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DA55A6A-B9F5-4DE1-AA62-5F1E0A22E416}" type="TxLink">
              <a:rPr lang="fr-FR" sz="900" b="1" i="0" u="none" strike="noStrike">
                <a:solidFill>
                  <a:srgbClr val="000000"/>
                </a:solidFill>
                <a:latin typeface="+mn-lt"/>
                <a:cs typeface="Calibri"/>
              </a:rPr>
              <a:pPr algn="l"/>
              <a:t>ND</a:t>
            </a:fld>
            <a:endParaRPr lang="fr-FR" sz="900" b="1">
              <a:latin typeface="+mn-lt"/>
            </a:endParaRPr>
          </a:p>
        </cdr:txBody>
      </cdr:sp>
      <cdr:sp macro="" textlink="Calculs!$Y$216">
        <cdr:nvSpPr>
          <cdr:cNvPr id="77" name="ZoneTexte 1"/>
          <cdr:cNvSpPr txBox="1"/>
        </cdr:nvSpPr>
        <cdr:spPr>
          <a:xfrm xmlns:a="http://schemas.openxmlformats.org/drawingml/2006/main">
            <a:off x="7982838" y="251869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E748D6-E4D8-490B-AF5E-8023F149CF01}" type="TxLink">
              <a:rPr lang="fr-FR" sz="900" b="1" i="0" u="none" strike="noStrike">
                <a:solidFill>
                  <a:srgbClr val="000000"/>
                </a:solidFill>
                <a:latin typeface="+mn-lt"/>
                <a:cs typeface="Calibri"/>
              </a:rPr>
              <a:pPr algn="l"/>
              <a:t>ND</a:t>
            </a:fld>
            <a:endParaRPr lang="fr-FR" sz="900" b="1">
              <a:latin typeface="+mn-lt"/>
            </a:endParaRPr>
          </a:p>
        </cdr:txBody>
      </cdr:sp>
      <cdr:sp macro="" textlink="Calculs!$Y$215">
        <cdr:nvSpPr>
          <cdr:cNvPr id="78" name="ZoneTexte 1"/>
          <cdr:cNvSpPr txBox="1"/>
        </cdr:nvSpPr>
        <cdr:spPr>
          <a:xfrm xmlns:a="http://schemas.openxmlformats.org/drawingml/2006/main">
            <a:off x="7982838" y="236071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927761-A451-4312-BDBC-B54595157844}" type="TxLink">
              <a:rPr lang="fr-FR" sz="900" b="1" i="0" u="none" strike="noStrike">
                <a:solidFill>
                  <a:srgbClr val="000000"/>
                </a:solidFill>
                <a:latin typeface="+mn-lt"/>
                <a:cs typeface="Calibri"/>
              </a:rPr>
              <a:pPr algn="l"/>
              <a:t>ND</a:t>
            </a:fld>
            <a:endParaRPr lang="fr-FR" sz="900" b="1">
              <a:latin typeface="+mn-lt"/>
            </a:endParaRPr>
          </a:p>
        </cdr:txBody>
      </cdr:sp>
      <cdr:sp macro="" textlink="Calculs!$Y$214">
        <cdr:nvSpPr>
          <cdr:cNvPr id="79" name="ZoneTexte 1"/>
          <cdr:cNvSpPr txBox="1"/>
        </cdr:nvSpPr>
        <cdr:spPr>
          <a:xfrm xmlns:a="http://schemas.openxmlformats.org/drawingml/2006/main">
            <a:off x="7982838" y="220274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111C6CF-6996-4656-B2A8-4B846EC1DFA6}" type="TxLink">
              <a:rPr lang="fr-FR" sz="900" b="1" i="0" u="none" strike="noStrike">
                <a:solidFill>
                  <a:srgbClr val="000000"/>
                </a:solidFill>
                <a:latin typeface="+mn-lt"/>
                <a:cs typeface="Calibri"/>
              </a:rPr>
              <a:pPr algn="l"/>
              <a:t>ND</a:t>
            </a:fld>
            <a:endParaRPr lang="fr-FR" sz="900" b="1">
              <a:latin typeface="+mn-lt"/>
            </a:endParaRPr>
          </a:p>
        </cdr:txBody>
      </cdr:sp>
      <cdr:sp macro="" textlink="Calculs!$Y$210">
        <cdr:nvSpPr>
          <cdr:cNvPr id="80" name="ZoneTexte 1"/>
          <cdr:cNvSpPr txBox="1"/>
        </cdr:nvSpPr>
        <cdr:spPr>
          <a:xfrm xmlns:a="http://schemas.openxmlformats.org/drawingml/2006/main">
            <a:off x="7982838" y="172882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1FDB11-28F2-4777-B3E8-94ABCD4B18BA}" type="TxLink">
              <a:rPr lang="fr-FR" sz="900" b="1" i="0" u="none" strike="noStrike">
                <a:solidFill>
                  <a:srgbClr val="000000"/>
                </a:solidFill>
                <a:latin typeface="+mn-lt"/>
                <a:cs typeface="Calibri"/>
              </a:rPr>
              <a:pPr algn="l"/>
              <a:t>ND</a:t>
            </a:fld>
            <a:endParaRPr lang="fr-FR" sz="900" b="1">
              <a:latin typeface="+mn-lt"/>
            </a:endParaRPr>
          </a:p>
        </cdr:txBody>
      </cdr:sp>
      <cdr:sp macro="" textlink="Calculs!$Y$209">
        <cdr:nvSpPr>
          <cdr:cNvPr id="81" name="ZoneTexte 1"/>
          <cdr:cNvSpPr txBox="1"/>
        </cdr:nvSpPr>
        <cdr:spPr>
          <a:xfrm xmlns:a="http://schemas.openxmlformats.org/drawingml/2006/main">
            <a:off x="7982838" y="157084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4BBF744-8778-450C-964E-78F116FC56DA}" type="TxLink">
              <a:rPr lang="fr-FR" sz="900" b="1" i="0" u="none" strike="noStrike">
                <a:solidFill>
                  <a:srgbClr val="000000"/>
                </a:solidFill>
                <a:latin typeface="+mn-lt"/>
                <a:cs typeface="Calibri"/>
              </a:rPr>
              <a:pPr algn="l"/>
              <a:t>ND</a:t>
            </a:fld>
            <a:endParaRPr lang="fr-FR" sz="900" b="1">
              <a:latin typeface="+mn-lt"/>
            </a:endParaRPr>
          </a:p>
        </cdr:txBody>
      </cdr:sp>
      <cdr:sp macro="" textlink="Calculs!$Y$226">
        <cdr:nvSpPr>
          <cdr:cNvPr id="82" name="ZoneTexte 1"/>
          <cdr:cNvSpPr txBox="1"/>
        </cdr:nvSpPr>
        <cdr:spPr>
          <a:xfrm xmlns:a="http://schemas.openxmlformats.org/drawingml/2006/main">
            <a:off x="7982838" y="378248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DFB9F49-0EC8-4D13-8D1E-ED32A0809F5D}" type="TxLink">
              <a:rPr lang="fr-FR" sz="900" b="1" i="0" u="none" strike="noStrike">
                <a:solidFill>
                  <a:srgbClr val="000000"/>
                </a:solidFill>
                <a:latin typeface="+mn-lt"/>
                <a:cs typeface="Calibri"/>
              </a:rPr>
              <a:pPr algn="l"/>
              <a:t>ND</a:t>
            </a:fld>
            <a:endParaRPr lang="fr-FR" sz="900" b="1">
              <a:latin typeface="+mn-lt"/>
            </a:endParaRPr>
          </a:p>
        </cdr:txBody>
      </cdr:sp>
      <cdr:sp macro="" textlink="Calculs!$Y$224">
        <cdr:nvSpPr>
          <cdr:cNvPr id="83" name="ZoneTexte 1"/>
          <cdr:cNvSpPr txBox="1"/>
        </cdr:nvSpPr>
        <cdr:spPr>
          <a:xfrm xmlns:a="http://schemas.openxmlformats.org/drawingml/2006/main">
            <a:off x="7982838" y="362451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11EACE-A00F-415F-8677-16961836FAD0}" type="TxLink">
              <a:rPr lang="fr-FR" sz="900" b="1" i="0" u="none" strike="noStrike">
                <a:solidFill>
                  <a:srgbClr val="000000"/>
                </a:solidFill>
                <a:latin typeface="+mn-lt"/>
                <a:cs typeface="Calibri"/>
              </a:rPr>
              <a:pPr algn="l"/>
              <a:t>ND</a:t>
            </a:fld>
            <a:endParaRPr lang="fr-FR" sz="900" b="1">
              <a:latin typeface="+mn-lt"/>
            </a:endParaRPr>
          </a:p>
        </cdr:txBody>
      </cdr:sp>
      <cdr:sp macro="" textlink="Calculs!$Y$223">
        <cdr:nvSpPr>
          <cdr:cNvPr id="84" name="ZoneTexte 1"/>
          <cdr:cNvSpPr txBox="1"/>
        </cdr:nvSpPr>
        <cdr:spPr>
          <a:xfrm xmlns:a="http://schemas.openxmlformats.org/drawingml/2006/main">
            <a:off x="7982838" y="346653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EF26F0-C3BB-415A-94F0-F4B30FEEED4B}" type="TxLink">
              <a:rPr lang="fr-FR" sz="900" b="1" i="0" u="none" strike="noStrike">
                <a:solidFill>
                  <a:srgbClr val="000000"/>
                </a:solidFill>
                <a:latin typeface="+mn-lt"/>
                <a:cs typeface="Calibri"/>
              </a:rPr>
              <a:pPr algn="l"/>
              <a:t>ND</a:t>
            </a:fld>
            <a:endParaRPr lang="fr-FR" sz="900" b="1">
              <a:latin typeface="+mn-lt"/>
            </a:endParaRPr>
          </a:p>
        </cdr:txBody>
      </cdr:sp>
      <cdr:sp macro="" textlink="Calculs!$Y$222">
        <cdr:nvSpPr>
          <cdr:cNvPr id="85" name="ZoneTexte 1"/>
          <cdr:cNvSpPr txBox="1"/>
        </cdr:nvSpPr>
        <cdr:spPr>
          <a:xfrm xmlns:a="http://schemas.openxmlformats.org/drawingml/2006/main">
            <a:off x="7982838" y="330856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117A601-F80D-4987-B52C-CD1DAAC64813}" type="TxLink">
              <a:rPr lang="fr-FR" sz="900" b="1" i="0" u="none" strike="noStrike">
                <a:solidFill>
                  <a:srgbClr val="000000"/>
                </a:solidFill>
                <a:latin typeface="+mn-lt"/>
                <a:cs typeface="Calibri"/>
              </a:rPr>
              <a:pPr algn="l"/>
              <a:t>ND</a:t>
            </a:fld>
            <a:endParaRPr lang="fr-FR" sz="900" b="1">
              <a:latin typeface="+mn-lt"/>
            </a:endParaRPr>
          </a:p>
        </cdr:txBody>
      </cdr:sp>
      <cdr:sp macro="" textlink="Calculs!$Y$220">
        <cdr:nvSpPr>
          <cdr:cNvPr id="86" name="ZoneTexte 1"/>
          <cdr:cNvSpPr txBox="1"/>
        </cdr:nvSpPr>
        <cdr:spPr>
          <a:xfrm xmlns:a="http://schemas.openxmlformats.org/drawingml/2006/main">
            <a:off x="7982838" y="315058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29691-D3E1-45D2-AB35-6D3D1271D5DB}" type="TxLink">
              <a:rPr lang="fr-FR" sz="900" b="1" i="0" u="none" strike="noStrike">
                <a:solidFill>
                  <a:srgbClr val="000000"/>
                </a:solidFill>
                <a:latin typeface="+mn-lt"/>
                <a:cs typeface="Calibri"/>
              </a:rPr>
              <a:pPr algn="l"/>
              <a:t>ND</a:t>
            </a:fld>
            <a:endParaRPr lang="fr-FR" sz="900" b="1">
              <a:latin typeface="+mn-lt"/>
            </a:endParaRPr>
          </a:p>
        </cdr:txBody>
      </cdr:sp>
      <cdr:sp macro="" textlink="Calculs!$Y$219">
        <cdr:nvSpPr>
          <cdr:cNvPr id="87" name="ZoneTexte 1"/>
          <cdr:cNvSpPr txBox="1"/>
        </cdr:nvSpPr>
        <cdr:spPr>
          <a:xfrm xmlns:a="http://schemas.openxmlformats.org/drawingml/2006/main">
            <a:off x="7982838" y="299261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8A3195-1948-4E9B-9F42-2A4808DC3143}" type="TxLink">
              <a:rPr lang="fr-FR" sz="900" b="1" i="0" u="none" strike="noStrike">
                <a:solidFill>
                  <a:srgbClr val="000000"/>
                </a:solidFill>
                <a:latin typeface="+mn-lt"/>
                <a:cs typeface="Calibri"/>
              </a:rPr>
              <a:pPr algn="l"/>
              <a:t>ND</a:t>
            </a:fld>
            <a:endParaRPr lang="fr-FR" sz="900" b="1">
              <a:latin typeface="+mn-lt"/>
            </a:endParaRPr>
          </a:p>
        </cdr:txBody>
      </cdr:sp>
      <cdr:sp macro="" textlink="Calculs!$Y$228">
        <cdr:nvSpPr>
          <cdr:cNvPr id="88" name="ZoneTexte 1"/>
          <cdr:cNvSpPr txBox="1"/>
        </cdr:nvSpPr>
        <cdr:spPr>
          <a:xfrm xmlns:a="http://schemas.openxmlformats.org/drawingml/2006/main">
            <a:off x="7982838" y="394045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DB97231-A90A-4CA7-AAF7-EBBB3CC240B9}" type="TxLink">
              <a:rPr lang="fr-FR" sz="900" b="1" i="0" u="none" strike="noStrike">
                <a:solidFill>
                  <a:srgbClr val="000000"/>
                </a:solidFill>
                <a:latin typeface="+mn-lt"/>
                <a:cs typeface="Calibri"/>
              </a:rPr>
              <a:pPr algn="l"/>
              <a:t>ND</a:t>
            </a:fld>
            <a:endParaRPr lang="fr-FR" sz="900" b="1">
              <a:latin typeface="+mn-lt"/>
            </a:endParaRPr>
          </a:p>
        </cdr:txBody>
      </cdr:sp>
      <cdr:sp macro="" textlink="Calculs!$Y$230">
        <cdr:nvSpPr>
          <cdr:cNvPr id="89" name="ZoneTexte 1"/>
          <cdr:cNvSpPr txBox="1"/>
        </cdr:nvSpPr>
        <cdr:spPr>
          <a:xfrm xmlns:a="http://schemas.openxmlformats.org/drawingml/2006/main">
            <a:off x="7982838" y="409843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A548B35-C887-43A0-B679-3E83D9C91869}" type="TxLink">
              <a:rPr lang="fr-FR" sz="900" b="1" i="0" u="none" strike="noStrike">
                <a:solidFill>
                  <a:srgbClr val="000000"/>
                </a:solidFill>
                <a:latin typeface="+mn-lt"/>
                <a:cs typeface="Calibri"/>
              </a:rPr>
              <a:pPr algn="l"/>
              <a:t>ND</a:t>
            </a:fld>
            <a:endParaRPr lang="fr-FR" sz="900" b="1">
              <a:latin typeface="+mn-lt"/>
            </a:endParaRPr>
          </a:p>
        </cdr:txBody>
      </cdr:sp>
      <cdr:sp macro="" textlink="Calculs!$Y$233">
        <cdr:nvSpPr>
          <cdr:cNvPr id="90" name="ZoneTexte 1"/>
          <cdr:cNvSpPr txBox="1"/>
        </cdr:nvSpPr>
        <cdr:spPr>
          <a:xfrm xmlns:a="http://schemas.openxmlformats.org/drawingml/2006/main">
            <a:off x="7982838" y="441438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75B3BFF-2F88-4DC9-B1DC-5553DF8AC63E}" type="TxLink">
              <a:rPr lang="fr-FR" sz="900" b="1" i="0" u="none" strike="noStrike">
                <a:solidFill>
                  <a:srgbClr val="000000"/>
                </a:solidFill>
                <a:latin typeface="+mn-lt"/>
                <a:cs typeface="Calibri"/>
              </a:rPr>
              <a:pPr algn="l"/>
              <a:t>ND</a:t>
            </a:fld>
            <a:endParaRPr lang="fr-FR" sz="900" b="1">
              <a:latin typeface="+mn-lt"/>
            </a:endParaRPr>
          </a:p>
        </cdr:txBody>
      </cdr:sp>
      <cdr:sp macro="" textlink="Calculs!$Y$234">
        <cdr:nvSpPr>
          <cdr:cNvPr id="91" name="ZoneTexte 1"/>
          <cdr:cNvSpPr txBox="1"/>
        </cdr:nvSpPr>
        <cdr:spPr>
          <a:xfrm xmlns:a="http://schemas.openxmlformats.org/drawingml/2006/main">
            <a:off x="7982838" y="457235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236813F-CC0C-4398-9224-2BDE3FA59E88}" type="TxLink">
              <a:rPr lang="fr-FR" sz="900" b="1" i="0" u="none" strike="noStrike">
                <a:solidFill>
                  <a:srgbClr val="000000"/>
                </a:solidFill>
                <a:latin typeface="+mn-lt"/>
                <a:cs typeface="Calibri"/>
              </a:rPr>
              <a:pPr algn="l"/>
              <a:t>ND</a:t>
            </a:fld>
            <a:endParaRPr lang="fr-FR" sz="900" b="1">
              <a:latin typeface="+mn-lt"/>
            </a:endParaRPr>
          </a:p>
        </cdr:txBody>
      </cdr:sp>
      <cdr:sp macro="" textlink="Calculs!$Y$236">
        <cdr:nvSpPr>
          <cdr:cNvPr id="92" name="ZoneTexte 1"/>
          <cdr:cNvSpPr txBox="1"/>
        </cdr:nvSpPr>
        <cdr:spPr>
          <a:xfrm xmlns:a="http://schemas.openxmlformats.org/drawingml/2006/main">
            <a:off x="7982838" y="473032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795761-420A-4B01-8680-8AED6DA4B598}" type="TxLink">
              <a:rPr lang="fr-FR" sz="900" b="1" i="0" u="none" strike="noStrike">
                <a:solidFill>
                  <a:srgbClr val="000000"/>
                </a:solidFill>
                <a:latin typeface="+mn-lt"/>
                <a:cs typeface="Calibri"/>
              </a:rPr>
              <a:pPr algn="l"/>
              <a:t>ND</a:t>
            </a:fld>
            <a:endParaRPr lang="fr-FR" sz="900" b="1">
              <a:latin typeface="+mn-lt"/>
            </a:endParaRPr>
          </a:p>
        </cdr:txBody>
      </cdr:sp>
      <cdr:sp macro="" textlink="Calculs!$Y$237">
        <cdr:nvSpPr>
          <cdr:cNvPr id="93" name="ZoneTexte 1"/>
          <cdr:cNvSpPr txBox="1"/>
        </cdr:nvSpPr>
        <cdr:spPr>
          <a:xfrm xmlns:a="http://schemas.openxmlformats.org/drawingml/2006/main">
            <a:off x="7982838" y="488830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2132CCD-D56C-4046-B2B1-766BE9CD91A2}" type="TxLink">
              <a:rPr lang="fr-FR" sz="900" b="1" i="0" u="none" strike="noStrike">
                <a:solidFill>
                  <a:srgbClr val="000000"/>
                </a:solidFill>
                <a:latin typeface="+mn-lt"/>
                <a:cs typeface="Calibri"/>
              </a:rPr>
              <a:pPr algn="l"/>
              <a:t>ND</a:t>
            </a:fld>
            <a:endParaRPr lang="fr-FR" sz="900" b="1">
              <a:latin typeface="+mn-lt"/>
            </a:endParaRPr>
          </a:p>
        </cdr:txBody>
      </cdr:sp>
      <cdr:sp macro="" textlink="Calculs!$Y$238">
        <cdr:nvSpPr>
          <cdr:cNvPr id="94" name="ZoneTexte 1"/>
          <cdr:cNvSpPr txBox="1"/>
        </cdr:nvSpPr>
        <cdr:spPr>
          <a:xfrm xmlns:a="http://schemas.openxmlformats.org/drawingml/2006/main">
            <a:off x="7982838" y="504627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A609977-16FB-47BA-9587-EBF9F5E5F553}" type="TxLink">
              <a:rPr lang="fr-FR" sz="900" b="1" i="0" u="none" strike="noStrike">
                <a:solidFill>
                  <a:srgbClr val="000000"/>
                </a:solidFill>
                <a:latin typeface="+mn-lt"/>
                <a:cs typeface="Calibri"/>
              </a:rPr>
              <a:pPr algn="l"/>
              <a:t>ND</a:t>
            </a:fld>
            <a:endParaRPr lang="fr-FR" sz="900" b="1">
              <a:latin typeface="+mn-lt"/>
            </a:endParaRPr>
          </a:p>
        </cdr:txBody>
      </cdr:sp>
      <cdr:sp macro="" textlink="Calculs!$Y$239">
        <cdr:nvSpPr>
          <cdr:cNvPr id="95" name="ZoneTexte 1"/>
          <cdr:cNvSpPr txBox="1"/>
        </cdr:nvSpPr>
        <cdr:spPr>
          <a:xfrm xmlns:a="http://schemas.openxmlformats.org/drawingml/2006/main">
            <a:off x="7982838" y="520425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9C44A4-88B2-4630-9E7E-C46969CD43BC}" type="TxLink">
              <a:rPr lang="fr-FR" sz="900" b="1" i="0" u="none" strike="noStrike">
                <a:solidFill>
                  <a:srgbClr val="000000"/>
                </a:solidFill>
                <a:latin typeface="+mn-lt"/>
                <a:cs typeface="Calibri"/>
              </a:rPr>
              <a:pPr algn="l"/>
              <a:t>ND</a:t>
            </a:fld>
            <a:endParaRPr lang="fr-FR" sz="900" b="1">
              <a:latin typeface="+mn-lt"/>
            </a:endParaRPr>
          </a:p>
        </cdr:txBody>
      </cdr:sp>
      <cdr:sp macro="" textlink="Calculs!$Y$243">
        <cdr:nvSpPr>
          <cdr:cNvPr id="96" name="ZoneTexte 1"/>
          <cdr:cNvSpPr txBox="1"/>
        </cdr:nvSpPr>
        <cdr:spPr>
          <a:xfrm xmlns:a="http://schemas.openxmlformats.org/drawingml/2006/main">
            <a:off x="7982838" y="5520198"/>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AF8E4C3-C11F-43AC-AF51-73C36EA139AA}" type="TxLink">
              <a:rPr lang="fr-FR" sz="900" b="1" i="0" u="none" strike="noStrike">
                <a:solidFill>
                  <a:srgbClr val="000000"/>
                </a:solidFill>
                <a:latin typeface="+mn-lt"/>
                <a:cs typeface="Calibri"/>
              </a:rPr>
              <a:pPr algn="l"/>
              <a:t>ND</a:t>
            </a:fld>
            <a:endParaRPr lang="fr-FR" sz="900" b="1">
              <a:latin typeface="+mn-lt"/>
            </a:endParaRPr>
          </a:p>
        </cdr:txBody>
      </cdr:sp>
      <cdr:sp macro="" textlink="Calculs!$Y$245">
        <cdr:nvSpPr>
          <cdr:cNvPr id="97" name="ZoneTexte 1"/>
          <cdr:cNvSpPr txBox="1"/>
        </cdr:nvSpPr>
        <cdr:spPr>
          <a:xfrm xmlns:a="http://schemas.openxmlformats.org/drawingml/2006/main">
            <a:off x="7982838" y="5678172"/>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20D50EE-137F-45F7-8129-19BAE725CE55}" type="TxLink">
              <a:rPr lang="fr-FR" sz="900" b="1" i="0" u="none" strike="noStrike">
                <a:solidFill>
                  <a:srgbClr val="000000"/>
                </a:solidFill>
                <a:latin typeface="+mn-lt"/>
                <a:cs typeface="Calibri"/>
              </a:rPr>
              <a:pPr algn="l"/>
              <a:t>ND</a:t>
            </a:fld>
            <a:endParaRPr lang="fr-FR" sz="900" b="1">
              <a:latin typeface="+mn-lt"/>
            </a:endParaRPr>
          </a:p>
        </cdr:txBody>
      </cdr:sp>
      <cdr:sp macro="" textlink="Calculs!$Y$246">
        <cdr:nvSpPr>
          <cdr:cNvPr id="98" name="ZoneTexte 1"/>
          <cdr:cNvSpPr txBox="1"/>
        </cdr:nvSpPr>
        <cdr:spPr>
          <a:xfrm xmlns:a="http://schemas.openxmlformats.org/drawingml/2006/main">
            <a:off x="7982838" y="615209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24BEC5E-E02F-40B2-8DB6-8E8A7A8DC8EF}" type="TxLink">
              <a:rPr lang="fr-FR" sz="900" b="1" i="0" u="none" strike="noStrike">
                <a:solidFill>
                  <a:srgbClr val="000000"/>
                </a:solidFill>
                <a:latin typeface="+mn-lt"/>
                <a:cs typeface="Calibri"/>
              </a:rPr>
              <a:pPr algn="l"/>
              <a:t>ND</a:t>
            </a:fld>
            <a:endParaRPr lang="fr-FR" sz="900" b="1">
              <a:latin typeface="+mn-lt"/>
            </a:endParaRPr>
          </a:p>
        </cdr:txBody>
      </cdr:sp>
      <cdr:sp macro="" textlink="Calculs!$Y$247">
        <cdr:nvSpPr>
          <cdr:cNvPr id="121" name="ZoneTexte 1"/>
          <cdr:cNvSpPr txBox="1"/>
        </cdr:nvSpPr>
        <cdr:spPr>
          <a:xfrm xmlns:a="http://schemas.openxmlformats.org/drawingml/2006/main">
            <a:off x="7982838" y="6310079"/>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04D4E8-CD17-4BE6-B6FC-5D7C465DE892}" type="TxLink">
              <a:rPr lang="fr-FR" sz="900" b="1" i="0" u="none" strike="noStrike">
                <a:solidFill>
                  <a:srgbClr val="000000"/>
                </a:solidFill>
                <a:latin typeface="+mn-lt"/>
                <a:cs typeface="Calibri"/>
              </a:rPr>
              <a:pPr algn="l"/>
              <a:t>ND</a:t>
            </a:fld>
            <a:endParaRPr lang="fr-FR" sz="900" b="1">
              <a:latin typeface="+mn-lt"/>
            </a:endParaRPr>
          </a:p>
        </cdr:txBody>
      </cdr:sp>
      <cdr:sp macro="" textlink="Calculs!$Y$208">
        <cdr:nvSpPr>
          <cdr:cNvPr id="130" name="ZoneTexte 1"/>
          <cdr:cNvSpPr txBox="1"/>
        </cdr:nvSpPr>
        <cdr:spPr>
          <a:xfrm xmlns:a="http://schemas.openxmlformats.org/drawingml/2006/main">
            <a:off x="7982838" y="141287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BA59C32-7A71-4462-ABDB-6FFA3DA8471F}" type="TxLink">
              <a:rPr lang="fr-FR" sz="900" b="1" i="0" u="none" strike="noStrike">
                <a:solidFill>
                  <a:srgbClr val="000000"/>
                </a:solidFill>
                <a:latin typeface="+mn-lt"/>
                <a:cs typeface="Calibri"/>
              </a:rPr>
              <a:pPr algn="l"/>
              <a:t>ND</a:t>
            </a:fld>
            <a:endParaRPr lang="fr-FR" sz="900" b="1">
              <a:latin typeface="+mn-lt"/>
            </a:endParaRPr>
          </a:p>
        </cdr:txBody>
      </cdr:sp>
      <cdr:sp macro="" textlink="Calculs!$Y$211">
        <cdr:nvSpPr>
          <cdr:cNvPr id="131" name="ZoneTexte 1"/>
          <cdr:cNvSpPr txBox="1"/>
        </cdr:nvSpPr>
        <cdr:spPr>
          <a:xfrm xmlns:a="http://schemas.openxmlformats.org/drawingml/2006/main">
            <a:off x="7982838" y="188679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6B5FDB7-C429-4321-A593-FAD7801DBB66}" type="TxLink">
              <a:rPr lang="fr-FR" sz="900" b="1" i="0" u="none" strike="noStrike">
                <a:solidFill>
                  <a:srgbClr val="000000"/>
                </a:solidFill>
                <a:latin typeface="+mn-lt"/>
                <a:cs typeface="Calibri"/>
              </a:rPr>
              <a:pPr algn="l"/>
              <a:t>ND</a:t>
            </a:fld>
            <a:endParaRPr lang="fr-FR" sz="900" b="1">
              <a:latin typeface="+mn-lt"/>
            </a:endParaRPr>
          </a:p>
        </cdr:txBody>
      </cdr:sp>
      <cdr:sp macro="" textlink="Calculs!$Y$244">
        <cdr:nvSpPr>
          <cdr:cNvPr id="134" name="ZoneTexte 1"/>
          <cdr:cNvSpPr txBox="1"/>
        </cdr:nvSpPr>
        <cdr:spPr>
          <a:xfrm xmlns:a="http://schemas.openxmlformats.org/drawingml/2006/main">
            <a:off x="7982838" y="599412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DCD7737-432E-4BC6-851E-3B618429F4A1}" type="TxLink">
              <a:rPr lang="fr-FR" sz="900" b="1" i="0" u="none" strike="noStrike">
                <a:solidFill>
                  <a:srgbClr val="000000"/>
                </a:solidFill>
                <a:latin typeface="+mn-lt"/>
                <a:cs typeface="Calibri"/>
              </a:rPr>
              <a:pPr algn="l"/>
              <a:t>ND</a:t>
            </a:fld>
            <a:endParaRPr lang="fr-FR" sz="900" b="1">
              <a:latin typeface="+mn-lt"/>
            </a:endParaRPr>
          </a:p>
        </cdr:txBody>
      </cdr:sp>
      <cdr:sp macro="" textlink="Calculs!$Y$241">
        <cdr:nvSpPr>
          <cdr:cNvPr id="135" name="ZoneTexte 1"/>
          <cdr:cNvSpPr txBox="1"/>
        </cdr:nvSpPr>
        <cdr:spPr>
          <a:xfrm xmlns:a="http://schemas.openxmlformats.org/drawingml/2006/main">
            <a:off x="7982838" y="583614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C3BAE3-2E1A-43E1-B7D1-4CF9310F4EFE}" type="TxLink">
              <a:rPr lang="fr-FR" sz="900" b="1" i="0" u="none" strike="noStrike">
                <a:solidFill>
                  <a:srgbClr val="000000"/>
                </a:solidFill>
                <a:latin typeface="+mn-lt"/>
                <a:cs typeface="Calibri"/>
              </a:rPr>
              <a:pPr algn="l"/>
              <a:t>ND</a:t>
            </a:fld>
            <a:endParaRPr lang="fr-FR" sz="900" b="1">
              <a:latin typeface="+mn-lt"/>
            </a:endParaRPr>
          </a:p>
        </cdr:txBody>
      </cdr:sp>
      <cdr:sp macro="" textlink="Calculs!$Y$240">
        <cdr:nvSpPr>
          <cdr:cNvPr id="149" name="ZoneTexte 1"/>
          <cdr:cNvSpPr txBox="1"/>
        </cdr:nvSpPr>
        <cdr:spPr>
          <a:xfrm xmlns:a="http://schemas.openxmlformats.org/drawingml/2006/main">
            <a:off x="7982838" y="536222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FB8D1356-83A2-4D29-8215-B87408BE60D1}" type="TxLink">
              <a:rPr lang="fr-FR" sz="900" b="1" i="0" u="none" strike="noStrike">
                <a:solidFill>
                  <a:srgbClr val="000000"/>
                </a:solidFill>
                <a:latin typeface="Calibri"/>
                <a:cs typeface="Calibri"/>
              </a:rPr>
              <a:pPr algn="l"/>
              <a:t>ND</a:t>
            </a:fld>
            <a:endParaRPr lang="fr-FR" sz="900" b="1">
              <a:latin typeface="Calibri"/>
            </a:endParaRPr>
          </a:p>
        </cdr:txBody>
      </cdr:sp>
      <cdr:sp macro="" textlink="Calculs!$Y$231">
        <cdr:nvSpPr>
          <cdr:cNvPr id="150" name="ZoneTexte 1"/>
          <cdr:cNvSpPr txBox="1"/>
        </cdr:nvSpPr>
        <cdr:spPr>
          <a:xfrm xmlns:a="http://schemas.openxmlformats.org/drawingml/2006/main">
            <a:off x="7982838" y="4256406"/>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04B679E-2F72-41A6-A757-0CDCCBE2D871}" type="TxLink">
              <a:rPr lang="fr-FR" sz="900" b="1" i="0" u="none" strike="noStrike">
                <a:solidFill>
                  <a:srgbClr val="000000"/>
                </a:solidFill>
                <a:latin typeface="+mn-lt"/>
                <a:cs typeface="Calibri"/>
              </a:rPr>
              <a:pPr algn="l"/>
              <a:t>ND</a:t>
            </a:fld>
            <a:endParaRPr lang="fr-FR" sz="900" b="1">
              <a:latin typeface="+mn-lt"/>
            </a:endParaRPr>
          </a:p>
        </cdr:txBody>
      </cdr:sp>
      <cdr:sp macro="" textlink="Calculs!$Y$212">
        <cdr:nvSpPr>
          <cdr:cNvPr id="151" name="ZoneTexte 1"/>
          <cdr:cNvSpPr txBox="1"/>
        </cdr:nvSpPr>
        <cdr:spPr>
          <a:xfrm xmlns:a="http://schemas.openxmlformats.org/drawingml/2006/main">
            <a:off x="7982838" y="2044770"/>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98979F3-9BA7-490F-883F-786F25D30BCA}" type="TxLink">
              <a:rPr lang="fr-FR" sz="900" b="1" i="0" u="none" strike="noStrike">
                <a:solidFill>
                  <a:srgbClr val="000000"/>
                </a:solidFill>
                <a:latin typeface="+mn-lt"/>
                <a:cs typeface="Calibri"/>
              </a:rPr>
              <a:pPr algn="l"/>
              <a:t>ND</a:t>
            </a:fld>
            <a:endParaRPr lang="fr-FR" sz="900" b="1">
              <a:latin typeface="+mn-lt"/>
            </a:endParaRPr>
          </a:p>
        </cdr:txBody>
      </cdr:sp>
    </cdr:grpSp>
  </cdr:relSizeAnchor>
  <cdr:relSizeAnchor xmlns:cdr="http://schemas.openxmlformats.org/drawingml/2006/chartDrawing">
    <cdr:from>
      <cdr:x>0.14747</cdr:x>
      <cdr:y>0.52124</cdr:y>
    </cdr:from>
    <cdr:to>
      <cdr:x>0.93185</cdr:x>
      <cdr:y>0.58297</cdr:y>
    </cdr:to>
    <cdr:sp macro="" textlink="">
      <cdr:nvSpPr>
        <cdr:cNvPr id="99" name="ZoneTexte 1"/>
        <cdr:cNvSpPr txBox="1"/>
      </cdr:nvSpPr>
      <cdr:spPr>
        <a:xfrm xmlns:a="http://schemas.openxmlformats.org/drawingml/2006/main" rot="19739527">
          <a:off x="1490382" y="3574676"/>
          <a:ext cx="7926916" cy="423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2800" b="1">
              <a:solidFill>
                <a:srgbClr val="FF0000"/>
              </a:solidFill>
            </a:rPr>
            <a:t>Feuille non mise à jour dans la version 7.1</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9</xdr:col>
      <xdr:colOff>19050</xdr:colOff>
      <xdr:row>0</xdr:row>
      <xdr:rowOff>0</xdr:rowOff>
    </xdr:from>
    <xdr:to>
      <xdr:col>10</xdr:col>
      <xdr:colOff>757237</xdr:colOff>
      <xdr:row>4</xdr:row>
      <xdr:rowOff>42070</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4725" y="0"/>
          <a:ext cx="1500187" cy="68024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133350</xdr:colOff>
      <xdr:row>0</xdr:row>
      <xdr:rowOff>0</xdr:rowOff>
    </xdr:from>
    <xdr:to>
      <xdr:col>11</xdr:col>
      <xdr:colOff>109537</xdr:colOff>
      <xdr:row>4</xdr:row>
      <xdr:rowOff>42070</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0" y="0"/>
          <a:ext cx="1500187" cy="68024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11</xdr:col>
      <xdr:colOff>59530</xdr:colOff>
      <xdr:row>0</xdr:row>
      <xdr:rowOff>0</xdr:rowOff>
    </xdr:from>
    <xdr:to>
      <xdr:col>13</xdr:col>
      <xdr:colOff>178592</xdr:colOff>
      <xdr:row>4</xdr:row>
      <xdr:rowOff>25401</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6093" y="0"/>
          <a:ext cx="1500187" cy="6802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10156031" cy="68818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14</xdr:col>
      <xdr:colOff>695325</xdr:colOff>
      <xdr:row>20</xdr:row>
      <xdr:rowOff>85725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81075" y="1085850"/>
          <a:ext cx="9667875" cy="2695575"/>
        </a:xfrm>
        <a:prstGeom prst="rect">
          <a:avLst/>
        </a:prstGeom>
        <a:noFill/>
      </xdr:spPr>
    </xdr:pic>
    <xdr:clientData/>
  </xdr:twoCellAnchor>
  <xdr:twoCellAnchor editAs="oneCell">
    <xdr:from>
      <xdr:col>1</xdr:col>
      <xdr:colOff>0</xdr:colOff>
      <xdr:row>6</xdr:row>
      <xdr:rowOff>0</xdr:rowOff>
    </xdr:from>
    <xdr:to>
      <xdr:col>14</xdr:col>
      <xdr:colOff>695325</xdr:colOff>
      <xdr:row>20</xdr:row>
      <xdr:rowOff>85725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76313" y="1095375"/>
          <a:ext cx="9648825" cy="2752725"/>
        </a:xfrm>
        <a:prstGeom prst="rect">
          <a:avLst/>
        </a:prstGeom>
        <a:noFill/>
      </xdr:spPr>
    </xdr:pic>
    <xdr:clientData/>
  </xdr:twoCellAnchor>
</xdr:wsDr>
</file>

<file path=xl/drawings/drawing6.xml><?xml version="1.0" encoding="utf-8"?>
<c:userShapes xmlns:c="http://schemas.openxmlformats.org/drawingml/2006/chart">
  <cdr:relSizeAnchor xmlns:cdr="http://schemas.openxmlformats.org/drawingml/2006/chartDrawing">
    <cdr:from>
      <cdr:x>0.01323</cdr:x>
      <cdr:y>0.07353</cdr:y>
    </cdr:from>
    <cdr:to>
      <cdr:x>0.24281</cdr:x>
      <cdr:y>0.11522</cdr:y>
    </cdr:to>
    <cdr:sp macro="" textlink="'TRAD-visualiz'!$B$4">
      <cdr:nvSpPr>
        <cdr:cNvPr id="7" name="ZoneTexte 6"/>
        <cdr:cNvSpPr txBox="1"/>
      </cdr:nvSpPr>
      <cdr:spPr>
        <a:xfrm xmlns:a="http://schemas.openxmlformats.org/drawingml/2006/main">
          <a:off x="134466" y="505917"/>
          <a:ext cx="2333391" cy="28684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F501DD47-EBA7-4763-9D6F-8E05540D65DC}" type="TxLink">
            <a:rPr lang="en-US" sz="1050" b="0" i="0" u="none" strike="noStrike">
              <a:solidFill>
                <a:srgbClr val="000000"/>
              </a:solidFill>
              <a:latin typeface="+mn-lt"/>
              <a:cs typeface="Calibri"/>
            </a:rPr>
            <a:pPr/>
            <a:t>Date de mise à jour des données </a:t>
          </a:fld>
          <a:endParaRPr lang="fr-FR" sz="1050" i="1">
            <a:latin typeface="+mn-lt"/>
          </a:endParaRPr>
        </a:p>
      </cdr:txBody>
    </cdr:sp>
  </cdr:relSizeAnchor>
  <cdr:relSizeAnchor xmlns:cdr="http://schemas.openxmlformats.org/drawingml/2006/chartDrawing">
    <cdr:from>
      <cdr:x>0.22702</cdr:x>
      <cdr:y>0.07844</cdr:y>
    </cdr:from>
    <cdr:to>
      <cdr:x>0.3718</cdr:x>
      <cdr:y>0.1184</cdr:y>
    </cdr:to>
    <cdr:sp macro="" textlink="'Saisie données stocks'!$D$102">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0.01323</cdr:x>
      <cdr:y>0.04197</cdr:y>
    </cdr:from>
    <cdr:to>
      <cdr:x>0.18964</cdr:x>
      <cdr:y>0.08361</cdr:y>
    </cdr:to>
    <cdr:sp macro="" textlink="'TRAD-visualiz'!$B$3">
      <cdr:nvSpPr>
        <cdr:cNvPr id="9" name="ZoneTexte 1"/>
        <cdr:cNvSpPr txBox="1"/>
      </cdr:nvSpPr>
      <cdr:spPr>
        <a:xfrm xmlns:a="http://schemas.openxmlformats.org/drawingml/2006/main">
          <a:off x="134466" y="288771"/>
          <a:ext cx="1792985" cy="286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D6C66CB-B24F-43F4-9BD6-980EECE94FA6}" type="TxLink">
            <a:rPr lang="en-US" sz="1050" b="0" i="0" u="none" strike="noStrike">
              <a:solidFill>
                <a:srgbClr val="000000"/>
              </a:solidFill>
              <a:latin typeface="+mn-lt"/>
              <a:cs typeface="Calibri"/>
            </a:rPr>
            <a:pPr/>
            <a:t>Pays et/ou structure </a:t>
          </a:fld>
          <a:endParaRPr lang="fr-FR" sz="1050" i="1">
            <a:latin typeface="+mn-lt"/>
          </a:endParaRPr>
        </a:p>
      </cdr:txBody>
    </cdr:sp>
  </cdr:relSizeAnchor>
  <cdr:relSizeAnchor xmlns:cdr="http://schemas.openxmlformats.org/drawingml/2006/chartDrawing">
    <cdr:from>
      <cdr:x>0.1659</cdr:x>
      <cdr:y>0.04438</cdr:y>
    </cdr:from>
    <cdr:to>
      <cdr:x>0.31068</cdr:x>
      <cdr:y>0.08687</cdr:y>
    </cdr:to>
    <cdr:sp macro="" textlink="Paramétrage!$D$11">
      <cdr:nvSpPr>
        <cdr:cNvPr id="10" name="ZoneTexte 1"/>
        <cdr:cNvSpPr txBox="1"/>
      </cdr:nvSpPr>
      <cdr:spPr>
        <a:xfrm xmlns:a="http://schemas.openxmlformats.org/drawingml/2006/main">
          <a:off x="1686128" y="305335"/>
          <a:ext cx="1471506"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050" b="1" i="1" u="none" strike="noStrike">
              <a:solidFill>
                <a:srgbClr val="000000"/>
              </a:solidFill>
              <a:latin typeface="+mn-lt"/>
              <a:cs typeface="Calibri"/>
            </a:rPr>
            <a:pPr/>
            <a:t>TEST</a:t>
          </a:fld>
          <a:endParaRPr lang="fr-FR" sz="1050" b="1" i="1">
            <a:latin typeface="+mn-lt"/>
          </a:endParaRPr>
        </a:p>
      </cdr:txBody>
    </cdr:sp>
  </cdr:relSizeAnchor>
  <cdr:relSizeAnchor xmlns:cdr="http://schemas.openxmlformats.org/drawingml/2006/chartDrawing">
    <cdr:from>
      <cdr:x>0.85824</cdr:x>
      <cdr:y>0.09151</cdr:y>
    </cdr:from>
    <cdr:to>
      <cdr:x>0.99684</cdr:x>
      <cdr:y>0.17157</cdr:y>
    </cdr:to>
    <cdr:sp macro="" textlink="'TRAD-visualiz'!$B$8">
      <cdr:nvSpPr>
        <cdr:cNvPr id="12" name="ZoneTexte 11"/>
        <cdr:cNvSpPr txBox="1"/>
      </cdr:nvSpPr>
      <cdr:spPr>
        <a:xfrm xmlns:a="http://schemas.openxmlformats.org/drawingml/2006/main">
          <a:off x="8673348" y="627546"/>
          <a:ext cx="1400695" cy="54905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F96B6CB3-9DFE-4204-9F5E-76AA46BCD733}" type="TxLink">
            <a:rPr lang="en-US" sz="1050" b="0" i="0" u="none" strike="noStrike">
              <a:solidFill>
                <a:srgbClr val="000000"/>
              </a:solidFill>
              <a:latin typeface="+mn-lt"/>
              <a:cs typeface="Calibri"/>
            </a:rPr>
            <a:pPr algn="ctr"/>
            <a:t>Nb de patients concernés / mois</a:t>
          </a:fld>
          <a:endParaRPr lang="fr-FR" sz="1050" b="1">
            <a:latin typeface="+mn-lt"/>
          </a:endParaRPr>
        </a:p>
      </cdr:txBody>
    </cdr:sp>
  </cdr:relSizeAnchor>
  <cdr:relSizeAnchor xmlns:cdr="http://schemas.openxmlformats.org/drawingml/2006/chartDrawing">
    <cdr:from>
      <cdr:x>0.22702</cdr:x>
      <cdr:y>0.07844</cdr:y>
    </cdr:from>
    <cdr:to>
      <cdr:x>0.3718</cdr:x>
      <cdr:y>0.1184</cdr:y>
    </cdr:to>
    <cdr:sp macro="" textlink="'Saisie données stocks'!$D$102">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050" b="1" i="1">
              <a:latin typeface="+mn-lt"/>
            </a:rPr>
            <a:pPr/>
            <a:t> </a:t>
          </a:fld>
          <a:endParaRPr lang="fr-FR" sz="1050" b="1" i="1">
            <a:latin typeface="+mn-lt"/>
          </a:endParaRPr>
        </a:p>
      </cdr:txBody>
    </cdr:sp>
  </cdr:relSizeAnchor>
  <cdr:relSizeAnchor xmlns:cdr="http://schemas.openxmlformats.org/drawingml/2006/chartDrawing">
    <cdr:from>
      <cdr:x>0.76066</cdr:x>
      <cdr:y>0.95261</cdr:y>
    </cdr:from>
    <cdr:to>
      <cdr:x>0.78616</cdr:x>
      <cdr:y>0.98529</cdr:y>
    </cdr:to>
    <cdr:sp macro="" textlink="'Saisie données stocks'!$D$92">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50">
              <a:latin typeface="+mn-lt"/>
            </a:rPr>
            <a:pPr/>
            <a:t> </a:t>
          </a:fld>
          <a:endParaRPr lang="fr-FR" sz="1050">
            <a:latin typeface="+mn-lt"/>
          </a:endParaRPr>
        </a:p>
      </cdr:txBody>
    </cdr:sp>
  </cdr:relSizeAnchor>
  <cdr:relSizeAnchor xmlns:cdr="http://schemas.openxmlformats.org/drawingml/2006/chartDrawing">
    <cdr:from>
      <cdr:x>0.344</cdr:x>
      <cdr:y>0.07244</cdr:y>
    </cdr:from>
    <cdr:to>
      <cdr:x>0.53361</cdr:x>
      <cdr:y>0.10384</cdr:y>
    </cdr:to>
    <cdr:sp macro="" textlink="'TRAD-visualiz'!$B$6">
      <cdr:nvSpPr>
        <cdr:cNvPr id="119" name="ZoneTexte 6"/>
        <cdr:cNvSpPr txBox="1"/>
      </cdr:nvSpPr>
      <cdr:spPr>
        <a:xfrm xmlns:a="http://schemas.openxmlformats.org/drawingml/2006/main">
          <a:off x="3496325" y="498417"/>
          <a:ext cx="1927146" cy="216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86E523F-82A3-4D0B-8C4E-BCBC7302E5A0}" type="TxLink">
            <a:rPr lang="en-US" sz="1050" b="0" i="0" u="none" strike="noStrike">
              <a:solidFill>
                <a:srgbClr val="000000"/>
              </a:solidFill>
              <a:latin typeface="+mn-lt"/>
              <a:cs typeface="Calibri"/>
            </a:rPr>
            <a:pPr/>
            <a:t>Nature des stocks considérés </a:t>
          </a:fld>
          <a:endParaRPr lang="fr-FR" sz="1050" i="1">
            <a:latin typeface="+mn-lt"/>
          </a:endParaRPr>
        </a:p>
      </cdr:txBody>
    </cdr:sp>
  </cdr:relSizeAnchor>
  <cdr:relSizeAnchor xmlns:cdr="http://schemas.openxmlformats.org/drawingml/2006/chartDrawing">
    <cdr:from>
      <cdr:x>0.19787</cdr:x>
      <cdr:y>0.07353</cdr:y>
    </cdr:from>
    <cdr:to>
      <cdr:x>0.34265</cdr:x>
      <cdr:y>0.11602</cdr:y>
    </cdr:to>
    <cdr:sp macro="" textlink="Paramétrage!$H$19">
      <cdr:nvSpPr>
        <cdr:cNvPr id="122" name="ZoneTexte 1"/>
        <cdr:cNvSpPr txBox="1"/>
      </cdr:nvSpPr>
      <cdr:spPr>
        <a:xfrm xmlns:a="http://schemas.openxmlformats.org/drawingml/2006/main">
          <a:off x="2011103" y="505917"/>
          <a:ext cx="1471505" cy="2923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050" b="1" i="1" u="none" strike="noStrike">
              <a:solidFill>
                <a:srgbClr val="000000"/>
              </a:solidFill>
              <a:latin typeface="+mn-lt"/>
            </a:rPr>
            <a:pPr/>
            <a:t>07/10/2014</a:t>
          </a:fld>
          <a:endParaRPr lang="fr-FR" sz="1050" b="1" i="1">
            <a:latin typeface="+mn-lt"/>
          </a:endParaRPr>
        </a:p>
      </cdr:txBody>
    </cdr:sp>
  </cdr:relSizeAnchor>
  <cdr:relSizeAnchor xmlns:cdr="http://schemas.openxmlformats.org/drawingml/2006/chartDrawing">
    <cdr:from>
      <cdr:x>0.55534</cdr:x>
      <cdr:y>0.07244</cdr:y>
    </cdr:from>
    <cdr:to>
      <cdr:x>0.8769</cdr:x>
      <cdr:y>0.10384</cdr:y>
    </cdr:to>
    <cdr:sp macro="" textlink="'Calculs dispo Données FA'!$F$122">
      <cdr:nvSpPr>
        <cdr:cNvPr id="123" name="ZoneTexte 1"/>
        <cdr:cNvSpPr txBox="1"/>
      </cdr:nvSpPr>
      <cdr:spPr>
        <a:xfrm xmlns:a="http://schemas.openxmlformats.org/drawingml/2006/main">
          <a:off x="5644329" y="498417"/>
          <a:ext cx="3268250" cy="216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1F67E7D-304B-4BBF-8F8E-0F2ABA6D85A1}" type="TxLink">
            <a:rPr lang="fr-FR" sz="1050" b="1" i="1" u="none" strike="noStrike">
              <a:solidFill>
                <a:srgbClr val="C00000"/>
              </a:solidFill>
              <a:latin typeface="+mn-lt"/>
            </a:rPr>
            <a:pPr/>
            <a:t>Stocks centraux</a:t>
          </a:fld>
          <a:endParaRPr lang="fr-FR" sz="1050" b="1" i="1">
            <a:solidFill>
              <a:srgbClr val="C00000"/>
            </a:solidFill>
            <a:latin typeface="+mn-lt"/>
          </a:endParaRPr>
        </a:p>
      </cdr:txBody>
    </cdr:sp>
  </cdr:relSizeAnchor>
  <cdr:relSizeAnchor xmlns:cdr="http://schemas.openxmlformats.org/drawingml/2006/chartDrawing">
    <cdr:from>
      <cdr:x>0.83052</cdr:x>
      <cdr:y>0.94771</cdr:y>
    </cdr:from>
    <cdr:to>
      <cdr:x>0.90481</cdr:x>
      <cdr:y>0.98203</cdr:y>
    </cdr:to>
    <cdr:sp macro="" textlink="Calculs!$D$483">
      <cdr:nvSpPr>
        <cdr:cNvPr id="100" name="ZoneTexte 99"/>
        <cdr:cNvSpPr txBox="1"/>
      </cdr:nvSpPr>
      <cdr:spPr>
        <a:xfrm xmlns:a="http://schemas.openxmlformats.org/drawingml/2006/main">
          <a:off x="8441185" y="6520635"/>
          <a:ext cx="755064" cy="236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87704AC-6F74-48FE-B04C-054A59805648}" type="TxLink">
            <a:rPr lang="fr-FR" sz="1050" b="1" i="1">
              <a:latin typeface="+mn-lt"/>
            </a:rPr>
            <a:pPr/>
            <a:t> </a:t>
          </a:fld>
          <a:endParaRPr lang="fr-FR" sz="1050" b="1" i="1">
            <a:latin typeface="+mn-lt"/>
          </a:endParaRPr>
        </a:p>
      </cdr:txBody>
    </cdr:sp>
  </cdr:relSizeAnchor>
  <cdr:relSizeAnchor xmlns:cdr="http://schemas.openxmlformats.org/drawingml/2006/chartDrawing">
    <cdr:from>
      <cdr:x>0.344</cdr:x>
      <cdr:y>0.04033</cdr:y>
    </cdr:from>
    <cdr:to>
      <cdr:x>0.58407</cdr:x>
      <cdr:y>0.07172</cdr:y>
    </cdr:to>
    <cdr:sp macro="" textlink="'TRAD-visualiz'!$B$5">
      <cdr:nvSpPr>
        <cdr:cNvPr id="101" name="ZoneTexte 6"/>
        <cdr:cNvSpPr txBox="1"/>
      </cdr:nvSpPr>
      <cdr:spPr>
        <a:xfrm xmlns:a="http://schemas.openxmlformats.org/drawingml/2006/main">
          <a:off x="3496360" y="277478"/>
          <a:ext cx="2440008" cy="216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8B1CF0D4-8581-44F3-8ED7-361F3C98F46A}" type="TxLink">
            <a:rPr lang="en-US" sz="1050" b="0" i="0" u="none" strike="noStrike">
              <a:solidFill>
                <a:srgbClr val="000000"/>
              </a:solidFill>
              <a:latin typeface="+mn-lt"/>
              <a:cs typeface="Calibri"/>
            </a:rPr>
            <a:pPr/>
            <a:t>Méthode / type de données utilisées </a:t>
          </a:fld>
          <a:endParaRPr lang="fr-FR" sz="1050" i="1">
            <a:latin typeface="+mn-lt"/>
          </a:endParaRPr>
        </a:p>
      </cdr:txBody>
    </cdr:sp>
  </cdr:relSizeAnchor>
  <cdr:relSizeAnchor xmlns:cdr="http://schemas.openxmlformats.org/drawingml/2006/chartDrawing">
    <cdr:from>
      <cdr:x>0.55534</cdr:x>
      <cdr:y>0.04033</cdr:y>
    </cdr:from>
    <cdr:to>
      <cdr:x>0.75698</cdr:x>
      <cdr:y>0.07172</cdr:y>
    </cdr:to>
    <cdr:sp macro="" textlink="Calculs!$C$487">
      <cdr:nvSpPr>
        <cdr:cNvPr id="102" name="ZoneTexte 1"/>
        <cdr:cNvSpPr txBox="1"/>
      </cdr:nvSpPr>
      <cdr:spPr>
        <a:xfrm xmlns:a="http://schemas.openxmlformats.org/drawingml/2006/main">
          <a:off x="5644329" y="277487"/>
          <a:ext cx="2049415" cy="215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4CC3C31-D4B6-48F7-8C27-E05024BF02C9}" type="TxLink">
            <a:rPr lang="fr-FR" sz="1050" b="1" i="1" u="none" strike="noStrike">
              <a:solidFill>
                <a:srgbClr val="C00000"/>
              </a:solidFill>
              <a:latin typeface="+mn-lt"/>
            </a:rPr>
            <a:pPr/>
            <a:t>Données suivi de file active</a:t>
          </a:fld>
          <a:endParaRPr lang="fr-FR" sz="1050" b="1" i="1">
            <a:solidFill>
              <a:srgbClr val="C00000"/>
            </a:solidFill>
            <a:latin typeface="+mn-lt"/>
          </a:endParaRPr>
        </a:p>
      </cdr:txBody>
    </cdr:sp>
  </cdr:relSizeAnchor>
  <cdr:relSizeAnchor xmlns:cdr="http://schemas.openxmlformats.org/drawingml/2006/chartDrawing">
    <cdr:from>
      <cdr:x>0.60764</cdr:x>
      <cdr:y>0.97876</cdr:y>
    </cdr:from>
    <cdr:to>
      <cdr:x>0.61984</cdr:x>
      <cdr:y>0.99183</cdr:y>
    </cdr:to>
    <cdr:sp macro="" textlink="">
      <cdr:nvSpPr>
        <cdr:cNvPr id="103" name="Rectangle 102"/>
        <cdr:cNvSpPr/>
      </cdr:nvSpPr>
      <cdr:spPr>
        <a:xfrm xmlns:a="http://schemas.openxmlformats.org/drawingml/2006/main">
          <a:off x="6140823" y="6712324"/>
          <a:ext cx="123265" cy="89647"/>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sz="1050">
            <a:latin typeface="+mn-lt"/>
          </a:endParaRPr>
        </a:p>
      </cdr:txBody>
    </cdr:sp>
  </cdr:relSizeAnchor>
  <cdr:relSizeAnchor xmlns:cdr="http://schemas.openxmlformats.org/drawingml/2006/chartDrawing">
    <cdr:from>
      <cdr:x>0.62205</cdr:x>
      <cdr:y>0.96732</cdr:y>
    </cdr:from>
    <cdr:to>
      <cdr:x>0.89688</cdr:x>
      <cdr:y>1</cdr:y>
    </cdr:to>
    <cdr:sp macro="" textlink="'TRAD-visualiz'!$B$10">
      <cdr:nvSpPr>
        <cdr:cNvPr id="104" name="ZoneTexte 2"/>
        <cdr:cNvSpPr txBox="1"/>
      </cdr:nvSpPr>
      <cdr:spPr>
        <a:xfrm xmlns:a="http://schemas.openxmlformats.org/drawingml/2006/main">
          <a:off x="6286501" y="6667499"/>
          <a:ext cx="2777378" cy="224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7F9E4DC-EF46-4157-B13A-471026C5B3CD}" type="TxLink">
            <a:rPr lang="en-US" sz="1000" b="0" i="0" u="none" strike="noStrike">
              <a:solidFill>
                <a:srgbClr val="000000"/>
              </a:solidFill>
              <a:latin typeface="+mn-lt"/>
              <a:cs typeface="Calibri"/>
            </a:rPr>
            <a:pPr/>
            <a:t>Période pendant laquelle le ST a été utilisé </a:t>
          </a:fld>
          <a:endParaRPr lang="fr-FR" sz="1000">
            <a:latin typeface="+mn-lt"/>
          </a:endParaRPr>
        </a:p>
      </cdr:txBody>
    </cdr:sp>
  </cdr:relSizeAnchor>
  <cdr:relSizeAnchor xmlns:cdr="http://schemas.openxmlformats.org/drawingml/2006/chartDrawing">
    <cdr:from>
      <cdr:x>0.88945</cdr:x>
      <cdr:y>0.19223</cdr:y>
    </cdr:from>
    <cdr:to>
      <cdr:x>0.95357</cdr:x>
      <cdr:y>0.9253</cdr:y>
    </cdr:to>
    <cdr:grpSp>
      <cdr:nvGrpSpPr>
        <cdr:cNvPr id="107" name="Groupe 106"/>
        <cdr:cNvGrpSpPr/>
      </cdr:nvGrpSpPr>
      <cdr:grpSpPr>
        <a:xfrm xmlns:a="http://schemas.openxmlformats.org/drawingml/2006/main">
          <a:off x="9033282" y="1322891"/>
          <a:ext cx="651204" cy="5044850"/>
          <a:chOff x="8887986" y="1318326"/>
          <a:chExt cx="647998" cy="5027397"/>
        </a:xfrm>
      </cdr:grpSpPr>
      <cdr:sp macro="" textlink="Calculs!$R$166">
        <cdr:nvSpPr>
          <cdr:cNvPr id="13" name="ZoneTexte 1"/>
          <cdr:cNvSpPr txBox="1"/>
        </cdr:nvSpPr>
        <cdr:spPr>
          <a:xfrm xmlns:a="http://schemas.openxmlformats.org/drawingml/2006/main">
            <a:off x="8887986" y="5849567"/>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493FF691-13F8-4139-91D5-DF170C64727E}" type="TxLink">
              <a:rPr lang="en-US" sz="1050" b="1" i="0" u="none" strike="noStrike">
                <a:solidFill>
                  <a:srgbClr val="000000"/>
                </a:solidFill>
                <a:latin typeface="+mn-lt"/>
                <a:cs typeface="Calibri"/>
              </a:rPr>
              <a:pPr algn="l"/>
              <a:t>0</a:t>
            </a:fld>
            <a:endParaRPr lang="fr-FR" sz="1050" b="1">
              <a:latin typeface="+mn-lt"/>
            </a:endParaRPr>
          </a:p>
        </cdr:txBody>
      </cdr:sp>
      <cdr:sp macro="" textlink="Calculs!$R$165">
        <cdr:nvSpPr>
          <cdr:cNvPr id="14" name="ZoneTexte 1"/>
          <cdr:cNvSpPr txBox="1"/>
        </cdr:nvSpPr>
        <cdr:spPr>
          <a:xfrm xmlns:a="http://schemas.openxmlformats.org/drawingml/2006/main">
            <a:off x="8887986" y="550101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9E80D7F-91B3-4A8C-ABD7-ABCF9EAE98DA}" type="TxLink">
              <a:rPr lang="en-US" sz="1050" b="1" i="0" u="none" strike="noStrike">
                <a:solidFill>
                  <a:srgbClr val="000000"/>
                </a:solidFill>
                <a:latin typeface="+mn-lt"/>
                <a:cs typeface="Calibri"/>
              </a:rPr>
              <a:pPr algn="l"/>
              <a:t>0</a:t>
            </a:fld>
            <a:endParaRPr lang="fr-FR" sz="1050" b="1">
              <a:latin typeface="+mn-lt"/>
            </a:endParaRPr>
          </a:p>
        </cdr:txBody>
      </cdr:sp>
      <cdr:sp macro="" textlink="Calculs!$R$164">
        <cdr:nvSpPr>
          <cdr:cNvPr id="15" name="ZoneTexte 1"/>
          <cdr:cNvSpPr txBox="1"/>
        </cdr:nvSpPr>
        <cdr:spPr>
          <a:xfrm xmlns:a="http://schemas.openxmlformats.org/drawingml/2006/main">
            <a:off x="8887986" y="5152453"/>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ABFA3A3-C7FE-4169-940A-0AD15D169BA2}" type="TxLink">
              <a:rPr lang="en-US" sz="1050" b="1" i="0" u="none" strike="noStrike">
                <a:solidFill>
                  <a:srgbClr val="000000"/>
                </a:solidFill>
                <a:latin typeface="+mn-lt"/>
                <a:cs typeface="Calibri"/>
              </a:rPr>
              <a:pPr algn="l"/>
              <a:t>0</a:t>
            </a:fld>
            <a:endParaRPr lang="fr-FR" sz="1050" b="1">
              <a:latin typeface="+mn-lt"/>
            </a:endParaRPr>
          </a:p>
        </cdr:txBody>
      </cdr:sp>
      <cdr:sp macro="" textlink="Calculs!$R$163">
        <cdr:nvSpPr>
          <cdr:cNvPr id="16" name="ZoneTexte 1"/>
          <cdr:cNvSpPr txBox="1"/>
        </cdr:nvSpPr>
        <cdr:spPr>
          <a:xfrm xmlns:a="http://schemas.openxmlformats.org/drawingml/2006/main">
            <a:off x="8887986" y="480389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A8AF9F6-C881-45C7-9902-8E866375182D}" type="TxLink">
              <a:rPr lang="en-US" sz="1050" b="1" i="0" u="none" strike="noStrike">
                <a:solidFill>
                  <a:srgbClr val="000000"/>
                </a:solidFill>
                <a:latin typeface="+mn-lt"/>
                <a:cs typeface="Calibri"/>
              </a:rPr>
              <a:pPr algn="l"/>
              <a:t>0</a:t>
            </a:fld>
            <a:endParaRPr lang="fr-FR" sz="1050" b="1">
              <a:latin typeface="+mn-lt"/>
            </a:endParaRPr>
          </a:p>
        </cdr:txBody>
      </cdr:sp>
      <cdr:sp macro="" textlink="Calculs!$R$167">
        <cdr:nvSpPr>
          <cdr:cNvPr id="24" name="ZoneTexte 1"/>
          <cdr:cNvSpPr txBox="1"/>
        </cdr:nvSpPr>
        <cdr:spPr>
          <a:xfrm xmlns:a="http://schemas.openxmlformats.org/drawingml/2006/main">
            <a:off x="8887986" y="619812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A1D076B-D3F3-4EFE-A6FE-AC4D7979BC95}" type="TxLink">
              <a:rPr lang="en-US" sz="1050" b="1" i="0" u="none" strike="noStrike">
                <a:solidFill>
                  <a:srgbClr val="000000"/>
                </a:solidFill>
                <a:latin typeface="+mn-lt"/>
                <a:cs typeface="Calibri"/>
              </a:rPr>
              <a:pPr algn="l"/>
              <a:t>0</a:t>
            </a:fld>
            <a:endParaRPr lang="fr-FR" sz="1050" b="1">
              <a:latin typeface="+mn-lt"/>
            </a:endParaRPr>
          </a:p>
        </cdr:txBody>
      </cdr:sp>
      <cdr:sp macro="" textlink="Calculs!$R$159">
        <cdr:nvSpPr>
          <cdr:cNvPr id="25" name="ZoneTexte 1"/>
          <cdr:cNvSpPr txBox="1"/>
        </cdr:nvSpPr>
        <cdr:spPr>
          <a:xfrm xmlns:a="http://schemas.openxmlformats.org/drawingml/2006/main">
            <a:off x="8887986" y="3409668"/>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4CEEE92-BBF5-4A01-9B1C-27EC7B44A355}" type="TxLink">
              <a:rPr lang="en-US" sz="1050" b="1" i="0" u="none" strike="noStrike">
                <a:solidFill>
                  <a:srgbClr val="000000"/>
                </a:solidFill>
                <a:latin typeface="+mn-lt"/>
                <a:cs typeface="Calibri"/>
              </a:rPr>
              <a:pPr algn="l"/>
              <a:t>0</a:t>
            </a:fld>
            <a:endParaRPr lang="fr-FR" sz="1050" b="1">
              <a:latin typeface="+mn-lt"/>
            </a:endParaRPr>
          </a:p>
        </cdr:txBody>
      </cdr:sp>
      <cdr:sp macro="" textlink="Calculs!$R$153">
        <cdr:nvSpPr>
          <cdr:cNvPr id="11" name="ZoneTexte 10"/>
          <cdr:cNvSpPr txBox="1"/>
        </cdr:nvSpPr>
        <cdr:spPr>
          <a:xfrm xmlns:a="http://schemas.openxmlformats.org/drawingml/2006/main">
            <a:off x="8887986" y="1318326"/>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p xmlns:a="http://schemas.openxmlformats.org/drawingml/2006/main">
            <a:pPr marL="0" indent="0" algn="l"/>
            <a:fld id="{D44EEE5F-D703-4CE5-B31F-6F2DB1E50BE5}" type="TxLink">
              <a:rPr lang="en-US" sz="1050" b="1" i="0" u="none" strike="noStrike">
                <a:solidFill>
                  <a:srgbClr val="000000"/>
                </a:solidFill>
                <a:latin typeface="+mn-lt"/>
                <a:ea typeface="+mn-ea"/>
                <a:cs typeface="Calibri"/>
              </a:rPr>
              <a:pPr marL="0" indent="0" algn="l"/>
              <a:t>0</a:t>
            </a:fld>
            <a:endParaRPr lang="fr-FR" sz="1050" b="1">
              <a:latin typeface="+mn-lt"/>
              <a:ea typeface="+mn-ea"/>
              <a:cs typeface="+mn-cs"/>
            </a:endParaRPr>
          </a:p>
        </cdr:txBody>
      </cdr:sp>
      <cdr:sp macro="" textlink="Calculs!$R$158">
        <cdr:nvSpPr>
          <cdr:cNvPr id="17" name="ZoneTexte 1"/>
          <cdr:cNvSpPr txBox="1"/>
        </cdr:nvSpPr>
        <cdr:spPr>
          <a:xfrm xmlns:a="http://schemas.openxmlformats.org/drawingml/2006/main">
            <a:off x="8887986" y="3061111"/>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8C199C-3945-4F36-BEED-EA9CE708EFE7}" type="TxLink">
              <a:rPr lang="en-US" sz="1050" b="1" i="0" u="none" strike="noStrike">
                <a:solidFill>
                  <a:srgbClr val="000000"/>
                </a:solidFill>
                <a:latin typeface="+mn-lt"/>
                <a:cs typeface="Calibri"/>
              </a:rPr>
              <a:pPr algn="l"/>
              <a:t>0</a:t>
            </a:fld>
            <a:endParaRPr lang="fr-FR" sz="1050" b="1">
              <a:latin typeface="+mn-lt"/>
            </a:endParaRPr>
          </a:p>
        </cdr:txBody>
      </cdr:sp>
      <cdr:sp macro="" textlink="Calculs!$R$156">
        <cdr:nvSpPr>
          <cdr:cNvPr id="18" name="ZoneTexte 1"/>
          <cdr:cNvSpPr txBox="1"/>
        </cdr:nvSpPr>
        <cdr:spPr>
          <a:xfrm xmlns:a="http://schemas.openxmlformats.org/drawingml/2006/main">
            <a:off x="8887986" y="2363997"/>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FDC21F8-BD6B-4375-A7C1-BA1C29DB7B29}" type="TxLink">
              <a:rPr lang="en-US" sz="1050" b="1" i="0" u="none" strike="noStrike">
                <a:solidFill>
                  <a:srgbClr val="000000"/>
                </a:solidFill>
                <a:latin typeface="+mn-lt"/>
                <a:cs typeface="Calibri"/>
              </a:rPr>
              <a:pPr algn="l"/>
              <a:t>0</a:t>
            </a:fld>
            <a:endParaRPr lang="fr-FR" sz="1050" b="1">
              <a:latin typeface="+mn-lt"/>
            </a:endParaRPr>
          </a:p>
        </cdr:txBody>
      </cdr:sp>
      <cdr:sp macro="" textlink="Calculs!$R$155">
        <cdr:nvSpPr>
          <cdr:cNvPr id="19" name="ZoneTexte 1"/>
          <cdr:cNvSpPr txBox="1"/>
        </cdr:nvSpPr>
        <cdr:spPr>
          <a:xfrm xmlns:a="http://schemas.openxmlformats.org/drawingml/2006/main">
            <a:off x="8887986" y="2015440"/>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A0D7276-FBA5-4470-BAA1-F96B75852BD4}" type="TxLink">
              <a:rPr lang="en-US" sz="1050" b="1" i="0" u="none" strike="noStrike">
                <a:solidFill>
                  <a:srgbClr val="000000"/>
                </a:solidFill>
                <a:latin typeface="+mn-lt"/>
                <a:cs typeface="Calibri"/>
              </a:rPr>
              <a:pPr algn="l"/>
              <a:t>0</a:t>
            </a:fld>
            <a:endParaRPr lang="fr-FR" sz="1050" b="1">
              <a:latin typeface="+mn-lt"/>
            </a:endParaRPr>
          </a:p>
        </cdr:txBody>
      </cdr:sp>
      <cdr:sp macro="" textlink="Calculs!$R$154">
        <cdr:nvSpPr>
          <cdr:cNvPr id="125" name="ZoneTexte 1"/>
          <cdr:cNvSpPr txBox="1"/>
        </cdr:nvSpPr>
        <cdr:spPr>
          <a:xfrm xmlns:a="http://schemas.openxmlformats.org/drawingml/2006/main">
            <a:off x="8887986" y="1666883"/>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8418B06-4DB8-43B8-AC76-895CFE8A4174}" type="TxLink">
              <a:rPr lang="en-US" sz="1050" b="1" i="0" u="none" strike="noStrike">
                <a:solidFill>
                  <a:srgbClr val="000000"/>
                </a:solidFill>
                <a:latin typeface="+mn-lt"/>
                <a:cs typeface="Calibri"/>
              </a:rPr>
              <a:pPr algn="l"/>
              <a:t>0</a:t>
            </a:fld>
            <a:endParaRPr lang="fr-FR" sz="1050" b="1">
              <a:latin typeface="+mn-lt"/>
            </a:endParaRPr>
          </a:p>
        </cdr:txBody>
      </cdr:sp>
      <cdr:sp macro="" textlink="Calculs!$R$157">
        <cdr:nvSpPr>
          <cdr:cNvPr id="126" name="ZoneTexte 1"/>
          <cdr:cNvSpPr txBox="1"/>
        </cdr:nvSpPr>
        <cdr:spPr>
          <a:xfrm xmlns:a="http://schemas.openxmlformats.org/drawingml/2006/main">
            <a:off x="8887986" y="2712554"/>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234790F2-C10E-4E46-B35B-00E17DC309B2}" type="TxLink">
              <a:rPr lang="en-US" sz="1050" b="1" i="0" u="none" strike="noStrike">
                <a:solidFill>
                  <a:srgbClr val="000000"/>
                </a:solidFill>
                <a:latin typeface="+mn-lt"/>
                <a:cs typeface="Calibri"/>
              </a:rPr>
              <a:pPr algn="l"/>
              <a:t>0</a:t>
            </a:fld>
            <a:endParaRPr lang="fr-FR" sz="1050" b="1">
              <a:latin typeface="+mn-lt"/>
            </a:endParaRPr>
          </a:p>
        </cdr:txBody>
      </cdr:sp>
      <cdr:sp macro="" textlink="Calculs!$R$160">
        <cdr:nvSpPr>
          <cdr:cNvPr id="110" name="ZoneTexte 1"/>
          <cdr:cNvSpPr txBox="1"/>
        </cdr:nvSpPr>
        <cdr:spPr>
          <a:xfrm xmlns:a="http://schemas.openxmlformats.org/drawingml/2006/main">
            <a:off x="8887986" y="3758225"/>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FE11FA01-B714-4D61-B1EF-E33CA2D6419F}" type="TxLink">
              <a:rPr lang="en-US" sz="1050" b="1" i="0" u="none" strike="noStrike">
                <a:solidFill>
                  <a:srgbClr val="000000"/>
                </a:solidFill>
                <a:latin typeface="+mn-lt"/>
                <a:cs typeface="Calibri"/>
              </a:rPr>
              <a:pPr marL="0" indent="0" algn="l"/>
              <a:t>0</a:t>
            </a:fld>
            <a:endParaRPr lang="fr-FR" sz="1050" b="1">
              <a:latin typeface="+mn-lt"/>
            </a:endParaRPr>
          </a:p>
        </cdr:txBody>
      </cdr:sp>
      <cdr:sp macro="" textlink="Calculs!$R$161">
        <cdr:nvSpPr>
          <cdr:cNvPr id="99" name="ZoneTexte 1"/>
          <cdr:cNvSpPr txBox="1"/>
        </cdr:nvSpPr>
        <cdr:spPr>
          <a:xfrm xmlns:a="http://schemas.openxmlformats.org/drawingml/2006/main">
            <a:off x="8887986" y="4106782"/>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indent="0" algn="l"/>
            <a:fld id="{7571C256-F9F6-4595-BB0F-C93CF2DBC3D9}" type="TxLink">
              <a:rPr lang="en-US" sz="1050" b="1" i="0" u="none" strike="noStrike">
                <a:solidFill>
                  <a:srgbClr val="000000"/>
                </a:solidFill>
                <a:latin typeface="+mn-lt"/>
                <a:cs typeface="Calibri"/>
              </a:rPr>
              <a:pPr marL="0" indent="0" algn="l"/>
              <a:t>0</a:t>
            </a:fld>
            <a:endParaRPr lang="fr-FR" sz="1050" b="1">
              <a:latin typeface="+mn-lt"/>
            </a:endParaRPr>
          </a:p>
        </cdr:txBody>
      </cdr:sp>
      <cdr:sp macro="" textlink="Calculs!$R$162">
        <cdr:nvSpPr>
          <cdr:cNvPr id="105" name="ZoneTexte 1"/>
          <cdr:cNvSpPr txBox="1"/>
        </cdr:nvSpPr>
        <cdr:spPr>
          <a:xfrm xmlns:a="http://schemas.openxmlformats.org/drawingml/2006/main">
            <a:off x="8887986" y="4455339"/>
            <a:ext cx="647998" cy="147601"/>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0F61399F-11A7-4EBF-B326-153B5A711141}" type="TxLink">
              <a:rPr lang="en-US" sz="1050" b="1" i="0" u="none" strike="noStrike">
                <a:solidFill>
                  <a:srgbClr val="000000"/>
                </a:solidFill>
                <a:latin typeface="+mn-lt"/>
                <a:cs typeface="Calibri"/>
              </a:rPr>
              <a:pPr marL="0" indent="0" algn="l"/>
              <a:t>0</a:t>
            </a:fld>
            <a:endParaRPr lang="fr-FR" sz="1050" b="1">
              <a:latin typeface="+mn-lt"/>
            </a:endParaRPr>
          </a:p>
        </cdr:txBody>
      </cdr:sp>
    </cdr:grpSp>
  </cdr:relSizeAnchor>
  <cdr:relSizeAnchor xmlns:cdr="http://schemas.openxmlformats.org/drawingml/2006/chartDrawing">
    <cdr:from>
      <cdr:x>0.94805</cdr:x>
      <cdr:y>0.19016</cdr:y>
    </cdr:from>
    <cdr:to>
      <cdr:x>1</cdr:x>
      <cdr:y>0.92468</cdr:y>
    </cdr:to>
    <cdr:grpSp>
      <cdr:nvGrpSpPr>
        <cdr:cNvPr id="108" name="Groupe 107"/>
        <cdr:cNvGrpSpPr/>
      </cdr:nvGrpSpPr>
      <cdr:grpSpPr>
        <a:xfrm xmlns:a="http://schemas.openxmlformats.org/drawingml/2006/main">
          <a:off x="9628425" y="1308645"/>
          <a:ext cx="527606" cy="5054829"/>
          <a:chOff x="8882400" y="1292898"/>
          <a:chExt cx="540066" cy="5037323"/>
        </a:xfrm>
      </cdr:grpSpPr>
      <cdr:sp macro="" textlink="Calculs!$R$207">
        <cdr:nvSpPr>
          <cdr:cNvPr id="74" name="ZoneTexte 73"/>
          <cdr:cNvSpPr txBox="1"/>
        </cdr:nvSpPr>
        <cdr:spPr>
          <a:xfrm xmlns:a="http://schemas.openxmlformats.org/drawingml/2006/main">
            <a:off x="8882400" y="129289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p xmlns:a="http://schemas.openxmlformats.org/drawingml/2006/main">
            <a:pPr algn="l"/>
            <a:fld id="{0AA1281B-D347-42D4-9862-DA851F8D22C7}"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4">
        <cdr:nvSpPr>
          <cdr:cNvPr id="79" name="ZoneTexte 1"/>
          <cdr:cNvSpPr txBox="1"/>
        </cdr:nvSpPr>
        <cdr:spPr>
          <a:xfrm xmlns:a="http://schemas.openxmlformats.org/drawingml/2006/main">
            <a:off x="8882400" y="373776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038BF8D-8087-4728-80D0-6A46E987E482}"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0">
        <cdr:nvSpPr>
          <cdr:cNvPr id="80" name="ZoneTexte 1"/>
          <cdr:cNvSpPr txBox="1"/>
        </cdr:nvSpPr>
        <cdr:spPr>
          <a:xfrm xmlns:a="http://schemas.openxmlformats.org/drawingml/2006/main">
            <a:off x="8882400" y="234069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EC97D7C-4273-44C5-9B3B-608853A79AED}" type="TxLink">
              <a:rPr lang="en-US" sz="1050" b="1" i="0" u="none" strike="noStrike">
                <a:solidFill>
                  <a:srgbClr val="000000"/>
                </a:solidFill>
                <a:latin typeface="+mn-lt"/>
                <a:cs typeface="Calibri"/>
              </a:rPr>
              <a:pPr algn="l"/>
              <a:t>0</a:t>
            </a:fld>
            <a:endParaRPr lang="fr-FR" sz="1050" b="1">
              <a:latin typeface="+mn-lt"/>
            </a:endParaRPr>
          </a:p>
        </cdr:txBody>
      </cdr:sp>
      <cdr:sp macro="" textlink="Calculs!$R$209">
        <cdr:nvSpPr>
          <cdr:cNvPr id="81" name="ZoneTexte 1"/>
          <cdr:cNvSpPr txBox="1"/>
        </cdr:nvSpPr>
        <cdr:spPr>
          <a:xfrm xmlns:a="http://schemas.openxmlformats.org/drawingml/2006/main">
            <a:off x="8882400" y="199143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459A68A-3B0A-41AC-B7C5-E3A8830C4CB1}" type="TxLink">
              <a:rPr lang="en-US" sz="1050" b="1" i="0" u="none" strike="noStrike">
                <a:solidFill>
                  <a:srgbClr val="000000"/>
                </a:solidFill>
                <a:latin typeface="+mn-lt"/>
                <a:cs typeface="Calibri"/>
              </a:rPr>
              <a:pPr algn="l"/>
              <a:t>0</a:t>
            </a:fld>
            <a:endParaRPr lang="fr-FR" sz="1050" b="1">
              <a:latin typeface="+mn-lt"/>
            </a:endParaRPr>
          </a:p>
        </cdr:txBody>
      </cdr:sp>
      <cdr:sp macro="" textlink="Calculs!$R$208">
        <cdr:nvSpPr>
          <cdr:cNvPr id="130" name="ZoneTexte 1"/>
          <cdr:cNvSpPr txBox="1"/>
        </cdr:nvSpPr>
        <cdr:spPr>
          <a:xfrm xmlns:a="http://schemas.openxmlformats.org/drawingml/2006/main">
            <a:off x="8882400" y="1642164"/>
            <a:ext cx="540066" cy="147600"/>
          </a:xfrm>
          <a:prstGeom xmlns:a="http://schemas.openxmlformats.org/drawingml/2006/main" prst="rect">
            <a:avLst/>
          </a:prstGeom>
        </cdr:spPr>
        <cdr:txBody>
          <a:bodyPr xmlns:a="http://schemas.openxmlformats.org/drawingml/2006/main" wrap="square" lIns="72000" tIns="18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3837E9F-9EC7-4A8D-9215-101037DC6E18}"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1">
        <cdr:nvSpPr>
          <cdr:cNvPr id="131" name="ZoneTexte 1"/>
          <cdr:cNvSpPr txBox="1"/>
        </cdr:nvSpPr>
        <cdr:spPr>
          <a:xfrm xmlns:a="http://schemas.openxmlformats.org/drawingml/2006/main">
            <a:off x="8882400" y="268996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DFFDFCC-CD46-4C11-945E-3B218ED053D7}"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8">
        <cdr:nvSpPr>
          <cdr:cNvPr id="75" name="ZoneTexte 1"/>
          <cdr:cNvSpPr txBox="1"/>
        </cdr:nvSpPr>
        <cdr:spPr>
          <a:xfrm xmlns:a="http://schemas.openxmlformats.org/drawingml/2006/main">
            <a:off x="8882400" y="513482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7F8E82A-BA43-4A41-B753-7BDBB9995354}"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7">
        <cdr:nvSpPr>
          <cdr:cNvPr id="76" name="ZoneTexte 1"/>
          <cdr:cNvSpPr txBox="1"/>
        </cdr:nvSpPr>
        <cdr:spPr>
          <a:xfrm xmlns:a="http://schemas.openxmlformats.org/drawingml/2006/main">
            <a:off x="8882400" y="478555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499BA8E-C199-4725-8BF9-A559B2E8E201}"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6">
        <cdr:nvSpPr>
          <cdr:cNvPr id="77" name="ZoneTexte 1"/>
          <cdr:cNvSpPr txBox="1"/>
        </cdr:nvSpPr>
        <cdr:spPr>
          <a:xfrm xmlns:a="http://schemas.openxmlformats.org/drawingml/2006/main">
            <a:off x="8882400" y="4436292"/>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7B3E507-BFED-49DE-B3D6-22F54DA56255}"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5">
        <cdr:nvSpPr>
          <cdr:cNvPr id="78" name="ZoneTexte 1"/>
          <cdr:cNvSpPr txBox="1"/>
        </cdr:nvSpPr>
        <cdr:spPr>
          <a:xfrm xmlns:a="http://schemas.openxmlformats.org/drawingml/2006/main">
            <a:off x="8882400" y="408702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47BAADA-A7CD-48AC-B104-6633782B6FDF}"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3">
        <cdr:nvSpPr>
          <cdr:cNvPr id="84" name="ZoneTexte 1"/>
          <cdr:cNvSpPr txBox="1"/>
        </cdr:nvSpPr>
        <cdr:spPr>
          <a:xfrm xmlns:a="http://schemas.openxmlformats.org/drawingml/2006/main">
            <a:off x="8882400" y="3388494"/>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D36C7C1-1F70-4E97-88C3-A0C7F758F6AF}"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1">
        <cdr:nvSpPr>
          <cdr:cNvPr id="85" name="ZoneTexte 1"/>
          <cdr:cNvSpPr txBox="1"/>
        </cdr:nvSpPr>
        <cdr:spPr>
          <a:xfrm xmlns:a="http://schemas.openxmlformats.org/drawingml/2006/main">
            <a:off x="8882400" y="6182621"/>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74BA522-AE06-474F-8157-03A168496EA2}" type="TxLink">
              <a:rPr lang="en-US" sz="1050" b="1" i="0" u="none" strike="noStrike">
                <a:solidFill>
                  <a:srgbClr val="000000"/>
                </a:solidFill>
                <a:latin typeface="+mn-lt"/>
                <a:cs typeface="Calibri"/>
              </a:rPr>
              <a:pPr algn="l"/>
              <a:t>0</a:t>
            </a:fld>
            <a:endParaRPr lang="fr-FR" sz="1050" b="1">
              <a:latin typeface="+mn-lt"/>
            </a:endParaRPr>
          </a:p>
        </cdr:txBody>
      </cdr:sp>
      <cdr:sp macro="" textlink="Calculs!$R$220">
        <cdr:nvSpPr>
          <cdr:cNvPr id="86" name="ZoneTexte 1"/>
          <cdr:cNvSpPr txBox="1"/>
        </cdr:nvSpPr>
        <cdr:spPr>
          <a:xfrm xmlns:a="http://schemas.openxmlformats.org/drawingml/2006/main">
            <a:off x="8882400" y="5833356"/>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8A4FB43-5472-4A20-82BA-EE9D1D5901D0}"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9">
        <cdr:nvSpPr>
          <cdr:cNvPr id="87" name="ZoneTexte 1"/>
          <cdr:cNvSpPr txBox="1"/>
        </cdr:nvSpPr>
        <cdr:spPr>
          <a:xfrm xmlns:a="http://schemas.openxmlformats.org/drawingml/2006/main">
            <a:off x="8882400" y="5484090"/>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DA6915-2F97-4D41-B942-3772513E32D9}" type="TxLink">
              <a:rPr lang="en-US" sz="1050" b="1" i="0" u="none" strike="noStrike">
                <a:solidFill>
                  <a:srgbClr val="000000"/>
                </a:solidFill>
                <a:latin typeface="+mn-lt"/>
                <a:cs typeface="Calibri"/>
              </a:rPr>
              <a:pPr algn="l"/>
              <a:t>0</a:t>
            </a:fld>
            <a:endParaRPr lang="fr-FR" sz="1050" b="1">
              <a:latin typeface="+mn-lt"/>
            </a:endParaRPr>
          </a:p>
        </cdr:txBody>
      </cdr:sp>
      <cdr:sp macro="" textlink="Calculs!$R$212">
        <cdr:nvSpPr>
          <cdr:cNvPr id="106" name="ZoneTexte 1"/>
          <cdr:cNvSpPr txBox="1"/>
        </cdr:nvSpPr>
        <cdr:spPr>
          <a:xfrm xmlns:a="http://schemas.openxmlformats.org/drawingml/2006/main">
            <a:off x="8882400" y="3039228"/>
            <a:ext cx="540066" cy="147600"/>
          </a:xfrm>
          <a:prstGeom xmlns:a="http://schemas.openxmlformats.org/drawingml/2006/main" prst="rect">
            <a:avLst/>
          </a:prstGeom>
        </cdr:spPr>
        <cdr:txBody>
          <a:bodyPr xmlns:a="http://schemas.openxmlformats.org/drawingml/2006/main" wrap="square" lIns="72000" tIns="18000" rIns="0" bIns="0"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ADD34601-4172-41EE-AF7C-117FDA1171DB}" type="TxLink">
              <a:rPr lang="en-US" sz="1050" b="1" i="0" u="none" strike="noStrike">
                <a:solidFill>
                  <a:srgbClr val="000000"/>
                </a:solidFill>
                <a:latin typeface="+mn-lt"/>
                <a:cs typeface="Calibri"/>
              </a:rPr>
              <a:pPr algn="l"/>
              <a:t>0</a:t>
            </a:fld>
            <a:endParaRPr lang="fr-FR" sz="1050" b="1">
              <a:latin typeface="+mn-lt"/>
            </a:endParaRPr>
          </a:p>
        </cdr:txBody>
      </cdr:sp>
    </cdr:grpSp>
  </cdr:relSizeAnchor>
  <cdr:relSizeAnchor xmlns:cdr="http://schemas.openxmlformats.org/drawingml/2006/chartDrawing">
    <cdr:from>
      <cdr:x>0.344</cdr:x>
      <cdr:y>0.10456</cdr:y>
    </cdr:from>
    <cdr:to>
      <cdr:x>0.49037</cdr:x>
      <cdr:y>0.13595</cdr:y>
    </cdr:to>
    <cdr:sp macro="" textlink="'TRAD-visualiz'!$B$7">
      <cdr:nvSpPr>
        <cdr:cNvPr id="51" name="ZoneTexte 6"/>
        <cdr:cNvSpPr txBox="1"/>
      </cdr:nvSpPr>
      <cdr:spPr>
        <a:xfrm xmlns:a="http://schemas.openxmlformats.org/drawingml/2006/main">
          <a:off x="3496360" y="719389"/>
          <a:ext cx="1487666" cy="216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F9268AD-AB9D-45E8-B102-CDDB65A22126}" type="TxLink">
            <a:rPr lang="en-US" sz="1050" b="0" i="0" u="none" strike="noStrike">
              <a:solidFill>
                <a:srgbClr val="000000"/>
              </a:solidFill>
              <a:latin typeface="+mn-lt"/>
              <a:cs typeface="Calibri"/>
            </a:rPr>
            <a:pPr/>
            <a:t>Dates de péremption </a:t>
          </a:fld>
          <a:endParaRPr lang="fr-FR" sz="1050" i="1">
            <a:latin typeface="+mn-lt"/>
          </a:endParaRPr>
        </a:p>
      </cdr:txBody>
    </cdr:sp>
  </cdr:relSizeAnchor>
  <cdr:relSizeAnchor xmlns:cdr="http://schemas.openxmlformats.org/drawingml/2006/chartDrawing">
    <cdr:from>
      <cdr:x>0.55534</cdr:x>
      <cdr:y>0.10456</cdr:y>
    </cdr:from>
    <cdr:to>
      <cdr:x>0.8769</cdr:x>
      <cdr:y>0.13595</cdr:y>
    </cdr:to>
    <cdr:sp macro="" textlink="Calculs!$F$499">
      <cdr:nvSpPr>
        <cdr:cNvPr id="52" name="ZoneTexte 1"/>
        <cdr:cNvSpPr txBox="1"/>
      </cdr:nvSpPr>
      <cdr:spPr>
        <a:xfrm xmlns:a="http://schemas.openxmlformats.org/drawingml/2006/main">
          <a:off x="5644329" y="719416"/>
          <a:ext cx="3268250" cy="215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9CA643B-7140-466F-BA78-FD8CDAF37411}" type="TxLink">
            <a:rPr lang="en-US" sz="1050" b="1" i="1" u="none" strike="noStrike">
              <a:solidFill>
                <a:srgbClr val="C00000"/>
              </a:solidFill>
              <a:latin typeface="+mn-lt"/>
              <a:ea typeface="+mn-ea"/>
              <a:cs typeface="+mn-cs"/>
            </a:rPr>
            <a:pPr/>
            <a:t>Prises en compte</a:t>
          </a:fld>
          <a:endParaRPr lang="fr-FR" sz="1050" b="1" i="1" u="none" strike="noStrike">
            <a:solidFill>
              <a:srgbClr val="C00000"/>
            </a:solidFill>
            <a:latin typeface="+mn-lt"/>
            <a:ea typeface="+mn-ea"/>
            <a:cs typeface="+mn-cs"/>
          </a:endParaRPr>
        </a:p>
      </cdr:txBody>
    </cdr:sp>
  </cdr:relSizeAnchor>
  <cdr:relSizeAnchor xmlns:cdr="http://schemas.openxmlformats.org/drawingml/2006/chartDrawing">
    <cdr:from>
      <cdr:x>0.3043</cdr:x>
      <cdr:y>0</cdr:y>
    </cdr:from>
    <cdr:to>
      <cdr:x>0.44873</cdr:x>
      <cdr:y>0.0342</cdr:y>
    </cdr:to>
    <cdr:sp macro="" textlink="'TRAD-visualiz'!$B$14">
      <cdr:nvSpPr>
        <cdr:cNvPr id="53" name="ZoneTexte 1"/>
        <cdr:cNvSpPr txBox="1"/>
      </cdr:nvSpPr>
      <cdr:spPr>
        <a:xfrm xmlns:a="http://schemas.openxmlformats.org/drawingml/2006/main">
          <a:off x="3092784" y="-33"/>
          <a:ext cx="1467948" cy="235311"/>
        </a:xfrm>
        <a:prstGeom xmlns:a="http://schemas.openxmlformats.org/drawingml/2006/main" prst="rect">
          <a:avLst/>
        </a:prstGeom>
      </cdr:spPr>
      <cdr:txBody>
        <a:bodyPr xmlns:a="http://schemas.openxmlformats.org/drawingml/2006/main" wrap="none" lIns="36000"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FE48354-86C7-4D9C-8821-C76B9C93DDC3}" type="TxLink">
            <a:rPr lang="en-US" sz="1600" b="1" i="0" u="none" strike="noStrike">
              <a:solidFill>
                <a:srgbClr val="FF0000"/>
              </a:solidFill>
              <a:latin typeface="+mn-lt"/>
              <a:cs typeface="Calibri"/>
            </a:rPr>
            <a:pPr/>
            <a:t> Comprimés - CDF</a:t>
          </a:fld>
          <a:endParaRPr lang="fr-FR" sz="1600" b="1">
            <a:solidFill>
              <a:srgbClr val="FF0000"/>
            </a:solidFill>
            <a:latin typeface="+mn-lt"/>
          </a:endParaRPr>
        </a:p>
      </cdr:txBody>
    </cdr:sp>
  </cdr:relSizeAnchor>
  <cdr:relSizeAnchor xmlns:cdr="http://schemas.openxmlformats.org/drawingml/2006/chartDrawing">
    <cdr:from>
      <cdr:x>0.85229</cdr:x>
      <cdr:y>0.00565</cdr:y>
    </cdr:from>
    <cdr:to>
      <cdr:x>1</cdr:x>
      <cdr:y>0.1045</cdr:y>
    </cdr:to>
    <cdr:pic>
      <cdr:nvPicPr>
        <cdr:cNvPr id="54" name="Image 53"/>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8655844" y="38893"/>
          <a:ext cx="1500187" cy="680245"/>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absoluteAnchor>
    <xdr:pos x="0" y="0"/>
    <xdr:ext cx="10138833" cy="686858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0.0194</cdr:x>
      <cdr:y>0.07026</cdr:y>
    </cdr:from>
    <cdr:to>
      <cdr:x>0.24898</cdr:x>
      <cdr:y>0.11195</cdr:y>
    </cdr:to>
    <cdr:sp macro="" textlink="'TRAD-visualiz'!$B$4">
      <cdr:nvSpPr>
        <cdr:cNvPr id="7" name="ZoneTexte 6"/>
        <cdr:cNvSpPr txBox="1"/>
      </cdr:nvSpPr>
      <cdr:spPr>
        <a:xfrm xmlns:a="http://schemas.openxmlformats.org/drawingml/2006/main">
          <a:off x="196057" y="481833"/>
          <a:ext cx="2320141" cy="28591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4E99B6A4-7904-4D59-8A91-19EA4B202FD3}" type="TxLink">
            <a:rPr lang="en-US" sz="1000" b="0" i="0" u="none" strike="noStrike">
              <a:solidFill>
                <a:srgbClr val="000000"/>
              </a:solidFill>
              <a:latin typeface="Arialri"/>
              <a:cs typeface="Calibri"/>
            </a:rPr>
            <a:pPr/>
            <a:t>Date de mise à jour des données </a:t>
          </a:fld>
          <a:endParaRPr lang="fr-FR" sz="1100" i="1"/>
        </a:p>
      </cdr:txBody>
    </cdr:sp>
  </cdr:relSizeAnchor>
  <cdr:relSizeAnchor xmlns:cdr="http://schemas.openxmlformats.org/drawingml/2006/chartDrawing">
    <cdr:from>
      <cdr:x>0.22702</cdr:x>
      <cdr:y>0.07844</cdr:y>
    </cdr:from>
    <cdr:to>
      <cdr:x>0.3718</cdr:x>
      <cdr:y>0.1184</cdr:y>
    </cdr:to>
    <cdr:sp macro="" textlink="'Saisie données stocks'!$D$148">
      <cdr:nvSpPr>
        <cdr:cNvPr id="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0.0194</cdr:x>
      <cdr:y>0.03948</cdr:y>
    </cdr:from>
    <cdr:to>
      <cdr:x>0.22234</cdr:x>
      <cdr:y>0.08112</cdr:y>
    </cdr:to>
    <cdr:sp macro="" textlink="'TRAD-visualiz'!$B$3">
      <cdr:nvSpPr>
        <cdr:cNvPr id="9" name="ZoneTexte 1"/>
        <cdr:cNvSpPr txBox="1"/>
      </cdr:nvSpPr>
      <cdr:spPr>
        <a:xfrm xmlns:a="http://schemas.openxmlformats.org/drawingml/2006/main">
          <a:off x="196693" y="271172"/>
          <a:ext cx="2057557" cy="2860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5C6F38E-9022-482B-9EB6-D0124ECC2305}" type="TxLink">
            <a:rPr lang="en-US" sz="1000" b="0" i="0" u="none" strike="noStrike">
              <a:solidFill>
                <a:srgbClr val="000000"/>
              </a:solidFill>
              <a:latin typeface="Arialri"/>
              <a:cs typeface="Calibri"/>
            </a:rPr>
            <a:pPr/>
            <a:t>Pays et/ou structure </a:t>
          </a:fld>
          <a:endParaRPr lang="fr-FR" sz="1100" i="1"/>
        </a:p>
      </cdr:txBody>
    </cdr:sp>
  </cdr:relSizeAnchor>
  <cdr:relSizeAnchor xmlns:cdr="http://schemas.openxmlformats.org/drawingml/2006/chartDrawing">
    <cdr:from>
      <cdr:x>0.18717</cdr:x>
      <cdr:y>0.0364</cdr:y>
    </cdr:from>
    <cdr:to>
      <cdr:x>0.33195</cdr:x>
      <cdr:y>0.07889</cdr:y>
    </cdr:to>
    <cdr:sp macro="" textlink="Paramétrage!$D$11">
      <cdr:nvSpPr>
        <cdr:cNvPr id="10" name="ZoneTexte 1"/>
        <cdr:cNvSpPr txBox="1"/>
      </cdr:nvSpPr>
      <cdr:spPr>
        <a:xfrm xmlns:a="http://schemas.openxmlformats.org/drawingml/2006/main">
          <a:off x="1897715" y="250006"/>
          <a:ext cx="1467901" cy="2918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0.86381</cdr:x>
      <cdr:y>0.07918</cdr:y>
    </cdr:from>
    <cdr:to>
      <cdr:x>0.99687</cdr:x>
      <cdr:y>0.15924</cdr:y>
    </cdr:to>
    <cdr:sp macro="" textlink="'TRAD-visualiz'!$B$8">
      <cdr:nvSpPr>
        <cdr:cNvPr id="12" name="ZoneTexte 11"/>
        <cdr:cNvSpPr txBox="1"/>
      </cdr:nvSpPr>
      <cdr:spPr>
        <a:xfrm xmlns:a="http://schemas.openxmlformats.org/drawingml/2006/main">
          <a:off x="8758009" y="543878"/>
          <a:ext cx="1349073" cy="54989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fld id="{F821BE72-5F7A-49B3-91B6-6EB3F46BE92B}" type="TxLink">
            <a:rPr lang="en-US" sz="1000" b="0" i="0" u="none" strike="noStrike">
              <a:solidFill>
                <a:srgbClr val="000000"/>
              </a:solidFill>
              <a:latin typeface="Arialri"/>
              <a:cs typeface="Calibri"/>
            </a:rPr>
            <a:pPr algn="ctr"/>
            <a:t>Nb de patients concernés / mois</a:t>
          </a:fld>
          <a:endParaRPr lang="fr-FR" sz="1000" b="1"/>
        </a:p>
      </cdr:txBody>
    </cdr:sp>
  </cdr:relSizeAnchor>
  <cdr:relSizeAnchor xmlns:cdr="http://schemas.openxmlformats.org/drawingml/2006/chartDrawing">
    <cdr:from>
      <cdr:x>0.22702</cdr:x>
      <cdr:y>0.07844</cdr:y>
    </cdr:from>
    <cdr:to>
      <cdr:x>0.3718</cdr:x>
      <cdr:y>0.1184</cdr:y>
    </cdr:to>
    <cdr:sp macro="" textlink="'Saisie données stocks'!$D$148">
      <cdr:nvSpPr>
        <cdr:cNvPr id="36"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0.87347</cdr:x>
      <cdr:y>0.00337</cdr:y>
    </cdr:from>
    <cdr:to>
      <cdr:x>0.99579</cdr:x>
      <cdr:y>0.08987</cdr:y>
    </cdr:to>
    <cdr:pic>
      <cdr:nvPicPr>
        <cdr:cNvPr id="39"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827341" y="23112"/>
          <a:ext cx="1236169" cy="593217"/>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139">
      <cdr:nvSpPr>
        <cdr:cNvPr id="118"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0.43023</cdr:x>
      <cdr:y>0.07026</cdr:y>
    </cdr:from>
    <cdr:to>
      <cdr:x>0.61984</cdr:x>
      <cdr:y>0.11195</cdr:y>
    </cdr:to>
    <cdr:sp macro="" textlink="'TRAD-visualiz'!$B$6">
      <cdr:nvSpPr>
        <cdr:cNvPr id="119" name="ZoneTexte 6"/>
        <cdr:cNvSpPr txBox="1"/>
      </cdr:nvSpPr>
      <cdr:spPr>
        <a:xfrm xmlns:a="http://schemas.openxmlformats.org/drawingml/2006/main">
          <a:off x="4347882" y="481833"/>
          <a:ext cx="1916203"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44628BB-4906-435D-80DF-392EF2C9B252}" type="TxLink">
            <a:rPr lang="en-US" sz="1000" b="0" i="0" u="none" strike="noStrike">
              <a:solidFill>
                <a:srgbClr val="000000"/>
              </a:solidFill>
              <a:latin typeface="Arialri"/>
              <a:cs typeface="Calibri"/>
            </a:rPr>
            <a:pPr/>
            <a:t>Nature des stocks considérés </a:t>
          </a:fld>
          <a:endParaRPr lang="fr-FR" sz="1100" i="1"/>
        </a:p>
      </cdr:txBody>
    </cdr:sp>
  </cdr:relSizeAnchor>
  <cdr:relSizeAnchor xmlns:cdr="http://schemas.openxmlformats.org/drawingml/2006/chartDrawing">
    <cdr:from>
      <cdr:x>0.21844</cdr:x>
      <cdr:y>0.07026</cdr:y>
    </cdr:from>
    <cdr:to>
      <cdr:x>0.36322</cdr:x>
      <cdr:y>0.11275</cdr:y>
    </cdr:to>
    <cdr:sp macro="" textlink="Paramétrage!$H$19">
      <cdr:nvSpPr>
        <cdr:cNvPr id="122" name="ZoneTexte 1"/>
        <cdr:cNvSpPr txBox="1"/>
      </cdr:nvSpPr>
      <cdr:spPr>
        <a:xfrm xmlns:a="http://schemas.openxmlformats.org/drawingml/2006/main">
          <a:off x="2207595" y="481833"/>
          <a:ext cx="1463150"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Arialri"/>
            </a:rPr>
            <a:pPr/>
            <a:t>07/10/2014</a:t>
          </a:fld>
          <a:endParaRPr lang="fr-FR" sz="1100" b="1" i="1"/>
        </a:p>
      </cdr:txBody>
    </cdr:sp>
  </cdr:relSizeAnchor>
  <cdr:relSizeAnchor xmlns:cdr="http://schemas.openxmlformats.org/drawingml/2006/chartDrawing">
    <cdr:from>
      <cdr:x>0.60875</cdr:x>
      <cdr:y>0.07026</cdr:y>
    </cdr:from>
    <cdr:to>
      <cdr:x>0.93031</cdr:x>
      <cdr:y>0.11275</cdr:y>
    </cdr:to>
    <cdr:sp macro="" textlink="'Calculs dispo Données FA'!$F$122">
      <cdr:nvSpPr>
        <cdr:cNvPr id="123" name="ZoneTexte 1"/>
        <cdr:cNvSpPr txBox="1"/>
      </cdr:nvSpPr>
      <cdr:spPr>
        <a:xfrm xmlns:a="http://schemas.openxmlformats.org/drawingml/2006/main">
          <a:off x="6152079" y="481833"/>
          <a:ext cx="3249694"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1F67E7D-304B-4BBF-8F8E-0F2ABA6D85A1}" type="TxLink">
            <a:rPr lang="fr-FR" sz="1100" b="1" i="1" u="none" strike="noStrike">
              <a:solidFill>
                <a:srgbClr val="C00000"/>
              </a:solidFill>
              <a:latin typeface="Arialri"/>
            </a:rPr>
            <a:pPr/>
            <a:t>Stocks centraux</a:t>
          </a:fld>
          <a:endParaRPr lang="fr-FR" sz="1100" b="1" i="1">
            <a:solidFill>
              <a:srgbClr val="C00000"/>
            </a:solidFill>
          </a:endParaRPr>
        </a:p>
      </cdr:txBody>
    </cdr:sp>
  </cdr:relSizeAnchor>
  <cdr:relSizeAnchor xmlns:cdr="http://schemas.openxmlformats.org/drawingml/2006/chartDrawing">
    <cdr:from>
      <cdr:x>0.43023</cdr:x>
      <cdr:y>0.03922</cdr:y>
    </cdr:from>
    <cdr:to>
      <cdr:x>0.67029</cdr:x>
      <cdr:y>0.08091</cdr:y>
    </cdr:to>
    <cdr:sp macro="" textlink="'TRAD-visualiz'!$B$5">
      <cdr:nvSpPr>
        <cdr:cNvPr id="100" name="ZoneTexte 6"/>
        <cdr:cNvSpPr txBox="1"/>
      </cdr:nvSpPr>
      <cdr:spPr>
        <a:xfrm xmlns:a="http://schemas.openxmlformats.org/drawingml/2006/main">
          <a:off x="4347882" y="268941"/>
          <a:ext cx="2426119"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F92697C-CAD1-478A-B7ED-F65FE580D8A3}" type="TxLink">
            <a:rPr lang="en-US" sz="1000" b="0" i="0" u="none" strike="noStrike">
              <a:solidFill>
                <a:srgbClr val="000000"/>
              </a:solidFill>
              <a:latin typeface="Arialri"/>
              <a:cs typeface="Calibri"/>
            </a:rPr>
            <a:pPr/>
            <a:t>Méthode / type de données utilisées </a:t>
          </a:fld>
          <a:endParaRPr lang="fr-FR" sz="1100" i="1"/>
        </a:p>
      </cdr:txBody>
    </cdr:sp>
  </cdr:relSizeAnchor>
  <cdr:relSizeAnchor xmlns:cdr="http://schemas.openxmlformats.org/drawingml/2006/chartDrawing">
    <cdr:from>
      <cdr:x>0.64978</cdr:x>
      <cdr:y>0.03922</cdr:y>
    </cdr:from>
    <cdr:to>
      <cdr:x>0.87709</cdr:x>
      <cdr:y>0.08171</cdr:y>
    </cdr:to>
    <cdr:sp macro="" textlink="Calculs!$C$487">
      <cdr:nvSpPr>
        <cdr:cNvPr id="101" name="ZoneTexte 1"/>
        <cdr:cNvSpPr txBox="1"/>
      </cdr:nvSpPr>
      <cdr:spPr>
        <a:xfrm xmlns:a="http://schemas.openxmlformats.org/drawingml/2006/main">
          <a:off x="6566647" y="268941"/>
          <a:ext cx="2297206"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2F465C8-4C52-4127-B920-72184D6B04E8}" type="TxLink">
            <a:rPr lang="fr-FR" sz="1100" b="1" i="1" u="none" strike="noStrike">
              <a:solidFill>
                <a:srgbClr val="C00000"/>
              </a:solidFill>
              <a:latin typeface="Arialri"/>
            </a:rPr>
            <a:pPr/>
            <a:t>Données suivi de file active</a:t>
          </a:fld>
          <a:endParaRPr lang="fr-FR" sz="1100" b="1" i="1">
            <a:solidFill>
              <a:srgbClr val="C00000"/>
            </a:solidFill>
          </a:endParaRPr>
        </a:p>
      </cdr:txBody>
    </cdr:sp>
  </cdr:relSizeAnchor>
  <cdr:relSizeAnchor xmlns:cdr="http://schemas.openxmlformats.org/drawingml/2006/chartDrawing">
    <cdr:from>
      <cdr:x>0.35926</cdr:x>
      <cdr:y>0.98039</cdr:y>
    </cdr:from>
    <cdr:to>
      <cdr:x>0.37146</cdr:x>
      <cdr:y>0.99346</cdr:y>
    </cdr:to>
    <cdr:sp macro="" textlink="">
      <cdr:nvSpPr>
        <cdr:cNvPr id="102" name="Rectangle 101"/>
        <cdr:cNvSpPr/>
      </cdr:nvSpPr>
      <cdr:spPr>
        <a:xfrm xmlns:a="http://schemas.openxmlformats.org/drawingml/2006/main">
          <a:off x="3630705" y="6723530"/>
          <a:ext cx="123265" cy="89647"/>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0.37368</cdr:x>
      <cdr:y>0.96732</cdr:y>
    </cdr:from>
    <cdr:to>
      <cdr:x>0.6485</cdr:x>
      <cdr:y>1</cdr:y>
    </cdr:to>
    <cdr:sp macro="" textlink="">
      <cdr:nvSpPr>
        <cdr:cNvPr id="103" name="ZoneTexte 2"/>
        <cdr:cNvSpPr txBox="1"/>
      </cdr:nvSpPr>
      <cdr:spPr>
        <a:xfrm xmlns:a="http://schemas.openxmlformats.org/drawingml/2006/main">
          <a:off x="3776383" y="6645088"/>
          <a:ext cx="2777378" cy="224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000"/>
            <a:t>Période</a:t>
          </a:r>
          <a:r>
            <a:rPr lang="fr-FR" sz="1000" baseline="0"/>
            <a:t> pendant laquelle le SS a été utilisé</a:t>
          </a:r>
          <a:endParaRPr lang="fr-FR" sz="1000"/>
        </a:p>
      </cdr:txBody>
    </cdr:sp>
  </cdr:relSizeAnchor>
  <cdr:relSizeAnchor xmlns:cdr="http://schemas.openxmlformats.org/drawingml/2006/chartDrawing">
    <cdr:from>
      <cdr:x>0.94656</cdr:x>
      <cdr:y>0.18353</cdr:y>
    </cdr:from>
    <cdr:to>
      <cdr:x>1</cdr:x>
      <cdr:y>0.94239</cdr:y>
    </cdr:to>
    <cdr:grpSp>
      <cdr:nvGrpSpPr>
        <cdr:cNvPr id="207" name="Groupe 206"/>
        <cdr:cNvGrpSpPr/>
      </cdr:nvGrpSpPr>
      <cdr:grpSpPr>
        <a:xfrm xmlns:a="http://schemas.openxmlformats.org/drawingml/2006/main">
          <a:off x="9597014" y="1260591"/>
          <a:ext cx="541819" cy="5212293"/>
          <a:chOff x="7520154" y="1258631"/>
          <a:chExt cx="540066" cy="5204291"/>
        </a:xfrm>
      </cdr:grpSpPr>
      <cdr:sp macro="" textlink="Calculs!$Y$207">
        <cdr:nvSpPr>
          <cdr:cNvPr id="74" name="ZoneTexte 73"/>
          <cdr:cNvSpPr txBox="1"/>
        </cdr:nvSpPr>
        <cdr:spPr>
          <a:xfrm xmlns:a="http://schemas.openxmlformats.org/drawingml/2006/main">
            <a:off x="7520154" y="1258631"/>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p xmlns:a="http://schemas.openxmlformats.org/drawingml/2006/main">
            <a:pPr algn="l"/>
            <a:fld id="{4D577F86-3A53-468F-B4BC-EB02906EF29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0">
        <cdr:nvSpPr>
          <cdr:cNvPr id="80" name="ZoneTexte 1"/>
          <cdr:cNvSpPr txBox="1"/>
        </cdr:nvSpPr>
        <cdr:spPr>
          <a:xfrm xmlns:a="http://schemas.openxmlformats.org/drawingml/2006/main">
            <a:off x="7520154" y="1732697"/>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11FDB11-28F2-4777-B3E8-94ABCD4B18BA}" type="TxLink">
              <a:rPr lang="fr-FR" sz="900" b="1" i="0" u="none" strike="noStrike">
                <a:solidFill>
                  <a:srgbClr val="000000"/>
                </a:solidFill>
                <a:latin typeface="+mn-lt"/>
                <a:cs typeface="Calibri"/>
              </a:rPr>
              <a:pPr algn="l"/>
              <a:t>ND</a:t>
            </a:fld>
            <a:endParaRPr lang="fr-FR" sz="900" b="1">
              <a:latin typeface="+mn-lt"/>
            </a:endParaRPr>
          </a:p>
        </cdr:txBody>
      </cdr:sp>
      <cdr:sp macro="" textlink="Calculs!$Y$209">
        <cdr:nvSpPr>
          <cdr:cNvPr id="81" name="ZoneTexte 1"/>
          <cdr:cNvSpPr txBox="1"/>
        </cdr:nvSpPr>
        <cdr:spPr>
          <a:xfrm xmlns:a="http://schemas.openxmlformats.org/drawingml/2006/main">
            <a:off x="7520154" y="1574675"/>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4BBF744-8778-450C-964E-78F116FC56DA}" type="TxLink">
              <a:rPr lang="fr-FR" sz="900" b="1" i="0" u="none" strike="noStrike">
                <a:solidFill>
                  <a:srgbClr val="000000"/>
                </a:solidFill>
                <a:latin typeface="+mn-lt"/>
                <a:cs typeface="Calibri"/>
              </a:rPr>
              <a:pPr algn="l"/>
              <a:t>ND</a:t>
            </a:fld>
            <a:endParaRPr lang="fr-FR" sz="900" b="1">
              <a:latin typeface="+mn-lt"/>
            </a:endParaRPr>
          </a:p>
        </cdr:txBody>
      </cdr:sp>
      <cdr:sp macro="" textlink="Calculs!$Y$208">
        <cdr:nvSpPr>
          <cdr:cNvPr id="130" name="ZoneTexte 1"/>
          <cdr:cNvSpPr txBox="1"/>
        </cdr:nvSpPr>
        <cdr:spPr>
          <a:xfrm xmlns:a="http://schemas.openxmlformats.org/drawingml/2006/main">
            <a:off x="7520154" y="1416653"/>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1BA59C32-7A71-4462-ABDB-6FFA3DA8471F}" type="TxLink">
              <a:rPr lang="fr-FR" sz="900" b="1" i="0" u="none" strike="noStrike">
                <a:solidFill>
                  <a:srgbClr val="000000"/>
                </a:solidFill>
                <a:latin typeface="+mn-lt"/>
                <a:cs typeface="Calibri"/>
              </a:rPr>
              <a:pPr algn="l"/>
              <a:t>ND</a:t>
            </a:fld>
            <a:endParaRPr lang="fr-FR" sz="900" b="1">
              <a:latin typeface="+mn-lt"/>
            </a:endParaRPr>
          </a:p>
        </cdr:txBody>
      </cdr:sp>
      <cdr:sp macro="" textlink="Calculs!$Y$211">
        <cdr:nvSpPr>
          <cdr:cNvPr id="131" name="ZoneTexte 1"/>
          <cdr:cNvSpPr txBox="1"/>
        </cdr:nvSpPr>
        <cdr:spPr>
          <a:xfrm xmlns:a="http://schemas.openxmlformats.org/drawingml/2006/main">
            <a:off x="7520154" y="1890719"/>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E85C794-3AB1-4C0B-8EE8-653AB6BA0228}" type="TxLink">
              <a:rPr lang="fr-FR" sz="900" b="1" i="0" u="none" strike="noStrike">
                <a:solidFill>
                  <a:srgbClr val="000000"/>
                </a:solidFill>
                <a:latin typeface="+mn-lt"/>
                <a:cs typeface="Calibri"/>
              </a:rPr>
              <a:pPr algn="l"/>
              <a:t>ND</a:t>
            </a:fld>
            <a:endParaRPr lang="fr-FR" sz="900" b="1">
              <a:latin typeface="+mn-lt"/>
            </a:endParaRPr>
          </a:p>
        </cdr:txBody>
      </cdr:sp>
      <cdr:sp macro="" textlink="Calculs!$Y$218">
        <cdr:nvSpPr>
          <cdr:cNvPr id="75" name="ZoneTexte 1"/>
          <cdr:cNvSpPr txBox="1"/>
        </cdr:nvSpPr>
        <cdr:spPr>
          <a:xfrm xmlns:a="http://schemas.openxmlformats.org/drawingml/2006/main">
            <a:off x="7520154" y="2838851"/>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1D9A81-A0CB-4E68-8299-96E9C97B41F2}" type="TxLink">
              <a:rPr lang="fr-FR" sz="900" b="1" i="0" u="none" strike="noStrike">
                <a:solidFill>
                  <a:srgbClr val="000000"/>
                </a:solidFill>
                <a:latin typeface="+mn-lt"/>
                <a:cs typeface="Calibri"/>
              </a:rPr>
              <a:pPr algn="l"/>
              <a:t>ND</a:t>
            </a:fld>
            <a:endParaRPr lang="fr-FR" sz="900" b="1">
              <a:latin typeface="+mn-lt"/>
            </a:endParaRPr>
          </a:p>
        </cdr:txBody>
      </cdr:sp>
      <cdr:sp macro="" textlink="Calculs!$Y$217">
        <cdr:nvSpPr>
          <cdr:cNvPr id="76" name="ZoneTexte 1"/>
          <cdr:cNvSpPr txBox="1"/>
        </cdr:nvSpPr>
        <cdr:spPr>
          <a:xfrm xmlns:a="http://schemas.openxmlformats.org/drawingml/2006/main">
            <a:off x="7520154" y="2680829"/>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DA55A6A-B9F5-4DE1-AA62-5F1E0A22E416}" type="TxLink">
              <a:rPr lang="fr-FR" sz="900" b="1" i="0" u="none" strike="noStrike">
                <a:solidFill>
                  <a:srgbClr val="000000"/>
                </a:solidFill>
                <a:latin typeface="+mn-lt"/>
                <a:cs typeface="Calibri"/>
              </a:rPr>
              <a:pPr algn="l"/>
              <a:t>ND</a:t>
            </a:fld>
            <a:endParaRPr lang="fr-FR" sz="900" b="1">
              <a:latin typeface="+mn-lt"/>
            </a:endParaRPr>
          </a:p>
        </cdr:txBody>
      </cdr:sp>
      <cdr:sp macro="" textlink="Calculs!$Y$216">
        <cdr:nvSpPr>
          <cdr:cNvPr id="77" name="ZoneTexte 1"/>
          <cdr:cNvSpPr txBox="1"/>
        </cdr:nvSpPr>
        <cdr:spPr>
          <a:xfrm xmlns:a="http://schemas.openxmlformats.org/drawingml/2006/main">
            <a:off x="7520154" y="2522807"/>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E748D6-E4D8-490B-AF5E-8023F149CF01}" type="TxLink">
              <a:rPr lang="fr-FR" sz="900" b="1" i="0" u="none" strike="noStrike">
                <a:solidFill>
                  <a:srgbClr val="000000"/>
                </a:solidFill>
                <a:latin typeface="+mn-lt"/>
                <a:cs typeface="Calibri"/>
              </a:rPr>
              <a:pPr algn="l"/>
              <a:t>ND</a:t>
            </a:fld>
            <a:endParaRPr lang="fr-FR" sz="900" b="1">
              <a:latin typeface="+mn-lt"/>
            </a:endParaRPr>
          </a:p>
        </cdr:txBody>
      </cdr:sp>
      <cdr:sp macro="" textlink="Calculs!$Y$215">
        <cdr:nvSpPr>
          <cdr:cNvPr id="78" name="ZoneTexte 1"/>
          <cdr:cNvSpPr txBox="1"/>
        </cdr:nvSpPr>
        <cdr:spPr>
          <a:xfrm xmlns:a="http://schemas.openxmlformats.org/drawingml/2006/main">
            <a:off x="7520154" y="2364785"/>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927761-A451-4312-BDBC-B54595157844}" type="TxLink">
              <a:rPr lang="fr-FR" sz="900" b="1" i="0" u="none" strike="noStrike">
                <a:solidFill>
                  <a:srgbClr val="000000"/>
                </a:solidFill>
                <a:latin typeface="+mn-lt"/>
                <a:cs typeface="Calibri"/>
              </a:rPr>
              <a:pPr algn="l"/>
              <a:t>ND</a:t>
            </a:fld>
            <a:endParaRPr lang="fr-FR" sz="900" b="1">
              <a:latin typeface="+mn-lt"/>
            </a:endParaRPr>
          </a:p>
        </cdr:txBody>
      </cdr:sp>
      <cdr:sp macro="" textlink="Calculs!$Y$214">
        <cdr:nvSpPr>
          <cdr:cNvPr id="79" name="ZoneTexte 1"/>
          <cdr:cNvSpPr txBox="1"/>
        </cdr:nvSpPr>
        <cdr:spPr>
          <a:xfrm xmlns:a="http://schemas.openxmlformats.org/drawingml/2006/main">
            <a:off x="7520154" y="2206763"/>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111C6CF-6996-4656-B2A8-4B846EC1DFA6}" type="TxLink">
              <a:rPr lang="fr-FR" sz="900" b="1" i="0" u="none" strike="noStrike">
                <a:solidFill>
                  <a:srgbClr val="000000"/>
                </a:solidFill>
                <a:latin typeface="+mn-lt"/>
                <a:cs typeface="Calibri"/>
              </a:rPr>
              <a:pPr algn="l"/>
              <a:t>ND</a:t>
            </a:fld>
            <a:endParaRPr lang="fr-FR" sz="900" b="1">
              <a:latin typeface="+mn-lt"/>
            </a:endParaRPr>
          </a:p>
        </cdr:txBody>
      </cdr:sp>
      <cdr:sp macro="" textlink="Calculs!$Y$226">
        <cdr:nvSpPr>
          <cdr:cNvPr id="82" name="ZoneTexte 1"/>
          <cdr:cNvSpPr txBox="1"/>
        </cdr:nvSpPr>
        <cdr:spPr>
          <a:xfrm xmlns:a="http://schemas.openxmlformats.org/drawingml/2006/main">
            <a:off x="7520154" y="3786983"/>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DDFB9F49-0EC8-4D13-8D1E-ED32A0809F5D}" type="TxLink">
              <a:rPr lang="fr-FR" sz="900" b="1" i="0" u="none" strike="noStrike">
                <a:solidFill>
                  <a:srgbClr val="000000"/>
                </a:solidFill>
                <a:latin typeface="+mn-lt"/>
                <a:cs typeface="Calibri"/>
              </a:rPr>
              <a:pPr algn="l"/>
              <a:t>ND</a:t>
            </a:fld>
            <a:endParaRPr lang="fr-FR" sz="900" b="1">
              <a:latin typeface="+mn-lt"/>
            </a:endParaRPr>
          </a:p>
        </cdr:txBody>
      </cdr:sp>
      <cdr:sp macro="" textlink="Calculs!$Y$224">
        <cdr:nvSpPr>
          <cdr:cNvPr id="83" name="ZoneTexte 1"/>
          <cdr:cNvSpPr txBox="1"/>
        </cdr:nvSpPr>
        <cdr:spPr>
          <a:xfrm xmlns:a="http://schemas.openxmlformats.org/drawingml/2006/main">
            <a:off x="7520154" y="3628961"/>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111EACE-A00F-415F-8677-16961836FAD0}" type="TxLink">
              <a:rPr lang="fr-FR" sz="900" b="1" i="0" u="none" strike="noStrike">
                <a:solidFill>
                  <a:srgbClr val="000000"/>
                </a:solidFill>
                <a:latin typeface="+mn-lt"/>
                <a:cs typeface="Calibri"/>
              </a:rPr>
              <a:pPr algn="l"/>
              <a:t>ND</a:t>
            </a:fld>
            <a:endParaRPr lang="fr-FR" sz="900" b="1">
              <a:latin typeface="+mn-lt"/>
            </a:endParaRPr>
          </a:p>
        </cdr:txBody>
      </cdr:sp>
      <cdr:sp macro="" textlink="Calculs!$Y$223">
        <cdr:nvSpPr>
          <cdr:cNvPr id="84" name="ZoneTexte 1"/>
          <cdr:cNvSpPr txBox="1"/>
        </cdr:nvSpPr>
        <cdr:spPr>
          <a:xfrm xmlns:a="http://schemas.openxmlformats.org/drawingml/2006/main">
            <a:off x="7520154" y="3470939"/>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AEF26F0-C3BB-415A-94F0-F4B30FEEED4B}" type="TxLink">
              <a:rPr lang="fr-FR" sz="900" b="1" i="0" u="none" strike="noStrike">
                <a:solidFill>
                  <a:srgbClr val="000000"/>
                </a:solidFill>
                <a:latin typeface="+mn-lt"/>
                <a:cs typeface="Calibri"/>
              </a:rPr>
              <a:pPr algn="l"/>
              <a:t>ND</a:t>
            </a:fld>
            <a:endParaRPr lang="fr-FR" sz="900" b="1">
              <a:latin typeface="+mn-lt"/>
            </a:endParaRPr>
          </a:p>
        </cdr:txBody>
      </cdr:sp>
      <cdr:sp macro="" textlink="Calculs!$Y$222">
        <cdr:nvSpPr>
          <cdr:cNvPr id="85" name="ZoneTexte 1"/>
          <cdr:cNvSpPr txBox="1"/>
        </cdr:nvSpPr>
        <cdr:spPr>
          <a:xfrm xmlns:a="http://schemas.openxmlformats.org/drawingml/2006/main">
            <a:off x="7520154" y="3312917"/>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117A601-F80D-4987-B52C-CD1DAAC64813}" type="TxLink">
              <a:rPr lang="fr-FR" sz="900" b="1" i="0" u="none" strike="noStrike">
                <a:solidFill>
                  <a:srgbClr val="000000"/>
                </a:solidFill>
                <a:latin typeface="+mn-lt"/>
                <a:cs typeface="Calibri"/>
              </a:rPr>
              <a:pPr algn="l"/>
              <a:t>ND</a:t>
            </a:fld>
            <a:endParaRPr lang="fr-FR" sz="900" b="1">
              <a:latin typeface="+mn-lt"/>
            </a:endParaRPr>
          </a:p>
        </cdr:txBody>
      </cdr:sp>
      <cdr:sp macro="" textlink="Calculs!$Y$220">
        <cdr:nvSpPr>
          <cdr:cNvPr id="86" name="ZoneTexte 1"/>
          <cdr:cNvSpPr txBox="1"/>
        </cdr:nvSpPr>
        <cdr:spPr>
          <a:xfrm xmlns:a="http://schemas.openxmlformats.org/drawingml/2006/main">
            <a:off x="7520154" y="3154895"/>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2D29691-D3E1-45D2-AB35-6D3D1271D5DB}" type="TxLink">
              <a:rPr lang="fr-FR" sz="900" b="1" i="0" u="none" strike="noStrike">
                <a:solidFill>
                  <a:srgbClr val="000000"/>
                </a:solidFill>
                <a:latin typeface="+mn-lt"/>
                <a:cs typeface="Calibri"/>
              </a:rPr>
              <a:pPr algn="l"/>
              <a:t>ND</a:t>
            </a:fld>
            <a:endParaRPr lang="fr-FR" sz="900" b="1">
              <a:latin typeface="+mn-lt"/>
            </a:endParaRPr>
          </a:p>
        </cdr:txBody>
      </cdr:sp>
      <cdr:sp macro="" textlink="Calculs!$Y$219">
        <cdr:nvSpPr>
          <cdr:cNvPr id="87" name="ZoneTexte 1"/>
          <cdr:cNvSpPr txBox="1"/>
        </cdr:nvSpPr>
        <cdr:spPr>
          <a:xfrm xmlns:a="http://schemas.openxmlformats.org/drawingml/2006/main">
            <a:off x="7520154" y="2996873"/>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28A3195-1948-4E9B-9F42-2A4808DC3143}" type="TxLink">
              <a:rPr lang="fr-FR" sz="900" b="1" i="0" u="none" strike="noStrike">
                <a:solidFill>
                  <a:srgbClr val="000000"/>
                </a:solidFill>
                <a:latin typeface="+mn-lt"/>
                <a:cs typeface="Calibri"/>
              </a:rPr>
              <a:pPr algn="l"/>
              <a:t>ND</a:t>
            </a:fld>
            <a:endParaRPr lang="fr-FR" sz="900" b="1">
              <a:latin typeface="+mn-lt"/>
            </a:endParaRPr>
          </a:p>
        </cdr:txBody>
      </cdr:sp>
      <cdr:sp macro="" textlink="Calculs!$Y$228">
        <cdr:nvSpPr>
          <cdr:cNvPr id="88" name="ZoneTexte 1"/>
          <cdr:cNvSpPr txBox="1"/>
        </cdr:nvSpPr>
        <cdr:spPr>
          <a:xfrm xmlns:a="http://schemas.openxmlformats.org/drawingml/2006/main">
            <a:off x="7520154" y="3945005"/>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5DB97231-A90A-4CA7-AAF7-EBBB3CC240B9}" type="TxLink">
              <a:rPr lang="fr-FR" sz="900" b="1" i="0" u="none" strike="noStrike">
                <a:solidFill>
                  <a:srgbClr val="000000"/>
                </a:solidFill>
                <a:latin typeface="+mn-lt"/>
                <a:cs typeface="Calibri"/>
              </a:rPr>
              <a:pPr algn="l"/>
              <a:t>ND</a:t>
            </a:fld>
            <a:endParaRPr lang="fr-FR" sz="900" b="1">
              <a:latin typeface="+mn-lt"/>
            </a:endParaRPr>
          </a:p>
        </cdr:txBody>
      </cdr:sp>
      <cdr:sp macro="" textlink="Calculs!$Y$230">
        <cdr:nvSpPr>
          <cdr:cNvPr id="89" name="ZoneTexte 1"/>
          <cdr:cNvSpPr txBox="1"/>
        </cdr:nvSpPr>
        <cdr:spPr>
          <a:xfrm xmlns:a="http://schemas.openxmlformats.org/drawingml/2006/main">
            <a:off x="7520154" y="4103027"/>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A548B35-C887-43A0-B679-3E83D9C91869}" type="TxLink">
              <a:rPr lang="fr-FR" sz="900" b="1" i="0" u="none" strike="noStrike">
                <a:solidFill>
                  <a:srgbClr val="000000"/>
                </a:solidFill>
                <a:latin typeface="+mn-lt"/>
                <a:cs typeface="Calibri"/>
              </a:rPr>
              <a:pPr algn="l"/>
              <a:t>ND</a:t>
            </a:fld>
            <a:endParaRPr lang="fr-FR" sz="900" b="1">
              <a:latin typeface="+mn-lt"/>
            </a:endParaRPr>
          </a:p>
        </cdr:txBody>
      </cdr:sp>
      <cdr:sp macro="" textlink="Calculs!$Y$233">
        <cdr:nvSpPr>
          <cdr:cNvPr id="90" name="ZoneTexte 1"/>
          <cdr:cNvSpPr txBox="1"/>
        </cdr:nvSpPr>
        <cdr:spPr>
          <a:xfrm xmlns:a="http://schemas.openxmlformats.org/drawingml/2006/main">
            <a:off x="7520154" y="4419071"/>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75B3BFF-2F88-4DC9-B1DC-5553DF8AC63E}" type="TxLink">
              <a:rPr lang="fr-FR" sz="900" b="1" i="0" u="none" strike="noStrike">
                <a:solidFill>
                  <a:srgbClr val="000000"/>
                </a:solidFill>
                <a:latin typeface="+mn-lt"/>
                <a:cs typeface="Calibri"/>
              </a:rPr>
              <a:pPr algn="l"/>
              <a:t>ND</a:t>
            </a:fld>
            <a:endParaRPr lang="fr-FR" sz="900" b="1">
              <a:latin typeface="+mn-lt"/>
            </a:endParaRPr>
          </a:p>
        </cdr:txBody>
      </cdr:sp>
      <cdr:sp macro="" textlink="Calculs!$Y$234">
        <cdr:nvSpPr>
          <cdr:cNvPr id="91" name="ZoneTexte 1"/>
          <cdr:cNvSpPr txBox="1"/>
        </cdr:nvSpPr>
        <cdr:spPr>
          <a:xfrm xmlns:a="http://schemas.openxmlformats.org/drawingml/2006/main">
            <a:off x="7520154" y="4577093"/>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236813F-CC0C-4398-9224-2BDE3FA59E88}" type="TxLink">
              <a:rPr lang="fr-FR" sz="900" b="1" i="0" u="none" strike="noStrike">
                <a:solidFill>
                  <a:srgbClr val="000000"/>
                </a:solidFill>
                <a:latin typeface="+mn-lt"/>
                <a:cs typeface="Calibri"/>
              </a:rPr>
              <a:pPr algn="l"/>
              <a:t>ND</a:t>
            </a:fld>
            <a:endParaRPr lang="fr-FR" sz="900" b="1">
              <a:latin typeface="+mn-lt"/>
            </a:endParaRPr>
          </a:p>
        </cdr:txBody>
      </cdr:sp>
      <cdr:sp macro="" textlink="Calculs!$Y$236">
        <cdr:nvSpPr>
          <cdr:cNvPr id="92" name="ZoneTexte 1"/>
          <cdr:cNvSpPr txBox="1"/>
        </cdr:nvSpPr>
        <cdr:spPr>
          <a:xfrm xmlns:a="http://schemas.openxmlformats.org/drawingml/2006/main">
            <a:off x="7520154" y="4735115"/>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795761-420A-4B01-8680-8AED6DA4B598}" type="TxLink">
              <a:rPr lang="fr-FR" sz="900" b="1" i="0" u="none" strike="noStrike">
                <a:solidFill>
                  <a:srgbClr val="000000"/>
                </a:solidFill>
                <a:latin typeface="+mn-lt"/>
                <a:cs typeface="Calibri"/>
              </a:rPr>
              <a:pPr algn="l"/>
              <a:t>ND</a:t>
            </a:fld>
            <a:endParaRPr lang="fr-FR" sz="900" b="1">
              <a:latin typeface="+mn-lt"/>
            </a:endParaRPr>
          </a:p>
        </cdr:txBody>
      </cdr:sp>
      <cdr:sp macro="" textlink="Calculs!$Y$237">
        <cdr:nvSpPr>
          <cdr:cNvPr id="93" name="ZoneTexte 1"/>
          <cdr:cNvSpPr txBox="1"/>
        </cdr:nvSpPr>
        <cdr:spPr>
          <a:xfrm xmlns:a="http://schemas.openxmlformats.org/drawingml/2006/main">
            <a:off x="7520154" y="4893137"/>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2132CCD-D56C-4046-B2B1-766BE9CD91A2}" type="TxLink">
              <a:rPr lang="fr-FR" sz="900" b="1" i="0" u="none" strike="noStrike">
                <a:solidFill>
                  <a:srgbClr val="000000"/>
                </a:solidFill>
                <a:latin typeface="+mn-lt"/>
                <a:cs typeface="Calibri"/>
              </a:rPr>
              <a:pPr algn="l"/>
              <a:t>ND</a:t>
            </a:fld>
            <a:endParaRPr lang="fr-FR" sz="900" b="1">
              <a:latin typeface="+mn-lt"/>
            </a:endParaRPr>
          </a:p>
        </cdr:txBody>
      </cdr:sp>
      <cdr:sp macro="" textlink="Calculs!$Y$238">
        <cdr:nvSpPr>
          <cdr:cNvPr id="94" name="ZoneTexte 1"/>
          <cdr:cNvSpPr txBox="1"/>
        </cdr:nvSpPr>
        <cdr:spPr>
          <a:xfrm xmlns:a="http://schemas.openxmlformats.org/drawingml/2006/main">
            <a:off x="7520154" y="5051159"/>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A609977-16FB-47BA-9587-EBF9F5E5F553}" type="TxLink">
              <a:rPr lang="fr-FR" sz="900" b="1" i="0" u="none" strike="noStrike">
                <a:solidFill>
                  <a:srgbClr val="000000"/>
                </a:solidFill>
                <a:latin typeface="+mn-lt"/>
                <a:cs typeface="Calibri"/>
              </a:rPr>
              <a:pPr algn="l"/>
              <a:t>ND</a:t>
            </a:fld>
            <a:endParaRPr lang="fr-FR" sz="900" b="1">
              <a:latin typeface="+mn-lt"/>
            </a:endParaRPr>
          </a:p>
        </cdr:txBody>
      </cdr:sp>
      <cdr:sp macro="" textlink="Calculs!$Y$239">
        <cdr:nvSpPr>
          <cdr:cNvPr id="95" name="ZoneTexte 1"/>
          <cdr:cNvSpPr txBox="1"/>
        </cdr:nvSpPr>
        <cdr:spPr>
          <a:xfrm xmlns:a="http://schemas.openxmlformats.org/drawingml/2006/main">
            <a:off x="7520154" y="5209181"/>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D90A9FE-2B2E-462D-A126-E8111A67C383}" type="TxLink">
              <a:rPr lang="fr-FR" sz="900" b="1" i="0" u="none" strike="noStrike">
                <a:solidFill>
                  <a:srgbClr val="000000"/>
                </a:solidFill>
                <a:latin typeface="+mn-lt"/>
                <a:cs typeface="Calibri"/>
              </a:rPr>
              <a:pPr algn="l"/>
              <a:t>ND</a:t>
            </a:fld>
            <a:endParaRPr lang="fr-FR" sz="900" b="1">
              <a:latin typeface="+mn-lt"/>
            </a:endParaRPr>
          </a:p>
        </cdr:txBody>
      </cdr:sp>
      <cdr:sp macro="" textlink="Calculs!$Y$243">
        <cdr:nvSpPr>
          <cdr:cNvPr id="96" name="ZoneTexte 1"/>
          <cdr:cNvSpPr txBox="1"/>
        </cdr:nvSpPr>
        <cdr:spPr>
          <a:xfrm xmlns:a="http://schemas.openxmlformats.org/drawingml/2006/main">
            <a:off x="7520154" y="5525225"/>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AF8E4C3-C11F-43AC-AF51-73C36EA139AA}" type="TxLink">
              <a:rPr lang="fr-FR" sz="900" b="1" i="0" u="none" strike="noStrike">
                <a:solidFill>
                  <a:srgbClr val="000000"/>
                </a:solidFill>
                <a:latin typeface="+mn-lt"/>
                <a:cs typeface="Calibri"/>
              </a:rPr>
              <a:pPr algn="l"/>
              <a:t>ND</a:t>
            </a:fld>
            <a:endParaRPr lang="fr-FR" sz="900" b="1">
              <a:latin typeface="+mn-lt"/>
            </a:endParaRPr>
          </a:p>
        </cdr:txBody>
      </cdr:sp>
      <cdr:sp macro="" textlink="Calculs!$Y$245">
        <cdr:nvSpPr>
          <cdr:cNvPr id="97" name="ZoneTexte 1"/>
          <cdr:cNvSpPr txBox="1"/>
        </cdr:nvSpPr>
        <cdr:spPr>
          <a:xfrm xmlns:a="http://schemas.openxmlformats.org/drawingml/2006/main">
            <a:off x="7520154" y="5683247"/>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20D50EE-137F-45F7-8129-19BAE725CE55}" type="TxLink">
              <a:rPr lang="fr-FR" sz="900" b="1" i="0" u="none" strike="noStrike">
                <a:solidFill>
                  <a:srgbClr val="000000"/>
                </a:solidFill>
                <a:latin typeface="+mn-lt"/>
                <a:cs typeface="Calibri"/>
              </a:rPr>
              <a:pPr algn="l"/>
              <a:t>ND</a:t>
            </a:fld>
            <a:endParaRPr lang="fr-FR" sz="900" b="1">
              <a:latin typeface="+mn-lt"/>
            </a:endParaRPr>
          </a:p>
        </cdr:txBody>
      </cdr:sp>
      <cdr:sp macro="" textlink="Calculs!$Y$246">
        <cdr:nvSpPr>
          <cdr:cNvPr id="98" name="ZoneTexte 1"/>
          <cdr:cNvSpPr txBox="1"/>
        </cdr:nvSpPr>
        <cdr:spPr>
          <a:xfrm xmlns:a="http://schemas.openxmlformats.org/drawingml/2006/main">
            <a:off x="7520154" y="6157313"/>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024BEC5E-E02F-40B2-8DB6-8E8A7A8DC8EF}" type="TxLink">
              <a:rPr lang="fr-FR" sz="900" b="1" i="0" u="none" strike="noStrike">
                <a:solidFill>
                  <a:srgbClr val="000000"/>
                </a:solidFill>
                <a:latin typeface="+mn-lt"/>
                <a:cs typeface="Calibri"/>
              </a:rPr>
              <a:pPr algn="l"/>
              <a:t>ND</a:t>
            </a:fld>
            <a:endParaRPr lang="fr-FR" sz="900" b="1">
              <a:latin typeface="+mn-lt"/>
            </a:endParaRPr>
          </a:p>
        </cdr:txBody>
      </cdr:sp>
      <cdr:sp macro="" textlink="Calculs!$Y$247">
        <cdr:nvSpPr>
          <cdr:cNvPr id="121" name="ZoneTexte 1"/>
          <cdr:cNvSpPr txBox="1"/>
        </cdr:nvSpPr>
        <cdr:spPr>
          <a:xfrm xmlns:a="http://schemas.openxmlformats.org/drawingml/2006/main">
            <a:off x="7520154" y="6315322"/>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04D4E8-CD17-4BE6-B6FC-5D7C465DE892}" type="TxLink">
              <a:rPr lang="fr-FR" sz="900" b="1" i="0" u="none" strike="noStrike">
                <a:solidFill>
                  <a:srgbClr val="000000"/>
                </a:solidFill>
                <a:latin typeface="+mn-lt"/>
                <a:cs typeface="Calibri"/>
              </a:rPr>
              <a:pPr algn="l"/>
              <a:t>ND</a:t>
            </a:fld>
            <a:endParaRPr lang="fr-FR" sz="900" b="1">
              <a:latin typeface="+mn-lt"/>
            </a:endParaRPr>
          </a:p>
        </cdr:txBody>
      </cdr:sp>
      <cdr:sp macro="" textlink="Calculs!$Y$244">
        <cdr:nvSpPr>
          <cdr:cNvPr id="134" name="ZoneTexte 1"/>
          <cdr:cNvSpPr txBox="1"/>
        </cdr:nvSpPr>
        <cdr:spPr>
          <a:xfrm xmlns:a="http://schemas.openxmlformats.org/drawingml/2006/main">
            <a:off x="7520154" y="5999291"/>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DCD7737-432E-4BC6-851E-3B618429F4A1}" type="TxLink">
              <a:rPr lang="fr-FR" sz="900" b="1" i="0" u="none" strike="noStrike">
                <a:solidFill>
                  <a:srgbClr val="000000"/>
                </a:solidFill>
                <a:latin typeface="+mn-lt"/>
                <a:cs typeface="Calibri"/>
              </a:rPr>
              <a:pPr algn="l"/>
              <a:t>ND</a:t>
            </a:fld>
            <a:endParaRPr lang="fr-FR" sz="900" b="1">
              <a:latin typeface="+mn-lt"/>
            </a:endParaRPr>
          </a:p>
        </cdr:txBody>
      </cdr:sp>
      <cdr:sp macro="" textlink="Calculs!$Y$241">
        <cdr:nvSpPr>
          <cdr:cNvPr id="135" name="ZoneTexte 1"/>
          <cdr:cNvSpPr txBox="1"/>
        </cdr:nvSpPr>
        <cdr:spPr>
          <a:xfrm xmlns:a="http://schemas.openxmlformats.org/drawingml/2006/main">
            <a:off x="7520154" y="5841269"/>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CDC3BAE3-2E1A-43E1-B7D1-4CF9310F4EFE}" type="TxLink">
              <a:rPr lang="fr-FR" sz="900" b="1" i="0" u="none" strike="noStrike">
                <a:solidFill>
                  <a:srgbClr val="000000"/>
                </a:solidFill>
                <a:latin typeface="+mn-lt"/>
                <a:cs typeface="Calibri"/>
              </a:rPr>
              <a:pPr algn="l"/>
              <a:t>ND</a:t>
            </a:fld>
            <a:endParaRPr lang="fr-FR" sz="900" b="1">
              <a:latin typeface="+mn-lt"/>
            </a:endParaRPr>
          </a:p>
        </cdr:txBody>
      </cdr:sp>
      <cdr:sp macro="" textlink="Calculs!$Y$212">
        <cdr:nvSpPr>
          <cdr:cNvPr id="139" name="ZoneTexte 1"/>
          <cdr:cNvSpPr txBox="1"/>
        </cdr:nvSpPr>
        <cdr:spPr>
          <a:xfrm xmlns:a="http://schemas.openxmlformats.org/drawingml/2006/main">
            <a:off x="7520154" y="2048741"/>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99E1C6C1-4212-4ED7-92FC-6ED83F211D30}" type="TxLink">
              <a:rPr lang="fr-FR" sz="900" b="1" i="0" u="none" strike="noStrike">
                <a:solidFill>
                  <a:srgbClr val="000000"/>
                </a:solidFill>
                <a:latin typeface="+mn-lt"/>
                <a:cs typeface="Calibri"/>
              </a:rPr>
              <a:pPr algn="l"/>
              <a:t>ND</a:t>
            </a:fld>
            <a:endParaRPr lang="fr-FR" sz="900" b="1">
              <a:latin typeface="+mn-lt"/>
            </a:endParaRPr>
          </a:p>
        </cdr:txBody>
      </cdr:sp>
      <cdr:sp macro="" textlink="Calculs!$Y$240">
        <cdr:nvSpPr>
          <cdr:cNvPr id="199" name="ZoneTexte 1"/>
          <cdr:cNvSpPr txBox="1"/>
        </cdr:nvSpPr>
        <cdr:spPr>
          <a:xfrm xmlns:a="http://schemas.openxmlformats.org/drawingml/2006/main">
            <a:off x="7520154" y="5367203"/>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7E9F6D9C-B8B0-46F9-82F8-3D7D6B2557DB}" type="TxLink">
              <a:rPr lang="fr-FR" sz="900" b="1" i="0" u="none" strike="noStrike">
                <a:solidFill>
                  <a:srgbClr val="000000"/>
                </a:solidFill>
                <a:latin typeface="+mn-lt"/>
                <a:cs typeface="Calibri"/>
              </a:rPr>
              <a:pPr algn="l"/>
              <a:t>ND</a:t>
            </a:fld>
            <a:endParaRPr lang="fr-FR" sz="900" b="1">
              <a:latin typeface="+mn-lt"/>
            </a:endParaRPr>
          </a:p>
        </cdr:txBody>
      </cdr:sp>
      <cdr:sp macro="" textlink="Calculs!$Y$231">
        <cdr:nvSpPr>
          <cdr:cNvPr id="200" name="ZoneTexte 1"/>
          <cdr:cNvSpPr txBox="1"/>
        </cdr:nvSpPr>
        <cdr:spPr>
          <a:xfrm xmlns:a="http://schemas.openxmlformats.org/drawingml/2006/main">
            <a:off x="7520154" y="4261049"/>
            <a:ext cx="540066" cy="147600"/>
          </a:xfrm>
          <a:prstGeom xmlns:a="http://schemas.openxmlformats.org/drawingml/2006/main" prst="rect">
            <a:avLst/>
          </a:prstGeom>
        </cdr:spPr>
        <cdr:txBody>
          <a:bodyPr xmlns:a="http://schemas.openxmlformats.org/drawingml/2006/main" wrap="square" lIns="72000" tIns="36000" rIns="0" bIns="0"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7E250A-AA8B-49E7-83A4-946B17127FD9}" type="TxLink">
              <a:rPr lang="fr-FR" sz="900" b="1" i="0" u="none" strike="noStrike">
                <a:solidFill>
                  <a:srgbClr val="000000"/>
                </a:solidFill>
                <a:latin typeface="+mn-lt"/>
                <a:cs typeface="Calibri"/>
              </a:rPr>
              <a:pPr algn="l"/>
              <a:t>ND</a:t>
            </a:fld>
            <a:endParaRPr lang="fr-FR" sz="900" b="1">
              <a:latin typeface="+mn-lt"/>
            </a:endParaRPr>
          </a:p>
        </cdr:txBody>
      </cdr:sp>
    </cdr:grpSp>
  </cdr:relSizeAnchor>
  <cdr:relSizeAnchor xmlns:cdr="http://schemas.openxmlformats.org/drawingml/2006/chartDrawing">
    <cdr:from>
      <cdr:x>0.21259</cdr:x>
      <cdr:y>0.43827</cdr:y>
    </cdr:from>
    <cdr:to>
      <cdr:x>0.99696</cdr:x>
      <cdr:y>0.5</cdr:y>
    </cdr:to>
    <cdr:sp macro="" textlink="">
      <cdr:nvSpPr>
        <cdr:cNvPr id="99" name="ZoneTexte 98"/>
        <cdr:cNvSpPr txBox="1"/>
      </cdr:nvSpPr>
      <cdr:spPr>
        <a:xfrm xmlns:a="http://schemas.openxmlformats.org/drawingml/2006/main" rot="19739527">
          <a:off x="2148417" y="3005666"/>
          <a:ext cx="7926916" cy="42333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fr-FR" sz="2800" b="1">
              <a:solidFill>
                <a:srgbClr val="FF0000"/>
              </a:solidFill>
            </a:rPr>
            <a:t>Feuille non mise à jour dans la version 7.1</a:t>
          </a:r>
        </a:p>
      </cdr:txBody>
    </cdr:sp>
  </cdr:relSizeAnchor>
  <cdr:relSizeAnchor xmlns:cdr="http://schemas.openxmlformats.org/drawingml/2006/chartDrawing">
    <cdr:from>
      <cdr:x>0.22702</cdr:x>
      <cdr:y>0.07844</cdr:y>
    </cdr:from>
    <cdr:to>
      <cdr:x>0.3718</cdr:x>
      <cdr:y>0.1184</cdr:y>
    </cdr:to>
    <cdr:sp macro="" textlink="'Saisie données stocks'!$D$102">
      <cdr:nvSpPr>
        <cdr:cNvPr id="3"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0.18464</cdr:x>
      <cdr:y>0.04197</cdr:y>
    </cdr:from>
    <cdr:to>
      <cdr:x>0.32942</cdr:x>
      <cdr:y>0.08446</cdr:y>
    </cdr:to>
    <cdr:sp macro="" textlink="Paramétrage!$D$11">
      <cdr:nvSpPr>
        <cdr:cNvPr id="5" name="ZoneTexte 1"/>
        <cdr:cNvSpPr txBox="1"/>
      </cdr:nvSpPr>
      <cdr:spPr>
        <a:xfrm xmlns:a="http://schemas.openxmlformats.org/drawingml/2006/main">
          <a:off x="1876642" y="288771"/>
          <a:ext cx="1471505" cy="29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76A2C772-F09F-4237-ADA3-BA2E7BC283EF}" type="TxLink">
            <a:rPr lang="fr-FR" sz="1100" b="1" i="1" u="none" strike="noStrike">
              <a:solidFill>
                <a:srgbClr val="000000"/>
              </a:solidFill>
              <a:latin typeface="Calibri"/>
              <a:cs typeface="Calibri"/>
            </a:rPr>
            <a:pPr/>
            <a:t>TEST</a:t>
          </a:fld>
          <a:endParaRPr lang="fr-FR" sz="1100" b="1" i="1"/>
        </a:p>
      </cdr:txBody>
    </cdr:sp>
  </cdr:relSizeAnchor>
  <cdr:relSizeAnchor xmlns:cdr="http://schemas.openxmlformats.org/drawingml/2006/chartDrawing">
    <cdr:from>
      <cdr:x>0.22702</cdr:x>
      <cdr:y>0.07844</cdr:y>
    </cdr:from>
    <cdr:to>
      <cdr:x>0.3718</cdr:x>
      <cdr:y>0.1184</cdr:y>
    </cdr:to>
    <cdr:sp macro="" textlink="'Saisie données stocks'!$D$102">
      <cdr:nvSpPr>
        <cdr:cNvPr id="38" name="ZoneTexte 7"/>
        <cdr:cNvSpPr txBox="1"/>
      </cdr:nvSpPr>
      <cdr:spPr>
        <a:xfrm xmlns:a="http://schemas.openxmlformats.org/drawingml/2006/main">
          <a:off x="2294305" y="537940"/>
          <a:ext cx="1463151" cy="27404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EE9E9B2F-76F4-4407-A861-6458F512E381}" type="TxLink">
            <a:rPr lang="fr-FR" sz="1100" b="1" i="1"/>
            <a:pPr/>
            <a:t> </a:t>
          </a:fld>
          <a:endParaRPr lang="fr-FR" sz="1100" b="1" i="1"/>
        </a:p>
      </cdr:txBody>
    </cdr:sp>
  </cdr:relSizeAnchor>
  <cdr:relSizeAnchor xmlns:cdr="http://schemas.openxmlformats.org/drawingml/2006/chartDrawing">
    <cdr:from>
      <cdr:x>0.86992</cdr:x>
      <cdr:y>0.00664</cdr:y>
    </cdr:from>
    <cdr:to>
      <cdr:x>0.99224</cdr:x>
      <cdr:y>0.09314</cdr:y>
    </cdr:to>
    <cdr:pic>
      <cdr:nvPicPr>
        <cdr:cNvPr id="40" name="Image 1" descr="logo_DEF réduit 2.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791415" y="45524"/>
          <a:ext cx="1236169" cy="593217"/>
        </a:xfrm>
        <a:prstGeom xmlns:a="http://schemas.openxmlformats.org/drawingml/2006/main" prst="rect">
          <a:avLst/>
        </a:prstGeom>
      </cdr:spPr>
    </cdr:pic>
  </cdr:relSizeAnchor>
  <cdr:relSizeAnchor xmlns:cdr="http://schemas.openxmlformats.org/drawingml/2006/chartDrawing">
    <cdr:from>
      <cdr:x>0.76066</cdr:x>
      <cdr:y>0.95261</cdr:y>
    </cdr:from>
    <cdr:to>
      <cdr:x>0.78616</cdr:x>
      <cdr:y>0.98529</cdr:y>
    </cdr:to>
    <cdr:sp macro="" textlink="'Saisie données stocks'!$D$92">
      <cdr:nvSpPr>
        <cdr:cNvPr id="41" name="ZoneTexte 117"/>
        <cdr:cNvSpPr txBox="1"/>
      </cdr:nvSpPr>
      <cdr:spPr>
        <a:xfrm xmlns:a="http://schemas.openxmlformats.org/drawingml/2006/main">
          <a:off x="7687235" y="6533031"/>
          <a:ext cx="257735" cy="2241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87750ADB-372E-4A35-9D7B-57459598AEE4}" type="TxLink">
            <a:rPr lang="fr-FR" sz="1000"/>
            <a:pPr/>
            <a:t> </a:t>
          </a:fld>
          <a:endParaRPr lang="fr-FR" sz="1000"/>
        </a:p>
      </cdr:txBody>
    </cdr:sp>
  </cdr:relSizeAnchor>
  <cdr:relSizeAnchor xmlns:cdr="http://schemas.openxmlformats.org/drawingml/2006/chartDrawing">
    <cdr:from>
      <cdr:x>0.21512</cdr:x>
      <cdr:y>0.07353</cdr:y>
    </cdr:from>
    <cdr:to>
      <cdr:x>0.3599</cdr:x>
      <cdr:y>0.11602</cdr:y>
    </cdr:to>
    <cdr:sp macro="" textlink="Paramétrage!$H$19">
      <cdr:nvSpPr>
        <cdr:cNvPr id="43" name="ZoneTexte 1"/>
        <cdr:cNvSpPr txBox="1"/>
      </cdr:nvSpPr>
      <cdr:spPr>
        <a:xfrm xmlns:a="http://schemas.openxmlformats.org/drawingml/2006/main">
          <a:off x="2181066" y="505047"/>
          <a:ext cx="1467900" cy="2918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4578DD77-85BC-4494-BDA9-B481CA4655DE}" type="TxLink">
            <a:rPr lang="fr-FR" sz="1100" b="1" i="1" u="none" strike="noStrike">
              <a:solidFill>
                <a:srgbClr val="000000"/>
              </a:solidFill>
              <a:latin typeface="+mn-lt"/>
            </a:rPr>
            <a:pPr/>
            <a:t>07/10/2014</a:t>
          </a:fld>
          <a:endParaRPr lang="fr-FR" sz="1100" b="1" i="1">
            <a:latin typeface="+mn-lt"/>
          </a:endParaRPr>
        </a:p>
      </cdr:txBody>
    </cdr:sp>
  </cdr:relSizeAnchor>
  <cdr:relSizeAnchor xmlns:cdr="http://schemas.openxmlformats.org/drawingml/2006/chartDrawing">
    <cdr:from>
      <cdr:x>0.83052</cdr:x>
      <cdr:y>0.94771</cdr:y>
    </cdr:from>
    <cdr:to>
      <cdr:x>0.90481</cdr:x>
      <cdr:y>0.98203</cdr:y>
    </cdr:to>
    <cdr:sp macro="" textlink="Calculs!$D$483">
      <cdr:nvSpPr>
        <cdr:cNvPr id="45" name="ZoneTexte 99"/>
        <cdr:cNvSpPr txBox="1"/>
      </cdr:nvSpPr>
      <cdr:spPr>
        <a:xfrm xmlns:a="http://schemas.openxmlformats.org/drawingml/2006/main">
          <a:off x="8441185" y="6520635"/>
          <a:ext cx="755064" cy="2361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87704AC-6F74-48FE-B04C-054A59805648}" type="TxLink">
            <a:rPr lang="fr-FR" sz="1000" b="1" i="1"/>
            <a:pPr/>
            <a:t> </a:t>
          </a:fld>
          <a:endParaRPr lang="fr-FR" sz="1000" b="1" i="1"/>
        </a:p>
      </cdr:txBody>
    </cdr:sp>
  </cdr:relSizeAnchor>
  <cdr:relSizeAnchor xmlns:cdr="http://schemas.openxmlformats.org/drawingml/2006/chartDrawing">
    <cdr:from>
      <cdr:x>0.60764</cdr:x>
      <cdr:y>0.97876</cdr:y>
    </cdr:from>
    <cdr:to>
      <cdr:x>0.61984</cdr:x>
      <cdr:y>0.99183</cdr:y>
    </cdr:to>
    <cdr:sp macro="" textlink="">
      <cdr:nvSpPr>
        <cdr:cNvPr id="48" name="Rectangle 102"/>
        <cdr:cNvSpPr/>
      </cdr:nvSpPr>
      <cdr:spPr>
        <a:xfrm xmlns:a="http://schemas.openxmlformats.org/drawingml/2006/main">
          <a:off x="6140823" y="6712324"/>
          <a:ext cx="123265" cy="89647"/>
        </a:xfrm>
        <a:prstGeom xmlns:a="http://schemas.openxmlformats.org/drawingml/2006/main" prst="rect">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0.62205</cdr:x>
      <cdr:y>0.96732</cdr:y>
    </cdr:from>
    <cdr:to>
      <cdr:x>0.89688</cdr:x>
      <cdr:y>1</cdr:y>
    </cdr:to>
    <cdr:sp macro="" textlink="'TRAD-visualiz'!$B$10">
      <cdr:nvSpPr>
        <cdr:cNvPr id="104" name="ZoneTexte 2"/>
        <cdr:cNvSpPr txBox="1"/>
      </cdr:nvSpPr>
      <cdr:spPr>
        <a:xfrm xmlns:a="http://schemas.openxmlformats.org/drawingml/2006/main">
          <a:off x="6286501" y="6667499"/>
          <a:ext cx="2777378" cy="224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7F9E4DC-EF46-4157-B13A-471026C5B3CD}" type="TxLink">
            <a:rPr lang="en-US" sz="1000" b="0" i="0" u="none" strike="noStrike">
              <a:solidFill>
                <a:srgbClr val="000000"/>
              </a:solidFill>
              <a:latin typeface="Arialri"/>
              <a:cs typeface="Calibri"/>
            </a:rPr>
            <a:pPr/>
            <a:t>Période pendant laquelle le ST a été utilisé </a:t>
          </a:fld>
          <a:endParaRPr lang="fr-FR" sz="1000"/>
        </a:p>
      </cdr:txBody>
    </cdr:sp>
  </cdr:relSizeAnchor>
  <cdr:relSizeAnchor xmlns:cdr="http://schemas.openxmlformats.org/drawingml/2006/chartDrawing">
    <cdr:from>
      <cdr:x>0.39031</cdr:x>
      <cdr:y>0.09967</cdr:y>
    </cdr:from>
    <cdr:to>
      <cdr:x>0.53668</cdr:x>
      <cdr:y>0.14136</cdr:y>
    </cdr:to>
    <cdr:sp macro="" textlink="'TRAD-visualiz'!$B$7">
      <cdr:nvSpPr>
        <cdr:cNvPr id="112" name="ZoneTexte 6"/>
        <cdr:cNvSpPr txBox="1"/>
      </cdr:nvSpPr>
      <cdr:spPr>
        <a:xfrm xmlns:a="http://schemas.openxmlformats.org/drawingml/2006/main">
          <a:off x="3944438" y="683551"/>
          <a:ext cx="1479219" cy="2859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6F9268AD-AB9D-45E8-B102-CDDB65A22126}" type="TxLink">
            <a:rPr lang="en-US" sz="1000" b="0" i="0" u="none" strike="noStrike">
              <a:solidFill>
                <a:srgbClr val="000000"/>
              </a:solidFill>
              <a:latin typeface="Arialri"/>
              <a:cs typeface="Calibri"/>
            </a:rPr>
            <a:pPr/>
            <a:t>Dates de péremption </a:t>
          </a:fld>
          <a:endParaRPr lang="fr-FR" sz="1100" i="1"/>
        </a:p>
      </cdr:txBody>
    </cdr:sp>
  </cdr:relSizeAnchor>
  <cdr:relSizeAnchor xmlns:cdr="http://schemas.openxmlformats.org/drawingml/2006/chartDrawing">
    <cdr:from>
      <cdr:x>0.52337</cdr:x>
      <cdr:y>0.09967</cdr:y>
    </cdr:from>
    <cdr:to>
      <cdr:x>0.84493</cdr:x>
      <cdr:y>0.14216</cdr:y>
    </cdr:to>
    <cdr:sp macro="" textlink="Calculs!$F$499">
      <cdr:nvSpPr>
        <cdr:cNvPr id="113" name="ZoneTexte 1"/>
        <cdr:cNvSpPr txBox="1"/>
      </cdr:nvSpPr>
      <cdr:spPr>
        <a:xfrm xmlns:a="http://schemas.openxmlformats.org/drawingml/2006/main">
          <a:off x="5289146" y="683551"/>
          <a:ext cx="3249693" cy="291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F9CA643B-7140-466F-BA78-FD8CDAF37411}" type="TxLink">
            <a:rPr lang="en-US" sz="1100" b="1" i="1" u="none" strike="noStrike">
              <a:solidFill>
                <a:srgbClr val="C00000"/>
              </a:solidFill>
              <a:latin typeface="Calibri"/>
              <a:ea typeface="+mn-ea"/>
              <a:cs typeface="+mn-cs"/>
            </a:rPr>
            <a:pPr/>
            <a:t>Prises en compte</a:t>
          </a:fld>
          <a:endParaRPr lang="fr-FR" sz="1100" b="1" i="1" u="none" strike="noStrike">
            <a:solidFill>
              <a:srgbClr val="C00000"/>
            </a:solidFill>
            <a:latin typeface="Calibri"/>
            <a:ea typeface="+mn-ea"/>
            <a:cs typeface="+mn-cs"/>
          </a:endParaRPr>
        </a:p>
      </cdr:txBody>
    </cdr:sp>
  </cdr:relSizeAnchor>
  <cdr:relSizeAnchor xmlns:cdr="http://schemas.openxmlformats.org/drawingml/2006/chartDrawing">
    <cdr:from>
      <cdr:x>0.34502</cdr:x>
      <cdr:y>0.00335</cdr:y>
    </cdr:from>
    <cdr:to>
      <cdr:x>0.48945</cdr:x>
      <cdr:y>0.03755</cdr:y>
    </cdr:to>
    <cdr:sp macro="" textlink="'TRAD-visualiz'!$B$14">
      <cdr:nvSpPr>
        <cdr:cNvPr id="114" name="ZoneTexte 1"/>
        <cdr:cNvSpPr txBox="1"/>
      </cdr:nvSpPr>
      <cdr:spPr>
        <a:xfrm xmlns:a="http://schemas.openxmlformats.org/drawingml/2006/main">
          <a:off x="3498079" y="23003"/>
          <a:ext cx="1464352" cy="2349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9FE48354-86C7-4D9C-8821-C76B9C93DDC3}" type="TxLink">
            <a:rPr lang="en-US" sz="1200" b="1" i="0" u="none" strike="noStrike">
              <a:solidFill>
                <a:srgbClr val="FF0000"/>
              </a:solidFill>
              <a:latin typeface="Arialri"/>
              <a:cs typeface="Calibri"/>
            </a:rPr>
            <a:pPr/>
            <a:t> Comprimés - CDF</a:t>
          </a:fld>
          <a:endParaRPr lang="fr-FR" sz="1200" b="1">
            <a:solidFill>
              <a:srgbClr val="FF0000"/>
            </a:solidFill>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10138833" cy="686858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act@solthis.org" TargetMode="External"/><Relationship Id="rId1" Type="http://schemas.openxmlformats.org/officeDocument/2006/relationships/hyperlink" Target="http://creativecommons.org/licenses/by-nc-sa/3.0/" TargetMode="External"/><Relationship Id="rId4"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0"/>
  </sheetPr>
  <dimension ref="A2:R142"/>
  <sheetViews>
    <sheetView showGridLines="0" topLeftCell="A37" zoomScale="70" zoomScaleNormal="70" workbookViewId="0">
      <selection activeCell="E2" sqref="E2"/>
    </sheetView>
  </sheetViews>
  <sheetFormatPr defaultColWidth="11.42578125" defaultRowHeight="12.75" x14ac:dyDescent="0.2"/>
  <cols>
    <col min="1" max="1" width="11.42578125" style="4"/>
    <col min="2" max="2" width="7.7109375" style="4" customWidth="1"/>
    <col min="3" max="3" width="30.140625" style="4" customWidth="1"/>
    <col min="4" max="4" width="34.28515625" style="4" customWidth="1"/>
    <col min="5" max="5" width="17.5703125" style="4" customWidth="1"/>
    <col min="6" max="6" width="18.85546875" style="4" customWidth="1"/>
    <col min="7" max="7" width="18.5703125" style="4" customWidth="1"/>
    <col min="8" max="8" width="13.5703125" style="4" customWidth="1"/>
    <col min="9" max="9" width="13.42578125" style="4" customWidth="1"/>
    <col min="10" max="16384" width="11.42578125" style="4"/>
  </cols>
  <sheetData>
    <row r="2" spans="1:18" x14ac:dyDescent="0.2">
      <c r="B2" s="5" t="s">
        <v>868</v>
      </c>
      <c r="E2" s="2765" t="s">
        <v>866</v>
      </c>
    </row>
    <row r="3" spans="1:18" customFormat="1" x14ac:dyDescent="0.2"/>
    <row r="4" spans="1:18" ht="22.5" x14ac:dyDescent="0.2">
      <c r="A4" s="3210" t="str">
        <f>'TRAD-Présentation'!B3</f>
        <v>Tableau de bord Evaluation de la disponibilité en ARV</v>
      </c>
      <c r="B4" s="3210"/>
      <c r="C4" s="3210"/>
      <c r="D4" s="3210"/>
      <c r="E4" s="3210"/>
      <c r="F4" s="3210"/>
      <c r="G4" s="3210"/>
      <c r="H4" s="3210"/>
      <c r="I4" s="654"/>
      <c r="J4" s="43"/>
      <c r="K4" s="43"/>
      <c r="L4" s="43"/>
      <c r="M4" s="43"/>
      <c r="N4" s="43"/>
      <c r="O4" s="43"/>
      <c r="P4" s="43"/>
      <c r="Q4" s="43"/>
      <c r="R4" s="43"/>
    </row>
    <row r="6" spans="1:18" x14ac:dyDescent="0.2">
      <c r="B6" s="5" t="str">
        <f>'TRAD-Présentation'!B4</f>
        <v>Version 9.5 FR ENG mise à jour en février 2015 par Solthis</v>
      </c>
    </row>
    <row r="7" spans="1:18" x14ac:dyDescent="0.2">
      <c r="B7" s="22" t="str">
        <f>'TRAD-Présentation'!B5</f>
        <v>Une partie de l'évolution de cet outil a été rendue possible avec le support financier de l'Initiative 5%</v>
      </c>
    </row>
    <row r="8" spans="1:18" x14ac:dyDescent="0.2">
      <c r="B8" s="22"/>
    </row>
    <row r="10" spans="1:18" s="8" customFormat="1" ht="15.75" thickBot="1" x14ac:dyDescent="0.25">
      <c r="A10" s="3211" t="str">
        <f>'TRAD-Présentation'!B6</f>
        <v>Présentation de l'outil et description de la méthode</v>
      </c>
      <c r="B10" s="3211"/>
      <c r="C10" s="3211"/>
      <c r="D10" s="3211"/>
      <c r="E10" s="3211"/>
      <c r="F10" s="3211"/>
      <c r="G10" s="3211"/>
      <c r="H10" s="3211"/>
      <c r="I10" s="6"/>
      <c r="J10" s="7"/>
      <c r="K10" s="7"/>
      <c r="L10" s="7"/>
      <c r="M10" s="7"/>
    </row>
    <row r="12" spans="1:18" s="9" customFormat="1" ht="14.25" x14ac:dyDescent="0.2">
      <c r="B12" s="3208" t="str">
        <f>'TRAD-Présentation'!B7</f>
        <v>Objectifs de l'outil</v>
      </c>
      <c r="C12" s="3208"/>
      <c r="D12" s="3208"/>
      <c r="E12" s="3208"/>
      <c r="F12" s="3208"/>
    </row>
    <row r="13" spans="1:18" s="9" customFormat="1" x14ac:dyDescent="0.2">
      <c r="B13" s="5"/>
    </row>
    <row r="14" spans="1:18" s="9" customFormat="1" x14ac:dyDescent="0.2">
      <c r="B14" s="5" t="str">
        <f>'TRAD-Présentation'!B8</f>
        <v>Prévenir les ruptures de stocks en les anticipant le plus tôt possible pour les prévenir</v>
      </c>
    </row>
    <row r="15" spans="1:18" s="9" customFormat="1" x14ac:dyDescent="0.2">
      <c r="C15" s="5" t="str">
        <f>'TRAD-Présentation'!B9</f>
        <v>Permettre une estimation rapide et simple des périodes de disponibilités des ARV en tenant compte de l'augmentation des besoins liés aux inclusions et changement de traitements</v>
      </c>
    </row>
    <row r="16" spans="1:18" s="9" customFormat="1" x14ac:dyDescent="0.2">
      <c r="C16" s="5" t="str">
        <f>'TRAD-Présentation'!B10</f>
        <v>Réaliser des représentations visuelles des périodes de disponibilités pour communiquer avec des décideurs institutionnels pour les alerter sur des disponibilités critiques</v>
      </c>
    </row>
    <row r="17" spans="2:6" s="9" customFormat="1" x14ac:dyDescent="0.2">
      <c r="B17" s="5"/>
    </row>
    <row r="18" spans="2:6" s="9" customFormat="1" ht="14.25" x14ac:dyDescent="0.2">
      <c r="B18" s="3208" t="str">
        <f>'TRAD-Présentation'!B11</f>
        <v>Structure de l'outil</v>
      </c>
      <c r="C18" s="3208"/>
      <c r="D18" s="3208"/>
      <c r="E18" s="3208"/>
      <c r="F18" s="3208"/>
    </row>
    <row r="19" spans="2:6" s="9" customFormat="1" x14ac:dyDescent="0.2">
      <c r="B19" s="5"/>
    </row>
    <row r="20" spans="2:6" s="9" customFormat="1" x14ac:dyDescent="0.2">
      <c r="B20" s="5" t="str">
        <f>'TRAD-Présentation'!B12</f>
        <v>Ce document est composé dans l'ordre des onglets suivants :</v>
      </c>
    </row>
    <row r="21" spans="2:6" s="9" customFormat="1" x14ac:dyDescent="0.2">
      <c r="B21" s="5"/>
    </row>
    <row r="22" spans="2:6" s="9" customFormat="1" x14ac:dyDescent="0.2">
      <c r="B22" s="5"/>
      <c r="C22" s="5" t="str">
        <f>'TRAD-Présentation'!B13</f>
        <v>1 feuille Présentation</v>
      </c>
    </row>
    <row r="23" spans="2:6" s="9" customFormat="1" x14ac:dyDescent="0.2">
      <c r="B23" s="5"/>
      <c r="C23" s="1340" t="str">
        <f>'TRAD-Présentation'!B14</f>
        <v>4 feuilles Saisie de données</v>
      </c>
      <c r="D23" s="9" t="str">
        <f>'TRAD-Présentation'!B90</f>
        <v>Paramétrage général</v>
      </c>
    </row>
    <row r="24" spans="2:6" s="9" customFormat="1" x14ac:dyDescent="0.2">
      <c r="B24" s="5"/>
      <c r="C24" s="1340"/>
      <c r="D24" s="9" t="str">
        <f>'TRAD-Présentation'!B91</f>
        <v>Saisie des données de stocks</v>
      </c>
    </row>
    <row r="25" spans="2:6" s="9" customFormat="1" x14ac:dyDescent="0.2">
      <c r="B25" s="5"/>
      <c r="C25" s="1340"/>
      <c r="D25" s="9" t="str">
        <f>'TRAD-Présentation'!B92</f>
        <v>Saisie des données de file active / suivi de patients</v>
      </c>
    </row>
    <row r="26" spans="2:6" s="9" customFormat="1" x14ac:dyDescent="0.2">
      <c r="B26" s="5"/>
      <c r="C26" s="1340"/>
      <c r="D26" s="9" t="str">
        <f>'TRAD-Présentation'!B93</f>
        <v>Saisie des données de consommation / distribution</v>
      </c>
    </row>
    <row r="27" spans="2:6" s="9" customFormat="1" x14ac:dyDescent="0.2">
      <c r="C27" s="1341" t="str">
        <f>'TRAD-Présentation'!B15</f>
        <v>4 feuilles de calculs (masquées)</v>
      </c>
      <c r="D27" s="9" t="str">
        <f>'TRAD-Présentation'!B94</f>
        <v>Calculs</v>
      </c>
    </row>
    <row r="28" spans="2:6" s="9" customFormat="1" x14ac:dyDescent="0.2">
      <c r="C28" s="1341"/>
      <c r="D28" s="9" t="str">
        <f>'TRAD-Présentation'!B95</f>
        <v>Détails calculs pédiatriques</v>
      </c>
    </row>
    <row r="29" spans="2:6" s="9" customFormat="1" x14ac:dyDescent="0.2">
      <c r="C29" s="1341"/>
      <c r="D29" s="9" t="str">
        <f>'TRAD-Présentation'!B96</f>
        <v>Analyse des surstocks en fonction des péremptions (données de FA)</v>
      </c>
    </row>
    <row r="30" spans="2:6" s="9" customFormat="1" x14ac:dyDescent="0.2">
      <c r="C30" s="1341"/>
      <c r="D30" s="9" t="str">
        <f>'TRAD-Présentation'!B97</f>
        <v>Analyse des surstocks en fonction des péremptions (données de Conso)</v>
      </c>
    </row>
    <row r="31" spans="2:6" s="9" customFormat="1" x14ac:dyDescent="0.2">
      <c r="C31" s="1342" t="str">
        <f>'TRAD-Présentation'!B16</f>
        <v xml:space="preserve">14 feuilles Résultats </v>
      </c>
      <c r="D31" s="9" t="str">
        <f>'TRAD-Présentation'!B98</f>
        <v>Un menu présente l'ensemble des résultats</v>
      </c>
    </row>
    <row r="32" spans="2:6" s="9" customFormat="1" x14ac:dyDescent="0.2">
      <c r="C32" s="1342"/>
      <c r="D32" s="9" t="str">
        <f>'TRAD-Présentation'!B99</f>
        <v>12 feuilles Résultats graphiques (selon formes et méthode de quanti)</v>
      </c>
    </row>
    <row r="33" spans="2:6" s="9" customFormat="1" x14ac:dyDescent="0.2">
      <c r="C33" s="1342"/>
      <c r="D33" s="9" t="str">
        <f>'TRAD-Présentation'!B100</f>
        <v>Synthèse des stocks et disponibilités</v>
      </c>
    </row>
    <row r="34" spans="2:6" s="9" customFormat="1" x14ac:dyDescent="0.2">
      <c r="C34" s="1342"/>
      <c r="D34" s="9" t="str">
        <f>'TRAD-Présentation'!B101</f>
        <v>Tableau de bord des péremptions et surstocks</v>
      </c>
    </row>
    <row r="35" spans="2:6" s="9" customFormat="1" x14ac:dyDescent="0.2">
      <c r="C35" s="1505" t="str">
        <f>'TRAD-Présentation'!B17</f>
        <v>2 feuilles Quantification</v>
      </c>
      <c r="D35" s="9" t="str">
        <f>'TRAD-Présentation'!B18</f>
        <v>Paramétrage spécifique et résultats</v>
      </c>
    </row>
    <row r="36" spans="2:6" s="9" customFormat="1" x14ac:dyDescent="0.2">
      <c r="C36" s="1505"/>
      <c r="D36" s="9" t="str">
        <f>'TRAD-Présentation'!B19</f>
        <v>Répartition des besoins quantifiés par trimestre</v>
      </c>
    </row>
    <row r="37" spans="2:6" s="9" customFormat="1" x14ac:dyDescent="0.2">
      <c r="C37" s="1343" t="str">
        <f>'TRAD-Présentation'!B21</f>
        <v xml:space="preserve">4 feuilles  impressions </v>
      </c>
      <c r="D37" s="9" t="str">
        <f>'TRAD-Présentation'!B102</f>
        <v>Pour l'impression rapide et mise en page des données saisies</v>
      </c>
    </row>
    <row r="38" spans="2:6" s="9" customFormat="1" x14ac:dyDescent="0.2">
      <c r="C38" s="2766" t="str">
        <f>'TRAD-Présentation'!B20</f>
        <v>16 feuilles Traduction (masquées)</v>
      </c>
    </row>
    <row r="39" spans="2:6" s="9" customFormat="1" x14ac:dyDescent="0.2"/>
    <row r="40" spans="2:6" s="9" customFormat="1" x14ac:dyDescent="0.2"/>
    <row r="41" spans="2:6" ht="14.25" x14ac:dyDescent="0.2">
      <c r="B41" s="3208" t="str">
        <f>'TRAD-Présentation'!B22</f>
        <v>Mode d'emploi</v>
      </c>
      <c r="C41" s="3208"/>
      <c r="D41" s="3208"/>
      <c r="E41" s="3208"/>
      <c r="F41" s="3208"/>
    </row>
    <row r="43" spans="2:6" s="9" customFormat="1" x14ac:dyDescent="0.2">
      <c r="B43" s="5" t="str">
        <f>'TRAD-Présentation'!B23</f>
        <v>1. Première étape : SAISIE</v>
      </c>
    </row>
    <row r="44" spans="2:6" s="9" customFormat="1" ht="13.5" thickBot="1" x14ac:dyDescent="0.25">
      <c r="B44" s="5"/>
      <c r="C44" s="9" t="str">
        <f>'TRAD-Présentation'!B24</f>
        <v>spécifier les données dans les tableaux dans les onglets verts de saisie de données</v>
      </c>
    </row>
    <row r="45" spans="2:6" s="9" customFormat="1" ht="13.5" thickBot="1" x14ac:dyDescent="0.25">
      <c r="B45" s="5"/>
      <c r="D45" s="9" t="str">
        <f>'TRAD-Présentation'!B25</f>
        <v>pour cela, remplir les cases vertes</v>
      </c>
      <c r="F45" s="125"/>
    </row>
    <row r="46" spans="2:6" s="9" customFormat="1" x14ac:dyDescent="0.2">
      <c r="B46" s="5"/>
      <c r="D46" s="9" t="str">
        <f>'TRAD-Présentation'!B26</f>
        <v>et paramétrer toutes les options proposées</v>
      </c>
      <c r="F46" s="1350"/>
    </row>
    <row r="47" spans="2:6" s="9" customFormat="1" x14ac:dyDescent="0.2">
      <c r="B47" s="5"/>
      <c r="C47" s="1349" t="str">
        <f>'TRAD-Présentation'!B27</f>
        <v>Il est important d'effacer au préalable toutes les données qui ne correspondent pas</v>
      </c>
      <c r="F47" s="1350"/>
    </row>
    <row r="48" spans="2:6" s="9" customFormat="1" x14ac:dyDescent="0.2">
      <c r="B48" s="5"/>
    </row>
    <row r="49" spans="2:6" s="9" customFormat="1" x14ac:dyDescent="0.2">
      <c r="B49" s="5" t="str">
        <f>'TRAD-Présentation'!B28</f>
        <v>2. Deuxième étape : LECTURE DES RESULTATS</v>
      </c>
    </row>
    <row r="50" spans="2:6" s="9" customFormat="1" x14ac:dyDescent="0.2">
      <c r="B50" s="5"/>
      <c r="C50" s="9" t="str">
        <f>'TRAD-Présentation'!B29</f>
        <v>lire les résultats des quantifications dans l'onglet bleu</v>
      </c>
    </row>
    <row r="51" spans="2:6" s="9" customFormat="1" x14ac:dyDescent="0.2">
      <c r="B51" s="5"/>
    </row>
    <row r="52" spans="2:6" s="9" customFormat="1" x14ac:dyDescent="0.2">
      <c r="B52" s="5"/>
      <c r="C52" s="9" t="str">
        <f>'TRAD-Présentation'!B30</f>
        <v>la lecture peut se faire sur les chronogrammes</v>
      </c>
    </row>
    <row r="53" spans="2:6" s="9" customFormat="1" x14ac:dyDescent="0.2">
      <c r="B53" s="5"/>
      <c r="D53" s="9" t="str">
        <f>'TRAD-Présentation'!B31</f>
        <v>* selon les 2 méthodes utilisées</v>
      </c>
    </row>
    <row r="54" spans="2:6" x14ac:dyDescent="0.2">
      <c r="D54" s="9" t="str">
        <f>'TRAD-Présentation'!B32</f>
        <v>* pour les formes solides (comprimés, gélules, capsules) simples (FS) ou combinées (CDF)</v>
      </c>
    </row>
    <row r="55" spans="2:6" x14ac:dyDescent="0.2">
      <c r="D55" s="9" t="str">
        <f>'TRAD-Présentation'!B33</f>
        <v>* pour les formes liquides (sol. Buv., sirops, …)</v>
      </c>
    </row>
    <row r="56" spans="2:6" x14ac:dyDescent="0.2">
      <c r="D56" s="9"/>
    </row>
    <row r="57" spans="2:6" s="9" customFormat="1" x14ac:dyDescent="0.2">
      <c r="B57" s="5"/>
      <c r="C57" s="9" t="str">
        <f>'TRAD-Présentation'!B35</f>
        <v>la lecture peut se faire dans les tableaux de synthèse de l'onglet orange</v>
      </c>
    </row>
    <row r="58" spans="2:6" s="9" customFormat="1" x14ac:dyDescent="0.2">
      <c r="B58" s="5"/>
      <c r="D58" s="9" t="str">
        <f>'TRAD-Présentation'!B34</f>
        <v>* Couverture des besoins en nombre de mois</v>
      </c>
    </row>
    <row r="59" spans="2:6" s="9" customFormat="1" x14ac:dyDescent="0.2">
      <c r="B59" s="5"/>
      <c r="D59" s="9" t="str">
        <f>'TRAD-Présentation'!B36</f>
        <v>* tableau de bord analyse les consommations en fonction des dates de péremption et permet d'alerter les utilisateurs sur les surstocks possibles et les péremptions qui pourraient en découler</v>
      </c>
    </row>
    <row r="60" spans="2:6" s="9" customFormat="1" x14ac:dyDescent="0.2">
      <c r="B60" s="5"/>
      <c r="C60" s="3087" t="str">
        <f>'TRAD-Présentation'!B37</f>
        <v>La mention "vvv" signifie que des lignes ont été masquées en dessous</v>
      </c>
    </row>
    <row r="61" spans="2:6" x14ac:dyDescent="0.2">
      <c r="C61" s="17"/>
      <c r="D61" s="17"/>
    </row>
    <row r="62" spans="2:6" x14ac:dyDescent="0.2">
      <c r="C62" s="17"/>
      <c r="D62" s="17"/>
    </row>
    <row r="63" spans="2:6" ht="14.25" x14ac:dyDescent="0.2">
      <c r="B63" s="3208" t="str">
        <f>'TRAD-Présentation'!B38</f>
        <v>Méthode</v>
      </c>
      <c r="C63" s="3208"/>
      <c r="D63" s="3208"/>
      <c r="E63" s="3208"/>
      <c r="F63" s="3208"/>
    </row>
    <row r="64" spans="2:6" s="9" customFormat="1" x14ac:dyDescent="0.2">
      <c r="B64" s="5"/>
    </row>
    <row r="65" spans="2:9" s="9" customFormat="1" x14ac:dyDescent="0.2">
      <c r="B65" s="5" t="str">
        <f>'TRAD-Présentation'!B39</f>
        <v>Cet outil couple 2 méthodes d'estimation des besoins : méthode basée sur les données de suivi de la file active sous ARV et méthode basée sur les données de consommation / distribution.</v>
      </c>
    </row>
    <row r="66" spans="2:9" s="9" customFormat="1" x14ac:dyDescent="0.2">
      <c r="B66" s="5"/>
    </row>
    <row r="67" spans="2:9" s="9" customFormat="1" x14ac:dyDescent="0.2">
      <c r="B67" s="1348" t="str">
        <f>'TRAD-Présentation'!B40</f>
        <v>1. La première méthode utilisée est basée sur la morbidité pour les ARV de la prise en charge des adultes et des enfants</v>
      </c>
      <c r="C67" s="82"/>
      <c r="D67" s="82"/>
      <c r="E67" s="82"/>
      <c r="F67" s="82"/>
      <c r="G67" s="82"/>
      <c r="H67" s="82"/>
      <c r="I67" s="82"/>
    </row>
    <row r="68" spans="2:9" s="9" customFormat="1" x14ac:dyDescent="0.2"/>
    <row r="69" spans="2:9" s="9" customFormat="1" x14ac:dyDescent="0.2">
      <c r="B69" s="5"/>
      <c r="C69" s="9" t="str">
        <f>'TRAD-Présentation'!B41</f>
        <v>On considère la répartition par schémas thérapeutiques et les inclusions</v>
      </c>
    </row>
    <row r="70" spans="2:9" s="9" customFormat="1" x14ac:dyDescent="0.2">
      <c r="B70" s="5"/>
      <c r="C70" s="9" t="str">
        <f>'TRAD-Présentation'!B42</f>
        <v>On considère ensuite une hypothèse de répartition de la file active sous TARV</v>
      </c>
    </row>
    <row r="71" spans="2:9" s="9" customFormat="1" x14ac:dyDescent="0.2">
      <c r="B71" s="5"/>
    </row>
    <row r="72" spans="2:9" s="9" customFormat="1" ht="27.75" customHeight="1" x14ac:dyDescent="0.2">
      <c r="B72" s="5"/>
      <c r="C72" s="3207" t="str">
        <f>'TRAD-Présentation'!B43</f>
        <v>La correspondance entre lignes thérapeutiques et médicaments nécessaires pour chaque ligne se paramètre dans l'onglet "Données à saisir" pour les adultes. Pour les enfants, le paramétrage complet ne peut être fait. Seuls certains paramètres peuvent être saisis</v>
      </c>
      <c r="D72" s="3207"/>
      <c r="E72" s="3207"/>
      <c r="F72" s="3207"/>
      <c r="G72" s="3207"/>
      <c r="H72" s="3207"/>
    </row>
    <row r="73" spans="2:9" s="9" customFormat="1" x14ac:dyDescent="0.2">
      <c r="B73" s="5"/>
    </row>
    <row r="74" spans="2:9" s="9" customFormat="1" x14ac:dyDescent="0.2">
      <c r="B74" s="5"/>
      <c r="C74" s="9" t="str">
        <f>'TRAD-Présentation'!B44</f>
        <v>Pour les formes galéniques adaptées aux enfants, on considère :</v>
      </c>
    </row>
    <row r="75" spans="2:9" s="9" customFormat="1" x14ac:dyDescent="0.2">
      <c r="B75" s="5"/>
      <c r="D75" s="9" t="str">
        <f>'TRAD-Présentation'!B45</f>
        <v>Des solutions buvables pour les enfants de 3 à 15 kg (enfants de 0 à 3 ans) ou des comprimés solubles (ZIDOLAM-N bébé, …)</v>
      </c>
    </row>
    <row r="76" spans="2:9" s="9" customFormat="1" x14ac:dyDescent="0.2">
      <c r="B76" s="5"/>
      <c r="D76" s="9" t="str">
        <f>'TRAD-Présentation'!B46</f>
        <v>Des comprimés pour les enfants de 15 à 30 kg</v>
      </c>
    </row>
    <row r="77" spans="2:9" s="9" customFormat="1" x14ac:dyDescent="0.2">
      <c r="B77" s="5"/>
      <c r="D77" s="9" t="str">
        <f>'TRAD-Présentation'!B47</f>
        <v>L'utilisation de certains médicaments "atypiques" peut être envisagée par sélection dans un tableau.</v>
      </c>
    </row>
    <row r="78" spans="2:9" s="9" customFormat="1" x14ac:dyDescent="0.2">
      <c r="B78" s="5"/>
      <c r="D78" s="9" t="str">
        <f>'TRAD-Présentation'!B48</f>
        <v>Nous avons également considéré la répartition par tranche de poids.</v>
      </c>
    </row>
    <row r="79" spans="2:9" s="9" customFormat="1" x14ac:dyDescent="0.2">
      <c r="B79" s="5"/>
    </row>
    <row r="80" spans="2:9" ht="51.75" thickBot="1" x14ac:dyDescent="0.25">
      <c r="D80" s="10" t="str">
        <f>'TRAD-Présentation'!B49</f>
        <v>Tranches de poids pour le calcul</v>
      </c>
      <c r="E80" s="10" t="str">
        <f>'TRAD-Présentation'!B50</f>
        <v>Tranches de poids considérées pour la détermination des posologies</v>
      </c>
    </row>
    <row r="81" spans="2:8" x14ac:dyDescent="0.2">
      <c r="D81" s="11" t="s">
        <v>53</v>
      </c>
      <c r="E81" s="12" t="s">
        <v>54</v>
      </c>
    </row>
    <row r="82" spans="2:8" x14ac:dyDescent="0.2">
      <c r="D82" s="13" t="s">
        <v>55</v>
      </c>
      <c r="E82" s="14" t="s">
        <v>56</v>
      </c>
    </row>
    <row r="83" spans="2:8" x14ac:dyDescent="0.2">
      <c r="D83" s="13" t="s">
        <v>57</v>
      </c>
      <c r="E83" s="14" t="s">
        <v>58</v>
      </c>
    </row>
    <row r="84" spans="2:8" ht="13.5" thickBot="1" x14ac:dyDescent="0.25">
      <c r="D84" s="15" t="s">
        <v>59</v>
      </c>
      <c r="E84" s="16" t="s">
        <v>60</v>
      </c>
      <c r="F84" s="17"/>
    </row>
    <row r="86" spans="2:8" s="9" customFormat="1" ht="25.5" customHeight="1" x14ac:dyDescent="0.2">
      <c r="B86" s="5"/>
      <c r="D86" s="3207" t="str">
        <f>'TRAD-Présentation'!B51</f>
        <v>Nous avons considéré que les poids se répartissaient de manière homogène dans une même tranche et que les besoins pour l'ensemble se compensaient autour de la moyenne du poids de la tranche. Nous avons donc pris ces posologies.</v>
      </c>
      <c r="E86" s="3207"/>
      <c r="F86" s="3207"/>
      <c r="G86" s="3207"/>
      <c r="H86" s="3207"/>
    </row>
    <row r="87" spans="2:8" s="9" customFormat="1" x14ac:dyDescent="0.2">
      <c r="B87" s="5"/>
      <c r="E87" s="18"/>
      <c r="F87" s="18"/>
      <c r="G87" s="18"/>
      <c r="H87" s="18"/>
    </row>
    <row r="88" spans="2:8" s="9" customFormat="1" x14ac:dyDescent="0.2">
      <c r="B88" s="5" t="str">
        <f>'TRAD-Présentation'!B52</f>
        <v>Pour déterminer le nombre de mois de stocks disponibles, nous avons utilisé la croissance de la file active de patients sous traitement en considérant une croissance constante des besoins.</v>
      </c>
      <c r="E88" s="18"/>
      <c r="F88" s="18"/>
      <c r="G88" s="18"/>
      <c r="H88" s="18"/>
    </row>
    <row r="89" spans="2:8" s="9" customFormat="1" x14ac:dyDescent="0.2">
      <c r="B89" s="5" t="str">
        <f>'TRAD-Présentation'!B53</f>
        <v>Le raisonnement est le suivant :</v>
      </c>
      <c r="E89" s="262"/>
      <c r="F89" s="262"/>
      <c r="G89" s="262"/>
      <c r="H89" s="262"/>
    </row>
    <row r="90" spans="2:8" s="9" customFormat="1" x14ac:dyDescent="0.2">
      <c r="B90" s="5"/>
      <c r="C90" s="9" t="str">
        <f>'TRAD-Présentation'!B54</f>
        <v>Cette croissance suit une courbe constante de type y=ax+b</v>
      </c>
      <c r="E90" s="266"/>
      <c r="F90" s="266"/>
      <c r="G90" s="266"/>
      <c r="H90" s="266"/>
    </row>
    <row r="91" spans="2:8" s="9" customFormat="1" x14ac:dyDescent="0.2">
      <c r="B91" s="5"/>
      <c r="C91" s="265" t="str">
        <f>'TRAD-Présentation'!B55</f>
        <v>Avec les données suivantes :</v>
      </c>
      <c r="E91" s="267"/>
      <c r="F91" s="267"/>
      <c r="G91" s="267"/>
      <c r="H91" s="267"/>
    </row>
    <row r="92" spans="2:8" s="9" customFormat="1" x14ac:dyDescent="0.2">
      <c r="B92" s="5"/>
      <c r="D92" s="265" t="str">
        <f>'TRAD-Présentation'!B56</f>
        <v>y étant les besoins d'1 mois</v>
      </c>
      <c r="E92" s="266"/>
      <c r="F92" s="266"/>
      <c r="G92" s="266"/>
      <c r="H92" s="266"/>
    </row>
    <row r="93" spans="2:8" s="9" customFormat="1" x14ac:dyDescent="0.2">
      <c r="B93" s="5"/>
      <c r="D93" s="265" t="str">
        <f>'TRAD-Présentation'!B57</f>
        <v>x étant les mois</v>
      </c>
      <c r="E93" s="266"/>
      <c r="F93" s="266"/>
      <c r="G93" s="266"/>
      <c r="H93" s="266"/>
    </row>
    <row r="94" spans="2:8" s="9" customFormat="1" x14ac:dyDescent="0.2">
      <c r="B94" s="5"/>
      <c r="D94" s="265" t="str">
        <f>'TRAD-Présentation'!B58</f>
        <v>a = besoins pour les inclusions mensuelles</v>
      </c>
      <c r="E94" s="266"/>
      <c r="F94" s="266"/>
      <c r="G94" s="266"/>
      <c r="H94" s="266"/>
    </row>
    <row r="95" spans="2:8" s="9" customFormat="1" x14ac:dyDescent="0.2">
      <c r="B95" s="5"/>
      <c r="D95" s="265" t="str">
        <f>'TRAD-Présentation'!B59</f>
        <v>b = besoins nécessaires pour les patients déjà sous traitement</v>
      </c>
      <c r="E95" s="266"/>
      <c r="F95" s="266"/>
      <c r="G95" s="266"/>
      <c r="H95" s="266"/>
    </row>
    <row r="96" spans="2:8" s="9" customFormat="1" x14ac:dyDescent="0.2">
      <c r="B96" s="5"/>
      <c r="D96" s="265" t="str">
        <f>'TRAD-Présentation'!B60</f>
        <v>SD = stocks disponibles</v>
      </c>
      <c r="E96" s="266"/>
      <c r="F96" s="266"/>
      <c r="G96" s="266"/>
      <c r="H96" s="266"/>
    </row>
    <row r="97" spans="2:9" s="9" customFormat="1" x14ac:dyDescent="0.2">
      <c r="B97" s="5"/>
      <c r="D97" s="265" t="str">
        <f>'TRAD-Présentation'!B61</f>
        <v>Et n la période de couverture comme inconnue recherchée</v>
      </c>
      <c r="E97" s="267"/>
      <c r="F97" s="267"/>
      <c r="G97" s="267"/>
      <c r="H97" s="267"/>
    </row>
    <row r="98" spans="2:9" s="9" customFormat="1" x14ac:dyDescent="0.2">
      <c r="B98" s="5"/>
      <c r="C98" s="9" t="str">
        <f>'TRAD-Présentation'!B62</f>
        <v>Pour calculer la somme des besoins pour plusieurs mois, nous avons donc :</v>
      </c>
      <c r="D98" s="265"/>
      <c r="E98" s="267"/>
      <c r="F98" s="267"/>
      <c r="G98" s="267"/>
      <c r="H98" s="267"/>
    </row>
    <row r="99" spans="2:9" s="9" customFormat="1" x14ac:dyDescent="0.2">
      <c r="B99" s="5"/>
      <c r="D99" s="9" t="str">
        <f>'TRAD-Présentation'!B63</f>
        <v>Somme des besoins sur la période n (n allant de 1 mois à n mois) = a * somme des mois (n allant de 1 mois à n mois)+b * n mois</v>
      </c>
      <c r="E99" s="267"/>
      <c r="F99" s="267"/>
      <c r="G99" s="267"/>
      <c r="H99" s="267"/>
    </row>
    <row r="100" spans="2:9" s="9" customFormat="1" x14ac:dyDescent="0.2">
      <c r="B100" s="5"/>
      <c r="C100" s="9" t="str">
        <f>'TRAD-Présentation'!B64</f>
        <v>Sur le même principe qu'un triangle de Pascal, on peut décomposer :</v>
      </c>
      <c r="E100" s="267"/>
      <c r="F100" s="267"/>
      <c r="G100" s="267"/>
      <c r="H100" s="267"/>
    </row>
    <row r="101" spans="2:9" s="9" customFormat="1" x14ac:dyDescent="0.2">
      <c r="B101" s="5"/>
      <c r="D101" s="9" t="str">
        <f>'TRAD-Présentation'!B65</f>
        <v>somme des mois (n allant de 1 mois à n mois)= n(n+1)/2</v>
      </c>
      <c r="E101" s="266"/>
      <c r="F101" s="266"/>
      <c r="G101" s="266"/>
      <c r="H101" s="266"/>
    </row>
    <row r="102" spans="2:9" s="9" customFormat="1" x14ac:dyDescent="0.2">
      <c r="B102" s="5"/>
      <c r="C102" s="9" t="str">
        <f>'TRAD-Présentation'!B66</f>
        <v>On obtient donc l'équation du second degré :</v>
      </c>
      <c r="E102" s="266"/>
      <c r="F102" s="266"/>
      <c r="G102" s="266"/>
      <c r="H102" s="266"/>
    </row>
    <row r="103" spans="2:9" s="9" customFormat="1" x14ac:dyDescent="0.2">
      <c r="B103" s="5"/>
      <c r="D103" s="9" t="s">
        <v>206</v>
      </c>
      <c r="E103" s="266"/>
      <c r="F103" s="266"/>
      <c r="G103" s="266"/>
      <c r="H103" s="266"/>
    </row>
    <row r="104" spans="2:9" s="9" customFormat="1" x14ac:dyDescent="0.2">
      <c r="B104" s="5"/>
      <c r="C104" s="1223" t="str">
        <f>'TRAD-Présentation'!B67</f>
        <v>Cette équation a comme solution n = [-(a+2b)+RACINE(delta)]/2a</v>
      </c>
      <c r="E104" s="266"/>
      <c r="F104" s="266"/>
      <c r="G104" s="266"/>
      <c r="H104" s="266"/>
    </row>
    <row r="105" spans="2:9" s="9" customFormat="1" x14ac:dyDescent="0.2">
      <c r="B105" s="5"/>
      <c r="D105" s="9" t="str">
        <f>'TRAD-Présentation'!B68</f>
        <v>delta étant le déterminant de la fonction = (a+2b)²+4a2SD</v>
      </c>
      <c r="E105" s="262"/>
      <c r="F105" s="262"/>
      <c r="G105" s="262"/>
      <c r="H105" s="262"/>
    </row>
    <row r="106" spans="2:9" s="9" customFormat="1" x14ac:dyDescent="0.2">
      <c r="B106" s="5"/>
      <c r="C106" s="9" t="str">
        <f>'TRAD-Présentation'!B69</f>
        <v>C'est l'équation de cette solution qui a été utilisée dans les tableaux suivants.</v>
      </c>
      <c r="E106" s="267"/>
      <c r="F106" s="267"/>
      <c r="G106" s="267"/>
      <c r="H106" s="267"/>
    </row>
    <row r="107" spans="2:9" s="9" customFormat="1" x14ac:dyDescent="0.2">
      <c r="B107" s="5"/>
      <c r="E107" s="275"/>
      <c r="F107" s="275"/>
      <c r="G107" s="275"/>
      <c r="H107" s="275"/>
    </row>
    <row r="108" spans="2:9" s="9" customFormat="1" x14ac:dyDescent="0.2">
      <c r="B108" s="5"/>
      <c r="C108" s="9" t="str">
        <f>'TRAD-Présentation'!B70</f>
        <v>Lorsqu'il n'y a pas de croissance des besoins (a=0, y=b), nous avons utilisé la formule n=SD/b</v>
      </c>
      <c r="E108" s="262"/>
      <c r="F108" s="262"/>
      <c r="G108" s="262"/>
      <c r="H108" s="262"/>
    </row>
    <row r="109" spans="2:9" s="9" customFormat="1" x14ac:dyDescent="0.2">
      <c r="B109" s="5"/>
      <c r="C109" s="9" t="str">
        <f>'TRAD-Présentation'!B71</f>
        <v>Les données mensuelles sont arrondis à la décimale</v>
      </c>
      <c r="E109" s="1221"/>
      <c r="F109" s="1221"/>
      <c r="G109" s="1221"/>
      <c r="H109" s="1221"/>
    </row>
    <row r="110" spans="2:9" s="9" customFormat="1" x14ac:dyDescent="0.2">
      <c r="B110" s="5"/>
      <c r="E110" s="1222"/>
      <c r="F110" s="1222"/>
      <c r="G110" s="1222"/>
      <c r="H110" s="1222"/>
    </row>
    <row r="111" spans="2:9" s="9" customFormat="1" x14ac:dyDescent="0.2">
      <c r="B111" s="1348" t="str">
        <f>'TRAD-Présentation'!B72</f>
        <v>2. La deuxième méthode est basée sur les données de consommation / distribution</v>
      </c>
      <c r="C111" s="82"/>
      <c r="D111" s="82"/>
      <c r="E111" s="82"/>
      <c r="F111" s="82"/>
      <c r="G111" s="82"/>
      <c r="H111" s="82"/>
      <c r="I111" s="82"/>
    </row>
    <row r="112" spans="2:9" s="9" customFormat="1" x14ac:dyDescent="0.2">
      <c r="B112" s="828"/>
      <c r="C112" s="1351"/>
      <c r="D112" s="1351"/>
      <c r="E112" s="1351"/>
      <c r="F112" s="1351"/>
      <c r="G112" s="1351"/>
      <c r="H112" s="1351"/>
      <c r="I112" s="1351"/>
    </row>
    <row r="113" spans="2:9" s="9" customFormat="1" x14ac:dyDescent="0.2">
      <c r="B113" s="828" t="str">
        <f>'TRAD-Présentation'!B73</f>
        <v>Pour l'utilisation de cette méthode, il est possible de tenir compte d'une augmentation des besoins mensuels en définissant un taux de croissance.</v>
      </c>
      <c r="C113" s="1351"/>
      <c r="D113" s="1351"/>
      <c r="E113" s="1351"/>
      <c r="F113" s="1351"/>
      <c r="G113" s="1351"/>
      <c r="H113" s="1351"/>
      <c r="I113" s="1351"/>
    </row>
    <row r="114" spans="2:9" s="9" customFormat="1" x14ac:dyDescent="0.2">
      <c r="B114" s="828" t="str">
        <f>'TRAD-Présentation'!B74</f>
        <v>Les calculs se font alors de la même manière que précédemment</v>
      </c>
      <c r="C114" s="1351"/>
      <c r="D114" s="1351"/>
      <c r="E114" s="1351"/>
      <c r="F114" s="1351"/>
      <c r="G114" s="1351"/>
      <c r="H114" s="1351"/>
      <c r="I114" s="1351"/>
    </row>
    <row r="115" spans="2:9" s="9" customFormat="1" ht="26.25" customHeight="1" x14ac:dyDescent="0.2">
      <c r="B115" s="3209" t="str">
        <f>'TRAD-Présentation'!B75</f>
        <v>Lorsque cette méthode est utilisée seule, il est important de vider l'ensemble des cellules à remplir dans l'onglet "Données à saisir" car sinon un nombre de patients apparaîtra dans les résultats et ne correspondra pas à la réalité.</v>
      </c>
      <c r="C115" s="3209"/>
      <c r="D115" s="3209"/>
      <c r="E115" s="3209"/>
      <c r="F115" s="3209"/>
      <c r="G115" s="3209"/>
      <c r="H115" s="3209"/>
      <c r="I115" s="3209"/>
    </row>
    <row r="116" spans="2:9" s="9" customFormat="1" x14ac:dyDescent="0.2">
      <c r="B116" s="1225"/>
      <c r="C116" s="1226"/>
      <c r="D116" s="1226"/>
      <c r="E116" s="1224"/>
      <c r="F116" s="1224"/>
      <c r="G116" s="1224"/>
      <c r="H116" s="1224"/>
      <c r="I116" s="1224"/>
    </row>
    <row r="117" spans="2:9" s="9" customFormat="1" x14ac:dyDescent="0.2">
      <c r="B117" s="5"/>
      <c r="D117" s="8"/>
    </row>
    <row r="118" spans="2:9" s="9" customFormat="1" ht="14.25" x14ac:dyDescent="0.2">
      <c r="B118" s="3204" t="str">
        <f>'TRAD-Présentation'!B76</f>
        <v>Commentaires</v>
      </c>
      <c r="C118" s="3205"/>
      <c r="D118" s="3205"/>
      <c r="E118" s="3205"/>
      <c r="F118" s="3206"/>
    </row>
    <row r="120" spans="2:9" x14ac:dyDescent="0.2">
      <c r="C120" s="19" t="str">
        <f>'TRAD-Présentation'!B77</f>
        <v>attention, il est indispensable d'activer les liens pour que le système fonctionne</v>
      </c>
    </row>
    <row r="121" spans="2:9" s="22" customFormat="1" x14ac:dyDescent="0.2">
      <c r="B121" s="20"/>
      <c r="C121" s="19" t="str">
        <f>'TRAD-Présentation'!B78</f>
        <v>attention, les résultats tiennent compte de toutes les données entrées</v>
      </c>
      <c r="D121" s="21"/>
    </row>
    <row r="122" spans="2:9" x14ac:dyDescent="0.2">
      <c r="C122" s="19" t="str">
        <f>'TRAD-Présentation'!B79</f>
        <v>attention, ce calculateur ne tient pas compte des besoins de la prise en charge des AES</v>
      </c>
    </row>
    <row r="123" spans="2:9" x14ac:dyDescent="0.2">
      <c r="C123" s="19" t="str">
        <f>'TRAD-Présentation'!B80</f>
        <v>attention, pour les commandes attendues à court terme, la disponibilité des produits doit tenir compte de la réception REELLE de ces commandes</v>
      </c>
    </row>
    <row r="124" spans="2:9" ht="13.5" thickBot="1" x14ac:dyDescent="0.25"/>
    <row r="125" spans="2:9" ht="12.75" customHeight="1" thickBot="1" x14ac:dyDescent="0.25">
      <c r="C125" s="1345" t="str">
        <f>'TRAD-Présentation'!B81</f>
        <v>Solthis n'assume pas la responsabilité de résultats obtenus avec une mauvaise saisie de données ou par toute modification du tableau</v>
      </c>
      <c r="D125" s="1346"/>
      <c r="E125" s="1346"/>
      <c r="F125" s="1346"/>
      <c r="G125" s="1347"/>
    </row>
    <row r="126" spans="2:9" ht="12.75" customHeight="1" x14ac:dyDescent="0.2">
      <c r="C126" s="1352"/>
      <c r="D126" s="1352"/>
      <c r="E126" s="1352"/>
      <c r="F126" s="1352"/>
      <c r="G126" s="17"/>
    </row>
    <row r="127" spans="2:9" ht="13.5" thickBot="1" x14ac:dyDescent="0.25">
      <c r="C127" s="9"/>
    </row>
    <row r="128" spans="2:9" customFormat="1" ht="13.5" thickTop="1" x14ac:dyDescent="0.2">
      <c r="B128" s="1353"/>
      <c r="C128" s="1354"/>
      <c r="D128" s="1354"/>
      <c r="E128" s="1354"/>
      <c r="F128" s="1354"/>
      <c r="G128" s="1354"/>
      <c r="H128" s="1355"/>
    </row>
    <row r="129" spans="2:8" customFormat="1" ht="17.25" customHeight="1" x14ac:dyDescent="0.2">
      <c r="B129" s="1356"/>
      <c r="C129" s="63" t="str">
        <f>'TRAD-Présentation'!B82</f>
        <v>Cet outil fait l'objet d'une licence libre de type Creative Commons (http://creativecommons.org/)</v>
      </c>
      <c r="D129" s="1357"/>
      <c r="E129" s="1357"/>
      <c r="F129" s="1357"/>
      <c r="G129" s="1357"/>
      <c r="H129" s="1358"/>
    </row>
    <row r="130" spans="2:8" customFormat="1" x14ac:dyDescent="0.2">
      <c r="B130" s="1356"/>
      <c r="C130" s="600"/>
      <c r="D130" s="1359" t="s">
        <v>542</v>
      </c>
      <c r="E130" s="1357"/>
      <c r="F130" s="1357"/>
      <c r="G130" s="1357"/>
      <c r="H130" s="1358"/>
    </row>
    <row r="131" spans="2:8" s="1360" customFormat="1" ht="26.25" customHeight="1" x14ac:dyDescent="0.2">
      <c r="B131" s="1361"/>
      <c r="C131"/>
      <c r="D131" s="1362" t="str">
        <f>'TRAD-Présentation'!B83</f>
        <v xml:space="preserve">L'utilisation et la copie de cet outil sont libres dans la mesure où : </v>
      </c>
      <c r="E131" s="1363"/>
      <c r="F131" s="1363"/>
      <c r="G131" s="1363"/>
      <c r="H131" s="1364"/>
    </row>
    <row r="132" spans="2:8" s="1360" customFormat="1" ht="26.25" customHeight="1" x14ac:dyDescent="0.2">
      <c r="B132" s="1361"/>
      <c r="C132" s="1363"/>
      <c r="D132" s="1365" t="str">
        <f>'TRAD-Présentation'!B84</f>
        <v xml:space="preserve">1. L'outil est utilisé dans un but non lucratif  </v>
      </c>
      <c r="E132" s="1363"/>
      <c r="F132" s="1363"/>
      <c r="G132" s="1363"/>
      <c r="H132" s="1364"/>
    </row>
    <row r="133" spans="2:8" s="1360" customFormat="1" ht="26.25" customHeight="1" x14ac:dyDescent="0.2">
      <c r="B133" s="1361"/>
      <c r="C133" s="1363"/>
      <c r="D133" s="1365" t="str">
        <f>'TRAD-Présentation'!B85</f>
        <v>2. Il sert à atteindre l'objectif pour lequel il a été crée : améliorer la disponibilité des traitements antirétroviraux</v>
      </c>
      <c r="E133" s="1363"/>
      <c r="F133" s="1363"/>
      <c r="G133" s="1363"/>
      <c r="H133" s="1364"/>
    </row>
    <row r="134" spans="2:8" s="1360" customFormat="1" ht="26.25" customHeight="1" x14ac:dyDescent="0.2">
      <c r="B134" s="1361"/>
      <c r="C134" s="1363"/>
      <c r="D134" s="1365" t="str">
        <f>'TRAD-Présentation'!B86</f>
        <v>3. L'utilisateur reconnaît que l'outil a été initialement développé par Solthis</v>
      </c>
      <c r="E134" s="1363"/>
      <c r="F134" s="1363"/>
      <c r="G134" s="1363"/>
      <c r="H134" s="1364"/>
    </row>
    <row r="135" spans="2:8" s="1360" customFormat="1" ht="26.25" customHeight="1" x14ac:dyDescent="0.2">
      <c r="B135" s="1361"/>
      <c r="C135" s="1363"/>
      <c r="D135" s="1365" t="str">
        <f>'TRAD-Présentation'!B87</f>
        <v>Pour toutes modifications et adaptations de l'outil, contactez-nous.</v>
      </c>
      <c r="E135" s="1363"/>
      <c r="F135" s="1363"/>
      <c r="G135" s="1363"/>
      <c r="H135" s="1364"/>
    </row>
    <row r="136" spans="2:8" s="1360" customFormat="1" x14ac:dyDescent="0.2">
      <c r="B136" s="1361"/>
      <c r="C136" s="1363"/>
      <c r="D136" s="1365" t="str">
        <f>'TRAD-Présentation'!B88</f>
        <v>Toutes les modifications faites sur l'outil devront partager les mêmes conditions que celles mentionnées ci-dessus.</v>
      </c>
      <c r="E136" s="1363"/>
      <c r="F136" s="1363"/>
      <c r="G136" s="1363"/>
      <c r="H136" s="1364"/>
    </row>
    <row r="137" spans="2:8" s="1360" customFormat="1" x14ac:dyDescent="0.2">
      <c r="B137" s="1361"/>
      <c r="C137" s="1363"/>
      <c r="D137" s="1366"/>
      <c r="E137" s="1363"/>
      <c r="F137" s="1363"/>
      <c r="G137" s="1363"/>
      <c r="H137" s="1364"/>
    </row>
    <row r="138" spans="2:8" s="1360" customFormat="1" x14ac:dyDescent="0.2">
      <c r="B138" s="1361"/>
      <c r="C138" s="1363"/>
      <c r="D138" s="1362" t="s">
        <v>1847</v>
      </c>
      <c r="E138" s="1363"/>
      <c r="F138" s="1363"/>
      <c r="G138" s="1363"/>
      <c r="H138" s="1364"/>
    </row>
    <row r="139" spans="2:8" s="1360" customFormat="1" x14ac:dyDescent="0.2">
      <c r="B139" s="1361"/>
      <c r="C139" s="1363"/>
      <c r="D139" s="1366"/>
      <c r="E139" s="1363"/>
      <c r="F139" s="1363"/>
      <c r="G139" s="1363"/>
      <c r="H139" s="1364"/>
    </row>
    <row r="140" spans="2:8" customFormat="1" x14ac:dyDescent="0.2">
      <c r="B140" s="1356"/>
      <c r="C140" s="1357"/>
      <c r="D140" s="1367" t="str">
        <f>'TRAD-Présentation'!B89</f>
        <v xml:space="preserve">Pour toute questions et commentaires, contacter Solthis : </v>
      </c>
      <c r="E140" s="1357"/>
      <c r="F140" s="1359" t="s">
        <v>545</v>
      </c>
      <c r="G140" s="1357"/>
      <c r="H140" s="1364"/>
    </row>
    <row r="141" spans="2:8" customFormat="1" ht="13.5" thickBot="1" x14ac:dyDescent="0.25">
      <c r="B141" s="1368"/>
      <c r="C141" s="1369"/>
      <c r="D141" s="1370"/>
      <c r="E141" s="1369"/>
      <c r="F141" s="1369"/>
      <c r="G141" s="1369"/>
      <c r="H141" s="1371"/>
    </row>
    <row r="142" spans="2:8" ht="13.5" thickTop="1" x14ac:dyDescent="0.2"/>
  </sheetData>
  <sheetProtection algorithmName="SHA-512" hashValue="a6jYu5EcrsMvxAS0L2dHAqk3cmkVi9wm4qKdwzGuTKZBm4RqUJUvDv5+3+8DNdjvRd1kz75c0PCU/2KNiMVwtw==" saltValue="lYtiuGMjVPUtbz+TkIXr9w==" spinCount="100000" sheet="1" objects="1" scenarios="1" selectLockedCells="1"/>
  <dataConsolidate/>
  <mergeCells count="10">
    <mergeCell ref="B118:F118"/>
    <mergeCell ref="C72:H72"/>
    <mergeCell ref="B12:F12"/>
    <mergeCell ref="B115:I115"/>
    <mergeCell ref="A4:H4"/>
    <mergeCell ref="A10:H10"/>
    <mergeCell ref="B18:F18"/>
    <mergeCell ref="B41:F41"/>
    <mergeCell ref="D86:H86"/>
    <mergeCell ref="B63:F63"/>
  </mergeCells>
  <dataValidations count="1">
    <dataValidation type="list" allowBlank="1" showInputMessage="1" showErrorMessage="1" sqref="D3 E2">
      <formula1>"Français,Anglais"</formula1>
    </dataValidation>
  </dataValidations>
  <hyperlinks>
    <hyperlink ref="D130" r:id="rId1"/>
    <hyperlink ref="F140"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6"/>
  </sheetPr>
  <dimension ref="A2:AI141"/>
  <sheetViews>
    <sheetView showGridLines="0" tabSelected="1" topLeftCell="B1" zoomScale="110" zoomScaleNormal="110" workbookViewId="0">
      <selection activeCell="L26" sqref="L26"/>
    </sheetView>
  </sheetViews>
  <sheetFormatPr defaultColWidth="11.42578125" defaultRowHeight="12.75" x14ac:dyDescent="0.2"/>
  <cols>
    <col min="1" max="1" width="3.42578125" customWidth="1"/>
    <col min="2" max="2" width="3.85546875" customWidth="1"/>
    <col min="3" max="3" width="5.28515625" customWidth="1"/>
    <col min="6" max="6" width="21.5703125" customWidth="1"/>
    <col min="8" max="8" width="20" customWidth="1"/>
    <col min="9" max="9" width="31.42578125" customWidth="1"/>
    <col min="10" max="10" width="15.5703125" customWidth="1"/>
    <col min="11" max="11" width="18.7109375" customWidth="1"/>
    <col min="12" max="12" width="13" customWidth="1"/>
  </cols>
  <sheetData>
    <row r="2" spans="1:35" s="9" customFormat="1" ht="22.5" x14ac:dyDescent="0.3">
      <c r="A2" s="1814" t="str">
        <f>'TRAD-Saisie données conso'!B3</f>
        <v>Feuille SAISIE 4 - Saisie des données de consommation ou distribution disponibles</v>
      </c>
      <c r="B2" s="1814"/>
      <c r="C2" s="1814"/>
      <c r="D2" s="1814"/>
      <c r="E2" s="1814"/>
      <c r="F2" s="1814"/>
      <c r="G2" s="1814"/>
      <c r="H2" s="1814"/>
      <c r="I2" s="1814"/>
      <c r="J2" s="1814"/>
      <c r="K2" s="1814"/>
      <c r="L2" s="1814"/>
      <c r="M2" s="1814"/>
      <c r="N2" s="1814"/>
      <c r="AE2" s="835"/>
      <c r="AF2" s="835"/>
      <c r="AG2" s="835"/>
      <c r="AH2" s="835"/>
      <c r="AI2" s="835"/>
    </row>
    <row r="4" spans="1:35" s="1713" customFormat="1" ht="19.5" thickBot="1" x14ac:dyDescent="0.35">
      <c r="B4" s="3212" t="str">
        <f>'TRAD-Saisie données conso'!B4</f>
        <v>Etape 1 : Données de consommation / distribution</v>
      </c>
      <c r="C4" s="3212"/>
      <c r="D4" s="3212"/>
      <c r="E4" s="3212"/>
      <c r="F4" s="3212"/>
      <c r="G4" s="3212"/>
      <c r="H4" s="3212"/>
      <c r="I4" s="3212"/>
      <c r="J4" s="3212"/>
      <c r="K4" s="3212"/>
      <c r="L4" s="3212"/>
      <c r="M4" s="3212"/>
      <c r="N4" s="3212"/>
      <c r="O4" s="3212"/>
      <c r="AD4" s="1714"/>
      <c r="AE4" s="1714"/>
      <c r="AF4" s="1714"/>
      <c r="AG4" s="1714"/>
      <c r="AH4" s="1714"/>
    </row>
    <row r="5" spans="1:35" s="4" customFormat="1" x14ac:dyDescent="0.2">
      <c r="AD5" s="835"/>
      <c r="AE5" s="835"/>
      <c r="AF5" s="835"/>
      <c r="AG5" s="835"/>
      <c r="AH5" s="835"/>
    </row>
    <row r="6" spans="1:35" s="4" customFormat="1" ht="14.25" x14ac:dyDescent="0.2">
      <c r="C6" s="25" t="str">
        <f>'TRAD-Saisie données conso'!B5</f>
        <v>A. Renseignez la consommation globale ajustée et les taux de croissance s'ils sont disponibles</v>
      </c>
      <c r="D6" s="25"/>
      <c r="E6" s="25"/>
      <c r="F6" s="25"/>
      <c r="G6" s="25"/>
      <c r="H6" s="25"/>
      <c r="I6" s="25"/>
      <c r="J6" s="25"/>
      <c r="K6" s="25"/>
      <c r="AD6" s="835"/>
      <c r="AE6" s="835"/>
      <c r="AF6" s="835"/>
      <c r="AG6" s="835"/>
      <c r="AH6" s="835"/>
    </row>
    <row r="7" spans="1:35" s="4" customFormat="1" x14ac:dyDescent="0.2">
      <c r="AD7" s="835"/>
      <c r="AE7" s="835"/>
      <c r="AF7" s="835"/>
      <c r="AG7" s="835"/>
      <c r="AH7" s="835"/>
    </row>
    <row r="8" spans="1:35" s="650" customFormat="1" ht="12.75" customHeight="1" x14ac:dyDescent="0.2">
      <c r="D8" s="651" t="str">
        <f>'TRAD-Saisie données conso'!B6</f>
        <v>Remarque</v>
      </c>
      <c r="E8" s="3255" t="str">
        <f>'TRAD-Saisie données conso'!B7</f>
        <v>La consommation à la baseline doit être ajustée en fonction des ruptures antérieure.</v>
      </c>
      <c r="F8" s="3255"/>
      <c r="G8" s="3255"/>
      <c r="H8" s="3255"/>
      <c r="I8" s="3255"/>
      <c r="J8" s="3255"/>
      <c r="K8" s="3255"/>
      <c r="L8" s="3255"/>
      <c r="M8" s="3255"/>
      <c r="N8" s="3255"/>
      <c r="O8" s="3255"/>
      <c r="AD8" s="837"/>
      <c r="AE8" s="837"/>
      <c r="AF8" s="837"/>
      <c r="AG8" s="837"/>
      <c r="AH8" s="837"/>
    </row>
    <row r="9" spans="1:35" s="650" customFormat="1" ht="12.75" customHeight="1" x14ac:dyDescent="0.2">
      <c r="D9" s="651"/>
      <c r="E9" s="3255" t="str">
        <f>'TRAD-Saisie données conso'!B8</f>
        <v>Dans un contexte de croissance des besoins, la CMM n'est pas une donnée adapté, il est préférable de prendre la dernière consommation ajustée.</v>
      </c>
      <c r="F9" s="3255"/>
      <c r="G9" s="3255"/>
      <c r="H9" s="3255"/>
      <c r="I9" s="3255"/>
      <c r="J9" s="3255"/>
      <c r="K9" s="3255"/>
      <c r="L9" s="3255"/>
      <c r="M9" s="3255"/>
      <c r="N9" s="3255"/>
      <c r="O9" s="3255"/>
      <c r="AD9" s="837"/>
      <c r="AE9" s="837"/>
      <c r="AF9" s="837"/>
      <c r="AG9" s="837"/>
      <c r="AH9" s="837"/>
    </row>
    <row r="10" spans="1:35" s="650" customFormat="1" ht="12.75" customHeight="1" thickBot="1" x14ac:dyDescent="0.25">
      <c r="D10" s="651"/>
      <c r="E10" s="3255" t="str">
        <f>'TRAD-Saisie données conso'!B9</f>
        <v>En l'absence des données de consommation, il est possible de renseigner des données de distribution. Cependant les données de distribution peuvent surévaluer la consommation réelle.</v>
      </c>
      <c r="F10" s="3255"/>
      <c r="G10" s="3255"/>
      <c r="H10" s="3255"/>
      <c r="I10" s="3255"/>
      <c r="J10" s="3255"/>
      <c r="K10" s="3255"/>
      <c r="L10" s="3255"/>
      <c r="M10" s="3255"/>
      <c r="N10" s="3255"/>
      <c r="O10" s="3255"/>
      <c r="AD10" s="837"/>
      <c r="AE10" s="837"/>
      <c r="AF10" s="837"/>
      <c r="AG10" s="837"/>
      <c r="AH10" s="837"/>
    </row>
    <row r="11" spans="1:35" s="650" customFormat="1" ht="12.75" customHeight="1" thickBot="1" x14ac:dyDescent="0.25">
      <c r="D11" s="651"/>
      <c r="F11" s="841" t="str">
        <f>'TRAD-Saisie données conso'!B10</f>
        <v>Préciser s'il s'agit de données de consommation ou de distribution en cochant la case correspondante (X)</v>
      </c>
      <c r="L11" s="842" t="s">
        <v>224</v>
      </c>
      <c r="M11" s="843" t="str">
        <f>'TRAD-Saisie données conso'!B12</f>
        <v>Consommation</v>
      </c>
      <c r="AD11" s="837"/>
      <c r="AE11" s="837"/>
      <c r="AF11" s="837"/>
      <c r="AG11" s="837"/>
      <c r="AH11" s="837"/>
    </row>
    <row r="12" spans="1:35" s="650" customFormat="1" ht="12.75" customHeight="1" thickBot="1" x14ac:dyDescent="0.25">
      <c r="D12" s="651"/>
      <c r="E12" s="834"/>
      <c r="F12" s="834"/>
      <c r="G12" s="834"/>
      <c r="H12" s="834"/>
      <c r="I12" s="834"/>
      <c r="J12" s="834"/>
      <c r="L12" s="842"/>
      <c r="M12" s="843" t="str">
        <f>'TRAD-Saisie données conso'!B13</f>
        <v>Distribution</v>
      </c>
      <c r="N12" s="834"/>
      <c r="O12" s="834"/>
      <c r="AD12" s="837"/>
      <c r="AE12" s="837"/>
      <c r="AF12" s="837"/>
      <c r="AG12" s="837"/>
      <c r="AH12" s="837"/>
    </row>
    <row r="13" spans="1:35" s="650" customFormat="1" ht="12.75" customHeight="1" x14ac:dyDescent="0.2">
      <c r="D13" s="651"/>
      <c r="E13" s="3255" t="str">
        <f>'TRAD-Saisie données conso'!B11</f>
        <v>Mentionnez les Consommations en conditionnement primaire (flacon)</v>
      </c>
      <c r="F13" s="3255"/>
      <c r="G13" s="3255"/>
      <c r="H13" s="3255"/>
      <c r="I13" s="3255"/>
      <c r="J13" s="3255"/>
      <c r="K13" s="3255"/>
      <c r="L13" s="3255"/>
      <c r="M13" s="3255"/>
      <c r="N13" s="3255"/>
      <c r="O13" s="3255"/>
      <c r="AD13" s="837"/>
      <c r="AE13" s="837"/>
      <c r="AF13" s="837"/>
      <c r="AG13" s="837"/>
      <c r="AH13" s="837"/>
    </row>
    <row r="14" spans="1:35" s="4" customFormat="1" ht="13.5" thickBot="1" x14ac:dyDescent="0.25">
      <c r="AD14" s="835"/>
      <c r="AE14" s="835"/>
      <c r="AF14" s="835"/>
      <c r="AG14" s="835"/>
      <c r="AH14" s="835"/>
    </row>
    <row r="15" spans="1:35" s="4" customFormat="1" ht="39" thickBot="1" x14ac:dyDescent="0.25">
      <c r="D15" s="85"/>
      <c r="E15" s="120"/>
      <c r="F15" s="32" t="str">
        <f>'TRAD-Saisie données conso'!B14</f>
        <v>Composition</v>
      </c>
      <c r="G15" s="33" t="str">
        <f>'TRAD-Saisie données conso'!B15</f>
        <v>Forme galénique</v>
      </c>
      <c r="H15" s="33" t="str">
        <f>'TRAD-Saisie données conso'!B16</f>
        <v>Dosage</v>
      </c>
      <c r="I15" s="33" t="str">
        <f>'TRAD-Saisie données conso'!B17</f>
        <v>DCI</v>
      </c>
      <c r="J15" s="33" t="str">
        <f>'TRAD-Saisie données conso'!B18</f>
        <v>Conditionnement</v>
      </c>
      <c r="K15" s="34"/>
      <c r="L15" s="127" t="str">
        <f>'TRAD-Saisie données conso'!B19</f>
        <v>Consommations ajustées à baseline</v>
      </c>
      <c r="M15" s="127" t="str">
        <f>'TRAD-Saisie données conso'!B20</f>
        <v>Taux de croissance mensuel (%)</v>
      </c>
      <c r="W15" s="835"/>
      <c r="X15" s="835"/>
      <c r="Y15" s="835"/>
      <c r="Z15" s="835"/>
      <c r="AA15" s="835"/>
    </row>
    <row r="16" spans="1:35" s="4" customFormat="1" ht="26.25" thickBot="1" x14ac:dyDescent="0.25">
      <c r="D16" s="31" t="str">
        <f>'TRAD-Saisie données conso'!B21</f>
        <v>Comprimés</v>
      </c>
      <c r="E16" s="97" t="str">
        <f>'Saisie données stocks'!E19</f>
        <v>CDF</v>
      </c>
      <c r="F16" s="86" t="str">
        <f>'Saisie données stocks'!F19</f>
        <v>AZT+3TC+NVP</v>
      </c>
      <c r="G16" s="87" t="str">
        <f>'Saisie données stocks'!G19</f>
        <v>Cp</v>
      </c>
      <c r="H16" s="87" t="str">
        <f>'Saisie données stocks'!H19</f>
        <v>300/150/200 mg</v>
      </c>
      <c r="I16" s="87" t="str">
        <f>'Saisie données stocks'!I19</f>
        <v>Zidovudine+ Lamivudine+ Nevirapine</v>
      </c>
      <c r="J16" s="113">
        <f>'Saisie données stocks'!L19</f>
        <v>60</v>
      </c>
      <c r="K16" s="328"/>
      <c r="L16" s="270">
        <v>6338</v>
      </c>
      <c r="M16" s="550"/>
      <c r="W16" s="835"/>
      <c r="X16" s="835"/>
      <c r="Y16" s="835"/>
      <c r="Z16" s="835"/>
      <c r="AA16" s="835"/>
    </row>
    <row r="17" spans="4:27" s="4" customFormat="1" ht="26.25" thickBot="1" x14ac:dyDescent="0.25">
      <c r="D17" s="37"/>
      <c r="E17" s="98"/>
      <c r="F17" s="501" t="str">
        <f>'Saisie données stocks'!F20</f>
        <v>AZT+3TC+NVP</v>
      </c>
      <c r="G17" s="502" t="str">
        <f>'Saisie données stocks'!G20</f>
        <v>Cp</v>
      </c>
      <c r="H17" s="502" t="str">
        <f>'Saisie données stocks'!H20</f>
        <v>60/30/50 mg</v>
      </c>
      <c r="I17" s="502" t="str">
        <f>'Saisie données stocks'!I20</f>
        <v>Zidovudine+ Lamivudine+ Nevirapine</v>
      </c>
      <c r="J17" s="505">
        <f>'Saisie données stocks'!L20</f>
        <v>60</v>
      </c>
      <c r="K17" s="330"/>
      <c r="L17" s="270">
        <v>546</v>
      </c>
      <c r="M17" s="550"/>
      <c r="W17" s="835"/>
      <c r="X17" s="835"/>
      <c r="Y17" s="835"/>
      <c r="Z17" s="835"/>
      <c r="AA17" s="835"/>
    </row>
    <row r="18" spans="4:27" s="4" customFormat="1" ht="13.5" thickBot="1" x14ac:dyDescent="0.25">
      <c r="D18" s="37"/>
      <c r="E18" s="98"/>
      <c r="F18" s="88" t="str">
        <f>'Saisie données stocks'!F21</f>
        <v>AZT+3TC+ABC</v>
      </c>
      <c r="G18" s="89" t="str">
        <f>'Saisie données stocks'!G21</f>
        <v>Cp</v>
      </c>
      <c r="H18" s="89" t="str">
        <f>'Saisie données stocks'!H21</f>
        <v>300/150/300 mg</v>
      </c>
      <c r="I18" s="89" t="str">
        <f>'Saisie données stocks'!I21</f>
        <v>Zidovudine+ Lamivudine+ Abacavir</v>
      </c>
      <c r="J18" s="114">
        <f>'Saisie données stocks'!L21</f>
        <v>60</v>
      </c>
      <c r="K18" s="330"/>
      <c r="L18" s="270">
        <v>27</v>
      </c>
      <c r="M18" s="550"/>
      <c r="W18" s="835"/>
      <c r="X18" s="835"/>
      <c r="Y18" s="835"/>
      <c r="Z18" s="835"/>
      <c r="AA18" s="835"/>
    </row>
    <row r="19" spans="4:27" s="4" customFormat="1" ht="13.5" thickBot="1" x14ac:dyDescent="0.25">
      <c r="D19" s="37"/>
      <c r="E19" s="98"/>
      <c r="F19" s="88" t="str">
        <f>'Saisie données stocks'!F22</f>
        <v>AZT+3TC</v>
      </c>
      <c r="G19" s="89" t="str">
        <f>'Saisie données stocks'!G22</f>
        <v>Cp</v>
      </c>
      <c r="H19" s="89" t="str">
        <f>'Saisie données stocks'!H22</f>
        <v>300/150 mg</v>
      </c>
      <c r="I19" s="89" t="str">
        <f>'Saisie données stocks'!I22</f>
        <v>Zidovudine+ Lamivudine</v>
      </c>
      <c r="J19" s="114">
        <f>'Saisie données stocks'!L22</f>
        <v>60</v>
      </c>
      <c r="K19" s="330"/>
      <c r="L19" s="270">
        <v>1267</v>
      </c>
      <c r="M19" s="550"/>
      <c r="W19" s="835"/>
      <c r="X19" s="835"/>
      <c r="Y19" s="835"/>
      <c r="Z19" s="835"/>
      <c r="AA19" s="835"/>
    </row>
    <row r="20" spans="4:27" s="4" customFormat="1" ht="13.5" thickBot="1" x14ac:dyDescent="0.25">
      <c r="D20" s="37"/>
      <c r="E20" s="98"/>
      <c r="F20" s="1656" t="str">
        <f>'Saisie données stocks'!F23</f>
        <v>AZT+3TC</v>
      </c>
      <c r="G20" s="1657" t="str">
        <f>'Saisie données stocks'!G23</f>
        <v>Cp</v>
      </c>
      <c r="H20" s="1657" t="str">
        <f>'Saisie données stocks'!H23</f>
        <v>60/30 mg</v>
      </c>
      <c r="I20" s="502" t="str">
        <f>'Saisie données stocks'!I23</f>
        <v>Zidovudine+ Lamivudine</v>
      </c>
      <c r="J20" s="505">
        <f>'Saisie données stocks'!L23</f>
        <v>60</v>
      </c>
      <c r="K20" s="330"/>
      <c r="L20" s="270">
        <v>146</v>
      </c>
      <c r="M20" s="550"/>
      <c r="W20" s="835"/>
      <c r="X20" s="835"/>
      <c r="Y20" s="835"/>
      <c r="Z20" s="835"/>
      <c r="AA20" s="835"/>
    </row>
    <row r="21" spans="4:27" s="4" customFormat="1" ht="13.5" thickBot="1" x14ac:dyDescent="0.25">
      <c r="D21" s="37"/>
      <c r="E21" s="98"/>
      <c r="F21" s="1656" t="str">
        <f>'Saisie données stocks'!F24</f>
        <v>3TC+ABC</v>
      </c>
      <c r="G21" s="1657" t="str">
        <f>'Saisie données stocks'!G24</f>
        <v>Cp</v>
      </c>
      <c r="H21" s="1657" t="str">
        <f>'Saisie données stocks'!H24</f>
        <v>300/600 mg</v>
      </c>
      <c r="I21" s="502" t="str">
        <f>'Saisie données stocks'!I24</f>
        <v>Lamivudine+ Abacavir</v>
      </c>
      <c r="J21" s="505">
        <f>'Saisie données stocks'!L24</f>
        <v>30</v>
      </c>
      <c r="K21" s="330"/>
      <c r="L21" s="270">
        <v>56</v>
      </c>
      <c r="M21" s="550"/>
      <c r="W21" s="835"/>
      <c r="X21" s="835"/>
      <c r="Y21" s="835"/>
      <c r="Z21" s="835"/>
      <c r="AA21" s="835"/>
    </row>
    <row r="22" spans="4:27" s="4" customFormat="1" ht="13.5" thickBot="1" x14ac:dyDescent="0.25">
      <c r="D22" s="37"/>
      <c r="E22" s="98"/>
      <c r="F22" s="1656" t="str">
        <f>'Saisie données stocks'!F25</f>
        <v>3TC+ABC</v>
      </c>
      <c r="G22" s="1657" t="str">
        <f>'Saisie données stocks'!G25</f>
        <v>Cp</v>
      </c>
      <c r="H22" s="1657" t="str">
        <f>'Saisie données stocks'!H25</f>
        <v>30/60 mg</v>
      </c>
      <c r="I22" s="502" t="str">
        <f>'Saisie données stocks'!I25</f>
        <v>Lamivudine+ Abacavir</v>
      </c>
      <c r="J22" s="505">
        <f>'Saisie données stocks'!L25</f>
        <v>60</v>
      </c>
      <c r="K22" s="330"/>
      <c r="L22" s="270">
        <v>22</v>
      </c>
      <c r="M22" s="550"/>
      <c r="W22" s="835"/>
      <c r="X22" s="835"/>
      <c r="Y22" s="835"/>
      <c r="Z22" s="835"/>
      <c r="AA22" s="835"/>
    </row>
    <row r="23" spans="4:27" s="4" customFormat="1" ht="26.25" thickBot="1" x14ac:dyDescent="0.25">
      <c r="D23" s="37"/>
      <c r="E23" s="98"/>
      <c r="F23" s="1660" t="str">
        <f>'Saisie données stocks'!F26</f>
        <v>D4T+3TC+NVP</v>
      </c>
      <c r="G23" s="1661" t="str">
        <f>'Saisie données stocks'!G26</f>
        <v>Cp</v>
      </c>
      <c r="H23" s="1661" t="str">
        <f>'Saisie données stocks'!H26</f>
        <v>30/150/200 mg</v>
      </c>
      <c r="I23" s="1207" t="str">
        <f>'Saisie données stocks'!I26</f>
        <v>Stavudine+ Lamivudine+ Nevirapine</v>
      </c>
      <c r="J23" s="115">
        <f>'Saisie données stocks'!L26</f>
        <v>60</v>
      </c>
      <c r="K23" s="331"/>
      <c r="L23" s="270"/>
      <c r="M23" s="550"/>
      <c r="W23" s="835"/>
      <c r="X23" s="835"/>
      <c r="Y23" s="835"/>
      <c r="Z23" s="835"/>
      <c r="AA23" s="835"/>
    </row>
    <row r="24" spans="4:27" s="4" customFormat="1" ht="26.25" thickBot="1" x14ac:dyDescent="0.25">
      <c r="D24" s="37"/>
      <c r="E24" s="98"/>
      <c r="F24" s="90" t="str">
        <f>'Saisie données stocks'!F27</f>
        <v>D4T+3TC+NVP</v>
      </c>
      <c r="G24" s="91" t="str">
        <f>'Saisie données stocks'!G27</f>
        <v>Cp</v>
      </c>
      <c r="H24" s="91" t="str">
        <f>'Saisie données stocks'!H27</f>
        <v>6/30/50 mg</v>
      </c>
      <c r="I24" s="1207" t="str">
        <f>'Saisie données stocks'!I27</f>
        <v>Stavudine+ Lamivudine+ Nevirapine</v>
      </c>
      <c r="J24" s="115">
        <f>'Saisie données stocks'!L27</f>
        <v>60</v>
      </c>
      <c r="K24" s="331"/>
      <c r="L24" s="270">
        <v>100</v>
      </c>
      <c r="M24" s="550"/>
      <c r="W24" s="835"/>
      <c r="X24" s="835"/>
      <c r="Y24" s="835"/>
      <c r="Z24" s="835"/>
      <c r="AA24" s="835"/>
    </row>
    <row r="25" spans="4:27" s="4" customFormat="1" ht="13.5" thickBot="1" x14ac:dyDescent="0.25">
      <c r="D25" s="37"/>
      <c r="E25" s="98"/>
      <c r="F25" s="1660" t="str">
        <f>'Saisie données stocks'!F28</f>
        <v>D4T+3TC</v>
      </c>
      <c r="G25" s="1661" t="str">
        <f>'Saisie données stocks'!G28</f>
        <v>Cp</v>
      </c>
      <c r="H25" s="1661" t="str">
        <f>'Saisie données stocks'!H28</f>
        <v>30/150 mg</v>
      </c>
      <c r="I25" s="89" t="str">
        <f>'Saisie données stocks'!I28</f>
        <v>Stavudine+ Lamivudine</v>
      </c>
      <c r="J25" s="115">
        <f>'Saisie données stocks'!L28</f>
        <v>60</v>
      </c>
      <c r="K25" s="331"/>
      <c r="L25" s="270">
        <v>45</v>
      </c>
      <c r="M25" s="550"/>
      <c r="W25" s="835"/>
      <c r="X25" s="835"/>
      <c r="Y25" s="835"/>
      <c r="Z25" s="835"/>
      <c r="AA25" s="835"/>
    </row>
    <row r="26" spans="4:27" s="4" customFormat="1" ht="13.5" thickBot="1" x14ac:dyDescent="0.25">
      <c r="D26" s="37"/>
      <c r="E26" s="98"/>
      <c r="F26" s="1660" t="str">
        <f>'Saisie données stocks'!F29</f>
        <v>TDF+FTC+EFV</v>
      </c>
      <c r="G26" s="1661" t="str">
        <f>'Saisie données stocks'!G29</f>
        <v>Cp</v>
      </c>
      <c r="H26" s="1661" t="str">
        <f>'Saisie données stocks'!H29</f>
        <v>300/200/600 mg</v>
      </c>
      <c r="I26" s="89" t="str">
        <f>'Saisie données stocks'!I29</f>
        <v>Tenofovir+ Emtricitabine+ Efavirenz</v>
      </c>
      <c r="J26" s="115">
        <f>'Saisie données stocks'!L29</f>
        <v>30</v>
      </c>
      <c r="K26" s="331"/>
      <c r="L26" s="270"/>
      <c r="M26" s="550"/>
      <c r="W26" s="835"/>
      <c r="X26" s="835"/>
      <c r="Y26" s="835"/>
      <c r="Z26" s="835"/>
      <c r="AA26" s="835"/>
    </row>
    <row r="27" spans="4:27" s="4" customFormat="1" ht="13.5" thickBot="1" x14ac:dyDescent="0.25">
      <c r="D27" s="37"/>
      <c r="E27" s="98"/>
      <c r="F27" s="1660" t="str">
        <f>'Saisie données stocks'!F30</f>
        <v>TDF+FTC</v>
      </c>
      <c r="G27" s="1661" t="str">
        <f>'Saisie données stocks'!G30</f>
        <v>Cp</v>
      </c>
      <c r="H27" s="1661" t="str">
        <f>'Saisie données stocks'!H30</f>
        <v>300/200 mg</v>
      </c>
      <c r="I27" s="89" t="str">
        <f>'Saisie données stocks'!I30</f>
        <v>Tenofovir+ Emtricitabine</v>
      </c>
      <c r="J27" s="115">
        <f>'Saisie données stocks'!L30</f>
        <v>30</v>
      </c>
      <c r="K27" s="331"/>
      <c r="L27" s="270"/>
      <c r="M27" s="550"/>
      <c r="W27" s="835"/>
      <c r="X27" s="835"/>
      <c r="Y27" s="835"/>
      <c r="Z27" s="835"/>
      <c r="AA27" s="835"/>
    </row>
    <row r="28" spans="4:27" s="4" customFormat="1" ht="13.5" thickBot="1" x14ac:dyDescent="0.25">
      <c r="D28" s="37"/>
      <c r="E28" s="123"/>
      <c r="F28" s="1660" t="str">
        <f>'Saisie données stocks'!F31</f>
        <v>TDF+3TC+EFV</v>
      </c>
      <c r="G28" s="1661" t="str">
        <f>'Saisie données stocks'!G31</f>
        <v>Cp</v>
      </c>
      <c r="H28" s="1661" t="str">
        <f>'Saisie données stocks'!H31</f>
        <v>300/200/600 mg</v>
      </c>
      <c r="I28" s="89" t="str">
        <f>'Saisie données stocks'!I31</f>
        <v>Tenofovir+ Lamivudine+ Efavirenz</v>
      </c>
      <c r="J28" s="115">
        <f>'Saisie données stocks'!L31</f>
        <v>30</v>
      </c>
      <c r="K28" s="331"/>
      <c r="L28" s="270">
        <v>1484</v>
      </c>
      <c r="M28" s="550"/>
      <c r="W28" s="835"/>
      <c r="X28" s="835"/>
      <c r="Y28" s="835"/>
      <c r="Z28" s="835"/>
      <c r="AA28" s="835"/>
    </row>
    <row r="29" spans="4:27" s="4" customFormat="1" ht="13.5" thickBot="1" x14ac:dyDescent="0.25">
      <c r="D29" s="37"/>
      <c r="E29" s="123"/>
      <c r="F29" s="1660" t="str">
        <f>'Saisie données stocks'!F32</f>
        <v>TDF+3TC</v>
      </c>
      <c r="G29" s="1661" t="str">
        <f>'Saisie données stocks'!G32</f>
        <v>Cp</v>
      </c>
      <c r="H29" s="1661" t="str">
        <f>'Saisie données stocks'!H32</f>
        <v>300/200 mg</v>
      </c>
      <c r="I29" s="89" t="str">
        <f>'Saisie données stocks'!I32</f>
        <v>Tenofovir+ Lamivudine</v>
      </c>
      <c r="J29" s="115">
        <f>'Saisie données stocks'!L32</f>
        <v>30</v>
      </c>
      <c r="K29" s="331"/>
      <c r="L29" s="270">
        <v>104</v>
      </c>
      <c r="M29" s="550"/>
      <c r="W29" s="835"/>
      <c r="X29" s="835"/>
      <c r="Y29" s="835"/>
      <c r="Z29" s="835"/>
      <c r="AA29" s="835"/>
    </row>
    <row r="30" spans="4:27" s="4" customFormat="1" ht="26.25" thickBot="1" x14ac:dyDescent="0.25">
      <c r="D30" s="100"/>
      <c r="E30" s="101"/>
      <c r="F30" s="1663" t="str">
        <f>'Saisie données stocks'!F33</f>
        <v>[TDF+3TC]+ATV/r</v>
      </c>
      <c r="G30" s="1664" t="str">
        <f>'Saisie données stocks'!G33</f>
        <v>Cp coblister</v>
      </c>
      <c r="H30" s="1664" t="str">
        <f>'Saisie données stocks'!H33</f>
        <v>[300/300]+300/100 mg</v>
      </c>
      <c r="I30" s="1640" t="str">
        <f>'Saisie données stocks'!I33</f>
        <v>[Tenofovir+ Lamivudine]+ Atazanavir/Ritonavir</v>
      </c>
      <c r="J30" s="116">
        <f>'Saisie données stocks'!L33</f>
        <v>30</v>
      </c>
      <c r="K30" s="333"/>
      <c r="L30" s="270"/>
      <c r="M30" s="550"/>
      <c r="W30" s="835"/>
      <c r="X30" s="835"/>
      <c r="Y30" s="835"/>
      <c r="Z30" s="835"/>
      <c r="AA30" s="835"/>
    </row>
    <row r="31" spans="4:27" s="4" customFormat="1" ht="13.5" thickBot="1" x14ac:dyDescent="0.25">
      <c r="D31" s="37"/>
      <c r="E31" s="98" t="str">
        <f>'Saisie données stocks'!E34</f>
        <v>INNTI</v>
      </c>
      <c r="F31" s="1658" t="str">
        <f>'Saisie données stocks'!F34</f>
        <v>EFV</v>
      </c>
      <c r="G31" s="1659" t="str">
        <f>'Saisie données stocks'!G34</f>
        <v>Gél</v>
      </c>
      <c r="H31" s="1659" t="str">
        <f>'Saisie données stocks'!H34</f>
        <v>50 mg</v>
      </c>
      <c r="I31" s="89" t="str">
        <f>'Saisie données stocks'!I34</f>
        <v>Efavirenz</v>
      </c>
      <c r="J31" s="114">
        <f>'Saisie données stocks'!L34</f>
        <v>30</v>
      </c>
      <c r="K31" s="330"/>
      <c r="L31" s="270"/>
      <c r="M31" s="550"/>
      <c r="W31" s="835"/>
      <c r="X31" s="835"/>
      <c r="Y31" s="835"/>
      <c r="Z31" s="835"/>
      <c r="AA31" s="835"/>
    </row>
    <row r="32" spans="4:27" s="4" customFormat="1" ht="13.5" thickBot="1" x14ac:dyDescent="0.25">
      <c r="D32" s="37"/>
      <c r="E32" s="98"/>
      <c r="F32" s="1660" t="str">
        <f>'Saisie données stocks'!F35</f>
        <v>EFV</v>
      </c>
      <c r="G32" s="1661" t="str">
        <f>'Saisie données stocks'!G35</f>
        <v>Gél</v>
      </c>
      <c r="H32" s="1661" t="str">
        <f>'Saisie données stocks'!H35</f>
        <v>200 mg</v>
      </c>
      <c r="I32" s="89" t="str">
        <f>'Saisie données stocks'!I35</f>
        <v>Efavirenz</v>
      </c>
      <c r="J32" s="115">
        <f>'Saisie données stocks'!L35</f>
        <v>90</v>
      </c>
      <c r="K32" s="331"/>
      <c r="L32" s="270">
        <v>21</v>
      </c>
      <c r="M32" s="550"/>
      <c r="W32" s="835"/>
      <c r="X32" s="835"/>
      <c r="Y32" s="835"/>
      <c r="Z32" s="835"/>
      <c r="AA32" s="835"/>
    </row>
    <row r="33" spans="4:27" s="4" customFormat="1" ht="13.5" thickBot="1" x14ac:dyDescent="0.25">
      <c r="D33" s="37"/>
      <c r="E33" s="98"/>
      <c r="F33" s="1665" t="str">
        <f>'Saisie données stocks'!F36</f>
        <v>EFV</v>
      </c>
      <c r="G33" s="1666" t="str">
        <f>'Saisie données stocks'!G36</f>
        <v>Cp</v>
      </c>
      <c r="H33" s="1661" t="str">
        <f>'Saisie données stocks'!H36</f>
        <v>600 mg</v>
      </c>
      <c r="I33" s="89" t="str">
        <f>'Saisie données stocks'!I36</f>
        <v>Efavirenz</v>
      </c>
      <c r="J33" s="117">
        <f>'Saisie données stocks'!L36</f>
        <v>30</v>
      </c>
      <c r="K33" s="334"/>
      <c r="L33" s="270">
        <v>1485</v>
      </c>
      <c r="M33" s="550"/>
      <c r="W33" s="835"/>
      <c r="X33" s="835"/>
      <c r="Y33" s="835"/>
      <c r="Z33" s="835"/>
      <c r="AA33" s="835"/>
    </row>
    <row r="34" spans="4:27" s="4" customFormat="1" ht="13.5" thickBot="1" x14ac:dyDescent="0.25">
      <c r="D34" s="37"/>
      <c r="E34" s="98"/>
      <c r="F34" s="1667" t="str">
        <f>'Saisie données stocks'!F37</f>
        <v>ETV</v>
      </c>
      <c r="G34" s="1668" t="str">
        <f>'Saisie données stocks'!G37</f>
        <v>Cp</v>
      </c>
      <c r="H34" s="1662" t="str">
        <f>'Saisie données stocks'!H37</f>
        <v>200 mg</v>
      </c>
      <c r="I34" s="89" t="str">
        <f>'Saisie données stocks'!I37</f>
        <v>Etravirine</v>
      </c>
      <c r="J34" s="1386">
        <f>'Saisie données stocks'!L37</f>
        <v>60</v>
      </c>
      <c r="K34" s="1387"/>
      <c r="L34" s="270"/>
      <c r="M34" s="550"/>
      <c r="W34" s="835"/>
      <c r="X34" s="835"/>
      <c r="Y34" s="835"/>
      <c r="Z34" s="835"/>
      <c r="AA34" s="835"/>
    </row>
    <row r="35" spans="4:27" s="4" customFormat="1" ht="13.5" thickBot="1" x14ac:dyDescent="0.25">
      <c r="D35" s="37"/>
      <c r="E35" s="123"/>
      <c r="F35" s="1660" t="str">
        <f>'Saisie données stocks'!F38</f>
        <v>NVP</v>
      </c>
      <c r="G35" s="1661" t="str">
        <f>'Saisie données stocks'!G38</f>
        <v>Cp</v>
      </c>
      <c r="H35" s="1662" t="str">
        <f>'Saisie données stocks'!H38</f>
        <v>200 mg</v>
      </c>
      <c r="I35" s="89" t="str">
        <f>'Saisie données stocks'!I38</f>
        <v>Nevirapine</v>
      </c>
      <c r="J35" s="115">
        <f>'Saisie données stocks'!L38</f>
        <v>60</v>
      </c>
      <c r="K35" s="331"/>
      <c r="L35" s="270"/>
      <c r="M35" s="550"/>
      <c r="W35" s="835"/>
      <c r="X35" s="835"/>
      <c r="Y35" s="835"/>
      <c r="Z35" s="835"/>
      <c r="AA35" s="835"/>
    </row>
    <row r="36" spans="4:27" s="4" customFormat="1" ht="13.5" thickBot="1" x14ac:dyDescent="0.25">
      <c r="D36" s="100"/>
      <c r="E36" s="101"/>
      <c r="F36" s="1663" t="str">
        <f>'Saisie données stocks'!F39</f>
        <v>RPV</v>
      </c>
      <c r="G36" s="1664" t="str">
        <f>'Saisie données stocks'!G39</f>
        <v>Cp</v>
      </c>
      <c r="H36" s="1664" t="str">
        <f>'Saisie données stocks'!H39</f>
        <v>25 mg</v>
      </c>
      <c r="I36" s="1640" t="str">
        <f>'Saisie données stocks'!I39</f>
        <v>Rilpivirine</v>
      </c>
      <c r="J36" s="116">
        <f>'Saisie données stocks'!L39</f>
        <v>30</v>
      </c>
      <c r="K36" s="333"/>
      <c r="L36" s="270"/>
      <c r="M36" s="550"/>
      <c r="W36" s="835"/>
      <c r="X36" s="835"/>
      <c r="Y36" s="835"/>
      <c r="Z36" s="835"/>
      <c r="AA36" s="835"/>
    </row>
    <row r="37" spans="4:27" s="4" customFormat="1" ht="13.5" thickBot="1" x14ac:dyDescent="0.25">
      <c r="D37" s="37"/>
      <c r="E37" s="123" t="str">
        <f>'Saisie données stocks'!E40</f>
        <v>INTI</v>
      </c>
      <c r="F37" s="1660" t="str">
        <f>'Saisie données stocks'!F40</f>
        <v>ABC</v>
      </c>
      <c r="G37" s="1661" t="str">
        <f>'Saisie données stocks'!G40</f>
        <v>Cp</v>
      </c>
      <c r="H37" s="1661" t="str">
        <f>'Saisie données stocks'!H40</f>
        <v>300 mg</v>
      </c>
      <c r="I37" s="89" t="str">
        <f>'Saisie données stocks'!I40</f>
        <v>Abacavir</v>
      </c>
      <c r="J37" s="115">
        <f>'Saisie données stocks'!L40</f>
        <v>60</v>
      </c>
      <c r="K37" s="331"/>
      <c r="L37" s="270">
        <v>2</v>
      </c>
      <c r="M37" s="550"/>
      <c r="W37" s="835"/>
      <c r="X37" s="835"/>
      <c r="Y37" s="835"/>
      <c r="Z37" s="835"/>
      <c r="AA37" s="835"/>
    </row>
    <row r="38" spans="4:27" s="4" customFormat="1" ht="13.5" thickBot="1" x14ac:dyDescent="0.25">
      <c r="D38" s="37"/>
      <c r="E38" s="98"/>
      <c r="F38" s="1658" t="str">
        <f>'Saisie données stocks'!F41</f>
        <v>ABC</v>
      </c>
      <c r="G38" s="1659" t="str">
        <f>'Saisie données stocks'!G41</f>
        <v>Cp</v>
      </c>
      <c r="H38" s="1659" t="str">
        <f>'Saisie données stocks'!H41</f>
        <v>60 mg</v>
      </c>
      <c r="I38" s="89" t="str">
        <f>'Saisie données stocks'!I41</f>
        <v>Abacavir</v>
      </c>
      <c r="J38" s="114">
        <f>'Saisie données stocks'!L41</f>
        <v>60</v>
      </c>
      <c r="K38" s="330"/>
      <c r="L38" s="270"/>
      <c r="M38" s="550"/>
      <c r="W38" s="835"/>
      <c r="X38" s="835"/>
      <c r="Y38" s="835"/>
      <c r="Z38" s="835"/>
      <c r="AA38" s="835"/>
    </row>
    <row r="39" spans="4:27" s="4" customFormat="1" ht="13.5" thickBot="1" x14ac:dyDescent="0.25">
      <c r="D39" s="37"/>
      <c r="E39" s="98"/>
      <c r="F39" s="1658" t="str">
        <f>'Saisie données stocks'!F42</f>
        <v>AZT</v>
      </c>
      <c r="G39" s="1659" t="str">
        <f>'Saisie données stocks'!G42</f>
        <v>Cp</v>
      </c>
      <c r="H39" s="1661" t="str">
        <f>'Saisie données stocks'!H42</f>
        <v>300 mg</v>
      </c>
      <c r="I39" s="89" t="str">
        <f>'Saisie données stocks'!I42</f>
        <v>Zidovudine</v>
      </c>
      <c r="J39" s="114">
        <f>'Saisie données stocks'!L42</f>
        <v>60</v>
      </c>
      <c r="K39" s="330"/>
      <c r="L39" s="270"/>
      <c r="M39" s="550"/>
      <c r="W39" s="835"/>
      <c r="X39" s="835"/>
      <c r="Y39" s="835"/>
      <c r="Z39" s="835"/>
      <c r="AA39" s="835"/>
    </row>
    <row r="40" spans="4:27" s="4" customFormat="1" ht="13.5" thickBot="1" x14ac:dyDescent="0.25">
      <c r="D40" s="37"/>
      <c r="E40" s="98"/>
      <c r="F40" s="1658" t="str">
        <f>'Saisie données stocks'!F43</f>
        <v>AZT</v>
      </c>
      <c r="G40" s="1659" t="str">
        <f>'Saisie données stocks'!G43</f>
        <v>Cp</v>
      </c>
      <c r="H40" s="1662" t="str">
        <f>'Saisie données stocks'!H43</f>
        <v>100 mg</v>
      </c>
      <c r="I40" s="89" t="str">
        <f>'Saisie données stocks'!I43</f>
        <v>Zidovudine</v>
      </c>
      <c r="J40" s="114">
        <f>'Saisie données stocks'!L43</f>
        <v>100</v>
      </c>
      <c r="K40" s="330"/>
      <c r="L40" s="270"/>
      <c r="M40" s="550"/>
      <c r="W40" s="835"/>
      <c r="X40" s="835"/>
      <c r="Y40" s="835"/>
      <c r="Z40" s="835"/>
      <c r="AA40" s="835"/>
    </row>
    <row r="41" spans="4:27" s="4" customFormat="1" ht="13.5" thickBot="1" x14ac:dyDescent="0.25">
      <c r="D41" s="37"/>
      <c r="E41" s="98"/>
      <c r="F41" s="1658" t="str">
        <f>'Saisie données stocks'!F44</f>
        <v>AZT</v>
      </c>
      <c r="G41" s="1659" t="str">
        <f>'Saisie données stocks'!G44</f>
        <v>Cp</v>
      </c>
      <c r="H41" s="1662" t="str">
        <f>'Saisie données stocks'!H44</f>
        <v>60 mg</v>
      </c>
      <c r="I41" s="89" t="str">
        <f>'Saisie données stocks'!I44</f>
        <v>Zidovudine</v>
      </c>
      <c r="J41" s="114">
        <f>'Saisie données stocks'!L44</f>
        <v>60</v>
      </c>
      <c r="K41" s="330"/>
      <c r="L41" s="270"/>
      <c r="M41" s="550"/>
      <c r="W41" s="835"/>
      <c r="X41" s="835"/>
      <c r="Y41" s="835"/>
      <c r="Z41" s="835"/>
      <c r="AA41" s="835"/>
    </row>
    <row r="42" spans="4:27" s="4" customFormat="1" ht="13.5" thickBot="1" x14ac:dyDescent="0.25">
      <c r="D42" s="37"/>
      <c r="E42" s="98"/>
      <c r="F42" s="1669" t="str">
        <f>'Saisie données stocks'!F45</f>
        <v>D4T</v>
      </c>
      <c r="G42" s="1670" t="str">
        <f>'Saisie données stocks'!G45</f>
        <v>Cp</v>
      </c>
      <c r="H42" s="1671" t="str">
        <f>'Saisie données stocks'!H45</f>
        <v>30 mg</v>
      </c>
      <c r="I42" s="377" t="str">
        <f>'Saisie données stocks'!I45</f>
        <v>Stavudine</v>
      </c>
      <c r="J42" s="114">
        <f>'Saisie données stocks'!L45</f>
        <v>60</v>
      </c>
      <c r="K42" s="330"/>
      <c r="L42" s="270"/>
      <c r="M42" s="550"/>
      <c r="W42" s="835"/>
      <c r="X42" s="835"/>
      <c r="Y42" s="835"/>
      <c r="Z42" s="835"/>
      <c r="AA42" s="835"/>
    </row>
    <row r="43" spans="4:27" s="4" customFormat="1" ht="13.5" thickBot="1" x14ac:dyDescent="0.25">
      <c r="D43" s="37"/>
      <c r="E43" s="98"/>
      <c r="F43" s="1658" t="str">
        <f>'Saisie données stocks'!F46</f>
        <v>3TC</v>
      </c>
      <c r="G43" s="1659" t="str">
        <f>'Saisie données stocks'!G46</f>
        <v>Cp</v>
      </c>
      <c r="H43" s="1661" t="str">
        <f>'Saisie données stocks'!H46</f>
        <v>150 mg</v>
      </c>
      <c r="I43" s="89" t="str">
        <f>'Saisie données stocks'!I46</f>
        <v>Lamivudine</v>
      </c>
      <c r="J43" s="114">
        <f>'Saisie données stocks'!L46</f>
        <v>60</v>
      </c>
      <c r="K43" s="330"/>
      <c r="L43" s="270"/>
      <c r="M43" s="550"/>
      <c r="W43" s="835"/>
      <c r="X43" s="835"/>
      <c r="Y43" s="835"/>
      <c r="Z43" s="835"/>
      <c r="AA43" s="835"/>
    </row>
    <row r="44" spans="4:27" s="4" customFormat="1" ht="13.5" thickBot="1" x14ac:dyDescent="0.25">
      <c r="D44" s="37"/>
      <c r="E44" s="98"/>
      <c r="F44" s="1658" t="str">
        <f>'Saisie données stocks'!F47</f>
        <v>3TC</v>
      </c>
      <c r="G44" s="1659" t="str">
        <f>'Saisie données stocks'!G47</f>
        <v>Cp</v>
      </c>
      <c r="H44" s="1662" t="str">
        <f>'Saisie données stocks'!H47</f>
        <v>30 mg</v>
      </c>
      <c r="I44" s="89" t="str">
        <f>'Saisie données stocks'!I47</f>
        <v>Lamivudine</v>
      </c>
      <c r="J44" s="114">
        <f>'Saisie données stocks'!L47</f>
        <v>60</v>
      </c>
      <c r="K44" s="330"/>
      <c r="L44" s="270"/>
      <c r="M44" s="550"/>
      <c r="W44" s="835"/>
      <c r="X44" s="835"/>
      <c r="Y44" s="835"/>
      <c r="Z44" s="835"/>
      <c r="AA44" s="835"/>
    </row>
    <row r="45" spans="4:27" s="4" customFormat="1" ht="13.5" thickBot="1" x14ac:dyDescent="0.25">
      <c r="D45" s="37"/>
      <c r="E45" s="98"/>
      <c r="F45" s="1660" t="str">
        <f>'Saisie données stocks'!F48</f>
        <v>DDI</v>
      </c>
      <c r="G45" s="1661" t="str">
        <f>'Saisie données stocks'!G48</f>
        <v>Cp</v>
      </c>
      <c r="H45" s="1661" t="str">
        <f>'Saisie données stocks'!H48</f>
        <v>250 mg</v>
      </c>
      <c r="I45" s="1207" t="str">
        <f>'Saisie données stocks'!I48</f>
        <v>Didanosine</v>
      </c>
      <c r="J45" s="115">
        <f>'Saisie données stocks'!L48</f>
        <v>30</v>
      </c>
      <c r="K45" s="331"/>
      <c r="L45" s="270"/>
      <c r="M45" s="550"/>
      <c r="W45" s="835"/>
      <c r="X45" s="835"/>
      <c r="Y45" s="835"/>
      <c r="Z45" s="835"/>
      <c r="AA45" s="835"/>
    </row>
    <row r="46" spans="4:27" s="4" customFormat="1" ht="13.5" thickBot="1" x14ac:dyDescent="0.25">
      <c r="D46" s="37"/>
      <c r="E46" s="98"/>
      <c r="F46" s="1660" t="str">
        <f>'Saisie données stocks'!F49</f>
        <v>DDI</v>
      </c>
      <c r="G46" s="1661" t="str">
        <f>'Saisie données stocks'!G49</f>
        <v>Cp</v>
      </c>
      <c r="H46" s="1666" t="str">
        <f>'Saisie données stocks'!H49</f>
        <v>400 mg</v>
      </c>
      <c r="I46" s="1637" t="str">
        <f>'Saisie données stocks'!I49</f>
        <v>Didanosine</v>
      </c>
      <c r="J46" s="117">
        <f>'Saisie données stocks'!L49</f>
        <v>30</v>
      </c>
      <c r="K46" s="334"/>
      <c r="L46" s="270">
        <v>2</v>
      </c>
      <c r="M46" s="550"/>
      <c r="W46" s="835"/>
      <c r="X46" s="835"/>
      <c r="Y46" s="835"/>
      <c r="Z46" s="835"/>
      <c r="AA46" s="835"/>
    </row>
    <row r="47" spans="4:27" s="4" customFormat="1" ht="13.5" thickBot="1" x14ac:dyDescent="0.25">
      <c r="D47" s="100"/>
      <c r="E47" s="101"/>
      <c r="F47" s="1663" t="str">
        <f>'Saisie données stocks'!F50</f>
        <v>TDF</v>
      </c>
      <c r="G47" s="1664" t="str">
        <f>'Saisie données stocks'!G50</f>
        <v>Cp</v>
      </c>
      <c r="H47" s="1664" t="str">
        <f>'Saisie données stocks'!H50</f>
        <v>300 mg</v>
      </c>
      <c r="I47" s="1643" t="str">
        <f>'Saisie données stocks'!I50</f>
        <v>Tenofovir</v>
      </c>
      <c r="J47" s="116">
        <f>'Saisie données stocks'!L50</f>
        <v>30</v>
      </c>
      <c r="K47" s="333"/>
      <c r="L47" s="270"/>
      <c r="M47" s="550"/>
      <c r="W47" s="835"/>
      <c r="X47" s="835"/>
      <c r="Y47" s="835"/>
      <c r="Z47" s="835"/>
      <c r="AA47" s="835"/>
    </row>
    <row r="48" spans="4:27" s="4" customFormat="1" ht="13.5" thickBot="1" x14ac:dyDescent="0.25">
      <c r="D48" s="37"/>
      <c r="E48" s="98" t="str">
        <f>'Saisie données stocks'!E51</f>
        <v>IP</v>
      </c>
      <c r="F48" s="1658" t="str">
        <f>'Saisie données stocks'!F51</f>
        <v>LPV/r</v>
      </c>
      <c r="G48" s="1659" t="str">
        <f>'Saisie données stocks'!G51</f>
        <v>Cp</v>
      </c>
      <c r="H48" s="1659" t="str">
        <f>'Saisie données stocks'!H51</f>
        <v>200/50 mg</v>
      </c>
      <c r="I48" s="89" t="str">
        <f>'Saisie données stocks'!I51</f>
        <v>Lopinavir/ Ritonavir</v>
      </c>
      <c r="J48" s="114">
        <f>'Saisie données stocks'!L51</f>
        <v>120</v>
      </c>
      <c r="K48" s="330"/>
      <c r="L48" s="270">
        <v>106</v>
      </c>
      <c r="M48" s="550"/>
      <c r="W48" s="835"/>
      <c r="X48" s="835"/>
      <c r="Y48" s="835"/>
      <c r="Z48" s="835"/>
      <c r="AA48" s="835"/>
    </row>
    <row r="49" spans="4:27" s="4" customFormat="1" ht="26.25" thickBot="1" x14ac:dyDescent="0.25">
      <c r="D49" s="37"/>
      <c r="E49" s="98"/>
      <c r="F49" s="1672" t="str">
        <f>'Saisie données stocks'!F52</f>
        <v>LPV/r</v>
      </c>
      <c r="G49" s="1673" t="str">
        <f>'Saisie données stocks'!G52</f>
        <v>Cp coblister</v>
      </c>
      <c r="H49" s="1673" t="str">
        <f>'Saisie données stocks'!H52</f>
        <v>100/25 mg</v>
      </c>
      <c r="I49" s="1210" t="str">
        <f>'Saisie données stocks'!I52</f>
        <v>Lopinavir/ Ritonavir</v>
      </c>
      <c r="J49" s="537">
        <f>'Saisie données stocks'!L52</f>
        <v>60</v>
      </c>
      <c r="K49" s="506"/>
      <c r="L49" s="270">
        <v>18</v>
      </c>
      <c r="M49" s="550"/>
      <c r="W49" s="835"/>
      <c r="X49" s="835"/>
      <c r="Y49" s="835"/>
      <c r="Z49" s="835"/>
      <c r="AA49" s="835"/>
    </row>
    <row r="50" spans="4:27" s="4" customFormat="1" ht="13.5" thickBot="1" x14ac:dyDescent="0.25">
      <c r="D50" s="37"/>
      <c r="E50" s="92"/>
      <c r="F50" s="1674" t="str">
        <f>'Saisie données stocks'!F53</f>
        <v>ATV/r</v>
      </c>
      <c r="G50" s="1675" t="str">
        <f>'Saisie données stocks'!G53</f>
        <v>Cp</v>
      </c>
      <c r="H50" s="1676" t="str">
        <f>'Saisie données stocks'!H53</f>
        <v>300/100 mg</v>
      </c>
      <c r="I50" s="1625" t="str">
        <f>'Saisie données stocks'!I53</f>
        <v>Atazanavir/ Ritonavir</v>
      </c>
      <c r="J50" s="512">
        <f>'Saisie données stocks'!L53</f>
        <v>30</v>
      </c>
      <c r="K50" s="334"/>
      <c r="L50" s="270"/>
      <c r="M50" s="550"/>
      <c r="W50" s="835"/>
      <c r="X50" s="835"/>
      <c r="Y50" s="835"/>
      <c r="Z50" s="835"/>
      <c r="AA50" s="835"/>
    </row>
    <row r="51" spans="4:27" s="4" customFormat="1" ht="13.5" thickBot="1" x14ac:dyDescent="0.25">
      <c r="D51" s="37"/>
      <c r="E51" s="92"/>
      <c r="F51" s="1677" t="str">
        <f>'Saisie données stocks'!F54</f>
        <v>FPV</v>
      </c>
      <c r="G51" s="1678" t="str">
        <f>'Saisie données stocks'!G54</f>
        <v>Cp</v>
      </c>
      <c r="H51" s="1678" t="str">
        <f>'Saisie données stocks'!H54</f>
        <v>700 mg</v>
      </c>
      <c r="I51" s="1625" t="str">
        <f>'Saisie données stocks'!I54</f>
        <v>Fosamprenavir</v>
      </c>
      <c r="J51" s="1388">
        <f>'Saisie données stocks'!L54</f>
        <v>60</v>
      </c>
      <c r="K51" s="1387"/>
      <c r="L51" s="270"/>
      <c r="M51" s="550"/>
      <c r="W51" s="835"/>
      <c r="X51" s="835"/>
      <c r="Y51" s="835"/>
      <c r="Z51" s="835"/>
      <c r="AA51" s="835"/>
    </row>
    <row r="52" spans="4:27" s="4" customFormat="1" ht="13.5" thickBot="1" x14ac:dyDescent="0.25">
      <c r="D52" s="37"/>
      <c r="E52" s="92"/>
      <c r="F52" s="1665" t="str">
        <f>'Saisie données stocks'!F55</f>
        <v>IDV</v>
      </c>
      <c r="G52" s="1666" t="str">
        <f>'Saisie données stocks'!G55</f>
        <v>Gel</v>
      </c>
      <c r="H52" s="1666" t="str">
        <f>'Saisie données stocks'!H55</f>
        <v>400 mg</v>
      </c>
      <c r="I52" s="1637" t="str">
        <f>'Saisie données stocks'!I55</f>
        <v>Indinavir</v>
      </c>
      <c r="J52" s="117">
        <f>'Saisie données stocks'!L55</f>
        <v>180</v>
      </c>
      <c r="K52" s="334"/>
      <c r="L52" s="270"/>
      <c r="M52" s="550"/>
      <c r="W52" s="835"/>
      <c r="X52" s="835"/>
      <c r="Y52" s="835"/>
      <c r="Z52" s="835"/>
      <c r="AA52" s="835"/>
    </row>
    <row r="53" spans="4:27" s="4" customFormat="1" ht="13.5" thickBot="1" x14ac:dyDescent="0.25">
      <c r="D53" s="37"/>
      <c r="E53" s="92"/>
      <c r="F53" s="1665" t="str">
        <f>'Saisie données stocks'!F56</f>
        <v>DRV</v>
      </c>
      <c r="G53" s="1666" t="str">
        <f>'Saisie données stocks'!G56</f>
        <v>Cp</v>
      </c>
      <c r="H53" s="1679" t="str">
        <f>'Saisie données stocks'!H56</f>
        <v>300 mg</v>
      </c>
      <c r="I53" s="1637" t="str">
        <f>'Saisie données stocks'!I56</f>
        <v>Darunavir</v>
      </c>
      <c r="J53" s="117">
        <f>'Saisie données stocks'!L56</f>
        <v>60</v>
      </c>
      <c r="K53" s="334"/>
      <c r="L53" s="270"/>
      <c r="M53" s="550"/>
      <c r="W53" s="835"/>
      <c r="X53" s="835"/>
      <c r="Y53" s="835"/>
      <c r="Z53" s="835"/>
      <c r="AA53" s="835"/>
    </row>
    <row r="54" spans="4:27" s="4" customFormat="1" ht="13.5" thickBot="1" x14ac:dyDescent="0.25">
      <c r="D54" s="37"/>
      <c r="E54" s="92"/>
      <c r="F54" s="1665" t="str">
        <f>'Saisie données stocks'!F57</f>
        <v>SQV</v>
      </c>
      <c r="G54" s="1666" t="str">
        <f>'Saisie données stocks'!G57</f>
        <v>Cp</v>
      </c>
      <c r="H54" s="1666" t="str">
        <f>'Saisie données stocks'!H57</f>
        <v>500 mg</v>
      </c>
      <c r="I54" s="1637" t="str">
        <f>'Saisie données stocks'!I57</f>
        <v>Saquinavir</v>
      </c>
      <c r="J54" s="117">
        <f>'Saisie données stocks'!L57</f>
        <v>120</v>
      </c>
      <c r="K54" s="334"/>
      <c r="L54" s="270"/>
      <c r="M54" s="550"/>
      <c r="W54" s="835"/>
      <c r="X54" s="835"/>
      <c r="Y54" s="835"/>
      <c r="Z54" s="835"/>
      <c r="AA54" s="835"/>
    </row>
    <row r="55" spans="4:27" s="4" customFormat="1" ht="13.5" thickBot="1" x14ac:dyDescent="0.25">
      <c r="D55" s="100"/>
      <c r="E55" s="101"/>
      <c r="F55" s="102" t="str">
        <f>'Saisie données stocks'!F58</f>
        <v>RTV</v>
      </c>
      <c r="G55" s="103" t="str">
        <f>'Saisie données stocks'!G58</f>
        <v>Caps</v>
      </c>
      <c r="H55" s="103" t="str">
        <f>'Saisie données stocks'!H58</f>
        <v>100 mg</v>
      </c>
      <c r="I55" s="1643" t="str">
        <f>'Saisie données stocks'!I58</f>
        <v>Ritonavir</v>
      </c>
      <c r="J55" s="116">
        <f>'Saisie données stocks'!L58</f>
        <v>84</v>
      </c>
      <c r="K55" s="333"/>
      <c r="L55" s="270"/>
      <c r="M55" s="550"/>
      <c r="W55" s="835"/>
      <c r="X55" s="835"/>
      <c r="Y55" s="835"/>
      <c r="Z55" s="835"/>
      <c r="AA55" s="835"/>
    </row>
    <row r="56" spans="4:27" s="518" customFormat="1" ht="13.5" thickBot="1" x14ac:dyDescent="0.25">
      <c r="D56" s="519"/>
      <c r="E56" s="520" t="str">
        <f>'Saisie données stocks'!E59</f>
        <v>Inh Integrase</v>
      </c>
      <c r="F56" s="513" t="str">
        <f>'Saisie données stocks'!F59</f>
        <v>RLT = RAL</v>
      </c>
      <c r="G56" s="514" t="str">
        <f>'Saisie données stocks'!G59</f>
        <v>Cp</v>
      </c>
      <c r="H56" s="514" t="str">
        <f>'Saisie données stocks'!H59</f>
        <v>400 mg</v>
      </c>
      <c r="I56" s="1644" t="str">
        <f>'Saisie données stocks'!I59</f>
        <v>Raltegravir</v>
      </c>
      <c r="J56" s="517">
        <f>'Saisie données stocks'!L59</f>
        <v>60</v>
      </c>
      <c r="K56" s="521"/>
      <c r="L56" s="522"/>
      <c r="M56" s="551"/>
      <c r="W56" s="838"/>
      <c r="X56" s="838"/>
      <c r="Y56" s="838"/>
      <c r="Z56" s="838"/>
      <c r="AA56" s="838"/>
    </row>
    <row r="57" spans="4:27" s="4" customFormat="1" ht="64.5" thickBot="1" x14ac:dyDescent="0.25">
      <c r="D57" s="530"/>
      <c r="E57" s="531"/>
      <c r="F57" s="32" t="s">
        <v>12</v>
      </c>
      <c r="G57" s="33" t="str">
        <f>'TRAD-Saisie données conso'!B15</f>
        <v>Forme galénique</v>
      </c>
      <c r="H57" s="33" t="str">
        <f>'TRAD-Saisie données conso'!B16</f>
        <v>Dosage</v>
      </c>
      <c r="I57" s="33"/>
      <c r="J57" s="33" t="str">
        <f>'TRAD-Saisie données conso'!B23</f>
        <v>Volume conditionnement primaire (mL)</v>
      </c>
      <c r="K57" s="34" t="str">
        <f>'TRAD-Saisie données conso'!B24</f>
        <v>Conditionement secondaire</v>
      </c>
      <c r="L57" s="34" t="str">
        <f>'TRAD-Saisie données conso'!B25</f>
        <v>Consommations ajustées à baseline (en flacon / cdt primaire)</v>
      </c>
      <c r="M57" s="552" t="str">
        <f>'TRAD-Saisie données conso'!B27</f>
        <v>Taux de croissance (%)</v>
      </c>
      <c r="W57" s="835"/>
      <c r="X57" s="835"/>
      <c r="Y57" s="835"/>
      <c r="Z57" s="835"/>
      <c r="AA57" s="835"/>
    </row>
    <row r="58" spans="4:27" s="4" customFormat="1" ht="13.5" thickBot="1" x14ac:dyDescent="0.25">
      <c r="D58" s="31" t="str">
        <f>'TRAD-Saisie données conso'!B22</f>
        <v>Solutions buvables</v>
      </c>
      <c r="E58" s="97" t="str">
        <f>'Saisie données stocks'!E61</f>
        <v>INTI</v>
      </c>
      <c r="F58" s="86" t="str">
        <f>'Saisie données stocks'!F61</f>
        <v>AZT</v>
      </c>
      <c r="G58" s="87" t="str">
        <f>'Saisie données stocks'!G61</f>
        <v>Sol buv</v>
      </c>
      <c r="H58" s="87" t="str">
        <f>'Saisie données stocks'!H61</f>
        <v>10 mg/mL</v>
      </c>
      <c r="I58" s="87" t="str">
        <f>'Saisie données stocks'!I61</f>
        <v>Zidovudine</v>
      </c>
      <c r="J58" s="299">
        <f>'Saisie données stocks'!L61</f>
        <v>240</v>
      </c>
      <c r="K58" s="300">
        <f>'Saisie données stocks'!M61</f>
        <v>1</v>
      </c>
      <c r="L58" s="270"/>
      <c r="M58" s="550"/>
      <c r="W58" s="835"/>
      <c r="X58" s="835"/>
      <c r="Y58" s="835"/>
      <c r="Z58" s="835"/>
      <c r="AA58" s="835"/>
    </row>
    <row r="59" spans="4:27" s="4" customFormat="1" ht="13.5" thickBot="1" x14ac:dyDescent="0.25">
      <c r="D59" s="37"/>
      <c r="E59" s="98"/>
      <c r="F59" s="88" t="str">
        <f>'Saisie données stocks'!F62</f>
        <v>D4T</v>
      </c>
      <c r="G59" s="89" t="str">
        <f>'Saisie données stocks'!G62</f>
        <v>Sol buv</v>
      </c>
      <c r="H59" s="89" t="str">
        <f>'Saisie données stocks'!H62</f>
        <v>10 mg/mL</v>
      </c>
      <c r="I59" s="89" t="str">
        <f>'Saisie données stocks'!I62</f>
        <v>Stavudine</v>
      </c>
      <c r="J59" s="307">
        <f>'Saisie données stocks'!L62</f>
        <v>240</v>
      </c>
      <c r="K59" s="308">
        <f>'Saisie données stocks'!M62</f>
        <v>1</v>
      </c>
      <c r="L59" s="270"/>
      <c r="M59" s="550"/>
      <c r="W59" s="835"/>
      <c r="X59" s="835"/>
      <c r="Y59" s="835"/>
      <c r="Z59" s="835"/>
      <c r="AA59" s="835"/>
    </row>
    <row r="60" spans="4:27" s="4" customFormat="1" ht="13.5" thickBot="1" x14ac:dyDescent="0.25">
      <c r="D60" s="37"/>
      <c r="E60" s="98"/>
      <c r="F60" s="90" t="str">
        <f>'Saisie données stocks'!F63</f>
        <v>3TC</v>
      </c>
      <c r="G60" s="91" t="str">
        <f>'Saisie données stocks'!G63</f>
        <v>Sol buv</v>
      </c>
      <c r="H60" s="91" t="str">
        <f>'Saisie données stocks'!H63</f>
        <v>10 mg/mL</v>
      </c>
      <c r="I60" s="1207" t="str">
        <f>'Saisie données stocks'!I63</f>
        <v>Lamivudine</v>
      </c>
      <c r="J60" s="303">
        <f>'Saisie données stocks'!L63</f>
        <v>240</v>
      </c>
      <c r="K60" s="304">
        <f>'Saisie données stocks'!M63</f>
        <v>1</v>
      </c>
      <c r="L60" s="270"/>
      <c r="M60" s="550"/>
      <c r="W60" s="835"/>
      <c r="X60" s="835"/>
      <c r="Y60" s="835"/>
      <c r="Z60" s="835"/>
      <c r="AA60" s="835"/>
    </row>
    <row r="61" spans="4:27" s="4" customFormat="1" ht="13.5" thickBot="1" x14ac:dyDescent="0.25">
      <c r="D61" s="37"/>
      <c r="E61" s="123"/>
      <c r="F61" s="88" t="str">
        <f>'Saisie données stocks'!F64</f>
        <v>ABC</v>
      </c>
      <c r="G61" s="89" t="str">
        <f>'Saisie données stocks'!G64</f>
        <v>Sol buv</v>
      </c>
      <c r="H61" s="89" t="str">
        <f>'Saisie données stocks'!H64</f>
        <v>20 mg/mL</v>
      </c>
      <c r="I61" s="89" t="str">
        <f>'Saisie données stocks'!I64</f>
        <v>Abacavir</v>
      </c>
      <c r="J61" s="307">
        <f>'Saisie données stocks'!L64</f>
        <v>240</v>
      </c>
      <c r="K61" s="308">
        <f>'Saisie données stocks'!M64</f>
        <v>1</v>
      </c>
      <c r="L61" s="270"/>
      <c r="M61" s="550"/>
      <c r="W61" s="835"/>
      <c r="X61" s="835"/>
      <c r="Y61" s="835"/>
      <c r="Z61" s="835"/>
      <c r="AA61" s="835"/>
    </row>
    <row r="62" spans="4:27" s="4" customFormat="1" ht="26.25" thickBot="1" x14ac:dyDescent="0.25">
      <c r="D62" s="37"/>
      <c r="E62" s="101"/>
      <c r="F62" s="102" t="str">
        <f>'Saisie données stocks'!F65</f>
        <v>DDI</v>
      </c>
      <c r="G62" s="103" t="str">
        <f>'Saisie données stocks'!G65</f>
        <v>Poudre buvable</v>
      </c>
      <c r="H62" s="103" t="str">
        <f>'Saisie données stocks'!H65</f>
        <v>2 g</v>
      </c>
      <c r="I62" s="1643" t="str">
        <f>'Saisie données stocks'!I65</f>
        <v>Didanosine</v>
      </c>
      <c r="J62" s="864">
        <f>'Saisie données stocks'!L65</f>
        <v>200</v>
      </c>
      <c r="K62" s="311">
        <f>'Saisie données stocks'!M65</f>
        <v>1</v>
      </c>
      <c r="L62" s="270"/>
      <c r="M62" s="550"/>
      <c r="W62" s="835"/>
      <c r="X62" s="835"/>
      <c r="Y62" s="835"/>
      <c r="Z62" s="835"/>
      <c r="AA62" s="835"/>
    </row>
    <row r="63" spans="4:27" s="4" customFormat="1" ht="13.5" thickBot="1" x14ac:dyDescent="0.25">
      <c r="D63" s="37"/>
      <c r="E63" s="98" t="str">
        <f>'Saisie données stocks'!E66</f>
        <v>INNTI</v>
      </c>
      <c r="F63" s="88" t="str">
        <f>'Saisie données stocks'!F66</f>
        <v>NVP</v>
      </c>
      <c r="G63" s="89" t="str">
        <f>'Saisie données stocks'!G66</f>
        <v>Sol buv</v>
      </c>
      <c r="H63" s="89" t="str">
        <f>'Saisie données stocks'!H66</f>
        <v>10 mg/mL</v>
      </c>
      <c r="I63" s="89" t="str">
        <f>'Saisie données stocks'!I66</f>
        <v>Nevirapine</v>
      </c>
      <c r="J63" s="307">
        <f>'Saisie données stocks'!L66</f>
        <v>240</v>
      </c>
      <c r="K63" s="308">
        <f>'Saisie données stocks'!M66</f>
        <v>1</v>
      </c>
      <c r="L63" s="270">
        <v>830</v>
      </c>
      <c r="M63" s="550"/>
      <c r="W63" s="835"/>
      <c r="X63" s="835"/>
      <c r="Y63" s="835"/>
      <c r="Z63" s="835"/>
      <c r="AA63" s="835"/>
    </row>
    <row r="64" spans="4:27" s="4" customFormat="1" ht="13.5" thickBot="1" x14ac:dyDescent="0.25">
      <c r="D64" s="37"/>
      <c r="E64" s="101"/>
      <c r="F64" s="102" t="str">
        <f>'Saisie données stocks'!F67</f>
        <v>EFV</v>
      </c>
      <c r="G64" s="103" t="str">
        <f>'Saisie données stocks'!G67</f>
        <v>Sol buv</v>
      </c>
      <c r="H64" s="103" t="str">
        <f>'Saisie données stocks'!H67</f>
        <v>30 mg/mL</v>
      </c>
      <c r="I64" s="1643" t="str">
        <f>'Saisie données stocks'!I67</f>
        <v>Efavirenz</v>
      </c>
      <c r="J64" s="864">
        <f>'Saisie données stocks'!L67</f>
        <v>180</v>
      </c>
      <c r="K64" s="311">
        <f>'Saisie données stocks'!M67</f>
        <v>1</v>
      </c>
      <c r="L64" s="270"/>
      <c r="M64" s="550"/>
      <c r="W64" s="835"/>
      <c r="X64" s="835"/>
      <c r="Y64" s="835"/>
      <c r="Z64" s="835"/>
      <c r="AA64" s="835"/>
    </row>
    <row r="65" spans="2:34" s="4" customFormat="1" ht="13.5" thickBot="1" x14ac:dyDescent="0.25">
      <c r="D65" s="42"/>
      <c r="E65" s="99" t="str">
        <f>'Saisie données stocks'!E68</f>
        <v>IP</v>
      </c>
      <c r="F65" s="106" t="str">
        <f>'Saisie données stocks'!F68</f>
        <v>LPV/r</v>
      </c>
      <c r="G65" s="107" t="str">
        <f>'Saisie données stocks'!G68</f>
        <v>Sol buv</v>
      </c>
      <c r="H65" s="107" t="str">
        <f>'Saisie données stocks'!H68</f>
        <v>80/20 mg/mL</v>
      </c>
      <c r="I65" s="107" t="str">
        <f>'Saisie données stocks'!I68</f>
        <v>Lopinavir/Ritonavir</v>
      </c>
      <c r="J65" s="865">
        <f>'Saisie données stocks'!L68</f>
        <v>60</v>
      </c>
      <c r="K65" s="313">
        <f>'Saisie données stocks'!M68</f>
        <v>4</v>
      </c>
      <c r="L65" s="270">
        <v>61</v>
      </c>
      <c r="M65" s="550"/>
      <c r="W65" s="835"/>
      <c r="X65" s="835"/>
      <c r="Y65" s="835"/>
      <c r="Z65" s="835"/>
      <c r="AA65" s="835"/>
    </row>
    <row r="66" spans="2:34" s="4" customFormat="1" x14ac:dyDescent="0.2">
      <c r="D66" s="827"/>
      <c r="E66" s="828"/>
      <c r="F66" s="829"/>
      <c r="G66" s="830"/>
      <c r="H66" s="830"/>
      <c r="I66" s="831"/>
      <c r="J66" s="831"/>
      <c r="K66" s="866"/>
      <c r="L66" s="418"/>
      <c r="M66" s="867"/>
      <c r="N66" s="868"/>
      <c r="AD66" s="835"/>
      <c r="AE66" s="835"/>
      <c r="AF66" s="835"/>
      <c r="AG66" s="835"/>
      <c r="AH66" s="835"/>
    </row>
    <row r="67" spans="2:34" s="4" customFormat="1" x14ac:dyDescent="0.2">
      <c r="D67" s="827"/>
      <c r="E67" s="828" t="s">
        <v>608</v>
      </c>
      <c r="F67" s="829" t="str">
        <f>'TRAD-Saisie données conso'!B26</f>
        <v>Le Darunavir existe en 300mg et en 600mg, bien s'assurer de la forme sélectionnée</v>
      </c>
      <c r="G67" s="830"/>
      <c r="H67" s="830"/>
      <c r="I67" s="831"/>
      <c r="J67" s="831"/>
      <c r="K67" s="866"/>
      <c r="L67" s="418"/>
      <c r="M67" s="867"/>
      <c r="N67" s="868"/>
      <c r="AD67" s="835"/>
      <c r="AE67" s="835"/>
      <c r="AF67" s="835"/>
      <c r="AG67" s="835"/>
      <c r="AH67" s="835"/>
    </row>
    <row r="68" spans="2:34" s="4" customFormat="1" x14ac:dyDescent="0.2">
      <c r="D68" s="827"/>
      <c r="E68" s="828"/>
      <c r="F68" s="829"/>
      <c r="G68" s="830"/>
      <c r="H68" s="830"/>
      <c r="I68" s="831"/>
      <c r="J68" s="831"/>
      <c r="K68" s="866"/>
      <c r="L68" s="418"/>
      <c r="M68" s="867"/>
      <c r="N68" s="868"/>
      <c r="AD68" s="835"/>
      <c r="AE68" s="835"/>
      <c r="AF68" s="835"/>
      <c r="AG68" s="835"/>
      <c r="AH68" s="835"/>
    </row>
    <row r="69" spans="2:34" s="4" customFormat="1" x14ac:dyDescent="0.2">
      <c r="D69" s="827"/>
      <c r="E69" s="828"/>
      <c r="F69" s="829"/>
      <c r="G69" s="830"/>
      <c r="H69" s="830"/>
      <c r="I69" s="831"/>
      <c r="J69" s="831"/>
      <c r="K69" s="866"/>
      <c r="L69" s="418"/>
      <c r="M69" s="867"/>
      <c r="N69" s="868"/>
      <c r="AD69" s="835"/>
      <c r="AE69" s="835"/>
      <c r="AF69" s="835"/>
      <c r="AG69" s="835"/>
      <c r="AH69" s="835"/>
    </row>
    <row r="70" spans="2:34" s="1713" customFormat="1" ht="19.5" thickBot="1" x14ac:dyDescent="0.35">
      <c r="B70" s="2482" t="str">
        <f>'TRAD-Saisie données conso'!B28</f>
        <v>Etape 2 : Représentations visuelles</v>
      </c>
      <c r="C70" s="1715"/>
      <c r="D70" s="1715"/>
      <c r="E70" s="1715"/>
      <c r="F70" s="1715"/>
      <c r="G70" s="1715"/>
      <c r="H70" s="1715"/>
      <c r="I70" s="1715"/>
      <c r="J70" s="1715"/>
      <c r="K70" s="1715"/>
      <c r="L70" s="1715"/>
      <c r="M70" s="1715"/>
      <c r="N70" s="1715"/>
      <c r="O70" s="1715"/>
      <c r="AD70" s="1714"/>
      <c r="AE70" s="1714"/>
      <c r="AF70" s="1714"/>
      <c r="AG70" s="1714"/>
      <c r="AH70" s="1714"/>
    </row>
    <row r="71" spans="2:34" s="4" customFormat="1" x14ac:dyDescent="0.2">
      <c r="AD71" s="835"/>
      <c r="AE71" s="835"/>
      <c r="AF71" s="835"/>
      <c r="AG71" s="835"/>
      <c r="AH71" s="835"/>
    </row>
    <row r="72" spans="2:34" s="4" customFormat="1" ht="14.25" x14ac:dyDescent="0.2">
      <c r="C72" s="25" t="str">
        <f>'TRAD-Saisie données conso'!B29</f>
        <v>Pour les représentations visuelles faites à partir des données de conso/distri, sur quelles sources de données souhaitez vous faire apparaître le nombre de patients sous traitement pour chaque ARV?</v>
      </c>
      <c r="D72" s="25"/>
      <c r="E72" s="25"/>
      <c r="F72" s="25"/>
      <c r="G72" s="25"/>
      <c r="H72" s="25"/>
      <c r="I72" s="25"/>
      <c r="J72" s="25"/>
      <c r="K72" s="25"/>
      <c r="AD72" s="835"/>
      <c r="AE72" s="835"/>
      <c r="AF72" s="835"/>
      <c r="AG72" s="835"/>
      <c r="AH72" s="835"/>
    </row>
    <row r="73" spans="2:34" s="4" customFormat="1" x14ac:dyDescent="0.2">
      <c r="AD73" s="835"/>
      <c r="AE73" s="835"/>
      <c r="AF73" s="835"/>
      <c r="AG73" s="835"/>
      <c r="AH73" s="835"/>
    </row>
    <row r="74" spans="2:34" s="4" customFormat="1" x14ac:dyDescent="0.2">
      <c r="D74" s="1534" t="str">
        <f>'TRAD-Saisie données conso'!B30</f>
        <v>Préciser si vous voulez que le nombre de patients sous traitement soit obtenus par les données de file actives ou par extrapolation des données de consommation (cocher la case par un X)</v>
      </c>
      <c r="AD74" s="835"/>
      <c r="AE74" s="835"/>
      <c r="AF74" s="835"/>
      <c r="AG74" s="835"/>
      <c r="AH74" s="835"/>
    </row>
    <row r="75" spans="2:34" s="4" customFormat="1" ht="13.5" thickBot="1" x14ac:dyDescent="0.25">
      <c r="AD75" s="835"/>
      <c r="AE75" s="835"/>
      <c r="AF75" s="835"/>
      <c r="AG75" s="835"/>
      <c r="AH75" s="835"/>
    </row>
    <row r="76" spans="2:34" s="4" customFormat="1" ht="13.5" thickBot="1" x14ac:dyDescent="0.25">
      <c r="E76" s="9" t="str">
        <f>'TRAD-Saisie données conso'!B31</f>
        <v>Nombre de patients d'après données de file active</v>
      </c>
      <c r="I76" s="270"/>
      <c r="AD76" s="835"/>
      <c r="AE76" s="835"/>
      <c r="AF76" s="835"/>
      <c r="AG76" s="835"/>
      <c r="AH76" s="835"/>
    </row>
    <row r="77" spans="2:34" s="4" customFormat="1" ht="13.5" thickBot="1" x14ac:dyDescent="0.25">
      <c r="E77" s="9" t="str">
        <f>'TRAD-Saisie données conso'!B32</f>
        <v>Nombre de patients extrapolé des données de consommation</v>
      </c>
      <c r="I77" s="270" t="s">
        <v>224</v>
      </c>
      <c r="AD77" s="835"/>
      <c r="AE77" s="835"/>
      <c r="AF77" s="835"/>
      <c r="AG77" s="835"/>
      <c r="AH77" s="835"/>
    </row>
    <row r="78" spans="2:34" s="4" customFormat="1" x14ac:dyDescent="0.2">
      <c r="AD78" s="835"/>
      <c r="AE78" s="835"/>
      <c r="AF78" s="835"/>
      <c r="AG78" s="835"/>
      <c r="AH78" s="835"/>
    </row>
    <row r="79" spans="2:34" s="4" customFormat="1" x14ac:dyDescent="0.2">
      <c r="AD79" s="835"/>
      <c r="AE79" s="835"/>
      <c r="AF79" s="835"/>
      <c r="AG79" s="835"/>
      <c r="AH79" s="835"/>
    </row>
    <row r="80" spans="2:34" s="1713" customFormat="1" ht="19.5" thickBot="1" x14ac:dyDescent="0.35">
      <c r="B80" s="3212" t="str">
        <f>'TRAD-Saisie données file act.'!B153</f>
        <v>Etape 3 : Besoins ARV PTME</v>
      </c>
      <c r="C80" s="3212"/>
      <c r="D80" s="3212"/>
      <c r="E80" s="3212"/>
      <c r="F80" s="3212"/>
      <c r="G80" s="3212"/>
      <c r="H80" s="3212"/>
      <c r="I80" s="3212"/>
      <c r="J80" s="3212"/>
      <c r="K80" s="3212"/>
      <c r="L80" s="3212"/>
      <c r="M80" s="3212"/>
      <c r="N80" s="3212"/>
      <c r="O80" s="3212"/>
      <c r="AD80" s="1714"/>
      <c r="AE80" s="1714"/>
      <c r="AF80" s="1714"/>
      <c r="AG80" s="1714"/>
      <c r="AH80" s="1714"/>
    </row>
    <row r="81" spans="3:35" s="4" customFormat="1" x14ac:dyDescent="0.2">
      <c r="AD81" s="835"/>
      <c r="AE81" s="835"/>
      <c r="AF81" s="835"/>
      <c r="AG81" s="835"/>
      <c r="AH81" s="835"/>
    </row>
    <row r="82" spans="3:35" s="4" customFormat="1" ht="14.25" x14ac:dyDescent="0.2">
      <c r="C82" s="25" t="str">
        <f>'TRAD-Saisie données file act.'!B154</f>
        <v>A. Quels sont les besoins mensuels moyens dans le cadre des activités PTME ?</v>
      </c>
      <c r="D82" s="25"/>
      <c r="E82" s="25"/>
      <c r="F82" s="25"/>
      <c r="G82" s="25"/>
      <c r="H82" s="25"/>
      <c r="I82" s="25"/>
      <c r="J82" s="25"/>
      <c r="K82" s="25"/>
      <c r="L82" s="25"/>
      <c r="M82" s="25"/>
      <c r="N82" s="25"/>
      <c r="O82" s="25"/>
      <c r="AD82" s="835"/>
      <c r="AE82" s="835"/>
      <c r="AF82" s="835"/>
      <c r="AG82" s="835"/>
      <c r="AH82" s="835"/>
    </row>
    <row r="83" spans="3:35" s="4" customFormat="1" x14ac:dyDescent="0.2">
      <c r="AD83" s="835"/>
      <c r="AE83" s="835"/>
      <c r="AF83" s="835"/>
      <c r="AG83" s="835"/>
      <c r="AH83" s="835"/>
    </row>
    <row r="84" spans="3:35" s="4" customFormat="1" x14ac:dyDescent="0.2">
      <c r="D84" s="325" t="str">
        <f>'TRAD-Saisie données file act.'!B107</f>
        <v>Attention</v>
      </c>
      <c r="E84" s="3233" t="str">
        <f>'TRAD-Saisie données file act.'!B155</f>
        <v>Ne saisir ici que les besoins qui ne serait pas documentés dans le suivi de file active renseigné ci-dessus.</v>
      </c>
      <c r="F84" s="3233"/>
      <c r="G84" s="3233"/>
      <c r="H84" s="3233"/>
      <c r="I84" s="3233"/>
      <c r="J84" s="3233"/>
      <c r="K84" s="3233"/>
      <c r="L84" s="3233"/>
      <c r="M84" s="3233"/>
      <c r="N84" s="3233"/>
      <c r="O84" s="3233"/>
      <c r="AD84" s="835"/>
      <c r="AE84" s="835"/>
      <c r="AF84" s="835"/>
      <c r="AG84" s="835"/>
      <c r="AH84" s="835"/>
    </row>
    <row r="85" spans="3:35" s="4" customFormat="1" x14ac:dyDescent="0.2">
      <c r="AD85" s="835"/>
      <c r="AE85" s="835"/>
      <c r="AF85" s="835"/>
      <c r="AG85" s="835"/>
      <c r="AH85" s="835"/>
    </row>
    <row r="86" spans="3:35" ht="26.25" customHeight="1" x14ac:dyDescent="0.2">
      <c r="D86" s="61" t="str">
        <f>'TRAD-Saisie données file act.'!B62</f>
        <v>Remarque</v>
      </c>
      <c r="E86" s="4" t="str">
        <f>'TRAD-Saisie données file act.'!B156</f>
        <v>La mode est ici mixte pour tenir compte des activités de PTME, l'information la plus souvent disponible sur les besoins reste les données de consommation</v>
      </c>
      <c r="F86" s="4"/>
      <c r="G86" s="4"/>
      <c r="H86" s="4"/>
      <c r="I86" s="4"/>
      <c r="J86" s="4"/>
      <c r="K86" s="4"/>
      <c r="L86" s="4"/>
      <c r="M86" s="4"/>
      <c r="N86" s="4"/>
      <c r="O86" s="4"/>
      <c r="AD86" s="836"/>
      <c r="AE86" s="836"/>
      <c r="AF86" s="836"/>
      <c r="AG86" s="836"/>
      <c r="AH86" s="836"/>
    </row>
    <row r="87" spans="3:35" ht="26.25" customHeight="1" x14ac:dyDescent="0.2">
      <c r="D87" s="61"/>
      <c r="E87" s="3254" t="str">
        <f>'TRAD-Saisie données file act.'!B157</f>
        <v>Ces besoins seront pris en compte pour une estimation sur base des données de suivi de file active renseignés précédemment. Par contre ils ne seront pas pris en compte dans une estimation sur la base des données de consommation/distribution.</v>
      </c>
      <c r="F87" s="3254"/>
      <c r="G87" s="3254"/>
      <c r="H87" s="3254"/>
      <c r="I87" s="3254"/>
      <c r="J87" s="3254"/>
      <c r="K87" s="3254"/>
      <c r="L87" s="3254"/>
      <c r="M87" s="3254"/>
      <c r="N87" s="3254"/>
      <c r="O87" s="3254"/>
      <c r="AD87" s="836"/>
      <c r="AE87" s="836"/>
      <c r="AF87" s="836"/>
      <c r="AG87" s="836"/>
      <c r="AH87" s="836"/>
    </row>
    <row r="88" spans="3:35" s="4" customFormat="1" ht="13.5" thickBot="1" x14ac:dyDescent="0.25">
      <c r="AD88" s="835"/>
      <c r="AE88" s="835"/>
      <c r="AF88" s="835"/>
      <c r="AG88" s="835"/>
      <c r="AH88" s="835"/>
    </row>
    <row r="89" spans="3:35" s="4" customFormat="1" ht="51.75" thickBot="1" x14ac:dyDescent="0.25">
      <c r="D89" s="85"/>
      <c r="E89" s="120"/>
      <c r="F89" s="32" t="str">
        <f>'TRAD-Saisie données file act.'!B158</f>
        <v>Composition</v>
      </c>
      <c r="G89" s="33" t="str">
        <f>'TRAD-Saisie données file act.'!B159</f>
        <v>Forme galénique</v>
      </c>
      <c r="H89" s="33" t="str">
        <f>'TRAD-Saisie données file act.'!B160</f>
        <v>Dosage</v>
      </c>
      <c r="I89" s="33" t="str">
        <f>'TRAD-Saisie données file act.'!B161</f>
        <v>DCI</v>
      </c>
      <c r="J89" s="33" t="str">
        <f>'TRAD-Saisie données file act.'!B162</f>
        <v>Nom de spécialité</v>
      </c>
      <c r="K89" s="33" t="str">
        <f>'TRAD-Saisie données file act.'!B163</f>
        <v>Nom de générique possible</v>
      </c>
      <c r="L89" s="33" t="str">
        <f>'TRAD-Saisie données file act.'!B164</f>
        <v>Conditionnement</v>
      </c>
      <c r="M89" s="327"/>
      <c r="N89" s="127" t="str">
        <f>'TRAD-Saisie données file act.'!B165</f>
        <v>Besoins mensuels moyens en nb de boites</v>
      </c>
      <c r="AE89" s="835"/>
      <c r="AF89" s="835"/>
      <c r="AG89" s="835"/>
      <c r="AH89" s="835"/>
      <c r="AI89" s="835"/>
    </row>
    <row r="90" spans="3:35" s="4" customFormat="1" ht="26.25" thickBot="1" x14ac:dyDescent="0.25">
      <c r="D90" s="31" t="str">
        <f>'TRAD-Saisie données file act.'!B119</f>
        <v>Comprimés</v>
      </c>
      <c r="E90" s="97" t="str">
        <f>'Saisie données stocks'!E19</f>
        <v>CDF</v>
      </c>
      <c r="F90" s="86" t="str">
        <f>'Saisie données stocks'!F19</f>
        <v>AZT+3TC+NVP</v>
      </c>
      <c r="G90" s="87" t="str">
        <f>'Saisie données stocks'!G19</f>
        <v>Cp</v>
      </c>
      <c r="H90" s="87" t="str">
        <f>'Saisie données stocks'!H19</f>
        <v>300/150/200 mg</v>
      </c>
      <c r="I90" s="87" t="str">
        <f>'Saisie données stocks'!I19</f>
        <v>Zidovudine+ Lamivudine+ Nevirapine</v>
      </c>
      <c r="J90" s="36">
        <f>'Saisie données stocks'!J19</f>
        <v>0</v>
      </c>
      <c r="K90" s="35" t="str">
        <f>'Saisie données stocks'!K19</f>
        <v>DUOVIR-N, ZIDOLAM-N</v>
      </c>
      <c r="L90" s="113">
        <f>'Saisie données stocks'!L19</f>
        <v>60</v>
      </c>
      <c r="M90" s="328"/>
      <c r="N90" s="3045"/>
      <c r="AE90" s="835"/>
      <c r="AF90" s="835"/>
      <c r="AG90" s="835"/>
      <c r="AH90" s="835"/>
      <c r="AI90" s="835"/>
    </row>
    <row r="91" spans="3:35" s="4" customFormat="1" ht="26.25" thickBot="1" x14ac:dyDescent="0.25">
      <c r="D91" s="37"/>
      <c r="E91" s="98"/>
      <c r="F91" s="1405" t="str">
        <f>'Saisie données stocks'!F20</f>
        <v>AZT+3TC+NVP</v>
      </c>
      <c r="G91" s="1406" t="str">
        <f>'Saisie données stocks'!G20</f>
        <v>Cp</v>
      </c>
      <c r="H91" s="1406" t="str">
        <f>'Saisie données stocks'!H20</f>
        <v>60/30/50 mg</v>
      </c>
      <c r="I91" s="1406" t="str">
        <f>'Saisie données stocks'!I20</f>
        <v>Zidovudine+ Lamivudine+ Nevirapine</v>
      </c>
      <c r="J91" s="1407">
        <f>'Saisie données stocks'!J20</f>
        <v>0</v>
      </c>
      <c r="K91" s="1408" t="str">
        <f>'Saisie données stocks'!K20</f>
        <v>DUOVIR-N baby, ZIDOLAM-N baby</v>
      </c>
      <c r="L91" s="1409">
        <f>'Saisie données stocks'!L20</f>
        <v>60</v>
      </c>
      <c r="M91" s="329"/>
      <c r="N91" s="1395"/>
      <c r="AE91" s="835"/>
      <c r="AF91" s="835"/>
      <c r="AG91" s="835"/>
      <c r="AH91" s="835"/>
      <c r="AI91" s="835"/>
    </row>
    <row r="92" spans="3:35" s="4" customFormat="1" ht="13.5" thickBot="1" x14ac:dyDescent="0.25">
      <c r="D92" s="37"/>
      <c r="E92" s="98"/>
      <c r="F92" s="276" t="str">
        <f>'Saisie données stocks'!F21</f>
        <v>AZT+3TC+ABC</v>
      </c>
      <c r="G92" s="277" t="str">
        <f>'Saisie données stocks'!G21</f>
        <v>Cp</v>
      </c>
      <c r="H92" s="277" t="str">
        <f>'Saisie données stocks'!H21</f>
        <v>300/150/300 mg</v>
      </c>
      <c r="I92" s="1406" t="str">
        <f>'Saisie données stocks'!I21</f>
        <v>Zidovudine+ Lamivudine+ Abacavir</v>
      </c>
      <c r="J92" s="278" t="str">
        <f>'Saisie données stocks'!J21</f>
        <v>TRIZIVIR</v>
      </c>
      <c r="K92" s="279">
        <f>'Saisie données stocks'!K21</f>
        <v>0</v>
      </c>
      <c r="L92" s="280">
        <f>'Saisie données stocks'!L21</f>
        <v>60</v>
      </c>
      <c r="M92" s="329"/>
      <c r="N92" s="1395"/>
      <c r="AE92" s="835"/>
      <c r="AF92" s="835"/>
      <c r="AG92" s="835"/>
      <c r="AH92" s="835"/>
      <c r="AI92" s="835"/>
    </row>
    <row r="93" spans="3:35" s="4" customFormat="1" ht="26.25" thickBot="1" x14ac:dyDescent="0.25">
      <c r="D93" s="37"/>
      <c r="E93" s="98"/>
      <c r="F93" s="88" t="str">
        <f>'Saisie données stocks'!F22</f>
        <v>AZT+3TC</v>
      </c>
      <c r="G93" s="89" t="str">
        <f>'Saisie données stocks'!G22</f>
        <v>Cp</v>
      </c>
      <c r="H93" s="89" t="str">
        <f>'Saisie données stocks'!H22</f>
        <v>300/150 mg</v>
      </c>
      <c r="I93" s="89" t="str">
        <f>'Saisie données stocks'!I22</f>
        <v>Zidovudine+ Lamivudine</v>
      </c>
      <c r="J93" s="39" t="str">
        <f>'Saisie données stocks'!J22</f>
        <v>COMBIVIR</v>
      </c>
      <c r="K93" s="38" t="str">
        <f>'Saisie données stocks'!K22</f>
        <v>LAMZID, DUOVIR, ZIDOLAM, VIRACOMB</v>
      </c>
      <c r="L93" s="114">
        <f>'Saisie données stocks'!L22</f>
        <v>60</v>
      </c>
      <c r="M93" s="330"/>
      <c r="N93" s="3045"/>
      <c r="AE93" s="835"/>
      <c r="AF93" s="835"/>
      <c r="AG93" s="835"/>
      <c r="AH93" s="835"/>
      <c r="AI93" s="835"/>
    </row>
    <row r="94" spans="3:35" s="4" customFormat="1" ht="26.25" thickBot="1" x14ac:dyDescent="0.25">
      <c r="D94" s="37"/>
      <c r="E94" s="98"/>
      <c r="F94" s="1405" t="str">
        <f>'Saisie données stocks'!F23</f>
        <v>AZT+3TC</v>
      </c>
      <c r="G94" s="1406" t="str">
        <f>'Saisie données stocks'!G23</f>
        <v>Cp</v>
      </c>
      <c r="H94" s="1406" t="str">
        <f>'Saisie données stocks'!H23</f>
        <v>60/30 mg</v>
      </c>
      <c r="I94" s="1406" t="str">
        <f>'Saisie données stocks'!I23</f>
        <v>Zidovudine+ Lamivudine</v>
      </c>
      <c r="J94" s="1407">
        <f>'Saisie données stocks'!J23</f>
        <v>0</v>
      </c>
      <c r="K94" s="1408" t="str">
        <f>'Saisie données stocks'!K23</f>
        <v>DUOVIR baby, ZIDOLAM baby</v>
      </c>
      <c r="L94" s="1409">
        <f>'Saisie données stocks'!L23</f>
        <v>60</v>
      </c>
      <c r="M94" s="329"/>
      <c r="N94" s="1395"/>
      <c r="AE94" s="835"/>
      <c r="AF94" s="835"/>
      <c r="AG94" s="835"/>
      <c r="AH94" s="835"/>
      <c r="AI94" s="835"/>
    </row>
    <row r="95" spans="3:35" s="4" customFormat="1" ht="13.5" thickBot="1" x14ac:dyDescent="0.25">
      <c r="D95" s="37"/>
      <c r="E95" s="98"/>
      <c r="F95" s="1405" t="str">
        <f>'Saisie données stocks'!F24</f>
        <v>3TC+ABC</v>
      </c>
      <c r="G95" s="1406" t="str">
        <f>'Saisie données stocks'!G24</f>
        <v>Cp</v>
      </c>
      <c r="H95" s="1406" t="str">
        <f>'Saisie données stocks'!H24</f>
        <v>300/600 mg</v>
      </c>
      <c r="I95" s="1406" t="str">
        <f>'Saisie données stocks'!I24</f>
        <v>Lamivudine+ Abacavir</v>
      </c>
      <c r="J95" s="1407">
        <f>'Saisie données stocks'!J24</f>
        <v>0</v>
      </c>
      <c r="K95" s="1408" t="str">
        <f>'Saisie données stocks'!K24</f>
        <v>KIVEXA</v>
      </c>
      <c r="L95" s="1409">
        <f>'Saisie données stocks'!L24</f>
        <v>30</v>
      </c>
      <c r="M95" s="329"/>
      <c r="N95" s="1395"/>
      <c r="AE95" s="835"/>
      <c r="AF95" s="835"/>
      <c r="AG95" s="835"/>
      <c r="AH95" s="835"/>
      <c r="AI95" s="835"/>
    </row>
    <row r="96" spans="3:35" s="4" customFormat="1" ht="13.5" thickBot="1" x14ac:dyDescent="0.25">
      <c r="D96" s="37"/>
      <c r="E96" s="98"/>
      <c r="F96" s="1405" t="str">
        <f>'Saisie données stocks'!F25</f>
        <v>3TC+ABC</v>
      </c>
      <c r="G96" s="1406" t="str">
        <f>'Saisie données stocks'!G25</f>
        <v>Cp</v>
      </c>
      <c r="H96" s="1406" t="str">
        <f>'Saisie données stocks'!H25</f>
        <v>30/60 mg</v>
      </c>
      <c r="I96" s="1406" t="str">
        <f>'Saisie données stocks'!I25</f>
        <v>Lamivudine+ Abacavir</v>
      </c>
      <c r="J96" s="1407">
        <f>'Saisie données stocks'!J25</f>
        <v>0</v>
      </c>
      <c r="K96" s="1408">
        <f>'Saisie données stocks'!K25</f>
        <v>0</v>
      </c>
      <c r="L96" s="1409">
        <f>'Saisie données stocks'!L25</f>
        <v>60</v>
      </c>
      <c r="M96" s="329"/>
      <c r="N96" s="1395"/>
      <c r="AE96" s="835"/>
      <c r="AF96" s="835"/>
      <c r="AG96" s="835"/>
      <c r="AH96" s="835"/>
      <c r="AI96" s="835"/>
    </row>
    <row r="97" spans="4:35" s="4" customFormat="1" ht="13.5" thickBot="1" x14ac:dyDescent="0.25">
      <c r="D97" s="37"/>
      <c r="E97" s="98"/>
      <c r="F97" s="90" t="str">
        <f>'Saisie données stocks'!F26</f>
        <v>D4T+3TC+NVP</v>
      </c>
      <c r="G97" s="91" t="str">
        <f>'Saisie données stocks'!G26</f>
        <v>Cp</v>
      </c>
      <c r="H97" s="91" t="str">
        <f>'Saisie données stocks'!H26</f>
        <v>30/150/200 mg</v>
      </c>
      <c r="I97" s="1207" t="str">
        <f>'Saisie données stocks'!I26</f>
        <v>Stavudine+ Lamivudine+ Nevirapine</v>
      </c>
      <c r="J97" s="41">
        <f>'Saisie données stocks'!J26</f>
        <v>0</v>
      </c>
      <c r="K97" s="40" t="str">
        <f>'Saisie données stocks'!K26</f>
        <v>TRIOMUNE</v>
      </c>
      <c r="L97" s="115">
        <f>'Saisie données stocks'!L26</f>
        <v>60</v>
      </c>
      <c r="M97" s="331"/>
      <c r="N97" s="3045"/>
      <c r="AE97" s="835"/>
      <c r="AF97" s="835"/>
      <c r="AG97" s="835"/>
      <c r="AH97" s="835"/>
      <c r="AI97" s="835"/>
    </row>
    <row r="98" spans="4:35" s="4" customFormat="1" ht="13.5" thickBot="1" x14ac:dyDescent="0.25">
      <c r="D98" s="37"/>
      <c r="E98" s="98"/>
      <c r="F98" s="281" t="str">
        <f>'Saisie données stocks'!F27</f>
        <v>D4T+3TC+NVP</v>
      </c>
      <c r="G98" s="282" t="str">
        <f>'Saisie données stocks'!G27</f>
        <v>Cp</v>
      </c>
      <c r="H98" s="282" t="str">
        <f>'Saisie données stocks'!H27</f>
        <v>6/30/50 mg</v>
      </c>
      <c r="I98" s="1403" t="str">
        <f>'Saisie données stocks'!I27</f>
        <v>Stavudine+ Lamivudine+ Nevirapine</v>
      </c>
      <c r="J98" s="283">
        <f>'Saisie données stocks'!J27</f>
        <v>0</v>
      </c>
      <c r="K98" s="283" t="str">
        <f>'Saisie données stocks'!K27</f>
        <v>TRIOMUNE baby</v>
      </c>
      <c r="L98" s="284">
        <f>'Saisie données stocks'!L27</f>
        <v>60</v>
      </c>
      <c r="M98" s="332"/>
      <c r="N98" s="1395"/>
      <c r="AE98" s="835"/>
      <c r="AF98" s="835"/>
      <c r="AG98" s="835"/>
      <c r="AH98" s="835"/>
      <c r="AI98" s="835"/>
    </row>
    <row r="99" spans="4:35" s="4" customFormat="1" ht="13.5" thickBot="1" x14ac:dyDescent="0.25">
      <c r="D99" s="37"/>
      <c r="E99" s="98"/>
      <c r="F99" s="90" t="str">
        <f>'Saisie données stocks'!F28</f>
        <v>D4T+3TC</v>
      </c>
      <c r="G99" s="91" t="str">
        <f>'Saisie données stocks'!G28</f>
        <v>Cp</v>
      </c>
      <c r="H99" s="91" t="str">
        <f>'Saisie données stocks'!H28</f>
        <v>30/150 mg</v>
      </c>
      <c r="I99" s="1207" t="str">
        <f>'Saisie données stocks'!I28</f>
        <v>Stavudine+ Lamivudine</v>
      </c>
      <c r="J99" s="38">
        <f>'Saisie données stocks'!J28</f>
        <v>0</v>
      </c>
      <c r="K99" s="40" t="str">
        <f>'Saisie données stocks'!K28</f>
        <v>COVIRO, LAMIVIR-S</v>
      </c>
      <c r="L99" s="115">
        <f>'Saisie données stocks'!L28</f>
        <v>60</v>
      </c>
      <c r="M99" s="331"/>
      <c r="N99" s="3045"/>
      <c r="AE99" s="835"/>
      <c r="AF99" s="835"/>
      <c r="AG99" s="835"/>
      <c r="AH99" s="835"/>
      <c r="AI99" s="835"/>
    </row>
    <row r="100" spans="4:35" s="4" customFormat="1" ht="13.5" thickBot="1" x14ac:dyDescent="0.25">
      <c r="D100" s="37"/>
      <c r="E100" s="98"/>
      <c r="F100" s="90" t="str">
        <f>'Saisie données stocks'!F29</f>
        <v>TDF+FTC+EFV</v>
      </c>
      <c r="G100" s="91" t="str">
        <f>'Saisie données stocks'!G29</f>
        <v>Cp</v>
      </c>
      <c r="H100" s="91" t="str">
        <f>'Saisie données stocks'!H29</f>
        <v>300/200/600 mg</v>
      </c>
      <c r="I100" s="1207" t="str">
        <f>'Saisie données stocks'!I29</f>
        <v>Tenofovir+ Emtricitabine+ Efavirenz</v>
      </c>
      <c r="J100" s="38" t="str">
        <f>'Saisie données stocks'!J29</f>
        <v>ATRIPLA</v>
      </c>
      <c r="K100" s="40">
        <f>'Saisie données stocks'!K29</f>
        <v>0</v>
      </c>
      <c r="L100" s="115">
        <f>'Saisie données stocks'!L29</f>
        <v>30</v>
      </c>
      <c r="M100" s="331"/>
      <c r="N100" s="3045"/>
      <c r="AE100" s="835"/>
      <c r="AF100" s="835"/>
      <c r="AG100" s="835"/>
      <c r="AH100" s="835"/>
      <c r="AI100" s="835"/>
    </row>
    <row r="101" spans="4:35" s="4" customFormat="1" ht="13.5" thickBot="1" x14ac:dyDescent="0.25">
      <c r="D101" s="37"/>
      <c r="E101" s="98"/>
      <c r="F101" s="90" t="str">
        <f>'Saisie données stocks'!F30</f>
        <v>TDF+FTC</v>
      </c>
      <c r="G101" s="91" t="str">
        <f>'Saisie données stocks'!G30</f>
        <v>Cp</v>
      </c>
      <c r="H101" s="91" t="str">
        <f>'Saisie données stocks'!H30</f>
        <v>300/200 mg</v>
      </c>
      <c r="I101" s="1207" t="str">
        <f>'Saisie données stocks'!I30</f>
        <v>Tenofovir+ Emtricitabine</v>
      </c>
      <c r="J101" s="38" t="str">
        <f>'Saisie données stocks'!J30</f>
        <v>TRUVADA</v>
      </c>
      <c r="K101" s="40">
        <f>'Saisie données stocks'!K30</f>
        <v>0</v>
      </c>
      <c r="L101" s="115">
        <f>'Saisie données stocks'!L30</f>
        <v>30</v>
      </c>
      <c r="M101" s="331"/>
      <c r="N101" s="3045"/>
      <c r="AE101" s="835"/>
      <c r="AF101" s="835"/>
      <c r="AG101" s="835"/>
      <c r="AH101" s="835"/>
      <c r="AI101" s="835"/>
    </row>
    <row r="102" spans="4:35" s="4" customFormat="1" ht="13.5" thickBot="1" x14ac:dyDescent="0.25">
      <c r="D102" s="37"/>
      <c r="E102" s="123"/>
      <c r="F102" s="90" t="str">
        <f>'Saisie données stocks'!F31</f>
        <v>TDF+3TC+EFV</v>
      </c>
      <c r="G102" s="91" t="str">
        <f>'Saisie données stocks'!G31</f>
        <v>Cp</v>
      </c>
      <c r="H102" s="91" t="str">
        <f>'Saisie données stocks'!H31</f>
        <v>300/200/600 mg</v>
      </c>
      <c r="I102" s="1207" t="str">
        <f>'Saisie données stocks'!I31</f>
        <v>Tenofovir+ Lamivudine+ Efavirenz</v>
      </c>
      <c r="J102" s="38" t="str">
        <f>'Saisie données stocks'!J31</f>
        <v>ATRIPLA</v>
      </c>
      <c r="K102" s="40">
        <f>'Saisie données stocks'!K31</f>
        <v>0</v>
      </c>
      <c r="L102" s="115">
        <f>'Saisie données stocks'!L31</f>
        <v>30</v>
      </c>
      <c r="M102" s="331"/>
      <c r="N102" s="3045"/>
      <c r="AE102" s="835"/>
      <c r="AF102" s="835"/>
      <c r="AG102" s="835"/>
      <c r="AH102" s="835"/>
      <c r="AI102" s="835"/>
    </row>
    <row r="103" spans="4:35" s="4" customFormat="1" ht="13.5" thickBot="1" x14ac:dyDescent="0.25">
      <c r="D103" s="37"/>
      <c r="E103" s="123"/>
      <c r="F103" s="90" t="str">
        <f>'Saisie données stocks'!F32</f>
        <v>TDF+3TC</v>
      </c>
      <c r="G103" s="91" t="str">
        <f>'Saisie données stocks'!G32</f>
        <v>Cp</v>
      </c>
      <c r="H103" s="91" t="str">
        <f>'Saisie données stocks'!H32</f>
        <v>300/200 mg</v>
      </c>
      <c r="I103" s="1207" t="str">
        <f>'Saisie données stocks'!I32</f>
        <v>Tenofovir+ Lamivudine</v>
      </c>
      <c r="J103" s="38">
        <f>'Saisie données stocks'!J32</f>
        <v>0</v>
      </c>
      <c r="K103" s="40">
        <f>'Saisie données stocks'!K32</f>
        <v>0</v>
      </c>
      <c r="L103" s="115">
        <f>'Saisie données stocks'!L32</f>
        <v>30</v>
      </c>
      <c r="M103" s="331"/>
      <c r="N103" s="3045"/>
      <c r="AE103" s="835"/>
      <c r="AF103" s="835"/>
      <c r="AG103" s="835"/>
      <c r="AH103" s="835"/>
      <c r="AI103" s="835"/>
    </row>
    <row r="104" spans="4:35" s="4" customFormat="1" ht="26.25" thickBot="1" x14ac:dyDescent="0.25">
      <c r="D104" s="100"/>
      <c r="E104" s="101"/>
      <c r="F104" s="288" t="str">
        <f>'Saisie données stocks'!F33</f>
        <v>[TDF+3TC]+ATV/r</v>
      </c>
      <c r="G104" s="289" t="str">
        <f>'Saisie données stocks'!G33</f>
        <v>Cp coblister</v>
      </c>
      <c r="H104" s="289" t="str">
        <f>'Saisie données stocks'!H33</f>
        <v>[300/300]+300/100 mg</v>
      </c>
      <c r="I104" s="1639" t="str">
        <f>'Saisie données stocks'!I33</f>
        <v>[Tenofovir+ Lamivudine]+ Atazanavir/Ritonavir</v>
      </c>
      <c r="J104" s="1404">
        <f>'Saisie données stocks'!J33</f>
        <v>0</v>
      </c>
      <c r="K104" s="291">
        <f>'Saisie données stocks'!K33</f>
        <v>0</v>
      </c>
      <c r="L104" s="292">
        <f>'Saisie données stocks'!L33</f>
        <v>30</v>
      </c>
      <c r="M104" s="336"/>
      <c r="N104" s="1395"/>
      <c r="AE104" s="835"/>
      <c r="AF104" s="835"/>
      <c r="AG104" s="835"/>
      <c r="AH104" s="835"/>
      <c r="AI104" s="835"/>
    </row>
    <row r="105" spans="4:35" s="4" customFormat="1" ht="13.5" thickBot="1" x14ac:dyDescent="0.25">
      <c r="D105" s="37"/>
      <c r="E105" s="98" t="str">
        <f>'Saisie données stocks'!E34</f>
        <v>INNTI</v>
      </c>
      <c r="F105" s="276" t="str">
        <f>'Saisie données stocks'!F34</f>
        <v>EFV</v>
      </c>
      <c r="G105" s="277" t="str">
        <f>'Saisie données stocks'!G34</f>
        <v>Gél</v>
      </c>
      <c r="H105" s="277" t="str">
        <f>'Saisie données stocks'!H34</f>
        <v>50 mg</v>
      </c>
      <c r="I105" s="277" t="str">
        <f>'Saisie données stocks'!I34</f>
        <v>Efavirenz</v>
      </c>
      <c r="J105" s="279" t="str">
        <f>'Saisie données stocks'!J34</f>
        <v>SUSTIVA, STOCRIN</v>
      </c>
      <c r="K105" s="279">
        <f>'Saisie données stocks'!K34</f>
        <v>0</v>
      </c>
      <c r="L105" s="280">
        <f>'Saisie données stocks'!L34</f>
        <v>30</v>
      </c>
      <c r="M105" s="329"/>
      <c r="N105" s="1395"/>
      <c r="AE105" s="835"/>
      <c r="AF105" s="835"/>
      <c r="AG105" s="835"/>
      <c r="AH105" s="835"/>
      <c r="AI105" s="835"/>
    </row>
    <row r="106" spans="4:35" s="4" customFormat="1" ht="13.5" thickBot="1" x14ac:dyDescent="0.25">
      <c r="D106" s="37"/>
      <c r="E106" s="98"/>
      <c r="F106" s="281" t="str">
        <f>'Saisie données stocks'!F35</f>
        <v>EFV</v>
      </c>
      <c r="G106" s="282" t="str">
        <f>'Saisie données stocks'!G35</f>
        <v>Gél</v>
      </c>
      <c r="H106" s="282" t="str">
        <f>'Saisie données stocks'!H35</f>
        <v>200 mg</v>
      </c>
      <c r="I106" s="277" t="str">
        <f>'Saisie données stocks'!I35</f>
        <v>Efavirenz</v>
      </c>
      <c r="J106" s="279" t="str">
        <f>'Saisie données stocks'!J35</f>
        <v>SUSTIVA, STOCRIN</v>
      </c>
      <c r="K106" s="283">
        <f>'Saisie données stocks'!K35</f>
        <v>0</v>
      </c>
      <c r="L106" s="284">
        <f>'Saisie données stocks'!L35</f>
        <v>90</v>
      </c>
      <c r="M106" s="332"/>
      <c r="N106" s="1395"/>
      <c r="AE106" s="835"/>
      <c r="AF106" s="835"/>
      <c r="AG106" s="835"/>
      <c r="AH106" s="835"/>
      <c r="AI106" s="835"/>
    </row>
    <row r="107" spans="4:35" s="4" customFormat="1" ht="13.5" thickBot="1" x14ac:dyDescent="0.25">
      <c r="D107" s="37"/>
      <c r="E107" s="98"/>
      <c r="F107" s="93" t="str">
        <f>'Saisie données stocks'!F36</f>
        <v>EFV</v>
      </c>
      <c r="G107" s="94" t="str">
        <f>'Saisie données stocks'!G36</f>
        <v>Cp</v>
      </c>
      <c r="H107" s="94" t="str">
        <f>'Saisie données stocks'!H36</f>
        <v>600 mg</v>
      </c>
      <c r="I107" s="1210" t="str">
        <f>'Saisie données stocks'!I36</f>
        <v>Efavirenz</v>
      </c>
      <c r="J107" s="38" t="str">
        <f>'Saisie données stocks'!J36</f>
        <v>SUSTIVA, STOCRIN</v>
      </c>
      <c r="K107" s="96">
        <f>'Saisie données stocks'!K36</f>
        <v>0</v>
      </c>
      <c r="L107" s="117">
        <f>'Saisie données stocks'!L36</f>
        <v>30</v>
      </c>
      <c r="M107" s="334"/>
      <c r="N107" s="3045"/>
      <c r="AE107" s="835"/>
      <c r="AF107" s="835"/>
      <c r="AG107" s="835"/>
      <c r="AH107" s="835"/>
      <c r="AI107" s="835"/>
    </row>
    <row r="108" spans="4:35" s="4" customFormat="1" ht="13.5" thickBot="1" x14ac:dyDescent="0.25">
      <c r="D108" s="37"/>
      <c r="E108" s="98"/>
      <c r="F108" s="3041" t="str">
        <f>'Saisie données stocks'!F37</f>
        <v>ETV</v>
      </c>
      <c r="G108" s="1629" t="str">
        <f>'Saisie données stocks'!G37</f>
        <v>Cp</v>
      </c>
      <c r="H108" s="1629" t="str">
        <f>'Saisie données stocks'!H37</f>
        <v>200 mg</v>
      </c>
      <c r="I108" s="1390" t="str">
        <f>'Saisie données stocks'!I37</f>
        <v>Etravirine</v>
      </c>
      <c r="J108" s="1392" t="str">
        <f>'Saisie données stocks'!J37</f>
        <v>INTELENCE</v>
      </c>
      <c r="K108" s="3042">
        <f>'Saisie données stocks'!K37</f>
        <v>0</v>
      </c>
      <c r="L108" s="3043">
        <f>'Saisie données stocks'!L37</f>
        <v>60</v>
      </c>
      <c r="M108" s="1630"/>
      <c r="N108" s="1395"/>
      <c r="AE108" s="835"/>
      <c r="AF108" s="835"/>
      <c r="AG108" s="835"/>
      <c r="AH108" s="835"/>
      <c r="AI108" s="835"/>
    </row>
    <row r="109" spans="4:35" s="4" customFormat="1" ht="13.5" thickBot="1" x14ac:dyDescent="0.25">
      <c r="D109" s="37"/>
      <c r="E109" s="98"/>
      <c r="F109" s="1636" t="str">
        <f>'Saisie données stocks'!F38</f>
        <v>NVP</v>
      </c>
      <c r="G109" s="1637" t="str">
        <f>'Saisie données stocks'!G38</f>
        <v>Cp</v>
      </c>
      <c r="H109" s="1637" t="str">
        <f>'Saisie données stocks'!H38</f>
        <v>200 mg</v>
      </c>
      <c r="I109" s="1210" t="str">
        <f>'Saisie données stocks'!I38</f>
        <v>Nevirapine</v>
      </c>
      <c r="J109" s="1212" t="str">
        <f>'Saisie données stocks'!J38</f>
        <v>VIRAMUNE</v>
      </c>
      <c r="K109" s="1638">
        <f>'Saisie données stocks'!K38</f>
        <v>0</v>
      </c>
      <c r="L109" s="1386">
        <f>'Saisie données stocks'!L38</f>
        <v>60</v>
      </c>
      <c r="M109" s="1387"/>
      <c r="N109" s="3045"/>
      <c r="AE109" s="835"/>
      <c r="AF109" s="835"/>
      <c r="AG109" s="835"/>
      <c r="AH109" s="835"/>
      <c r="AI109" s="835"/>
    </row>
    <row r="110" spans="4:35" s="4" customFormat="1" ht="13.5" thickBot="1" x14ac:dyDescent="0.25">
      <c r="D110" s="100"/>
      <c r="E110" s="101"/>
      <c r="F110" s="288" t="str">
        <f>'Saisie données stocks'!F39</f>
        <v>RPV</v>
      </c>
      <c r="G110" s="289" t="str">
        <f>'Saisie données stocks'!G39</f>
        <v>Cp</v>
      </c>
      <c r="H110" s="289" t="str">
        <f>'Saisie données stocks'!H39</f>
        <v>25 mg</v>
      </c>
      <c r="I110" s="1639" t="str">
        <f>'Saisie données stocks'!I39</f>
        <v>Rilpivirine</v>
      </c>
      <c r="J110" s="1404" t="str">
        <f>'Saisie données stocks'!J39</f>
        <v>EDURANT</v>
      </c>
      <c r="K110" s="291">
        <f>'Saisie données stocks'!K39</f>
        <v>0</v>
      </c>
      <c r="L110" s="292">
        <f>'Saisie données stocks'!L39</f>
        <v>30</v>
      </c>
      <c r="M110" s="336"/>
      <c r="N110" s="1395"/>
      <c r="AE110" s="835"/>
      <c r="AF110" s="835"/>
      <c r="AG110" s="835"/>
      <c r="AH110" s="835"/>
      <c r="AI110" s="835"/>
    </row>
    <row r="111" spans="4:35" s="4" customFormat="1" ht="13.5" thickBot="1" x14ac:dyDescent="0.25">
      <c r="D111" s="37"/>
      <c r="E111" s="98" t="str">
        <f>'Saisie données stocks'!E40</f>
        <v>INTI</v>
      </c>
      <c r="F111" s="276" t="str">
        <f>'Saisie données stocks'!F40</f>
        <v>ABC</v>
      </c>
      <c r="G111" s="277" t="str">
        <f>'Saisie données stocks'!G40</f>
        <v>Cp</v>
      </c>
      <c r="H111" s="277" t="str">
        <f>'Saisie données stocks'!H40</f>
        <v>300 mg</v>
      </c>
      <c r="I111" s="277" t="str">
        <f>'Saisie données stocks'!I40</f>
        <v>Abacavir</v>
      </c>
      <c r="J111" s="278" t="str">
        <f>'Saisie données stocks'!J40</f>
        <v>ZIAGEN</v>
      </c>
      <c r="K111" s="279" t="str">
        <f>'Saisie données stocks'!K40</f>
        <v>ABAVIR, VIROL</v>
      </c>
      <c r="L111" s="280">
        <f>'Saisie données stocks'!L40</f>
        <v>60</v>
      </c>
      <c r="M111" s="329"/>
      <c r="N111" s="1395"/>
      <c r="AE111" s="835"/>
      <c r="AF111" s="835"/>
      <c r="AG111" s="835"/>
      <c r="AH111" s="835"/>
      <c r="AI111" s="835"/>
    </row>
    <row r="112" spans="4:35" s="4" customFormat="1" ht="13.5" thickBot="1" x14ac:dyDescent="0.25">
      <c r="D112" s="37"/>
      <c r="E112" s="98"/>
      <c r="F112" s="276" t="str">
        <f>'Saisie données stocks'!F41</f>
        <v>ABC</v>
      </c>
      <c r="G112" s="277" t="str">
        <f>'Saisie données stocks'!G41</f>
        <v>Cp</v>
      </c>
      <c r="H112" s="277" t="str">
        <f>'Saisie données stocks'!H41</f>
        <v>60 mg</v>
      </c>
      <c r="I112" s="277" t="str">
        <f>'Saisie données stocks'!I41</f>
        <v>Abacavir</v>
      </c>
      <c r="J112" s="278">
        <f>'Saisie données stocks'!J41</f>
        <v>0</v>
      </c>
      <c r="K112" s="279">
        <f>'Saisie données stocks'!K41</f>
        <v>0</v>
      </c>
      <c r="L112" s="280">
        <f>'Saisie données stocks'!L41</f>
        <v>60</v>
      </c>
      <c r="M112" s="329"/>
      <c r="N112" s="1395"/>
      <c r="AE112" s="835"/>
      <c r="AF112" s="835"/>
      <c r="AG112" s="835"/>
      <c r="AH112" s="835"/>
      <c r="AI112" s="835"/>
    </row>
    <row r="113" spans="4:35" s="4" customFormat="1" ht="13.5" thickBot="1" x14ac:dyDescent="0.25">
      <c r="D113" s="37"/>
      <c r="E113" s="98"/>
      <c r="F113" s="88" t="str">
        <f>'Saisie données stocks'!F42</f>
        <v>AZT</v>
      </c>
      <c r="G113" s="89" t="str">
        <f>'Saisie données stocks'!G42</f>
        <v>Cp</v>
      </c>
      <c r="H113" s="91" t="str">
        <f>'Saisie données stocks'!H42</f>
        <v>300 mg</v>
      </c>
      <c r="I113" s="89" t="str">
        <f>'Saisie données stocks'!I42</f>
        <v>Zidovudine</v>
      </c>
      <c r="J113" s="39" t="str">
        <f>'Saisie données stocks'!J42</f>
        <v>RETROVIR</v>
      </c>
      <c r="K113" s="38">
        <f>'Saisie données stocks'!K42</f>
        <v>0</v>
      </c>
      <c r="L113" s="114">
        <f>'Saisie données stocks'!L42</f>
        <v>60</v>
      </c>
      <c r="M113" s="330"/>
      <c r="N113" s="3045"/>
      <c r="AE113" s="835"/>
      <c r="AF113" s="835"/>
      <c r="AG113" s="835"/>
      <c r="AH113" s="835"/>
      <c r="AI113" s="835"/>
    </row>
    <row r="114" spans="4:35" s="4" customFormat="1" ht="13.5" thickBot="1" x14ac:dyDescent="0.25">
      <c r="D114" s="37"/>
      <c r="E114" s="98"/>
      <c r="F114" s="276" t="str">
        <f>'Saisie données stocks'!F43</f>
        <v>AZT</v>
      </c>
      <c r="G114" s="277" t="str">
        <f>'Saisie données stocks'!G43</f>
        <v>Cp</v>
      </c>
      <c r="H114" s="1403" t="str">
        <f>'Saisie données stocks'!H43</f>
        <v>100 mg</v>
      </c>
      <c r="I114" s="277" t="str">
        <f>'Saisie données stocks'!I43</f>
        <v>Zidovudine</v>
      </c>
      <c r="J114" s="278" t="str">
        <f>'Saisie données stocks'!J43</f>
        <v>RETROVIR</v>
      </c>
      <c r="K114" s="279">
        <f>'Saisie données stocks'!K43</f>
        <v>0</v>
      </c>
      <c r="L114" s="280">
        <f>'Saisie données stocks'!L43</f>
        <v>100</v>
      </c>
      <c r="M114" s="329"/>
      <c r="N114" s="1395"/>
      <c r="AE114" s="835"/>
      <c r="AF114" s="835"/>
      <c r="AG114" s="835"/>
      <c r="AH114" s="835"/>
      <c r="AI114" s="835"/>
    </row>
    <row r="115" spans="4:35" s="4" customFormat="1" ht="13.5" thickBot="1" x14ac:dyDescent="0.25">
      <c r="D115" s="37"/>
      <c r="E115" s="98"/>
      <c r="F115" s="276" t="str">
        <f>'Saisie données stocks'!F44</f>
        <v>AZT</v>
      </c>
      <c r="G115" s="277" t="str">
        <f>'Saisie données stocks'!G44</f>
        <v>Cp</v>
      </c>
      <c r="H115" s="1403" t="str">
        <f>'Saisie données stocks'!H44</f>
        <v>60 mg</v>
      </c>
      <c r="I115" s="277" t="str">
        <f>'Saisie données stocks'!I44</f>
        <v>Zidovudine</v>
      </c>
      <c r="J115" s="278">
        <f>'Saisie données stocks'!J44</f>
        <v>0</v>
      </c>
      <c r="K115" s="279">
        <f>'Saisie données stocks'!K44</f>
        <v>0</v>
      </c>
      <c r="L115" s="280">
        <f>'Saisie données stocks'!L44</f>
        <v>60</v>
      </c>
      <c r="M115" s="329"/>
      <c r="N115" s="1395"/>
      <c r="AE115" s="835"/>
      <c r="AF115" s="835"/>
      <c r="AG115" s="835"/>
      <c r="AH115" s="835"/>
      <c r="AI115" s="835"/>
    </row>
    <row r="116" spans="4:35" s="4" customFormat="1" ht="13.5" thickBot="1" x14ac:dyDescent="0.25">
      <c r="D116" s="37"/>
      <c r="E116" s="98"/>
      <c r="F116" s="376" t="str">
        <f>'Saisie données stocks'!F45</f>
        <v>D4T</v>
      </c>
      <c r="G116" s="377" t="str">
        <f>'Saisie données stocks'!G45</f>
        <v>Cp</v>
      </c>
      <c r="H116" s="383" t="str">
        <f>'Saisie données stocks'!H45</f>
        <v>30 mg</v>
      </c>
      <c r="I116" s="377" t="str">
        <f>'Saisie données stocks'!I45</f>
        <v>Stavudine</v>
      </c>
      <c r="J116" s="378" t="str">
        <f>'Saisie données stocks'!J45</f>
        <v>ZERIT</v>
      </c>
      <c r="K116" s="379" t="str">
        <f>'Saisie données stocks'!K45</f>
        <v>STAVIR</v>
      </c>
      <c r="L116" s="114">
        <f>'Saisie données stocks'!L45</f>
        <v>60</v>
      </c>
      <c r="M116" s="330"/>
      <c r="N116" s="3045"/>
      <c r="AE116" s="835"/>
      <c r="AF116" s="835"/>
      <c r="AG116" s="835"/>
      <c r="AH116" s="835"/>
      <c r="AI116" s="835"/>
    </row>
    <row r="117" spans="4:35" s="4" customFormat="1" ht="13.5" thickBot="1" x14ac:dyDescent="0.25">
      <c r="D117" s="37"/>
      <c r="E117" s="98"/>
      <c r="F117" s="276" t="str">
        <f>'Saisie données stocks'!F46</f>
        <v>3TC</v>
      </c>
      <c r="G117" s="277" t="str">
        <f>'Saisie données stocks'!G46</f>
        <v>Cp</v>
      </c>
      <c r="H117" s="282" t="str">
        <f>'Saisie données stocks'!H46</f>
        <v>150 mg</v>
      </c>
      <c r="I117" s="277" t="str">
        <f>'Saisie données stocks'!I46</f>
        <v>Lamivudine</v>
      </c>
      <c r="J117" s="278" t="str">
        <f>'Saisie données stocks'!J46</f>
        <v>EPIVIR</v>
      </c>
      <c r="K117" s="279" t="str">
        <f>'Saisie données stocks'!K46</f>
        <v>LAMIVIR</v>
      </c>
      <c r="L117" s="280">
        <f>'Saisie données stocks'!L46</f>
        <v>60</v>
      </c>
      <c r="M117" s="329"/>
      <c r="N117" s="1395"/>
      <c r="AE117" s="835"/>
      <c r="AF117" s="835"/>
      <c r="AG117" s="835"/>
      <c r="AH117" s="835"/>
      <c r="AI117" s="835"/>
    </row>
    <row r="118" spans="4:35" s="4" customFormat="1" ht="13.5" thickBot="1" x14ac:dyDescent="0.25">
      <c r="D118" s="37"/>
      <c r="E118" s="98"/>
      <c r="F118" s="276" t="str">
        <f>'Saisie données stocks'!F47</f>
        <v>3TC</v>
      </c>
      <c r="G118" s="277" t="str">
        <f>'Saisie données stocks'!G47</f>
        <v>Cp</v>
      </c>
      <c r="H118" s="1403" t="str">
        <f>'Saisie données stocks'!H47</f>
        <v>30 mg</v>
      </c>
      <c r="I118" s="277" t="str">
        <f>'Saisie données stocks'!I47</f>
        <v>Lamivudine</v>
      </c>
      <c r="J118" s="278">
        <f>'Saisie données stocks'!J47</f>
        <v>0</v>
      </c>
      <c r="K118" s="279">
        <f>'Saisie données stocks'!K47</f>
        <v>0</v>
      </c>
      <c r="L118" s="280">
        <f>'Saisie données stocks'!L47</f>
        <v>60</v>
      </c>
      <c r="M118" s="329"/>
      <c r="N118" s="1395"/>
      <c r="AE118" s="835"/>
      <c r="AF118" s="835"/>
      <c r="AG118" s="835"/>
      <c r="AH118" s="835"/>
      <c r="AI118" s="835"/>
    </row>
    <row r="119" spans="4:35" s="4" customFormat="1" ht="26.25" thickBot="1" x14ac:dyDescent="0.25">
      <c r="D119" s="37"/>
      <c r="E119" s="98"/>
      <c r="F119" s="281" t="str">
        <f>'Saisie données stocks'!F48</f>
        <v>DDI</v>
      </c>
      <c r="G119" s="282" t="str">
        <f>'Saisie données stocks'!G48</f>
        <v>Cp</v>
      </c>
      <c r="H119" s="282" t="str">
        <f>'Saisie données stocks'!H48</f>
        <v>250 mg</v>
      </c>
      <c r="I119" s="1403" t="str">
        <f>'Saisie données stocks'!I48</f>
        <v>Didanosine</v>
      </c>
      <c r="J119" s="285" t="str">
        <f>'Saisie données stocks'!J48</f>
        <v>VIDEX</v>
      </c>
      <c r="K119" s="283" t="str">
        <f>'Saisie données stocks'!K48</f>
        <v>DINEX, DIVIR, DINOSIN, VIROSINE</v>
      </c>
      <c r="L119" s="284">
        <f>'Saisie données stocks'!L48</f>
        <v>30</v>
      </c>
      <c r="M119" s="332"/>
      <c r="N119" s="1395"/>
      <c r="AE119" s="835"/>
      <c r="AF119" s="835"/>
      <c r="AG119" s="835"/>
      <c r="AH119" s="835"/>
      <c r="AI119" s="835"/>
    </row>
    <row r="120" spans="4:35" s="4" customFormat="1" ht="26.25" thickBot="1" x14ac:dyDescent="0.25">
      <c r="D120" s="37"/>
      <c r="E120" s="98"/>
      <c r="F120" s="281" t="str">
        <f>'Saisie données stocks'!F49</f>
        <v>DDI</v>
      </c>
      <c r="G120" s="282" t="str">
        <f>'Saisie données stocks'!G49</f>
        <v>Cp</v>
      </c>
      <c r="H120" s="286" t="str">
        <f>'Saisie données stocks'!H49</f>
        <v>400 mg</v>
      </c>
      <c r="I120" s="1629" t="str">
        <f>'Saisie données stocks'!I49</f>
        <v>Didanosine</v>
      </c>
      <c r="J120" s="285" t="str">
        <f>'Saisie données stocks'!J49</f>
        <v>VIDEX</v>
      </c>
      <c r="K120" s="283" t="str">
        <f>'Saisie données stocks'!K49</f>
        <v>DINEX, DIVIR, DINOSIN, VIROSINE</v>
      </c>
      <c r="L120" s="287">
        <f>'Saisie données stocks'!L49</f>
        <v>30</v>
      </c>
      <c r="M120" s="335"/>
      <c r="N120" s="1395"/>
      <c r="AE120" s="835"/>
      <c r="AF120" s="835"/>
      <c r="AG120" s="835"/>
      <c r="AH120" s="835"/>
      <c r="AI120" s="835"/>
    </row>
    <row r="121" spans="4:35" s="4" customFormat="1" ht="13.5" thickBot="1" x14ac:dyDescent="0.25">
      <c r="D121" s="100"/>
      <c r="E121" s="101"/>
      <c r="F121" s="288" t="str">
        <f>'Saisie données stocks'!F50</f>
        <v>TDF</v>
      </c>
      <c r="G121" s="289" t="str">
        <f>'Saisie données stocks'!G50</f>
        <v>Cp</v>
      </c>
      <c r="H121" s="289" t="str">
        <f>'Saisie données stocks'!H50</f>
        <v>300 mg</v>
      </c>
      <c r="I121" s="1641" t="str">
        <f>'Saisie données stocks'!I50</f>
        <v>Tenofovir</v>
      </c>
      <c r="J121" s="290" t="str">
        <f>'Saisie données stocks'!J50</f>
        <v>VIREAD</v>
      </c>
      <c r="K121" s="291">
        <f>'Saisie données stocks'!K50</f>
        <v>0</v>
      </c>
      <c r="L121" s="292">
        <f>'Saisie données stocks'!L50</f>
        <v>30</v>
      </c>
      <c r="M121" s="336"/>
      <c r="N121" s="1395"/>
      <c r="AE121" s="835"/>
      <c r="AF121" s="835"/>
      <c r="AG121" s="835"/>
      <c r="AH121" s="835"/>
      <c r="AI121" s="835"/>
    </row>
    <row r="122" spans="4:35" s="4" customFormat="1" ht="13.5" thickBot="1" x14ac:dyDescent="0.25">
      <c r="D122" s="37"/>
      <c r="E122" s="98" t="str">
        <f>'Saisie données stocks'!E51</f>
        <v>IP</v>
      </c>
      <c r="F122" s="88" t="str">
        <f>'Saisie données stocks'!F51</f>
        <v>LPV/r</v>
      </c>
      <c r="G122" s="89" t="str">
        <f>'Saisie données stocks'!G51</f>
        <v>Cp</v>
      </c>
      <c r="H122" s="89" t="str">
        <f>'Saisie données stocks'!H51</f>
        <v>200/50 mg</v>
      </c>
      <c r="I122" s="89" t="str">
        <f>'Saisie données stocks'!I51</f>
        <v>Lopinavir/ Ritonavir</v>
      </c>
      <c r="J122" s="39" t="str">
        <f>'Saisie données stocks'!J51</f>
        <v>KALETRA, ALUVIA</v>
      </c>
      <c r="K122" s="38" t="str">
        <f>'Saisie données stocks'!K51</f>
        <v>RITOCOM</v>
      </c>
      <c r="L122" s="114">
        <f>'Saisie données stocks'!L51</f>
        <v>120</v>
      </c>
      <c r="M122" s="330"/>
      <c r="N122" s="3045"/>
      <c r="AE122" s="835"/>
      <c r="AF122" s="835"/>
      <c r="AG122" s="835"/>
      <c r="AH122" s="835"/>
      <c r="AI122" s="835"/>
    </row>
    <row r="123" spans="4:35" s="4" customFormat="1" ht="26.25" thickBot="1" x14ac:dyDescent="0.25">
      <c r="D123" s="37"/>
      <c r="E123" s="98"/>
      <c r="F123" s="1389" t="str">
        <f>'Saisie données stocks'!F52</f>
        <v>LPV/r</v>
      </c>
      <c r="G123" s="1390" t="str">
        <f>'Saisie données stocks'!G52</f>
        <v>Cp coblister</v>
      </c>
      <c r="H123" s="1390" t="str">
        <f>'Saisie données stocks'!H52</f>
        <v>100/25 mg</v>
      </c>
      <c r="I123" s="1390" t="str">
        <f>'Saisie données stocks'!I52</f>
        <v>Lopinavir/ Ritonavir</v>
      </c>
      <c r="J123" s="1391" t="str">
        <f>'Saisie données stocks'!J52</f>
        <v>KALETRA, ALUVIA</v>
      </c>
      <c r="K123" s="1392">
        <f>'Saisie données stocks'!K52</f>
        <v>0</v>
      </c>
      <c r="L123" s="1393">
        <f>'Saisie données stocks'!L52</f>
        <v>60</v>
      </c>
      <c r="M123" s="1394"/>
      <c r="N123" s="1395"/>
      <c r="AE123" s="835"/>
      <c r="AF123" s="835"/>
      <c r="AG123" s="835"/>
      <c r="AH123" s="835"/>
      <c r="AI123" s="835"/>
    </row>
    <row r="124" spans="4:35" s="4" customFormat="1" ht="13.5" thickBot="1" x14ac:dyDescent="0.25">
      <c r="D124" s="37"/>
      <c r="E124" s="92"/>
      <c r="F124" s="1674" t="str">
        <f>'Saisie données stocks'!F53</f>
        <v>ATV/r</v>
      </c>
      <c r="G124" s="1675" t="str">
        <f>'Saisie données stocks'!G53</f>
        <v>Cp</v>
      </c>
      <c r="H124" s="1676" t="str">
        <f>'Saisie données stocks'!H53</f>
        <v>300/100 mg</v>
      </c>
      <c r="I124" s="1678" t="str">
        <f>'Saisie données stocks'!I53</f>
        <v>Atazanavir/ Ritonavir</v>
      </c>
      <c r="J124" s="2459">
        <f>'Saisie données stocks'!J53</f>
        <v>0</v>
      </c>
      <c r="K124" s="2460">
        <f>'Saisie données stocks'!K53</f>
        <v>0</v>
      </c>
      <c r="L124" s="512">
        <f>'Saisie données stocks'!L53</f>
        <v>30</v>
      </c>
      <c r="M124" s="3044"/>
      <c r="N124" s="3045"/>
      <c r="AE124" s="835"/>
      <c r="AF124" s="835"/>
      <c r="AG124" s="835"/>
      <c r="AH124" s="835"/>
      <c r="AI124" s="835"/>
    </row>
    <row r="125" spans="4:35" s="4" customFormat="1" ht="13.5" thickBot="1" x14ac:dyDescent="0.25">
      <c r="D125" s="37"/>
      <c r="E125" s="92"/>
      <c r="F125" s="1631" t="str">
        <f>'Saisie données stocks'!F54</f>
        <v>FPV</v>
      </c>
      <c r="G125" s="1632" t="str">
        <f>'Saisie données stocks'!G54</f>
        <v>Cp</v>
      </c>
      <c r="H125" s="1632" t="str">
        <f>'Saisie données stocks'!H54</f>
        <v>700 mg</v>
      </c>
      <c r="I125" s="1632" t="str">
        <f>'Saisie données stocks'!I54</f>
        <v>Fosamprenavir</v>
      </c>
      <c r="J125" s="1633" t="str">
        <f>'Saisie données stocks'!J54</f>
        <v>TELZIR</v>
      </c>
      <c r="K125" s="1634">
        <f>'Saisie données stocks'!K54</f>
        <v>0</v>
      </c>
      <c r="L125" s="1635">
        <f>'Saisie données stocks'!L54</f>
        <v>60</v>
      </c>
      <c r="M125" s="1630"/>
      <c r="N125" s="1395"/>
      <c r="AE125" s="835"/>
      <c r="AF125" s="835"/>
      <c r="AG125" s="835"/>
      <c r="AH125" s="835"/>
      <c r="AI125" s="835"/>
    </row>
    <row r="126" spans="4:35" s="4" customFormat="1" ht="13.5" thickBot="1" x14ac:dyDescent="0.25">
      <c r="D126" s="37"/>
      <c r="E126" s="92"/>
      <c r="F126" s="293" t="str">
        <f>'Saisie données stocks'!F55</f>
        <v>IDV</v>
      </c>
      <c r="G126" s="286" t="str">
        <f>'Saisie données stocks'!G55</f>
        <v>Gel</v>
      </c>
      <c r="H126" s="286" t="str">
        <f>'Saisie données stocks'!H55</f>
        <v>400 mg</v>
      </c>
      <c r="I126" s="1629" t="str">
        <f>'Saisie données stocks'!I55</f>
        <v>Indinavir</v>
      </c>
      <c r="J126" s="294" t="str">
        <f>'Saisie données stocks'!J55</f>
        <v>CRIXIVAN</v>
      </c>
      <c r="K126" s="295">
        <f>'Saisie données stocks'!K55</f>
        <v>0</v>
      </c>
      <c r="L126" s="287">
        <f>'Saisie données stocks'!L55</f>
        <v>180</v>
      </c>
      <c r="M126" s="335"/>
      <c r="N126" s="1395"/>
      <c r="AE126" s="835"/>
      <c r="AF126" s="835"/>
      <c r="AG126" s="835"/>
      <c r="AH126" s="835"/>
      <c r="AI126" s="835"/>
    </row>
    <row r="127" spans="4:35" s="4" customFormat="1" ht="13.5" thickBot="1" x14ac:dyDescent="0.25">
      <c r="D127" s="37"/>
      <c r="E127" s="92"/>
      <c r="F127" s="293" t="str">
        <f>'Saisie données stocks'!F56</f>
        <v>DRV</v>
      </c>
      <c r="G127" s="286" t="str">
        <f>'Saisie données stocks'!G56</f>
        <v>Cp</v>
      </c>
      <c r="H127" s="1396" t="str">
        <f>'Saisie données stocks'!H56</f>
        <v>300 mg</v>
      </c>
      <c r="I127" s="1629" t="str">
        <f>'Saisie données stocks'!I56</f>
        <v>Darunavir</v>
      </c>
      <c r="J127" s="294" t="str">
        <f>'Saisie données stocks'!J56</f>
        <v>PREZISTA</v>
      </c>
      <c r="K127" s="295">
        <f>'Saisie données stocks'!K56</f>
        <v>0</v>
      </c>
      <c r="L127" s="287">
        <f>'Saisie données stocks'!L56</f>
        <v>60</v>
      </c>
      <c r="M127" s="335"/>
      <c r="N127" s="1395"/>
      <c r="AE127" s="835"/>
      <c r="AF127" s="835"/>
      <c r="AG127" s="835"/>
      <c r="AH127" s="835"/>
      <c r="AI127" s="835"/>
    </row>
    <row r="128" spans="4:35" s="4" customFormat="1" ht="13.5" thickBot="1" x14ac:dyDescent="0.25">
      <c r="D128" s="37"/>
      <c r="E128" s="92"/>
      <c r="F128" s="293" t="str">
        <f>'Saisie données stocks'!F57</f>
        <v>SQV</v>
      </c>
      <c r="G128" s="286" t="str">
        <f>'Saisie données stocks'!G57</f>
        <v>Cp</v>
      </c>
      <c r="H128" s="286" t="str">
        <f>'Saisie données stocks'!H57</f>
        <v>500 mg</v>
      </c>
      <c r="I128" s="1629" t="str">
        <f>'Saisie données stocks'!I57</f>
        <v>Saquinavir</v>
      </c>
      <c r="J128" s="294" t="str">
        <f>'Saisie données stocks'!J57</f>
        <v>INVIRASE</v>
      </c>
      <c r="K128" s="295">
        <f>'Saisie données stocks'!K57</f>
        <v>0</v>
      </c>
      <c r="L128" s="287">
        <f>'Saisie données stocks'!L57</f>
        <v>120</v>
      </c>
      <c r="M128" s="335"/>
      <c r="N128" s="1395"/>
      <c r="AE128" s="835"/>
      <c r="AF128" s="835"/>
      <c r="AG128" s="835"/>
      <c r="AH128" s="835"/>
      <c r="AI128" s="835"/>
    </row>
    <row r="129" spans="4:35" s="4" customFormat="1" ht="13.5" thickBot="1" x14ac:dyDescent="0.25">
      <c r="D129" s="100"/>
      <c r="E129" s="101"/>
      <c r="F129" s="288" t="str">
        <f>'Saisie données stocks'!F58</f>
        <v>RTV</v>
      </c>
      <c r="G129" s="289" t="str">
        <f>'Saisie données stocks'!G58</f>
        <v>Caps</v>
      </c>
      <c r="H129" s="289" t="str">
        <f>'Saisie données stocks'!H58</f>
        <v>100 mg</v>
      </c>
      <c r="I129" s="1641" t="str">
        <f>'Saisie données stocks'!I58</f>
        <v>Ritonavir</v>
      </c>
      <c r="J129" s="290" t="str">
        <f>'Saisie données stocks'!J58</f>
        <v>NORVIR</v>
      </c>
      <c r="K129" s="291">
        <f>'Saisie données stocks'!K58</f>
        <v>0</v>
      </c>
      <c r="L129" s="292">
        <f>'Saisie données stocks'!L58</f>
        <v>84</v>
      </c>
      <c r="M129" s="336"/>
      <c r="N129" s="1395"/>
      <c r="AE129" s="835"/>
      <c r="AF129" s="835"/>
      <c r="AG129" s="835"/>
      <c r="AH129" s="835"/>
      <c r="AI129" s="835"/>
    </row>
    <row r="130" spans="4:35" s="4" customFormat="1" ht="13.5" thickBot="1" x14ac:dyDescent="0.25">
      <c r="D130" s="100"/>
      <c r="E130" s="101" t="str">
        <f>'Saisie données stocks'!E59</f>
        <v>Inh Integrase</v>
      </c>
      <c r="F130" s="1397" t="str">
        <f>'Saisie données stocks'!F59</f>
        <v>RLT = RAL</v>
      </c>
      <c r="G130" s="1398" t="str">
        <f>'Saisie données stocks'!G59</f>
        <v>Cp</v>
      </c>
      <c r="H130" s="1398" t="str">
        <f>'Saisie données stocks'!H59</f>
        <v>400 mg</v>
      </c>
      <c r="I130" s="1642" t="str">
        <f>'Saisie données stocks'!I59</f>
        <v>Raltegravir</v>
      </c>
      <c r="J130" s="1399" t="str">
        <f>'Saisie données stocks'!J59</f>
        <v>ISENTRESS</v>
      </c>
      <c r="K130" s="1400">
        <f>'Saisie données stocks'!K59</f>
        <v>0</v>
      </c>
      <c r="L130" s="1401">
        <f>'Saisie données stocks'!L59</f>
        <v>60</v>
      </c>
      <c r="M130" s="1402"/>
      <c r="N130" s="1395"/>
      <c r="AE130" s="835"/>
      <c r="AF130" s="835"/>
      <c r="AG130" s="835"/>
      <c r="AH130" s="835"/>
      <c r="AI130" s="835"/>
    </row>
    <row r="131" spans="4:35" s="4" customFormat="1" ht="90" thickBot="1" x14ac:dyDescent="0.25">
      <c r="D131" s="118"/>
      <c r="E131" s="119"/>
      <c r="F131" s="32" t="str">
        <f>'TRAD-Saisie données file act.'!B158</f>
        <v>Composition</v>
      </c>
      <c r="G131" s="33" t="str">
        <f>'TRAD-Saisie données file act.'!B159</f>
        <v>Forme galénique</v>
      </c>
      <c r="H131" s="33" t="str">
        <f>'TRAD-Saisie données file act.'!B160</f>
        <v>Dosage</v>
      </c>
      <c r="I131" s="33"/>
      <c r="J131" s="33" t="str">
        <f>'TRAD-Saisie données file act.'!B162</f>
        <v>Nom de spécialité</v>
      </c>
      <c r="K131" s="33"/>
      <c r="L131" s="33" t="str">
        <f>'TRAD-Saisie données file act.'!B170</f>
        <v>Volume conditionnement primaire (mL)</v>
      </c>
      <c r="M131" s="34" t="str">
        <f>'TRAD-Saisie données file act.'!B171</f>
        <v>Conditionement secondaire</v>
      </c>
      <c r="N131" s="127" t="str">
        <f>'TRAD-Saisie données file act.'!B172</f>
        <v>Besoins mensuels moyens en nb de conditionnement primaire</v>
      </c>
      <c r="AE131" s="835"/>
      <c r="AF131" s="835"/>
      <c r="AG131" s="835"/>
      <c r="AH131" s="835"/>
      <c r="AI131" s="835"/>
    </row>
    <row r="132" spans="4:35" s="4" customFormat="1" ht="13.5" thickBot="1" x14ac:dyDescent="0.25">
      <c r="D132" s="31" t="str">
        <f>'TRAD-Saisie données file act.'!B117</f>
        <v>Solutions buvables</v>
      </c>
      <c r="E132" s="97" t="str">
        <f>'Saisie données stocks'!E61</f>
        <v>INTI</v>
      </c>
      <c r="F132" s="86" t="str">
        <f>'Saisie données stocks'!F61</f>
        <v>AZT</v>
      </c>
      <c r="G132" s="87" t="str">
        <f>'Saisie données stocks'!G61</f>
        <v>Sol buv</v>
      </c>
      <c r="H132" s="87" t="str">
        <f>'Saisie données stocks'!H61</f>
        <v>10 mg/mL</v>
      </c>
      <c r="I132" s="87" t="str">
        <f>'Saisie données stocks'!I61</f>
        <v>Zidovudine</v>
      </c>
      <c r="J132" s="36" t="str">
        <f>'Saisie données stocks'!J61</f>
        <v>RETROVIR</v>
      </c>
      <c r="K132" s="36">
        <f>'Saisie données stocks'!K61</f>
        <v>0</v>
      </c>
      <c r="L132" s="299">
        <f>'Saisie données stocks'!L61</f>
        <v>240</v>
      </c>
      <c r="M132" s="300">
        <f>'Saisie données stocks'!M61</f>
        <v>1</v>
      </c>
      <c r="N132" s="270"/>
      <c r="AE132" s="835"/>
      <c r="AF132" s="835"/>
      <c r="AG132" s="835"/>
      <c r="AH132" s="835"/>
      <c r="AI132" s="835"/>
    </row>
    <row r="133" spans="4:35" s="4" customFormat="1" ht="13.5" thickBot="1" x14ac:dyDescent="0.25">
      <c r="D133" s="37"/>
      <c r="E133" s="98"/>
      <c r="F133" s="276" t="str">
        <f>'Saisie données stocks'!F62</f>
        <v>D4T</v>
      </c>
      <c r="G133" s="277" t="str">
        <f>'Saisie données stocks'!G62</f>
        <v>Sol buv</v>
      </c>
      <c r="H133" s="277" t="str">
        <f>'Saisie données stocks'!H62</f>
        <v>10 mg/mL</v>
      </c>
      <c r="I133" s="277" t="str">
        <f>'Saisie données stocks'!I62</f>
        <v>Stavudine</v>
      </c>
      <c r="J133" s="278" t="str">
        <f>'Saisie données stocks'!J62</f>
        <v>ZERIT</v>
      </c>
      <c r="K133" s="278">
        <f>'Saisie données stocks'!K62</f>
        <v>0</v>
      </c>
      <c r="L133" s="301">
        <f>'Saisie données stocks'!L62</f>
        <v>240</v>
      </c>
      <c r="M133" s="302">
        <f>'Saisie données stocks'!M62</f>
        <v>1</v>
      </c>
      <c r="N133" s="1395"/>
      <c r="AE133" s="835"/>
      <c r="AF133" s="835"/>
      <c r="AG133" s="835"/>
      <c r="AH133" s="835"/>
      <c r="AI133" s="835"/>
    </row>
    <row r="134" spans="4:35" s="4" customFormat="1" ht="13.5" thickBot="1" x14ac:dyDescent="0.25">
      <c r="D134" s="37"/>
      <c r="E134" s="98"/>
      <c r="F134" s="90" t="str">
        <f>'Saisie données stocks'!F63</f>
        <v>3TC</v>
      </c>
      <c r="G134" s="91" t="str">
        <f>'Saisie données stocks'!G63</f>
        <v>Sol buv</v>
      </c>
      <c r="H134" s="91" t="str">
        <f>'Saisie données stocks'!H63</f>
        <v>10 mg/mL</v>
      </c>
      <c r="I134" s="1207" t="str">
        <f>'Saisie données stocks'!I63</f>
        <v>Lamivudine</v>
      </c>
      <c r="J134" s="41" t="str">
        <f>'Saisie données stocks'!J63</f>
        <v>LAMIVIR, EPIVIR</v>
      </c>
      <c r="K134" s="41">
        <f>'Saisie données stocks'!K63</f>
        <v>0</v>
      </c>
      <c r="L134" s="303">
        <f>'Saisie données stocks'!L63</f>
        <v>240</v>
      </c>
      <c r="M134" s="304">
        <f>'Saisie données stocks'!M63</f>
        <v>1</v>
      </c>
      <c r="N134" s="270"/>
      <c r="AE134" s="835"/>
      <c r="AF134" s="835"/>
      <c r="AG134" s="835"/>
      <c r="AH134" s="835"/>
      <c r="AI134" s="835"/>
    </row>
    <row r="135" spans="4:35" s="4" customFormat="1" ht="13.5" thickBot="1" x14ac:dyDescent="0.25">
      <c r="D135" s="37"/>
      <c r="E135" s="123"/>
      <c r="F135" s="276" t="str">
        <f>'Saisie données stocks'!F64</f>
        <v>ABC</v>
      </c>
      <c r="G135" s="277" t="str">
        <f>'Saisie données stocks'!G64</f>
        <v>Sol buv</v>
      </c>
      <c r="H135" s="277" t="str">
        <f>'Saisie données stocks'!H64</f>
        <v>20 mg/mL</v>
      </c>
      <c r="I135" s="277" t="str">
        <f>'Saisie données stocks'!I64</f>
        <v>Abacavir</v>
      </c>
      <c r="J135" s="278" t="str">
        <f>'Saisie données stocks'!J64</f>
        <v>ZIAGEN</v>
      </c>
      <c r="K135" s="278">
        <f>'Saisie données stocks'!K64</f>
        <v>0</v>
      </c>
      <c r="L135" s="301">
        <f>'Saisie données stocks'!L64</f>
        <v>240</v>
      </c>
      <c r="M135" s="302">
        <f>'Saisie données stocks'!M64</f>
        <v>1</v>
      </c>
      <c r="N135" s="1395"/>
      <c r="AE135" s="835"/>
      <c r="AF135" s="835"/>
      <c r="AG135" s="835"/>
      <c r="AH135" s="835"/>
      <c r="AI135" s="835"/>
    </row>
    <row r="136" spans="4:35" s="4" customFormat="1" ht="26.25" thickBot="1" x14ac:dyDescent="0.25">
      <c r="D136" s="37"/>
      <c r="E136" s="101"/>
      <c r="F136" s="288" t="str">
        <f>'Saisie données stocks'!F65</f>
        <v>DDI</v>
      </c>
      <c r="G136" s="289" t="str">
        <f>'Saisie données stocks'!G65</f>
        <v>Poudre buvable</v>
      </c>
      <c r="H136" s="289" t="str">
        <f>'Saisie données stocks'!H65</f>
        <v>2 g</v>
      </c>
      <c r="I136" s="1641" t="str">
        <f>'Saisie données stocks'!I65</f>
        <v>Didanosine</v>
      </c>
      <c r="J136" s="290" t="str">
        <f>'Saisie données stocks'!J65</f>
        <v>VIDEX</v>
      </c>
      <c r="K136" s="290">
        <f>'Saisie données stocks'!K65</f>
        <v>0</v>
      </c>
      <c r="L136" s="305">
        <f>'Saisie données stocks'!L65</f>
        <v>200</v>
      </c>
      <c r="M136" s="306">
        <f>'Saisie données stocks'!M65</f>
        <v>1</v>
      </c>
      <c r="N136" s="1395"/>
      <c r="AE136" s="835"/>
      <c r="AF136" s="835"/>
      <c r="AG136" s="835"/>
      <c r="AH136" s="835"/>
      <c r="AI136" s="835"/>
    </row>
    <row r="137" spans="4:35" s="4" customFormat="1" ht="13.5" thickBot="1" x14ac:dyDescent="0.25">
      <c r="D137" s="37"/>
      <c r="E137" s="98" t="str">
        <f>'Saisie données stocks'!E66</f>
        <v>INNTI</v>
      </c>
      <c r="F137" s="88" t="str">
        <f>'Saisie données stocks'!F66</f>
        <v>NVP</v>
      </c>
      <c r="G137" s="89" t="str">
        <f>'Saisie données stocks'!G66</f>
        <v>Sol buv</v>
      </c>
      <c r="H137" s="89" t="str">
        <f>'Saisie données stocks'!H66</f>
        <v>10 mg/mL</v>
      </c>
      <c r="I137" s="89" t="str">
        <f>'Saisie données stocks'!I66</f>
        <v>Nevirapine</v>
      </c>
      <c r="J137" s="39" t="str">
        <f>'Saisie données stocks'!J66</f>
        <v>VIRAMUNE</v>
      </c>
      <c r="K137" s="39">
        <f>'Saisie données stocks'!K66</f>
        <v>0</v>
      </c>
      <c r="L137" s="307">
        <f>'Saisie données stocks'!L66</f>
        <v>240</v>
      </c>
      <c r="M137" s="308">
        <f>'Saisie données stocks'!M66</f>
        <v>1</v>
      </c>
      <c r="N137" s="270"/>
      <c r="AE137" s="835"/>
      <c r="AF137" s="835"/>
      <c r="AG137" s="835"/>
      <c r="AH137" s="835"/>
      <c r="AI137" s="835"/>
    </row>
    <row r="138" spans="4:35" s="4" customFormat="1" ht="13.5" thickBot="1" x14ac:dyDescent="0.25">
      <c r="D138" s="37"/>
      <c r="E138" s="101"/>
      <c r="F138" s="288" t="str">
        <f>'Saisie données stocks'!F67</f>
        <v>EFV</v>
      </c>
      <c r="G138" s="289" t="str">
        <f>'Saisie données stocks'!G67</f>
        <v>Sol buv</v>
      </c>
      <c r="H138" s="289" t="str">
        <f>'Saisie données stocks'!H67</f>
        <v>30 mg/mL</v>
      </c>
      <c r="I138" s="1641" t="str">
        <f>'Saisie données stocks'!I67</f>
        <v>Efavirenz</v>
      </c>
      <c r="J138" s="290" t="str">
        <f>'Saisie données stocks'!J67</f>
        <v>SUSTIVA, STOCRIN</v>
      </c>
      <c r="K138" s="290">
        <f>'Saisie données stocks'!K67</f>
        <v>0</v>
      </c>
      <c r="L138" s="305">
        <f>'Saisie données stocks'!L67</f>
        <v>180</v>
      </c>
      <c r="M138" s="306">
        <f>'Saisie données stocks'!M67</f>
        <v>1</v>
      </c>
      <c r="N138" s="1395"/>
      <c r="AE138" s="835"/>
      <c r="AF138" s="835"/>
      <c r="AG138" s="835"/>
      <c r="AH138" s="835"/>
      <c r="AI138" s="835"/>
    </row>
    <row r="139" spans="4:35" s="4" customFormat="1" ht="13.5" thickBot="1" x14ac:dyDescent="0.25">
      <c r="D139" s="42"/>
      <c r="E139" s="99" t="str">
        <f>'Saisie données stocks'!E68</f>
        <v>IP</v>
      </c>
      <c r="F139" s="296" t="str">
        <f>'Saisie données stocks'!F68</f>
        <v>LPV/r</v>
      </c>
      <c r="G139" s="297" t="str">
        <f>'Saisie données stocks'!G68</f>
        <v>Sol buv</v>
      </c>
      <c r="H139" s="297" t="str">
        <f>'Saisie données stocks'!H68</f>
        <v>80/20 mg/mL</v>
      </c>
      <c r="I139" s="297" t="str">
        <f>'Saisie données stocks'!I68</f>
        <v>Lopinavir/Ritonavir</v>
      </c>
      <c r="J139" s="298" t="str">
        <f>'Saisie données stocks'!J68</f>
        <v>KALETRA ALUVIA</v>
      </c>
      <c r="K139" s="298">
        <f>'Saisie données stocks'!K68</f>
        <v>0</v>
      </c>
      <c r="L139" s="309">
        <f>'Saisie données stocks'!L68</f>
        <v>60</v>
      </c>
      <c r="M139" s="310">
        <f>'Saisie données stocks'!M68</f>
        <v>4</v>
      </c>
      <c r="N139" s="1395"/>
      <c r="AE139" s="835"/>
      <c r="AF139" s="835"/>
      <c r="AG139" s="835"/>
      <c r="AH139" s="835"/>
      <c r="AI139" s="835"/>
    </row>
    <row r="140" spans="4:35" x14ac:dyDescent="0.2">
      <c r="AD140" s="836"/>
      <c r="AE140" s="836"/>
      <c r="AF140" s="836"/>
      <c r="AG140" s="836"/>
      <c r="AH140" s="836"/>
    </row>
    <row r="141" spans="4:35" s="4" customFormat="1" x14ac:dyDescent="0.2">
      <c r="AD141" s="835"/>
      <c r="AE141" s="835"/>
      <c r="AF141" s="835"/>
      <c r="AG141" s="835"/>
      <c r="AH141" s="835"/>
    </row>
  </sheetData>
  <sheetProtection password="D0E7" sheet="1" objects="1" scenarios="1"/>
  <mergeCells count="8">
    <mergeCell ref="E87:O87"/>
    <mergeCell ref="E13:O13"/>
    <mergeCell ref="E10:O10"/>
    <mergeCell ref="E9:O9"/>
    <mergeCell ref="B4:O4"/>
    <mergeCell ref="E8:O8"/>
    <mergeCell ref="B80:O80"/>
    <mergeCell ref="E84:O8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0"/>
  </sheetPr>
  <dimension ref="B1:R78"/>
  <sheetViews>
    <sheetView workbookViewId="0">
      <selection sqref="A1:XFD1048576"/>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18" s="2586" customFormat="1" x14ac:dyDescent="0.2">
      <c r="B1" s="2586" t="s">
        <v>865</v>
      </c>
      <c r="D1" s="2586" t="s">
        <v>866</v>
      </c>
      <c r="F1" s="2586" t="s">
        <v>867</v>
      </c>
    </row>
    <row r="2" spans="2:18" x14ac:dyDescent="0.2">
      <c r="H2" s="2563"/>
      <c r="I2" s="2563"/>
      <c r="J2" s="2563"/>
      <c r="K2" s="2563"/>
      <c r="L2" s="2563"/>
      <c r="M2" s="2563"/>
      <c r="N2" s="2563"/>
      <c r="O2" s="2563"/>
      <c r="P2" s="2563"/>
      <c r="Q2" s="2563"/>
      <c r="R2" s="2563"/>
    </row>
    <row r="3" spans="2:18" ht="38.25" x14ac:dyDescent="0.2">
      <c r="B3" s="2586" t="str">
        <f>IF(Présentation!$E$2="Français",'TRAD-Saisie données conso'!D3,IF(Présentation!$E$2="Anglais",'TRAD-Saisie données conso'!F3,""))</f>
        <v>Feuille SAISIE 4 - Saisie des données de consommation ou distribution disponibles</v>
      </c>
      <c r="D3" s="2563" t="s">
        <v>673</v>
      </c>
      <c r="E3" s="2563"/>
      <c r="F3" s="2563" t="s">
        <v>1171</v>
      </c>
      <c r="G3" s="2563"/>
    </row>
    <row r="4" spans="2:18" ht="25.5" x14ac:dyDescent="0.2">
      <c r="B4" s="2586" t="str">
        <f>IF(Présentation!$E$2="Français",'TRAD-Saisie données conso'!D4,IF(Présentation!$E$2="Anglais",'TRAD-Saisie données conso'!F4,""))</f>
        <v>Etape 1 : Données de consommation / distribution</v>
      </c>
      <c r="D4" s="2563" t="s">
        <v>1170</v>
      </c>
      <c r="F4" s="2558" t="s">
        <v>1682</v>
      </c>
      <c r="H4" s="2563"/>
      <c r="I4" s="2563"/>
      <c r="J4" s="2563"/>
      <c r="K4" s="2563"/>
      <c r="L4" s="2563"/>
      <c r="M4" s="2563"/>
      <c r="N4" s="2563"/>
      <c r="O4" s="2563"/>
      <c r="P4" s="2563"/>
      <c r="Q4" s="2563"/>
      <c r="R4" s="2593"/>
    </row>
    <row r="5" spans="2:18" ht="38.25" x14ac:dyDescent="0.2">
      <c r="B5" s="2586" t="str">
        <f>IF(Présentation!$E$2="Français",'TRAD-Saisie données conso'!D5,IF(Présentation!$E$2="Anglais",'TRAD-Saisie données conso'!F5,""))</f>
        <v>A. Renseignez la consommation globale ajustée et les taux de croissance s'ils sont disponibles</v>
      </c>
      <c r="D5" s="2563" t="s">
        <v>579</v>
      </c>
      <c r="F5" s="2563" t="s">
        <v>1175</v>
      </c>
      <c r="G5" s="2563"/>
      <c r="H5" s="2563"/>
      <c r="I5" s="2563"/>
      <c r="J5" s="2563"/>
      <c r="K5" s="2563"/>
      <c r="L5" s="2563"/>
      <c r="M5" s="2563"/>
      <c r="N5" s="2563"/>
      <c r="O5" s="2563"/>
      <c r="P5" s="2563"/>
      <c r="Q5" s="2563"/>
      <c r="R5" s="2563"/>
    </row>
    <row r="6" spans="2:18" x14ac:dyDescent="0.2">
      <c r="B6" s="2586" t="str">
        <f>IF(Présentation!$E$2="Français",'TRAD-Saisie données conso'!D6,IF(Présentation!$E$2="Anglais",'TRAD-Saisie données conso'!F6,""))</f>
        <v>Remarque</v>
      </c>
      <c r="D6" s="2558" t="s">
        <v>67</v>
      </c>
      <c r="E6" s="2563"/>
      <c r="F6" s="2563" t="s">
        <v>1008</v>
      </c>
      <c r="G6" s="2563"/>
      <c r="H6" s="2563"/>
      <c r="I6" s="2563"/>
      <c r="J6" s="2563"/>
      <c r="K6" s="2563"/>
      <c r="L6" s="2563"/>
      <c r="M6" s="2563"/>
      <c r="N6" s="2563"/>
      <c r="O6" s="2563"/>
      <c r="P6" s="2563"/>
      <c r="Q6" s="2563"/>
      <c r="R6" s="2563"/>
    </row>
    <row r="7" spans="2:18" ht="38.25" x14ac:dyDescent="0.2">
      <c r="B7" s="2586" t="str">
        <f>IF(Présentation!$E$2="Français",'TRAD-Saisie données conso'!D7,IF(Présentation!$E$2="Anglais",'TRAD-Saisie données conso'!F7,""))</f>
        <v>La consommation à la baseline doit être ajustée en fonction des ruptures antérieure.</v>
      </c>
      <c r="D7" s="2558" t="s">
        <v>430</v>
      </c>
      <c r="F7" s="2558" t="s">
        <v>1176</v>
      </c>
      <c r="G7" s="2563"/>
      <c r="H7" s="2563"/>
      <c r="I7" s="2563"/>
      <c r="J7" s="2563"/>
      <c r="K7" s="2563"/>
      <c r="L7" s="2563"/>
      <c r="M7" s="2563"/>
      <c r="N7" s="2563"/>
      <c r="O7" s="2563"/>
      <c r="P7" s="2563"/>
      <c r="Q7" s="2563"/>
      <c r="R7" s="2563"/>
    </row>
    <row r="8" spans="2:18" ht="51" x14ac:dyDescent="0.2">
      <c r="B8" s="2586" t="str">
        <f>IF(Présentation!$E$2="Français",'TRAD-Saisie données conso'!D8,IF(Présentation!$E$2="Anglais",'TRAD-Saisie données conso'!F8,""))</f>
        <v>Dans un contexte de croissance des besoins, la CMM n'est pas une donnée adapté, il est préférable de prendre la dernière consommation ajustée.</v>
      </c>
      <c r="D8" s="2558" t="s">
        <v>431</v>
      </c>
      <c r="E8" s="2563"/>
      <c r="F8" s="2563" t="s">
        <v>1177</v>
      </c>
      <c r="G8" s="2563"/>
      <c r="R8" s="2566"/>
    </row>
    <row r="9" spans="2:18" ht="76.5" x14ac:dyDescent="0.2">
      <c r="B9" s="2586" t="str">
        <f>IF(Présentation!$E$2="Français",'TRAD-Saisie données conso'!D9,IF(Présentation!$E$2="Anglais",'TRAD-Saisie données conso'!F9,""))</f>
        <v>En l'absence des données de consommation, il est possible de renseigner des données de distribution. Cependant les données de distribution peuvent surévaluer la consommation réelle.</v>
      </c>
      <c r="D9" s="2558" t="s">
        <v>429</v>
      </c>
      <c r="F9" s="2558" t="s">
        <v>1721</v>
      </c>
      <c r="R9" s="2566"/>
    </row>
    <row r="10" spans="2:18" ht="38.25" x14ac:dyDescent="0.2">
      <c r="B10" s="2586" t="str">
        <f>IF(Présentation!$E$2="Français",'TRAD-Saisie données conso'!D10,IF(Présentation!$E$2="Anglais",'TRAD-Saisie données conso'!F10,""))</f>
        <v>Préciser s'il s'agit de données de consommation ou de distribution en cochant la case correspondante (X)</v>
      </c>
      <c r="D10" s="2558" t="s">
        <v>455</v>
      </c>
      <c r="F10" s="2558" t="s">
        <v>1178</v>
      </c>
      <c r="R10" s="2566"/>
    </row>
    <row r="11" spans="2:18" ht="25.5" x14ac:dyDescent="0.2">
      <c r="B11" s="2586" t="str">
        <f>IF(Présentation!$E$2="Français",'TRAD-Saisie données conso'!D11,IF(Présentation!$E$2="Anglais",'TRAD-Saisie données conso'!F11,""))</f>
        <v>Mentionnez les Consommations en conditionnement primaire (flacon)</v>
      </c>
      <c r="D11" s="2558" t="s">
        <v>443</v>
      </c>
      <c r="F11" s="2558" t="s">
        <v>1179</v>
      </c>
      <c r="O11" s="2624"/>
    </row>
    <row r="12" spans="2:18" x14ac:dyDescent="0.2">
      <c r="B12" s="2586" t="str">
        <f>IF(Présentation!$E$2="Français",'TRAD-Saisie données conso'!D12,IF(Présentation!$E$2="Anglais",'TRAD-Saisie données conso'!F12,""))</f>
        <v>Consommation</v>
      </c>
      <c r="D12" s="2558" t="s">
        <v>453</v>
      </c>
      <c r="F12" s="2558" t="s">
        <v>1722</v>
      </c>
      <c r="O12" s="2624"/>
      <c r="R12" s="2566"/>
    </row>
    <row r="13" spans="2:18" x14ac:dyDescent="0.2">
      <c r="B13" s="2586" t="str">
        <f>IF(Présentation!$E$2="Français",'TRAD-Saisie données conso'!D13,IF(Présentation!$E$2="Anglais",'TRAD-Saisie données conso'!F13,""))</f>
        <v>Distribution</v>
      </c>
      <c r="D13" s="2558" t="s">
        <v>454</v>
      </c>
      <c r="F13" s="2558" t="s">
        <v>454</v>
      </c>
      <c r="R13" s="2566"/>
    </row>
    <row r="14" spans="2:18" x14ac:dyDescent="0.2">
      <c r="B14" s="2586" t="str">
        <f>IF(Présentation!$E$2="Français",'TRAD-Saisie données conso'!D14,IF(Présentation!$E$2="Anglais",'TRAD-Saisie données conso'!F14,""))</f>
        <v>Composition</v>
      </c>
      <c r="D14" s="2563" t="s">
        <v>12</v>
      </c>
      <c r="F14" s="2558" t="s">
        <v>12</v>
      </c>
      <c r="H14" s="2563"/>
      <c r="I14" s="2563"/>
      <c r="J14" s="2563"/>
      <c r="K14" s="2563"/>
      <c r="L14" s="2563"/>
      <c r="M14" s="2563"/>
      <c r="N14" s="2563"/>
      <c r="O14" s="2563"/>
      <c r="P14" s="2563"/>
      <c r="Q14" s="2563"/>
      <c r="R14" s="2563"/>
    </row>
    <row r="15" spans="2:18" x14ac:dyDescent="0.2">
      <c r="B15" s="2586" t="str">
        <f>IF(Présentation!$E$2="Français",'TRAD-Saisie données conso'!D15,IF(Présentation!$E$2="Anglais",'TRAD-Saisie données conso'!F15,""))</f>
        <v>Forme galénique</v>
      </c>
      <c r="D15" s="2563" t="s">
        <v>13</v>
      </c>
      <c r="E15" s="2563"/>
      <c r="F15" s="2563" t="s">
        <v>980</v>
      </c>
      <c r="G15" s="2563"/>
      <c r="N15" s="2563"/>
      <c r="Q15" s="2563"/>
      <c r="R15" s="2563"/>
    </row>
    <row r="16" spans="2:18" x14ac:dyDescent="0.2">
      <c r="B16" s="2586" t="str">
        <f>IF(Présentation!$E$2="Français",'TRAD-Saisie données conso'!D16,IF(Présentation!$E$2="Anglais",'TRAD-Saisie données conso'!F16,""))</f>
        <v>Dosage</v>
      </c>
      <c r="D16" s="2563" t="s">
        <v>14</v>
      </c>
      <c r="E16" s="2563"/>
      <c r="F16" s="2563" t="s">
        <v>981</v>
      </c>
      <c r="G16" s="2563"/>
      <c r="H16" s="2563"/>
      <c r="I16" s="2563"/>
      <c r="J16" s="2563"/>
      <c r="K16" s="2563"/>
      <c r="L16" s="2563"/>
      <c r="M16" s="2554"/>
      <c r="N16" s="2554"/>
      <c r="O16" s="2624"/>
      <c r="P16" s="2648"/>
      <c r="Q16" s="2563"/>
      <c r="R16" s="2563"/>
    </row>
    <row r="17" spans="2:18" x14ac:dyDescent="0.2">
      <c r="B17" s="2586" t="str">
        <f>IF(Présentation!$E$2="Français",'TRAD-Saisie données conso'!D17,IF(Présentation!$E$2="Anglais",'TRAD-Saisie données conso'!F17,""))</f>
        <v>DCI</v>
      </c>
      <c r="D17" s="2563" t="s">
        <v>318</v>
      </c>
      <c r="E17" s="2563"/>
      <c r="F17" s="2563" t="s">
        <v>982</v>
      </c>
      <c r="H17" s="2563"/>
      <c r="I17" s="2563"/>
      <c r="J17" s="2563"/>
      <c r="K17" s="2563"/>
      <c r="L17" s="2563"/>
      <c r="M17" s="2554"/>
      <c r="N17" s="2554"/>
      <c r="O17" s="2624"/>
      <c r="P17" s="2648"/>
      <c r="Q17" s="2563"/>
      <c r="R17" s="2563"/>
    </row>
    <row r="18" spans="2:18" x14ac:dyDescent="0.2">
      <c r="B18" s="2586" t="str">
        <f>IF(Présentation!$E$2="Français",'TRAD-Saisie données conso'!D18,IF(Présentation!$E$2="Anglais",'TRAD-Saisie données conso'!F18,""))</f>
        <v>Conditionnement</v>
      </c>
      <c r="D18" s="2563" t="s">
        <v>96</v>
      </c>
      <c r="E18" s="2563"/>
      <c r="F18" s="2563" t="s">
        <v>986</v>
      </c>
      <c r="G18" s="2563"/>
      <c r="H18" s="2563"/>
      <c r="I18" s="2563"/>
      <c r="J18" s="2563"/>
      <c r="K18" s="2563"/>
      <c r="L18" s="2563"/>
      <c r="M18" s="2554"/>
      <c r="N18" s="2554"/>
      <c r="O18" s="2624"/>
      <c r="P18" s="2648"/>
      <c r="Q18" s="2563"/>
      <c r="R18" s="2563"/>
    </row>
    <row r="19" spans="2:18" x14ac:dyDescent="0.2">
      <c r="B19" s="2586" t="str">
        <f>IF(Présentation!$E$2="Français",'TRAD-Saisie données conso'!D19,IF(Présentation!$E$2="Anglais",'TRAD-Saisie données conso'!F19,""))</f>
        <v>Consommations ajustées à baseline</v>
      </c>
      <c r="D19" s="2558" t="s">
        <v>444</v>
      </c>
      <c r="E19" s="2563"/>
      <c r="F19" s="2563" t="s">
        <v>1186</v>
      </c>
      <c r="G19" s="2563"/>
      <c r="H19" s="2563"/>
      <c r="I19" s="2563"/>
      <c r="J19" s="2563"/>
      <c r="K19" s="2563"/>
      <c r="L19" s="2563"/>
      <c r="M19" s="2554"/>
      <c r="N19" s="2554"/>
      <c r="O19" s="2624"/>
      <c r="P19" s="2648"/>
      <c r="Q19" s="2563"/>
      <c r="R19" s="2563"/>
    </row>
    <row r="20" spans="2:18" x14ac:dyDescent="0.2">
      <c r="B20" s="2586" t="str">
        <f>IF(Présentation!$E$2="Français",'TRAD-Saisie données conso'!D20,IF(Présentation!$E$2="Anglais",'TRAD-Saisie données conso'!F20,""))</f>
        <v>Taux de croissance mensuel (%)</v>
      </c>
      <c r="D20" s="2558" t="s">
        <v>1168</v>
      </c>
      <c r="E20" s="2563"/>
      <c r="F20" s="2563" t="s">
        <v>1172</v>
      </c>
      <c r="G20" s="2563"/>
      <c r="H20" s="2563"/>
      <c r="I20" s="2563"/>
      <c r="J20" s="2563"/>
      <c r="K20" s="2563"/>
      <c r="L20" s="2563"/>
      <c r="M20" s="2554"/>
      <c r="N20" s="2554"/>
      <c r="O20" s="2624"/>
      <c r="P20" s="2648"/>
      <c r="Q20" s="2563"/>
      <c r="R20" s="2563"/>
    </row>
    <row r="21" spans="2:18" x14ac:dyDescent="0.2">
      <c r="B21" s="2586" t="str">
        <f>IF(Présentation!$E$2="Français",'TRAD-Saisie données conso'!D21,IF(Présentation!$E$2="Anglais",'TRAD-Saisie données conso'!F21,""))</f>
        <v>Comprimés</v>
      </c>
      <c r="D21" s="2563" t="s">
        <v>97</v>
      </c>
      <c r="E21" s="2563"/>
      <c r="F21" s="2563" t="s">
        <v>1007</v>
      </c>
      <c r="G21" s="2563"/>
      <c r="H21" s="2563"/>
      <c r="I21" s="2563"/>
      <c r="J21" s="2563"/>
      <c r="K21" s="2563"/>
      <c r="L21" s="2563"/>
      <c r="M21" s="2554"/>
      <c r="N21" s="2554"/>
      <c r="O21" s="2624"/>
      <c r="P21" s="2648"/>
      <c r="Q21" s="2563"/>
      <c r="R21" s="2563"/>
    </row>
    <row r="22" spans="2:18" x14ac:dyDescent="0.2">
      <c r="B22" s="2586" t="str">
        <f>IF(Présentation!$E$2="Français",'TRAD-Saisie données conso'!D22,IF(Présentation!$E$2="Anglais",'TRAD-Saisie données conso'!F22,""))</f>
        <v>Solutions buvables</v>
      </c>
      <c r="D22" s="2563" t="s">
        <v>78</v>
      </c>
      <c r="E22" s="2563"/>
      <c r="F22" s="2563" t="s">
        <v>1251</v>
      </c>
      <c r="G22" s="2563"/>
      <c r="H22" s="2563"/>
      <c r="I22" s="2563"/>
      <c r="J22" s="2563"/>
      <c r="K22" s="2563"/>
      <c r="L22" s="2563"/>
      <c r="M22" s="2554"/>
      <c r="N22" s="2554"/>
      <c r="O22" s="2624"/>
      <c r="P22" s="2648"/>
      <c r="Q22" s="2563"/>
      <c r="R22" s="2563"/>
    </row>
    <row r="23" spans="2:18" x14ac:dyDescent="0.2">
      <c r="B23" s="2586" t="str">
        <f>IF(Présentation!$E$2="Français",'TRAD-Saisie données conso'!D23,IF(Présentation!$E$2="Anglais",'TRAD-Saisie données conso'!F23,""))</f>
        <v>Volume conditionnement primaire (mL)</v>
      </c>
      <c r="D23" s="2563" t="s">
        <v>76</v>
      </c>
      <c r="E23" s="2563"/>
      <c r="F23" s="2563" t="s">
        <v>1173</v>
      </c>
      <c r="G23" s="2563"/>
      <c r="H23" s="2563"/>
      <c r="I23" s="2563"/>
      <c r="J23" s="2563"/>
      <c r="K23" s="2563"/>
      <c r="L23" s="2563"/>
      <c r="M23" s="2554"/>
      <c r="N23" s="2554"/>
      <c r="O23" s="2624"/>
      <c r="P23" s="2648"/>
      <c r="Q23" s="2563"/>
      <c r="R23" s="2563"/>
    </row>
    <row r="24" spans="2:18" x14ac:dyDescent="0.2">
      <c r="B24" s="2586" t="str">
        <f>IF(Présentation!$E$2="Français",'TRAD-Saisie données conso'!D24,IF(Présentation!$E$2="Anglais",'TRAD-Saisie données conso'!F24,""))</f>
        <v>Conditionement secondaire</v>
      </c>
      <c r="D24" s="2563" t="s">
        <v>77</v>
      </c>
      <c r="E24" s="2563"/>
      <c r="F24" s="2563" t="s">
        <v>1259</v>
      </c>
      <c r="G24" s="2563"/>
      <c r="H24" s="2563"/>
      <c r="I24" s="2563"/>
      <c r="J24" s="2563"/>
      <c r="K24" s="2563"/>
      <c r="L24" s="2563"/>
      <c r="M24" s="2554"/>
      <c r="N24" s="2554"/>
      <c r="O24" s="2624"/>
      <c r="P24" s="2648"/>
      <c r="Q24" s="2563"/>
      <c r="R24" s="2563"/>
    </row>
    <row r="25" spans="2:18" ht="25.5" x14ac:dyDescent="0.2">
      <c r="B25" s="2586" t="str">
        <f>IF(Présentation!$E$2="Français",'TRAD-Saisie données conso'!D25,IF(Présentation!$E$2="Anglais",'TRAD-Saisie données conso'!F25,""))</f>
        <v>Consommations ajustées à baseline (en flacon / cdt primaire)</v>
      </c>
      <c r="D25" s="2563" t="s">
        <v>445</v>
      </c>
      <c r="E25" s="2563"/>
      <c r="F25" s="2563" t="s">
        <v>1180</v>
      </c>
      <c r="G25" s="2563"/>
      <c r="H25" s="2563"/>
      <c r="I25" s="2563"/>
      <c r="J25" s="2563"/>
      <c r="K25" s="2563"/>
      <c r="L25" s="2563"/>
      <c r="M25" s="2554"/>
      <c r="N25" s="2554"/>
      <c r="O25" s="2624"/>
      <c r="P25" s="2648"/>
      <c r="Q25" s="2563"/>
      <c r="R25" s="2563"/>
    </row>
    <row r="26" spans="2:18" ht="38.25" x14ac:dyDescent="0.2">
      <c r="B26" s="2586" t="str">
        <f>IF(Présentation!$E$2="Français",'TRAD-Saisie données conso'!D26,IF(Présentation!$E$2="Anglais",'TRAD-Saisie données conso'!F26,""))</f>
        <v>Le Darunavir existe en 300mg et en 600mg, bien s'assurer de la forme sélectionnée</v>
      </c>
      <c r="D26" s="2563" t="s">
        <v>609</v>
      </c>
      <c r="E26" s="2563"/>
      <c r="F26" s="2563" t="s">
        <v>1181</v>
      </c>
      <c r="G26" s="2563"/>
      <c r="H26" s="2563"/>
      <c r="I26" s="2563"/>
      <c r="J26" s="2563"/>
      <c r="K26" s="2563"/>
      <c r="L26" s="2563"/>
      <c r="M26" s="2554"/>
      <c r="N26" s="2554"/>
      <c r="O26" s="2624"/>
      <c r="P26" s="2648"/>
      <c r="Q26" s="2563"/>
      <c r="R26" s="2563"/>
    </row>
    <row r="27" spans="2:18" x14ac:dyDescent="0.2">
      <c r="B27" s="2586" t="str">
        <f>IF(Présentation!$E$2="Français",'TRAD-Saisie données conso'!D27,IF(Présentation!$E$2="Anglais",'TRAD-Saisie données conso'!F27,""))</f>
        <v>Taux de croissance (%)</v>
      </c>
      <c r="D27" s="2563" t="s">
        <v>272</v>
      </c>
      <c r="E27" s="2563"/>
      <c r="F27" s="2563" t="s">
        <v>1174</v>
      </c>
      <c r="G27" s="2563"/>
      <c r="H27" s="2563"/>
      <c r="I27" s="2563"/>
      <c r="J27" s="2563"/>
      <c r="K27" s="2563"/>
      <c r="L27" s="2563"/>
      <c r="M27" s="2563"/>
      <c r="N27" s="2563"/>
      <c r="O27" s="2563"/>
      <c r="P27" s="2563"/>
      <c r="Q27" s="2563"/>
      <c r="R27" s="2563"/>
    </row>
    <row r="28" spans="2:18" x14ac:dyDescent="0.2">
      <c r="B28" s="2586" t="str">
        <f>IF(Présentation!$E$2="Français",'TRAD-Saisie données conso'!D28,IF(Présentation!$E$2="Anglais",'TRAD-Saisie données conso'!F28,""))</f>
        <v>Etape 2 : Représentations visuelles</v>
      </c>
      <c r="D28" s="2563" t="s">
        <v>1169</v>
      </c>
      <c r="E28" s="2563"/>
      <c r="F28" s="2563" t="s">
        <v>1683</v>
      </c>
      <c r="G28" s="2563"/>
      <c r="H28" s="2563"/>
      <c r="I28" s="2563"/>
      <c r="J28" s="2563"/>
      <c r="K28" s="2563"/>
      <c r="L28" s="2563"/>
      <c r="M28" s="2563"/>
      <c r="N28" s="2563"/>
      <c r="O28" s="2563"/>
      <c r="P28" s="2563"/>
      <c r="Q28" s="2563"/>
      <c r="R28" s="2563"/>
    </row>
    <row r="29" spans="2:18" ht="76.5" x14ac:dyDescent="0.2">
      <c r="B29" s="2586" t="str">
        <f>IF(Présentation!$E$2="Français",'TRAD-Saisie données conso'!D29,IF(Présentation!$E$2="Anglais",'TRAD-Saisie données conso'!F29,""))</f>
        <v>Pour les représentations visuelles faites à partir des données de conso/distri, sur quelles sources de données souhaitez vous faire apparaître le nombre de patients sous traitement pour chaque ARV?</v>
      </c>
      <c r="D29" s="2563" t="s">
        <v>1182</v>
      </c>
      <c r="E29" s="2563"/>
      <c r="F29" s="2563" t="s">
        <v>1183</v>
      </c>
      <c r="G29" s="2563"/>
      <c r="H29" s="2563"/>
      <c r="I29" s="2563"/>
      <c r="J29" s="2563"/>
      <c r="K29" s="2563"/>
      <c r="L29" s="2563"/>
      <c r="M29" s="2563"/>
      <c r="N29" s="2563"/>
      <c r="O29" s="2563"/>
      <c r="P29" s="2563"/>
      <c r="Q29" s="2563"/>
      <c r="R29" s="2563"/>
    </row>
    <row r="30" spans="2:18" ht="63.75" x14ac:dyDescent="0.2">
      <c r="B30" s="2586" t="str">
        <f>IF(Présentation!$E$2="Français",'TRAD-Saisie données conso'!D30,IF(Présentation!$E$2="Anglais",'TRAD-Saisie données conso'!F30,""))</f>
        <v>Préciser si vous voulez que le nombre de patients sous traitement soit obtenus par les données de file actives ou par extrapolation des données de consommation (cocher la case par un X)</v>
      </c>
      <c r="D30" s="2563" t="s">
        <v>582</v>
      </c>
      <c r="F30" s="2563" t="s">
        <v>1184</v>
      </c>
      <c r="G30" s="2563"/>
      <c r="H30" s="2563"/>
      <c r="I30" s="2563"/>
      <c r="J30" s="2563"/>
      <c r="K30" s="2563"/>
      <c r="L30" s="2563"/>
      <c r="M30" s="2563"/>
      <c r="N30" s="2563"/>
      <c r="O30" s="2563"/>
      <c r="P30" s="2563"/>
      <c r="Q30" s="2563"/>
      <c r="R30" s="2563"/>
    </row>
    <row r="31" spans="2:18" ht="25.5" x14ac:dyDescent="0.2">
      <c r="B31" s="2586" t="str">
        <f>IF(Présentation!$E$2="Français",'TRAD-Saisie données conso'!D31,IF(Présentation!$E$2="Anglais",'TRAD-Saisie données conso'!F31,""))</f>
        <v>Nombre de patients d'après données de file active</v>
      </c>
      <c r="D31" s="2563" t="s">
        <v>581</v>
      </c>
      <c r="E31" s="2563"/>
      <c r="F31" s="2563" t="s">
        <v>1208</v>
      </c>
      <c r="G31" s="2563"/>
      <c r="H31" s="2563"/>
      <c r="I31" s="2563"/>
      <c r="J31" s="2563"/>
      <c r="K31" s="2563"/>
      <c r="L31" s="2563"/>
      <c r="M31" s="2563"/>
      <c r="N31" s="2563"/>
      <c r="O31" s="2563"/>
      <c r="P31" s="2563"/>
      <c r="Q31" s="2563"/>
      <c r="R31" s="2563"/>
    </row>
    <row r="32" spans="2:18" ht="25.5" x14ac:dyDescent="0.2">
      <c r="B32" s="2586" t="str">
        <f>IF(Présentation!$E$2="Français",'TRAD-Saisie données conso'!D32,IF(Présentation!$E$2="Anglais",'TRAD-Saisie données conso'!F32,""))</f>
        <v>Nombre de patients extrapolé des données de consommation</v>
      </c>
      <c r="D32" s="2563" t="s">
        <v>580</v>
      </c>
      <c r="E32" s="2563"/>
      <c r="F32" s="2558" t="s">
        <v>1185</v>
      </c>
      <c r="G32" s="2563"/>
      <c r="H32" s="2563"/>
      <c r="I32" s="2563"/>
      <c r="J32" s="2563"/>
      <c r="K32" s="2563"/>
      <c r="L32" s="2563"/>
      <c r="M32" s="2563"/>
      <c r="N32" s="2563"/>
      <c r="O32" s="2563"/>
      <c r="P32" s="2563"/>
      <c r="Q32" s="2563"/>
      <c r="R32" s="2563"/>
    </row>
    <row r="33" spans="4:18" x14ac:dyDescent="0.2">
      <c r="D33" s="2563"/>
      <c r="E33" s="2563"/>
      <c r="F33" s="2563"/>
      <c r="H33" s="2563"/>
      <c r="I33" s="2563"/>
      <c r="J33" s="2563"/>
      <c r="K33" s="2624"/>
      <c r="L33" s="2563"/>
      <c r="M33" s="2563"/>
      <c r="N33" s="2563"/>
      <c r="O33" s="2563"/>
      <c r="P33" s="2563"/>
      <c r="Q33" s="2563"/>
      <c r="R33" s="2563"/>
    </row>
    <row r="34" spans="4:18" x14ac:dyDescent="0.2">
      <c r="D34" s="2563"/>
      <c r="E34" s="2563"/>
      <c r="F34" s="2563"/>
      <c r="G34" s="2563"/>
      <c r="H34" s="2563"/>
      <c r="I34" s="2563"/>
      <c r="J34" s="2563"/>
      <c r="K34" s="2563"/>
      <c r="L34" s="2563"/>
      <c r="M34" s="2563"/>
      <c r="N34" s="2563"/>
      <c r="O34" s="2563"/>
      <c r="P34" s="2563"/>
      <c r="Q34" s="2563"/>
      <c r="R34" s="2563"/>
    </row>
    <row r="35" spans="4:18" x14ac:dyDescent="0.2">
      <c r="D35" s="2563"/>
      <c r="E35" s="2563"/>
      <c r="F35" s="2563"/>
      <c r="G35" s="2563"/>
      <c r="H35" s="2563"/>
      <c r="I35" s="2563"/>
      <c r="J35" s="2563"/>
      <c r="K35" s="2563"/>
      <c r="L35" s="2563"/>
      <c r="M35" s="2554"/>
      <c r="N35" s="2554"/>
      <c r="O35" s="2624"/>
      <c r="P35" s="2648"/>
      <c r="Q35" s="2563"/>
      <c r="R35" s="2563"/>
    </row>
    <row r="36" spans="4:18" x14ac:dyDescent="0.2">
      <c r="D36" s="2563"/>
      <c r="E36" s="2563"/>
      <c r="F36" s="2563"/>
      <c r="G36" s="2563"/>
      <c r="H36" s="2563"/>
      <c r="I36" s="2563"/>
      <c r="J36" s="2563"/>
      <c r="K36" s="2563"/>
      <c r="L36" s="2563"/>
      <c r="M36" s="2554"/>
      <c r="N36" s="2554"/>
      <c r="O36" s="2624"/>
      <c r="P36" s="2648"/>
      <c r="Q36" s="2563"/>
      <c r="R36" s="2563"/>
    </row>
    <row r="37" spans="4:18" x14ac:dyDescent="0.2">
      <c r="D37" s="2563"/>
      <c r="E37" s="2563"/>
      <c r="F37" s="2563"/>
      <c r="G37" s="2563"/>
      <c r="H37" s="2563"/>
      <c r="I37" s="2563"/>
      <c r="J37" s="2563"/>
      <c r="K37" s="2563"/>
      <c r="L37" s="2563"/>
      <c r="M37" s="2554"/>
      <c r="N37" s="2554"/>
      <c r="O37" s="2624"/>
      <c r="P37" s="2648"/>
      <c r="Q37" s="2563"/>
      <c r="R37" s="2563"/>
    </row>
    <row r="38" spans="4:18" x14ac:dyDescent="0.2">
      <c r="D38" s="2563"/>
      <c r="E38" s="2563"/>
      <c r="F38" s="2563"/>
      <c r="G38" s="2563"/>
      <c r="H38" s="2563"/>
      <c r="I38" s="2563"/>
      <c r="J38" s="2563"/>
      <c r="K38" s="2563"/>
      <c r="L38" s="2563"/>
      <c r="M38" s="2554"/>
      <c r="N38" s="2554"/>
      <c r="O38" s="2624"/>
      <c r="P38" s="2648"/>
      <c r="Q38" s="2563"/>
      <c r="R38" s="2563"/>
    </row>
    <row r="39" spans="4:18" x14ac:dyDescent="0.2">
      <c r="D39" s="2563"/>
      <c r="E39" s="2563"/>
      <c r="F39" s="2563"/>
      <c r="G39" s="2563"/>
      <c r="H39" s="2563"/>
      <c r="I39" s="2563"/>
      <c r="J39" s="2563"/>
      <c r="K39" s="2563"/>
      <c r="L39" s="2563"/>
      <c r="M39" s="2554"/>
      <c r="N39" s="2554"/>
      <c r="O39" s="2624"/>
      <c r="P39" s="2648"/>
      <c r="Q39" s="2563"/>
      <c r="R39" s="2563"/>
    </row>
    <row r="40" spans="4:18" x14ac:dyDescent="0.2">
      <c r="D40" s="2563"/>
      <c r="E40" s="2563"/>
      <c r="F40" s="2563"/>
      <c r="G40" s="2563"/>
      <c r="H40" s="2563"/>
      <c r="I40" s="2563"/>
      <c r="J40" s="2563"/>
      <c r="K40" s="2563"/>
      <c r="L40" s="2563"/>
      <c r="M40" s="2554"/>
      <c r="N40" s="2554"/>
      <c r="O40" s="2624"/>
      <c r="P40" s="2648"/>
      <c r="Q40" s="2563"/>
      <c r="R40" s="2563"/>
    </row>
    <row r="41" spans="4:18" x14ac:dyDescent="0.2">
      <c r="D41" s="2563"/>
      <c r="E41" s="2563"/>
      <c r="F41" s="2563"/>
      <c r="G41" s="2563"/>
      <c r="H41" s="2563"/>
      <c r="I41" s="2554"/>
      <c r="J41" s="2554"/>
      <c r="K41" s="2554"/>
      <c r="L41" s="2554"/>
      <c r="M41" s="2554"/>
      <c r="N41" s="2554"/>
      <c r="O41" s="2624"/>
      <c r="P41" s="2648"/>
      <c r="Q41" s="2563"/>
      <c r="R41" s="2563"/>
    </row>
    <row r="42" spans="4:18" x14ac:dyDescent="0.2">
      <c r="D42" s="2563"/>
      <c r="E42" s="2563"/>
      <c r="F42" s="2563"/>
      <c r="G42" s="2563"/>
      <c r="H42" s="2563"/>
      <c r="I42" s="2563"/>
      <c r="J42" s="2563"/>
      <c r="K42" s="2563"/>
      <c r="L42" s="2563"/>
      <c r="M42" s="2554"/>
      <c r="N42" s="2554"/>
      <c r="O42" s="2624"/>
      <c r="P42" s="2648"/>
      <c r="Q42" s="2563"/>
      <c r="R42" s="2563"/>
    </row>
    <row r="43" spans="4:18" x14ac:dyDescent="0.2">
      <c r="D43" s="2563"/>
      <c r="E43" s="2563"/>
      <c r="F43" s="2563"/>
      <c r="G43" s="2563"/>
      <c r="H43" s="2563"/>
      <c r="I43" s="2563"/>
      <c r="J43" s="2563"/>
      <c r="K43" s="2563"/>
      <c r="L43" s="2563"/>
      <c r="M43" s="2554"/>
      <c r="N43" s="2554"/>
      <c r="O43" s="2624"/>
      <c r="P43" s="2648"/>
      <c r="Q43" s="2563"/>
      <c r="R43" s="2563"/>
    </row>
    <row r="44" spans="4:18" x14ac:dyDescent="0.2">
      <c r="D44" s="2563"/>
      <c r="E44" s="2563"/>
      <c r="F44" s="2563"/>
      <c r="G44" s="2563"/>
      <c r="H44" s="2563"/>
      <c r="I44" s="2563"/>
      <c r="J44" s="2563"/>
      <c r="K44" s="2563"/>
      <c r="L44" s="2563"/>
      <c r="M44" s="2554"/>
      <c r="N44" s="2554"/>
      <c r="O44" s="2624"/>
      <c r="P44" s="2648"/>
      <c r="Q44" s="2563"/>
      <c r="R44" s="2563"/>
    </row>
    <row r="45" spans="4:18" x14ac:dyDescent="0.2">
      <c r="D45" s="2563"/>
      <c r="E45" s="2563"/>
      <c r="F45" s="2563"/>
      <c r="G45" s="2563"/>
      <c r="H45" s="2563"/>
      <c r="I45" s="2563"/>
      <c r="J45" s="2563"/>
      <c r="K45" s="2563"/>
      <c r="L45" s="2563"/>
      <c r="M45" s="2554"/>
      <c r="N45" s="2554"/>
      <c r="O45" s="2624"/>
      <c r="P45" s="2648"/>
      <c r="Q45" s="2563"/>
      <c r="R45" s="2563"/>
    </row>
    <row r="46" spans="4:18" x14ac:dyDescent="0.2">
      <c r="D46" s="2563"/>
      <c r="E46" s="2563"/>
      <c r="F46" s="2563"/>
      <c r="G46" s="2563"/>
      <c r="H46" s="2563"/>
      <c r="I46" s="2563"/>
      <c r="J46" s="2563"/>
      <c r="K46" s="2563"/>
      <c r="L46" s="2563"/>
      <c r="M46" s="2554"/>
      <c r="N46" s="2554"/>
      <c r="O46" s="2624"/>
      <c r="P46" s="2648"/>
      <c r="Q46" s="2563"/>
      <c r="R46" s="2563"/>
    </row>
    <row r="47" spans="4:18" x14ac:dyDescent="0.2">
      <c r="D47" s="2563"/>
      <c r="E47" s="2563"/>
      <c r="F47" s="2563"/>
      <c r="G47" s="2563"/>
      <c r="H47" s="2563"/>
      <c r="I47" s="2563"/>
      <c r="J47" s="2563"/>
      <c r="K47" s="2563"/>
      <c r="L47" s="2563"/>
      <c r="M47" s="2554"/>
      <c r="N47" s="2554"/>
      <c r="O47" s="2624"/>
      <c r="P47" s="2648"/>
      <c r="Q47" s="2563"/>
      <c r="R47" s="2563"/>
    </row>
    <row r="48" spans="4:18" x14ac:dyDescent="0.2">
      <c r="D48" s="2563"/>
      <c r="E48" s="2563"/>
      <c r="F48" s="2563"/>
      <c r="G48" s="2563"/>
      <c r="H48" s="2563"/>
      <c r="I48" s="2563"/>
      <c r="J48" s="2563"/>
      <c r="K48" s="2563"/>
      <c r="L48" s="2563"/>
      <c r="M48" s="2554"/>
      <c r="N48" s="2554"/>
      <c r="O48" s="2624"/>
      <c r="P48" s="2648"/>
      <c r="Q48" s="2563"/>
      <c r="R48" s="2563"/>
    </row>
    <row r="49" spans="4:18" x14ac:dyDescent="0.2">
      <c r="D49" s="2563"/>
      <c r="E49" s="2563"/>
      <c r="F49" s="2563"/>
      <c r="G49" s="2563"/>
      <c r="H49" s="2563"/>
      <c r="I49" s="2563"/>
      <c r="J49" s="2563"/>
      <c r="K49" s="2563"/>
      <c r="L49" s="2563"/>
      <c r="M49" s="2554"/>
      <c r="N49" s="2554"/>
      <c r="O49" s="2624"/>
      <c r="P49" s="2648"/>
      <c r="Q49" s="2563"/>
      <c r="R49" s="2563"/>
    </row>
    <row r="50" spans="4:18" x14ac:dyDescent="0.2">
      <c r="D50" s="2563"/>
      <c r="E50" s="2563"/>
      <c r="F50" s="2563"/>
      <c r="G50" s="2563"/>
      <c r="H50" s="2563"/>
      <c r="I50" s="2563"/>
      <c r="J50" s="2563"/>
      <c r="K50" s="2563"/>
      <c r="L50" s="2563"/>
      <c r="M50" s="2554"/>
      <c r="N50" s="2554"/>
      <c r="O50" s="2624"/>
      <c r="P50" s="2648"/>
      <c r="Q50" s="2563"/>
      <c r="R50" s="2563"/>
    </row>
    <row r="51" spans="4:18" x14ac:dyDescent="0.2">
      <c r="D51" s="2563"/>
      <c r="E51" s="2563"/>
      <c r="F51" s="2563"/>
      <c r="G51" s="2563"/>
      <c r="H51" s="2563"/>
      <c r="I51" s="2563"/>
      <c r="J51" s="2563"/>
      <c r="K51" s="2563"/>
      <c r="L51" s="2563"/>
      <c r="M51" s="2554"/>
      <c r="N51" s="2554"/>
      <c r="O51" s="2624"/>
      <c r="P51" s="2648"/>
      <c r="Q51" s="2563"/>
      <c r="R51" s="2563"/>
    </row>
    <row r="52" spans="4:18" x14ac:dyDescent="0.2">
      <c r="D52" s="2563"/>
      <c r="E52" s="2563"/>
      <c r="F52" s="2563"/>
      <c r="G52" s="2563"/>
      <c r="H52" s="2563"/>
      <c r="I52" s="2563"/>
      <c r="J52" s="2563"/>
      <c r="K52" s="2563"/>
      <c r="L52" s="2563"/>
      <c r="M52" s="2554"/>
      <c r="N52" s="2554"/>
      <c r="O52" s="2624"/>
      <c r="P52" s="2648"/>
      <c r="Q52" s="2563"/>
      <c r="R52" s="2563"/>
    </row>
    <row r="53" spans="4:18" x14ac:dyDescent="0.2">
      <c r="D53" s="2563"/>
      <c r="E53" s="2563"/>
      <c r="F53" s="2563"/>
      <c r="G53" s="2563"/>
      <c r="H53" s="2563"/>
      <c r="I53" s="2563"/>
      <c r="J53" s="2563"/>
      <c r="K53" s="2563"/>
      <c r="L53" s="2563"/>
      <c r="M53" s="2554"/>
      <c r="N53" s="2554"/>
      <c r="O53" s="2624"/>
      <c r="P53" s="2648"/>
      <c r="Q53" s="2563"/>
      <c r="R53" s="2563"/>
    </row>
    <row r="54" spans="4:18" x14ac:dyDescent="0.2">
      <c r="D54" s="2563"/>
      <c r="E54" s="2563"/>
      <c r="F54" s="2563"/>
      <c r="G54" s="2563"/>
      <c r="H54" s="2563"/>
      <c r="I54" s="2563"/>
      <c r="J54" s="2563"/>
      <c r="K54" s="2563"/>
      <c r="L54" s="2563"/>
      <c r="M54" s="2554"/>
      <c r="N54" s="2554"/>
      <c r="O54" s="2624"/>
      <c r="P54" s="2648"/>
      <c r="Q54" s="2563"/>
      <c r="R54" s="2563"/>
    </row>
    <row r="55" spans="4:18" x14ac:dyDescent="0.2">
      <c r="D55" s="2563"/>
      <c r="E55" s="2563"/>
      <c r="F55" s="2563"/>
      <c r="G55" s="2563"/>
      <c r="H55" s="2563"/>
      <c r="I55" s="2563"/>
      <c r="J55" s="2563"/>
      <c r="K55" s="2563"/>
      <c r="L55" s="2563"/>
      <c r="M55" s="2554"/>
      <c r="N55" s="2554"/>
      <c r="O55" s="2624"/>
      <c r="P55" s="2648"/>
      <c r="Q55" s="2563"/>
      <c r="R55" s="2563"/>
    </row>
    <row r="56" spans="4:18" x14ac:dyDescent="0.2">
      <c r="D56" s="2563"/>
      <c r="E56" s="2563"/>
      <c r="F56" s="2563"/>
      <c r="G56" s="2563"/>
      <c r="H56" s="2563"/>
      <c r="I56" s="2563"/>
      <c r="J56" s="2563"/>
      <c r="K56" s="2563"/>
      <c r="L56" s="2563"/>
      <c r="Q56" s="2563"/>
      <c r="R56" s="2563"/>
    </row>
    <row r="57" spans="4:18" x14ac:dyDescent="0.2">
      <c r="D57" s="2563"/>
      <c r="E57" s="2563"/>
      <c r="F57" s="2563"/>
      <c r="H57" s="2563"/>
      <c r="I57" s="2563"/>
      <c r="J57" s="2563"/>
      <c r="K57" s="2563"/>
      <c r="L57" s="2563"/>
      <c r="M57" s="2554"/>
      <c r="N57" s="2554"/>
      <c r="O57" s="2624"/>
      <c r="P57" s="2648"/>
      <c r="Q57" s="2563"/>
      <c r="R57" s="2563"/>
    </row>
    <row r="58" spans="4:18" x14ac:dyDescent="0.2">
      <c r="D58" s="2563"/>
      <c r="E58" s="2563"/>
      <c r="F58" s="2563"/>
      <c r="G58" s="2563"/>
      <c r="H58" s="2563"/>
      <c r="I58" s="2563"/>
      <c r="J58" s="2563"/>
      <c r="K58" s="2563"/>
      <c r="L58" s="2563"/>
      <c r="M58" s="2554"/>
      <c r="N58" s="2554"/>
      <c r="O58" s="2624"/>
      <c r="P58" s="2648"/>
      <c r="Q58" s="2563"/>
      <c r="R58" s="2563"/>
    </row>
    <row r="59" spans="4:18" x14ac:dyDescent="0.2">
      <c r="D59" s="2563"/>
      <c r="E59" s="2563"/>
      <c r="F59" s="2563"/>
      <c r="G59" s="2563"/>
      <c r="H59" s="2563"/>
      <c r="I59" s="2563"/>
      <c r="J59" s="2563"/>
      <c r="K59" s="2563"/>
      <c r="L59" s="2563"/>
      <c r="M59" s="2554"/>
      <c r="N59" s="2554"/>
      <c r="O59" s="2624"/>
      <c r="P59" s="2648"/>
      <c r="Q59" s="2563"/>
      <c r="R59" s="2563"/>
    </row>
    <row r="60" spans="4:18" x14ac:dyDescent="0.2">
      <c r="D60" s="2563"/>
      <c r="E60" s="2563"/>
      <c r="F60" s="2563"/>
      <c r="G60" s="2563"/>
      <c r="H60" s="2563"/>
      <c r="I60" s="2563"/>
      <c r="J60" s="2563"/>
      <c r="K60" s="2563"/>
      <c r="L60" s="2563"/>
      <c r="M60" s="2554"/>
      <c r="N60" s="2554"/>
      <c r="O60" s="2624"/>
      <c r="P60" s="2648"/>
      <c r="Q60" s="2563"/>
      <c r="R60" s="2563"/>
    </row>
    <row r="61" spans="4:18" x14ac:dyDescent="0.2">
      <c r="D61" s="2563"/>
      <c r="E61" s="2563"/>
      <c r="F61" s="2563"/>
      <c r="G61" s="2563"/>
      <c r="H61" s="2563"/>
      <c r="I61" s="2563"/>
      <c r="J61" s="2563"/>
      <c r="K61" s="2563"/>
      <c r="L61" s="2563"/>
      <c r="M61" s="2554"/>
      <c r="N61" s="2554"/>
      <c r="O61" s="2624"/>
      <c r="P61" s="2648"/>
      <c r="Q61" s="2563"/>
      <c r="R61" s="2563"/>
    </row>
    <row r="62" spans="4:18" x14ac:dyDescent="0.2">
      <c r="D62" s="2563"/>
      <c r="E62" s="2563"/>
      <c r="F62" s="2563"/>
      <c r="G62" s="2563"/>
      <c r="H62" s="2563"/>
      <c r="I62" s="2563"/>
      <c r="J62" s="2563"/>
      <c r="K62" s="2563"/>
      <c r="L62" s="2563"/>
      <c r="M62" s="2554"/>
      <c r="N62" s="2554"/>
      <c r="O62" s="2624"/>
      <c r="P62" s="2648"/>
      <c r="Q62" s="2563"/>
      <c r="R62" s="2563"/>
    </row>
    <row r="63" spans="4:18" x14ac:dyDescent="0.2">
      <c r="D63" s="2563"/>
      <c r="E63" s="2563"/>
      <c r="F63" s="2563"/>
      <c r="G63" s="2563"/>
      <c r="H63" s="2563"/>
      <c r="I63" s="2563"/>
      <c r="J63" s="2563"/>
      <c r="K63" s="2563"/>
      <c r="L63" s="2563"/>
      <c r="M63" s="2554"/>
      <c r="N63" s="2554"/>
      <c r="O63" s="2624"/>
      <c r="P63" s="2648"/>
      <c r="Q63" s="2563"/>
      <c r="R63" s="2563"/>
    </row>
    <row r="64" spans="4:18" x14ac:dyDescent="0.2">
      <c r="D64" s="2563"/>
      <c r="E64" s="2563"/>
      <c r="F64" s="2563"/>
      <c r="G64" s="2563"/>
      <c r="H64" s="2563"/>
      <c r="I64" s="2563"/>
      <c r="J64" s="2563"/>
      <c r="K64" s="2563"/>
      <c r="L64" s="2563"/>
      <c r="M64" s="2554"/>
      <c r="N64" s="2554"/>
      <c r="O64" s="2624"/>
      <c r="P64" s="2648"/>
      <c r="Q64" s="2563"/>
      <c r="R64" s="2563"/>
    </row>
    <row r="65" spans="4:18" x14ac:dyDescent="0.2">
      <c r="D65" s="2563"/>
      <c r="E65" s="2563"/>
      <c r="F65" s="2563"/>
      <c r="G65" s="2565"/>
      <c r="H65" s="2593"/>
      <c r="I65" s="2562"/>
      <c r="J65" s="2562"/>
      <c r="K65" s="2562"/>
      <c r="L65" s="2563"/>
      <c r="M65" s="2563"/>
      <c r="N65" s="2649"/>
      <c r="O65" s="2650"/>
      <c r="P65" s="2651"/>
      <c r="Q65" s="2652"/>
      <c r="R65" s="2563"/>
    </row>
    <row r="66" spans="4:18" x14ac:dyDescent="0.2">
      <c r="D66" s="2563"/>
      <c r="E66" s="2563"/>
      <c r="F66" s="2563"/>
      <c r="G66" s="2565"/>
      <c r="H66" s="2593" t="s">
        <v>608</v>
      </c>
      <c r="J66" s="2562"/>
      <c r="K66" s="2562"/>
      <c r="L66" s="2563"/>
      <c r="M66" s="2563"/>
      <c r="N66" s="2649"/>
      <c r="O66" s="2650"/>
      <c r="P66" s="2651"/>
      <c r="Q66" s="2652"/>
      <c r="R66" s="2563"/>
    </row>
    <row r="67" spans="4:18" x14ac:dyDescent="0.2">
      <c r="D67" s="2563"/>
      <c r="E67" s="2563"/>
      <c r="F67" s="2563"/>
      <c r="G67" s="2565"/>
      <c r="H67" s="2593"/>
      <c r="I67" s="2562"/>
      <c r="J67" s="2562"/>
      <c r="K67" s="2562"/>
      <c r="L67" s="2563"/>
      <c r="M67" s="2563"/>
      <c r="N67" s="2649"/>
      <c r="O67" s="2650"/>
      <c r="P67" s="2651"/>
      <c r="Q67" s="2652"/>
      <c r="R67" s="2563"/>
    </row>
    <row r="68" spans="4:18" x14ac:dyDescent="0.2">
      <c r="D68" s="2563"/>
      <c r="E68" s="2563"/>
      <c r="F68" s="2563"/>
      <c r="G68" s="2565"/>
      <c r="H68" s="2593"/>
      <c r="I68" s="2562"/>
      <c r="J68" s="2562"/>
      <c r="K68" s="2562"/>
      <c r="L68" s="2563"/>
      <c r="M68" s="2563"/>
      <c r="N68" s="2649"/>
      <c r="O68" s="2650"/>
      <c r="P68" s="2651"/>
      <c r="Q68" s="2652"/>
      <c r="R68" s="2563"/>
    </row>
    <row r="69" spans="4:18" x14ac:dyDescent="0.2">
      <c r="D69" s="2563"/>
    </row>
    <row r="70" spans="4:18" x14ac:dyDescent="0.2">
      <c r="D70" s="2563"/>
    </row>
    <row r="71" spans="4:18" x14ac:dyDescent="0.2">
      <c r="D71" s="2563"/>
    </row>
    <row r="72" spans="4:18" x14ac:dyDescent="0.2">
      <c r="D72" s="2563"/>
    </row>
    <row r="73" spans="4:18" x14ac:dyDescent="0.2">
      <c r="D73" s="2563"/>
    </row>
    <row r="74" spans="4:18" x14ac:dyDescent="0.2">
      <c r="D74" s="2563"/>
    </row>
    <row r="75" spans="4:18" x14ac:dyDescent="0.2">
      <c r="D75" s="2563"/>
    </row>
    <row r="76" spans="4:18" x14ac:dyDescent="0.2">
      <c r="D76" s="2563"/>
    </row>
    <row r="77" spans="4:18" x14ac:dyDescent="0.2">
      <c r="D77" s="2563"/>
    </row>
    <row r="78" spans="4:18" x14ac:dyDescent="0.2">
      <c r="D78" s="2563"/>
      <c r="E78" s="2563"/>
      <c r="F78" s="2563"/>
      <c r="G78" s="2563"/>
      <c r="H78" s="2563"/>
      <c r="I78" s="2563"/>
      <c r="J78" s="2563"/>
      <c r="K78" s="2563"/>
      <c r="L78" s="2563"/>
      <c r="M78" s="2563"/>
      <c r="N78" s="2563"/>
      <c r="O78" s="2563"/>
      <c r="P78" s="2563"/>
      <c r="Q78" s="2563"/>
      <c r="R78" s="2563"/>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93366"/>
  </sheetPr>
  <dimension ref="A2:AX519"/>
  <sheetViews>
    <sheetView showGridLines="0" topLeftCell="A260" zoomScale="80" zoomScaleNormal="80" workbookViewId="0">
      <selection activeCell="A260" sqref="A1:XFD1048576"/>
    </sheetView>
  </sheetViews>
  <sheetFormatPr defaultColWidth="11.42578125" defaultRowHeight="12.75" x14ac:dyDescent="0.2"/>
  <cols>
    <col min="1" max="1" width="6.28515625" style="356" customWidth="1"/>
    <col min="2" max="2" width="6.42578125" style="356" customWidth="1"/>
    <col min="3" max="3" width="10" style="356" customWidth="1"/>
    <col min="4" max="4" width="24.5703125" style="356" bestFit="1" customWidth="1"/>
    <col min="5" max="5" width="18.7109375" style="356" bestFit="1" customWidth="1"/>
    <col min="6" max="6" width="11.42578125" style="356"/>
    <col min="7" max="7" width="13.28515625" style="356" customWidth="1"/>
    <col min="8" max="8" width="14.42578125" style="356" customWidth="1"/>
    <col min="9" max="12" width="11.42578125" style="356"/>
    <col min="13" max="13" width="17.28515625" style="356" bestFit="1" customWidth="1"/>
    <col min="14" max="16384" width="11.42578125" style="356"/>
  </cols>
  <sheetData>
    <row r="2" spans="3:50" s="881" customFormat="1" ht="13.5" thickBot="1" x14ac:dyDescent="0.25">
      <c r="D2" s="882"/>
      <c r="E2" s="882" t="str">
        <f>'TRAD-Calculs'!B2</f>
        <v>Formes solides (cp/gél/caps)</v>
      </c>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row>
    <row r="3" spans="3:50" s="883" customFormat="1" ht="15.75" customHeight="1" thickBot="1" x14ac:dyDescent="0.25">
      <c r="D3" s="884"/>
      <c r="E3" s="1686" t="s">
        <v>15</v>
      </c>
      <c r="F3" s="1687"/>
      <c r="G3" s="1687"/>
      <c r="H3" s="1687"/>
      <c r="I3" s="1687"/>
      <c r="J3" s="1687"/>
      <c r="K3" s="1687"/>
      <c r="L3" s="1687"/>
      <c r="M3" s="1687"/>
      <c r="N3" s="1687"/>
      <c r="O3" s="1687"/>
      <c r="P3" s="1687"/>
      <c r="Q3" s="1687"/>
      <c r="R3" s="1688"/>
      <c r="S3" s="1687"/>
      <c r="T3" s="1686" t="s">
        <v>26</v>
      </c>
      <c r="U3" s="1687"/>
      <c r="V3" s="1687"/>
      <c r="W3" s="1687"/>
      <c r="X3" s="1688"/>
      <c r="Y3" s="1687"/>
      <c r="Z3" s="1686" t="s">
        <v>31</v>
      </c>
      <c r="AA3" s="1687"/>
      <c r="AB3" s="1687"/>
      <c r="AC3" s="1687"/>
      <c r="AD3" s="1687"/>
      <c r="AE3" s="1687"/>
      <c r="AF3" s="1687"/>
      <c r="AG3" s="1687"/>
      <c r="AH3" s="1687"/>
      <c r="AI3" s="1687"/>
      <c r="AJ3" s="1688"/>
      <c r="AK3" s="1686" t="s">
        <v>41</v>
      </c>
      <c r="AL3" s="1687"/>
      <c r="AM3" s="1687"/>
      <c r="AN3" s="1687"/>
      <c r="AO3" s="1687"/>
      <c r="AP3" s="1687"/>
      <c r="AQ3" s="1687"/>
      <c r="AR3" s="1687"/>
      <c r="AS3" s="1687"/>
      <c r="AT3" s="1688"/>
      <c r="AU3" s="885" t="s">
        <v>266</v>
      </c>
    </row>
    <row r="4" spans="3:50" s="883" customFormat="1" ht="26.25" thickBot="1" x14ac:dyDescent="0.25">
      <c r="D4" s="886" t="str">
        <f>'TRAD-Calculs'!B3</f>
        <v>Composition</v>
      </c>
      <c r="E4" s="887" t="str">
        <f>'Saisie données file act.'!E23</f>
        <v>AZT+3TC+NVP</v>
      </c>
      <c r="F4" s="874" t="str">
        <f>'Saisie données file act.'!F23</f>
        <v>AZT+3TC+NVP</v>
      </c>
      <c r="G4" s="874" t="str">
        <f>'Saisie données file act.'!G23</f>
        <v>AZT+3TC+ABC</v>
      </c>
      <c r="H4" s="874" t="str">
        <f>'Saisie données file act.'!H23</f>
        <v>AZT+3TC</v>
      </c>
      <c r="I4" s="874" t="str">
        <f>'Saisie données file act.'!I23</f>
        <v>AZT+3TC</v>
      </c>
      <c r="J4" s="874" t="str">
        <f>'Saisie données file act.'!J23</f>
        <v>3TC+ABC</v>
      </c>
      <c r="K4" s="1689" t="str">
        <f>'Saisie données file act.'!K23</f>
        <v>3TC+ABC</v>
      </c>
      <c r="L4" s="874" t="str">
        <f>'Saisie données file act.'!L23</f>
        <v>D4T+3TC+NVP</v>
      </c>
      <c r="M4" s="874" t="str">
        <f>'Saisie données file act.'!M23</f>
        <v>D4T+3TC+NVP</v>
      </c>
      <c r="N4" s="874" t="str">
        <f>'Saisie données file act.'!N23</f>
        <v>D4T+3TC</v>
      </c>
      <c r="O4" s="874" t="str">
        <f>'Saisie données file act.'!O23</f>
        <v>TDF+FTC+EFV</v>
      </c>
      <c r="P4" s="874" t="str">
        <f>'Saisie données file act.'!P23</f>
        <v>TDF+FTC</v>
      </c>
      <c r="Q4" s="874" t="str">
        <f>'Saisie données file act.'!Q23</f>
        <v>TDF+3TC+EFV</v>
      </c>
      <c r="R4" s="888" t="str">
        <f>'Saisie données file act.'!R23</f>
        <v>TDF+3TC</v>
      </c>
      <c r="S4" s="1691" t="str">
        <f>'Saisie données file act.'!S23</f>
        <v>[TDF+3TC]+ATV/r</v>
      </c>
      <c r="T4" s="887" t="str">
        <f>'Saisie données file act.'!T23</f>
        <v>EFV</v>
      </c>
      <c r="U4" s="874" t="str">
        <f>'Saisie données file act.'!U23</f>
        <v>EFV</v>
      </c>
      <c r="V4" s="874" t="str">
        <f>'Saisie données file act.'!V23</f>
        <v>EFV</v>
      </c>
      <c r="W4" s="1694" t="str">
        <f>'Saisie données file act.'!W23</f>
        <v>ETV</v>
      </c>
      <c r="X4" s="888" t="str">
        <f>'Saisie données file act.'!X23</f>
        <v>NVP</v>
      </c>
      <c r="Y4" s="1691" t="str">
        <f>'Saisie données file act.'!Y23</f>
        <v>RPV</v>
      </c>
      <c r="Z4" s="887" t="str">
        <f>'Saisie données file act.'!Z23</f>
        <v>ABC</v>
      </c>
      <c r="AA4" s="1697" t="str">
        <f>'Saisie données file act.'!AA23</f>
        <v>ABC</v>
      </c>
      <c r="AB4" s="874" t="str">
        <f>'Saisie données file act.'!AB23</f>
        <v>AZT</v>
      </c>
      <c r="AC4" s="1689" t="str">
        <f>'Saisie données file act.'!AC23</f>
        <v>AZT</v>
      </c>
      <c r="AD4" s="1689" t="str">
        <f>'Saisie données file act.'!AD23</f>
        <v>AZT</v>
      </c>
      <c r="AE4" s="874" t="str">
        <f>'Saisie données file act.'!AE23</f>
        <v>D4T</v>
      </c>
      <c r="AF4" s="874" t="str">
        <f>'Saisie données file act.'!AF23</f>
        <v>3TC</v>
      </c>
      <c r="AG4" s="1689" t="str">
        <f>'Saisie données file act.'!AG23</f>
        <v>3TC</v>
      </c>
      <c r="AH4" s="874" t="str">
        <f>'Saisie données file act.'!AH23</f>
        <v>DDI</v>
      </c>
      <c r="AI4" s="874" t="str">
        <f>'Saisie données file act.'!AI23</f>
        <v>DDI</v>
      </c>
      <c r="AJ4" s="888" t="str">
        <f>'Saisie données file act.'!AJ23</f>
        <v>TDF</v>
      </c>
      <c r="AK4" s="887" t="str">
        <f>'Saisie données file act.'!AK23</f>
        <v>LPV/r</v>
      </c>
      <c r="AL4" s="1697" t="str">
        <f>'Saisie données file act.'!AL23</f>
        <v>LPV/r</v>
      </c>
      <c r="AM4" s="874" t="str">
        <f>'Saisie données file act.'!AM23</f>
        <v>ATV/r</v>
      </c>
      <c r="AN4" s="1689" t="str">
        <f>'Saisie données file act.'!AN23</f>
        <v>FPV</v>
      </c>
      <c r="AO4" s="874" t="str">
        <f>'Saisie données file act.'!AO23</f>
        <v>IDV hors RTV</v>
      </c>
      <c r="AP4" s="874" t="str">
        <f>'Saisie données file act.'!AP23</f>
        <v>IDV avec RTV</v>
      </c>
      <c r="AQ4" s="874" t="str">
        <f>'Saisie données file act.'!AQ23</f>
        <v>DRV avec RTV</v>
      </c>
      <c r="AR4" s="874" t="str">
        <f>'Saisie données file act.'!AR23</f>
        <v>SQV avec RTV</v>
      </c>
      <c r="AS4" s="874" t="str">
        <f>'Saisie données file act.'!AS23</f>
        <v>RTV</v>
      </c>
      <c r="AT4" s="888" t="str">
        <f>'Saisie données file act.'!AT23</f>
        <v>RTV</v>
      </c>
      <c r="AU4" s="889" t="str">
        <f>'Saisie données file act.'!AU23</f>
        <v>RLT = RAL</v>
      </c>
    </row>
    <row r="5" spans="3:50" s="883" customFormat="1" ht="26.25" thickBot="1" x14ac:dyDescent="0.25">
      <c r="D5" s="886" t="str">
        <f>'TRAD-Calculs'!B4</f>
        <v>Dosage</v>
      </c>
      <c r="E5" s="890" t="str">
        <f>'Saisie données file act.'!E24</f>
        <v>300/150/200 mg</v>
      </c>
      <c r="F5" s="875" t="str">
        <f>'Saisie données file act.'!F24</f>
        <v>60/30/50 mg</v>
      </c>
      <c r="G5" s="875" t="str">
        <f>'Saisie données file act.'!G24</f>
        <v>300/150/300 mg</v>
      </c>
      <c r="H5" s="875" t="str">
        <f>'Saisie données file act.'!H24</f>
        <v>300/150 mg</v>
      </c>
      <c r="I5" s="875" t="str">
        <f>'Saisie données file act.'!I24</f>
        <v>60/30 mg</v>
      </c>
      <c r="J5" s="875" t="str">
        <f>'Saisie données file act.'!J24</f>
        <v>300/600 mg</v>
      </c>
      <c r="K5" s="875" t="str">
        <f>'Saisie données file act.'!K24</f>
        <v>30/60 mg</v>
      </c>
      <c r="L5" s="875" t="str">
        <f>'Saisie données file act.'!L24</f>
        <v>30/150/200 mg</v>
      </c>
      <c r="M5" s="875" t="str">
        <f>'Saisie données file act.'!M24</f>
        <v>6/30/50 mg</v>
      </c>
      <c r="N5" s="875" t="str">
        <f>'Saisie données file act.'!N24</f>
        <v>30/150 mg</v>
      </c>
      <c r="O5" s="875" t="str">
        <f>'Saisie données file act.'!O24</f>
        <v>300/200/600 mg</v>
      </c>
      <c r="P5" s="875" t="str">
        <f>'Saisie données file act.'!P24</f>
        <v>300/200 mg</v>
      </c>
      <c r="Q5" s="875" t="str">
        <f>'Saisie données file act.'!Q24</f>
        <v>300/200/600 mg</v>
      </c>
      <c r="R5" s="891" t="str">
        <f>'Saisie données file act.'!R24</f>
        <v>300/200 mg</v>
      </c>
      <c r="S5" s="1692" t="str">
        <f>'Saisie données file act.'!S24</f>
        <v>[300/300]+300/100 mg</v>
      </c>
      <c r="T5" s="890" t="str">
        <f>'Saisie données file act.'!T24</f>
        <v>50 mg</v>
      </c>
      <c r="U5" s="875" t="str">
        <f>'Saisie données file act.'!U24</f>
        <v>200 mg</v>
      </c>
      <c r="V5" s="875" t="str">
        <f>'Saisie données file act.'!V24</f>
        <v>600 mg</v>
      </c>
      <c r="W5" s="1695" t="str">
        <f>'Saisie données file act.'!W24</f>
        <v>200 mg</v>
      </c>
      <c r="X5" s="891" t="str">
        <f>'Saisie données file act.'!X24</f>
        <v>200 mg</v>
      </c>
      <c r="Y5" s="1692" t="str">
        <f>'Saisie données file act.'!Y24</f>
        <v>25 mg</v>
      </c>
      <c r="Z5" s="890" t="str">
        <f>'Saisie données file act.'!Z24</f>
        <v>300 mg</v>
      </c>
      <c r="AA5" s="1698" t="str">
        <f>'Saisie données file act.'!AA24</f>
        <v>60 mg</v>
      </c>
      <c r="AB5" s="875" t="str">
        <f>'Saisie données file act.'!AB24</f>
        <v>300 mg</v>
      </c>
      <c r="AC5" s="875" t="str">
        <f>'Saisie données file act.'!AC24</f>
        <v>100 mg</v>
      </c>
      <c r="AD5" s="875" t="str">
        <f>'Saisie données file act.'!AD24</f>
        <v>60 mg</v>
      </c>
      <c r="AE5" s="875" t="str">
        <f>'Saisie données file act.'!AE24</f>
        <v>30 mg</v>
      </c>
      <c r="AF5" s="875" t="str">
        <f>'Saisie données file act.'!AF24</f>
        <v>150 mg</v>
      </c>
      <c r="AG5" s="875" t="str">
        <f>'Saisie données file act.'!AG24</f>
        <v>30 mg</v>
      </c>
      <c r="AH5" s="875" t="str">
        <f>'Saisie données file act.'!AH24</f>
        <v>250 mg</v>
      </c>
      <c r="AI5" s="875" t="str">
        <f>'Saisie données file act.'!AI24</f>
        <v>400 mg</v>
      </c>
      <c r="AJ5" s="891" t="str">
        <f>'Saisie données file act.'!AJ24</f>
        <v>300 mg</v>
      </c>
      <c r="AK5" s="890" t="str">
        <f>'Saisie données file act.'!AK24</f>
        <v>200/50 mg</v>
      </c>
      <c r="AL5" s="1698" t="str">
        <f>'Saisie données file act.'!AL24</f>
        <v>100/25 mg</v>
      </c>
      <c r="AM5" s="875" t="str">
        <f>'Saisie données file act.'!AM24</f>
        <v>300/100 mg</v>
      </c>
      <c r="AN5" s="875" t="str">
        <f>'Saisie données file act.'!AN24</f>
        <v>700 mg</v>
      </c>
      <c r="AO5" s="875" t="str">
        <f>'Saisie données file act.'!AO24</f>
        <v>400 mg</v>
      </c>
      <c r="AP5" s="875" t="str">
        <f>'Saisie données file act.'!AP24</f>
        <v>400 mg</v>
      </c>
      <c r="AQ5" s="875" t="str">
        <f>'Saisie données file act.'!AQ24</f>
        <v>300 mg</v>
      </c>
      <c r="AR5" s="875" t="str">
        <f>'Saisie données file act.'!AR24</f>
        <v>500 mg</v>
      </c>
      <c r="AS5" s="875" t="str">
        <f>'Saisie données file act.'!AS24</f>
        <v>100 mg</v>
      </c>
      <c r="AT5" s="891" t="str">
        <f>'Saisie données file act.'!AT24</f>
        <v>100 mg</v>
      </c>
      <c r="AU5" s="892" t="str">
        <f>'Saisie données file act.'!AU24</f>
        <v>400 mg</v>
      </c>
    </row>
    <row r="6" spans="3:50" s="883" customFormat="1" ht="13.5" thickBot="1" x14ac:dyDescent="0.25">
      <c r="D6" s="886" t="str">
        <f>'TRAD-Calculs'!B5</f>
        <v>Posologies (nb de cp / jour)</v>
      </c>
      <c r="E6" s="890">
        <f>'Saisie données file act.'!E25</f>
        <v>2</v>
      </c>
      <c r="F6" s="875">
        <f>'Saisie données file act.'!F25</f>
        <v>2</v>
      </c>
      <c r="G6" s="875">
        <f>'Saisie données file act.'!G25</f>
        <v>2</v>
      </c>
      <c r="H6" s="875">
        <f>'Saisie données file act.'!H25</f>
        <v>2</v>
      </c>
      <c r="I6" s="875">
        <f>'Saisie données file act.'!I25</f>
        <v>2</v>
      </c>
      <c r="J6" s="875">
        <f>'Saisie données file act.'!J25</f>
        <v>1</v>
      </c>
      <c r="K6" s="875">
        <f>'Saisie données file act.'!K25</f>
        <v>2</v>
      </c>
      <c r="L6" s="875">
        <f>'Saisie données file act.'!L25</f>
        <v>2</v>
      </c>
      <c r="M6" s="875">
        <f>'Saisie données file act.'!M25</f>
        <v>2</v>
      </c>
      <c r="N6" s="875">
        <f>'Saisie données file act.'!N25</f>
        <v>2</v>
      </c>
      <c r="O6" s="875">
        <f>'Saisie données file act.'!O25</f>
        <v>1</v>
      </c>
      <c r="P6" s="875">
        <f>'Saisie données file act.'!P25</f>
        <v>1</v>
      </c>
      <c r="Q6" s="875">
        <f>'Saisie données file act.'!Q25</f>
        <v>1</v>
      </c>
      <c r="R6" s="891">
        <f>'Saisie données file act.'!R25</f>
        <v>1</v>
      </c>
      <c r="S6" s="1692">
        <f>'Saisie données file act.'!S25</f>
        <v>1</v>
      </c>
      <c r="T6" s="890">
        <f>'Saisie données file act.'!T25</f>
        <v>0</v>
      </c>
      <c r="U6" s="875">
        <f>'Saisie données file act.'!U25</f>
        <v>0</v>
      </c>
      <c r="V6" s="875">
        <f>'Saisie données file act.'!V25</f>
        <v>1</v>
      </c>
      <c r="W6" s="1695">
        <f>'Saisie données file act.'!W25</f>
        <v>2</v>
      </c>
      <c r="X6" s="891">
        <f>'Saisie données file act.'!X25</f>
        <v>2</v>
      </c>
      <c r="Y6" s="1692">
        <f>'Saisie données file act.'!Y25</f>
        <v>1</v>
      </c>
      <c r="Z6" s="890">
        <f>'Saisie données file act.'!Z25</f>
        <v>2</v>
      </c>
      <c r="AA6" s="1698">
        <f>'Saisie données file act.'!AA25</f>
        <v>2</v>
      </c>
      <c r="AB6" s="875">
        <f>'Saisie données file act.'!AB25</f>
        <v>2</v>
      </c>
      <c r="AC6" s="875">
        <f>'Saisie données file act.'!AC25</f>
        <v>0</v>
      </c>
      <c r="AD6" s="875">
        <f>'Saisie données file act.'!AD25</f>
        <v>2</v>
      </c>
      <c r="AE6" s="875">
        <f>'Saisie données file act.'!AE25</f>
        <v>2</v>
      </c>
      <c r="AF6" s="875">
        <f>'Saisie données file act.'!AF25</f>
        <v>2</v>
      </c>
      <c r="AG6" s="875">
        <f>'Saisie données file act.'!AG25</f>
        <v>2</v>
      </c>
      <c r="AH6" s="875">
        <f>'Saisie données file act.'!AH25</f>
        <v>1</v>
      </c>
      <c r="AI6" s="875">
        <f>'Saisie données file act.'!AI25</f>
        <v>1</v>
      </c>
      <c r="AJ6" s="891">
        <f>'Saisie données file act.'!AJ25</f>
        <v>1</v>
      </c>
      <c r="AK6" s="890">
        <f>'Saisie données file act.'!AK25</f>
        <v>4</v>
      </c>
      <c r="AL6" s="1698">
        <f>'Saisie données file act.'!AL25</f>
        <v>2</v>
      </c>
      <c r="AM6" s="875">
        <f>'Saisie données file act.'!AM25</f>
        <v>2</v>
      </c>
      <c r="AN6" s="875">
        <f>'Saisie données file act.'!AN25</f>
        <v>2</v>
      </c>
      <c r="AO6" s="1818">
        <f>'Saisie données file act.'!AO25</f>
        <v>6</v>
      </c>
      <c r="AP6" s="1818">
        <f>'Saisie données file act.'!AP25</f>
        <v>4</v>
      </c>
      <c r="AQ6" s="875">
        <f>'Saisie données file act.'!AQ25</f>
        <v>4</v>
      </c>
      <c r="AR6" s="875">
        <f>'Saisie données file act.'!AR25</f>
        <v>4</v>
      </c>
      <c r="AS6" s="875">
        <f>'Saisie données file act.'!AS25</f>
        <v>1</v>
      </c>
      <c r="AT6" s="891">
        <f>'Saisie données file act.'!AT25</f>
        <v>2</v>
      </c>
      <c r="AU6" s="892">
        <f>'Saisie données file act.'!AU25</f>
        <v>2</v>
      </c>
    </row>
    <row r="7" spans="3:50" s="895" customFormat="1" ht="39" customHeight="1" thickBot="1" x14ac:dyDescent="0.3">
      <c r="C7" s="3251" t="str">
        <f>'TRAD-Calculs'!B11</f>
        <v>Schéma thérapeutique</v>
      </c>
      <c r="D7" s="886" t="str">
        <f>'TRAD-Calculs'!B6</f>
        <v>Conditionnement</v>
      </c>
      <c r="E7" s="876">
        <f>'Saisie données file act.'!E26</f>
        <v>60</v>
      </c>
      <c r="F7" s="877">
        <f>'Saisie données file act.'!F26</f>
        <v>60</v>
      </c>
      <c r="G7" s="877">
        <f>'Saisie données file act.'!G26</f>
        <v>60</v>
      </c>
      <c r="H7" s="877">
        <f>'Saisie données file act.'!H26</f>
        <v>60</v>
      </c>
      <c r="I7" s="877">
        <f>'Saisie données file act.'!I26</f>
        <v>60</v>
      </c>
      <c r="J7" s="877">
        <f>'Saisie données file act.'!J26</f>
        <v>30</v>
      </c>
      <c r="K7" s="877">
        <f>'Saisie données file act.'!K26</f>
        <v>60</v>
      </c>
      <c r="L7" s="877">
        <f>'Saisie données file act.'!L26</f>
        <v>60</v>
      </c>
      <c r="M7" s="877">
        <f>'Saisie données file act.'!M26</f>
        <v>60</v>
      </c>
      <c r="N7" s="877">
        <f>'Saisie données file act.'!N26</f>
        <v>60</v>
      </c>
      <c r="O7" s="877">
        <f>'Saisie données file act.'!O26</f>
        <v>30</v>
      </c>
      <c r="P7" s="877">
        <f>'Saisie données file act.'!P26</f>
        <v>30</v>
      </c>
      <c r="Q7" s="877">
        <f>'Saisie données file act.'!Q26</f>
        <v>30</v>
      </c>
      <c r="R7" s="878">
        <f>'Saisie données file act.'!R26</f>
        <v>30</v>
      </c>
      <c r="S7" s="1693">
        <f>'Saisie données file act.'!S26</f>
        <v>30</v>
      </c>
      <c r="T7" s="876">
        <f>'Saisie données file act.'!T26</f>
        <v>30</v>
      </c>
      <c r="U7" s="877">
        <f>'Saisie données file act.'!U26</f>
        <v>90</v>
      </c>
      <c r="V7" s="877">
        <f>'Saisie données file act.'!V26</f>
        <v>30</v>
      </c>
      <c r="W7" s="1696">
        <f>'Saisie données file act.'!W26</f>
        <v>60</v>
      </c>
      <c r="X7" s="878">
        <f>'Saisie données file act.'!X26</f>
        <v>60</v>
      </c>
      <c r="Y7" s="1693">
        <f>'Saisie données file act.'!Y26</f>
        <v>30</v>
      </c>
      <c r="Z7" s="876">
        <f>'Saisie données file act.'!Z26</f>
        <v>60</v>
      </c>
      <c r="AA7" s="1699">
        <f>'Saisie données file act.'!AA26</f>
        <v>60</v>
      </c>
      <c r="AB7" s="877">
        <f>'Saisie données file act.'!AB26</f>
        <v>60</v>
      </c>
      <c r="AC7" s="877">
        <f>'Saisie données file act.'!AC26</f>
        <v>100</v>
      </c>
      <c r="AD7" s="877">
        <f>'Saisie données file act.'!AD26</f>
        <v>60</v>
      </c>
      <c r="AE7" s="877">
        <f>'Saisie données file act.'!AE26</f>
        <v>60</v>
      </c>
      <c r="AF7" s="877">
        <f>'Saisie données file act.'!AF26</f>
        <v>60</v>
      </c>
      <c r="AG7" s="877">
        <f>'Saisie données file act.'!AG26</f>
        <v>60</v>
      </c>
      <c r="AH7" s="877">
        <f>'Saisie données file act.'!AH26</f>
        <v>30</v>
      </c>
      <c r="AI7" s="877">
        <f>'Saisie données file act.'!AI26</f>
        <v>30</v>
      </c>
      <c r="AJ7" s="878">
        <f>'Saisie données file act.'!AJ26</f>
        <v>30</v>
      </c>
      <c r="AK7" s="876">
        <f>'Saisie données file act.'!AK26</f>
        <v>120</v>
      </c>
      <c r="AL7" s="1699">
        <f>'Saisie données file act.'!AL26</f>
        <v>60</v>
      </c>
      <c r="AM7" s="877">
        <f>'Saisie données file act.'!AM26</f>
        <v>60</v>
      </c>
      <c r="AN7" s="877">
        <f>'Saisie données file act.'!AN26</f>
        <v>60</v>
      </c>
      <c r="AO7" s="877">
        <f>'Saisie données file act.'!AO26</f>
        <v>180</v>
      </c>
      <c r="AP7" s="877">
        <f>'Saisie données file act.'!AP26</f>
        <v>180</v>
      </c>
      <c r="AQ7" s="877">
        <f>'Saisie données file act.'!AQ26</f>
        <v>120</v>
      </c>
      <c r="AR7" s="877">
        <f>'Saisie données file act.'!AR26</f>
        <v>120</v>
      </c>
      <c r="AS7" s="877">
        <f>'Saisie données file act.'!AS26</f>
        <v>84</v>
      </c>
      <c r="AT7" s="878">
        <f>'Saisie données file act.'!AT26</f>
        <v>84</v>
      </c>
      <c r="AU7" s="893">
        <f>'Saisie données file act.'!AU26</f>
        <v>60</v>
      </c>
      <c r="AV7" s="894" t="str">
        <f>'TRAD-Calculs'!B8</f>
        <v>Nombre de patients suivis</v>
      </c>
      <c r="AW7" s="894" t="str">
        <f>'TRAD-Calculs'!B9</f>
        <v>Nombre de patients initiés</v>
      </c>
      <c r="AX7" s="894" t="str">
        <f>'TRAD-Calculs'!B10</f>
        <v>Nombre de patients switchés</v>
      </c>
    </row>
    <row r="8" spans="3:50" s="895" customFormat="1" ht="14.25" thickBot="1" x14ac:dyDescent="0.3">
      <c r="C8" s="3258"/>
      <c r="D8" s="886" t="str">
        <f>'TRAD-Calculs'!B7</f>
        <v>Premières lignes</v>
      </c>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896"/>
      <c r="AF8" s="896"/>
      <c r="AG8" s="896"/>
      <c r="AH8" s="896"/>
      <c r="AI8" s="896"/>
      <c r="AJ8" s="896"/>
      <c r="AK8" s="897"/>
      <c r="AL8" s="897"/>
      <c r="AM8" s="897"/>
      <c r="AN8" s="897"/>
      <c r="AO8" s="897"/>
      <c r="AP8" s="897"/>
      <c r="AQ8" s="897"/>
      <c r="AR8" s="897"/>
      <c r="AS8" s="896"/>
      <c r="AT8" s="896"/>
      <c r="AU8" s="896"/>
      <c r="AV8" s="898"/>
      <c r="AW8" s="898"/>
      <c r="AX8" s="898"/>
    </row>
    <row r="9" spans="3:50" s="895" customFormat="1" ht="14.25" thickBot="1" x14ac:dyDescent="0.3">
      <c r="C9" s="3258"/>
      <c r="D9" s="1712" t="str">
        <f>'Saisie données file act.'!D28</f>
        <v>TDF+FTC+EFV</v>
      </c>
      <c r="E9" s="899" t="str">
        <f>IF(ISBLANK('Saisie données file act.'!E28), "", 'Saisie données file act.'!E28)</f>
        <v/>
      </c>
      <c r="F9" s="899" t="str">
        <f>IF(ISBLANK('Saisie données file act.'!F28), "", 'Saisie données file act.'!F28)</f>
        <v/>
      </c>
      <c r="G9" s="899" t="str">
        <f>IF(ISBLANK('Saisie données file act.'!G28), "", 'Saisie données file act.'!G28)</f>
        <v/>
      </c>
      <c r="H9" s="899" t="str">
        <f>IF(ISBLANK('Saisie données file act.'!H28), "", 'Saisie données file act.'!H28)</f>
        <v/>
      </c>
      <c r="I9" s="899" t="str">
        <f>IF(ISBLANK('Saisie données file act.'!I28), "", 'Saisie données file act.'!I28)</f>
        <v/>
      </c>
      <c r="J9" s="899" t="str">
        <f>IF(ISBLANK('Saisie données file act.'!J28), "", 'Saisie données file act.'!J28)</f>
        <v/>
      </c>
      <c r="K9" s="899" t="str">
        <f>IF(ISBLANK('Saisie données file act.'!K28), "", 'Saisie données file act.'!K28)</f>
        <v/>
      </c>
      <c r="L9" s="899" t="str">
        <f>IF(ISBLANK('Saisie données file act.'!L28), "", 'Saisie données file act.'!L28)</f>
        <v/>
      </c>
      <c r="M9" s="899" t="str">
        <f>IF(ISBLANK('Saisie données file act.'!M28), "", 'Saisie données file act.'!M28)</f>
        <v/>
      </c>
      <c r="N9" s="899" t="str">
        <f>IF(ISBLANK('Saisie données file act.'!N28), "", 'Saisie données file act.'!N28)</f>
        <v/>
      </c>
      <c r="O9" s="899" t="str">
        <f>IF(ISBLANK('Saisie données file act.'!O28), "", 'Saisie données file act.'!O28)</f>
        <v/>
      </c>
      <c r="P9" s="899" t="str">
        <f>IF(ISBLANK('Saisie données file act.'!P28), "", 'Saisie données file act.'!P28)</f>
        <v/>
      </c>
      <c r="Q9" s="899" t="str">
        <f>IF(ISBLANK('Saisie données file act.'!Q28), "", 'Saisie données file act.'!Q28)</f>
        <v/>
      </c>
      <c r="R9" s="899" t="str">
        <f>IF(ISBLANK('Saisie données file act.'!R28), "", 'Saisie données file act.'!R28)</f>
        <v/>
      </c>
      <c r="S9" s="899" t="str">
        <f>IF(ISBLANK('Saisie données file act.'!S28), "", 'Saisie données file act.'!S28)</f>
        <v/>
      </c>
      <c r="T9" s="899" t="str">
        <f>IF(ISBLANK('Saisie données file act.'!T28), "", 'Saisie données file act.'!T28)</f>
        <v/>
      </c>
      <c r="U9" s="899" t="str">
        <f>IF(ISBLANK('Saisie données file act.'!U28), "", 'Saisie données file act.'!U28)</f>
        <v/>
      </c>
      <c r="V9" s="899" t="str">
        <f>IF(ISBLANK('Saisie données file act.'!V28), "", 'Saisie données file act.'!V28)</f>
        <v/>
      </c>
      <c r="W9" s="899" t="str">
        <f>IF(ISBLANK('Saisie données file act.'!W28), "", 'Saisie données file act.'!W28)</f>
        <v/>
      </c>
      <c r="X9" s="899" t="str">
        <f>IF(ISBLANK('Saisie données file act.'!X28), "", 'Saisie données file act.'!X28)</f>
        <v/>
      </c>
      <c r="Y9" s="899" t="str">
        <f>IF(ISBLANK('Saisie données file act.'!Y28), "", 'Saisie données file act.'!Y28)</f>
        <v/>
      </c>
      <c r="Z9" s="899" t="str">
        <f>IF(ISBLANK('Saisie données file act.'!Z28), "", 'Saisie données file act.'!Z28)</f>
        <v/>
      </c>
      <c r="AA9" s="899" t="str">
        <f>IF(ISBLANK('Saisie données file act.'!AA28), "", 'Saisie données file act.'!AA28)</f>
        <v/>
      </c>
      <c r="AB9" s="899" t="str">
        <f>IF(ISBLANK('Saisie données file act.'!AB28), "", 'Saisie données file act.'!AB28)</f>
        <v/>
      </c>
      <c r="AC9" s="899" t="str">
        <f>IF(ISBLANK('Saisie données file act.'!AC28), "", 'Saisie données file act.'!AC28)</f>
        <v/>
      </c>
      <c r="AD9" s="899" t="str">
        <f>IF(ISBLANK('Saisie données file act.'!AD28), "", 'Saisie données file act.'!AD28)</f>
        <v/>
      </c>
      <c r="AE9" s="899" t="str">
        <f>IF(ISBLANK('Saisie données file act.'!AE28), "", 'Saisie données file act.'!AE28)</f>
        <v/>
      </c>
      <c r="AF9" s="899" t="str">
        <f>IF(ISBLANK('Saisie données file act.'!AF28), "", 'Saisie données file act.'!AF28)</f>
        <v/>
      </c>
      <c r="AG9" s="899" t="str">
        <f>IF(ISBLANK('Saisie données file act.'!AG28), "", 'Saisie données file act.'!AG28)</f>
        <v/>
      </c>
      <c r="AH9" s="899" t="str">
        <f>IF(ISBLANK('Saisie données file act.'!AH28), "", 'Saisie données file act.'!AH28)</f>
        <v/>
      </c>
      <c r="AI9" s="899" t="str">
        <f>IF(ISBLANK('Saisie données file act.'!AI28), "", 'Saisie données file act.'!AI28)</f>
        <v/>
      </c>
      <c r="AJ9" s="899" t="str">
        <f>IF(ISBLANK('Saisie données file act.'!AJ28), "", 'Saisie données file act.'!AJ28)</f>
        <v/>
      </c>
      <c r="AK9" s="899" t="str">
        <f>IF(ISBLANK('Saisie données file act.'!AK28), "", 'Saisie données file act.'!AK28)</f>
        <v/>
      </c>
      <c r="AL9" s="899" t="str">
        <f>IF(ISBLANK('Saisie données file act.'!AL28), "", 'Saisie données file act.'!AL28)</f>
        <v/>
      </c>
      <c r="AM9" s="899" t="str">
        <f>IF(ISBLANK('Saisie données file act.'!AM28), "", 'Saisie données file act.'!AM28)</f>
        <v/>
      </c>
      <c r="AN9" s="899" t="str">
        <f>IF(ISBLANK('Saisie données file act.'!AN28), "", 'Saisie données file act.'!AN28)</f>
        <v/>
      </c>
      <c r="AO9" s="899" t="str">
        <f>IF(ISBLANK('Saisie données file act.'!AO28), "", 'Saisie données file act.'!AO28)</f>
        <v/>
      </c>
      <c r="AP9" s="899" t="str">
        <f>IF(ISBLANK('Saisie données file act.'!AP28), "", 'Saisie données file act.'!AP28)</f>
        <v/>
      </c>
      <c r="AQ9" s="899" t="str">
        <f>IF(ISBLANK('Saisie données file act.'!AQ28), "", 'Saisie données file act.'!AQ28)</f>
        <v/>
      </c>
      <c r="AR9" s="899" t="str">
        <f>IF(ISBLANK('Saisie données file act.'!AR28), "", 'Saisie données file act.'!AR28)</f>
        <v/>
      </c>
      <c r="AS9" s="899" t="str">
        <f>IF(ISBLANK('Saisie données file act.'!AS28), "", 'Saisie données file act.'!AS28)</f>
        <v/>
      </c>
      <c r="AT9" s="899" t="str">
        <f>IF(ISBLANK('Saisie données file act.'!AT28), "", 'Saisie données file act.'!AT28)</f>
        <v/>
      </c>
      <c r="AU9" s="899" t="str">
        <f>IF(ISBLANK('Saisie données file act.'!AU28), "", 'Saisie données file act.'!AU28)</f>
        <v/>
      </c>
      <c r="AV9" s="900">
        <f>'Saisie données file act.'!E118</f>
        <v>0</v>
      </c>
      <c r="AW9" s="900">
        <f>'Saisie données file act.'!F215</f>
        <v>0</v>
      </c>
      <c r="AX9" s="3085">
        <f>-('Saisie données file act.'!$K$248*'Saisie données file act.'!F256)</f>
        <v>0</v>
      </c>
    </row>
    <row r="10" spans="3:50" s="895" customFormat="1" ht="14.25" thickBot="1" x14ac:dyDescent="0.3">
      <c r="C10" s="3258"/>
      <c r="D10" s="902" t="str">
        <f>'Saisie données file act.'!D29</f>
        <v>ABC+3TC+ATV/r</v>
      </c>
      <c r="E10" s="903" t="str">
        <f>IF(ISBLANK('Saisie données file act.'!E29), "", 'Saisie données file act.'!E29)</f>
        <v/>
      </c>
      <c r="F10" s="903" t="str">
        <f>IF(ISBLANK('Saisie données file act.'!F29), "", 'Saisie données file act.'!F29)</f>
        <v/>
      </c>
      <c r="G10" s="903" t="str">
        <f>IF(ISBLANK('Saisie données file act.'!G29), "", 'Saisie données file act.'!G29)</f>
        <v/>
      </c>
      <c r="H10" s="903" t="str">
        <f>IF(ISBLANK('Saisie données file act.'!H29), "", 'Saisie données file act.'!H29)</f>
        <v/>
      </c>
      <c r="I10" s="903" t="str">
        <f>IF(ISBLANK('Saisie données file act.'!I29), "", 'Saisie données file act.'!I29)</f>
        <v/>
      </c>
      <c r="J10" s="903" t="str">
        <f>IF(ISBLANK('Saisie données file act.'!J29), "", 'Saisie données file act.'!J29)</f>
        <v/>
      </c>
      <c r="K10" s="903" t="str">
        <f>IF(ISBLANK('Saisie données file act.'!K29), "", 'Saisie données file act.'!K29)</f>
        <v/>
      </c>
      <c r="L10" s="903" t="str">
        <f>IF(ISBLANK('Saisie données file act.'!L29), "", 'Saisie données file act.'!L29)</f>
        <v/>
      </c>
      <c r="M10" s="903" t="str">
        <f>IF(ISBLANK('Saisie données file act.'!M29), "", 'Saisie données file act.'!M29)</f>
        <v/>
      </c>
      <c r="N10" s="903" t="str">
        <f>IF(ISBLANK('Saisie données file act.'!N29), "", 'Saisie données file act.'!N29)</f>
        <v/>
      </c>
      <c r="O10" s="903" t="str">
        <f>IF(ISBLANK('Saisie données file act.'!O29), "", 'Saisie données file act.'!O29)</f>
        <v/>
      </c>
      <c r="P10" s="903" t="str">
        <f>IF(ISBLANK('Saisie données file act.'!P29), "", 'Saisie données file act.'!P29)</f>
        <v/>
      </c>
      <c r="Q10" s="903" t="str">
        <f>IF(ISBLANK('Saisie données file act.'!Q29), "", 'Saisie données file act.'!Q29)</f>
        <v/>
      </c>
      <c r="R10" s="903" t="str">
        <f>IF(ISBLANK('Saisie données file act.'!R29), "", 'Saisie données file act.'!R29)</f>
        <v/>
      </c>
      <c r="S10" s="903" t="str">
        <f>IF(ISBLANK('Saisie données file act.'!S29), "", 'Saisie données file act.'!S29)</f>
        <v/>
      </c>
      <c r="T10" s="903" t="str">
        <f>IF(ISBLANK('Saisie données file act.'!T29), "", 'Saisie données file act.'!T29)</f>
        <v/>
      </c>
      <c r="U10" s="903" t="str">
        <f>IF(ISBLANK('Saisie données file act.'!U29), "", 'Saisie données file act.'!U29)</f>
        <v/>
      </c>
      <c r="V10" s="903" t="str">
        <f>IF(ISBLANK('Saisie données file act.'!V29), "", 'Saisie données file act.'!V29)</f>
        <v/>
      </c>
      <c r="W10" s="903" t="str">
        <f>IF(ISBLANK('Saisie données file act.'!W29), "", 'Saisie données file act.'!W29)</f>
        <v/>
      </c>
      <c r="X10" s="903" t="str">
        <f>IF(ISBLANK('Saisie données file act.'!X29), "", 'Saisie données file act.'!X29)</f>
        <v/>
      </c>
      <c r="Y10" s="903" t="str">
        <f>IF(ISBLANK('Saisie données file act.'!Y29), "", 'Saisie données file act.'!Y29)</f>
        <v/>
      </c>
      <c r="Z10" s="903" t="str">
        <f>IF(ISBLANK('Saisie données file act.'!Z29), "", 'Saisie données file act.'!Z29)</f>
        <v/>
      </c>
      <c r="AA10" s="903" t="str">
        <f>IF(ISBLANK('Saisie données file act.'!AA29), "", 'Saisie données file act.'!AA29)</f>
        <v/>
      </c>
      <c r="AB10" s="903" t="str">
        <f>IF(ISBLANK('Saisie données file act.'!AB29), "", 'Saisie données file act.'!AB29)</f>
        <v/>
      </c>
      <c r="AC10" s="903" t="str">
        <f>IF(ISBLANK('Saisie données file act.'!AC29), "", 'Saisie données file act.'!AC29)</f>
        <v/>
      </c>
      <c r="AD10" s="903" t="str">
        <f>IF(ISBLANK('Saisie données file act.'!AD29), "", 'Saisie données file act.'!AD29)</f>
        <v/>
      </c>
      <c r="AE10" s="903" t="str">
        <f>IF(ISBLANK('Saisie données file act.'!AE29), "", 'Saisie données file act.'!AE29)</f>
        <v/>
      </c>
      <c r="AF10" s="903" t="str">
        <f>IF(ISBLANK('Saisie données file act.'!AF29), "", 'Saisie données file act.'!AF29)</f>
        <v/>
      </c>
      <c r="AG10" s="903" t="str">
        <f>IF(ISBLANK('Saisie données file act.'!AG29), "", 'Saisie données file act.'!AG29)</f>
        <v/>
      </c>
      <c r="AH10" s="903" t="str">
        <f>IF(ISBLANK('Saisie données file act.'!AH29), "", 'Saisie données file act.'!AH29)</f>
        <v/>
      </c>
      <c r="AI10" s="903" t="str">
        <f>IF(ISBLANK('Saisie données file act.'!AI29), "", 'Saisie données file act.'!AI29)</f>
        <v/>
      </c>
      <c r="AJ10" s="903" t="str">
        <f>IF(ISBLANK('Saisie données file act.'!AJ29), "", 'Saisie données file act.'!AJ29)</f>
        <v/>
      </c>
      <c r="AK10" s="903" t="str">
        <f>IF(ISBLANK('Saisie données file act.'!AK29), "", 'Saisie données file act.'!AK29)</f>
        <v/>
      </c>
      <c r="AL10" s="903" t="str">
        <f>IF(ISBLANK('Saisie données file act.'!AL29), "", 'Saisie données file act.'!AL29)</f>
        <v/>
      </c>
      <c r="AM10" s="903" t="str">
        <f>IF(ISBLANK('Saisie données file act.'!AM29), "", 'Saisie données file act.'!AM29)</f>
        <v/>
      </c>
      <c r="AN10" s="903" t="str">
        <f>IF(ISBLANK('Saisie données file act.'!AN29), "", 'Saisie données file act.'!AN29)</f>
        <v/>
      </c>
      <c r="AO10" s="903" t="str">
        <f>IF(ISBLANK('Saisie données file act.'!AO29), "", 'Saisie données file act.'!AO29)</f>
        <v/>
      </c>
      <c r="AP10" s="903" t="str">
        <f>IF(ISBLANK('Saisie données file act.'!AP29), "", 'Saisie données file act.'!AP29)</f>
        <v/>
      </c>
      <c r="AQ10" s="903" t="str">
        <f>IF(ISBLANK('Saisie données file act.'!AQ29), "", 'Saisie données file act.'!AQ29)</f>
        <v/>
      </c>
      <c r="AR10" s="903" t="str">
        <f>IF(ISBLANK('Saisie données file act.'!AR29), "", 'Saisie données file act.'!AR29)</f>
        <v/>
      </c>
      <c r="AS10" s="903" t="str">
        <f>IF(ISBLANK('Saisie données file act.'!AS29), "", 'Saisie données file act.'!AS29)</f>
        <v/>
      </c>
      <c r="AT10" s="903" t="str">
        <f>IF(ISBLANK('Saisie données file act.'!AT29), "", 'Saisie données file act.'!AT29)</f>
        <v/>
      </c>
      <c r="AU10" s="903" t="str">
        <f>IF(ISBLANK('Saisie données file act.'!AU29), "", 'Saisie données file act.'!AU29)</f>
        <v/>
      </c>
      <c r="AV10" s="900">
        <f>'Saisie données file act.'!E119</f>
        <v>0</v>
      </c>
      <c r="AW10" s="900">
        <f>'Saisie données file act.'!F216</f>
        <v>0</v>
      </c>
      <c r="AX10" s="3085">
        <f>-('Saisie données file act.'!$K$248*'Saisie données file act.'!F257)</f>
        <v>0</v>
      </c>
    </row>
    <row r="11" spans="3:50" s="895" customFormat="1" ht="14.25" thickBot="1" x14ac:dyDescent="0.3">
      <c r="C11" s="3258"/>
      <c r="D11" s="904" t="str">
        <f>'Saisie données file act.'!D30</f>
        <v>TDF+FTC+ATV/r</v>
      </c>
      <c r="E11" s="903" t="str">
        <f>IF(ISBLANK('Saisie données file act.'!E30), "", 'Saisie données file act.'!E30)</f>
        <v/>
      </c>
      <c r="F11" s="903" t="str">
        <f>IF(ISBLANK('Saisie données file act.'!F30), "", 'Saisie données file act.'!F30)</f>
        <v/>
      </c>
      <c r="G11" s="903" t="str">
        <f>IF(ISBLANK('Saisie données file act.'!G30), "", 'Saisie données file act.'!G30)</f>
        <v/>
      </c>
      <c r="H11" s="903" t="str">
        <f>IF(ISBLANK('Saisie données file act.'!H30), "", 'Saisie données file act.'!H30)</f>
        <v/>
      </c>
      <c r="I11" s="903" t="str">
        <f>IF(ISBLANK('Saisie données file act.'!I30), "", 'Saisie données file act.'!I30)</f>
        <v/>
      </c>
      <c r="J11" s="903" t="str">
        <f>IF(ISBLANK('Saisie données file act.'!J30), "", 'Saisie données file act.'!J30)</f>
        <v/>
      </c>
      <c r="K11" s="903" t="str">
        <f>IF(ISBLANK('Saisie données file act.'!K30), "", 'Saisie données file act.'!K30)</f>
        <v/>
      </c>
      <c r="L11" s="903" t="str">
        <f>IF(ISBLANK('Saisie données file act.'!L30), "", 'Saisie données file act.'!L30)</f>
        <v/>
      </c>
      <c r="M11" s="903" t="str">
        <f>IF(ISBLANK('Saisie données file act.'!M30), "", 'Saisie données file act.'!M30)</f>
        <v/>
      </c>
      <c r="N11" s="903" t="str">
        <f>IF(ISBLANK('Saisie données file act.'!N30), "", 'Saisie données file act.'!N30)</f>
        <v/>
      </c>
      <c r="O11" s="903" t="str">
        <f>IF(ISBLANK('Saisie données file act.'!O30), "", 'Saisie données file act.'!O30)</f>
        <v/>
      </c>
      <c r="P11" s="903" t="str">
        <f>IF(ISBLANK('Saisie données file act.'!P30), "", 'Saisie données file act.'!P30)</f>
        <v/>
      </c>
      <c r="Q11" s="903" t="str">
        <f>IF(ISBLANK('Saisie données file act.'!Q30), "", 'Saisie données file act.'!Q30)</f>
        <v/>
      </c>
      <c r="R11" s="903" t="str">
        <f>IF(ISBLANK('Saisie données file act.'!R30), "", 'Saisie données file act.'!R30)</f>
        <v/>
      </c>
      <c r="S11" s="903" t="str">
        <f>IF(ISBLANK('Saisie données file act.'!S30), "", 'Saisie données file act.'!S30)</f>
        <v/>
      </c>
      <c r="T11" s="903" t="str">
        <f>IF(ISBLANK('Saisie données file act.'!T30), "", 'Saisie données file act.'!T30)</f>
        <v/>
      </c>
      <c r="U11" s="903" t="str">
        <f>IF(ISBLANK('Saisie données file act.'!U30), "", 'Saisie données file act.'!U30)</f>
        <v/>
      </c>
      <c r="V11" s="903" t="str">
        <f>IF(ISBLANK('Saisie données file act.'!V30), "", 'Saisie données file act.'!V30)</f>
        <v/>
      </c>
      <c r="W11" s="903" t="str">
        <f>IF(ISBLANK('Saisie données file act.'!W30), "", 'Saisie données file act.'!W30)</f>
        <v/>
      </c>
      <c r="X11" s="903" t="str">
        <f>IF(ISBLANK('Saisie données file act.'!X30), "", 'Saisie données file act.'!X30)</f>
        <v/>
      </c>
      <c r="Y11" s="903" t="str">
        <f>IF(ISBLANK('Saisie données file act.'!Y30), "", 'Saisie données file act.'!Y30)</f>
        <v/>
      </c>
      <c r="Z11" s="903" t="str">
        <f>IF(ISBLANK('Saisie données file act.'!Z30), "", 'Saisie données file act.'!Z30)</f>
        <v/>
      </c>
      <c r="AA11" s="903" t="str">
        <f>IF(ISBLANK('Saisie données file act.'!AA30), "", 'Saisie données file act.'!AA30)</f>
        <v/>
      </c>
      <c r="AB11" s="903" t="str">
        <f>IF(ISBLANK('Saisie données file act.'!AB30), "", 'Saisie données file act.'!AB30)</f>
        <v/>
      </c>
      <c r="AC11" s="903" t="str">
        <f>IF(ISBLANK('Saisie données file act.'!AC30), "", 'Saisie données file act.'!AC30)</f>
        <v/>
      </c>
      <c r="AD11" s="903" t="str">
        <f>IF(ISBLANK('Saisie données file act.'!AD30), "", 'Saisie données file act.'!AD30)</f>
        <v/>
      </c>
      <c r="AE11" s="903" t="str">
        <f>IF(ISBLANK('Saisie données file act.'!AE30), "", 'Saisie données file act.'!AE30)</f>
        <v/>
      </c>
      <c r="AF11" s="903" t="str">
        <f>IF(ISBLANK('Saisie données file act.'!AF30), "", 'Saisie données file act.'!AF30)</f>
        <v/>
      </c>
      <c r="AG11" s="903" t="str">
        <f>IF(ISBLANK('Saisie données file act.'!AG30), "", 'Saisie données file act.'!AG30)</f>
        <v/>
      </c>
      <c r="AH11" s="903" t="str">
        <f>IF(ISBLANK('Saisie données file act.'!AH30), "", 'Saisie données file act.'!AH30)</f>
        <v/>
      </c>
      <c r="AI11" s="903" t="str">
        <f>IF(ISBLANK('Saisie données file act.'!AI30), "", 'Saisie données file act.'!AI30)</f>
        <v/>
      </c>
      <c r="AJ11" s="903" t="str">
        <f>IF(ISBLANK('Saisie données file act.'!AJ30), "", 'Saisie données file act.'!AJ30)</f>
        <v/>
      </c>
      <c r="AK11" s="903" t="str">
        <f>IF(ISBLANK('Saisie données file act.'!AK30), "", 'Saisie données file act.'!AK30)</f>
        <v/>
      </c>
      <c r="AL11" s="903" t="str">
        <f>IF(ISBLANK('Saisie données file act.'!AL30), "", 'Saisie données file act.'!AL30)</f>
        <v/>
      </c>
      <c r="AM11" s="903" t="str">
        <f>IF(ISBLANK('Saisie données file act.'!AM30), "", 'Saisie données file act.'!AM30)</f>
        <v/>
      </c>
      <c r="AN11" s="903" t="str">
        <f>IF(ISBLANK('Saisie données file act.'!AN30), "", 'Saisie données file act.'!AN30)</f>
        <v/>
      </c>
      <c r="AO11" s="903" t="str">
        <f>IF(ISBLANK('Saisie données file act.'!AO30), "", 'Saisie données file act.'!AO30)</f>
        <v/>
      </c>
      <c r="AP11" s="903" t="str">
        <f>IF(ISBLANK('Saisie données file act.'!AP30), "", 'Saisie données file act.'!AP30)</f>
        <v/>
      </c>
      <c r="AQ11" s="903" t="str">
        <f>IF(ISBLANK('Saisie données file act.'!AQ30), "", 'Saisie données file act.'!AQ30)</f>
        <v/>
      </c>
      <c r="AR11" s="903" t="str">
        <f>IF(ISBLANK('Saisie données file act.'!AR30), "", 'Saisie données file act.'!AR30)</f>
        <v/>
      </c>
      <c r="AS11" s="903" t="str">
        <f>IF(ISBLANK('Saisie données file act.'!AS30), "", 'Saisie données file act.'!AS30)</f>
        <v/>
      </c>
      <c r="AT11" s="903" t="str">
        <f>IF(ISBLANK('Saisie données file act.'!AT30), "", 'Saisie données file act.'!AT30)</f>
        <v/>
      </c>
      <c r="AU11" s="903" t="str">
        <f>IF(ISBLANK('Saisie données file act.'!AU30), "", 'Saisie données file act.'!AU30)</f>
        <v/>
      </c>
      <c r="AV11" s="900">
        <f>'Saisie données file act.'!E120</f>
        <v>0</v>
      </c>
      <c r="AW11" s="900">
        <f>'Saisie données file act.'!F217</f>
        <v>0</v>
      </c>
      <c r="AX11" s="3085">
        <f>-('Saisie données file act.'!$K$248*'Saisie données file act.'!F258)</f>
        <v>0</v>
      </c>
    </row>
    <row r="12" spans="3:50" s="895" customFormat="1" ht="14.25" thickBot="1" x14ac:dyDescent="0.3">
      <c r="C12" s="3258"/>
      <c r="D12" s="905">
        <f>'Saisie données file act.'!D31</f>
        <v>0</v>
      </c>
      <c r="E12" s="903" t="str">
        <f>IF(ISBLANK('Saisie données file act.'!E31), "", 'Saisie données file act.'!E31)</f>
        <v/>
      </c>
      <c r="F12" s="903" t="str">
        <f>IF(ISBLANK('Saisie données file act.'!F31), "", 'Saisie données file act.'!F31)</f>
        <v/>
      </c>
      <c r="G12" s="903" t="str">
        <f>IF(ISBLANK('Saisie données file act.'!G31), "", 'Saisie données file act.'!G31)</f>
        <v/>
      </c>
      <c r="H12" s="903" t="str">
        <f>IF(ISBLANK('Saisie données file act.'!H31), "", 'Saisie données file act.'!H31)</f>
        <v/>
      </c>
      <c r="I12" s="903" t="str">
        <f>IF(ISBLANK('Saisie données file act.'!I31), "", 'Saisie données file act.'!I31)</f>
        <v/>
      </c>
      <c r="J12" s="903" t="str">
        <f>IF(ISBLANK('Saisie données file act.'!J31), "", 'Saisie données file act.'!J31)</f>
        <v/>
      </c>
      <c r="K12" s="903" t="str">
        <f>IF(ISBLANK('Saisie données file act.'!K31), "", 'Saisie données file act.'!K31)</f>
        <v/>
      </c>
      <c r="L12" s="903" t="str">
        <f>IF(ISBLANK('Saisie données file act.'!L31), "", 'Saisie données file act.'!L31)</f>
        <v/>
      </c>
      <c r="M12" s="903" t="str">
        <f>IF(ISBLANK('Saisie données file act.'!M31), "", 'Saisie données file act.'!M31)</f>
        <v/>
      </c>
      <c r="N12" s="903" t="str">
        <f>IF(ISBLANK('Saisie données file act.'!N31), "", 'Saisie données file act.'!N31)</f>
        <v/>
      </c>
      <c r="O12" s="903" t="str">
        <f>IF(ISBLANK('Saisie données file act.'!O31), "", 'Saisie données file act.'!O31)</f>
        <v/>
      </c>
      <c r="P12" s="903" t="str">
        <f>IF(ISBLANK('Saisie données file act.'!P31), "", 'Saisie données file act.'!P31)</f>
        <v/>
      </c>
      <c r="Q12" s="903" t="str">
        <f>IF(ISBLANK('Saisie données file act.'!Q31), "", 'Saisie données file act.'!Q31)</f>
        <v/>
      </c>
      <c r="R12" s="903" t="str">
        <f>IF(ISBLANK('Saisie données file act.'!R31), "", 'Saisie données file act.'!R31)</f>
        <v/>
      </c>
      <c r="S12" s="903" t="str">
        <f>IF(ISBLANK('Saisie données file act.'!S31), "", 'Saisie données file act.'!S31)</f>
        <v/>
      </c>
      <c r="T12" s="903" t="str">
        <f>IF(ISBLANK('Saisie données file act.'!T31), "", 'Saisie données file act.'!T31)</f>
        <v/>
      </c>
      <c r="U12" s="903" t="str">
        <f>IF(ISBLANK('Saisie données file act.'!U31), "", 'Saisie données file act.'!U31)</f>
        <v/>
      </c>
      <c r="V12" s="903" t="str">
        <f>IF(ISBLANK('Saisie données file act.'!V31), "", 'Saisie données file act.'!V31)</f>
        <v/>
      </c>
      <c r="W12" s="903" t="str">
        <f>IF(ISBLANK('Saisie données file act.'!W31), "", 'Saisie données file act.'!W31)</f>
        <v/>
      </c>
      <c r="X12" s="903" t="str">
        <f>IF(ISBLANK('Saisie données file act.'!X31), "", 'Saisie données file act.'!X31)</f>
        <v/>
      </c>
      <c r="Y12" s="903" t="str">
        <f>IF(ISBLANK('Saisie données file act.'!Y31), "", 'Saisie données file act.'!Y31)</f>
        <v/>
      </c>
      <c r="Z12" s="903" t="str">
        <f>IF(ISBLANK('Saisie données file act.'!Z31), "", 'Saisie données file act.'!Z31)</f>
        <v/>
      </c>
      <c r="AA12" s="903" t="str">
        <f>IF(ISBLANK('Saisie données file act.'!AA31), "", 'Saisie données file act.'!AA31)</f>
        <v/>
      </c>
      <c r="AB12" s="903" t="str">
        <f>IF(ISBLANK('Saisie données file act.'!AB31), "", 'Saisie données file act.'!AB31)</f>
        <v/>
      </c>
      <c r="AC12" s="903" t="str">
        <f>IF(ISBLANK('Saisie données file act.'!AC31), "", 'Saisie données file act.'!AC31)</f>
        <v/>
      </c>
      <c r="AD12" s="903" t="str">
        <f>IF(ISBLANK('Saisie données file act.'!AD31), "", 'Saisie données file act.'!AD31)</f>
        <v/>
      </c>
      <c r="AE12" s="903" t="str">
        <f>IF(ISBLANK('Saisie données file act.'!AE31), "", 'Saisie données file act.'!AE31)</f>
        <v/>
      </c>
      <c r="AF12" s="903" t="str">
        <f>IF(ISBLANK('Saisie données file act.'!AF31), "", 'Saisie données file act.'!AF31)</f>
        <v/>
      </c>
      <c r="AG12" s="903" t="str">
        <f>IF(ISBLANK('Saisie données file act.'!AG31), "", 'Saisie données file act.'!AG31)</f>
        <v/>
      </c>
      <c r="AH12" s="903" t="str">
        <f>IF(ISBLANK('Saisie données file act.'!AH31), "", 'Saisie données file act.'!AH31)</f>
        <v/>
      </c>
      <c r="AI12" s="903" t="str">
        <f>IF(ISBLANK('Saisie données file act.'!AI31), "", 'Saisie données file act.'!AI31)</f>
        <v/>
      </c>
      <c r="AJ12" s="903" t="str">
        <f>IF(ISBLANK('Saisie données file act.'!AJ31), "", 'Saisie données file act.'!AJ31)</f>
        <v/>
      </c>
      <c r="AK12" s="903" t="str">
        <f>IF(ISBLANK('Saisie données file act.'!AK31), "", 'Saisie données file act.'!AK31)</f>
        <v/>
      </c>
      <c r="AL12" s="903" t="str">
        <f>IF(ISBLANK('Saisie données file act.'!AL31), "", 'Saisie données file act.'!AL31)</f>
        <v/>
      </c>
      <c r="AM12" s="903" t="str">
        <f>IF(ISBLANK('Saisie données file act.'!AM31), "", 'Saisie données file act.'!AM31)</f>
        <v/>
      </c>
      <c r="AN12" s="903" t="str">
        <f>IF(ISBLANK('Saisie données file act.'!AN31), "", 'Saisie données file act.'!AN31)</f>
        <v/>
      </c>
      <c r="AO12" s="903" t="str">
        <f>IF(ISBLANK('Saisie données file act.'!AO31), "", 'Saisie données file act.'!AO31)</f>
        <v/>
      </c>
      <c r="AP12" s="903" t="str">
        <f>IF(ISBLANK('Saisie données file act.'!AP31), "", 'Saisie données file act.'!AP31)</f>
        <v/>
      </c>
      <c r="AQ12" s="903" t="str">
        <f>IF(ISBLANK('Saisie données file act.'!AQ31), "", 'Saisie données file act.'!AQ31)</f>
        <v/>
      </c>
      <c r="AR12" s="903" t="str">
        <f>IF(ISBLANK('Saisie données file act.'!AR31), "", 'Saisie données file act.'!AR31)</f>
        <v/>
      </c>
      <c r="AS12" s="903" t="str">
        <f>IF(ISBLANK('Saisie données file act.'!AS31), "", 'Saisie données file act.'!AS31)</f>
        <v/>
      </c>
      <c r="AT12" s="903" t="str">
        <f>IF(ISBLANK('Saisie données file act.'!AT31), "", 'Saisie données file act.'!AT31)</f>
        <v/>
      </c>
      <c r="AU12" s="903" t="str">
        <f>IF(ISBLANK('Saisie données file act.'!AU31), "", 'Saisie données file act.'!AU31)</f>
        <v/>
      </c>
      <c r="AV12" s="900">
        <f>'Saisie données file act.'!E121</f>
        <v>0</v>
      </c>
      <c r="AW12" s="900">
        <f>'Saisie données file act.'!F218</f>
        <v>0</v>
      </c>
      <c r="AX12" s="3085">
        <f>-('Saisie données file act.'!$K$248*'Saisie données file act.'!F259)</f>
        <v>0</v>
      </c>
    </row>
    <row r="13" spans="3:50" s="895" customFormat="1" ht="14.25" thickBot="1" x14ac:dyDescent="0.3">
      <c r="C13" s="3258"/>
      <c r="D13" s="905">
        <f>'Saisie données file act.'!D32</f>
        <v>0</v>
      </c>
      <c r="E13" s="903" t="str">
        <f>IF(ISBLANK('Saisie données file act.'!E32), "", 'Saisie données file act.'!E32)</f>
        <v/>
      </c>
      <c r="F13" s="903" t="str">
        <f>IF(ISBLANK('Saisie données file act.'!F32), "", 'Saisie données file act.'!F32)</f>
        <v/>
      </c>
      <c r="G13" s="903" t="str">
        <f>IF(ISBLANK('Saisie données file act.'!G32), "", 'Saisie données file act.'!G32)</f>
        <v/>
      </c>
      <c r="H13" s="903" t="str">
        <f>IF(ISBLANK('Saisie données file act.'!H32), "", 'Saisie données file act.'!H32)</f>
        <v/>
      </c>
      <c r="I13" s="903" t="str">
        <f>IF(ISBLANK('Saisie données file act.'!I32), "", 'Saisie données file act.'!I32)</f>
        <v/>
      </c>
      <c r="J13" s="903" t="str">
        <f>IF(ISBLANK('Saisie données file act.'!J32), "", 'Saisie données file act.'!J32)</f>
        <v/>
      </c>
      <c r="K13" s="903" t="str">
        <f>IF(ISBLANK('Saisie données file act.'!K32), "", 'Saisie données file act.'!K32)</f>
        <v/>
      </c>
      <c r="L13" s="903" t="str">
        <f>IF(ISBLANK('Saisie données file act.'!L32), "", 'Saisie données file act.'!L32)</f>
        <v/>
      </c>
      <c r="M13" s="903" t="str">
        <f>IF(ISBLANK('Saisie données file act.'!M32), "", 'Saisie données file act.'!M32)</f>
        <v/>
      </c>
      <c r="N13" s="903" t="str">
        <f>IF(ISBLANK('Saisie données file act.'!N32), "", 'Saisie données file act.'!N32)</f>
        <v/>
      </c>
      <c r="O13" s="903" t="str">
        <f>IF(ISBLANK('Saisie données file act.'!O32), "", 'Saisie données file act.'!O32)</f>
        <v/>
      </c>
      <c r="P13" s="903" t="str">
        <f>IF(ISBLANK('Saisie données file act.'!P32), "", 'Saisie données file act.'!P32)</f>
        <v/>
      </c>
      <c r="Q13" s="903" t="str">
        <f>IF(ISBLANK('Saisie données file act.'!Q32), "", 'Saisie données file act.'!Q32)</f>
        <v/>
      </c>
      <c r="R13" s="903" t="str">
        <f>IF(ISBLANK('Saisie données file act.'!R32), "", 'Saisie données file act.'!R32)</f>
        <v/>
      </c>
      <c r="S13" s="903" t="str">
        <f>IF(ISBLANK('Saisie données file act.'!S32), "", 'Saisie données file act.'!S32)</f>
        <v/>
      </c>
      <c r="T13" s="903" t="str">
        <f>IF(ISBLANK('Saisie données file act.'!T32), "", 'Saisie données file act.'!T32)</f>
        <v/>
      </c>
      <c r="U13" s="903" t="str">
        <f>IF(ISBLANK('Saisie données file act.'!U32), "", 'Saisie données file act.'!U32)</f>
        <v/>
      </c>
      <c r="V13" s="903" t="str">
        <f>IF(ISBLANK('Saisie données file act.'!V32), "", 'Saisie données file act.'!V32)</f>
        <v/>
      </c>
      <c r="W13" s="903" t="str">
        <f>IF(ISBLANK('Saisie données file act.'!W32), "", 'Saisie données file act.'!W32)</f>
        <v/>
      </c>
      <c r="X13" s="903" t="str">
        <f>IF(ISBLANK('Saisie données file act.'!X32), "", 'Saisie données file act.'!X32)</f>
        <v/>
      </c>
      <c r="Y13" s="903" t="str">
        <f>IF(ISBLANK('Saisie données file act.'!Y32), "", 'Saisie données file act.'!Y32)</f>
        <v/>
      </c>
      <c r="Z13" s="903" t="str">
        <f>IF(ISBLANK('Saisie données file act.'!Z32), "", 'Saisie données file act.'!Z32)</f>
        <v/>
      </c>
      <c r="AA13" s="903" t="str">
        <f>IF(ISBLANK('Saisie données file act.'!AA32), "", 'Saisie données file act.'!AA32)</f>
        <v/>
      </c>
      <c r="AB13" s="903" t="str">
        <f>IF(ISBLANK('Saisie données file act.'!AB32), "", 'Saisie données file act.'!AB32)</f>
        <v/>
      </c>
      <c r="AC13" s="903" t="str">
        <f>IF(ISBLANK('Saisie données file act.'!AC32), "", 'Saisie données file act.'!AC32)</f>
        <v/>
      </c>
      <c r="AD13" s="903" t="str">
        <f>IF(ISBLANK('Saisie données file act.'!AD32), "", 'Saisie données file act.'!AD32)</f>
        <v/>
      </c>
      <c r="AE13" s="903" t="str">
        <f>IF(ISBLANK('Saisie données file act.'!AE32), "", 'Saisie données file act.'!AE32)</f>
        <v/>
      </c>
      <c r="AF13" s="903" t="str">
        <f>IF(ISBLANK('Saisie données file act.'!AF32), "", 'Saisie données file act.'!AF32)</f>
        <v/>
      </c>
      <c r="AG13" s="903" t="str">
        <f>IF(ISBLANK('Saisie données file act.'!AG32), "", 'Saisie données file act.'!AG32)</f>
        <v/>
      </c>
      <c r="AH13" s="903" t="str">
        <f>IF(ISBLANK('Saisie données file act.'!AH32), "", 'Saisie données file act.'!AH32)</f>
        <v/>
      </c>
      <c r="AI13" s="903" t="str">
        <f>IF(ISBLANK('Saisie données file act.'!AI32), "", 'Saisie données file act.'!AI32)</f>
        <v/>
      </c>
      <c r="AJ13" s="903" t="str">
        <f>IF(ISBLANK('Saisie données file act.'!AJ32), "", 'Saisie données file act.'!AJ32)</f>
        <v/>
      </c>
      <c r="AK13" s="903" t="str">
        <f>IF(ISBLANK('Saisie données file act.'!AK32), "", 'Saisie données file act.'!AK32)</f>
        <v/>
      </c>
      <c r="AL13" s="903" t="str">
        <f>IF(ISBLANK('Saisie données file act.'!AL32), "", 'Saisie données file act.'!AL32)</f>
        <v/>
      </c>
      <c r="AM13" s="903" t="str">
        <f>IF(ISBLANK('Saisie données file act.'!AM32), "", 'Saisie données file act.'!AM32)</f>
        <v/>
      </c>
      <c r="AN13" s="903" t="str">
        <f>IF(ISBLANK('Saisie données file act.'!AN32), "", 'Saisie données file act.'!AN32)</f>
        <v/>
      </c>
      <c r="AO13" s="903" t="str">
        <f>IF(ISBLANK('Saisie données file act.'!AO32), "", 'Saisie données file act.'!AO32)</f>
        <v/>
      </c>
      <c r="AP13" s="903" t="str">
        <f>IF(ISBLANK('Saisie données file act.'!AP32), "", 'Saisie données file act.'!AP32)</f>
        <v/>
      </c>
      <c r="AQ13" s="903" t="str">
        <f>IF(ISBLANK('Saisie données file act.'!AQ32), "", 'Saisie données file act.'!AQ32)</f>
        <v/>
      </c>
      <c r="AR13" s="903" t="str">
        <f>IF(ISBLANK('Saisie données file act.'!AR32), "", 'Saisie données file act.'!AR32)</f>
        <v/>
      </c>
      <c r="AS13" s="903" t="str">
        <f>IF(ISBLANK('Saisie données file act.'!AS32), "", 'Saisie données file act.'!AS32)</f>
        <v/>
      </c>
      <c r="AT13" s="903" t="str">
        <f>IF(ISBLANK('Saisie données file act.'!AT32), "", 'Saisie données file act.'!AT32)</f>
        <v/>
      </c>
      <c r="AU13" s="903" t="str">
        <f>IF(ISBLANK('Saisie données file act.'!AU32), "", 'Saisie données file act.'!AU32)</f>
        <v/>
      </c>
      <c r="AV13" s="900">
        <f>'Saisie données file act.'!E122</f>
        <v>0</v>
      </c>
      <c r="AW13" s="900">
        <f>'Saisie données file act.'!F219</f>
        <v>0</v>
      </c>
      <c r="AX13" s="3085">
        <f>-('Saisie données file act.'!$K$248*'Saisie données file act.'!F260)</f>
        <v>0</v>
      </c>
    </row>
    <row r="14" spans="3:50" s="895" customFormat="1" ht="14.25" thickBot="1" x14ac:dyDescent="0.3">
      <c r="C14" s="3258"/>
      <c r="D14" s="904">
        <f>'Saisie données file act.'!D33</f>
        <v>0</v>
      </c>
      <c r="E14" s="903" t="str">
        <f>IF(ISBLANK('Saisie données file act.'!E33), "", 'Saisie données file act.'!E33)</f>
        <v/>
      </c>
      <c r="F14" s="903" t="str">
        <f>IF(ISBLANK('Saisie données file act.'!F33), "", 'Saisie données file act.'!F33)</f>
        <v/>
      </c>
      <c r="G14" s="903" t="str">
        <f>IF(ISBLANK('Saisie données file act.'!G33), "", 'Saisie données file act.'!G33)</f>
        <v/>
      </c>
      <c r="H14" s="903" t="str">
        <f>IF(ISBLANK('Saisie données file act.'!H33), "", 'Saisie données file act.'!H33)</f>
        <v/>
      </c>
      <c r="I14" s="903" t="str">
        <f>IF(ISBLANK('Saisie données file act.'!I33), "", 'Saisie données file act.'!I33)</f>
        <v/>
      </c>
      <c r="J14" s="903" t="str">
        <f>IF(ISBLANK('Saisie données file act.'!J33), "", 'Saisie données file act.'!J33)</f>
        <v/>
      </c>
      <c r="K14" s="903" t="str">
        <f>IF(ISBLANK('Saisie données file act.'!K33), "", 'Saisie données file act.'!K33)</f>
        <v/>
      </c>
      <c r="L14" s="903" t="str">
        <f>IF(ISBLANK('Saisie données file act.'!L33), "", 'Saisie données file act.'!L33)</f>
        <v/>
      </c>
      <c r="M14" s="903" t="str">
        <f>IF(ISBLANK('Saisie données file act.'!M33), "", 'Saisie données file act.'!M33)</f>
        <v/>
      </c>
      <c r="N14" s="903" t="str">
        <f>IF(ISBLANK('Saisie données file act.'!N33), "", 'Saisie données file act.'!N33)</f>
        <v/>
      </c>
      <c r="O14" s="903" t="str">
        <f>IF(ISBLANK('Saisie données file act.'!O33), "", 'Saisie données file act.'!O33)</f>
        <v/>
      </c>
      <c r="P14" s="903" t="str">
        <f>IF(ISBLANK('Saisie données file act.'!P33), "", 'Saisie données file act.'!P33)</f>
        <v/>
      </c>
      <c r="Q14" s="903" t="str">
        <f>IF(ISBLANK('Saisie données file act.'!Q33), "", 'Saisie données file act.'!Q33)</f>
        <v/>
      </c>
      <c r="R14" s="903" t="str">
        <f>IF(ISBLANK('Saisie données file act.'!R33), "", 'Saisie données file act.'!R33)</f>
        <v/>
      </c>
      <c r="S14" s="903" t="str">
        <f>IF(ISBLANK('Saisie données file act.'!S33), "", 'Saisie données file act.'!S33)</f>
        <v/>
      </c>
      <c r="T14" s="903" t="str">
        <f>IF(ISBLANK('Saisie données file act.'!T33), "", 'Saisie données file act.'!T33)</f>
        <v/>
      </c>
      <c r="U14" s="903" t="str">
        <f>IF(ISBLANK('Saisie données file act.'!U33), "", 'Saisie données file act.'!U33)</f>
        <v/>
      </c>
      <c r="V14" s="903" t="str">
        <f>IF(ISBLANK('Saisie données file act.'!V33), "", 'Saisie données file act.'!V33)</f>
        <v/>
      </c>
      <c r="W14" s="903" t="str">
        <f>IF(ISBLANK('Saisie données file act.'!W33), "", 'Saisie données file act.'!W33)</f>
        <v/>
      </c>
      <c r="X14" s="903" t="str">
        <f>IF(ISBLANK('Saisie données file act.'!X33), "", 'Saisie données file act.'!X33)</f>
        <v/>
      </c>
      <c r="Y14" s="903" t="str">
        <f>IF(ISBLANK('Saisie données file act.'!Y33), "", 'Saisie données file act.'!Y33)</f>
        <v/>
      </c>
      <c r="Z14" s="903" t="str">
        <f>IF(ISBLANK('Saisie données file act.'!Z33), "", 'Saisie données file act.'!Z33)</f>
        <v/>
      </c>
      <c r="AA14" s="903" t="str">
        <f>IF(ISBLANK('Saisie données file act.'!AA33), "", 'Saisie données file act.'!AA33)</f>
        <v/>
      </c>
      <c r="AB14" s="903" t="str">
        <f>IF(ISBLANK('Saisie données file act.'!AB33), "", 'Saisie données file act.'!AB33)</f>
        <v/>
      </c>
      <c r="AC14" s="903" t="str">
        <f>IF(ISBLANK('Saisie données file act.'!AC33), "", 'Saisie données file act.'!AC33)</f>
        <v/>
      </c>
      <c r="AD14" s="903" t="str">
        <f>IF(ISBLANK('Saisie données file act.'!AD33), "", 'Saisie données file act.'!AD33)</f>
        <v/>
      </c>
      <c r="AE14" s="903" t="str">
        <f>IF(ISBLANK('Saisie données file act.'!AE33), "", 'Saisie données file act.'!AE33)</f>
        <v/>
      </c>
      <c r="AF14" s="903" t="str">
        <f>IF(ISBLANK('Saisie données file act.'!AF33), "", 'Saisie données file act.'!AF33)</f>
        <v/>
      </c>
      <c r="AG14" s="903" t="str">
        <f>IF(ISBLANK('Saisie données file act.'!AG33), "", 'Saisie données file act.'!AG33)</f>
        <v/>
      </c>
      <c r="AH14" s="903" t="str">
        <f>IF(ISBLANK('Saisie données file act.'!AH33), "", 'Saisie données file act.'!AH33)</f>
        <v/>
      </c>
      <c r="AI14" s="903" t="str">
        <f>IF(ISBLANK('Saisie données file act.'!AI33), "", 'Saisie données file act.'!AI33)</f>
        <v/>
      </c>
      <c r="AJ14" s="903" t="str">
        <f>IF(ISBLANK('Saisie données file act.'!AJ33), "", 'Saisie données file act.'!AJ33)</f>
        <v/>
      </c>
      <c r="AK14" s="903" t="str">
        <f>IF(ISBLANK('Saisie données file act.'!AK33), "", 'Saisie données file act.'!AK33)</f>
        <v/>
      </c>
      <c r="AL14" s="903" t="str">
        <f>IF(ISBLANK('Saisie données file act.'!AL33), "", 'Saisie données file act.'!AL33)</f>
        <v/>
      </c>
      <c r="AM14" s="903" t="str">
        <f>IF(ISBLANK('Saisie données file act.'!AM33), "", 'Saisie données file act.'!AM33)</f>
        <v/>
      </c>
      <c r="AN14" s="903" t="str">
        <f>IF(ISBLANK('Saisie données file act.'!AN33), "", 'Saisie données file act.'!AN33)</f>
        <v/>
      </c>
      <c r="AO14" s="903" t="str">
        <f>IF(ISBLANK('Saisie données file act.'!AO33), "", 'Saisie données file act.'!AO33)</f>
        <v/>
      </c>
      <c r="AP14" s="903" t="str">
        <f>IF(ISBLANK('Saisie données file act.'!AP33), "", 'Saisie données file act.'!AP33)</f>
        <v/>
      </c>
      <c r="AQ14" s="903" t="str">
        <f>IF(ISBLANK('Saisie données file act.'!AQ33), "", 'Saisie données file act.'!AQ33)</f>
        <v/>
      </c>
      <c r="AR14" s="903" t="str">
        <f>IF(ISBLANK('Saisie données file act.'!AR33), "", 'Saisie données file act.'!AR33)</f>
        <v/>
      </c>
      <c r="AS14" s="903" t="str">
        <f>IF(ISBLANK('Saisie données file act.'!AS33), "", 'Saisie données file act.'!AS33)</f>
        <v/>
      </c>
      <c r="AT14" s="903" t="str">
        <f>IF(ISBLANK('Saisie données file act.'!AT33), "", 'Saisie données file act.'!AT33)</f>
        <v/>
      </c>
      <c r="AU14" s="903" t="str">
        <f>IF(ISBLANK('Saisie données file act.'!AU33), "", 'Saisie données file act.'!AU33)</f>
        <v/>
      </c>
      <c r="AV14" s="900">
        <f>'Saisie données file act.'!E123</f>
        <v>0</v>
      </c>
      <c r="AW14" s="900">
        <f>'Saisie données file act.'!F220</f>
        <v>0</v>
      </c>
      <c r="AX14" s="3085">
        <f>-('Saisie données file act.'!$K$248*'Saisie données file act.'!F261)</f>
        <v>0</v>
      </c>
    </row>
    <row r="15" spans="3:50" s="895" customFormat="1" ht="14.25" thickBot="1" x14ac:dyDescent="0.3">
      <c r="C15" s="3258"/>
      <c r="D15" s="905">
        <f>'Saisie données file act.'!D34</f>
        <v>0</v>
      </c>
      <c r="E15" s="903" t="str">
        <f>IF(ISBLANK('Saisie données file act.'!E34), "", 'Saisie données file act.'!E34)</f>
        <v/>
      </c>
      <c r="F15" s="903" t="str">
        <f>IF(ISBLANK('Saisie données file act.'!F34), "", 'Saisie données file act.'!F34)</f>
        <v/>
      </c>
      <c r="G15" s="903" t="str">
        <f>IF(ISBLANK('Saisie données file act.'!G34), "", 'Saisie données file act.'!G34)</f>
        <v/>
      </c>
      <c r="H15" s="903" t="str">
        <f>IF(ISBLANK('Saisie données file act.'!H34), "", 'Saisie données file act.'!H34)</f>
        <v/>
      </c>
      <c r="I15" s="903" t="str">
        <f>IF(ISBLANK('Saisie données file act.'!I34), "", 'Saisie données file act.'!I34)</f>
        <v/>
      </c>
      <c r="J15" s="903" t="str">
        <f>IF(ISBLANK('Saisie données file act.'!J34), "", 'Saisie données file act.'!J34)</f>
        <v/>
      </c>
      <c r="K15" s="903" t="str">
        <f>IF(ISBLANK('Saisie données file act.'!K34), "", 'Saisie données file act.'!K34)</f>
        <v/>
      </c>
      <c r="L15" s="903" t="str">
        <f>IF(ISBLANK('Saisie données file act.'!L34), "", 'Saisie données file act.'!L34)</f>
        <v/>
      </c>
      <c r="M15" s="903" t="str">
        <f>IF(ISBLANK('Saisie données file act.'!M34), "", 'Saisie données file act.'!M34)</f>
        <v/>
      </c>
      <c r="N15" s="903" t="str">
        <f>IF(ISBLANK('Saisie données file act.'!N34), "", 'Saisie données file act.'!N34)</f>
        <v/>
      </c>
      <c r="O15" s="903" t="str">
        <f>IF(ISBLANK('Saisie données file act.'!O34), "", 'Saisie données file act.'!O34)</f>
        <v/>
      </c>
      <c r="P15" s="903" t="str">
        <f>IF(ISBLANK('Saisie données file act.'!P34), "", 'Saisie données file act.'!P34)</f>
        <v/>
      </c>
      <c r="Q15" s="903" t="str">
        <f>IF(ISBLANK('Saisie données file act.'!Q34), "", 'Saisie données file act.'!Q34)</f>
        <v/>
      </c>
      <c r="R15" s="903" t="str">
        <f>IF(ISBLANK('Saisie données file act.'!R34), "", 'Saisie données file act.'!R34)</f>
        <v/>
      </c>
      <c r="S15" s="903" t="str">
        <f>IF(ISBLANK('Saisie données file act.'!S34), "", 'Saisie données file act.'!S34)</f>
        <v/>
      </c>
      <c r="T15" s="903" t="str">
        <f>IF(ISBLANK('Saisie données file act.'!T34), "", 'Saisie données file act.'!T34)</f>
        <v/>
      </c>
      <c r="U15" s="903" t="str">
        <f>IF(ISBLANK('Saisie données file act.'!U34), "", 'Saisie données file act.'!U34)</f>
        <v/>
      </c>
      <c r="V15" s="903" t="str">
        <f>IF(ISBLANK('Saisie données file act.'!V34), "", 'Saisie données file act.'!V34)</f>
        <v/>
      </c>
      <c r="W15" s="903" t="str">
        <f>IF(ISBLANK('Saisie données file act.'!W34), "", 'Saisie données file act.'!W34)</f>
        <v/>
      </c>
      <c r="X15" s="903" t="str">
        <f>IF(ISBLANK('Saisie données file act.'!X34), "", 'Saisie données file act.'!X34)</f>
        <v/>
      </c>
      <c r="Y15" s="903" t="str">
        <f>IF(ISBLANK('Saisie données file act.'!Y34), "", 'Saisie données file act.'!Y34)</f>
        <v/>
      </c>
      <c r="Z15" s="903" t="str">
        <f>IF(ISBLANK('Saisie données file act.'!Z34), "", 'Saisie données file act.'!Z34)</f>
        <v/>
      </c>
      <c r="AA15" s="903" t="str">
        <f>IF(ISBLANK('Saisie données file act.'!AA34), "", 'Saisie données file act.'!AA34)</f>
        <v/>
      </c>
      <c r="AB15" s="903" t="str">
        <f>IF(ISBLANK('Saisie données file act.'!AB34), "", 'Saisie données file act.'!AB34)</f>
        <v/>
      </c>
      <c r="AC15" s="903" t="str">
        <f>IF(ISBLANK('Saisie données file act.'!AC34), "", 'Saisie données file act.'!AC34)</f>
        <v/>
      </c>
      <c r="AD15" s="903" t="str">
        <f>IF(ISBLANK('Saisie données file act.'!AD34), "", 'Saisie données file act.'!AD34)</f>
        <v/>
      </c>
      <c r="AE15" s="903" t="str">
        <f>IF(ISBLANK('Saisie données file act.'!AE34), "", 'Saisie données file act.'!AE34)</f>
        <v/>
      </c>
      <c r="AF15" s="903" t="str">
        <f>IF(ISBLANK('Saisie données file act.'!AF34), "", 'Saisie données file act.'!AF34)</f>
        <v/>
      </c>
      <c r="AG15" s="903" t="str">
        <f>IF(ISBLANK('Saisie données file act.'!AG34), "", 'Saisie données file act.'!AG34)</f>
        <v/>
      </c>
      <c r="AH15" s="903" t="str">
        <f>IF(ISBLANK('Saisie données file act.'!AH34), "", 'Saisie données file act.'!AH34)</f>
        <v/>
      </c>
      <c r="AI15" s="903" t="str">
        <f>IF(ISBLANK('Saisie données file act.'!AI34), "", 'Saisie données file act.'!AI34)</f>
        <v/>
      </c>
      <c r="AJ15" s="903" t="str">
        <f>IF(ISBLANK('Saisie données file act.'!AJ34), "", 'Saisie données file act.'!AJ34)</f>
        <v/>
      </c>
      <c r="AK15" s="903" t="str">
        <f>IF(ISBLANK('Saisie données file act.'!AK34), "", 'Saisie données file act.'!AK34)</f>
        <v/>
      </c>
      <c r="AL15" s="903" t="str">
        <f>IF(ISBLANK('Saisie données file act.'!AL34), "", 'Saisie données file act.'!AL34)</f>
        <v/>
      </c>
      <c r="AM15" s="903" t="str">
        <f>IF(ISBLANK('Saisie données file act.'!AM34), "", 'Saisie données file act.'!AM34)</f>
        <v/>
      </c>
      <c r="AN15" s="903" t="str">
        <f>IF(ISBLANK('Saisie données file act.'!AN34), "", 'Saisie données file act.'!AN34)</f>
        <v/>
      </c>
      <c r="AO15" s="903" t="str">
        <f>IF(ISBLANK('Saisie données file act.'!AO34), "", 'Saisie données file act.'!AO34)</f>
        <v/>
      </c>
      <c r="AP15" s="903" t="str">
        <f>IF(ISBLANK('Saisie données file act.'!AP34), "", 'Saisie données file act.'!AP34)</f>
        <v/>
      </c>
      <c r="AQ15" s="903" t="str">
        <f>IF(ISBLANK('Saisie données file act.'!AQ34), "", 'Saisie données file act.'!AQ34)</f>
        <v/>
      </c>
      <c r="AR15" s="903" t="str">
        <f>IF(ISBLANK('Saisie données file act.'!AR34), "", 'Saisie données file act.'!AR34)</f>
        <v/>
      </c>
      <c r="AS15" s="903" t="str">
        <f>IF(ISBLANK('Saisie données file act.'!AS34), "", 'Saisie données file act.'!AS34)</f>
        <v/>
      </c>
      <c r="AT15" s="903" t="str">
        <f>IF(ISBLANK('Saisie données file act.'!AT34), "", 'Saisie données file act.'!AT34)</f>
        <v/>
      </c>
      <c r="AU15" s="903" t="str">
        <f>IF(ISBLANK('Saisie données file act.'!AU34), "", 'Saisie données file act.'!AU34)</f>
        <v/>
      </c>
      <c r="AV15" s="900">
        <f>'Saisie données file act.'!E124</f>
        <v>0</v>
      </c>
      <c r="AW15" s="900">
        <f>'Saisie données file act.'!F221</f>
        <v>0</v>
      </c>
      <c r="AX15" s="3085">
        <f>-('Saisie données file act.'!$K$248*'Saisie données file act.'!F262)</f>
        <v>0</v>
      </c>
    </row>
    <row r="16" spans="3:50" s="895" customFormat="1" ht="14.25" thickBot="1" x14ac:dyDescent="0.3">
      <c r="C16" s="3258"/>
      <c r="D16" s="905">
        <f>'Saisie données file act.'!D35</f>
        <v>0</v>
      </c>
      <c r="E16" s="903" t="str">
        <f>IF(ISBLANK('Saisie données file act.'!E35), "", 'Saisie données file act.'!E35)</f>
        <v/>
      </c>
      <c r="F16" s="903" t="str">
        <f>IF(ISBLANK('Saisie données file act.'!F35), "", 'Saisie données file act.'!F35)</f>
        <v/>
      </c>
      <c r="G16" s="903" t="str">
        <f>IF(ISBLANK('Saisie données file act.'!G35), "", 'Saisie données file act.'!G35)</f>
        <v/>
      </c>
      <c r="H16" s="903" t="str">
        <f>IF(ISBLANK('Saisie données file act.'!H35), "", 'Saisie données file act.'!H35)</f>
        <v/>
      </c>
      <c r="I16" s="903" t="str">
        <f>IF(ISBLANK('Saisie données file act.'!I35), "", 'Saisie données file act.'!I35)</f>
        <v/>
      </c>
      <c r="J16" s="903" t="str">
        <f>IF(ISBLANK('Saisie données file act.'!J35), "", 'Saisie données file act.'!J35)</f>
        <v/>
      </c>
      <c r="K16" s="903" t="str">
        <f>IF(ISBLANK('Saisie données file act.'!K35), "", 'Saisie données file act.'!K35)</f>
        <v/>
      </c>
      <c r="L16" s="903" t="str">
        <f>IF(ISBLANK('Saisie données file act.'!L35), "", 'Saisie données file act.'!L35)</f>
        <v/>
      </c>
      <c r="M16" s="903" t="str">
        <f>IF(ISBLANK('Saisie données file act.'!M35), "", 'Saisie données file act.'!M35)</f>
        <v/>
      </c>
      <c r="N16" s="903" t="str">
        <f>IF(ISBLANK('Saisie données file act.'!N35), "", 'Saisie données file act.'!N35)</f>
        <v/>
      </c>
      <c r="O16" s="903" t="str">
        <f>IF(ISBLANK('Saisie données file act.'!O35), "", 'Saisie données file act.'!O35)</f>
        <v/>
      </c>
      <c r="P16" s="903" t="str">
        <f>IF(ISBLANK('Saisie données file act.'!P35), "", 'Saisie données file act.'!P35)</f>
        <v/>
      </c>
      <c r="Q16" s="903" t="str">
        <f>IF(ISBLANK('Saisie données file act.'!Q35), "", 'Saisie données file act.'!Q35)</f>
        <v/>
      </c>
      <c r="R16" s="903" t="str">
        <f>IF(ISBLANK('Saisie données file act.'!R35), "", 'Saisie données file act.'!R35)</f>
        <v/>
      </c>
      <c r="S16" s="903" t="str">
        <f>IF(ISBLANK('Saisie données file act.'!S35), "", 'Saisie données file act.'!S35)</f>
        <v/>
      </c>
      <c r="T16" s="903" t="str">
        <f>IF(ISBLANK('Saisie données file act.'!T35), "", 'Saisie données file act.'!T35)</f>
        <v/>
      </c>
      <c r="U16" s="903" t="str">
        <f>IF(ISBLANK('Saisie données file act.'!U35), "", 'Saisie données file act.'!U35)</f>
        <v/>
      </c>
      <c r="V16" s="903" t="str">
        <f>IF(ISBLANK('Saisie données file act.'!V35), "", 'Saisie données file act.'!V35)</f>
        <v/>
      </c>
      <c r="W16" s="903" t="str">
        <f>IF(ISBLANK('Saisie données file act.'!W35), "", 'Saisie données file act.'!W35)</f>
        <v/>
      </c>
      <c r="X16" s="903" t="str">
        <f>IF(ISBLANK('Saisie données file act.'!X35), "", 'Saisie données file act.'!X35)</f>
        <v/>
      </c>
      <c r="Y16" s="903" t="str">
        <f>IF(ISBLANK('Saisie données file act.'!Y35), "", 'Saisie données file act.'!Y35)</f>
        <v/>
      </c>
      <c r="Z16" s="903" t="str">
        <f>IF(ISBLANK('Saisie données file act.'!Z35), "", 'Saisie données file act.'!Z35)</f>
        <v/>
      </c>
      <c r="AA16" s="903" t="str">
        <f>IF(ISBLANK('Saisie données file act.'!AA35), "", 'Saisie données file act.'!AA35)</f>
        <v/>
      </c>
      <c r="AB16" s="903" t="str">
        <f>IF(ISBLANK('Saisie données file act.'!AB35), "", 'Saisie données file act.'!AB35)</f>
        <v/>
      </c>
      <c r="AC16" s="903" t="str">
        <f>IF(ISBLANK('Saisie données file act.'!AC35), "", 'Saisie données file act.'!AC35)</f>
        <v/>
      </c>
      <c r="AD16" s="903" t="str">
        <f>IF(ISBLANK('Saisie données file act.'!AD35), "", 'Saisie données file act.'!AD35)</f>
        <v/>
      </c>
      <c r="AE16" s="903" t="str">
        <f>IF(ISBLANK('Saisie données file act.'!AE35), "", 'Saisie données file act.'!AE35)</f>
        <v/>
      </c>
      <c r="AF16" s="903" t="str">
        <f>IF(ISBLANK('Saisie données file act.'!AF35), "", 'Saisie données file act.'!AF35)</f>
        <v/>
      </c>
      <c r="AG16" s="903" t="str">
        <f>IF(ISBLANK('Saisie données file act.'!AG35), "", 'Saisie données file act.'!AG35)</f>
        <v/>
      </c>
      <c r="AH16" s="903" t="str">
        <f>IF(ISBLANK('Saisie données file act.'!AH35), "", 'Saisie données file act.'!AH35)</f>
        <v/>
      </c>
      <c r="AI16" s="903" t="str">
        <f>IF(ISBLANK('Saisie données file act.'!AI35), "", 'Saisie données file act.'!AI35)</f>
        <v/>
      </c>
      <c r="AJ16" s="903" t="str">
        <f>IF(ISBLANK('Saisie données file act.'!AJ35), "", 'Saisie données file act.'!AJ35)</f>
        <v/>
      </c>
      <c r="AK16" s="903" t="str">
        <f>IF(ISBLANK('Saisie données file act.'!AK35), "", 'Saisie données file act.'!AK35)</f>
        <v/>
      </c>
      <c r="AL16" s="903" t="str">
        <f>IF(ISBLANK('Saisie données file act.'!AL35), "", 'Saisie données file act.'!AL35)</f>
        <v/>
      </c>
      <c r="AM16" s="903" t="str">
        <f>IF(ISBLANK('Saisie données file act.'!AM35), "", 'Saisie données file act.'!AM35)</f>
        <v/>
      </c>
      <c r="AN16" s="903" t="str">
        <f>IF(ISBLANK('Saisie données file act.'!AN35), "", 'Saisie données file act.'!AN35)</f>
        <v/>
      </c>
      <c r="AO16" s="903" t="str">
        <f>IF(ISBLANK('Saisie données file act.'!AO35), "", 'Saisie données file act.'!AO35)</f>
        <v/>
      </c>
      <c r="AP16" s="903" t="str">
        <f>IF(ISBLANK('Saisie données file act.'!AP35), "", 'Saisie données file act.'!AP35)</f>
        <v/>
      </c>
      <c r="AQ16" s="903" t="str">
        <f>IF(ISBLANK('Saisie données file act.'!AQ35), "", 'Saisie données file act.'!AQ35)</f>
        <v/>
      </c>
      <c r="AR16" s="903" t="str">
        <f>IF(ISBLANK('Saisie données file act.'!AR35), "", 'Saisie données file act.'!AR35)</f>
        <v/>
      </c>
      <c r="AS16" s="903" t="str">
        <f>IF(ISBLANK('Saisie données file act.'!AS35), "", 'Saisie données file act.'!AS35)</f>
        <v/>
      </c>
      <c r="AT16" s="903" t="str">
        <f>IF(ISBLANK('Saisie données file act.'!AT35), "", 'Saisie données file act.'!AT35)</f>
        <v/>
      </c>
      <c r="AU16" s="903" t="str">
        <f>IF(ISBLANK('Saisie données file act.'!AU35), "", 'Saisie données file act.'!AU35)</f>
        <v/>
      </c>
      <c r="AV16" s="900">
        <f>'Saisie données file act.'!E125</f>
        <v>0</v>
      </c>
      <c r="AW16" s="900">
        <f>'Saisie données file act.'!F222</f>
        <v>0</v>
      </c>
      <c r="AX16" s="3085">
        <f>-('Saisie données file act.'!$K$248*'Saisie données file act.'!F263)</f>
        <v>0</v>
      </c>
    </row>
    <row r="17" spans="3:50" s="895" customFormat="1" ht="14.25" thickBot="1" x14ac:dyDescent="0.3">
      <c r="C17" s="3258"/>
      <c r="D17" s="905">
        <f>'Saisie données file act.'!D36</f>
        <v>0</v>
      </c>
      <c r="E17" s="903" t="str">
        <f>IF(ISBLANK('Saisie données file act.'!E36), "", 'Saisie données file act.'!E36)</f>
        <v/>
      </c>
      <c r="F17" s="903" t="str">
        <f>IF(ISBLANK('Saisie données file act.'!F36), "", 'Saisie données file act.'!F36)</f>
        <v/>
      </c>
      <c r="G17" s="903" t="str">
        <f>IF(ISBLANK('Saisie données file act.'!G36), "", 'Saisie données file act.'!G36)</f>
        <v/>
      </c>
      <c r="H17" s="903" t="str">
        <f>IF(ISBLANK('Saisie données file act.'!H36), "", 'Saisie données file act.'!H36)</f>
        <v/>
      </c>
      <c r="I17" s="903" t="str">
        <f>IF(ISBLANK('Saisie données file act.'!I36), "", 'Saisie données file act.'!I36)</f>
        <v/>
      </c>
      <c r="J17" s="903" t="str">
        <f>IF(ISBLANK('Saisie données file act.'!J36), "", 'Saisie données file act.'!J36)</f>
        <v/>
      </c>
      <c r="K17" s="903" t="str">
        <f>IF(ISBLANK('Saisie données file act.'!K36), "", 'Saisie données file act.'!K36)</f>
        <v/>
      </c>
      <c r="L17" s="903" t="str">
        <f>IF(ISBLANK('Saisie données file act.'!L36), "", 'Saisie données file act.'!L36)</f>
        <v/>
      </c>
      <c r="M17" s="903" t="str">
        <f>IF(ISBLANK('Saisie données file act.'!M36), "", 'Saisie données file act.'!M36)</f>
        <v/>
      </c>
      <c r="N17" s="903" t="str">
        <f>IF(ISBLANK('Saisie données file act.'!N36), "", 'Saisie données file act.'!N36)</f>
        <v/>
      </c>
      <c r="O17" s="903" t="str">
        <f>IF(ISBLANK('Saisie données file act.'!O36), "", 'Saisie données file act.'!O36)</f>
        <v/>
      </c>
      <c r="P17" s="903" t="str">
        <f>IF(ISBLANK('Saisie données file act.'!P36), "", 'Saisie données file act.'!P36)</f>
        <v/>
      </c>
      <c r="Q17" s="903" t="str">
        <f>IF(ISBLANK('Saisie données file act.'!Q36), "", 'Saisie données file act.'!Q36)</f>
        <v/>
      </c>
      <c r="R17" s="903" t="str">
        <f>IF(ISBLANK('Saisie données file act.'!R36), "", 'Saisie données file act.'!R36)</f>
        <v/>
      </c>
      <c r="S17" s="903" t="str">
        <f>IF(ISBLANK('Saisie données file act.'!S36), "", 'Saisie données file act.'!S36)</f>
        <v/>
      </c>
      <c r="T17" s="903" t="str">
        <f>IF(ISBLANK('Saisie données file act.'!T36), "", 'Saisie données file act.'!T36)</f>
        <v/>
      </c>
      <c r="U17" s="903" t="str">
        <f>IF(ISBLANK('Saisie données file act.'!U36), "", 'Saisie données file act.'!U36)</f>
        <v/>
      </c>
      <c r="V17" s="903" t="str">
        <f>IF(ISBLANK('Saisie données file act.'!V36), "", 'Saisie données file act.'!V36)</f>
        <v/>
      </c>
      <c r="W17" s="903" t="str">
        <f>IF(ISBLANK('Saisie données file act.'!W36), "", 'Saisie données file act.'!W36)</f>
        <v/>
      </c>
      <c r="X17" s="903" t="str">
        <f>IF(ISBLANK('Saisie données file act.'!X36), "", 'Saisie données file act.'!X36)</f>
        <v/>
      </c>
      <c r="Y17" s="903" t="str">
        <f>IF(ISBLANK('Saisie données file act.'!Y36), "", 'Saisie données file act.'!Y36)</f>
        <v/>
      </c>
      <c r="Z17" s="903" t="str">
        <f>IF(ISBLANK('Saisie données file act.'!Z36), "", 'Saisie données file act.'!Z36)</f>
        <v/>
      </c>
      <c r="AA17" s="903" t="str">
        <f>IF(ISBLANK('Saisie données file act.'!AA36), "", 'Saisie données file act.'!AA36)</f>
        <v/>
      </c>
      <c r="AB17" s="903" t="str">
        <f>IF(ISBLANK('Saisie données file act.'!AB36), "", 'Saisie données file act.'!AB36)</f>
        <v/>
      </c>
      <c r="AC17" s="903" t="str">
        <f>IF(ISBLANK('Saisie données file act.'!AC36), "", 'Saisie données file act.'!AC36)</f>
        <v/>
      </c>
      <c r="AD17" s="903" t="str">
        <f>IF(ISBLANK('Saisie données file act.'!AD36), "", 'Saisie données file act.'!AD36)</f>
        <v/>
      </c>
      <c r="AE17" s="903" t="str">
        <f>IF(ISBLANK('Saisie données file act.'!AE36), "", 'Saisie données file act.'!AE36)</f>
        <v/>
      </c>
      <c r="AF17" s="903" t="str">
        <f>IF(ISBLANK('Saisie données file act.'!AF36), "", 'Saisie données file act.'!AF36)</f>
        <v/>
      </c>
      <c r="AG17" s="903" t="str">
        <f>IF(ISBLANK('Saisie données file act.'!AG36), "", 'Saisie données file act.'!AG36)</f>
        <v/>
      </c>
      <c r="AH17" s="903" t="str">
        <f>IF(ISBLANK('Saisie données file act.'!AH36), "", 'Saisie données file act.'!AH36)</f>
        <v/>
      </c>
      <c r="AI17" s="903" t="str">
        <f>IF(ISBLANK('Saisie données file act.'!AI36), "", 'Saisie données file act.'!AI36)</f>
        <v/>
      </c>
      <c r="AJ17" s="903" t="str">
        <f>IF(ISBLANK('Saisie données file act.'!AJ36), "", 'Saisie données file act.'!AJ36)</f>
        <v/>
      </c>
      <c r="AK17" s="903" t="str">
        <f>IF(ISBLANK('Saisie données file act.'!AK36), "", 'Saisie données file act.'!AK36)</f>
        <v/>
      </c>
      <c r="AL17" s="903" t="str">
        <f>IF(ISBLANK('Saisie données file act.'!AL36), "", 'Saisie données file act.'!AL36)</f>
        <v/>
      </c>
      <c r="AM17" s="903" t="str">
        <f>IF(ISBLANK('Saisie données file act.'!AM36), "", 'Saisie données file act.'!AM36)</f>
        <v/>
      </c>
      <c r="AN17" s="903" t="str">
        <f>IF(ISBLANK('Saisie données file act.'!AN36), "", 'Saisie données file act.'!AN36)</f>
        <v/>
      </c>
      <c r="AO17" s="903" t="str">
        <f>IF(ISBLANK('Saisie données file act.'!AO36), "", 'Saisie données file act.'!AO36)</f>
        <v/>
      </c>
      <c r="AP17" s="903" t="str">
        <f>IF(ISBLANK('Saisie données file act.'!AP36), "", 'Saisie données file act.'!AP36)</f>
        <v/>
      </c>
      <c r="AQ17" s="903" t="str">
        <f>IF(ISBLANK('Saisie données file act.'!AQ36), "", 'Saisie données file act.'!AQ36)</f>
        <v/>
      </c>
      <c r="AR17" s="903" t="str">
        <f>IF(ISBLANK('Saisie données file act.'!AR36), "", 'Saisie données file act.'!AR36)</f>
        <v/>
      </c>
      <c r="AS17" s="903" t="str">
        <f>IF(ISBLANK('Saisie données file act.'!AS36), "", 'Saisie données file act.'!AS36)</f>
        <v/>
      </c>
      <c r="AT17" s="903" t="str">
        <f>IF(ISBLANK('Saisie données file act.'!AT36), "", 'Saisie données file act.'!AT36)</f>
        <v/>
      </c>
      <c r="AU17" s="903" t="str">
        <f>IF(ISBLANK('Saisie données file act.'!AU36), "", 'Saisie données file act.'!AU36)</f>
        <v/>
      </c>
      <c r="AV17" s="900">
        <f>'Saisie données file act.'!E126</f>
        <v>0</v>
      </c>
      <c r="AW17" s="900">
        <f>'Saisie données file act.'!F223</f>
        <v>0</v>
      </c>
      <c r="AX17" s="3085">
        <f>-('Saisie données file act.'!$K$248*'Saisie données file act.'!F264)</f>
        <v>0</v>
      </c>
    </row>
    <row r="18" spans="3:50" s="895" customFormat="1" ht="14.25" thickBot="1" x14ac:dyDescent="0.3">
      <c r="C18" s="3258"/>
      <c r="D18" s="905">
        <f>'Saisie données file act.'!D37</f>
        <v>0</v>
      </c>
      <c r="E18" s="903" t="str">
        <f>IF(ISBLANK('Saisie données file act.'!E37), "", 'Saisie données file act.'!E37)</f>
        <v/>
      </c>
      <c r="F18" s="903" t="str">
        <f>IF(ISBLANK('Saisie données file act.'!F37), "", 'Saisie données file act.'!F37)</f>
        <v/>
      </c>
      <c r="G18" s="903" t="str">
        <f>IF(ISBLANK('Saisie données file act.'!G37), "", 'Saisie données file act.'!G37)</f>
        <v/>
      </c>
      <c r="H18" s="903" t="str">
        <f>IF(ISBLANK('Saisie données file act.'!H37), "", 'Saisie données file act.'!H37)</f>
        <v/>
      </c>
      <c r="I18" s="903" t="str">
        <f>IF(ISBLANK('Saisie données file act.'!I37), "", 'Saisie données file act.'!I37)</f>
        <v/>
      </c>
      <c r="J18" s="903" t="str">
        <f>IF(ISBLANK('Saisie données file act.'!J37), "", 'Saisie données file act.'!J37)</f>
        <v/>
      </c>
      <c r="K18" s="903" t="str">
        <f>IF(ISBLANK('Saisie données file act.'!K37), "", 'Saisie données file act.'!K37)</f>
        <v/>
      </c>
      <c r="L18" s="903" t="str">
        <f>IF(ISBLANK('Saisie données file act.'!L37), "", 'Saisie données file act.'!L37)</f>
        <v/>
      </c>
      <c r="M18" s="903" t="str">
        <f>IF(ISBLANK('Saisie données file act.'!M37), "", 'Saisie données file act.'!M37)</f>
        <v/>
      </c>
      <c r="N18" s="903" t="str">
        <f>IF(ISBLANK('Saisie données file act.'!N37), "", 'Saisie données file act.'!N37)</f>
        <v/>
      </c>
      <c r="O18" s="903" t="str">
        <f>IF(ISBLANK('Saisie données file act.'!O37), "", 'Saisie données file act.'!O37)</f>
        <v/>
      </c>
      <c r="P18" s="903" t="str">
        <f>IF(ISBLANK('Saisie données file act.'!P37), "", 'Saisie données file act.'!P37)</f>
        <v/>
      </c>
      <c r="Q18" s="903" t="str">
        <f>IF(ISBLANK('Saisie données file act.'!Q37), "", 'Saisie données file act.'!Q37)</f>
        <v/>
      </c>
      <c r="R18" s="903" t="str">
        <f>IF(ISBLANK('Saisie données file act.'!R37), "", 'Saisie données file act.'!R37)</f>
        <v/>
      </c>
      <c r="S18" s="903" t="str">
        <f>IF(ISBLANK('Saisie données file act.'!S37), "", 'Saisie données file act.'!S37)</f>
        <v/>
      </c>
      <c r="T18" s="903" t="str">
        <f>IF(ISBLANK('Saisie données file act.'!T37), "", 'Saisie données file act.'!T37)</f>
        <v/>
      </c>
      <c r="U18" s="903" t="str">
        <f>IF(ISBLANK('Saisie données file act.'!U37), "", 'Saisie données file act.'!U37)</f>
        <v/>
      </c>
      <c r="V18" s="903" t="str">
        <f>IF(ISBLANK('Saisie données file act.'!V37), "", 'Saisie données file act.'!V37)</f>
        <v/>
      </c>
      <c r="W18" s="903" t="str">
        <f>IF(ISBLANK('Saisie données file act.'!W37), "", 'Saisie données file act.'!W37)</f>
        <v/>
      </c>
      <c r="X18" s="903" t="str">
        <f>IF(ISBLANK('Saisie données file act.'!X37), "", 'Saisie données file act.'!X37)</f>
        <v/>
      </c>
      <c r="Y18" s="903" t="str">
        <f>IF(ISBLANK('Saisie données file act.'!Y37), "", 'Saisie données file act.'!Y37)</f>
        <v/>
      </c>
      <c r="Z18" s="903" t="str">
        <f>IF(ISBLANK('Saisie données file act.'!Z37), "", 'Saisie données file act.'!Z37)</f>
        <v/>
      </c>
      <c r="AA18" s="903" t="str">
        <f>IF(ISBLANK('Saisie données file act.'!AA37), "", 'Saisie données file act.'!AA37)</f>
        <v/>
      </c>
      <c r="AB18" s="903" t="str">
        <f>IF(ISBLANK('Saisie données file act.'!AB37), "", 'Saisie données file act.'!AB37)</f>
        <v/>
      </c>
      <c r="AC18" s="903" t="str">
        <f>IF(ISBLANK('Saisie données file act.'!AC37), "", 'Saisie données file act.'!AC37)</f>
        <v/>
      </c>
      <c r="AD18" s="903" t="str">
        <f>IF(ISBLANK('Saisie données file act.'!AD37), "", 'Saisie données file act.'!AD37)</f>
        <v/>
      </c>
      <c r="AE18" s="903" t="str">
        <f>IF(ISBLANK('Saisie données file act.'!AE37), "", 'Saisie données file act.'!AE37)</f>
        <v/>
      </c>
      <c r="AF18" s="903" t="str">
        <f>IF(ISBLANK('Saisie données file act.'!AF37), "", 'Saisie données file act.'!AF37)</f>
        <v/>
      </c>
      <c r="AG18" s="903" t="str">
        <f>IF(ISBLANK('Saisie données file act.'!AG37), "", 'Saisie données file act.'!AG37)</f>
        <v/>
      </c>
      <c r="AH18" s="903" t="str">
        <f>IF(ISBLANK('Saisie données file act.'!AH37), "", 'Saisie données file act.'!AH37)</f>
        <v/>
      </c>
      <c r="AI18" s="903" t="str">
        <f>IF(ISBLANK('Saisie données file act.'!AI37), "", 'Saisie données file act.'!AI37)</f>
        <v/>
      </c>
      <c r="AJ18" s="903" t="str">
        <f>IF(ISBLANK('Saisie données file act.'!AJ37), "", 'Saisie données file act.'!AJ37)</f>
        <v/>
      </c>
      <c r="AK18" s="903" t="str">
        <f>IF(ISBLANK('Saisie données file act.'!AK37), "", 'Saisie données file act.'!AK37)</f>
        <v/>
      </c>
      <c r="AL18" s="903" t="str">
        <f>IF(ISBLANK('Saisie données file act.'!AL37), "", 'Saisie données file act.'!AL37)</f>
        <v/>
      </c>
      <c r="AM18" s="903" t="str">
        <f>IF(ISBLANK('Saisie données file act.'!AM37), "", 'Saisie données file act.'!AM37)</f>
        <v/>
      </c>
      <c r="AN18" s="903" t="str">
        <f>IF(ISBLANK('Saisie données file act.'!AN37), "", 'Saisie données file act.'!AN37)</f>
        <v/>
      </c>
      <c r="AO18" s="903" t="str">
        <f>IF(ISBLANK('Saisie données file act.'!AO37), "", 'Saisie données file act.'!AO37)</f>
        <v/>
      </c>
      <c r="AP18" s="903" t="str">
        <f>IF(ISBLANK('Saisie données file act.'!AP37), "", 'Saisie données file act.'!AP37)</f>
        <v/>
      </c>
      <c r="AQ18" s="903" t="str">
        <f>IF(ISBLANK('Saisie données file act.'!AQ37), "", 'Saisie données file act.'!AQ37)</f>
        <v/>
      </c>
      <c r="AR18" s="903" t="str">
        <f>IF(ISBLANK('Saisie données file act.'!AR37), "", 'Saisie données file act.'!AR37)</f>
        <v/>
      </c>
      <c r="AS18" s="903" t="str">
        <f>IF(ISBLANK('Saisie données file act.'!AS37), "", 'Saisie données file act.'!AS37)</f>
        <v/>
      </c>
      <c r="AT18" s="903" t="str">
        <f>IF(ISBLANK('Saisie données file act.'!AT37), "", 'Saisie données file act.'!AT37)</f>
        <v/>
      </c>
      <c r="AU18" s="903" t="str">
        <f>IF(ISBLANK('Saisie données file act.'!AU37), "", 'Saisie données file act.'!AU37)</f>
        <v/>
      </c>
      <c r="AV18" s="900">
        <f>'Saisie données file act.'!E127</f>
        <v>0</v>
      </c>
      <c r="AW18" s="900">
        <f>'Saisie données file act.'!F224</f>
        <v>0</v>
      </c>
      <c r="AX18" s="3085">
        <f>-('Saisie données file act.'!$K$248*'Saisie données file act.'!F265)</f>
        <v>0</v>
      </c>
    </row>
    <row r="19" spans="3:50" s="895" customFormat="1" ht="14.25" thickBot="1" x14ac:dyDescent="0.3">
      <c r="C19" s="3258"/>
      <c r="D19" s="907">
        <f>'Saisie données file act.'!D38</f>
        <v>0</v>
      </c>
      <c r="E19" s="908" t="str">
        <f>IF(ISBLANK('Saisie données file act.'!E38), "", 'Saisie données file act.'!E38)</f>
        <v/>
      </c>
      <c r="F19" s="908" t="str">
        <f>IF(ISBLANK('Saisie données file act.'!F38), "", 'Saisie données file act.'!F38)</f>
        <v/>
      </c>
      <c r="G19" s="908" t="str">
        <f>IF(ISBLANK('Saisie données file act.'!G38), "", 'Saisie données file act.'!G38)</f>
        <v/>
      </c>
      <c r="H19" s="908" t="str">
        <f>IF(ISBLANK('Saisie données file act.'!H38), "", 'Saisie données file act.'!H38)</f>
        <v/>
      </c>
      <c r="I19" s="908" t="str">
        <f>IF(ISBLANK('Saisie données file act.'!I38), "", 'Saisie données file act.'!I38)</f>
        <v/>
      </c>
      <c r="J19" s="908" t="str">
        <f>IF(ISBLANK('Saisie données file act.'!J38), "", 'Saisie données file act.'!J38)</f>
        <v/>
      </c>
      <c r="K19" s="908" t="str">
        <f>IF(ISBLANK('Saisie données file act.'!K38), "", 'Saisie données file act.'!K38)</f>
        <v/>
      </c>
      <c r="L19" s="908" t="str">
        <f>IF(ISBLANK('Saisie données file act.'!L38), "", 'Saisie données file act.'!L38)</f>
        <v/>
      </c>
      <c r="M19" s="908" t="str">
        <f>IF(ISBLANK('Saisie données file act.'!M38), "", 'Saisie données file act.'!M38)</f>
        <v/>
      </c>
      <c r="N19" s="908" t="str">
        <f>IF(ISBLANK('Saisie données file act.'!N38), "", 'Saisie données file act.'!N38)</f>
        <v/>
      </c>
      <c r="O19" s="908" t="str">
        <f>IF(ISBLANK('Saisie données file act.'!O38), "", 'Saisie données file act.'!O38)</f>
        <v/>
      </c>
      <c r="P19" s="908" t="str">
        <f>IF(ISBLANK('Saisie données file act.'!P38), "", 'Saisie données file act.'!P38)</f>
        <v/>
      </c>
      <c r="Q19" s="908" t="str">
        <f>IF(ISBLANK('Saisie données file act.'!Q38), "", 'Saisie données file act.'!Q38)</f>
        <v/>
      </c>
      <c r="R19" s="908" t="str">
        <f>IF(ISBLANK('Saisie données file act.'!R38), "", 'Saisie données file act.'!R38)</f>
        <v/>
      </c>
      <c r="S19" s="908" t="str">
        <f>IF(ISBLANK('Saisie données file act.'!S38), "", 'Saisie données file act.'!S38)</f>
        <v/>
      </c>
      <c r="T19" s="908" t="str">
        <f>IF(ISBLANK('Saisie données file act.'!T38), "", 'Saisie données file act.'!T38)</f>
        <v/>
      </c>
      <c r="U19" s="908" t="str">
        <f>IF(ISBLANK('Saisie données file act.'!U38), "", 'Saisie données file act.'!U38)</f>
        <v/>
      </c>
      <c r="V19" s="908" t="str">
        <f>IF(ISBLANK('Saisie données file act.'!V38), "", 'Saisie données file act.'!V38)</f>
        <v/>
      </c>
      <c r="W19" s="908" t="str">
        <f>IF(ISBLANK('Saisie données file act.'!W38), "", 'Saisie données file act.'!W38)</f>
        <v/>
      </c>
      <c r="X19" s="908" t="str">
        <f>IF(ISBLANK('Saisie données file act.'!X38), "", 'Saisie données file act.'!X38)</f>
        <v/>
      </c>
      <c r="Y19" s="908" t="str">
        <f>IF(ISBLANK('Saisie données file act.'!Y38), "", 'Saisie données file act.'!Y38)</f>
        <v/>
      </c>
      <c r="Z19" s="908" t="str">
        <f>IF(ISBLANK('Saisie données file act.'!Z38), "", 'Saisie données file act.'!Z38)</f>
        <v/>
      </c>
      <c r="AA19" s="908" t="str">
        <f>IF(ISBLANK('Saisie données file act.'!AA38), "", 'Saisie données file act.'!AA38)</f>
        <v/>
      </c>
      <c r="AB19" s="908" t="str">
        <f>IF(ISBLANK('Saisie données file act.'!AB38), "", 'Saisie données file act.'!AB38)</f>
        <v/>
      </c>
      <c r="AC19" s="908" t="str">
        <f>IF(ISBLANK('Saisie données file act.'!AC38), "", 'Saisie données file act.'!AC38)</f>
        <v/>
      </c>
      <c r="AD19" s="908" t="str">
        <f>IF(ISBLANK('Saisie données file act.'!AD38), "", 'Saisie données file act.'!AD38)</f>
        <v/>
      </c>
      <c r="AE19" s="908" t="str">
        <f>IF(ISBLANK('Saisie données file act.'!AE38), "", 'Saisie données file act.'!AE38)</f>
        <v/>
      </c>
      <c r="AF19" s="908" t="str">
        <f>IF(ISBLANK('Saisie données file act.'!AF38), "", 'Saisie données file act.'!AF38)</f>
        <v/>
      </c>
      <c r="AG19" s="908" t="str">
        <f>IF(ISBLANK('Saisie données file act.'!AG38), "", 'Saisie données file act.'!AG38)</f>
        <v/>
      </c>
      <c r="AH19" s="908" t="str">
        <f>IF(ISBLANK('Saisie données file act.'!AH38), "", 'Saisie données file act.'!AH38)</f>
        <v/>
      </c>
      <c r="AI19" s="908" t="str">
        <f>IF(ISBLANK('Saisie données file act.'!AI38), "", 'Saisie données file act.'!AI38)</f>
        <v/>
      </c>
      <c r="AJ19" s="908" t="str">
        <f>IF(ISBLANK('Saisie données file act.'!AJ38), "", 'Saisie données file act.'!AJ38)</f>
        <v/>
      </c>
      <c r="AK19" s="908" t="str">
        <f>IF(ISBLANK('Saisie données file act.'!AK38), "", 'Saisie données file act.'!AK38)</f>
        <v/>
      </c>
      <c r="AL19" s="908" t="str">
        <f>IF(ISBLANK('Saisie données file act.'!AL38), "", 'Saisie données file act.'!AL38)</f>
        <v/>
      </c>
      <c r="AM19" s="908" t="str">
        <f>IF(ISBLANK('Saisie données file act.'!AM38), "", 'Saisie données file act.'!AM38)</f>
        <v/>
      </c>
      <c r="AN19" s="908" t="str">
        <f>IF(ISBLANK('Saisie données file act.'!AN38), "", 'Saisie données file act.'!AN38)</f>
        <v/>
      </c>
      <c r="AO19" s="908" t="str">
        <f>IF(ISBLANK('Saisie données file act.'!AO38), "", 'Saisie données file act.'!AO38)</f>
        <v/>
      </c>
      <c r="AP19" s="908" t="str">
        <f>IF(ISBLANK('Saisie données file act.'!AP38), "", 'Saisie données file act.'!AP38)</f>
        <v/>
      </c>
      <c r="AQ19" s="908" t="str">
        <f>IF(ISBLANK('Saisie données file act.'!AQ38), "", 'Saisie données file act.'!AQ38)</f>
        <v/>
      </c>
      <c r="AR19" s="908" t="str">
        <f>IF(ISBLANK('Saisie données file act.'!AR38), "", 'Saisie données file act.'!AR38)</f>
        <v/>
      </c>
      <c r="AS19" s="908" t="str">
        <f>IF(ISBLANK('Saisie données file act.'!AS38), "", 'Saisie données file act.'!AS38)</f>
        <v/>
      </c>
      <c r="AT19" s="908" t="str">
        <f>IF(ISBLANK('Saisie données file act.'!AT38), "", 'Saisie données file act.'!AT38)</f>
        <v/>
      </c>
      <c r="AU19" s="908" t="str">
        <f>IF(ISBLANK('Saisie données file act.'!AU38), "", 'Saisie données file act.'!AU38)</f>
        <v/>
      </c>
      <c r="AV19" s="900">
        <f>'Saisie données file act.'!E128</f>
        <v>0</v>
      </c>
      <c r="AW19" s="909">
        <f>'Saisie données file act.'!F225</f>
        <v>0</v>
      </c>
      <c r="AX19" s="3086">
        <f>-('Saisie données file act.'!$K$248*'Saisie données file act.'!F266)</f>
        <v>0</v>
      </c>
    </row>
    <row r="20" spans="3:50" s="895" customFormat="1" ht="14.25" thickBot="1" x14ac:dyDescent="0.3">
      <c r="C20" s="3258"/>
      <c r="D20" s="2536" t="str">
        <f>'TRAD-Calculs'!B12</f>
        <v>Deuxièmes lignes</v>
      </c>
      <c r="E20" s="896"/>
      <c r="F20" s="896"/>
      <c r="G20" s="896"/>
      <c r="H20" s="896"/>
      <c r="I20" s="896"/>
      <c r="J20" s="896"/>
      <c r="K20" s="896"/>
      <c r="L20" s="896"/>
      <c r="M20" s="896"/>
      <c r="N20" s="896"/>
      <c r="O20" s="896"/>
      <c r="P20" s="896"/>
      <c r="Q20" s="896"/>
      <c r="R20" s="896"/>
      <c r="S20" s="896"/>
      <c r="T20" s="896"/>
      <c r="U20" s="896"/>
      <c r="V20" s="896"/>
      <c r="W20" s="896"/>
      <c r="X20" s="896"/>
      <c r="Y20" s="896"/>
      <c r="Z20" s="896"/>
      <c r="AA20" s="896"/>
      <c r="AB20" s="896"/>
      <c r="AC20" s="896"/>
      <c r="AD20" s="896"/>
      <c r="AE20" s="896"/>
      <c r="AF20" s="896"/>
      <c r="AG20" s="896"/>
      <c r="AH20" s="896"/>
      <c r="AI20" s="896"/>
      <c r="AJ20" s="896"/>
      <c r="AK20" s="896"/>
      <c r="AL20" s="896"/>
      <c r="AM20" s="896"/>
      <c r="AN20" s="896"/>
      <c r="AO20" s="896"/>
      <c r="AP20" s="896"/>
      <c r="AQ20" s="896"/>
      <c r="AR20" s="896"/>
      <c r="AS20" s="896"/>
      <c r="AT20" s="896"/>
      <c r="AU20" s="896"/>
      <c r="AV20" s="912"/>
      <c r="AW20" s="913"/>
      <c r="AX20" s="914"/>
    </row>
    <row r="21" spans="3:50" s="895" customFormat="1" ht="14.25" thickBot="1" x14ac:dyDescent="0.3">
      <c r="C21" s="3258"/>
      <c r="D21" s="915" t="str">
        <f>'Saisie données file act.'!D40</f>
        <v>ABC+3TC+AZT+ATV/r</v>
      </c>
      <c r="E21" s="899" t="str">
        <f>IF(ISBLANK('Saisie données file act.'!E40), "", 'Saisie données file act.'!E40)</f>
        <v/>
      </c>
      <c r="F21" s="899" t="str">
        <f>IF(ISBLANK('Saisie données file act.'!F40), "", 'Saisie données file act.'!F40)</f>
        <v/>
      </c>
      <c r="G21" s="899" t="str">
        <f>IF(ISBLANK('Saisie données file act.'!G40), "", 'Saisie données file act.'!G40)</f>
        <v/>
      </c>
      <c r="H21" s="899" t="str">
        <f>IF(ISBLANK('Saisie données file act.'!H40), "", 'Saisie données file act.'!H40)</f>
        <v/>
      </c>
      <c r="I21" s="899" t="str">
        <f>IF(ISBLANK('Saisie données file act.'!I40), "", 'Saisie données file act.'!I40)</f>
        <v/>
      </c>
      <c r="J21" s="899" t="str">
        <f>IF(ISBLANK('Saisie données file act.'!J40), "", 'Saisie données file act.'!J40)</f>
        <v/>
      </c>
      <c r="K21" s="899" t="str">
        <f>IF(ISBLANK('Saisie données file act.'!K40), "", 'Saisie données file act.'!K40)</f>
        <v/>
      </c>
      <c r="L21" s="899" t="str">
        <f>IF(ISBLANK('Saisie données file act.'!L40), "", 'Saisie données file act.'!L40)</f>
        <v/>
      </c>
      <c r="M21" s="899" t="str">
        <f>IF(ISBLANK('Saisie données file act.'!M40), "", 'Saisie données file act.'!M40)</f>
        <v/>
      </c>
      <c r="N21" s="899" t="str">
        <f>IF(ISBLANK('Saisie données file act.'!N40), "", 'Saisie données file act.'!N40)</f>
        <v/>
      </c>
      <c r="O21" s="899" t="str">
        <f>IF(ISBLANK('Saisie données file act.'!O40), "", 'Saisie données file act.'!O40)</f>
        <v/>
      </c>
      <c r="P21" s="899" t="str">
        <f>IF(ISBLANK('Saisie données file act.'!P40), "", 'Saisie données file act.'!P40)</f>
        <v/>
      </c>
      <c r="Q21" s="899" t="str">
        <f>IF(ISBLANK('Saisie données file act.'!Q40), "", 'Saisie données file act.'!Q40)</f>
        <v/>
      </c>
      <c r="R21" s="899" t="str">
        <f>IF(ISBLANK('Saisie données file act.'!R40), "", 'Saisie données file act.'!R40)</f>
        <v/>
      </c>
      <c r="S21" s="899" t="str">
        <f>IF(ISBLANK('Saisie données file act.'!S40), "", 'Saisie données file act.'!S40)</f>
        <v/>
      </c>
      <c r="T21" s="899" t="str">
        <f>IF(ISBLANK('Saisie données file act.'!T40), "", 'Saisie données file act.'!T40)</f>
        <v/>
      </c>
      <c r="U21" s="899" t="str">
        <f>IF(ISBLANK('Saisie données file act.'!U40), "", 'Saisie données file act.'!U40)</f>
        <v/>
      </c>
      <c r="V21" s="899" t="str">
        <f>IF(ISBLANK('Saisie données file act.'!V40), "", 'Saisie données file act.'!V40)</f>
        <v/>
      </c>
      <c r="W21" s="899" t="str">
        <f>IF(ISBLANK('Saisie données file act.'!W40), "", 'Saisie données file act.'!W40)</f>
        <v/>
      </c>
      <c r="X21" s="899" t="str">
        <f>IF(ISBLANK('Saisie données file act.'!X40), "", 'Saisie données file act.'!X40)</f>
        <v/>
      </c>
      <c r="Y21" s="899" t="str">
        <f>IF(ISBLANK('Saisie données file act.'!Y40), "", 'Saisie données file act.'!Y40)</f>
        <v/>
      </c>
      <c r="Z21" s="899" t="str">
        <f>IF(ISBLANK('Saisie données file act.'!Z40), "", 'Saisie données file act.'!Z40)</f>
        <v/>
      </c>
      <c r="AA21" s="899" t="str">
        <f>IF(ISBLANK('Saisie données file act.'!AA40), "", 'Saisie données file act.'!AA40)</f>
        <v/>
      </c>
      <c r="AB21" s="899" t="str">
        <f>IF(ISBLANK('Saisie données file act.'!AB40), "", 'Saisie données file act.'!AB40)</f>
        <v/>
      </c>
      <c r="AC21" s="899" t="str">
        <f>IF(ISBLANK('Saisie données file act.'!AC40), "", 'Saisie données file act.'!AC40)</f>
        <v/>
      </c>
      <c r="AD21" s="899" t="str">
        <f>IF(ISBLANK('Saisie données file act.'!AD40), "", 'Saisie données file act.'!AD40)</f>
        <v/>
      </c>
      <c r="AE21" s="899" t="str">
        <f>IF(ISBLANK('Saisie données file act.'!AE40), "", 'Saisie données file act.'!AE40)</f>
        <v/>
      </c>
      <c r="AF21" s="899" t="str">
        <f>IF(ISBLANK('Saisie données file act.'!AF40), "", 'Saisie données file act.'!AF40)</f>
        <v/>
      </c>
      <c r="AG21" s="899" t="str">
        <f>IF(ISBLANK('Saisie données file act.'!AG40), "", 'Saisie données file act.'!AG40)</f>
        <v/>
      </c>
      <c r="AH21" s="899" t="str">
        <f>IF(ISBLANK('Saisie données file act.'!AH40), "", 'Saisie données file act.'!AH40)</f>
        <v/>
      </c>
      <c r="AI21" s="899" t="str">
        <f>IF(ISBLANK('Saisie données file act.'!AI40), "", 'Saisie données file act.'!AI40)</f>
        <v/>
      </c>
      <c r="AJ21" s="899" t="str">
        <f>IF(ISBLANK('Saisie données file act.'!AJ40), "", 'Saisie données file act.'!AJ40)</f>
        <v/>
      </c>
      <c r="AK21" s="899" t="str">
        <f>IF(ISBLANK('Saisie données file act.'!AK40), "", 'Saisie données file act.'!AK40)</f>
        <v/>
      </c>
      <c r="AL21" s="899" t="str">
        <f>IF(ISBLANK('Saisie données file act.'!AL40), "", 'Saisie données file act.'!AL40)</f>
        <v/>
      </c>
      <c r="AM21" s="899" t="str">
        <f>IF(ISBLANK('Saisie données file act.'!AM40), "", 'Saisie données file act.'!AM40)</f>
        <v/>
      </c>
      <c r="AN21" s="899" t="str">
        <f>IF(ISBLANK('Saisie données file act.'!AN40), "", 'Saisie données file act.'!AN40)</f>
        <v/>
      </c>
      <c r="AO21" s="899" t="str">
        <f>IF(ISBLANK('Saisie données file act.'!AO40), "", 'Saisie données file act.'!AO40)</f>
        <v/>
      </c>
      <c r="AP21" s="899" t="str">
        <f>IF(ISBLANK('Saisie données file act.'!AP40), "", 'Saisie données file act.'!AP40)</f>
        <v/>
      </c>
      <c r="AQ21" s="899" t="str">
        <f>IF(ISBLANK('Saisie données file act.'!AQ40), "", 'Saisie données file act.'!AQ40)</f>
        <v/>
      </c>
      <c r="AR21" s="899" t="str">
        <f>IF(ISBLANK('Saisie données file act.'!AR40), "", 'Saisie données file act.'!AR40)</f>
        <v/>
      </c>
      <c r="AS21" s="899" t="str">
        <f>IF(ISBLANK('Saisie données file act.'!AS40), "", 'Saisie données file act.'!AS40)</f>
        <v/>
      </c>
      <c r="AT21" s="899" t="str">
        <f>IF(ISBLANK('Saisie données file act.'!AT40), "", 'Saisie données file act.'!AT40)</f>
        <v/>
      </c>
      <c r="AU21" s="899" t="str">
        <f>IF(ISBLANK('Saisie données file act.'!AU40), "", 'Saisie données file act.'!AU40)</f>
        <v/>
      </c>
      <c r="AV21" s="916">
        <f>'Saisie données file act.'!E130</f>
        <v>0</v>
      </c>
      <c r="AW21" s="917"/>
      <c r="AX21" s="916">
        <f>'Saisie données file act.'!E272</f>
        <v>0</v>
      </c>
    </row>
    <row r="22" spans="3:50" s="895" customFormat="1" ht="14.25" thickBot="1" x14ac:dyDescent="0.3">
      <c r="C22" s="3258"/>
      <c r="D22" s="904" t="str">
        <f>'Saisie données file act.'!D41</f>
        <v>ABC+3TC+AZT+LPV/r</v>
      </c>
      <c r="E22" s="1885" t="str">
        <f>IF(ISBLANK('Saisie données file act.'!E41), "", 'Saisie données file act.'!E41)</f>
        <v/>
      </c>
      <c r="F22" s="1885" t="str">
        <f>IF(ISBLANK('Saisie données file act.'!F41), "", 'Saisie données file act.'!F41)</f>
        <v/>
      </c>
      <c r="G22" s="1885" t="str">
        <f>IF(ISBLANK('Saisie données file act.'!G41), "", 'Saisie données file act.'!G41)</f>
        <v/>
      </c>
      <c r="H22" s="1885" t="str">
        <f>IF(ISBLANK('Saisie données file act.'!H41), "", 'Saisie données file act.'!H41)</f>
        <v/>
      </c>
      <c r="I22" s="1885" t="str">
        <f>IF(ISBLANK('Saisie données file act.'!I41), "", 'Saisie données file act.'!I41)</f>
        <v/>
      </c>
      <c r="J22" s="1885" t="str">
        <f>IF(ISBLANK('Saisie données file act.'!J41), "", 'Saisie données file act.'!J41)</f>
        <v/>
      </c>
      <c r="K22" s="1885" t="str">
        <f>IF(ISBLANK('Saisie données file act.'!K41), "", 'Saisie données file act.'!K41)</f>
        <v/>
      </c>
      <c r="L22" s="1885" t="str">
        <f>IF(ISBLANK('Saisie données file act.'!L41), "", 'Saisie données file act.'!L41)</f>
        <v/>
      </c>
      <c r="M22" s="1885" t="str">
        <f>IF(ISBLANK('Saisie données file act.'!M41), "", 'Saisie données file act.'!M41)</f>
        <v/>
      </c>
      <c r="N22" s="1885" t="str">
        <f>IF(ISBLANK('Saisie données file act.'!N41), "", 'Saisie données file act.'!N41)</f>
        <v/>
      </c>
      <c r="O22" s="1885" t="str">
        <f>IF(ISBLANK('Saisie données file act.'!O41), "", 'Saisie données file act.'!O41)</f>
        <v/>
      </c>
      <c r="P22" s="1885" t="str">
        <f>IF(ISBLANK('Saisie données file act.'!P41), "", 'Saisie données file act.'!P41)</f>
        <v/>
      </c>
      <c r="Q22" s="1885" t="str">
        <f>IF(ISBLANK('Saisie données file act.'!Q41), "", 'Saisie données file act.'!Q41)</f>
        <v/>
      </c>
      <c r="R22" s="1885" t="str">
        <f>IF(ISBLANK('Saisie données file act.'!R41), "", 'Saisie données file act.'!R41)</f>
        <v/>
      </c>
      <c r="S22" s="1885" t="str">
        <f>IF(ISBLANK('Saisie données file act.'!S41), "", 'Saisie données file act.'!S41)</f>
        <v/>
      </c>
      <c r="T22" s="1885" t="str">
        <f>IF(ISBLANK('Saisie données file act.'!T41), "", 'Saisie données file act.'!T41)</f>
        <v/>
      </c>
      <c r="U22" s="1885" t="str">
        <f>IF(ISBLANK('Saisie données file act.'!U41), "", 'Saisie données file act.'!U41)</f>
        <v/>
      </c>
      <c r="V22" s="1885" t="str">
        <f>IF(ISBLANK('Saisie données file act.'!V41), "", 'Saisie données file act.'!V41)</f>
        <v/>
      </c>
      <c r="W22" s="1885" t="str">
        <f>IF(ISBLANK('Saisie données file act.'!W41), "", 'Saisie données file act.'!W41)</f>
        <v/>
      </c>
      <c r="X22" s="1885" t="str">
        <f>IF(ISBLANK('Saisie données file act.'!X41), "", 'Saisie données file act.'!X41)</f>
        <v/>
      </c>
      <c r="Y22" s="1885" t="str">
        <f>IF(ISBLANK('Saisie données file act.'!Y41), "", 'Saisie données file act.'!Y41)</f>
        <v/>
      </c>
      <c r="Z22" s="1885" t="str">
        <f>IF(ISBLANK('Saisie données file act.'!Z41), "", 'Saisie données file act.'!Z41)</f>
        <v/>
      </c>
      <c r="AA22" s="1885" t="str">
        <f>IF(ISBLANK('Saisie données file act.'!AA41), "", 'Saisie données file act.'!AA41)</f>
        <v/>
      </c>
      <c r="AB22" s="1885" t="str">
        <f>IF(ISBLANK('Saisie données file act.'!AB41), "", 'Saisie données file act.'!AB41)</f>
        <v/>
      </c>
      <c r="AC22" s="1885" t="str">
        <f>IF(ISBLANK('Saisie données file act.'!AC41), "", 'Saisie données file act.'!AC41)</f>
        <v/>
      </c>
      <c r="AD22" s="1885" t="str">
        <f>IF(ISBLANK('Saisie données file act.'!AD41), "", 'Saisie données file act.'!AD41)</f>
        <v/>
      </c>
      <c r="AE22" s="1885" t="str">
        <f>IF(ISBLANK('Saisie données file act.'!AE41), "", 'Saisie données file act.'!AE41)</f>
        <v/>
      </c>
      <c r="AF22" s="1885" t="str">
        <f>IF(ISBLANK('Saisie données file act.'!AF41), "", 'Saisie données file act.'!AF41)</f>
        <v/>
      </c>
      <c r="AG22" s="1885" t="str">
        <f>IF(ISBLANK('Saisie données file act.'!AG41), "", 'Saisie données file act.'!AG41)</f>
        <v/>
      </c>
      <c r="AH22" s="1885" t="str">
        <f>IF(ISBLANK('Saisie données file act.'!AH41), "", 'Saisie données file act.'!AH41)</f>
        <v/>
      </c>
      <c r="AI22" s="1885" t="str">
        <f>IF(ISBLANK('Saisie données file act.'!AI41), "", 'Saisie données file act.'!AI41)</f>
        <v/>
      </c>
      <c r="AJ22" s="1885" t="str">
        <f>IF(ISBLANK('Saisie données file act.'!AJ41), "", 'Saisie données file act.'!AJ41)</f>
        <v/>
      </c>
      <c r="AK22" s="1885" t="str">
        <f>IF(ISBLANK('Saisie données file act.'!AK41), "", 'Saisie données file act.'!AK41)</f>
        <v/>
      </c>
      <c r="AL22" s="1885" t="str">
        <f>IF(ISBLANK('Saisie données file act.'!AL41), "", 'Saisie données file act.'!AL41)</f>
        <v/>
      </c>
      <c r="AM22" s="1885" t="str">
        <f>IF(ISBLANK('Saisie données file act.'!AM41), "", 'Saisie données file act.'!AM41)</f>
        <v/>
      </c>
      <c r="AN22" s="1885" t="str">
        <f>IF(ISBLANK('Saisie données file act.'!AN41), "", 'Saisie données file act.'!AN41)</f>
        <v/>
      </c>
      <c r="AO22" s="1885" t="str">
        <f>IF(ISBLANK('Saisie données file act.'!AO41), "", 'Saisie données file act.'!AO41)</f>
        <v/>
      </c>
      <c r="AP22" s="1885" t="str">
        <f>IF(ISBLANK('Saisie données file act.'!AP41), "", 'Saisie données file act.'!AP41)</f>
        <v/>
      </c>
      <c r="AQ22" s="1885" t="str">
        <f>IF(ISBLANK('Saisie données file act.'!AQ41), "", 'Saisie données file act.'!AQ41)</f>
        <v/>
      </c>
      <c r="AR22" s="1885" t="str">
        <f>IF(ISBLANK('Saisie données file act.'!AR41), "", 'Saisie données file act.'!AR41)</f>
        <v/>
      </c>
      <c r="AS22" s="1885" t="str">
        <f>IF(ISBLANK('Saisie données file act.'!AS41), "", 'Saisie données file act.'!AS41)</f>
        <v/>
      </c>
      <c r="AT22" s="1885" t="str">
        <f>IF(ISBLANK('Saisie données file act.'!AT41), "", 'Saisie données file act.'!AT41)</f>
        <v/>
      </c>
      <c r="AU22" s="1885" t="str">
        <f>IF(ISBLANK('Saisie données file act.'!AU41), "", 'Saisie données file act.'!AU41)</f>
        <v/>
      </c>
      <c r="AV22" s="900">
        <f>'Saisie données file act.'!E131</f>
        <v>0</v>
      </c>
      <c r="AW22" s="901"/>
      <c r="AX22" s="900">
        <f>'Saisie données file act.'!E273</f>
        <v>0</v>
      </c>
    </row>
    <row r="23" spans="3:50" s="895" customFormat="1" ht="14.25" thickBot="1" x14ac:dyDescent="0.3">
      <c r="C23" s="3258"/>
      <c r="D23" s="905" t="str">
        <f>'Saisie données file act.'!D42</f>
        <v>TDF+FTC+AZT+ATV/r</v>
      </c>
      <c r="E23" s="903" t="str">
        <f>IF(ISBLANK('Saisie données file act.'!E42), "", 'Saisie données file act.'!E42)</f>
        <v/>
      </c>
      <c r="F23" s="903" t="str">
        <f>IF(ISBLANK('Saisie données file act.'!F42), "", 'Saisie données file act.'!F42)</f>
        <v/>
      </c>
      <c r="G23" s="903" t="str">
        <f>IF(ISBLANK('Saisie données file act.'!G42), "", 'Saisie données file act.'!G42)</f>
        <v/>
      </c>
      <c r="H23" s="903" t="str">
        <f>IF(ISBLANK('Saisie données file act.'!H42), "", 'Saisie données file act.'!H42)</f>
        <v/>
      </c>
      <c r="I23" s="903" t="str">
        <f>IF(ISBLANK('Saisie données file act.'!I42), "", 'Saisie données file act.'!I42)</f>
        <v/>
      </c>
      <c r="J23" s="903" t="str">
        <f>IF(ISBLANK('Saisie données file act.'!J42), "", 'Saisie données file act.'!J42)</f>
        <v/>
      </c>
      <c r="K23" s="903" t="str">
        <f>IF(ISBLANK('Saisie données file act.'!K42), "", 'Saisie données file act.'!K42)</f>
        <v/>
      </c>
      <c r="L23" s="903" t="str">
        <f>IF(ISBLANK('Saisie données file act.'!L42), "", 'Saisie données file act.'!L42)</f>
        <v/>
      </c>
      <c r="M23" s="903" t="str">
        <f>IF(ISBLANK('Saisie données file act.'!M42), "", 'Saisie données file act.'!M42)</f>
        <v/>
      </c>
      <c r="N23" s="903" t="str">
        <f>IF(ISBLANK('Saisie données file act.'!N42), "", 'Saisie données file act.'!N42)</f>
        <v/>
      </c>
      <c r="O23" s="903" t="str">
        <f>IF(ISBLANK('Saisie données file act.'!O42), "", 'Saisie données file act.'!O42)</f>
        <v/>
      </c>
      <c r="P23" s="903" t="str">
        <f>IF(ISBLANK('Saisie données file act.'!P42), "", 'Saisie données file act.'!P42)</f>
        <v/>
      </c>
      <c r="Q23" s="903" t="str">
        <f>IF(ISBLANK('Saisie données file act.'!Q42), "", 'Saisie données file act.'!Q42)</f>
        <v/>
      </c>
      <c r="R23" s="903" t="str">
        <f>IF(ISBLANK('Saisie données file act.'!R42), "", 'Saisie données file act.'!R42)</f>
        <v/>
      </c>
      <c r="S23" s="903" t="str">
        <f>IF(ISBLANK('Saisie données file act.'!S42), "", 'Saisie données file act.'!S42)</f>
        <v/>
      </c>
      <c r="T23" s="903" t="str">
        <f>IF(ISBLANK('Saisie données file act.'!T42), "", 'Saisie données file act.'!T42)</f>
        <v/>
      </c>
      <c r="U23" s="903" t="str">
        <f>IF(ISBLANK('Saisie données file act.'!U42), "", 'Saisie données file act.'!U42)</f>
        <v/>
      </c>
      <c r="V23" s="903" t="str">
        <f>IF(ISBLANK('Saisie données file act.'!V42), "", 'Saisie données file act.'!V42)</f>
        <v/>
      </c>
      <c r="W23" s="903" t="str">
        <f>IF(ISBLANK('Saisie données file act.'!W42), "", 'Saisie données file act.'!W42)</f>
        <v/>
      </c>
      <c r="X23" s="903" t="str">
        <f>IF(ISBLANK('Saisie données file act.'!X42), "", 'Saisie données file act.'!X42)</f>
        <v/>
      </c>
      <c r="Y23" s="903" t="str">
        <f>IF(ISBLANK('Saisie données file act.'!Y42), "", 'Saisie données file act.'!Y42)</f>
        <v/>
      </c>
      <c r="Z23" s="903" t="str">
        <f>IF(ISBLANK('Saisie données file act.'!Z42), "", 'Saisie données file act.'!Z42)</f>
        <v/>
      </c>
      <c r="AA23" s="903" t="str">
        <f>IF(ISBLANK('Saisie données file act.'!AA42), "", 'Saisie données file act.'!AA42)</f>
        <v/>
      </c>
      <c r="AB23" s="903" t="str">
        <f>IF(ISBLANK('Saisie données file act.'!AB42), "", 'Saisie données file act.'!AB42)</f>
        <v/>
      </c>
      <c r="AC23" s="903" t="str">
        <f>IF(ISBLANK('Saisie données file act.'!AC42), "", 'Saisie données file act.'!AC42)</f>
        <v/>
      </c>
      <c r="AD23" s="903" t="str">
        <f>IF(ISBLANK('Saisie données file act.'!AD42), "", 'Saisie données file act.'!AD42)</f>
        <v/>
      </c>
      <c r="AE23" s="903" t="str">
        <f>IF(ISBLANK('Saisie données file act.'!AE42), "", 'Saisie données file act.'!AE42)</f>
        <v/>
      </c>
      <c r="AF23" s="903" t="str">
        <f>IF(ISBLANK('Saisie données file act.'!AF42), "", 'Saisie données file act.'!AF42)</f>
        <v/>
      </c>
      <c r="AG23" s="903" t="str">
        <f>IF(ISBLANK('Saisie données file act.'!AG42), "", 'Saisie données file act.'!AG42)</f>
        <v/>
      </c>
      <c r="AH23" s="903" t="str">
        <f>IF(ISBLANK('Saisie données file act.'!AH42), "", 'Saisie données file act.'!AH42)</f>
        <v/>
      </c>
      <c r="AI23" s="903" t="str">
        <f>IF(ISBLANK('Saisie données file act.'!AI42), "", 'Saisie données file act.'!AI42)</f>
        <v/>
      </c>
      <c r="AJ23" s="903" t="str">
        <f>IF(ISBLANK('Saisie données file act.'!AJ42), "", 'Saisie données file act.'!AJ42)</f>
        <v/>
      </c>
      <c r="AK23" s="903" t="str">
        <f>IF(ISBLANK('Saisie données file act.'!AK42), "", 'Saisie données file act.'!AK42)</f>
        <v/>
      </c>
      <c r="AL23" s="903" t="str">
        <f>IF(ISBLANK('Saisie données file act.'!AL42), "", 'Saisie données file act.'!AL42)</f>
        <v/>
      </c>
      <c r="AM23" s="903" t="str">
        <f>IF(ISBLANK('Saisie données file act.'!AM42), "", 'Saisie données file act.'!AM42)</f>
        <v/>
      </c>
      <c r="AN23" s="903" t="str">
        <f>IF(ISBLANK('Saisie données file act.'!AN42), "", 'Saisie données file act.'!AN42)</f>
        <v/>
      </c>
      <c r="AO23" s="903" t="str">
        <f>IF(ISBLANK('Saisie données file act.'!AO42), "", 'Saisie données file act.'!AO42)</f>
        <v/>
      </c>
      <c r="AP23" s="903" t="str">
        <f>IF(ISBLANK('Saisie données file act.'!AP42), "", 'Saisie données file act.'!AP42)</f>
        <v/>
      </c>
      <c r="AQ23" s="903" t="str">
        <f>IF(ISBLANK('Saisie données file act.'!AQ42), "", 'Saisie données file act.'!AQ42)</f>
        <v/>
      </c>
      <c r="AR23" s="903" t="str">
        <f>IF(ISBLANK('Saisie données file act.'!AR42), "", 'Saisie données file act.'!AR42)</f>
        <v/>
      </c>
      <c r="AS23" s="903" t="str">
        <f>IF(ISBLANK('Saisie données file act.'!AS42), "", 'Saisie données file act.'!AS42)</f>
        <v/>
      </c>
      <c r="AT23" s="903" t="str">
        <f>IF(ISBLANK('Saisie données file act.'!AT42), "", 'Saisie données file act.'!AT42)</f>
        <v/>
      </c>
      <c r="AU23" s="903" t="str">
        <f>IF(ISBLANK('Saisie données file act.'!AU42), "", 'Saisie données file act.'!AU42)</f>
        <v/>
      </c>
      <c r="AV23" s="918">
        <f>'Saisie données file act.'!E132</f>
        <v>0</v>
      </c>
      <c r="AW23" s="919"/>
      <c r="AX23" s="918">
        <f>'Saisie données file act.'!E274</f>
        <v>0</v>
      </c>
    </row>
    <row r="24" spans="3:50" s="895" customFormat="1" ht="14.25" thickBot="1" x14ac:dyDescent="0.3">
      <c r="C24" s="3258"/>
      <c r="D24" s="905">
        <f>'Saisie données file act.'!D43</f>
        <v>0</v>
      </c>
      <c r="E24" s="903" t="str">
        <f>IF(ISBLANK('Saisie données file act.'!E43), "", 'Saisie données file act.'!E43)</f>
        <v/>
      </c>
      <c r="F24" s="903" t="str">
        <f>IF(ISBLANK('Saisie données file act.'!F43), "", 'Saisie données file act.'!F43)</f>
        <v/>
      </c>
      <c r="G24" s="903" t="str">
        <f>IF(ISBLANK('Saisie données file act.'!G43), "", 'Saisie données file act.'!G43)</f>
        <v/>
      </c>
      <c r="H24" s="903" t="str">
        <f>IF(ISBLANK('Saisie données file act.'!H43), "", 'Saisie données file act.'!H43)</f>
        <v/>
      </c>
      <c r="I24" s="903" t="str">
        <f>IF(ISBLANK('Saisie données file act.'!I43), "", 'Saisie données file act.'!I43)</f>
        <v/>
      </c>
      <c r="J24" s="903" t="str">
        <f>IF(ISBLANK('Saisie données file act.'!J43), "", 'Saisie données file act.'!J43)</f>
        <v/>
      </c>
      <c r="K24" s="903" t="str">
        <f>IF(ISBLANK('Saisie données file act.'!K43), "", 'Saisie données file act.'!K43)</f>
        <v/>
      </c>
      <c r="L24" s="903" t="str">
        <f>IF(ISBLANK('Saisie données file act.'!L43), "", 'Saisie données file act.'!L43)</f>
        <v/>
      </c>
      <c r="M24" s="903" t="str">
        <f>IF(ISBLANK('Saisie données file act.'!M43), "", 'Saisie données file act.'!M43)</f>
        <v/>
      </c>
      <c r="N24" s="903" t="str">
        <f>IF(ISBLANK('Saisie données file act.'!N43), "", 'Saisie données file act.'!N43)</f>
        <v/>
      </c>
      <c r="O24" s="903" t="str">
        <f>IF(ISBLANK('Saisie données file act.'!O43), "", 'Saisie données file act.'!O43)</f>
        <v/>
      </c>
      <c r="P24" s="903" t="str">
        <f>IF(ISBLANK('Saisie données file act.'!P43), "", 'Saisie données file act.'!P43)</f>
        <v/>
      </c>
      <c r="Q24" s="903" t="str">
        <f>IF(ISBLANK('Saisie données file act.'!Q43), "", 'Saisie données file act.'!Q43)</f>
        <v/>
      </c>
      <c r="R24" s="903" t="str">
        <f>IF(ISBLANK('Saisie données file act.'!R43), "", 'Saisie données file act.'!R43)</f>
        <v/>
      </c>
      <c r="S24" s="903" t="str">
        <f>IF(ISBLANK('Saisie données file act.'!S43), "", 'Saisie données file act.'!S43)</f>
        <v/>
      </c>
      <c r="T24" s="903" t="str">
        <f>IF(ISBLANK('Saisie données file act.'!T43), "", 'Saisie données file act.'!T43)</f>
        <v/>
      </c>
      <c r="U24" s="903" t="str">
        <f>IF(ISBLANK('Saisie données file act.'!U43), "", 'Saisie données file act.'!U43)</f>
        <v/>
      </c>
      <c r="V24" s="903" t="str">
        <f>IF(ISBLANK('Saisie données file act.'!V43), "", 'Saisie données file act.'!V43)</f>
        <v/>
      </c>
      <c r="W24" s="903" t="str">
        <f>IF(ISBLANK('Saisie données file act.'!W43), "", 'Saisie données file act.'!W43)</f>
        <v/>
      </c>
      <c r="X24" s="903" t="str">
        <f>IF(ISBLANK('Saisie données file act.'!X43), "", 'Saisie données file act.'!X43)</f>
        <v/>
      </c>
      <c r="Y24" s="903" t="str">
        <f>IF(ISBLANK('Saisie données file act.'!Y43), "", 'Saisie données file act.'!Y43)</f>
        <v/>
      </c>
      <c r="Z24" s="903" t="str">
        <f>IF(ISBLANK('Saisie données file act.'!Z43), "", 'Saisie données file act.'!Z43)</f>
        <v/>
      </c>
      <c r="AA24" s="903" t="str">
        <f>IF(ISBLANK('Saisie données file act.'!AA43), "", 'Saisie données file act.'!AA43)</f>
        <v/>
      </c>
      <c r="AB24" s="903" t="str">
        <f>IF(ISBLANK('Saisie données file act.'!AB43), "", 'Saisie données file act.'!AB43)</f>
        <v/>
      </c>
      <c r="AC24" s="903" t="str">
        <f>IF(ISBLANK('Saisie données file act.'!AC43), "", 'Saisie données file act.'!AC43)</f>
        <v/>
      </c>
      <c r="AD24" s="903" t="str">
        <f>IF(ISBLANK('Saisie données file act.'!AD43), "", 'Saisie données file act.'!AD43)</f>
        <v/>
      </c>
      <c r="AE24" s="903" t="str">
        <f>IF(ISBLANK('Saisie données file act.'!AE43), "", 'Saisie données file act.'!AE43)</f>
        <v/>
      </c>
      <c r="AF24" s="903" t="str">
        <f>IF(ISBLANK('Saisie données file act.'!AF43), "", 'Saisie données file act.'!AF43)</f>
        <v/>
      </c>
      <c r="AG24" s="903" t="str">
        <f>IF(ISBLANK('Saisie données file act.'!AG43), "", 'Saisie données file act.'!AG43)</f>
        <v/>
      </c>
      <c r="AH24" s="903" t="str">
        <f>IF(ISBLANK('Saisie données file act.'!AH43), "", 'Saisie données file act.'!AH43)</f>
        <v/>
      </c>
      <c r="AI24" s="903" t="str">
        <f>IF(ISBLANK('Saisie données file act.'!AI43), "", 'Saisie données file act.'!AI43)</f>
        <v/>
      </c>
      <c r="AJ24" s="903" t="str">
        <f>IF(ISBLANK('Saisie données file act.'!AJ43), "", 'Saisie données file act.'!AJ43)</f>
        <v/>
      </c>
      <c r="AK24" s="903" t="str">
        <f>IF(ISBLANK('Saisie données file act.'!AK43), "", 'Saisie données file act.'!AK43)</f>
        <v/>
      </c>
      <c r="AL24" s="903" t="str">
        <f>IF(ISBLANK('Saisie données file act.'!AL43), "", 'Saisie données file act.'!AL43)</f>
        <v/>
      </c>
      <c r="AM24" s="903" t="str">
        <f>IF(ISBLANK('Saisie données file act.'!AM43), "", 'Saisie données file act.'!AM43)</f>
        <v/>
      </c>
      <c r="AN24" s="903" t="str">
        <f>IF(ISBLANK('Saisie données file act.'!AN43), "", 'Saisie données file act.'!AN43)</f>
        <v/>
      </c>
      <c r="AO24" s="903" t="str">
        <f>IF(ISBLANK('Saisie données file act.'!AO43), "", 'Saisie données file act.'!AO43)</f>
        <v/>
      </c>
      <c r="AP24" s="903" t="str">
        <f>IF(ISBLANK('Saisie données file act.'!AP43), "", 'Saisie données file act.'!AP43)</f>
        <v/>
      </c>
      <c r="AQ24" s="903" t="str">
        <f>IF(ISBLANK('Saisie données file act.'!AQ43), "", 'Saisie données file act.'!AQ43)</f>
        <v/>
      </c>
      <c r="AR24" s="903" t="str">
        <f>IF(ISBLANK('Saisie données file act.'!AR43), "", 'Saisie données file act.'!AR43)</f>
        <v/>
      </c>
      <c r="AS24" s="903" t="str">
        <f>IF(ISBLANK('Saisie données file act.'!AS43), "", 'Saisie données file act.'!AS43)</f>
        <v/>
      </c>
      <c r="AT24" s="903" t="str">
        <f>IF(ISBLANK('Saisie données file act.'!AT43), "", 'Saisie données file act.'!AT43)</f>
        <v/>
      </c>
      <c r="AU24" s="903" t="str">
        <f>IF(ISBLANK('Saisie données file act.'!AU43), "", 'Saisie données file act.'!AU43)</f>
        <v/>
      </c>
      <c r="AV24" s="900">
        <f>'Saisie données file act.'!E133</f>
        <v>0</v>
      </c>
      <c r="AW24" s="901"/>
      <c r="AX24" s="900">
        <f>'Saisie données file act.'!E275</f>
        <v>0</v>
      </c>
    </row>
    <row r="25" spans="3:50" s="895" customFormat="1" ht="14.25" thickBot="1" x14ac:dyDescent="0.3">
      <c r="C25" s="3258"/>
      <c r="D25" s="904">
        <f>'Saisie données file act.'!D44</f>
        <v>0</v>
      </c>
      <c r="E25" s="903" t="str">
        <f>IF(ISBLANK('Saisie données file act.'!E44), "", 'Saisie données file act.'!E44)</f>
        <v/>
      </c>
      <c r="F25" s="903" t="str">
        <f>IF(ISBLANK('Saisie données file act.'!F44), "", 'Saisie données file act.'!F44)</f>
        <v/>
      </c>
      <c r="G25" s="903" t="str">
        <f>IF(ISBLANK('Saisie données file act.'!G44), "", 'Saisie données file act.'!G44)</f>
        <v/>
      </c>
      <c r="H25" s="903" t="str">
        <f>IF(ISBLANK('Saisie données file act.'!H44), "", 'Saisie données file act.'!H44)</f>
        <v/>
      </c>
      <c r="I25" s="903" t="str">
        <f>IF(ISBLANK('Saisie données file act.'!I44), "", 'Saisie données file act.'!I44)</f>
        <v/>
      </c>
      <c r="J25" s="903" t="str">
        <f>IF(ISBLANK('Saisie données file act.'!J44), "", 'Saisie données file act.'!J44)</f>
        <v/>
      </c>
      <c r="K25" s="903" t="str">
        <f>IF(ISBLANK('Saisie données file act.'!K44), "", 'Saisie données file act.'!K44)</f>
        <v/>
      </c>
      <c r="L25" s="903" t="str">
        <f>IF(ISBLANK('Saisie données file act.'!L44), "", 'Saisie données file act.'!L44)</f>
        <v/>
      </c>
      <c r="M25" s="903" t="str">
        <f>IF(ISBLANK('Saisie données file act.'!M44), "", 'Saisie données file act.'!M44)</f>
        <v/>
      </c>
      <c r="N25" s="903" t="str">
        <f>IF(ISBLANK('Saisie données file act.'!N44), "", 'Saisie données file act.'!N44)</f>
        <v/>
      </c>
      <c r="O25" s="903" t="str">
        <f>IF(ISBLANK('Saisie données file act.'!O44), "", 'Saisie données file act.'!O44)</f>
        <v/>
      </c>
      <c r="P25" s="903" t="str">
        <f>IF(ISBLANK('Saisie données file act.'!P44), "", 'Saisie données file act.'!P44)</f>
        <v/>
      </c>
      <c r="Q25" s="903" t="str">
        <f>IF(ISBLANK('Saisie données file act.'!Q44), "", 'Saisie données file act.'!Q44)</f>
        <v/>
      </c>
      <c r="R25" s="903" t="str">
        <f>IF(ISBLANK('Saisie données file act.'!R44), "", 'Saisie données file act.'!R44)</f>
        <v/>
      </c>
      <c r="S25" s="903" t="str">
        <f>IF(ISBLANK('Saisie données file act.'!S44), "", 'Saisie données file act.'!S44)</f>
        <v/>
      </c>
      <c r="T25" s="903" t="str">
        <f>IF(ISBLANK('Saisie données file act.'!T44), "", 'Saisie données file act.'!T44)</f>
        <v/>
      </c>
      <c r="U25" s="903" t="str">
        <f>IF(ISBLANK('Saisie données file act.'!U44), "", 'Saisie données file act.'!U44)</f>
        <v/>
      </c>
      <c r="V25" s="903" t="str">
        <f>IF(ISBLANK('Saisie données file act.'!V44), "", 'Saisie données file act.'!V44)</f>
        <v/>
      </c>
      <c r="W25" s="903" t="str">
        <f>IF(ISBLANK('Saisie données file act.'!W44), "", 'Saisie données file act.'!W44)</f>
        <v/>
      </c>
      <c r="X25" s="903" t="str">
        <f>IF(ISBLANK('Saisie données file act.'!X44), "", 'Saisie données file act.'!X44)</f>
        <v/>
      </c>
      <c r="Y25" s="903" t="str">
        <f>IF(ISBLANK('Saisie données file act.'!Y44), "", 'Saisie données file act.'!Y44)</f>
        <v/>
      </c>
      <c r="Z25" s="903" t="str">
        <f>IF(ISBLANK('Saisie données file act.'!Z44), "", 'Saisie données file act.'!Z44)</f>
        <v/>
      </c>
      <c r="AA25" s="903" t="str">
        <f>IF(ISBLANK('Saisie données file act.'!AA44), "", 'Saisie données file act.'!AA44)</f>
        <v/>
      </c>
      <c r="AB25" s="903" t="str">
        <f>IF(ISBLANK('Saisie données file act.'!AB44), "", 'Saisie données file act.'!AB44)</f>
        <v/>
      </c>
      <c r="AC25" s="903" t="str">
        <f>IF(ISBLANK('Saisie données file act.'!AC44), "", 'Saisie données file act.'!AC44)</f>
        <v/>
      </c>
      <c r="AD25" s="903" t="str">
        <f>IF(ISBLANK('Saisie données file act.'!AD44), "", 'Saisie données file act.'!AD44)</f>
        <v/>
      </c>
      <c r="AE25" s="903" t="str">
        <f>IF(ISBLANK('Saisie données file act.'!AE44), "", 'Saisie données file act.'!AE44)</f>
        <v/>
      </c>
      <c r="AF25" s="903" t="str">
        <f>IF(ISBLANK('Saisie données file act.'!AF44), "", 'Saisie données file act.'!AF44)</f>
        <v/>
      </c>
      <c r="AG25" s="903" t="str">
        <f>IF(ISBLANK('Saisie données file act.'!AG44), "", 'Saisie données file act.'!AG44)</f>
        <v/>
      </c>
      <c r="AH25" s="903" t="str">
        <f>IF(ISBLANK('Saisie données file act.'!AH44), "", 'Saisie données file act.'!AH44)</f>
        <v/>
      </c>
      <c r="AI25" s="903" t="str">
        <f>IF(ISBLANK('Saisie données file act.'!AI44), "", 'Saisie données file act.'!AI44)</f>
        <v/>
      </c>
      <c r="AJ25" s="903" t="str">
        <f>IF(ISBLANK('Saisie données file act.'!AJ44), "", 'Saisie données file act.'!AJ44)</f>
        <v/>
      </c>
      <c r="AK25" s="903" t="str">
        <f>IF(ISBLANK('Saisie données file act.'!AK44), "", 'Saisie données file act.'!AK44)</f>
        <v/>
      </c>
      <c r="AL25" s="903" t="str">
        <f>IF(ISBLANK('Saisie données file act.'!AL44), "", 'Saisie données file act.'!AL44)</f>
        <v/>
      </c>
      <c r="AM25" s="903" t="str">
        <f>IF(ISBLANK('Saisie données file act.'!AM44), "", 'Saisie données file act.'!AM44)</f>
        <v/>
      </c>
      <c r="AN25" s="903" t="str">
        <f>IF(ISBLANK('Saisie données file act.'!AN44), "", 'Saisie données file act.'!AN44)</f>
        <v/>
      </c>
      <c r="AO25" s="903" t="str">
        <f>IF(ISBLANK('Saisie données file act.'!AO44), "", 'Saisie données file act.'!AO44)</f>
        <v/>
      </c>
      <c r="AP25" s="903" t="str">
        <f>IF(ISBLANK('Saisie données file act.'!AP44), "", 'Saisie données file act.'!AP44)</f>
        <v/>
      </c>
      <c r="AQ25" s="903" t="str">
        <f>IF(ISBLANK('Saisie données file act.'!AQ44), "", 'Saisie données file act.'!AQ44)</f>
        <v/>
      </c>
      <c r="AR25" s="903" t="str">
        <f>IF(ISBLANK('Saisie données file act.'!AR44), "", 'Saisie données file act.'!AR44)</f>
        <v/>
      </c>
      <c r="AS25" s="903" t="str">
        <f>IF(ISBLANK('Saisie données file act.'!AS44), "", 'Saisie données file act.'!AS44)</f>
        <v/>
      </c>
      <c r="AT25" s="903" t="str">
        <f>IF(ISBLANK('Saisie données file act.'!AT44), "", 'Saisie données file act.'!AT44)</f>
        <v/>
      </c>
      <c r="AU25" s="903" t="str">
        <f>IF(ISBLANK('Saisie données file act.'!AU44), "", 'Saisie données file act.'!AU44)</f>
        <v/>
      </c>
      <c r="AV25" s="909">
        <f>'Saisie données file act.'!E134</f>
        <v>0</v>
      </c>
      <c r="AW25" s="910"/>
      <c r="AX25" s="909">
        <f>'Saisie données file act.'!E276</f>
        <v>0</v>
      </c>
    </row>
    <row r="26" spans="3:50" s="895" customFormat="1" ht="14.25" thickBot="1" x14ac:dyDescent="0.3">
      <c r="C26" s="3258"/>
      <c r="D26" s="905">
        <f>'Saisie données file act.'!D45</f>
        <v>0</v>
      </c>
      <c r="E26" s="903" t="str">
        <f>IF(ISBLANK('Saisie données file act.'!E45), "", 'Saisie données file act.'!E45)</f>
        <v/>
      </c>
      <c r="F26" s="903" t="str">
        <f>IF(ISBLANK('Saisie données file act.'!F45), "", 'Saisie données file act.'!F45)</f>
        <v/>
      </c>
      <c r="G26" s="903" t="str">
        <f>IF(ISBLANK('Saisie données file act.'!G45), "", 'Saisie données file act.'!G45)</f>
        <v/>
      </c>
      <c r="H26" s="903" t="str">
        <f>IF(ISBLANK('Saisie données file act.'!H45), "", 'Saisie données file act.'!H45)</f>
        <v/>
      </c>
      <c r="I26" s="903" t="str">
        <f>IF(ISBLANK('Saisie données file act.'!I45), "", 'Saisie données file act.'!I45)</f>
        <v/>
      </c>
      <c r="J26" s="903" t="str">
        <f>IF(ISBLANK('Saisie données file act.'!J45), "", 'Saisie données file act.'!J45)</f>
        <v/>
      </c>
      <c r="K26" s="903" t="str">
        <f>IF(ISBLANK('Saisie données file act.'!K45), "", 'Saisie données file act.'!K45)</f>
        <v/>
      </c>
      <c r="L26" s="903" t="str">
        <f>IF(ISBLANK('Saisie données file act.'!L45), "", 'Saisie données file act.'!L45)</f>
        <v/>
      </c>
      <c r="M26" s="903" t="str">
        <f>IF(ISBLANK('Saisie données file act.'!M45), "", 'Saisie données file act.'!M45)</f>
        <v/>
      </c>
      <c r="N26" s="903" t="str">
        <f>IF(ISBLANK('Saisie données file act.'!N45), "", 'Saisie données file act.'!N45)</f>
        <v/>
      </c>
      <c r="O26" s="903" t="str">
        <f>IF(ISBLANK('Saisie données file act.'!O45), "", 'Saisie données file act.'!O45)</f>
        <v/>
      </c>
      <c r="P26" s="903" t="str">
        <f>IF(ISBLANK('Saisie données file act.'!P45), "", 'Saisie données file act.'!P45)</f>
        <v/>
      </c>
      <c r="Q26" s="903" t="str">
        <f>IF(ISBLANK('Saisie données file act.'!Q45), "", 'Saisie données file act.'!Q45)</f>
        <v/>
      </c>
      <c r="R26" s="903" t="str">
        <f>IF(ISBLANK('Saisie données file act.'!R45), "", 'Saisie données file act.'!R45)</f>
        <v/>
      </c>
      <c r="S26" s="903" t="str">
        <f>IF(ISBLANK('Saisie données file act.'!S45), "", 'Saisie données file act.'!S45)</f>
        <v/>
      </c>
      <c r="T26" s="903" t="str">
        <f>IF(ISBLANK('Saisie données file act.'!T45), "", 'Saisie données file act.'!T45)</f>
        <v/>
      </c>
      <c r="U26" s="903" t="str">
        <f>IF(ISBLANK('Saisie données file act.'!U45), "", 'Saisie données file act.'!U45)</f>
        <v/>
      </c>
      <c r="V26" s="903" t="str">
        <f>IF(ISBLANK('Saisie données file act.'!V45), "", 'Saisie données file act.'!V45)</f>
        <v/>
      </c>
      <c r="W26" s="903" t="str">
        <f>IF(ISBLANK('Saisie données file act.'!W45), "", 'Saisie données file act.'!W45)</f>
        <v/>
      </c>
      <c r="X26" s="903" t="str">
        <f>IF(ISBLANK('Saisie données file act.'!X45), "", 'Saisie données file act.'!X45)</f>
        <v/>
      </c>
      <c r="Y26" s="903" t="str">
        <f>IF(ISBLANK('Saisie données file act.'!Y45), "", 'Saisie données file act.'!Y45)</f>
        <v/>
      </c>
      <c r="Z26" s="903" t="str">
        <f>IF(ISBLANK('Saisie données file act.'!Z45), "", 'Saisie données file act.'!Z45)</f>
        <v/>
      </c>
      <c r="AA26" s="903" t="str">
        <f>IF(ISBLANK('Saisie données file act.'!AA45), "", 'Saisie données file act.'!AA45)</f>
        <v/>
      </c>
      <c r="AB26" s="903" t="str">
        <f>IF(ISBLANK('Saisie données file act.'!AB45), "", 'Saisie données file act.'!AB45)</f>
        <v/>
      </c>
      <c r="AC26" s="903" t="str">
        <f>IF(ISBLANK('Saisie données file act.'!AC45), "", 'Saisie données file act.'!AC45)</f>
        <v/>
      </c>
      <c r="AD26" s="903" t="str">
        <f>IF(ISBLANK('Saisie données file act.'!AD45), "", 'Saisie données file act.'!AD45)</f>
        <v/>
      </c>
      <c r="AE26" s="903" t="str">
        <f>IF(ISBLANK('Saisie données file act.'!AE45), "", 'Saisie données file act.'!AE45)</f>
        <v/>
      </c>
      <c r="AF26" s="903" t="str">
        <f>IF(ISBLANK('Saisie données file act.'!AF45), "", 'Saisie données file act.'!AF45)</f>
        <v/>
      </c>
      <c r="AG26" s="903" t="str">
        <f>IF(ISBLANK('Saisie données file act.'!AG45), "", 'Saisie données file act.'!AG45)</f>
        <v/>
      </c>
      <c r="AH26" s="903" t="str">
        <f>IF(ISBLANK('Saisie données file act.'!AH45), "", 'Saisie données file act.'!AH45)</f>
        <v/>
      </c>
      <c r="AI26" s="903" t="str">
        <f>IF(ISBLANK('Saisie données file act.'!AI45), "", 'Saisie données file act.'!AI45)</f>
        <v/>
      </c>
      <c r="AJ26" s="903" t="str">
        <f>IF(ISBLANK('Saisie données file act.'!AJ45), "", 'Saisie données file act.'!AJ45)</f>
        <v/>
      </c>
      <c r="AK26" s="903" t="str">
        <f>IF(ISBLANK('Saisie données file act.'!AK45), "", 'Saisie données file act.'!AK45)</f>
        <v/>
      </c>
      <c r="AL26" s="903" t="str">
        <f>IF(ISBLANK('Saisie données file act.'!AL45), "", 'Saisie données file act.'!AL45)</f>
        <v/>
      </c>
      <c r="AM26" s="903" t="str">
        <f>IF(ISBLANK('Saisie données file act.'!AM45), "", 'Saisie données file act.'!AM45)</f>
        <v/>
      </c>
      <c r="AN26" s="903" t="str">
        <f>IF(ISBLANK('Saisie données file act.'!AN45), "", 'Saisie données file act.'!AN45)</f>
        <v/>
      </c>
      <c r="AO26" s="903" t="str">
        <f>IF(ISBLANK('Saisie données file act.'!AO45), "", 'Saisie données file act.'!AO45)</f>
        <v/>
      </c>
      <c r="AP26" s="903" t="str">
        <f>IF(ISBLANK('Saisie données file act.'!AP45), "", 'Saisie données file act.'!AP45)</f>
        <v/>
      </c>
      <c r="AQ26" s="903" t="str">
        <f>IF(ISBLANK('Saisie données file act.'!AQ45), "", 'Saisie données file act.'!AQ45)</f>
        <v/>
      </c>
      <c r="AR26" s="903" t="str">
        <f>IF(ISBLANK('Saisie données file act.'!AR45), "", 'Saisie données file act.'!AR45)</f>
        <v/>
      </c>
      <c r="AS26" s="903" t="str">
        <f>IF(ISBLANK('Saisie données file act.'!AS45), "", 'Saisie données file act.'!AS45)</f>
        <v/>
      </c>
      <c r="AT26" s="903" t="str">
        <f>IF(ISBLANK('Saisie données file act.'!AT45), "", 'Saisie données file act.'!AT45)</f>
        <v/>
      </c>
      <c r="AU26" s="903" t="str">
        <f>IF(ISBLANK('Saisie données file act.'!AU45), "", 'Saisie données file act.'!AU45)</f>
        <v/>
      </c>
      <c r="AV26" s="900">
        <f>'Saisie données file act.'!E135</f>
        <v>0</v>
      </c>
      <c r="AW26" s="901"/>
      <c r="AX26" s="900">
        <f>'Saisie données file act.'!E277</f>
        <v>0</v>
      </c>
    </row>
    <row r="27" spans="3:50" s="895" customFormat="1" ht="14.25" thickBot="1" x14ac:dyDescent="0.3">
      <c r="C27" s="3258"/>
      <c r="D27" s="904">
        <f>'Saisie données file act.'!D46</f>
        <v>0</v>
      </c>
      <c r="E27" s="903" t="str">
        <f>IF(ISBLANK('Saisie données file act.'!E46), "", 'Saisie données file act.'!E46)</f>
        <v/>
      </c>
      <c r="F27" s="903" t="str">
        <f>IF(ISBLANK('Saisie données file act.'!F46), "", 'Saisie données file act.'!F46)</f>
        <v/>
      </c>
      <c r="G27" s="903" t="str">
        <f>IF(ISBLANK('Saisie données file act.'!G46), "", 'Saisie données file act.'!G46)</f>
        <v/>
      </c>
      <c r="H27" s="903" t="str">
        <f>IF(ISBLANK('Saisie données file act.'!H46), "", 'Saisie données file act.'!H46)</f>
        <v/>
      </c>
      <c r="I27" s="903" t="str">
        <f>IF(ISBLANK('Saisie données file act.'!I46), "", 'Saisie données file act.'!I46)</f>
        <v/>
      </c>
      <c r="J27" s="903" t="str">
        <f>IF(ISBLANK('Saisie données file act.'!J46), "", 'Saisie données file act.'!J46)</f>
        <v/>
      </c>
      <c r="K27" s="903" t="str">
        <f>IF(ISBLANK('Saisie données file act.'!K46), "", 'Saisie données file act.'!K46)</f>
        <v/>
      </c>
      <c r="L27" s="903" t="str">
        <f>IF(ISBLANK('Saisie données file act.'!L46), "", 'Saisie données file act.'!L46)</f>
        <v/>
      </c>
      <c r="M27" s="903" t="str">
        <f>IF(ISBLANK('Saisie données file act.'!M46), "", 'Saisie données file act.'!M46)</f>
        <v/>
      </c>
      <c r="N27" s="903" t="str">
        <f>IF(ISBLANK('Saisie données file act.'!N46), "", 'Saisie données file act.'!N46)</f>
        <v/>
      </c>
      <c r="O27" s="903" t="str">
        <f>IF(ISBLANK('Saisie données file act.'!O46), "", 'Saisie données file act.'!O46)</f>
        <v/>
      </c>
      <c r="P27" s="903" t="str">
        <f>IF(ISBLANK('Saisie données file act.'!P46), "", 'Saisie données file act.'!P46)</f>
        <v/>
      </c>
      <c r="Q27" s="903" t="str">
        <f>IF(ISBLANK('Saisie données file act.'!Q46), "", 'Saisie données file act.'!Q46)</f>
        <v/>
      </c>
      <c r="R27" s="903" t="str">
        <f>IF(ISBLANK('Saisie données file act.'!R46), "", 'Saisie données file act.'!R46)</f>
        <v/>
      </c>
      <c r="S27" s="903" t="str">
        <f>IF(ISBLANK('Saisie données file act.'!S46), "", 'Saisie données file act.'!S46)</f>
        <v/>
      </c>
      <c r="T27" s="903" t="str">
        <f>IF(ISBLANK('Saisie données file act.'!T46), "", 'Saisie données file act.'!T46)</f>
        <v/>
      </c>
      <c r="U27" s="903" t="str">
        <f>IF(ISBLANK('Saisie données file act.'!U46), "", 'Saisie données file act.'!U46)</f>
        <v/>
      </c>
      <c r="V27" s="903" t="str">
        <f>IF(ISBLANK('Saisie données file act.'!V46), "", 'Saisie données file act.'!V46)</f>
        <v/>
      </c>
      <c r="W27" s="903" t="str">
        <f>IF(ISBLANK('Saisie données file act.'!W46), "", 'Saisie données file act.'!W46)</f>
        <v/>
      </c>
      <c r="X27" s="903" t="str">
        <f>IF(ISBLANK('Saisie données file act.'!X46), "", 'Saisie données file act.'!X46)</f>
        <v/>
      </c>
      <c r="Y27" s="903" t="str">
        <f>IF(ISBLANK('Saisie données file act.'!Y46), "", 'Saisie données file act.'!Y46)</f>
        <v/>
      </c>
      <c r="Z27" s="903" t="str">
        <f>IF(ISBLANK('Saisie données file act.'!Z46), "", 'Saisie données file act.'!Z46)</f>
        <v/>
      </c>
      <c r="AA27" s="903" t="str">
        <f>IF(ISBLANK('Saisie données file act.'!AA46), "", 'Saisie données file act.'!AA46)</f>
        <v/>
      </c>
      <c r="AB27" s="903" t="str">
        <f>IF(ISBLANK('Saisie données file act.'!AB46), "", 'Saisie données file act.'!AB46)</f>
        <v/>
      </c>
      <c r="AC27" s="903" t="str">
        <f>IF(ISBLANK('Saisie données file act.'!AC46), "", 'Saisie données file act.'!AC46)</f>
        <v/>
      </c>
      <c r="AD27" s="903" t="str">
        <f>IF(ISBLANK('Saisie données file act.'!AD46), "", 'Saisie données file act.'!AD46)</f>
        <v/>
      </c>
      <c r="AE27" s="903" t="str">
        <f>IF(ISBLANK('Saisie données file act.'!AE46), "", 'Saisie données file act.'!AE46)</f>
        <v/>
      </c>
      <c r="AF27" s="903" t="str">
        <f>IF(ISBLANK('Saisie données file act.'!AF46), "", 'Saisie données file act.'!AF46)</f>
        <v/>
      </c>
      <c r="AG27" s="903" t="str">
        <f>IF(ISBLANK('Saisie données file act.'!AG46), "", 'Saisie données file act.'!AG46)</f>
        <v/>
      </c>
      <c r="AH27" s="903" t="str">
        <f>IF(ISBLANK('Saisie données file act.'!AH46), "", 'Saisie données file act.'!AH46)</f>
        <v/>
      </c>
      <c r="AI27" s="903" t="str">
        <f>IF(ISBLANK('Saisie données file act.'!AI46), "", 'Saisie données file act.'!AI46)</f>
        <v/>
      </c>
      <c r="AJ27" s="903" t="str">
        <f>IF(ISBLANK('Saisie données file act.'!AJ46), "", 'Saisie données file act.'!AJ46)</f>
        <v/>
      </c>
      <c r="AK27" s="903" t="str">
        <f>IF(ISBLANK('Saisie données file act.'!AK46), "", 'Saisie données file act.'!AK46)</f>
        <v/>
      </c>
      <c r="AL27" s="903" t="str">
        <f>IF(ISBLANK('Saisie données file act.'!AL46), "", 'Saisie données file act.'!AL46)</f>
        <v/>
      </c>
      <c r="AM27" s="903" t="str">
        <f>IF(ISBLANK('Saisie données file act.'!AM46), "", 'Saisie données file act.'!AM46)</f>
        <v/>
      </c>
      <c r="AN27" s="903" t="str">
        <f>IF(ISBLANK('Saisie données file act.'!AN46), "", 'Saisie données file act.'!AN46)</f>
        <v/>
      </c>
      <c r="AO27" s="903" t="str">
        <f>IF(ISBLANK('Saisie données file act.'!AO46), "", 'Saisie données file act.'!AO46)</f>
        <v/>
      </c>
      <c r="AP27" s="903" t="str">
        <f>IF(ISBLANK('Saisie données file act.'!AP46), "", 'Saisie données file act.'!AP46)</f>
        <v/>
      </c>
      <c r="AQ27" s="903" t="str">
        <f>IF(ISBLANK('Saisie données file act.'!AQ46), "", 'Saisie données file act.'!AQ46)</f>
        <v/>
      </c>
      <c r="AR27" s="903" t="str">
        <f>IF(ISBLANK('Saisie données file act.'!AR46), "", 'Saisie données file act.'!AR46)</f>
        <v/>
      </c>
      <c r="AS27" s="903" t="str">
        <f>IF(ISBLANK('Saisie données file act.'!AS46), "", 'Saisie données file act.'!AS46)</f>
        <v/>
      </c>
      <c r="AT27" s="903" t="str">
        <f>IF(ISBLANK('Saisie données file act.'!AT46), "", 'Saisie données file act.'!AT46)</f>
        <v/>
      </c>
      <c r="AU27" s="903" t="str">
        <f>IF(ISBLANK('Saisie données file act.'!AU46), "", 'Saisie données file act.'!AU46)</f>
        <v/>
      </c>
      <c r="AV27" s="918">
        <f>'Saisie données file act.'!E136</f>
        <v>0</v>
      </c>
      <c r="AW27" s="919"/>
      <c r="AX27" s="918">
        <f>'Saisie données file act.'!E278</f>
        <v>0</v>
      </c>
    </row>
    <row r="28" spans="3:50" s="895" customFormat="1" ht="14.25" thickBot="1" x14ac:dyDescent="0.3">
      <c r="C28" s="3258"/>
      <c r="D28" s="905">
        <f>'Saisie données file act.'!D47</f>
        <v>0</v>
      </c>
      <c r="E28" s="903" t="str">
        <f>IF(ISBLANK('Saisie données file act.'!E47), "", 'Saisie données file act.'!E47)</f>
        <v/>
      </c>
      <c r="F28" s="903" t="str">
        <f>IF(ISBLANK('Saisie données file act.'!F47), "", 'Saisie données file act.'!F47)</f>
        <v/>
      </c>
      <c r="G28" s="903" t="str">
        <f>IF(ISBLANK('Saisie données file act.'!G47), "", 'Saisie données file act.'!G47)</f>
        <v/>
      </c>
      <c r="H28" s="903" t="str">
        <f>IF(ISBLANK('Saisie données file act.'!H47), "", 'Saisie données file act.'!H47)</f>
        <v/>
      </c>
      <c r="I28" s="903" t="str">
        <f>IF(ISBLANK('Saisie données file act.'!I47), "", 'Saisie données file act.'!I47)</f>
        <v/>
      </c>
      <c r="J28" s="903" t="str">
        <f>IF(ISBLANK('Saisie données file act.'!J47), "", 'Saisie données file act.'!J47)</f>
        <v/>
      </c>
      <c r="K28" s="903" t="str">
        <f>IF(ISBLANK('Saisie données file act.'!K47), "", 'Saisie données file act.'!K47)</f>
        <v/>
      </c>
      <c r="L28" s="903" t="str">
        <f>IF(ISBLANK('Saisie données file act.'!L47), "", 'Saisie données file act.'!L47)</f>
        <v/>
      </c>
      <c r="M28" s="903" t="str">
        <f>IF(ISBLANK('Saisie données file act.'!M47), "", 'Saisie données file act.'!M47)</f>
        <v/>
      </c>
      <c r="N28" s="903" t="str">
        <f>IF(ISBLANK('Saisie données file act.'!N47), "", 'Saisie données file act.'!N47)</f>
        <v/>
      </c>
      <c r="O28" s="903" t="str">
        <f>IF(ISBLANK('Saisie données file act.'!O47), "", 'Saisie données file act.'!O47)</f>
        <v/>
      </c>
      <c r="P28" s="903" t="str">
        <f>IF(ISBLANK('Saisie données file act.'!P47), "", 'Saisie données file act.'!P47)</f>
        <v/>
      </c>
      <c r="Q28" s="903" t="str">
        <f>IF(ISBLANK('Saisie données file act.'!Q47), "", 'Saisie données file act.'!Q47)</f>
        <v/>
      </c>
      <c r="R28" s="903" t="str">
        <f>IF(ISBLANK('Saisie données file act.'!R47), "", 'Saisie données file act.'!R47)</f>
        <v/>
      </c>
      <c r="S28" s="903" t="str">
        <f>IF(ISBLANK('Saisie données file act.'!S47), "", 'Saisie données file act.'!S47)</f>
        <v/>
      </c>
      <c r="T28" s="903" t="str">
        <f>IF(ISBLANK('Saisie données file act.'!T47), "", 'Saisie données file act.'!T47)</f>
        <v/>
      </c>
      <c r="U28" s="903" t="str">
        <f>IF(ISBLANK('Saisie données file act.'!U47), "", 'Saisie données file act.'!U47)</f>
        <v/>
      </c>
      <c r="V28" s="903" t="str">
        <f>IF(ISBLANK('Saisie données file act.'!V47), "", 'Saisie données file act.'!V47)</f>
        <v/>
      </c>
      <c r="W28" s="903" t="str">
        <f>IF(ISBLANK('Saisie données file act.'!W47), "", 'Saisie données file act.'!W47)</f>
        <v/>
      </c>
      <c r="X28" s="903" t="str">
        <f>IF(ISBLANK('Saisie données file act.'!X47), "", 'Saisie données file act.'!X47)</f>
        <v/>
      </c>
      <c r="Y28" s="903" t="str">
        <f>IF(ISBLANK('Saisie données file act.'!Y47), "", 'Saisie données file act.'!Y47)</f>
        <v/>
      </c>
      <c r="Z28" s="903" t="str">
        <f>IF(ISBLANK('Saisie données file act.'!Z47), "", 'Saisie données file act.'!Z47)</f>
        <v/>
      </c>
      <c r="AA28" s="903" t="str">
        <f>IF(ISBLANK('Saisie données file act.'!AA47), "", 'Saisie données file act.'!AA47)</f>
        <v/>
      </c>
      <c r="AB28" s="903" t="str">
        <f>IF(ISBLANK('Saisie données file act.'!AB47), "", 'Saisie données file act.'!AB47)</f>
        <v/>
      </c>
      <c r="AC28" s="903" t="str">
        <f>IF(ISBLANK('Saisie données file act.'!AC47), "", 'Saisie données file act.'!AC47)</f>
        <v/>
      </c>
      <c r="AD28" s="903" t="str">
        <f>IF(ISBLANK('Saisie données file act.'!AD47), "", 'Saisie données file act.'!AD47)</f>
        <v/>
      </c>
      <c r="AE28" s="903" t="str">
        <f>IF(ISBLANK('Saisie données file act.'!AE47), "", 'Saisie données file act.'!AE47)</f>
        <v/>
      </c>
      <c r="AF28" s="903" t="str">
        <f>IF(ISBLANK('Saisie données file act.'!AF47), "", 'Saisie données file act.'!AF47)</f>
        <v/>
      </c>
      <c r="AG28" s="903" t="str">
        <f>IF(ISBLANK('Saisie données file act.'!AG47), "", 'Saisie données file act.'!AG47)</f>
        <v/>
      </c>
      <c r="AH28" s="903" t="str">
        <f>IF(ISBLANK('Saisie données file act.'!AH47), "", 'Saisie données file act.'!AH47)</f>
        <v/>
      </c>
      <c r="AI28" s="903" t="str">
        <f>IF(ISBLANK('Saisie données file act.'!AI47), "", 'Saisie données file act.'!AI47)</f>
        <v/>
      </c>
      <c r="AJ28" s="903" t="str">
        <f>IF(ISBLANK('Saisie données file act.'!AJ47), "", 'Saisie données file act.'!AJ47)</f>
        <v/>
      </c>
      <c r="AK28" s="903" t="str">
        <f>IF(ISBLANK('Saisie données file act.'!AK47), "", 'Saisie données file act.'!AK47)</f>
        <v/>
      </c>
      <c r="AL28" s="903" t="str">
        <f>IF(ISBLANK('Saisie données file act.'!AL47), "", 'Saisie données file act.'!AL47)</f>
        <v/>
      </c>
      <c r="AM28" s="903" t="str">
        <f>IF(ISBLANK('Saisie données file act.'!AM47), "", 'Saisie données file act.'!AM47)</f>
        <v/>
      </c>
      <c r="AN28" s="903" t="str">
        <f>IF(ISBLANK('Saisie données file act.'!AN47), "", 'Saisie données file act.'!AN47)</f>
        <v/>
      </c>
      <c r="AO28" s="903" t="str">
        <f>IF(ISBLANK('Saisie données file act.'!AO47), "", 'Saisie données file act.'!AO47)</f>
        <v/>
      </c>
      <c r="AP28" s="903" t="str">
        <f>IF(ISBLANK('Saisie données file act.'!AP47), "", 'Saisie données file act.'!AP47)</f>
        <v/>
      </c>
      <c r="AQ28" s="903" t="str">
        <f>IF(ISBLANK('Saisie données file act.'!AQ47), "", 'Saisie données file act.'!AQ47)</f>
        <v/>
      </c>
      <c r="AR28" s="903" t="str">
        <f>IF(ISBLANK('Saisie données file act.'!AR47), "", 'Saisie données file act.'!AR47)</f>
        <v/>
      </c>
      <c r="AS28" s="903" t="str">
        <f>IF(ISBLANK('Saisie données file act.'!AS47), "", 'Saisie données file act.'!AS47)</f>
        <v/>
      </c>
      <c r="AT28" s="903" t="str">
        <f>IF(ISBLANK('Saisie données file act.'!AT47), "", 'Saisie données file act.'!AT47)</f>
        <v/>
      </c>
      <c r="AU28" s="903" t="str">
        <f>IF(ISBLANK('Saisie données file act.'!AU47), "", 'Saisie données file act.'!AU47)</f>
        <v/>
      </c>
      <c r="AV28" s="909">
        <f>'Saisie données file act.'!E137</f>
        <v>0</v>
      </c>
      <c r="AW28" s="910"/>
      <c r="AX28" s="909">
        <f>'Saisie données file act.'!E279</f>
        <v>0</v>
      </c>
    </row>
    <row r="29" spans="3:50" s="895" customFormat="1" ht="14.25" thickBot="1" x14ac:dyDescent="0.3">
      <c r="C29" s="3258"/>
      <c r="D29" s="904">
        <f>'Saisie données file act.'!D48</f>
        <v>0</v>
      </c>
      <c r="E29" s="903" t="str">
        <f>IF(ISBLANK('Saisie données file act.'!E48), "", 'Saisie données file act.'!E48)</f>
        <v/>
      </c>
      <c r="F29" s="903" t="str">
        <f>IF(ISBLANK('Saisie données file act.'!F48), "", 'Saisie données file act.'!F48)</f>
        <v/>
      </c>
      <c r="G29" s="903" t="str">
        <f>IF(ISBLANK('Saisie données file act.'!G48), "", 'Saisie données file act.'!G48)</f>
        <v/>
      </c>
      <c r="H29" s="903" t="str">
        <f>IF(ISBLANK('Saisie données file act.'!H48), "", 'Saisie données file act.'!H48)</f>
        <v/>
      </c>
      <c r="I29" s="903" t="str">
        <f>IF(ISBLANK('Saisie données file act.'!I48), "", 'Saisie données file act.'!I48)</f>
        <v/>
      </c>
      <c r="J29" s="903" t="str">
        <f>IF(ISBLANK('Saisie données file act.'!J48), "", 'Saisie données file act.'!J48)</f>
        <v/>
      </c>
      <c r="K29" s="903" t="str">
        <f>IF(ISBLANK('Saisie données file act.'!K48), "", 'Saisie données file act.'!K48)</f>
        <v/>
      </c>
      <c r="L29" s="903" t="str">
        <f>IF(ISBLANK('Saisie données file act.'!L48), "", 'Saisie données file act.'!L48)</f>
        <v/>
      </c>
      <c r="M29" s="903" t="str">
        <f>IF(ISBLANK('Saisie données file act.'!M48), "", 'Saisie données file act.'!M48)</f>
        <v/>
      </c>
      <c r="N29" s="903" t="str">
        <f>IF(ISBLANK('Saisie données file act.'!N48), "", 'Saisie données file act.'!N48)</f>
        <v/>
      </c>
      <c r="O29" s="903" t="str">
        <f>IF(ISBLANK('Saisie données file act.'!O48), "", 'Saisie données file act.'!O48)</f>
        <v/>
      </c>
      <c r="P29" s="903" t="str">
        <f>IF(ISBLANK('Saisie données file act.'!P48), "", 'Saisie données file act.'!P48)</f>
        <v/>
      </c>
      <c r="Q29" s="903" t="str">
        <f>IF(ISBLANK('Saisie données file act.'!Q48), "", 'Saisie données file act.'!Q48)</f>
        <v/>
      </c>
      <c r="R29" s="903" t="str">
        <f>IF(ISBLANK('Saisie données file act.'!R48), "", 'Saisie données file act.'!R48)</f>
        <v/>
      </c>
      <c r="S29" s="903" t="str">
        <f>IF(ISBLANK('Saisie données file act.'!S48), "", 'Saisie données file act.'!S48)</f>
        <v/>
      </c>
      <c r="T29" s="903" t="str">
        <f>IF(ISBLANK('Saisie données file act.'!T48), "", 'Saisie données file act.'!T48)</f>
        <v/>
      </c>
      <c r="U29" s="903" t="str">
        <f>IF(ISBLANK('Saisie données file act.'!U48), "", 'Saisie données file act.'!U48)</f>
        <v/>
      </c>
      <c r="V29" s="903" t="str">
        <f>IF(ISBLANK('Saisie données file act.'!V48), "", 'Saisie données file act.'!V48)</f>
        <v/>
      </c>
      <c r="W29" s="903" t="str">
        <f>IF(ISBLANK('Saisie données file act.'!W48), "", 'Saisie données file act.'!W48)</f>
        <v/>
      </c>
      <c r="X29" s="903" t="str">
        <f>IF(ISBLANK('Saisie données file act.'!X48), "", 'Saisie données file act.'!X48)</f>
        <v/>
      </c>
      <c r="Y29" s="903" t="str">
        <f>IF(ISBLANK('Saisie données file act.'!Y48), "", 'Saisie données file act.'!Y48)</f>
        <v/>
      </c>
      <c r="Z29" s="903" t="str">
        <f>IF(ISBLANK('Saisie données file act.'!Z48), "", 'Saisie données file act.'!Z48)</f>
        <v/>
      </c>
      <c r="AA29" s="903" t="str">
        <f>IF(ISBLANK('Saisie données file act.'!AA48), "", 'Saisie données file act.'!AA48)</f>
        <v/>
      </c>
      <c r="AB29" s="903" t="str">
        <f>IF(ISBLANK('Saisie données file act.'!AB48), "", 'Saisie données file act.'!AB48)</f>
        <v/>
      </c>
      <c r="AC29" s="903" t="str">
        <f>IF(ISBLANK('Saisie données file act.'!AC48), "", 'Saisie données file act.'!AC48)</f>
        <v/>
      </c>
      <c r="AD29" s="903" t="str">
        <f>IF(ISBLANK('Saisie données file act.'!AD48), "", 'Saisie données file act.'!AD48)</f>
        <v/>
      </c>
      <c r="AE29" s="903" t="str">
        <f>IF(ISBLANK('Saisie données file act.'!AE48), "", 'Saisie données file act.'!AE48)</f>
        <v/>
      </c>
      <c r="AF29" s="903" t="str">
        <f>IF(ISBLANK('Saisie données file act.'!AF48), "", 'Saisie données file act.'!AF48)</f>
        <v/>
      </c>
      <c r="AG29" s="903" t="str">
        <f>IF(ISBLANK('Saisie données file act.'!AG48), "", 'Saisie données file act.'!AG48)</f>
        <v/>
      </c>
      <c r="AH29" s="903" t="str">
        <f>IF(ISBLANK('Saisie données file act.'!AH48), "", 'Saisie données file act.'!AH48)</f>
        <v/>
      </c>
      <c r="AI29" s="903" t="str">
        <f>IF(ISBLANK('Saisie données file act.'!AI48), "", 'Saisie données file act.'!AI48)</f>
        <v/>
      </c>
      <c r="AJ29" s="903" t="str">
        <f>IF(ISBLANK('Saisie données file act.'!AJ48), "", 'Saisie données file act.'!AJ48)</f>
        <v/>
      </c>
      <c r="AK29" s="903" t="str">
        <f>IF(ISBLANK('Saisie données file act.'!AK48), "", 'Saisie données file act.'!AK48)</f>
        <v/>
      </c>
      <c r="AL29" s="903" t="str">
        <f>IF(ISBLANK('Saisie données file act.'!AL48), "", 'Saisie données file act.'!AL48)</f>
        <v/>
      </c>
      <c r="AM29" s="903" t="str">
        <f>IF(ISBLANK('Saisie données file act.'!AM48), "", 'Saisie données file act.'!AM48)</f>
        <v/>
      </c>
      <c r="AN29" s="903" t="str">
        <f>IF(ISBLANK('Saisie données file act.'!AN48), "", 'Saisie données file act.'!AN48)</f>
        <v/>
      </c>
      <c r="AO29" s="903" t="str">
        <f>IF(ISBLANK('Saisie données file act.'!AO48), "", 'Saisie données file act.'!AO48)</f>
        <v/>
      </c>
      <c r="AP29" s="903" t="str">
        <f>IF(ISBLANK('Saisie données file act.'!AP48), "", 'Saisie données file act.'!AP48)</f>
        <v/>
      </c>
      <c r="AQ29" s="903" t="str">
        <f>IF(ISBLANK('Saisie données file act.'!AQ48), "", 'Saisie données file act.'!AQ48)</f>
        <v/>
      </c>
      <c r="AR29" s="903" t="str">
        <f>IF(ISBLANK('Saisie données file act.'!AR48), "", 'Saisie données file act.'!AR48)</f>
        <v/>
      </c>
      <c r="AS29" s="903" t="str">
        <f>IF(ISBLANK('Saisie données file act.'!AS48), "", 'Saisie données file act.'!AS48)</f>
        <v/>
      </c>
      <c r="AT29" s="903" t="str">
        <f>IF(ISBLANK('Saisie données file act.'!AT48), "", 'Saisie données file act.'!AT48)</f>
        <v/>
      </c>
      <c r="AU29" s="903" t="str">
        <f>IF(ISBLANK('Saisie données file act.'!AU48), "", 'Saisie données file act.'!AU48)</f>
        <v/>
      </c>
      <c r="AV29" s="909">
        <f>'Saisie données file act.'!E138</f>
        <v>0</v>
      </c>
      <c r="AW29" s="910"/>
      <c r="AX29" s="909">
        <f>'Saisie données file act.'!E280</f>
        <v>0</v>
      </c>
    </row>
    <row r="30" spans="3:50" s="895" customFormat="1" ht="14.25" thickBot="1" x14ac:dyDescent="0.3">
      <c r="C30" s="3258"/>
      <c r="D30" s="904">
        <f>'Saisie données file act.'!D49</f>
        <v>0</v>
      </c>
      <c r="E30" s="908" t="str">
        <f>IF(ISBLANK('Saisie données file act.'!E49), "", 'Saisie données file act.'!E49)</f>
        <v/>
      </c>
      <c r="F30" s="908" t="str">
        <f>IF(ISBLANK('Saisie données file act.'!F49), "", 'Saisie données file act.'!F49)</f>
        <v/>
      </c>
      <c r="G30" s="908" t="str">
        <f>IF(ISBLANK('Saisie données file act.'!G49), "", 'Saisie données file act.'!G49)</f>
        <v/>
      </c>
      <c r="H30" s="908" t="str">
        <f>IF(ISBLANK('Saisie données file act.'!H49), "", 'Saisie données file act.'!H49)</f>
        <v/>
      </c>
      <c r="I30" s="908" t="str">
        <f>IF(ISBLANK('Saisie données file act.'!I49), "", 'Saisie données file act.'!I49)</f>
        <v/>
      </c>
      <c r="J30" s="908" t="str">
        <f>IF(ISBLANK('Saisie données file act.'!J49), "", 'Saisie données file act.'!J49)</f>
        <v/>
      </c>
      <c r="K30" s="908" t="str">
        <f>IF(ISBLANK('Saisie données file act.'!K49), "", 'Saisie données file act.'!K49)</f>
        <v/>
      </c>
      <c r="L30" s="908" t="str">
        <f>IF(ISBLANK('Saisie données file act.'!L49), "", 'Saisie données file act.'!L49)</f>
        <v/>
      </c>
      <c r="M30" s="908" t="str">
        <f>IF(ISBLANK('Saisie données file act.'!M49), "", 'Saisie données file act.'!M49)</f>
        <v/>
      </c>
      <c r="N30" s="908" t="str">
        <f>IF(ISBLANK('Saisie données file act.'!N49), "", 'Saisie données file act.'!N49)</f>
        <v/>
      </c>
      <c r="O30" s="908" t="str">
        <f>IF(ISBLANK('Saisie données file act.'!O49), "", 'Saisie données file act.'!O49)</f>
        <v/>
      </c>
      <c r="P30" s="908" t="str">
        <f>IF(ISBLANK('Saisie données file act.'!P49), "", 'Saisie données file act.'!P49)</f>
        <v/>
      </c>
      <c r="Q30" s="908" t="str">
        <f>IF(ISBLANK('Saisie données file act.'!Q49), "", 'Saisie données file act.'!Q49)</f>
        <v/>
      </c>
      <c r="R30" s="908" t="str">
        <f>IF(ISBLANK('Saisie données file act.'!R49), "", 'Saisie données file act.'!R49)</f>
        <v/>
      </c>
      <c r="S30" s="908" t="str">
        <f>IF(ISBLANK('Saisie données file act.'!S49), "", 'Saisie données file act.'!S49)</f>
        <v/>
      </c>
      <c r="T30" s="908" t="str">
        <f>IF(ISBLANK('Saisie données file act.'!T49), "", 'Saisie données file act.'!T49)</f>
        <v/>
      </c>
      <c r="U30" s="908" t="str">
        <f>IF(ISBLANK('Saisie données file act.'!U49), "", 'Saisie données file act.'!U49)</f>
        <v/>
      </c>
      <c r="V30" s="908" t="str">
        <f>IF(ISBLANK('Saisie données file act.'!V49), "", 'Saisie données file act.'!V49)</f>
        <v/>
      </c>
      <c r="W30" s="908" t="str">
        <f>IF(ISBLANK('Saisie données file act.'!W49), "", 'Saisie données file act.'!W49)</f>
        <v/>
      </c>
      <c r="X30" s="908" t="str">
        <f>IF(ISBLANK('Saisie données file act.'!X49), "", 'Saisie données file act.'!X49)</f>
        <v/>
      </c>
      <c r="Y30" s="908" t="str">
        <f>IF(ISBLANK('Saisie données file act.'!Y49), "", 'Saisie données file act.'!Y49)</f>
        <v/>
      </c>
      <c r="Z30" s="908" t="str">
        <f>IF(ISBLANK('Saisie données file act.'!Z49), "", 'Saisie données file act.'!Z49)</f>
        <v/>
      </c>
      <c r="AA30" s="908" t="str">
        <f>IF(ISBLANK('Saisie données file act.'!AA49), "", 'Saisie données file act.'!AA49)</f>
        <v/>
      </c>
      <c r="AB30" s="908" t="str">
        <f>IF(ISBLANK('Saisie données file act.'!AB49), "", 'Saisie données file act.'!AB49)</f>
        <v/>
      </c>
      <c r="AC30" s="908" t="str">
        <f>IF(ISBLANK('Saisie données file act.'!AC49), "", 'Saisie données file act.'!AC49)</f>
        <v/>
      </c>
      <c r="AD30" s="908" t="str">
        <f>IF(ISBLANK('Saisie données file act.'!AD49), "", 'Saisie données file act.'!AD49)</f>
        <v/>
      </c>
      <c r="AE30" s="908" t="str">
        <f>IF(ISBLANK('Saisie données file act.'!AE49), "", 'Saisie données file act.'!AE49)</f>
        <v/>
      </c>
      <c r="AF30" s="908" t="str">
        <f>IF(ISBLANK('Saisie données file act.'!AF49), "", 'Saisie données file act.'!AF49)</f>
        <v/>
      </c>
      <c r="AG30" s="908" t="str">
        <f>IF(ISBLANK('Saisie données file act.'!AG49), "", 'Saisie données file act.'!AG49)</f>
        <v/>
      </c>
      <c r="AH30" s="908" t="str">
        <f>IF(ISBLANK('Saisie données file act.'!AH49), "", 'Saisie données file act.'!AH49)</f>
        <v/>
      </c>
      <c r="AI30" s="908" t="str">
        <f>IF(ISBLANK('Saisie données file act.'!AI49), "", 'Saisie données file act.'!AI49)</f>
        <v/>
      </c>
      <c r="AJ30" s="908" t="str">
        <f>IF(ISBLANK('Saisie données file act.'!AJ49), "", 'Saisie données file act.'!AJ49)</f>
        <v/>
      </c>
      <c r="AK30" s="908" t="str">
        <f>IF(ISBLANK('Saisie données file act.'!AK49), "", 'Saisie données file act.'!AK49)</f>
        <v/>
      </c>
      <c r="AL30" s="908" t="str">
        <f>IF(ISBLANK('Saisie données file act.'!AL49), "", 'Saisie données file act.'!AL49)</f>
        <v/>
      </c>
      <c r="AM30" s="908" t="str">
        <f>IF(ISBLANK('Saisie données file act.'!AM49), "", 'Saisie données file act.'!AM49)</f>
        <v/>
      </c>
      <c r="AN30" s="908" t="str">
        <f>IF(ISBLANK('Saisie données file act.'!AN49), "", 'Saisie données file act.'!AN49)</f>
        <v/>
      </c>
      <c r="AO30" s="908" t="str">
        <f>IF(ISBLANK('Saisie données file act.'!AO49), "", 'Saisie données file act.'!AO49)</f>
        <v/>
      </c>
      <c r="AP30" s="908" t="str">
        <f>IF(ISBLANK('Saisie données file act.'!AP49), "", 'Saisie données file act.'!AP49)</f>
        <v/>
      </c>
      <c r="AQ30" s="908" t="str">
        <f>IF(ISBLANK('Saisie données file act.'!AQ49), "", 'Saisie données file act.'!AQ49)</f>
        <v/>
      </c>
      <c r="AR30" s="908" t="str">
        <f>IF(ISBLANK('Saisie données file act.'!AR49), "", 'Saisie données file act.'!AR49)</f>
        <v/>
      </c>
      <c r="AS30" s="908" t="str">
        <f>IF(ISBLANK('Saisie données file act.'!AS49), "", 'Saisie données file act.'!AS49)</f>
        <v/>
      </c>
      <c r="AT30" s="908" t="str">
        <f>IF(ISBLANK('Saisie données file act.'!AT49), "", 'Saisie données file act.'!AT49)</f>
        <v/>
      </c>
      <c r="AU30" s="908" t="str">
        <f>IF(ISBLANK('Saisie données file act.'!AU49), "", 'Saisie données file act.'!AU49)</f>
        <v/>
      </c>
      <c r="AV30" s="909">
        <f>'Saisie données file act.'!E139</f>
        <v>0</v>
      </c>
      <c r="AW30" s="910"/>
      <c r="AX30" s="909">
        <f>'Saisie données file act.'!E281</f>
        <v>0</v>
      </c>
    </row>
    <row r="31" spans="3:50" s="895" customFormat="1" ht="14.25" thickBot="1" x14ac:dyDescent="0.3">
      <c r="C31" s="3258"/>
      <c r="D31" s="911" t="str">
        <f>'TRAD-Calculs'!B13</f>
        <v>Lignes alternatives</v>
      </c>
      <c r="E31" s="896"/>
      <c r="F31" s="896"/>
      <c r="G31" s="896"/>
      <c r="H31" s="896"/>
      <c r="I31" s="896"/>
      <c r="J31" s="896"/>
      <c r="K31" s="896"/>
      <c r="L31" s="896"/>
      <c r="M31" s="896"/>
      <c r="N31" s="896"/>
      <c r="O31" s="896"/>
      <c r="P31" s="896"/>
      <c r="Q31" s="896"/>
      <c r="R31" s="896"/>
      <c r="S31" s="896"/>
      <c r="T31" s="896"/>
      <c r="U31" s="896"/>
      <c r="V31" s="896"/>
      <c r="W31" s="896"/>
      <c r="X31" s="896"/>
      <c r="Y31" s="896"/>
      <c r="Z31" s="896"/>
      <c r="AA31" s="896"/>
      <c r="AB31" s="896"/>
      <c r="AC31" s="896"/>
      <c r="AD31" s="896"/>
      <c r="AE31" s="896"/>
      <c r="AF31" s="896"/>
      <c r="AG31" s="896"/>
      <c r="AH31" s="896"/>
      <c r="AI31" s="896"/>
      <c r="AJ31" s="896"/>
      <c r="AK31" s="896"/>
      <c r="AL31" s="896"/>
      <c r="AM31" s="896"/>
      <c r="AN31" s="896"/>
      <c r="AO31" s="896"/>
      <c r="AP31" s="896"/>
      <c r="AQ31" s="896"/>
      <c r="AR31" s="896"/>
      <c r="AS31" s="896"/>
      <c r="AT31" s="896"/>
      <c r="AU31" s="896"/>
      <c r="AV31" s="912"/>
      <c r="AW31" s="913"/>
      <c r="AX31" s="914"/>
    </row>
    <row r="32" spans="3:50" s="895" customFormat="1" ht="14.25" thickBot="1" x14ac:dyDescent="0.3">
      <c r="C32" s="3258"/>
      <c r="D32" s="915">
        <f>'Saisie données file act.'!D51</f>
        <v>0</v>
      </c>
      <c r="E32" s="899" t="str">
        <f>IF(ISBLANK('Saisie données file act.'!E51), "", 'Saisie données file act.'!E51)</f>
        <v/>
      </c>
      <c r="F32" s="899" t="str">
        <f>IF(ISBLANK('Saisie données file act.'!F51), "", 'Saisie données file act.'!F51)</f>
        <v/>
      </c>
      <c r="G32" s="899" t="str">
        <f>IF(ISBLANK('Saisie données file act.'!G51), "", 'Saisie données file act.'!G51)</f>
        <v/>
      </c>
      <c r="H32" s="899" t="str">
        <f>IF(ISBLANK('Saisie données file act.'!H51), "", 'Saisie données file act.'!H51)</f>
        <v/>
      </c>
      <c r="I32" s="899" t="str">
        <f>IF(ISBLANK('Saisie données file act.'!I51), "", 'Saisie données file act.'!I51)</f>
        <v/>
      </c>
      <c r="J32" s="899" t="str">
        <f>IF(ISBLANK('Saisie données file act.'!J51), "", 'Saisie données file act.'!J51)</f>
        <v/>
      </c>
      <c r="K32" s="899" t="str">
        <f>IF(ISBLANK('Saisie données file act.'!K51), "", 'Saisie données file act.'!K51)</f>
        <v/>
      </c>
      <c r="L32" s="899" t="str">
        <f>IF(ISBLANK('Saisie données file act.'!L51), "", 'Saisie données file act.'!L51)</f>
        <v/>
      </c>
      <c r="M32" s="899" t="str">
        <f>IF(ISBLANK('Saisie données file act.'!M51), "", 'Saisie données file act.'!M51)</f>
        <v/>
      </c>
      <c r="N32" s="899" t="str">
        <f>IF(ISBLANK('Saisie données file act.'!N51), "", 'Saisie données file act.'!N51)</f>
        <v/>
      </c>
      <c r="O32" s="899" t="str">
        <f>IF(ISBLANK('Saisie données file act.'!O51), "", 'Saisie données file act.'!O51)</f>
        <v/>
      </c>
      <c r="P32" s="899" t="str">
        <f>IF(ISBLANK('Saisie données file act.'!P51), "", 'Saisie données file act.'!P51)</f>
        <v/>
      </c>
      <c r="Q32" s="899" t="str">
        <f>IF(ISBLANK('Saisie données file act.'!Q51), "", 'Saisie données file act.'!Q51)</f>
        <v/>
      </c>
      <c r="R32" s="899" t="str">
        <f>IF(ISBLANK('Saisie données file act.'!R51), "", 'Saisie données file act.'!R51)</f>
        <v/>
      </c>
      <c r="S32" s="899" t="str">
        <f>IF(ISBLANK('Saisie données file act.'!S51), "", 'Saisie données file act.'!S51)</f>
        <v/>
      </c>
      <c r="T32" s="899" t="str">
        <f>IF(ISBLANK('Saisie données file act.'!T51), "", 'Saisie données file act.'!T51)</f>
        <v/>
      </c>
      <c r="U32" s="899" t="str">
        <f>IF(ISBLANK('Saisie données file act.'!U51), "", 'Saisie données file act.'!U51)</f>
        <v/>
      </c>
      <c r="V32" s="899" t="str">
        <f>IF(ISBLANK('Saisie données file act.'!V51), "", 'Saisie données file act.'!V51)</f>
        <v/>
      </c>
      <c r="W32" s="899" t="str">
        <f>IF(ISBLANK('Saisie données file act.'!W51), "", 'Saisie données file act.'!W51)</f>
        <v/>
      </c>
      <c r="X32" s="899" t="str">
        <f>IF(ISBLANK('Saisie données file act.'!X51), "", 'Saisie données file act.'!X51)</f>
        <v/>
      </c>
      <c r="Y32" s="899" t="str">
        <f>IF(ISBLANK('Saisie données file act.'!Y51), "", 'Saisie données file act.'!Y51)</f>
        <v/>
      </c>
      <c r="Z32" s="899" t="str">
        <f>IF(ISBLANK('Saisie données file act.'!Z51), "", 'Saisie données file act.'!Z51)</f>
        <v/>
      </c>
      <c r="AA32" s="899" t="str">
        <f>IF(ISBLANK('Saisie données file act.'!AA51), "", 'Saisie données file act.'!AA51)</f>
        <v/>
      </c>
      <c r="AB32" s="899" t="str">
        <f>IF(ISBLANK('Saisie données file act.'!AB51), "", 'Saisie données file act.'!AB51)</f>
        <v/>
      </c>
      <c r="AC32" s="899" t="str">
        <f>IF(ISBLANK('Saisie données file act.'!AC51), "", 'Saisie données file act.'!AC51)</f>
        <v/>
      </c>
      <c r="AD32" s="899" t="str">
        <f>IF(ISBLANK('Saisie données file act.'!AD51), "", 'Saisie données file act.'!AD51)</f>
        <v/>
      </c>
      <c r="AE32" s="899" t="str">
        <f>IF(ISBLANK('Saisie données file act.'!AE51), "", 'Saisie données file act.'!AE51)</f>
        <v/>
      </c>
      <c r="AF32" s="899" t="str">
        <f>IF(ISBLANK('Saisie données file act.'!AF51), "", 'Saisie données file act.'!AF51)</f>
        <v/>
      </c>
      <c r="AG32" s="899" t="str">
        <f>IF(ISBLANK('Saisie données file act.'!AG51), "", 'Saisie données file act.'!AG51)</f>
        <v/>
      </c>
      <c r="AH32" s="899" t="str">
        <f>IF(ISBLANK('Saisie données file act.'!AH51), "", 'Saisie données file act.'!AH51)</f>
        <v/>
      </c>
      <c r="AI32" s="899" t="str">
        <f>IF(ISBLANK('Saisie données file act.'!AI51), "", 'Saisie données file act.'!AI51)</f>
        <v/>
      </c>
      <c r="AJ32" s="899" t="str">
        <f>IF(ISBLANK('Saisie données file act.'!AJ51), "", 'Saisie données file act.'!AJ51)</f>
        <v/>
      </c>
      <c r="AK32" s="899" t="str">
        <f>IF(ISBLANK('Saisie données file act.'!AK51), "", 'Saisie données file act.'!AK51)</f>
        <v/>
      </c>
      <c r="AL32" s="899" t="str">
        <f>IF(ISBLANK('Saisie données file act.'!AL51), "", 'Saisie données file act.'!AL51)</f>
        <v/>
      </c>
      <c r="AM32" s="899" t="str">
        <f>IF(ISBLANK('Saisie données file act.'!AM51), "", 'Saisie données file act.'!AM51)</f>
        <v/>
      </c>
      <c r="AN32" s="899" t="str">
        <f>IF(ISBLANK('Saisie données file act.'!AN51), "", 'Saisie données file act.'!AN51)</f>
        <v/>
      </c>
      <c r="AO32" s="899" t="str">
        <f>IF(ISBLANK('Saisie données file act.'!AO51), "", 'Saisie données file act.'!AO51)</f>
        <v/>
      </c>
      <c r="AP32" s="899" t="str">
        <f>IF(ISBLANK('Saisie données file act.'!AP51), "", 'Saisie données file act.'!AP51)</f>
        <v/>
      </c>
      <c r="AQ32" s="899" t="str">
        <f>IF(ISBLANK('Saisie données file act.'!AQ51), "", 'Saisie données file act.'!AQ51)</f>
        <v/>
      </c>
      <c r="AR32" s="899" t="str">
        <f>IF(ISBLANK('Saisie données file act.'!AR51), "", 'Saisie données file act.'!AR51)</f>
        <v/>
      </c>
      <c r="AS32" s="899" t="str">
        <f>IF(ISBLANK('Saisie données file act.'!AS51), "", 'Saisie données file act.'!AS51)</f>
        <v/>
      </c>
      <c r="AT32" s="899" t="str">
        <f>IF(ISBLANK('Saisie données file act.'!AT51), "", 'Saisie données file act.'!AT51)</f>
        <v/>
      </c>
      <c r="AU32" s="899" t="str">
        <f>IF(ISBLANK('Saisie données file act.'!AU51), "", 'Saisie données file act.'!AU51)</f>
        <v/>
      </c>
      <c r="AV32" s="916">
        <f>'Saisie données file act.'!E141</f>
        <v>0</v>
      </c>
      <c r="AW32" s="916">
        <f>'Saisie données file act.'!F227</f>
        <v>0</v>
      </c>
      <c r="AX32" s="916">
        <f>'Saisie données file act.'!E283</f>
        <v>0</v>
      </c>
    </row>
    <row r="33" spans="3:50" s="895" customFormat="1" ht="14.25" thickBot="1" x14ac:dyDescent="0.3">
      <c r="C33" s="3258"/>
      <c r="D33" s="905">
        <f>'Saisie données file act.'!D52</f>
        <v>0</v>
      </c>
      <c r="E33" s="903" t="str">
        <f>IF(ISBLANK('Saisie données file act.'!E52), "", 'Saisie données file act.'!E52)</f>
        <v/>
      </c>
      <c r="F33" s="903" t="str">
        <f>IF(ISBLANK('Saisie données file act.'!F52), "", 'Saisie données file act.'!F52)</f>
        <v/>
      </c>
      <c r="G33" s="903" t="str">
        <f>IF(ISBLANK('Saisie données file act.'!G52), "", 'Saisie données file act.'!G52)</f>
        <v/>
      </c>
      <c r="H33" s="903" t="str">
        <f>IF(ISBLANK('Saisie données file act.'!H52), "", 'Saisie données file act.'!H52)</f>
        <v/>
      </c>
      <c r="I33" s="903" t="str">
        <f>IF(ISBLANK('Saisie données file act.'!I52), "", 'Saisie données file act.'!I52)</f>
        <v/>
      </c>
      <c r="J33" s="903" t="str">
        <f>IF(ISBLANK('Saisie données file act.'!J52), "", 'Saisie données file act.'!J52)</f>
        <v/>
      </c>
      <c r="K33" s="903" t="str">
        <f>IF(ISBLANK('Saisie données file act.'!K52), "", 'Saisie données file act.'!K52)</f>
        <v/>
      </c>
      <c r="L33" s="903" t="str">
        <f>IF(ISBLANK('Saisie données file act.'!L52), "", 'Saisie données file act.'!L52)</f>
        <v/>
      </c>
      <c r="M33" s="903" t="str">
        <f>IF(ISBLANK('Saisie données file act.'!M52), "", 'Saisie données file act.'!M52)</f>
        <v/>
      </c>
      <c r="N33" s="903" t="str">
        <f>IF(ISBLANK('Saisie données file act.'!N52), "", 'Saisie données file act.'!N52)</f>
        <v/>
      </c>
      <c r="O33" s="903" t="str">
        <f>IF(ISBLANK('Saisie données file act.'!O52), "", 'Saisie données file act.'!O52)</f>
        <v/>
      </c>
      <c r="P33" s="903" t="str">
        <f>IF(ISBLANK('Saisie données file act.'!P52), "", 'Saisie données file act.'!P52)</f>
        <v/>
      </c>
      <c r="Q33" s="903" t="str">
        <f>IF(ISBLANK('Saisie données file act.'!Q52), "", 'Saisie données file act.'!Q52)</f>
        <v/>
      </c>
      <c r="R33" s="903" t="str">
        <f>IF(ISBLANK('Saisie données file act.'!R52), "", 'Saisie données file act.'!R52)</f>
        <v/>
      </c>
      <c r="S33" s="903" t="str">
        <f>IF(ISBLANK('Saisie données file act.'!S52), "", 'Saisie données file act.'!S52)</f>
        <v/>
      </c>
      <c r="T33" s="903" t="str">
        <f>IF(ISBLANK('Saisie données file act.'!T52), "", 'Saisie données file act.'!T52)</f>
        <v/>
      </c>
      <c r="U33" s="903" t="str">
        <f>IF(ISBLANK('Saisie données file act.'!U52), "", 'Saisie données file act.'!U52)</f>
        <v/>
      </c>
      <c r="V33" s="903" t="str">
        <f>IF(ISBLANK('Saisie données file act.'!V52), "", 'Saisie données file act.'!V52)</f>
        <v/>
      </c>
      <c r="W33" s="903" t="str">
        <f>IF(ISBLANK('Saisie données file act.'!W52), "", 'Saisie données file act.'!W52)</f>
        <v/>
      </c>
      <c r="X33" s="903" t="str">
        <f>IF(ISBLANK('Saisie données file act.'!X52), "", 'Saisie données file act.'!X52)</f>
        <v/>
      </c>
      <c r="Y33" s="903" t="str">
        <f>IF(ISBLANK('Saisie données file act.'!Y52), "", 'Saisie données file act.'!Y52)</f>
        <v/>
      </c>
      <c r="Z33" s="903" t="str">
        <f>IF(ISBLANK('Saisie données file act.'!Z52), "", 'Saisie données file act.'!Z52)</f>
        <v/>
      </c>
      <c r="AA33" s="903" t="str">
        <f>IF(ISBLANK('Saisie données file act.'!AA52), "", 'Saisie données file act.'!AA52)</f>
        <v/>
      </c>
      <c r="AB33" s="903" t="str">
        <f>IF(ISBLANK('Saisie données file act.'!AB52), "", 'Saisie données file act.'!AB52)</f>
        <v/>
      </c>
      <c r="AC33" s="903" t="str">
        <f>IF(ISBLANK('Saisie données file act.'!AC52), "", 'Saisie données file act.'!AC52)</f>
        <v/>
      </c>
      <c r="AD33" s="903" t="str">
        <f>IF(ISBLANK('Saisie données file act.'!AD52), "", 'Saisie données file act.'!AD52)</f>
        <v/>
      </c>
      <c r="AE33" s="903" t="str">
        <f>IF(ISBLANK('Saisie données file act.'!AE52), "", 'Saisie données file act.'!AE52)</f>
        <v/>
      </c>
      <c r="AF33" s="903" t="str">
        <f>IF(ISBLANK('Saisie données file act.'!AF52), "", 'Saisie données file act.'!AF52)</f>
        <v/>
      </c>
      <c r="AG33" s="903" t="str">
        <f>IF(ISBLANK('Saisie données file act.'!AG52), "", 'Saisie données file act.'!AG52)</f>
        <v/>
      </c>
      <c r="AH33" s="903" t="str">
        <f>IF(ISBLANK('Saisie données file act.'!AH52), "", 'Saisie données file act.'!AH52)</f>
        <v/>
      </c>
      <c r="AI33" s="903" t="str">
        <f>IF(ISBLANK('Saisie données file act.'!AI52), "", 'Saisie données file act.'!AI52)</f>
        <v/>
      </c>
      <c r="AJ33" s="903" t="str">
        <f>IF(ISBLANK('Saisie données file act.'!AJ52), "", 'Saisie données file act.'!AJ52)</f>
        <v/>
      </c>
      <c r="AK33" s="903" t="str">
        <f>IF(ISBLANK('Saisie données file act.'!AK52), "", 'Saisie données file act.'!AK52)</f>
        <v/>
      </c>
      <c r="AL33" s="903" t="str">
        <f>IF(ISBLANK('Saisie données file act.'!AL52), "", 'Saisie données file act.'!AL52)</f>
        <v/>
      </c>
      <c r="AM33" s="903" t="str">
        <f>IF(ISBLANK('Saisie données file act.'!AM52), "", 'Saisie données file act.'!AM52)</f>
        <v/>
      </c>
      <c r="AN33" s="903" t="str">
        <f>IF(ISBLANK('Saisie données file act.'!AN52), "", 'Saisie données file act.'!AN52)</f>
        <v/>
      </c>
      <c r="AO33" s="903" t="str">
        <f>IF(ISBLANK('Saisie données file act.'!AO52), "", 'Saisie données file act.'!AO52)</f>
        <v/>
      </c>
      <c r="AP33" s="903" t="str">
        <f>IF(ISBLANK('Saisie données file act.'!AP52), "", 'Saisie données file act.'!AP52)</f>
        <v/>
      </c>
      <c r="AQ33" s="903" t="str">
        <f>IF(ISBLANK('Saisie données file act.'!AQ52), "", 'Saisie données file act.'!AQ52)</f>
        <v/>
      </c>
      <c r="AR33" s="903" t="str">
        <f>IF(ISBLANK('Saisie données file act.'!AR52), "", 'Saisie données file act.'!AR52)</f>
        <v/>
      </c>
      <c r="AS33" s="903" t="str">
        <f>IF(ISBLANK('Saisie données file act.'!AS52), "", 'Saisie données file act.'!AS52)</f>
        <v/>
      </c>
      <c r="AT33" s="903" t="str">
        <f>IF(ISBLANK('Saisie données file act.'!AT52), "", 'Saisie données file act.'!AT52)</f>
        <v/>
      </c>
      <c r="AU33" s="903" t="str">
        <f>IF(ISBLANK('Saisie données file act.'!AU52), "", 'Saisie données file act.'!AU52)</f>
        <v/>
      </c>
      <c r="AV33" s="900">
        <f>'Saisie données file act.'!E142</f>
        <v>0</v>
      </c>
      <c r="AW33" s="916">
        <f>'Saisie données file act.'!F228</f>
        <v>0</v>
      </c>
      <c r="AX33" s="900">
        <f>'Saisie données file act.'!E284</f>
        <v>0</v>
      </c>
    </row>
    <row r="34" spans="3:50" s="895" customFormat="1" ht="14.25" thickBot="1" x14ac:dyDescent="0.3">
      <c r="C34" s="3258"/>
      <c r="D34" s="905">
        <f>'Saisie données file act.'!D53</f>
        <v>0</v>
      </c>
      <c r="E34" s="903" t="str">
        <f>IF(ISBLANK('Saisie données file act.'!E53), "", 'Saisie données file act.'!E53)</f>
        <v/>
      </c>
      <c r="F34" s="903" t="str">
        <f>IF(ISBLANK('Saisie données file act.'!F53), "", 'Saisie données file act.'!F53)</f>
        <v/>
      </c>
      <c r="G34" s="903" t="str">
        <f>IF(ISBLANK('Saisie données file act.'!G53), "", 'Saisie données file act.'!G53)</f>
        <v/>
      </c>
      <c r="H34" s="903" t="str">
        <f>IF(ISBLANK('Saisie données file act.'!H53), "", 'Saisie données file act.'!H53)</f>
        <v/>
      </c>
      <c r="I34" s="903" t="str">
        <f>IF(ISBLANK('Saisie données file act.'!I53), "", 'Saisie données file act.'!I53)</f>
        <v/>
      </c>
      <c r="J34" s="903" t="str">
        <f>IF(ISBLANK('Saisie données file act.'!J53), "", 'Saisie données file act.'!J53)</f>
        <v/>
      </c>
      <c r="K34" s="903" t="str">
        <f>IF(ISBLANK('Saisie données file act.'!K53), "", 'Saisie données file act.'!K53)</f>
        <v/>
      </c>
      <c r="L34" s="903" t="str">
        <f>IF(ISBLANK('Saisie données file act.'!L53), "", 'Saisie données file act.'!L53)</f>
        <v/>
      </c>
      <c r="M34" s="903" t="str">
        <f>IF(ISBLANK('Saisie données file act.'!M53), "", 'Saisie données file act.'!M53)</f>
        <v/>
      </c>
      <c r="N34" s="903" t="str">
        <f>IF(ISBLANK('Saisie données file act.'!N53), "", 'Saisie données file act.'!N53)</f>
        <v/>
      </c>
      <c r="O34" s="903" t="str">
        <f>IF(ISBLANK('Saisie données file act.'!O53), "", 'Saisie données file act.'!O53)</f>
        <v/>
      </c>
      <c r="P34" s="903" t="str">
        <f>IF(ISBLANK('Saisie données file act.'!P53), "", 'Saisie données file act.'!P53)</f>
        <v/>
      </c>
      <c r="Q34" s="903" t="str">
        <f>IF(ISBLANK('Saisie données file act.'!Q53), "", 'Saisie données file act.'!Q53)</f>
        <v/>
      </c>
      <c r="R34" s="903" t="str">
        <f>IF(ISBLANK('Saisie données file act.'!R53), "", 'Saisie données file act.'!R53)</f>
        <v/>
      </c>
      <c r="S34" s="903" t="str">
        <f>IF(ISBLANK('Saisie données file act.'!S53), "", 'Saisie données file act.'!S53)</f>
        <v/>
      </c>
      <c r="T34" s="903" t="str">
        <f>IF(ISBLANK('Saisie données file act.'!T53), "", 'Saisie données file act.'!T53)</f>
        <v/>
      </c>
      <c r="U34" s="903" t="str">
        <f>IF(ISBLANK('Saisie données file act.'!U53), "", 'Saisie données file act.'!U53)</f>
        <v/>
      </c>
      <c r="V34" s="903" t="str">
        <f>IF(ISBLANK('Saisie données file act.'!V53), "", 'Saisie données file act.'!V53)</f>
        <v/>
      </c>
      <c r="W34" s="903" t="str">
        <f>IF(ISBLANK('Saisie données file act.'!W53), "", 'Saisie données file act.'!W53)</f>
        <v/>
      </c>
      <c r="X34" s="903" t="str">
        <f>IF(ISBLANK('Saisie données file act.'!X53), "", 'Saisie données file act.'!X53)</f>
        <v/>
      </c>
      <c r="Y34" s="903" t="str">
        <f>IF(ISBLANK('Saisie données file act.'!Y53), "", 'Saisie données file act.'!Y53)</f>
        <v/>
      </c>
      <c r="Z34" s="903" t="str">
        <f>IF(ISBLANK('Saisie données file act.'!Z53), "", 'Saisie données file act.'!Z53)</f>
        <v/>
      </c>
      <c r="AA34" s="903" t="str">
        <f>IF(ISBLANK('Saisie données file act.'!AA53), "", 'Saisie données file act.'!AA53)</f>
        <v/>
      </c>
      <c r="AB34" s="903" t="str">
        <f>IF(ISBLANK('Saisie données file act.'!AB53), "", 'Saisie données file act.'!AB53)</f>
        <v/>
      </c>
      <c r="AC34" s="903" t="str">
        <f>IF(ISBLANK('Saisie données file act.'!AC53), "", 'Saisie données file act.'!AC53)</f>
        <v/>
      </c>
      <c r="AD34" s="903" t="str">
        <f>IF(ISBLANK('Saisie données file act.'!AD53), "", 'Saisie données file act.'!AD53)</f>
        <v/>
      </c>
      <c r="AE34" s="903" t="str">
        <f>IF(ISBLANK('Saisie données file act.'!AE53), "", 'Saisie données file act.'!AE53)</f>
        <v/>
      </c>
      <c r="AF34" s="903" t="str">
        <f>IF(ISBLANK('Saisie données file act.'!AF53), "", 'Saisie données file act.'!AF53)</f>
        <v/>
      </c>
      <c r="AG34" s="903" t="str">
        <f>IF(ISBLANK('Saisie données file act.'!AG53), "", 'Saisie données file act.'!AG53)</f>
        <v/>
      </c>
      <c r="AH34" s="903" t="str">
        <f>IF(ISBLANK('Saisie données file act.'!AH53), "", 'Saisie données file act.'!AH53)</f>
        <v/>
      </c>
      <c r="AI34" s="903" t="str">
        <f>IF(ISBLANK('Saisie données file act.'!AI53), "", 'Saisie données file act.'!AI53)</f>
        <v/>
      </c>
      <c r="AJ34" s="903" t="str">
        <f>IF(ISBLANK('Saisie données file act.'!AJ53), "", 'Saisie données file act.'!AJ53)</f>
        <v/>
      </c>
      <c r="AK34" s="903" t="str">
        <f>IF(ISBLANK('Saisie données file act.'!AK53), "", 'Saisie données file act.'!AK53)</f>
        <v/>
      </c>
      <c r="AL34" s="903" t="str">
        <f>IF(ISBLANK('Saisie données file act.'!AL53), "", 'Saisie données file act.'!AL53)</f>
        <v/>
      </c>
      <c r="AM34" s="903" t="str">
        <f>IF(ISBLANK('Saisie données file act.'!AM53), "", 'Saisie données file act.'!AM53)</f>
        <v/>
      </c>
      <c r="AN34" s="903" t="str">
        <f>IF(ISBLANK('Saisie données file act.'!AN53), "", 'Saisie données file act.'!AN53)</f>
        <v/>
      </c>
      <c r="AO34" s="903" t="str">
        <f>IF(ISBLANK('Saisie données file act.'!AO53), "", 'Saisie données file act.'!AO53)</f>
        <v/>
      </c>
      <c r="AP34" s="903" t="str">
        <f>IF(ISBLANK('Saisie données file act.'!AP53), "", 'Saisie données file act.'!AP53)</f>
        <v/>
      </c>
      <c r="AQ34" s="903" t="str">
        <f>IF(ISBLANK('Saisie données file act.'!AQ53), "", 'Saisie données file act.'!AQ53)</f>
        <v/>
      </c>
      <c r="AR34" s="903" t="str">
        <f>IF(ISBLANK('Saisie données file act.'!AR53), "", 'Saisie données file act.'!AR53)</f>
        <v/>
      </c>
      <c r="AS34" s="903" t="str">
        <f>IF(ISBLANK('Saisie données file act.'!AS53), "", 'Saisie données file act.'!AS53)</f>
        <v/>
      </c>
      <c r="AT34" s="903" t="str">
        <f>IF(ISBLANK('Saisie données file act.'!AT53), "", 'Saisie données file act.'!AT53)</f>
        <v/>
      </c>
      <c r="AU34" s="903" t="str">
        <f>IF(ISBLANK('Saisie données file act.'!AU53), "", 'Saisie données file act.'!AU53)</f>
        <v/>
      </c>
      <c r="AV34" s="900">
        <f>'Saisie données file act.'!E143</f>
        <v>0</v>
      </c>
      <c r="AW34" s="916">
        <f>'Saisie données file act.'!F229</f>
        <v>0</v>
      </c>
      <c r="AX34" s="900">
        <f>'Saisie données file act.'!E285</f>
        <v>0</v>
      </c>
    </row>
    <row r="35" spans="3:50" s="895" customFormat="1" ht="14.25" thickBot="1" x14ac:dyDescent="0.3">
      <c r="C35" s="3258"/>
      <c r="D35" s="905">
        <f>'Saisie données file act.'!D54</f>
        <v>0</v>
      </c>
      <c r="E35" s="903" t="str">
        <f>IF(ISBLANK('Saisie données file act.'!E54), "", 'Saisie données file act.'!E54)</f>
        <v/>
      </c>
      <c r="F35" s="903" t="str">
        <f>IF(ISBLANK('Saisie données file act.'!F54), "", 'Saisie données file act.'!F54)</f>
        <v/>
      </c>
      <c r="G35" s="903" t="str">
        <f>IF(ISBLANK('Saisie données file act.'!G54), "", 'Saisie données file act.'!G54)</f>
        <v/>
      </c>
      <c r="H35" s="903" t="str">
        <f>IF(ISBLANK('Saisie données file act.'!H54), "", 'Saisie données file act.'!H54)</f>
        <v/>
      </c>
      <c r="I35" s="903" t="str">
        <f>IF(ISBLANK('Saisie données file act.'!I54), "", 'Saisie données file act.'!I54)</f>
        <v/>
      </c>
      <c r="J35" s="903" t="str">
        <f>IF(ISBLANK('Saisie données file act.'!J54), "", 'Saisie données file act.'!J54)</f>
        <v/>
      </c>
      <c r="K35" s="903" t="str">
        <f>IF(ISBLANK('Saisie données file act.'!K54), "", 'Saisie données file act.'!K54)</f>
        <v/>
      </c>
      <c r="L35" s="903" t="str">
        <f>IF(ISBLANK('Saisie données file act.'!L54), "", 'Saisie données file act.'!L54)</f>
        <v/>
      </c>
      <c r="M35" s="903" t="str">
        <f>IF(ISBLANK('Saisie données file act.'!M54), "", 'Saisie données file act.'!M54)</f>
        <v/>
      </c>
      <c r="N35" s="903" t="str">
        <f>IF(ISBLANK('Saisie données file act.'!N54), "", 'Saisie données file act.'!N54)</f>
        <v/>
      </c>
      <c r="O35" s="903" t="str">
        <f>IF(ISBLANK('Saisie données file act.'!O54), "", 'Saisie données file act.'!O54)</f>
        <v/>
      </c>
      <c r="P35" s="903" t="str">
        <f>IF(ISBLANK('Saisie données file act.'!P54), "", 'Saisie données file act.'!P54)</f>
        <v/>
      </c>
      <c r="Q35" s="903" t="str">
        <f>IF(ISBLANK('Saisie données file act.'!Q54), "", 'Saisie données file act.'!Q54)</f>
        <v/>
      </c>
      <c r="R35" s="903" t="str">
        <f>IF(ISBLANK('Saisie données file act.'!R54), "", 'Saisie données file act.'!R54)</f>
        <v/>
      </c>
      <c r="S35" s="903" t="str">
        <f>IF(ISBLANK('Saisie données file act.'!S54), "", 'Saisie données file act.'!S54)</f>
        <v/>
      </c>
      <c r="T35" s="903" t="str">
        <f>IF(ISBLANK('Saisie données file act.'!T54), "", 'Saisie données file act.'!T54)</f>
        <v/>
      </c>
      <c r="U35" s="903" t="str">
        <f>IF(ISBLANK('Saisie données file act.'!U54), "", 'Saisie données file act.'!U54)</f>
        <v/>
      </c>
      <c r="V35" s="903" t="str">
        <f>IF(ISBLANK('Saisie données file act.'!V54), "", 'Saisie données file act.'!V54)</f>
        <v/>
      </c>
      <c r="W35" s="903" t="str">
        <f>IF(ISBLANK('Saisie données file act.'!W54), "", 'Saisie données file act.'!W54)</f>
        <v/>
      </c>
      <c r="X35" s="903" t="str">
        <f>IF(ISBLANK('Saisie données file act.'!X54), "", 'Saisie données file act.'!X54)</f>
        <v/>
      </c>
      <c r="Y35" s="903" t="str">
        <f>IF(ISBLANK('Saisie données file act.'!Y54), "", 'Saisie données file act.'!Y54)</f>
        <v/>
      </c>
      <c r="Z35" s="903" t="str">
        <f>IF(ISBLANK('Saisie données file act.'!Z54), "", 'Saisie données file act.'!Z54)</f>
        <v/>
      </c>
      <c r="AA35" s="903" t="str">
        <f>IF(ISBLANK('Saisie données file act.'!AA54), "", 'Saisie données file act.'!AA54)</f>
        <v/>
      </c>
      <c r="AB35" s="903" t="str">
        <f>IF(ISBLANK('Saisie données file act.'!AB54), "", 'Saisie données file act.'!AB54)</f>
        <v/>
      </c>
      <c r="AC35" s="903" t="str">
        <f>IF(ISBLANK('Saisie données file act.'!AC54), "", 'Saisie données file act.'!AC54)</f>
        <v/>
      </c>
      <c r="AD35" s="903" t="str">
        <f>IF(ISBLANK('Saisie données file act.'!AD54), "", 'Saisie données file act.'!AD54)</f>
        <v/>
      </c>
      <c r="AE35" s="903" t="str">
        <f>IF(ISBLANK('Saisie données file act.'!AE54), "", 'Saisie données file act.'!AE54)</f>
        <v/>
      </c>
      <c r="AF35" s="903" t="str">
        <f>IF(ISBLANK('Saisie données file act.'!AF54), "", 'Saisie données file act.'!AF54)</f>
        <v/>
      </c>
      <c r="AG35" s="903" t="str">
        <f>IF(ISBLANK('Saisie données file act.'!AG54), "", 'Saisie données file act.'!AG54)</f>
        <v/>
      </c>
      <c r="AH35" s="903" t="str">
        <f>IF(ISBLANK('Saisie données file act.'!AH54), "", 'Saisie données file act.'!AH54)</f>
        <v/>
      </c>
      <c r="AI35" s="903" t="str">
        <f>IF(ISBLANK('Saisie données file act.'!AI54), "", 'Saisie données file act.'!AI54)</f>
        <v/>
      </c>
      <c r="AJ35" s="903" t="str">
        <f>IF(ISBLANK('Saisie données file act.'!AJ54), "", 'Saisie données file act.'!AJ54)</f>
        <v/>
      </c>
      <c r="AK35" s="903" t="str">
        <f>IF(ISBLANK('Saisie données file act.'!AK54), "", 'Saisie données file act.'!AK54)</f>
        <v/>
      </c>
      <c r="AL35" s="903" t="str">
        <f>IF(ISBLANK('Saisie données file act.'!AL54), "", 'Saisie données file act.'!AL54)</f>
        <v/>
      </c>
      <c r="AM35" s="903" t="str">
        <f>IF(ISBLANK('Saisie données file act.'!AM54), "", 'Saisie données file act.'!AM54)</f>
        <v/>
      </c>
      <c r="AN35" s="903" t="str">
        <f>IF(ISBLANK('Saisie données file act.'!AN54), "", 'Saisie données file act.'!AN54)</f>
        <v/>
      </c>
      <c r="AO35" s="903" t="str">
        <f>IF(ISBLANK('Saisie données file act.'!AO54), "", 'Saisie données file act.'!AO54)</f>
        <v/>
      </c>
      <c r="AP35" s="903" t="str">
        <f>IF(ISBLANK('Saisie données file act.'!AP54), "", 'Saisie données file act.'!AP54)</f>
        <v/>
      </c>
      <c r="AQ35" s="903" t="str">
        <f>IF(ISBLANK('Saisie données file act.'!AQ54), "", 'Saisie données file act.'!AQ54)</f>
        <v/>
      </c>
      <c r="AR35" s="903" t="str">
        <f>IF(ISBLANK('Saisie données file act.'!AR54), "", 'Saisie données file act.'!AR54)</f>
        <v/>
      </c>
      <c r="AS35" s="903" t="str">
        <f>IF(ISBLANK('Saisie données file act.'!AS54), "", 'Saisie données file act.'!AS54)</f>
        <v/>
      </c>
      <c r="AT35" s="903" t="str">
        <f>IF(ISBLANK('Saisie données file act.'!AT54), "", 'Saisie données file act.'!AT54)</f>
        <v/>
      </c>
      <c r="AU35" s="903" t="str">
        <f>IF(ISBLANK('Saisie données file act.'!AU54), "", 'Saisie données file act.'!AU54)</f>
        <v/>
      </c>
      <c r="AV35" s="900">
        <f>'Saisie données file act.'!E144</f>
        <v>0</v>
      </c>
      <c r="AW35" s="916">
        <f>'Saisie données file act.'!F230</f>
        <v>0</v>
      </c>
      <c r="AX35" s="900">
        <f>'Saisie données file act.'!E286</f>
        <v>0</v>
      </c>
    </row>
    <row r="36" spans="3:50" s="895" customFormat="1" ht="14.25" thickBot="1" x14ac:dyDescent="0.3">
      <c r="C36" s="3258"/>
      <c r="D36" s="904">
        <f>'Saisie données file act.'!D55</f>
        <v>0</v>
      </c>
      <c r="E36" s="903" t="str">
        <f>IF(ISBLANK('Saisie données file act.'!E55), "", 'Saisie données file act.'!E55)</f>
        <v/>
      </c>
      <c r="F36" s="903" t="str">
        <f>IF(ISBLANK('Saisie données file act.'!F55), "", 'Saisie données file act.'!F55)</f>
        <v/>
      </c>
      <c r="G36" s="903" t="str">
        <f>IF(ISBLANK('Saisie données file act.'!G55), "", 'Saisie données file act.'!G55)</f>
        <v/>
      </c>
      <c r="H36" s="903" t="str">
        <f>IF(ISBLANK('Saisie données file act.'!H55), "", 'Saisie données file act.'!H55)</f>
        <v/>
      </c>
      <c r="I36" s="903" t="str">
        <f>IF(ISBLANK('Saisie données file act.'!I55), "", 'Saisie données file act.'!I55)</f>
        <v/>
      </c>
      <c r="J36" s="903" t="str">
        <f>IF(ISBLANK('Saisie données file act.'!J55), "", 'Saisie données file act.'!J55)</f>
        <v/>
      </c>
      <c r="K36" s="903" t="str">
        <f>IF(ISBLANK('Saisie données file act.'!K55), "", 'Saisie données file act.'!K55)</f>
        <v/>
      </c>
      <c r="L36" s="903" t="str">
        <f>IF(ISBLANK('Saisie données file act.'!L55), "", 'Saisie données file act.'!L55)</f>
        <v/>
      </c>
      <c r="M36" s="903" t="str">
        <f>IF(ISBLANK('Saisie données file act.'!M55), "", 'Saisie données file act.'!M55)</f>
        <v/>
      </c>
      <c r="N36" s="903" t="str">
        <f>IF(ISBLANK('Saisie données file act.'!N55), "", 'Saisie données file act.'!N55)</f>
        <v/>
      </c>
      <c r="O36" s="903" t="str">
        <f>IF(ISBLANK('Saisie données file act.'!O55), "", 'Saisie données file act.'!O55)</f>
        <v/>
      </c>
      <c r="P36" s="903" t="str">
        <f>IF(ISBLANK('Saisie données file act.'!P55), "", 'Saisie données file act.'!P55)</f>
        <v/>
      </c>
      <c r="Q36" s="903" t="str">
        <f>IF(ISBLANK('Saisie données file act.'!Q55), "", 'Saisie données file act.'!Q55)</f>
        <v/>
      </c>
      <c r="R36" s="903" t="str">
        <f>IF(ISBLANK('Saisie données file act.'!R55), "", 'Saisie données file act.'!R55)</f>
        <v/>
      </c>
      <c r="S36" s="903" t="str">
        <f>IF(ISBLANK('Saisie données file act.'!S55), "", 'Saisie données file act.'!S55)</f>
        <v/>
      </c>
      <c r="T36" s="903" t="str">
        <f>IF(ISBLANK('Saisie données file act.'!T55), "", 'Saisie données file act.'!T55)</f>
        <v/>
      </c>
      <c r="U36" s="903" t="str">
        <f>IF(ISBLANK('Saisie données file act.'!U55), "", 'Saisie données file act.'!U55)</f>
        <v/>
      </c>
      <c r="V36" s="903" t="str">
        <f>IF(ISBLANK('Saisie données file act.'!V55), "", 'Saisie données file act.'!V55)</f>
        <v/>
      </c>
      <c r="W36" s="903" t="str">
        <f>IF(ISBLANK('Saisie données file act.'!W55), "", 'Saisie données file act.'!W55)</f>
        <v/>
      </c>
      <c r="X36" s="903" t="str">
        <f>IF(ISBLANK('Saisie données file act.'!X55), "", 'Saisie données file act.'!X55)</f>
        <v/>
      </c>
      <c r="Y36" s="903" t="str">
        <f>IF(ISBLANK('Saisie données file act.'!Y55), "", 'Saisie données file act.'!Y55)</f>
        <v/>
      </c>
      <c r="Z36" s="903" t="str">
        <f>IF(ISBLANK('Saisie données file act.'!Z55), "", 'Saisie données file act.'!Z55)</f>
        <v/>
      </c>
      <c r="AA36" s="903" t="str">
        <f>IF(ISBLANK('Saisie données file act.'!AA55), "", 'Saisie données file act.'!AA55)</f>
        <v/>
      </c>
      <c r="AB36" s="903" t="str">
        <f>IF(ISBLANK('Saisie données file act.'!AB55), "", 'Saisie données file act.'!AB55)</f>
        <v/>
      </c>
      <c r="AC36" s="903" t="str">
        <f>IF(ISBLANK('Saisie données file act.'!AC55), "", 'Saisie données file act.'!AC55)</f>
        <v/>
      </c>
      <c r="AD36" s="903" t="str">
        <f>IF(ISBLANK('Saisie données file act.'!AD55), "", 'Saisie données file act.'!AD55)</f>
        <v/>
      </c>
      <c r="AE36" s="903" t="str">
        <f>IF(ISBLANK('Saisie données file act.'!AE55), "", 'Saisie données file act.'!AE55)</f>
        <v/>
      </c>
      <c r="AF36" s="903" t="str">
        <f>IF(ISBLANK('Saisie données file act.'!AF55), "", 'Saisie données file act.'!AF55)</f>
        <v/>
      </c>
      <c r="AG36" s="903" t="str">
        <f>IF(ISBLANK('Saisie données file act.'!AG55), "", 'Saisie données file act.'!AG55)</f>
        <v/>
      </c>
      <c r="AH36" s="903" t="str">
        <f>IF(ISBLANK('Saisie données file act.'!AH55), "", 'Saisie données file act.'!AH55)</f>
        <v/>
      </c>
      <c r="AI36" s="903" t="str">
        <f>IF(ISBLANK('Saisie données file act.'!AI55), "", 'Saisie données file act.'!AI55)</f>
        <v/>
      </c>
      <c r="AJ36" s="903" t="str">
        <f>IF(ISBLANK('Saisie données file act.'!AJ55), "", 'Saisie données file act.'!AJ55)</f>
        <v/>
      </c>
      <c r="AK36" s="903" t="str">
        <f>IF(ISBLANK('Saisie données file act.'!AK55), "", 'Saisie données file act.'!AK55)</f>
        <v/>
      </c>
      <c r="AL36" s="903" t="str">
        <f>IF(ISBLANK('Saisie données file act.'!AL55), "", 'Saisie données file act.'!AL55)</f>
        <v/>
      </c>
      <c r="AM36" s="903" t="str">
        <f>IF(ISBLANK('Saisie données file act.'!AM55), "", 'Saisie données file act.'!AM55)</f>
        <v/>
      </c>
      <c r="AN36" s="903" t="str">
        <f>IF(ISBLANK('Saisie données file act.'!AN55), "", 'Saisie données file act.'!AN55)</f>
        <v/>
      </c>
      <c r="AO36" s="903" t="str">
        <f>IF(ISBLANK('Saisie données file act.'!AO55), "", 'Saisie données file act.'!AO55)</f>
        <v/>
      </c>
      <c r="AP36" s="903" t="str">
        <f>IF(ISBLANK('Saisie données file act.'!AP55), "", 'Saisie données file act.'!AP55)</f>
        <v/>
      </c>
      <c r="AQ36" s="903" t="str">
        <f>IF(ISBLANK('Saisie données file act.'!AQ55), "", 'Saisie données file act.'!AQ55)</f>
        <v/>
      </c>
      <c r="AR36" s="903" t="str">
        <f>IF(ISBLANK('Saisie données file act.'!AR55), "", 'Saisie données file act.'!AR55)</f>
        <v/>
      </c>
      <c r="AS36" s="903" t="str">
        <f>IF(ISBLANK('Saisie données file act.'!AS55), "", 'Saisie données file act.'!AS55)</f>
        <v/>
      </c>
      <c r="AT36" s="903" t="str">
        <f>IF(ISBLANK('Saisie données file act.'!AT55), "", 'Saisie données file act.'!AT55)</f>
        <v/>
      </c>
      <c r="AU36" s="903" t="str">
        <f>IF(ISBLANK('Saisie données file act.'!AU55), "", 'Saisie données file act.'!AU55)</f>
        <v/>
      </c>
      <c r="AV36" s="909">
        <f>'Saisie données file act.'!E145</f>
        <v>0</v>
      </c>
      <c r="AW36" s="916">
        <f>'Saisie données file act.'!F231</f>
        <v>0</v>
      </c>
      <c r="AX36" s="909">
        <f>'Saisie données file act.'!E287</f>
        <v>0</v>
      </c>
    </row>
    <row r="37" spans="3:50" s="895" customFormat="1" ht="14.25" thickBot="1" x14ac:dyDescent="0.3">
      <c r="C37" s="3258"/>
      <c r="D37" s="905">
        <f>'Saisie données file act.'!D56</f>
        <v>0</v>
      </c>
      <c r="E37" s="903" t="str">
        <f>IF(ISBLANK('Saisie données file act.'!E56), "", 'Saisie données file act.'!E56)</f>
        <v/>
      </c>
      <c r="F37" s="903" t="str">
        <f>IF(ISBLANK('Saisie données file act.'!F56), "", 'Saisie données file act.'!F56)</f>
        <v/>
      </c>
      <c r="G37" s="903" t="str">
        <f>IF(ISBLANK('Saisie données file act.'!G56), "", 'Saisie données file act.'!G56)</f>
        <v/>
      </c>
      <c r="H37" s="903" t="str">
        <f>IF(ISBLANK('Saisie données file act.'!H56), "", 'Saisie données file act.'!H56)</f>
        <v/>
      </c>
      <c r="I37" s="903" t="str">
        <f>IF(ISBLANK('Saisie données file act.'!I56), "", 'Saisie données file act.'!I56)</f>
        <v/>
      </c>
      <c r="J37" s="903" t="str">
        <f>IF(ISBLANK('Saisie données file act.'!J56), "", 'Saisie données file act.'!J56)</f>
        <v/>
      </c>
      <c r="K37" s="903" t="str">
        <f>IF(ISBLANK('Saisie données file act.'!K56), "", 'Saisie données file act.'!K56)</f>
        <v/>
      </c>
      <c r="L37" s="903" t="str">
        <f>IF(ISBLANK('Saisie données file act.'!L56), "", 'Saisie données file act.'!L56)</f>
        <v/>
      </c>
      <c r="M37" s="903" t="str">
        <f>IF(ISBLANK('Saisie données file act.'!M56), "", 'Saisie données file act.'!M56)</f>
        <v/>
      </c>
      <c r="N37" s="903" t="str">
        <f>IF(ISBLANK('Saisie données file act.'!N56), "", 'Saisie données file act.'!N56)</f>
        <v/>
      </c>
      <c r="O37" s="903" t="str">
        <f>IF(ISBLANK('Saisie données file act.'!O56), "", 'Saisie données file act.'!O56)</f>
        <v/>
      </c>
      <c r="P37" s="903" t="str">
        <f>IF(ISBLANK('Saisie données file act.'!P56), "", 'Saisie données file act.'!P56)</f>
        <v/>
      </c>
      <c r="Q37" s="903" t="str">
        <f>IF(ISBLANK('Saisie données file act.'!Q56), "", 'Saisie données file act.'!Q56)</f>
        <v/>
      </c>
      <c r="R37" s="903" t="str">
        <f>IF(ISBLANK('Saisie données file act.'!R56), "", 'Saisie données file act.'!R56)</f>
        <v/>
      </c>
      <c r="S37" s="903" t="str">
        <f>IF(ISBLANK('Saisie données file act.'!S56), "", 'Saisie données file act.'!S56)</f>
        <v/>
      </c>
      <c r="T37" s="903" t="str">
        <f>IF(ISBLANK('Saisie données file act.'!T56), "", 'Saisie données file act.'!T56)</f>
        <v/>
      </c>
      <c r="U37" s="903" t="str">
        <f>IF(ISBLANK('Saisie données file act.'!U56), "", 'Saisie données file act.'!U56)</f>
        <v/>
      </c>
      <c r="V37" s="903" t="str">
        <f>IF(ISBLANK('Saisie données file act.'!V56), "", 'Saisie données file act.'!V56)</f>
        <v/>
      </c>
      <c r="W37" s="903" t="str">
        <f>IF(ISBLANK('Saisie données file act.'!W56), "", 'Saisie données file act.'!W56)</f>
        <v/>
      </c>
      <c r="X37" s="903" t="str">
        <f>IF(ISBLANK('Saisie données file act.'!X56), "", 'Saisie données file act.'!X56)</f>
        <v/>
      </c>
      <c r="Y37" s="903" t="str">
        <f>IF(ISBLANK('Saisie données file act.'!Y56), "", 'Saisie données file act.'!Y56)</f>
        <v/>
      </c>
      <c r="Z37" s="903" t="str">
        <f>IF(ISBLANK('Saisie données file act.'!Z56), "", 'Saisie données file act.'!Z56)</f>
        <v/>
      </c>
      <c r="AA37" s="903" t="str">
        <f>IF(ISBLANK('Saisie données file act.'!AA56), "", 'Saisie données file act.'!AA56)</f>
        <v/>
      </c>
      <c r="AB37" s="903" t="str">
        <f>IF(ISBLANK('Saisie données file act.'!AB56), "", 'Saisie données file act.'!AB56)</f>
        <v/>
      </c>
      <c r="AC37" s="903" t="str">
        <f>IF(ISBLANK('Saisie données file act.'!AC56), "", 'Saisie données file act.'!AC56)</f>
        <v/>
      </c>
      <c r="AD37" s="903" t="str">
        <f>IF(ISBLANK('Saisie données file act.'!AD56), "", 'Saisie données file act.'!AD56)</f>
        <v/>
      </c>
      <c r="AE37" s="903" t="str">
        <f>IF(ISBLANK('Saisie données file act.'!AE56), "", 'Saisie données file act.'!AE56)</f>
        <v/>
      </c>
      <c r="AF37" s="903" t="str">
        <f>IF(ISBLANK('Saisie données file act.'!AF56), "", 'Saisie données file act.'!AF56)</f>
        <v/>
      </c>
      <c r="AG37" s="903" t="str">
        <f>IF(ISBLANK('Saisie données file act.'!AG56), "", 'Saisie données file act.'!AG56)</f>
        <v/>
      </c>
      <c r="AH37" s="903" t="str">
        <f>IF(ISBLANK('Saisie données file act.'!AH56), "", 'Saisie données file act.'!AH56)</f>
        <v/>
      </c>
      <c r="AI37" s="903" t="str">
        <f>IF(ISBLANK('Saisie données file act.'!AI56), "", 'Saisie données file act.'!AI56)</f>
        <v/>
      </c>
      <c r="AJ37" s="903" t="str">
        <f>IF(ISBLANK('Saisie données file act.'!AJ56), "", 'Saisie données file act.'!AJ56)</f>
        <v/>
      </c>
      <c r="AK37" s="903" t="str">
        <f>IF(ISBLANK('Saisie données file act.'!AK56), "", 'Saisie données file act.'!AK56)</f>
        <v/>
      </c>
      <c r="AL37" s="903" t="str">
        <f>IF(ISBLANK('Saisie données file act.'!AL56), "", 'Saisie données file act.'!AL56)</f>
        <v/>
      </c>
      <c r="AM37" s="903" t="str">
        <f>IF(ISBLANK('Saisie données file act.'!AM56), "", 'Saisie données file act.'!AM56)</f>
        <v/>
      </c>
      <c r="AN37" s="903" t="str">
        <f>IF(ISBLANK('Saisie données file act.'!AN56), "", 'Saisie données file act.'!AN56)</f>
        <v/>
      </c>
      <c r="AO37" s="903" t="str">
        <f>IF(ISBLANK('Saisie données file act.'!AO56), "", 'Saisie données file act.'!AO56)</f>
        <v/>
      </c>
      <c r="AP37" s="903" t="str">
        <f>IF(ISBLANK('Saisie données file act.'!AP56), "", 'Saisie données file act.'!AP56)</f>
        <v/>
      </c>
      <c r="AQ37" s="903" t="str">
        <f>IF(ISBLANK('Saisie données file act.'!AQ56), "", 'Saisie données file act.'!AQ56)</f>
        <v/>
      </c>
      <c r="AR37" s="903" t="str">
        <f>IF(ISBLANK('Saisie données file act.'!AR56), "", 'Saisie données file act.'!AR56)</f>
        <v/>
      </c>
      <c r="AS37" s="903" t="str">
        <f>IF(ISBLANK('Saisie données file act.'!AS56), "", 'Saisie données file act.'!AS56)</f>
        <v/>
      </c>
      <c r="AT37" s="903" t="str">
        <f>IF(ISBLANK('Saisie données file act.'!AT56), "", 'Saisie données file act.'!AT56)</f>
        <v/>
      </c>
      <c r="AU37" s="903" t="str">
        <f>IF(ISBLANK('Saisie données file act.'!AU56), "", 'Saisie données file act.'!AU56)</f>
        <v/>
      </c>
      <c r="AV37" s="900">
        <f>'Saisie données file act.'!E146</f>
        <v>0</v>
      </c>
      <c r="AW37" s="916">
        <f>'Saisie données file act.'!F232</f>
        <v>0</v>
      </c>
      <c r="AX37" s="900">
        <f>'Saisie données file act.'!E288</f>
        <v>0</v>
      </c>
    </row>
    <row r="38" spans="3:50" s="895" customFormat="1" ht="14.25" thickBot="1" x14ac:dyDescent="0.3">
      <c r="C38" s="3258"/>
      <c r="D38" s="904">
        <f>'Saisie données file act.'!D57</f>
        <v>0</v>
      </c>
      <c r="E38" s="903" t="str">
        <f>IF(ISBLANK('Saisie données file act.'!E57), "", 'Saisie données file act.'!E57)</f>
        <v/>
      </c>
      <c r="F38" s="903" t="str">
        <f>IF(ISBLANK('Saisie données file act.'!F57), "", 'Saisie données file act.'!F57)</f>
        <v/>
      </c>
      <c r="G38" s="903" t="str">
        <f>IF(ISBLANK('Saisie données file act.'!G57), "", 'Saisie données file act.'!G57)</f>
        <v/>
      </c>
      <c r="H38" s="903" t="str">
        <f>IF(ISBLANK('Saisie données file act.'!H57), "", 'Saisie données file act.'!H57)</f>
        <v/>
      </c>
      <c r="I38" s="903" t="str">
        <f>IF(ISBLANK('Saisie données file act.'!I57), "", 'Saisie données file act.'!I57)</f>
        <v/>
      </c>
      <c r="J38" s="903" t="str">
        <f>IF(ISBLANK('Saisie données file act.'!J57), "", 'Saisie données file act.'!J57)</f>
        <v/>
      </c>
      <c r="K38" s="903" t="str">
        <f>IF(ISBLANK('Saisie données file act.'!K57), "", 'Saisie données file act.'!K57)</f>
        <v/>
      </c>
      <c r="L38" s="903" t="str">
        <f>IF(ISBLANK('Saisie données file act.'!L57), "", 'Saisie données file act.'!L57)</f>
        <v/>
      </c>
      <c r="M38" s="903" t="str">
        <f>IF(ISBLANK('Saisie données file act.'!M57), "", 'Saisie données file act.'!M57)</f>
        <v/>
      </c>
      <c r="N38" s="903" t="str">
        <f>IF(ISBLANK('Saisie données file act.'!N57), "", 'Saisie données file act.'!N57)</f>
        <v/>
      </c>
      <c r="O38" s="903" t="str">
        <f>IF(ISBLANK('Saisie données file act.'!O57), "", 'Saisie données file act.'!O57)</f>
        <v/>
      </c>
      <c r="P38" s="903" t="str">
        <f>IF(ISBLANK('Saisie données file act.'!P57), "", 'Saisie données file act.'!P57)</f>
        <v/>
      </c>
      <c r="Q38" s="903" t="str">
        <f>IF(ISBLANK('Saisie données file act.'!Q57), "", 'Saisie données file act.'!Q57)</f>
        <v/>
      </c>
      <c r="R38" s="903" t="str">
        <f>IF(ISBLANK('Saisie données file act.'!R57), "", 'Saisie données file act.'!R57)</f>
        <v/>
      </c>
      <c r="S38" s="903" t="str">
        <f>IF(ISBLANK('Saisie données file act.'!S57), "", 'Saisie données file act.'!S57)</f>
        <v/>
      </c>
      <c r="T38" s="903" t="str">
        <f>IF(ISBLANK('Saisie données file act.'!T57), "", 'Saisie données file act.'!T57)</f>
        <v/>
      </c>
      <c r="U38" s="903" t="str">
        <f>IF(ISBLANK('Saisie données file act.'!U57), "", 'Saisie données file act.'!U57)</f>
        <v/>
      </c>
      <c r="V38" s="903" t="str">
        <f>IF(ISBLANK('Saisie données file act.'!V57), "", 'Saisie données file act.'!V57)</f>
        <v/>
      </c>
      <c r="W38" s="903" t="str">
        <f>IF(ISBLANK('Saisie données file act.'!W57), "", 'Saisie données file act.'!W57)</f>
        <v/>
      </c>
      <c r="X38" s="903" t="str">
        <f>IF(ISBLANK('Saisie données file act.'!X57), "", 'Saisie données file act.'!X57)</f>
        <v/>
      </c>
      <c r="Y38" s="903" t="str">
        <f>IF(ISBLANK('Saisie données file act.'!Y57), "", 'Saisie données file act.'!Y57)</f>
        <v/>
      </c>
      <c r="Z38" s="903" t="str">
        <f>IF(ISBLANK('Saisie données file act.'!Z57), "", 'Saisie données file act.'!Z57)</f>
        <v/>
      </c>
      <c r="AA38" s="903" t="str">
        <f>IF(ISBLANK('Saisie données file act.'!AA57), "", 'Saisie données file act.'!AA57)</f>
        <v/>
      </c>
      <c r="AB38" s="903" t="str">
        <f>IF(ISBLANK('Saisie données file act.'!AB57), "", 'Saisie données file act.'!AB57)</f>
        <v/>
      </c>
      <c r="AC38" s="903" t="str">
        <f>IF(ISBLANK('Saisie données file act.'!AC57), "", 'Saisie données file act.'!AC57)</f>
        <v/>
      </c>
      <c r="AD38" s="903" t="str">
        <f>IF(ISBLANK('Saisie données file act.'!AD57), "", 'Saisie données file act.'!AD57)</f>
        <v/>
      </c>
      <c r="AE38" s="903" t="str">
        <f>IF(ISBLANK('Saisie données file act.'!AE57), "", 'Saisie données file act.'!AE57)</f>
        <v/>
      </c>
      <c r="AF38" s="903" t="str">
        <f>IF(ISBLANK('Saisie données file act.'!AF57), "", 'Saisie données file act.'!AF57)</f>
        <v/>
      </c>
      <c r="AG38" s="903" t="str">
        <f>IF(ISBLANK('Saisie données file act.'!AG57), "", 'Saisie données file act.'!AG57)</f>
        <v/>
      </c>
      <c r="AH38" s="903" t="str">
        <f>IF(ISBLANK('Saisie données file act.'!AH57), "", 'Saisie données file act.'!AH57)</f>
        <v/>
      </c>
      <c r="AI38" s="903" t="str">
        <f>IF(ISBLANK('Saisie données file act.'!AI57), "", 'Saisie données file act.'!AI57)</f>
        <v/>
      </c>
      <c r="AJ38" s="903" t="str">
        <f>IF(ISBLANK('Saisie données file act.'!AJ57), "", 'Saisie données file act.'!AJ57)</f>
        <v/>
      </c>
      <c r="AK38" s="903" t="str">
        <f>IF(ISBLANK('Saisie données file act.'!AK57), "", 'Saisie données file act.'!AK57)</f>
        <v/>
      </c>
      <c r="AL38" s="903" t="str">
        <f>IF(ISBLANK('Saisie données file act.'!AL57), "", 'Saisie données file act.'!AL57)</f>
        <v/>
      </c>
      <c r="AM38" s="903" t="str">
        <f>IF(ISBLANK('Saisie données file act.'!AM57), "", 'Saisie données file act.'!AM57)</f>
        <v/>
      </c>
      <c r="AN38" s="903" t="str">
        <f>IF(ISBLANK('Saisie données file act.'!AN57), "", 'Saisie données file act.'!AN57)</f>
        <v/>
      </c>
      <c r="AO38" s="903" t="str">
        <f>IF(ISBLANK('Saisie données file act.'!AO57), "", 'Saisie données file act.'!AO57)</f>
        <v/>
      </c>
      <c r="AP38" s="903" t="str">
        <f>IF(ISBLANK('Saisie données file act.'!AP57), "", 'Saisie données file act.'!AP57)</f>
        <v/>
      </c>
      <c r="AQ38" s="903" t="str">
        <f>IF(ISBLANK('Saisie données file act.'!AQ57), "", 'Saisie données file act.'!AQ57)</f>
        <v/>
      </c>
      <c r="AR38" s="903" t="str">
        <f>IF(ISBLANK('Saisie données file act.'!AR57), "", 'Saisie données file act.'!AR57)</f>
        <v/>
      </c>
      <c r="AS38" s="903" t="str">
        <f>IF(ISBLANK('Saisie données file act.'!AS57), "", 'Saisie données file act.'!AS57)</f>
        <v/>
      </c>
      <c r="AT38" s="903" t="str">
        <f>IF(ISBLANK('Saisie données file act.'!AT57), "", 'Saisie données file act.'!AT57)</f>
        <v/>
      </c>
      <c r="AU38" s="903" t="str">
        <f>IF(ISBLANK('Saisie données file act.'!AU57), "", 'Saisie données file act.'!AU57)</f>
        <v/>
      </c>
      <c r="AV38" s="918">
        <f>'Saisie données file act.'!E147</f>
        <v>0</v>
      </c>
      <c r="AW38" s="916">
        <f>'Saisie données file act.'!F233</f>
        <v>0</v>
      </c>
      <c r="AX38" s="918">
        <f>'Saisie données file act.'!E289</f>
        <v>0</v>
      </c>
    </row>
    <row r="39" spans="3:50" s="895" customFormat="1" ht="14.25" thickBot="1" x14ac:dyDescent="0.3">
      <c r="C39" s="3258"/>
      <c r="D39" s="905">
        <f>'Saisie données file act.'!D58</f>
        <v>0</v>
      </c>
      <c r="E39" s="903" t="str">
        <f>IF(ISBLANK('Saisie données file act.'!E58), "", 'Saisie données file act.'!E58)</f>
        <v/>
      </c>
      <c r="F39" s="903" t="str">
        <f>IF(ISBLANK('Saisie données file act.'!F58), "", 'Saisie données file act.'!F58)</f>
        <v/>
      </c>
      <c r="G39" s="903" t="str">
        <f>IF(ISBLANK('Saisie données file act.'!G58), "", 'Saisie données file act.'!G58)</f>
        <v/>
      </c>
      <c r="H39" s="903" t="str">
        <f>IF(ISBLANK('Saisie données file act.'!H58), "", 'Saisie données file act.'!H58)</f>
        <v/>
      </c>
      <c r="I39" s="903" t="str">
        <f>IF(ISBLANK('Saisie données file act.'!I58), "", 'Saisie données file act.'!I58)</f>
        <v/>
      </c>
      <c r="J39" s="903" t="str">
        <f>IF(ISBLANK('Saisie données file act.'!J58), "", 'Saisie données file act.'!J58)</f>
        <v/>
      </c>
      <c r="K39" s="903" t="str">
        <f>IF(ISBLANK('Saisie données file act.'!K58), "", 'Saisie données file act.'!K58)</f>
        <v/>
      </c>
      <c r="L39" s="903" t="str">
        <f>IF(ISBLANK('Saisie données file act.'!L58), "", 'Saisie données file act.'!L58)</f>
        <v/>
      </c>
      <c r="M39" s="903" t="str">
        <f>IF(ISBLANK('Saisie données file act.'!M58), "", 'Saisie données file act.'!M58)</f>
        <v/>
      </c>
      <c r="N39" s="903" t="str">
        <f>IF(ISBLANK('Saisie données file act.'!N58), "", 'Saisie données file act.'!N58)</f>
        <v/>
      </c>
      <c r="O39" s="903" t="str">
        <f>IF(ISBLANK('Saisie données file act.'!O58), "", 'Saisie données file act.'!O58)</f>
        <v/>
      </c>
      <c r="P39" s="903" t="str">
        <f>IF(ISBLANK('Saisie données file act.'!P58), "", 'Saisie données file act.'!P58)</f>
        <v/>
      </c>
      <c r="Q39" s="903" t="str">
        <f>IF(ISBLANK('Saisie données file act.'!Q58), "", 'Saisie données file act.'!Q58)</f>
        <v/>
      </c>
      <c r="R39" s="903" t="str">
        <f>IF(ISBLANK('Saisie données file act.'!R58), "", 'Saisie données file act.'!R58)</f>
        <v/>
      </c>
      <c r="S39" s="903" t="str">
        <f>IF(ISBLANK('Saisie données file act.'!S58), "", 'Saisie données file act.'!S58)</f>
        <v/>
      </c>
      <c r="T39" s="903" t="str">
        <f>IF(ISBLANK('Saisie données file act.'!T58), "", 'Saisie données file act.'!T58)</f>
        <v/>
      </c>
      <c r="U39" s="903" t="str">
        <f>IF(ISBLANK('Saisie données file act.'!U58), "", 'Saisie données file act.'!U58)</f>
        <v/>
      </c>
      <c r="V39" s="903" t="str">
        <f>IF(ISBLANK('Saisie données file act.'!V58), "", 'Saisie données file act.'!V58)</f>
        <v/>
      </c>
      <c r="W39" s="903" t="str">
        <f>IF(ISBLANK('Saisie données file act.'!W58), "", 'Saisie données file act.'!W58)</f>
        <v/>
      </c>
      <c r="X39" s="903" t="str">
        <f>IF(ISBLANK('Saisie données file act.'!X58), "", 'Saisie données file act.'!X58)</f>
        <v/>
      </c>
      <c r="Y39" s="903" t="str">
        <f>IF(ISBLANK('Saisie données file act.'!Y58), "", 'Saisie données file act.'!Y58)</f>
        <v/>
      </c>
      <c r="Z39" s="903" t="str">
        <f>IF(ISBLANK('Saisie données file act.'!Z58), "", 'Saisie données file act.'!Z58)</f>
        <v/>
      </c>
      <c r="AA39" s="903" t="str">
        <f>IF(ISBLANK('Saisie données file act.'!AA58), "", 'Saisie données file act.'!AA58)</f>
        <v/>
      </c>
      <c r="AB39" s="903" t="str">
        <f>IF(ISBLANK('Saisie données file act.'!AB58), "", 'Saisie données file act.'!AB58)</f>
        <v/>
      </c>
      <c r="AC39" s="903" t="str">
        <f>IF(ISBLANK('Saisie données file act.'!AC58), "", 'Saisie données file act.'!AC58)</f>
        <v/>
      </c>
      <c r="AD39" s="903" t="str">
        <f>IF(ISBLANK('Saisie données file act.'!AD58), "", 'Saisie données file act.'!AD58)</f>
        <v/>
      </c>
      <c r="AE39" s="903" t="str">
        <f>IF(ISBLANK('Saisie données file act.'!AE58), "", 'Saisie données file act.'!AE58)</f>
        <v/>
      </c>
      <c r="AF39" s="903" t="str">
        <f>IF(ISBLANK('Saisie données file act.'!AF58), "", 'Saisie données file act.'!AF58)</f>
        <v/>
      </c>
      <c r="AG39" s="903" t="str">
        <f>IF(ISBLANK('Saisie données file act.'!AG58), "", 'Saisie données file act.'!AG58)</f>
        <v/>
      </c>
      <c r="AH39" s="903" t="str">
        <f>IF(ISBLANK('Saisie données file act.'!AH58), "", 'Saisie données file act.'!AH58)</f>
        <v/>
      </c>
      <c r="AI39" s="903" t="str">
        <f>IF(ISBLANK('Saisie données file act.'!AI58), "", 'Saisie données file act.'!AI58)</f>
        <v/>
      </c>
      <c r="AJ39" s="903" t="str">
        <f>IF(ISBLANK('Saisie données file act.'!AJ58), "", 'Saisie données file act.'!AJ58)</f>
        <v/>
      </c>
      <c r="AK39" s="903" t="str">
        <f>IF(ISBLANK('Saisie données file act.'!AK58), "", 'Saisie données file act.'!AK58)</f>
        <v/>
      </c>
      <c r="AL39" s="903" t="str">
        <f>IF(ISBLANK('Saisie données file act.'!AL58), "", 'Saisie données file act.'!AL58)</f>
        <v/>
      </c>
      <c r="AM39" s="903" t="str">
        <f>IF(ISBLANK('Saisie données file act.'!AM58), "", 'Saisie données file act.'!AM58)</f>
        <v/>
      </c>
      <c r="AN39" s="903" t="str">
        <f>IF(ISBLANK('Saisie données file act.'!AN58), "", 'Saisie données file act.'!AN58)</f>
        <v/>
      </c>
      <c r="AO39" s="903" t="str">
        <f>IF(ISBLANK('Saisie données file act.'!AO58), "", 'Saisie données file act.'!AO58)</f>
        <v/>
      </c>
      <c r="AP39" s="903" t="str">
        <f>IF(ISBLANK('Saisie données file act.'!AP58), "", 'Saisie données file act.'!AP58)</f>
        <v/>
      </c>
      <c r="AQ39" s="903" t="str">
        <f>IF(ISBLANK('Saisie données file act.'!AQ58), "", 'Saisie données file act.'!AQ58)</f>
        <v/>
      </c>
      <c r="AR39" s="903" t="str">
        <f>IF(ISBLANK('Saisie données file act.'!AR58), "", 'Saisie données file act.'!AR58)</f>
        <v/>
      </c>
      <c r="AS39" s="903" t="str">
        <f>IF(ISBLANK('Saisie données file act.'!AS58), "", 'Saisie données file act.'!AS58)</f>
        <v/>
      </c>
      <c r="AT39" s="903" t="str">
        <f>IF(ISBLANK('Saisie données file act.'!AT58), "", 'Saisie données file act.'!AT58)</f>
        <v/>
      </c>
      <c r="AU39" s="903" t="str">
        <f>IF(ISBLANK('Saisie données file act.'!AU58), "", 'Saisie données file act.'!AU58)</f>
        <v/>
      </c>
      <c r="AV39" s="909">
        <f>'Saisie données file act.'!E148</f>
        <v>0</v>
      </c>
      <c r="AW39" s="916">
        <f>'Saisie données file act.'!F234</f>
        <v>0</v>
      </c>
      <c r="AX39" s="909">
        <f>'Saisie données file act.'!E290</f>
        <v>0</v>
      </c>
    </row>
    <row r="40" spans="3:50" s="895" customFormat="1" ht="14.25" thickBot="1" x14ac:dyDescent="0.3">
      <c r="C40" s="3258"/>
      <c r="D40" s="904">
        <f>'Saisie données file act.'!D59</f>
        <v>0</v>
      </c>
      <c r="E40" s="903" t="str">
        <f>IF(ISBLANK('Saisie données file act.'!E59), "", 'Saisie données file act.'!E59)</f>
        <v/>
      </c>
      <c r="F40" s="903" t="str">
        <f>IF(ISBLANK('Saisie données file act.'!F59), "", 'Saisie données file act.'!F59)</f>
        <v/>
      </c>
      <c r="G40" s="903" t="str">
        <f>IF(ISBLANK('Saisie données file act.'!G59), "", 'Saisie données file act.'!G59)</f>
        <v/>
      </c>
      <c r="H40" s="903" t="str">
        <f>IF(ISBLANK('Saisie données file act.'!H59), "", 'Saisie données file act.'!H59)</f>
        <v/>
      </c>
      <c r="I40" s="903" t="str">
        <f>IF(ISBLANK('Saisie données file act.'!I59), "", 'Saisie données file act.'!I59)</f>
        <v/>
      </c>
      <c r="J40" s="903" t="str">
        <f>IF(ISBLANK('Saisie données file act.'!J59), "", 'Saisie données file act.'!J59)</f>
        <v/>
      </c>
      <c r="K40" s="903" t="str">
        <f>IF(ISBLANK('Saisie données file act.'!K59), "", 'Saisie données file act.'!K59)</f>
        <v/>
      </c>
      <c r="L40" s="903" t="str">
        <f>IF(ISBLANK('Saisie données file act.'!L59), "", 'Saisie données file act.'!L59)</f>
        <v/>
      </c>
      <c r="M40" s="903" t="str">
        <f>IF(ISBLANK('Saisie données file act.'!M59), "", 'Saisie données file act.'!M59)</f>
        <v/>
      </c>
      <c r="N40" s="903" t="str">
        <f>IF(ISBLANK('Saisie données file act.'!N59), "", 'Saisie données file act.'!N59)</f>
        <v/>
      </c>
      <c r="O40" s="903" t="str">
        <f>IF(ISBLANK('Saisie données file act.'!O59), "", 'Saisie données file act.'!O59)</f>
        <v/>
      </c>
      <c r="P40" s="903" t="str">
        <f>IF(ISBLANK('Saisie données file act.'!P59), "", 'Saisie données file act.'!P59)</f>
        <v/>
      </c>
      <c r="Q40" s="903" t="str">
        <f>IF(ISBLANK('Saisie données file act.'!Q59), "", 'Saisie données file act.'!Q59)</f>
        <v/>
      </c>
      <c r="R40" s="903" t="str">
        <f>IF(ISBLANK('Saisie données file act.'!R59), "", 'Saisie données file act.'!R59)</f>
        <v/>
      </c>
      <c r="S40" s="903" t="str">
        <f>IF(ISBLANK('Saisie données file act.'!S59), "", 'Saisie données file act.'!S59)</f>
        <v/>
      </c>
      <c r="T40" s="903" t="str">
        <f>IF(ISBLANK('Saisie données file act.'!T59), "", 'Saisie données file act.'!T59)</f>
        <v/>
      </c>
      <c r="U40" s="903" t="str">
        <f>IF(ISBLANK('Saisie données file act.'!U59), "", 'Saisie données file act.'!U59)</f>
        <v/>
      </c>
      <c r="V40" s="903" t="str">
        <f>IF(ISBLANK('Saisie données file act.'!V59), "", 'Saisie données file act.'!V59)</f>
        <v/>
      </c>
      <c r="W40" s="903" t="str">
        <f>IF(ISBLANK('Saisie données file act.'!W59), "", 'Saisie données file act.'!W59)</f>
        <v/>
      </c>
      <c r="X40" s="903" t="str">
        <f>IF(ISBLANK('Saisie données file act.'!X59), "", 'Saisie données file act.'!X59)</f>
        <v/>
      </c>
      <c r="Y40" s="903" t="str">
        <f>IF(ISBLANK('Saisie données file act.'!Y59), "", 'Saisie données file act.'!Y59)</f>
        <v/>
      </c>
      <c r="Z40" s="903" t="str">
        <f>IF(ISBLANK('Saisie données file act.'!Z59), "", 'Saisie données file act.'!Z59)</f>
        <v/>
      </c>
      <c r="AA40" s="903" t="str">
        <f>IF(ISBLANK('Saisie données file act.'!AA59), "", 'Saisie données file act.'!AA59)</f>
        <v/>
      </c>
      <c r="AB40" s="903" t="str">
        <f>IF(ISBLANK('Saisie données file act.'!AB59), "", 'Saisie données file act.'!AB59)</f>
        <v/>
      </c>
      <c r="AC40" s="903" t="str">
        <f>IF(ISBLANK('Saisie données file act.'!AC59), "", 'Saisie données file act.'!AC59)</f>
        <v/>
      </c>
      <c r="AD40" s="903" t="str">
        <f>IF(ISBLANK('Saisie données file act.'!AD59), "", 'Saisie données file act.'!AD59)</f>
        <v/>
      </c>
      <c r="AE40" s="903" t="str">
        <f>IF(ISBLANK('Saisie données file act.'!AE59), "", 'Saisie données file act.'!AE59)</f>
        <v/>
      </c>
      <c r="AF40" s="903" t="str">
        <f>IF(ISBLANK('Saisie données file act.'!AF59), "", 'Saisie données file act.'!AF59)</f>
        <v/>
      </c>
      <c r="AG40" s="903" t="str">
        <f>IF(ISBLANK('Saisie données file act.'!AG59), "", 'Saisie données file act.'!AG59)</f>
        <v/>
      </c>
      <c r="AH40" s="903" t="str">
        <f>IF(ISBLANK('Saisie données file act.'!AH59), "", 'Saisie données file act.'!AH59)</f>
        <v/>
      </c>
      <c r="AI40" s="903" t="str">
        <f>IF(ISBLANK('Saisie données file act.'!AI59), "", 'Saisie données file act.'!AI59)</f>
        <v/>
      </c>
      <c r="AJ40" s="903" t="str">
        <f>IF(ISBLANK('Saisie données file act.'!AJ59), "", 'Saisie données file act.'!AJ59)</f>
        <v/>
      </c>
      <c r="AK40" s="903" t="str">
        <f>IF(ISBLANK('Saisie données file act.'!AK59), "", 'Saisie données file act.'!AK59)</f>
        <v/>
      </c>
      <c r="AL40" s="903" t="str">
        <f>IF(ISBLANK('Saisie données file act.'!AL59), "", 'Saisie données file act.'!AL59)</f>
        <v/>
      </c>
      <c r="AM40" s="903" t="str">
        <f>IF(ISBLANK('Saisie données file act.'!AM59), "", 'Saisie données file act.'!AM59)</f>
        <v/>
      </c>
      <c r="AN40" s="903" t="str">
        <f>IF(ISBLANK('Saisie données file act.'!AN59), "", 'Saisie données file act.'!AN59)</f>
        <v/>
      </c>
      <c r="AO40" s="903" t="str">
        <f>IF(ISBLANK('Saisie données file act.'!AO59), "", 'Saisie données file act.'!AO59)</f>
        <v/>
      </c>
      <c r="AP40" s="903" t="str">
        <f>IF(ISBLANK('Saisie données file act.'!AP59), "", 'Saisie données file act.'!AP59)</f>
        <v/>
      </c>
      <c r="AQ40" s="903" t="str">
        <f>IF(ISBLANK('Saisie données file act.'!AQ59), "", 'Saisie données file act.'!AQ59)</f>
        <v/>
      </c>
      <c r="AR40" s="903" t="str">
        <f>IF(ISBLANK('Saisie données file act.'!AR59), "", 'Saisie données file act.'!AR59)</f>
        <v/>
      </c>
      <c r="AS40" s="903" t="str">
        <f>IF(ISBLANK('Saisie données file act.'!AS59), "", 'Saisie données file act.'!AS59)</f>
        <v/>
      </c>
      <c r="AT40" s="903" t="str">
        <f>IF(ISBLANK('Saisie données file act.'!AT59), "", 'Saisie données file act.'!AT59)</f>
        <v/>
      </c>
      <c r="AU40" s="903" t="str">
        <f>IF(ISBLANK('Saisie données file act.'!AU59), "", 'Saisie données file act.'!AU59)</f>
        <v/>
      </c>
      <c r="AV40" s="909">
        <f>'Saisie données file act.'!E149</f>
        <v>0</v>
      </c>
      <c r="AW40" s="910"/>
      <c r="AX40" s="909">
        <f>'Saisie données file act.'!E291</f>
        <v>0</v>
      </c>
    </row>
    <row r="41" spans="3:50" s="895" customFormat="1" ht="14.25" thickBot="1" x14ac:dyDescent="0.3">
      <c r="C41" s="3258"/>
      <c r="D41" s="905">
        <f>'Saisie données file act.'!D60</f>
        <v>0</v>
      </c>
      <c r="E41" s="903" t="str">
        <f>IF(ISBLANK('Saisie données file act.'!E60), "", 'Saisie données file act.'!E60)</f>
        <v/>
      </c>
      <c r="F41" s="903" t="str">
        <f>IF(ISBLANK('Saisie données file act.'!F60), "", 'Saisie données file act.'!F60)</f>
        <v/>
      </c>
      <c r="G41" s="903" t="str">
        <f>IF(ISBLANK('Saisie données file act.'!G60), "", 'Saisie données file act.'!G60)</f>
        <v/>
      </c>
      <c r="H41" s="903" t="str">
        <f>IF(ISBLANK('Saisie données file act.'!H60), "", 'Saisie données file act.'!H60)</f>
        <v/>
      </c>
      <c r="I41" s="903" t="str">
        <f>IF(ISBLANK('Saisie données file act.'!I60), "", 'Saisie données file act.'!I60)</f>
        <v/>
      </c>
      <c r="J41" s="903" t="str">
        <f>IF(ISBLANK('Saisie données file act.'!J60), "", 'Saisie données file act.'!J60)</f>
        <v/>
      </c>
      <c r="K41" s="903" t="str">
        <f>IF(ISBLANK('Saisie données file act.'!K60), "", 'Saisie données file act.'!K60)</f>
        <v/>
      </c>
      <c r="L41" s="903" t="str">
        <f>IF(ISBLANK('Saisie données file act.'!L60), "", 'Saisie données file act.'!L60)</f>
        <v/>
      </c>
      <c r="M41" s="903" t="str">
        <f>IF(ISBLANK('Saisie données file act.'!M60), "", 'Saisie données file act.'!M60)</f>
        <v/>
      </c>
      <c r="N41" s="903" t="str">
        <f>IF(ISBLANK('Saisie données file act.'!N60), "", 'Saisie données file act.'!N60)</f>
        <v/>
      </c>
      <c r="O41" s="903" t="str">
        <f>IF(ISBLANK('Saisie données file act.'!O60), "", 'Saisie données file act.'!O60)</f>
        <v/>
      </c>
      <c r="P41" s="903" t="str">
        <f>IF(ISBLANK('Saisie données file act.'!P60), "", 'Saisie données file act.'!P60)</f>
        <v/>
      </c>
      <c r="Q41" s="903" t="str">
        <f>IF(ISBLANK('Saisie données file act.'!Q60), "", 'Saisie données file act.'!Q60)</f>
        <v/>
      </c>
      <c r="R41" s="903" t="str">
        <f>IF(ISBLANK('Saisie données file act.'!R60), "", 'Saisie données file act.'!R60)</f>
        <v/>
      </c>
      <c r="S41" s="903" t="str">
        <f>IF(ISBLANK('Saisie données file act.'!S60), "", 'Saisie données file act.'!S60)</f>
        <v/>
      </c>
      <c r="T41" s="903" t="str">
        <f>IF(ISBLANK('Saisie données file act.'!T60), "", 'Saisie données file act.'!T60)</f>
        <v/>
      </c>
      <c r="U41" s="903" t="str">
        <f>IF(ISBLANK('Saisie données file act.'!U60), "", 'Saisie données file act.'!U60)</f>
        <v/>
      </c>
      <c r="V41" s="903" t="str">
        <f>IF(ISBLANK('Saisie données file act.'!V60), "", 'Saisie données file act.'!V60)</f>
        <v/>
      </c>
      <c r="W41" s="903" t="str">
        <f>IF(ISBLANK('Saisie données file act.'!W60), "", 'Saisie données file act.'!W60)</f>
        <v/>
      </c>
      <c r="X41" s="903" t="str">
        <f>IF(ISBLANK('Saisie données file act.'!X60), "", 'Saisie données file act.'!X60)</f>
        <v/>
      </c>
      <c r="Y41" s="903" t="str">
        <f>IF(ISBLANK('Saisie données file act.'!Y60), "", 'Saisie données file act.'!Y60)</f>
        <v/>
      </c>
      <c r="Z41" s="903" t="str">
        <f>IF(ISBLANK('Saisie données file act.'!Z60), "", 'Saisie données file act.'!Z60)</f>
        <v/>
      </c>
      <c r="AA41" s="903" t="str">
        <f>IF(ISBLANK('Saisie données file act.'!AA60), "", 'Saisie données file act.'!AA60)</f>
        <v/>
      </c>
      <c r="AB41" s="903" t="str">
        <f>IF(ISBLANK('Saisie données file act.'!AB60), "", 'Saisie données file act.'!AB60)</f>
        <v/>
      </c>
      <c r="AC41" s="903" t="str">
        <f>IF(ISBLANK('Saisie données file act.'!AC60), "", 'Saisie données file act.'!AC60)</f>
        <v/>
      </c>
      <c r="AD41" s="903" t="str">
        <f>IF(ISBLANK('Saisie données file act.'!AD60), "", 'Saisie données file act.'!AD60)</f>
        <v/>
      </c>
      <c r="AE41" s="903" t="str">
        <f>IF(ISBLANK('Saisie données file act.'!AE60), "", 'Saisie données file act.'!AE60)</f>
        <v/>
      </c>
      <c r="AF41" s="903" t="str">
        <f>IF(ISBLANK('Saisie données file act.'!AF60), "", 'Saisie données file act.'!AF60)</f>
        <v/>
      </c>
      <c r="AG41" s="903" t="str">
        <f>IF(ISBLANK('Saisie données file act.'!AG60), "", 'Saisie données file act.'!AG60)</f>
        <v/>
      </c>
      <c r="AH41" s="903" t="str">
        <f>IF(ISBLANK('Saisie données file act.'!AH60), "", 'Saisie données file act.'!AH60)</f>
        <v/>
      </c>
      <c r="AI41" s="903" t="str">
        <f>IF(ISBLANK('Saisie données file act.'!AI60), "", 'Saisie données file act.'!AI60)</f>
        <v/>
      </c>
      <c r="AJ41" s="903" t="str">
        <f>IF(ISBLANK('Saisie données file act.'!AJ60), "", 'Saisie données file act.'!AJ60)</f>
        <v/>
      </c>
      <c r="AK41" s="903" t="str">
        <f>IF(ISBLANK('Saisie données file act.'!AK60), "", 'Saisie données file act.'!AK60)</f>
        <v/>
      </c>
      <c r="AL41" s="903" t="str">
        <f>IF(ISBLANK('Saisie données file act.'!AL60), "", 'Saisie données file act.'!AL60)</f>
        <v/>
      </c>
      <c r="AM41" s="903" t="str">
        <f>IF(ISBLANK('Saisie données file act.'!AM60), "", 'Saisie données file act.'!AM60)</f>
        <v/>
      </c>
      <c r="AN41" s="903" t="str">
        <f>IF(ISBLANK('Saisie données file act.'!AN60), "", 'Saisie données file act.'!AN60)</f>
        <v/>
      </c>
      <c r="AO41" s="903" t="str">
        <f>IF(ISBLANK('Saisie données file act.'!AO60), "", 'Saisie données file act.'!AO60)</f>
        <v/>
      </c>
      <c r="AP41" s="903" t="str">
        <f>IF(ISBLANK('Saisie données file act.'!AP60), "", 'Saisie données file act.'!AP60)</f>
        <v/>
      </c>
      <c r="AQ41" s="903" t="str">
        <f>IF(ISBLANK('Saisie données file act.'!AQ60), "", 'Saisie données file act.'!AQ60)</f>
        <v/>
      </c>
      <c r="AR41" s="903" t="str">
        <f>IF(ISBLANK('Saisie données file act.'!AR60), "", 'Saisie données file act.'!AR60)</f>
        <v/>
      </c>
      <c r="AS41" s="903" t="str">
        <f>IF(ISBLANK('Saisie données file act.'!AS60), "", 'Saisie données file act.'!AS60)</f>
        <v/>
      </c>
      <c r="AT41" s="903" t="str">
        <f>IF(ISBLANK('Saisie données file act.'!AT60), "", 'Saisie données file act.'!AT60)</f>
        <v/>
      </c>
      <c r="AU41" s="903" t="str">
        <f>IF(ISBLANK('Saisie données file act.'!AU60), "", 'Saisie données file act.'!AU60)</f>
        <v/>
      </c>
      <c r="AV41" s="909">
        <f>'Saisie données file act.'!E150</f>
        <v>0</v>
      </c>
      <c r="AW41" s="910"/>
      <c r="AX41" s="909">
        <f>'Saisie données file act.'!E292</f>
        <v>0</v>
      </c>
    </row>
    <row r="42" spans="3:50" s="895" customFormat="1" ht="14.25" thickBot="1" x14ac:dyDescent="0.3">
      <c r="C42" s="3258"/>
      <c r="D42" s="905">
        <f>'Saisie données file act.'!D61</f>
        <v>0</v>
      </c>
      <c r="E42" s="903" t="str">
        <f>IF(ISBLANK('Saisie données file act.'!E61), "", 'Saisie données file act.'!E61)</f>
        <v/>
      </c>
      <c r="F42" s="903" t="str">
        <f>IF(ISBLANK('Saisie données file act.'!F61), "", 'Saisie données file act.'!F61)</f>
        <v/>
      </c>
      <c r="G42" s="903" t="str">
        <f>IF(ISBLANK('Saisie données file act.'!G61), "", 'Saisie données file act.'!G61)</f>
        <v/>
      </c>
      <c r="H42" s="903" t="str">
        <f>IF(ISBLANK('Saisie données file act.'!H61), "", 'Saisie données file act.'!H61)</f>
        <v/>
      </c>
      <c r="I42" s="903" t="str">
        <f>IF(ISBLANK('Saisie données file act.'!I61), "", 'Saisie données file act.'!I61)</f>
        <v/>
      </c>
      <c r="J42" s="903" t="str">
        <f>IF(ISBLANK('Saisie données file act.'!J61), "", 'Saisie données file act.'!J61)</f>
        <v/>
      </c>
      <c r="K42" s="903" t="str">
        <f>IF(ISBLANK('Saisie données file act.'!K61), "", 'Saisie données file act.'!K61)</f>
        <v/>
      </c>
      <c r="L42" s="903" t="str">
        <f>IF(ISBLANK('Saisie données file act.'!L61), "", 'Saisie données file act.'!L61)</f>
        <v/>
      </c>
      <c r="M42" s="903" t="str">
        <f>IF(ISBLANK('Saisie données file act.'!M61), "", 'Saisie données file act.'!M61)</f>
        <v/>
      </c>
      <c r="N42" s="903" t="str">
        <f>IF(ISBLANK('Saisie données file act.'!N61), "", 'Saisie données file act.'!N61)</f>
        <v/>
      </c>
      <c r="O42" s="903" t="str">
        <f>IF(ISBLANK('Saisie données file act.'!O61), "", 'Saisie données file act.'!O61)</f>
        <v/>
      </c>
      <c r="P42" s="903" t="str">
        <f>IF(ISBLANK('Saisie données file act.'!P61), "", 'Saisie données file act.'!P61)</f>
        <v/>
      </c>
      <c r="Q42" s="903" t="str">
        <f>IF(ISBLANK('Saisie données file act.'!Q61), "", 'Saisie données file act.'!Q61)</f>
        <v/>
      </c>
      <c r="R42" s="903" t="str">
        <f>IF(ISBLANK('Saisie données file act.'!R61), "", 'Saisie données file act.'!R61)</f>
        <v/>
      </c>
      <c r="S42" s="903" t="str">
        <f>IF(ISBLANK('Saisie données file act.'!S61), "", 'Saisie données file act.'!S61)</f>
        <v/>
      </c>
      <c r="T42" s="903" t="str">
        <f>IF(ISBLANK('Saisie données file act.'!T61), "", 'Saisie données file act.'!T61)</f>
        <v/>
      </c>
      <c r="U42" s="903" t="str">
        <f>IF(ISBLANK('Saisie données file act.'!U61), "", 'Saisie données file act.'!U61)</f>
        <v/>
      </c>
      <c r="V42" s="903" t="str">
        <f>IF(ISBLANK('Saisie données file act.'!V61), "", 'Saisie données file act.'!V61)</f>
        <v/>
      </c>
      <c r="W42" s="903" t="str">
        <f>IF(ISBLANK('Saisie données file act.'!W61), "", 'Saisie données file act.'!W61)</f>
        <v/>
      </c>
      <c r="X42" s="903" t="str">
        <f>IF(ISBLANK('Saisie données file act.'!X61), "", 'Saisie données file act.'!X61)</f>
        <v/>
      </c>
      <c r="Y42" s="903" t="str">
        <f>IF(ISBLANK('Saisie données file act.'!Y61), "", 'Saisie données file act.'!Y61)</f>
        <v/>
      </c>
      <c r="Z42" s="903" t="str">
        <f>IF(ISBLANK('Saisie données file act.'!Z61), "", 'Saisie données file act.'!Z61)</f>
        <v/>
      </c>
      <c r="AA42" s="903" t="str">
        <f>IF(ISBLANK('Saisie données file act.'!AA61), "", 'Saisie données file act.'!AA61)</f>
        <v/>
      </c>
      <c r="AB42" s="903" t="str">
        <f>IF(ISBLANK('Saisie données file act.'!AB61), "", 'Saisie données file act.'!AB61)</f>
        <v/>
      </c>
      <c r="AC42" s="903" t="str">
        <f>IF(ISBLANK('Saisie données file act.'!AC61), "", 'Saisie données file act.'!AC61)</f>
        <v/>
      </c>
      <c r="AD42" s="903" t="str">
        <f>IF(ISBLANK('Saisie données file act.'!AD61), "", 'Saisie données file act.'!AD61)</f>
        <v/>
      </c>
      <c r="AE42" s="903" t="str">
        <f>IF(ISBLANK('Saisie données file act.'!AE61), "", 'Saisie données file act.'!AE61)</f>
        <v/>
      </c>
      <c r="AF42" s="903" t="str">
        <f>IF(ISBLANK('Saisie données file act.'!AF61), "", 'Saisie données file act.'!AF61)</f>
        <v/>
      </c>
      <c r="AG42" s="903" t="str">
        <f>IF(ISBLANK('Saisie données file act.'!AG61), "", 'Saisie données file act.'!AG61)</f>
        <v/>
      </c>
      <c r="AH42" s="903" t="str">
        <f>IF(ISBLANK('Saisie données file act.'!AH61), "", 'Saisie données file act.'!AH61)</f>
        <v/>
      </c>
      <c r="AI42" s="903" t="str">
        <f>IF(ISBLANK('Saisie données file act.'!AI61), "", 'Saisie données file act.'!AI61)</f>
        <v/>
      </c>
      <c r="AJ42" s="903" t="str">
        <f>IF(ISBLANK('Saisie données file act.'!AJ61), "", 'Saisie données file act.'!AJ61)</f>
        <v/>
      </c>
      <c r="AK42" s="903" t="str">
        <f>IF(ISBLANK('Saisie données file act.'!AK61), "", 'Saisie données file act.'!AK61)</f>
        <v/>
      </c>
      <c r="AL42" s="903" t="str">
        <f>IF(ISBLANK('Saisie données file act.'!AL61), "", 'Saisie données file act.'!AL61)</f>
        <v/>
      </c>
      <c r="AM42" s="903" t="str">
        <f>IF(ISBLANK('Saisie données file act.'!AM61), "", 'Saisie données file act.'!AM61)</f>
        <v/>
      </c>
      <c r="AN42" s="903" t="str">
        <f>IF(ISBLANK('Saisie données file act.'!AN61), "", 'Saisie données file act.'!AN61)</f>
        <v/>
      </c>
      <c r="AO42" s="903" t="str">
        <f>IF(ISBLANK('Saisie données file act.'!AO61), "", 'Saisie données file act.'!AO61)</f>
        <v/>
      </c>
      <c r="AP42" s="903" t="str">
        <f>IF(ISBLANK('Saisie données file act.'!AP61), "", 'Saisie données file act.'!AP61)</f>
        <v/>
      </c>
      <c r="AQ42" s="903" t="str">
        <f>IF(ISBLANK('Saisie données file act.'!AQ61), "", 'Saisie données file act.'!AQ61)</f>
        <v/>
      </c>
      <c r="AR42" s="903" t="str">
        <f>IF(ISBLANK('Saisie données file act.'!AR61), "", 'Saisie données file act.'!AR61)</f>
        <v/>
      </c>
      <c r="AS42" s="903" t="str">
        <f>IF(ISBLANK('Saisie données file act.'!AS61), "", 'Saisie données file act.'!AS61)</f>
        <v/>
      </c>
      <c r="AT42" s="903" t="str">
        <f>IF(ISBLANK('Saisie données file act.'!AT61), "", 'Saisie données file act.'!AT61)</f>
        <v/>
      </c>
      <c r="AU42" s="903" t="str">
        <f>IF(ISBLANK('Saisie données file act.'!AU61), "", 'Saisie données file act.'!AU61)</f>
        <v/>
      </c>
      <c r="AV42" s="909">
        <f>'Saisie données file act.'!E151</f>
        <v>0</v>
      </c>
      <c r="AW42" s="910"/>
      <c r="AX42" s="909">
        <f>'Saisie données file act.'!E293</f>
        <v>0</v>
      </c>
    </row>
    <row r="43" spans="3:50" s="895" customFormat="1" ht="14.25" thickBot="1" x14ac:dyDescent="0.3">
      <c r="C43" s="3258"/>
      <c r="D43" s="904">
        <f>'Saisie données file act.'!D62</f>
        <v>0</v>
      </c>
      <c r="E43" s="903" t="str">
        <f>IF(ISBLANK('Saisie données file act.'!E62), "", 'Saisie données file act.'!E62)</f>
        <v/>
      </c>
      <c r="F43" s="903" t="str">
        <f>IF(ISBLANK('Saisie données file act.'!F62), "", 'Saisie données file act.'!F62)</f>
        <v/>
      </c>
      <c r="G43" s="903" t="str">
        <f>IF(ISBLANK('Saisie données file act.'!G62), "", 'Saisie données file act.'!G62)</f>
        <v/>
      </c>
      <c r="H43" s="903" t="str">
        <f>IF(ISBLANK('Saisie données file act.'!H62), "", 'Saisie données file act.'!H62)</f>
        <v/>
      </c>
      <c r="I43" s="903" t="str">
        <f>IF(ISBLANK('Saisie données file act.'!I62), "", 'Saisie données file act.'!I62)</f>
        <v/>
      </c>
      <c r="J43" s="903" t="str">
        <f>IF(ISBLANK('Saisie données file act.'!J62), "", 'Saisie données file act.'!J62)</f>
        <v/>
      </c>
      <c r="K43" s="903" t="str">
        <f>IF(ISBLANK('Saisie données file act.'!K62), "", 'Saisie données file act.'!K62)</f>
        <v/>
      </c>
      <c r="L43" s="903" t="str">
        <f>IF(ISBLANK('Saisie données file act.'!L62), "", 'Saisie données file act.'!L62)</f>
        <v/>
      </c>
      <c r="M43" s="903" t="str">
        <f>IF(ISBLANK('Saisie données file act.'!M62), "", 'Saisie données file act.'!M62)</f>
        <v/>
      </c>
      <c r="N43" s="903" t="str">
        <f>IF(ISBLANK('Saisie données file act.'!N62), "", 'Saisie données file act.'!N62)</f>
        <v/>
      </c>
      <c r="O43" s="903" t="str">
        <f>IF(ISBLANK('Saisie données file act.'!O62), "", 'Saisie données file act.'!O62)</f>
        <v/>
      </c>
      <c r="P43" s="903" t="str">
        <f>IF(ISBLANK('Saisie données file act.'!P62), "", 'Saisie données file act.'!P62)</f>
        <v/>
      </c>
      <c r="Q43" s="903" t="str">
        <f>IF(ISBLANK('Saisie données file act.'!Q62), "", 'Saisie données file act.'!Q62)</f>
        <v/>
      </c>
      <c r="R43" s="903" t="str">
        <f>IF(ISBLANK('Saisie données file act.'!R62), "", 'Saisie données file act.'!R62)</f>
        <v/>
      </c>
      <c r="S43" s="903" t="str">
        <f>IF(ISBLANK('Saisie données file act.'!S62), "", 'Saisie données file act.'!S62)</f>
        <v/>
      </c>
      <c r="T43" s="903" t="str">
        <f>IF(ISBLANK('Saisie données file act.'!T62), "", 'Saisie données file act.'!T62)</f>
        <v/>
      </c>
      <c r="U43" s="903" t="str">
        <f>IF(ISBLANK('Saisie données file act.'!U62), "", 'Saisie données file act.'!U62)</f>
        <v/>
      </c>
      <c r="V43" s="903" t="str">
        <f>IF(ISBLANK('Saisie données file act.'!V62), "", 'Saisie données file act.'!V62)</f>
        <v/>
      </c>
      <c r="W43" s="903" t="str">
        <f>IF(ISBLANK('Saisie données file act.'!W62), "", 'Saisie données file act.'!W62)</f>
        <v/>
      </c>
      <c r="X43" s="903" t="str">
        <f>IF(ISBLANK('Saisie données file act.'!X62), "", 'Saisie données file act.'!X62)</f>
        <v/>
      </c>
      <c r="Y43" s="903" t="str">
        <f>IF(ISBLANK('Saisie données file act.'!Y62), "", 'Saisie données file act.'!Y62)</f>
        <v/>
      </c>
      <c r="Z43" s="903" t="str">
        <f>IF(ISBLANK('Saisie données file act.'!Z62), "", 'Saisie données file act.'!Z62)</f>
        <v/>
      </c>
      <c r="AA43" s="903" t="str">
        <f>IF(ISBLANK('Saisie données file act.'!AA62), "", 'Saisie données file act.'!AA62)</f>
        <v/>
      </c>
      <c r="AB43" s="903" t="str">
        <f>IF(ISBLANK('Saisie données file act.'!AB62), "", 'Saisie données file act.'!AB62)</f>
        <v/>
      </c>
      <c r="AC43" s="903" t="str">
        <f>IF(ISBLANK('Saisie données file act.'!AC62), "", 'Saisie données file act.'!AC62)</f>
        <v/>
      </c>
      <c r="AD43" s="903" t="str">
        <f>IF(ISBLANK('Saisie données file act.'!AD62), "", 'Saisie données file act.'!AD62)</f>
        <v/>
      </c>
      <c r="AE43" s="903" t="str">
        <f>IF(ISBLANK('Saisie données file act.'!AE62), "", 'Saisie données file act.'!AE62)</f>
        <v/>
      </c>
      <c r="AF43" s="903" t="str">
        <f>IF(ISBLANK('Saisie données file act.'!AF62), "", 'Saisie données file act.'!AF62)</f>
        <v/>
      </c>
      <c r="AG43" s="903" t="str">
        <f>IF(ISBLANK('Saisie données file act.'!AG62), "", 'Saisie données file act.'!AG62)</f>
        <v/>
      </c>
      <c r="AH43" s="903" t="str">
        <f>IF(ISBLANK('Saisie données file act.'!AH62), "", 'Saisie données file act.'!AH62)</f>
        <v/>
      </c>
      <c r="AI43" s="903" t="str">
        <f>IF(ISBLANK('Saisie données file act.'!AI62), "", 'Saisie données file act.'!AI62)</f>
        <v/>
      </c>
      <c r="AJ43" s="903" t="str">
        <f>IF(ISBLANK('Saisie données file act.'!AJ62), "", 'Saisie données file act.'!AJ62)</f>
        <v/>
      </c>
      <c r="AK43" s="903" t="str">
        <f>IF(ISBLANK('Saisie données file act.'!AK62), "", 'Saisie données file act.'!AK62)</f>
        <v/>
      </c>
      <c r="AL43" s="903" t="str">
        <f>IF(ISBLANK('Saisie données file act.'!AL62), "", 'Saisie données file act.'!AL62)</f>
        <v/>
      </c>
      <c r="AM43" s="903" t="str">
        <f>IF(ISBLANK('Saisie données file act.'!AM62), "", 'Saisie données file act.'!AM62)</f>
        <v/>
      </c>
      <c r="AN43" s="903" t="str">
        <f>IF(ISBLANK('Saisie données file act.'!AN62), "", 'Saisie données file act.'!AN62)</f>
        <v/>
      </c>
      <c r="AO43" s="903" t="str">
        <f>IF(ISBLANK('Saisie données file act.'!AO62), "", 'Saisie données file act.'!AO62)</f>
        <v/>
      </c>
      <c r="AP43" s="903" t="str">
        <f>IF(ISBLANK('Saisie données file act.'!AP62), "", 'Saisie données file act.'!AP62)</f>
        <v/>
      </c>
      <c r="AQ43" s="903" t="str">
        <f>IF(ISBLANK('Saisie données file act.'!AQ62), "", 'Saisie données file act.'!AQ62)</f>
        <v/>
      </c>
      <c r="AR43" s="903" t="str">
        <f>IF(ISBLANK('Saisie données file act.'!AR62), "", 'Saisie données file act.'!AR62)</f>
        <v/>
      </c>
      <c r="AS43" s="903" t="str">
        <f>IF(ISBLANK('Saisie données file act.'!AS62), "", 'Saisie données file act.'!AS62)</f>
        <v/>
      </c>
      <c r="AT43" s="903" t="str">
        <f>IF(ISBLANK('Saisie données file act.'!AT62), "", 'Saisie données file act.'!AT62)</f>
        <v/>
      </c>
      <c r="AU43" s="903" t="str">
        <f>IF(ISBLANK('Saisie données file act.'!AU62), "", 'Saisie données file act.'!AU62)</f>
        <v/>
      </c>
      <c r="AV43" s="909">
        <f>'Saisie données file act.'!E152</f>
        <v>0</v>
      </c>
      <c r="AW43" s="910"/>
      <c r="AX43" s="909">
        <f>'Saisie données file act.'!E294</f>
        <v>0</v>
      </c>
    </row>
    <row r="44" spans="3:50" s="895" customFormat="1" ht="14.25" thickBot="1" x14ac:dyDescent="0.3">
      <c r="C44" s="3258"/>
      <c r="D44" s="905">
        <f>'Saisie données file act.'!D63</f>
        <v>0</v>
      </c>
      <c r="E44" s="903" t="str">
        <f>IF(ISBLANK('Saisie données file act.'!E63), "", 'Saisie données file act.'!E63)</f>
        <v/>
      </c>
      <c r="F44" s="903" t="str">
        <f>IF(ISBLANK('Saisie données file act.'!F63), "", 'Saisie données file act.'!F63)</f>
        <v/>
      </c>
      <c r="G44" s="903" t="str">
        <f>IF(ISBLANK('Saisie données file act.'!G63), "", 'Saisie données file act.'!G63)</f>
        <v/>
      </c>
      <c r="H44" s="903" t="str">
        <f>IF(ISBLANK('Saisie données file act.'!H63), "", 'Saisie données file act.'!H63)</f>
        <v/>
      </c>
      <c r="I44" s="903" t="str">
        <f>IF(ISBLANK('Saisie données file act.'!I63), "", 'Saisie données file act.'!I63)</f>
        <v/>
      </c>
      <c r="J44" s="903" t="str">
        <f>IF(ISBLANK('Saisie données file act.'!J63), "", 'Saisie données file act.'!J63)</f>
        <v/>
      </c>
      <c r="K44" s="903" t="str">
        <f>IF(ISBLANK('Saisie données file act.'!K63), "", 'Saisie données file act.'!K63)</f>
        <v/>
      </c>
      <c r="L44" s="903" t="str">
        <f>IF(ISBLANK('Saisie données file act.'!L63), "", 'Saisie données file act.'!L63)</f>
        <v/>
      </c>
      <c r="M44" s="903" t="str">
        <f>IF(ISBLANK('Saisie données file act.'!M63), "", 'Saisie données file act.'!M63)</f>
        <v/>
      </c>
      <c r="N44" s="903" t="str">
        <f>IF(ISBLANK('Saisie données file act.'!N63), "", 'Saisie données file act.'!N63)</f>
        <v/>
      </c>
      <c r="O44" s="903" t="str">
        <f>IF(ISBLANK('Saisie données file act.'!O63), "", 'Saisie données file act.'!O63)</f>
        <v/>
      </c>
      <c r="P44" s="903" t="str">
        <f>IF(ISBLANK('Saisie données file act.'!P63), "", 'Saisie données file act.'!P63)</f>
        <v/>
      </c>
      <c r="Q44" s="903" t="str">
        <f>IF(ISBLANK('Saisie données file act.'!Q63), "", 'Saisie données file act.'!Q63)</f>
        <v/>
      </c>
      <c r="R44" s="903" t="str">
        <f>IF(ISBLANK('Saisie données file act.'!R63), "", 'Saisie données file act.'!R63)</f>
        <v/>
      </c>
      <c r="S44" s="903" t="str">
        <f>IF(ISBLANK('Saisie données file act.'!S63), "", 'Saisie données file act.'!S63)</f>
        <v/>
      </c>
      <c r="T44" s="903" t="str">
        <f>IF(ISBLANK('Saisie données file act.'!T63), "", 'Saisie données file act.'!T63)</f>
        <v/>
      </c>
      <c r="U44" s="903" t="str">
        <f>IF(ISBLANK('Saisie données file act.'!U63), "", 'Saisie données file act.'!U63)</f>
        <v/>
      </c>
      <c r="V44" s="903" t="str">
        <f>IF(ISBLANK('Saisie données file act.'!V63), "", 'Saisie données file act.'!V63)</f>
        <v/>
      </c>
      <c r="W44" s="903" t="str">
        <f>IF(ISBLANK('Saisie données file act.'!W63), "", 'Saisie données file act.'!W63)</f>
        <v/>
      </c>
      <c r="X44" s="903" t="str">
        <f>IF(ISBLANK('Saisie données file act.'!X63), "", 'Saisie données file act.'!X63)</f>
        <v/>
      </c>
      <c r="Y44" s="903" t="str">
        <f>IF(ISBLANK('Saisie données file act.'!Y63), "", 'Saisie données file act.'!Y63)</f>
        <v/>
      </c>
      <c r="Z44" s="903" t="str">
        <f>IF(ISBLANK('Saisie données file act.'!Z63), "", 'Saisie données file act.'!Z63)</f>
        <v/>
      </c>
      <c r="AA44" s="903" t="str">
        <f>IF(ISBLANK('Saisie données file act.'!AA63), "", 'Saisie données file act.'!AA63)</f>
        <v/>
      </c>
      <c r="AB44" s="903" t="str">
        <f>IF(ISBLANK('Saisie données file act.'!AB63), "", 'Saisie données file act.'!AB63)</f>
        <v/>
      </c>
      <c r="AC44" s="903" t="str">
        <f>IF(ISBLANK('Saisie données file act.'!AC63), "", 'Saisie données file act.'!AC63)</f>
        <v/>
      </c>
      <c r="AD44" s="903" t="str">
        <f>IF(ISBLANK('Saisie données file act.'!AD63), "", 'Saisie données file act.'!AD63)</f>
        <v/>
      </c>
      <c r="AE44" s="903" t="str">
        <f>IF(ISBLANK('Saisie données file act.'!AE63), "", 'Saisie données file act.'!AE63)</f>
        <v/>
      </c>
      <c r="AF44" s="903" t="str">
        <f>IF(ISBLANK('Saisie données file act.'!AF63), "", 'Saisie données file act.'!AF63)</f>
        <v/>
      </c>
      <c r="AG44" s="903" t="str">
        <f>IF(ISBLANK('Saisie données file act.'!AG63), "", 'Saisie données file act.'!AG63)</f>
        <v/>
      </c>
      <c r="AH44" s="903" t="str">
        <f>IF(ISBLANK('Saisie données file act.'!AH63), "", 'Saisie données file act.'!AH63)</f>
        <v/>
      </c>
      <c r="AI44" s="903" t="str">
        <f>IF(ISBLANK('Saisie données file act.'!AI63), "", 'Saisie données file act.'!AI63)</f>
        <v/>
      </c>
      <c r="AJ44" s="903" t="str">
        <f>IF(ISBLANK('Saisie données file act.'!AJ63), "", 'Saisie données file act.'!AJ63)</f>
        <v/>
      </c>
      <c r="AK44" s="903" t="str">
        <f>IF(ISBLANK('Saisie données file act.'!AK63), "", 'Saisie données file act.'!AK63)</f>
        <v/>
      </c>
      <c r="AL44" s="903" t="str">
        <f>IF(ISBLANK('Saisie données file act.'!AL63), "", 'Saisie données file act.'!AL63)</f>
        <v/>
      </c>
      <c r="AM44" s="903" t="str">
        <f>IF(ISBLANK('Saisie données file act.'!AM63), "", 'Saisie données file act.'!AM63)</f>
        <v/>
      </c>
      <c r="AN44" s="903" t="str">
        <f>IF(ISBLANK('Saisie données file act.'!AN63), "", 'Saisie données file act.'!AN63)</f>
        <v/>
      </c>
      <c r="AO44" s="903" t="str">
        <f>IF(ISBLANK('Saisie données file act.'!AO63), "", 'Saisie données file act.'!AO63)</f>
        <v/>
      </c>
      <c r="AP44" s="903" t="str">
        <f>IF(ISBLANK('Saisie données file act.'!AP63), "", 'Saisie données file act.'!AP63)</f>
        <v/>
      </c>
      <c r="AQ44" s="903" t="str">
        <f>IF(ISBLANK('Saisie données file act.'!AQ63), "", 'Saisie données file act.'!AQ63)</f>
        <v/>
      </c>
      <c r="AR44" s="903" t="str">
        <f>IF(ISBLANK('Saisie données file act.'!AR63), "", 'Saisie données file act.'!AR63)</f>
        <v/>
      </c>
      <c r="AS44" s="903" t="str">
        <f>IF(ISBLANK('Saisie données file act.'!AS63), "", 'Saisie données file act.'!AS63)</f>
        <v/>
      </c>
      <c r="AT44" s="903" t="str">
        <f>IF(ISBLANK('Saisie données file act.'!AT63), "", 'Saisie données file act.'!AT63)</f>
        <v/>
      </c>
      <c r="AU44" s="903" t="str">
        <f>IF(ISBLANK('Saisie données file act.'!AU63), "", 'Saisie données file act.'!AU63)</f>
        <v/>
      </c>
      <c r="AV44" s="909">
        <f>'Saisie données file act.'!E153</f>
        <v>0</v>
      </c>
      <c r="AW44" s="910"/>
      <c r="AX44" s="909">
        <f>'Saisie données file act.'!E295</f>
        <v>0</v>
      </c>
    </row>
    <row r="45" spans="3:50" s="895" customFormat="1" ht="14.25" thickBot="1" x14ac:dyDescent="0.3">
      <c r="C45" s="3258"/>
      <c r="D45" s="904">
        <f>'Saisie données file act.'!D64</f>
        <v>0</v>
      </c>
      <c r="E45" s="903" t="str">
        <f>IF(ISBLANK('Saisie données file act.'!E64), "", 'Saisie données file act.'!E64)</f>
        <v/>
      </c>
      <c r="F45" s="903" t="str">
        <f>IF(ISBLANK('Saisie données file act.'!F64), "", 'Saisie données file act.'!F64)</f>
        <v/>
      </c>
      <c r="G45" s="903" t="str">
        <f>IF(ISBLANK('Saisie données file act.'!G64), "", 'Saisie données file act.'!G64)</f>
        <v/>
      </c>
      <c r="H45" s="903" t="str">
        <f>IF(ISBLANK('Saisie données file act.'!H64), "", 'Saisie données file act.'!H64)</f>
        <v/>
      </c>
      <c r="I45" s="903" t="str">
        <f>IF(ISBLANK('Saisie données file act.'!I64), "", 'Saisie données file act.'!I64)</f>
        <v/>
      </c>
      <c r="J45" s="903" t="str">
        <f>IF(ISBLANK('Saisie données file act.'!J64), "", 'Saisie données file act.'!J64)</f>
        <v/>
      </c>
      <c r="K45" s="903" t="str">
        <f>IF(ISBLANK('Saisie données file act.'!K64), "", 'Saisie données file act.'!K64)</f>
        <v/>
      </c>
      <c r="L45" s="903" t="str">
        <f>IF(ISBLANK('Saisie données file act.'!L64), "", 'Saisie données file act.'!L64)</f>
        <v/>
      </c>
      <c r="M45" s="903" t="str">
        <f>IF(ISBLANK('Saisie données file act.'!M64), "", 'Saisie données file act.'!M64)</f>
        <v/>
      </c>
      <c r="N45" s="903" t="str">
        <f>IF(ISBLANK('Saisie données file act.'!N64), "", 'Saisie données file act.'!N64)</f>
        <v/>
      </c>
      <c r="O45" s="903" t="str">
        <f>IF(ISBLANK('Saisie données file act.'!O64), "", 'Saisie données file act.'!O64)</f>
        <v/>
      </c>
      <c r="P45" s="903" t="str">
        <f>IF(ISBLANK('Saisie données file act.'!P64), "", 'Saisie données file act.'!P64)</f>
        <v/>
      </c>
      <c r="Q45" s="903" t="str">
        <f>IF(ISBLANK('Saisie données file act.'!Q64), "", 'Saisie données file act.'!Q64)</f>
        <v/>
      </c>
      <c r="R45" s="903" t="str">
        <f>IF(ISBLANK('Saisie données file act.'!R64), "", 'Saisie données file act.'!R64)</f>
        <v/>
      </c>
      <c r="S45" s="903" t="str">
        <f>IF(ISBLANK('Saisie données file act.'!S64), "", 'Saisie données file act.'!S64)</f>
        <v/>
      </c>
      <c r="T45" s="903" t="str">
        <f>IF(ISBLANK('Saisie données file act.'!T64), "", 'Saisie données file act.'!T64)</f>
        <v/>
      </c>
      <c r="U45" s="903" t="str">
        <f>IF(ISBLANK('Saisie données file act.'!U64), "", 'Saisie données file act.'!U64)</f>
        <v/>
      </c>
      <c r="V45" s="903" t="str">
        <f>IF(ISBLANK('Saisie données file act.'!V64), "", 'Saisie données file act.'!V64)</f>
        <v/>
      </c>
      <c r="W45" s="903" t="str">
        <f>IF(ISBLANK('Saisie données file act.'!W64), "", 'Saisie données file act.'!W64)</f>
        <v/>
      </c>
      <c r="X45" s="903" t="str">
        <f>IF(ISBLANK('Saisie données file act.'!X64), "", 'Saisie données file act.'!X64)</f>
        <v/>
      </c>
      <c r="Y45" s="903" t="str">
        <f>IF(ISBLANK('Saisie données file act.'!Y64), "", 'Saisie données file act.'!Y64)</f>
        <v/>
      </c>
      <c r="Z45" s="903" t="str">
        <f>IF(ISBLANK('Saisie données file act.'!Z64), "", 'Saisie données file act.'!Z64)</f>
        <v/>
      </c>
      <c r="AA45" s="903" t="str">
        <f>IF(ISBLANK('Saisie données file act.'!AA64), "", 'Saisie données file act.'!AA64)</f>
        <v/>
      </c>
      <c r="AB45" s="903" t="str">
        <f>IF(ISBLANK('Saisie données file act.'!AB64), "", 'Saisie données file act.'!AB64)</f>
        <v/>
      </c>
      <c r="AC45" s="903" t="str">
        <f>IF(ISBLANK('Saisie données file act.'!AC64), "", 'Saisie données file act.'!AC64)</f>
        <v/>
      </c>
      <c r="AD45" s="903" t="str">
        <f>IF(ISBLANK('Saisie données file act.'!AD64), "", 'Saisie données file act.'!AD64)</f>
        <v/>
      </c>
      <c r="AE45" s="903" t="str">
        <f>IF(ISBLANK('Saisie données file act.'!AE64), "", 'Saisie données file act.'!AE64)</f>
        <v/>
      </c>
      <c r="AF45" s="903" t="str">
        <f>IF(ISBLANK('Saisie données file act.'!AF64), "", 'Saisie données file act.'!AF64)</f>
        <v/>
      </c>
      <c r="AG45" s="903" t="str">
        <f>IF(ISBLANK('Saisie données file act.'!AG64), "", 'Saisie données file act.'!AG64)</f>
        <v/>
      </c>
      <c r="AH45" s="903" t="str">
        <f>IF(ISBLANK('Saisie données file act.'!AH64), "", 'Saisie données file act.'!AH64)</f>
        <v/>
      </c>
      <c r="AI45" s="903" t="str">
        <f>IF(ISBLANK('Saisie données file act.'!AI64), "", 'Saisie données file act.'!AI64)</f>
        <v/>
      </c>
      <c r="AJ45" s="903" t="str">
        <f>IF(ISBLANK('Saisie données file act.'!AJ64), "", 'Saisie données file act.'!AJ64)</f>
        <v/>
      </c>
      <c r="AK45" s="903" t="str">
        <f>IF(ISBLANK('Saisie données file act.'!AK64), "", 'Saisie données file act.'!AK64)</f>
        <v/>
      </c>
      <c r="AL45" s="903" t="str">
        <f>IF(ISBLANK('Saisie données file act.'!AL64), "", 'Saisie données file act.'!AL64)</f>
        <v/>
      </c>
      <c r="AM45" s="903" t="str">
        <f>IF(ISBLANK('Saisie données file act.'!AM64), "", 'Saisie données file act.'!AM64)</f>
        <v/>
      </c>
      <c r="AN45" s="903" t="str">
        <f>IF(ISBLANK('Saisie données file act.'!AN64), "", 'Saisie données file act.'!AN64)</f>
        <v/>
      </c>
      <c r="AO45" s="903" t="str">
        <f>IF(ISBLANK('Saisie données file act.'!AO64), "", 'Saisie données file act.'!AO64)</f>
        <v/>
      </c>
      <c r="AP45" s="903" t="str">
        <f>IF(ISBLANK('Saisie données file act.'!AP64), "", 'Saisie données file act.'!AP64)</f>
        <v/>
      </c>
      <c r="AQ45" s="903" t="str">
        <f>IF(ISBLANK('Saisie données file act.'!AQ64), "", 'Saisie données file act.'!AQ64)</f>
        <v/>
      </c>
      <c r="AR45" s="903" t="str">
        <f>IF(ISBLANK('Saisie données file act.'!AR64), "", 'Saisie données file act.'!AR64)</f>
        <v/>
      </c>
      <c r="AS45" s="903" t="str">
        <f>IF(ISBLANK('Saisie données file act.'!AS64), "", 'Saisie données file act.'!AS64)</f>
        <v/>
      </c>
      <c r="AT45" s="903" t="str">
        <f>IF(ISBLANK('Saisie données file act.'!AT64), "", 'Saisie données file act.'!AT64)</f>
        <v/>
      </c>
      <c r="AU45" s="903" t="str">
        <f>IF(ISBLANK('Saisie données file act.'!AU64), "", 'Saisie données file act.'!AU64)</f>
        <v/>
      </c>
      <c r="AV45" s="909">
        <f>'Saisie données file act.'!E154</f>
        <v>0</v>
      </c>
      <c r="AW45" s="910"/>
      <c r="AX45" s="909">
        <f>'Saisie données file act.'!E296</f>
        <v>0</v>
      </c>
    </row>
    <row r="46" spans="3:50" s="895" customFormat="1" ht="14.25" thickBot="1" x14ac:dyDescent="0.3">
      <c r="C46" s="3258"/>
      <c r="D46" s="905">
        <f>'Saisie données file act.'!D65</f>
        <v>0</v>
      </c>
      <c r="E46" s="903" t="str">
        <f>IF(ISBLANK('Saisie données file act.'!E65), "", 'Saisie données file act.'!E65)</f>
        <v/>
      </c>
      <c r="F46" s="903" t="str">
        <f>IF(ISBLANK('Saisie données file act.'!F65), "", 'Saisie données file act.'!F65)</f>
        <v/>
      </c>
      <c r="G46" s="903" t="str">
        <f>IF(ISBLANK('Saisie données file act.'!G65), "", 'Saisie données file act.'!G65)</f>
        <v/>
      </c>
      <c r="H46" s="903" t="str">
        <f>IF(ISBLANK('Saisie données file act.'!H65), "", 'Saisie données file act.'!H65)</f>
        <v/>
      </c>
      <c r="I46" s="903" t="str">
        <f>IF(ISBLANK('Saisie données file act.'!I65), "", 'Saisie données file act.'!I65)</f>
        <v/>
      </c>
      <c r="J46" s="903" t="str">
        <f>IF(ISBLANK('Saisie données file act.'!J65), "", 'Saisie données file act.'!J65)</f>
        <v/>
      </c>
      <c r="K46" s="903" t="str">
        <f>IF(ISBLANK('Saisie données file act.'!K65), "", 'Saisie données file act.'!K65)</f>
        <v/>
      </c>
      <c r="L46" s="903" t="str">
        <f>IF(ISBLANK('Saisie données file act.'!L65), "", 'Saisie données file act.'!L65)</f>
        <v/>
      </c>
      <c r="M46" s="903" t="str">
        <f>IF(ISBLANK('Saisie données file act.'!M65), "", 'Saisie données file act.'!M65)</f>
        <v/>
      </c>
      <c r="N46" s="903" t="str">
        <f>IF(ISBLANK('Saisie données file act.'!N65), "", 'Saisie données file act.'!N65)</f>
        <v/>
      </c>
      <c r="O46" s="903" t="str">
        <f>IF(ISBLANK('Saisie données file act.'!O65), "", 'Saisie données file act.'!O65)</f>
        <v/>
      </c>
      <c r="P46" s="903" t="str">
        <f>IF(ISBLANK('Saisie données file act.'!P65), "", 'Saisie données file act.'!P65)</f>
        <v/>
      </c>
      <c r="Q46" s="903" t="str">
        <f>IF(ISBLANK('Saisie données file act.'!Q65), "", 'Saisie données file act.'!Q65)</f>
        <v/>
      </c>
      <c r="R46" s="903" t="str">
        <f>IF(ISBLANK('Saisie données file act.'!R65), "", 'Saisie données file act.'!R65)</f>
        <v/>
      </c>
      <c r="S46" s="903" t="str">
        <f>IF(ISBLANK('Saisie données file act.'!S65), "", 'Saisie données file act.'!S65)</f>
        <v/>
      </c>
      <c r="T46" s="903" t="str">
        <f>IF(ISBLANK('Saisie données file act.'!T65), "", 'Saisie données file act.'!T65)</f>
        <v/>
      </c>
      <c r="U46" s="903" t="str">
        <f>IF(ISBLANK('Saisie données file act.'!U65), "", 'Saisie données file act.'!U65)</f>
        <v/>
      </c>
      <c r="V46" s="903" t="str">
        <f>IF(ISBLANK('Saisie données file act.'!V65), "", 'Saisie données file act.'!V65)</f>
        <v/>
      </c>
      <c r="W46" s="903" t="str">
        <f>IF(ISBLANK('Saisie données file act.'!W65), "", 'Saisie données file act.'!W65)</f>
        <v/>
      </c>
      <c r="X46" s="903" t="str">
        <f>IF(ISBLANK('Saisie données file act.'!X65), "", 'Saisie données file act.'!X65)</f>
        <v/>
      </c>
      <c r="Y46" s="903" t="str">
        <f>IF(ISBLANK('Saisie données file act.'!Y65), "", 'Saisie données file act.'!Y65)</f>
        <v/>
      </c>
      <c r="Z46" s="903" t="str">
        <f>IF(ISBLANK('Saisie données file act.'!Z65), "", 'Saisie données file act.'!Z65)</f>
        <v/>
      </c>
      <c r="AA46" s="903" t="str">
        <f>IF(ISBLANK('Saisie données file act.'!AA65), "", 'Saisie données file act.'!AA65)</f>
        <v/>
      </c>
      <c r="AB46" s="903" t="str">
        <f>IF(ISBLANK('Saisie données file act.'!AB65), "", 'Saisie données file act.'!AB65)</f>
        <v/>
      </c>
      <c r="AC46" s="903" t="str">
        <f>IF(ISBLANK('Saisie données file act.'!AC65), "", 'Saisie données file act.'!AC65)</f>
        <v/>
      </c>
      <c r="AD46" s="903" t="str">
        <f>IF(ISBLANK('Saisie données file act.'!AD65), "", 'Saisie données file act.'!AD65)</f>
        <v/>
      </c>
      <c r="AE46" s="903" t="str">
        <f>IF(ISBLANK('Saisie données file act.'!AE65), "", 'Saisie données file act.'!AE65)</f>
        <v/>
      </c>
      <c r="AF46" s="903" t="str">
        <f>IF(ISBLANK('Saisie données file act.'!AF65), "", 'Saisie données file act.'!AF65)</f>
        <v/>
      </c>
      <c r="AG46" s="903" t="str">
        <f>IF(ISBLANK('Saisie données file act.'!AG65), "", 'Saisie données file act.'!AG65)</f>
        <v/>
      </c>
      <c r="AH46" s="903" t="str">
        <f>IF(ISBLANK('Saisie données file act.'!AH65), "", 'Saisie données file act.'!AH65)</f>
        <v/>
      </c>
      <c r="AI46" s="903" t="str">
        <f>IF(ISBLANK('Saisie données file act.'!AI65), "", 'Saisie données file act.'!AI65)</f>
        <v/>
      </c>
      <c r="AJ46" s="903" t="str">
        <f>IF(ISBLANK('Saisie données file act.'!AJ65), "", 'Saisie données file act.'!AJ65)</f>
        <v/>
      </c>
      <c r="AK46" s="903" t="str">
        <f>IF(ISBLANK('Saisie données file act.'!AK65), "", 'Saisie données file act.'!AK65)</f>
        <v/>
      </c>
      <c r="AL46" s="903" t="str">
        <f>IF(ISBLANK('Saisie données file act.'!AL65), "", 'Saisie données file act.'!AL65)</f>
        <v/>
      </c>
      <c r="AM46" s="903" t="str">
        <f>IF(ISBLANK('Saisie données file act.'!AM65), "", 'Saisie données file act.'!AM65)</f>
        <v/>
      </c>
      <c r="AN46" s="903" t="str">
        <f>IF(ISBLANK('Saisie données file act.'!AN65), "", 'Saisie données file act.'!AN65)</f>
        <v/>
      </c>
      <c r="AO46" s="903" t="str">
        <f>IF(ISBLANK('Saisie données file act.'!AO65), "", 'Saisie données file act.'!AO65)</f>
        <v/>
      </c>
      <c r="AP46" s="903" t="str">
        <f>IF(ISBLANK('Saisie données file act.'!AP65), "", 'Saisie données file act.'!AP65)</f>
        <v/>
      </c>
      <c r="AQ46" s="903" t="str">
        <f>IF(ISBLANK('Saisie données file act.'!AQ65), "", 'Saisie données file act.'!AQ65)</f>
        <v/>
      </c>
      <c r="AR46" s="903" t="str">
        <f>IF(ISBLANK('Saisie données file act.'!AR65), "", 'Saisie données file act.'!AR65)</f>
        <v/>
      </c>
      <c r="AS46" s="903" t="str">
        <f>IF(ISBLANK('Saisie données file act.'!AS65), "", 'Saisie données file act.'!AS65)</f>
        <v/>
      </c>
      <c r="AT46" s="903" t="str">
        <f>IF(ISBLANK('Saisie données file act.'!AT65), "", 'Saisie données file act.'!AT65)</f>
        <v/>
      </c>
      <c r="AU46" s="903" t="str">
        <f>IF(ISBLANK('Saisie données file act.'!AU65), "", 'Saisie données file act.'!AU65)</f>
        <v/>
      </c>
      <c r="AV46" s="909">
        <f>'Saisie données file act.'!E155</f>
        <v>0</v>
      </c>
      <c r="AW46" s="910"/>
      <c r="AX46" s="909">
        <f>'Saisie données file act.'!E297</f>
        <v>0</v>
      </c>
    </row>
    <row r="47" spans="3:50" s="895" customFormat="1" ht="14.25" thickBot="1" x14ac:dyDescent="0.3">
      <c r="C47" s="3258"/>
      <c r="D47" s="904">
        <f>'Saisie données file act.'!D66</f>
        <v>0</v>
      </c>
      <c r="E47" s="903" t="str">
        <f>IF(ISBLANK('Saisie données file act.'!E66), "", 'Saisie données file act.'!E66)</f>
        <v/>
      </c>
      <c r="F47" s="903" t="str">
        <f>IF(ISBLANK('Saisie données file act.'!F66), "", 'Saisie données file act.'!F66)</f>
        <v/>
      </c>
      <c r="G47" s="903" t="str">
        <f>IF(ISBLANK('Saisie données file act.'!G66), "", 'Saisie données file act.'!G66)</f>
        <v/>
      </c>
      <c r="H47" s="903" t="str">
        <f>IF(ISBLANK('Saisie données file act.'!H66), "", 'Saisie données file act.'!H66)</f>
        <v/>
      </c>
      <c r="I47" s="903" t="str">
        <f>IF(ISBLANK('Saisie données file act.'!I66), "", 'Saisie données file act.'!I66)</f>
        <v/>
      </c>
      <c r="J47" s="903" t="str">
        <f>IF(ISBLANK('Saisie données file act.'!J66), "", 'Saisie données file act.'!J66)</f>
        <v/>
      </c>
      <c r="K47" s="903" t="str">
        <f>IF(ISBLANK('Saisie données file act.'!K66), "", 'Saisie données file act.'!K66)</f>
        <v/>
      </c>
      <c r="L47" s="903" t="str">
        <f>IF(ISBLANK('Saisie données file act.'!L66), "", 'Saisie données file act.'!L66)</f>
        <v/>
      </c>
      <c r="M47" s="903" t="str">
        <f>IF(ISBLANK('Saisie données file act.'!M66), "", 'Saisie données file act.'!M66)</f>
        <v/>
      </c>
      <c r="N47" s="903" t="str">
        <f>IF(ISBLANK('Saisie données file act.'!N66), "", 'Saisie données file act.'!N66)</f>
        <v/>
      </c>
      <c r="O47" s="903" t="str">
        <f>IF(ISBLANK('Saisie données file act.'!O66), "", 'Saisie données file act.'!O66)</f>
        <v/>
      </c>
      <c r="P47" s="903" t="str">
        <f>IF(ISBLANK('Saisie données file act.'!P66), "", 'Saisie données file act.'!P66)</f>
        <v/>
      </c>
      <c r="Q47" s="903" t="str">
        <f>IF(ISBLANK('Saisie données file act.'!Q66), "", 'Saisie données file act.'!Q66)</f>
        <v/>
      </c>
      <c r="R47" s="903" t="str">
        <f>IF(ISBLANK('Saisie données file act.'!R66), "", 'Saisie données file act.'!R66)</f>
        <v/>
      </c>
      <c r="S47" s="903" t="str">
        <f>IF(ISBLANK('Saisie données file act.'!S66), "", 'Saisie données file act.'!S66)</f>
        <v/>
      </c>
      <c r="T47" s="903" t="str">
        <f>IF(ISBLANK('Saisie données file act.'!T66), "", 'Saisie données file act.'!T66)</f>
        <v/>
      </c>
      <c r="U47" s="903" t="str">
        <f>IF(ISBLANK('Saisie données file act.'!U66), "", 'Saisie données file act.'!U66)</f>
        <v/>
      </c>
      <c r="V47" s="903" t="str">
        <f>IF(ISBLANK('Saisie données file act.'!V66), "", 'Saisie données file act.'!V66)</f>
        <v/>
      </c>
      <c r="W47" s="903" t="str">
        <f>IF(ISBLANK('Saisie données file act.'!W66), "", 'Saisie données file act.'!W66)</f>
        <v/>
      </c>
      <c r="X47" s="903" t="str">
        <f>IF(ISBLANK('Saisie données file act.'!X66), "", 'Saisie données file act.'!X66)</f>
        <v/>
      </c>
      <c r="Y47" s="903" t="str">
        <f>IF(ISBLANK('Saisie données file act.'!Y66), "", 'Saisie données file act.'!Y66)</f>
        <v/>
      </c>
      <c r="Z47" s="903" t="str">
        <f>IF(ISBLANK('Saisie données file act.'!Z66), "", 'Saisie données file act.'!Z66)</f>
        <v/>
      </c>
      <c r="AA47" s="903" t="str">
        <f>IF(ISBLANK('Saisie données file act.'!AA66), "", 'Saisie données file act.'!AA66)</f>
        <v/>
      </c>
      <c r="AB47" s="903" t="str">
        <f>IF(ISBLANK('Saisie données file act.'!AB66), "", 'Saisie données file act.'!AB66)</f>
        <v/>
      </c>
      <c r="AC47" s="903" t="str">
        <f>IF(ISBLANK('Saisie données file act.'!AC66), "", 'Saisie données file act.'!AC66)</f>
        <v/>
      </c>
      <c r="AD47" s="903" t="str">
        <f>IF(ISBLANK('Saisie données file act.'!AD66), "", 'Saisie données file act.'!AD66)</f>
        <v/>
      </c>
      <c r="AE47" s="903" t="str">
        <f>IF(ISBLANK('Saisie données file act.'!AE66), "", 'Saisie données file act.'!AE66)</f>
        <v/>
      </c>
      <c r="AF47" s="903" t="str">
        <f>IF(ISBLANK('Saisie données file act.'!AF66), "", 'Saisie données file act.'!AF66)</f>
        <v/>
      </c>
      <c r="AG47" s="903" t="str">
        <f>IF(ISBLANK('Saisie données file act.'!AG66), "", 'Saisie données file act.'!AG66)</f>
        <v/>
      </c>
      <c r="AH47" s="903" t="str">
        <f>IF(ISBLANK('Saisie données file act.'!AH66), "", 'Saisie données file act.'!AH66)</f>
        <v/>
      </c>
      <c r="AI47" s="903" t="str">
        <f>IF(ISBLANK('Saisie données file act.'!AI66), "", 'Saisie données file act.'!AI66)</f>
        <v/>
      </c>
      <c r="AJ47" s="903" t="str">
        <f>IF(ISBLANK('Saisie données file act.'!AJ66), "", 'Saisie données file act.'!AJ66)</f>
        <v/>
      </c>
      <c r="AK47" s="903" t="str">
        <f>IF(ISBLANK('Saisie données file act.'!AK66), "", 'Saisie données file act.'!AK66)</f>
        <v/>
      </c>
      <c r="AL47" s="903" t="str">
        <f>IF(ISBLANK('Saisie données file act.'!AL66), "", 'Saisie données file act.'!AL66)</f>
        <v/>
      </c>
      <c r="AM47" s="903" t="str">
        <f>IF(ISBLANK('Saisie données file act.'!AM66), "", 'Saisie données file act.'!AM66)</f>
        <v/>
      </c>
      <c r="AN47" s="903" t="str">
        <f>IF(ISBLANK('Saisie données file act.'!AN66), "", 'Saisie données file act.'!AN66)</f>
        <v/>
      </c>
      <c r="AO47" s="903" t="str">
        <f>IF(ISBLANK('Saisie données file act.'!AO66), "", 'Saisie données file act.'!AO66)</f>
        <v/>
      </c>
      <c r="AP47" s="903" t="str">
        <f>IF(ISBLANK('Saisie données file act.'!AP66), "", 'Saisie données file act.'!AP66)</f>
        <v/>
      </c>
      <c r="AQ47" s="903" t="str">
        <f>IF(ISBLANK('Saisie données file act.'!AQ66), "", 'Saisie données file act.'!AQ66)</f>
        <v/>
      </c>
      <c r="AR47" s="903" t="str">
        <f>IF(ISBLANK('Saisie données file act.'!AR66), "", 'Saisie données file act.'!AR66)</f>
        <v/>
      </c>
      <c r="AS47" s="903" t="str">
        <f>IF(ISBLANK('Saisie données file act.'!AS66), "", 'Saisie données file act.'!AS66)</f>
        <v/>
      </c>
      <c r="AT47" s="903" t="str">
        <f>IF(ISBLANK('Saisie données file act.'!AT66), "", 'Saisie données file act.'!AT66)</f>
        <v/>
      </c>
      <c r="AU47" s="903" t="str">
        <f>IF(ISBLANK('Saisie données file act.'!AU66), "", 'Saisie données file act.'!AU66)</f>
        <v/>
      </c>
      <c r="AV47" s="909">
        <f>'Saisie données file act.'!E156</f>
        <v>0</v>
      </c>
      <c r="AW47" s="910"/>
      <c r="AX47" s="909">
        <f>'Saisie données file act.'!E298</f>
        <v>0</v>
      </c>
    </row>
    <row r="48" spans="3:50" s="895" customFormat="1" ht="14.25" thickBot="1" x14ac:dyDescent="0.3">
      <c r="C48" s="3258"/>
      <c r="D48" s="905">
        <f>'Saisie données file act.'!D67</f>
        <v>0</v>
      </c>
      <c r="E48" s="903" t="str">
        <f>IF(ISBLANK('Saisie données file act.'!E67), "", 'Saisie données file act.'!E67)</f>
        <v/>
      </c>
      <c r="F48" s="903" t="str">
        <f>IF(ISBLANK('Saisie données file act.'!F67), "", 'Saisie données file act.'!F67)</f>
        <v/>
      </c>
      <c r="G48" s="903" t="str">
        <f>IF(ISBLANK('Saisie données file act.'!G67), "", 'Saisie données file act.'!G67)</f>
        <v/>
      </c>
      <c r="H48" s="903" t="str">
        <f>IF(ISBLANK('Saisie données file act.'!H67), "", 'Saisie données file act.'!H67)</f>
        <v/>
      </c>
      <c r="I48" s="903" t="str">
        <f>IF(ISBLANK('Saisie données file act.'!I67), "", 'Saisie données file act.'!I67)</f>
        <v/>
      </c>
      <c r="J48" s="903" t="str">
        <f>IF(ISBLANK('Saisie données file act.'!J67), "", 'Saisie données file act.'!J67)</f>
        <v/>
      </c>
      <c r="K48" s="903" t="str">
        <f>IF(ISBLANK('Saisie données file act.'!K67), "", 'Saisie données file act.'!K67)</f>
        <v/>
      </c>
      <c r="L48" s="903" t="str">
        <f>IF(ISBLANK('Saisie données file act.'!L67), "", 'Saisie données file act.'!L67)</f>
        <v/>
      </c>
      <c r="M48" s="903" t="str">
        <f>IF(ISBLANK('Saisie données file act.'!M67), "", 'Saisie données file act.'!M67)</f>
        <v/>
      </c>
      <c r="N48" s="903" t="str">
        <f>IF(ISBLANK('Saisie données file act.'!N67), "", 'Saisie données file act.'!N67)</f>
        <v/>
      </c>
      <c r="O48" s="903" t="str">
        <f>IF(ISBLANK('Saisie données file act.'!O67), "", 'Saisie données file act.'!O67)</f>
        <v/>
      </c>
      <c r="P48" s="903" t="str">
        <f>IF(ISBLANK('Saisie données file act.'!P67), "", 'Saisie données file act.'!P67)</f>
        <v/>
      </c>
      <c r="Q48" s="903" t="str">
        <f>IF(ISBLANK('Saisie données file act.'!Q67), "", 'Saisie données file act.'!Q67)</f>
        <v/>
      </c>
      <c r="R48" s="903" t="str">
        <f>IF(ISBLANK('Saisie données file act.'!R67), "", 'Saisie données file act.'!R67)</f>
        <v/>
      </c>
      <c r="S48" s="903" t="str">
        <f>IF(ISBLANK('Saisie données file act.'!S67), "", 'Saisie données file act.'!S67)</f>
        <v/>
      </c>
      <c r="T48" s="903" t="str">
        <f>IF(ISBLANK('Saisie données file act.'!T67), "", 'Saisie données file act.'!T67)</f>
        <v/>
      </c>
      <c r="U48" s="903" t="str">
        <f>IF(ISBLANK('Saisie données file act.'!U67), "", 'Saisie données file act.'!U67)</f>
        <v/>
      </c>
      <c r="V48" s="903" t="str">
        <f>IF(ISBLANK('Saisie données file act.'!V67), "", 'Saisie données file act.'!V67)</f>
        <v/>
      </c>
      <c r="W48" s="903" t="str">
        <f>IF(ISBLANK('Saisie données file act.'!W67), "", 'Saisie données file act.'!W67)</f>
        <v/>
      </c>
      <c r="X48" s="903" t="str">
        <f>IF(ISBLANK('Saisie données file act.'!X67), "", 'Saisie données file act.'!X67)</f>
        <v/>
      </c>
      <c r="Y48" s="903" t="str">
        <f>IF(ISBLANK('Saisie données file act.'!Y67), "", 'Saisie données file act.'!Y67)</f>
        <v/>
      </c>
      <c r="Z48" s="903" t="str">
        <f>IF(ISBLANK('Saisie données file act.'!Z67), "", 'Saisie données file act.'!Z67)</f>
        <v/>
      </c>
      <c r="AA48" s="903" t="str">
        <f>IF(ISBLANK('Saisie données file act.'!AA67), "", 'Saisie données file act.'!AA67)</f>
        <v/>
      </c>
      <c r="AB48" s="903" t="str">
        <f>IF(ISBLANK('Saisie données file act.'!AB67), "", 'Saisie données file act.'!AB67)</f>
        <v/>
      </c>
      <c r="AC48" s="903" t="str">
        <f>IF(ISBLANK('Saisie données file act.'!AC67), "", 'Saisie données file act.'!AC67)</f>
        <v/>
      </c>
      <c r="AD48" s="903" t="str">
        <f>IF(ISBLANK('Saisie données file act.'!AD67), "", 'Saisie données file act.'!AD67)</f>
        <v/>
      </c>
      <c r="AE48" s="903" t="str">
        <f>IF(ISBLANK('Saisie données file act.'!AE67), "", 'Saisie données file act.'!AE67)</f>
        <v/>
      </c>
      <c r="AF48" s="903" t="str">
        <f>IF(ISBLANK('Saisie données file act.'!AF67), "", 'Saisie données file act.'!AF67)</f>
        <v/>
      </c>
      <c r="AG48" s="903" t="str">
        <f>IF(ISBLANK('Saisie données file act.'!AG67), "", 'Saisie données file act.'!AG67)</f>
        <v/>
      </c>
      <c r="AH48" s="903" t="str">
        <f>IF(ISBLANK('Saisie données file act.'!AH67), "", 'Saisie données file act.'!AH67)</f>
        <v/>
      </c>
      <c r="AI48" s="903" t="str">
        <f>IF(ISBLANK('Saisie données file act.'!AI67), "", 'Saisie données file act.'!AI67)</f>
        <v/>
      </c>
      <c r="AJ48" s="903" t="str">
        <f>IF(ISBLANK('Saisie données file act.'!AJ67), "", 'Saisie données file act.'!AJ67)</f>
        <v/>
      </c>
      <c r="AK48" s="903" t="str">
        <f>IF(ISBLANK('Saisie données file act.'!AK67), "", 'Saisie données file act.'!AK67)</f>
        <v/>
      </c>
      <c r="AL48" s="903" t="str">
        <f>IF(ISBLANK('Saisie données file act.'!AL67), "", 'Saisie données file act.'!AL67)</f>
        <v/>
      </c>
      <c r="AM48" s="903" t="str">
        <f>IF(ISBLANK('Saisie données file act.'!AM67), "", 'Saisie données file act.'!AM67)</f>
        <v/>
      </c>
      <c r="AN48" s="903" t="str">
        <f>IF(ISBLANK('Saisie données file act.'!AN67), "", 'Saisie données file act.'!AN67)</f>
        <v/>
      </c>
      <c r="AO48" s="903" t="str">
        <f>IF(ISBLANK('Saisie données file act.'!AO67), "", 'Saisie données file act.'!AO67)</f>
        <v/>
      </c>
      <c r="AP48" s="903" t="str">
        <f>IF(ISBLANK('Saisie données file act.'!AP67), "", 'Saisie données file act.'!AP67)</f>
        <v/>
      </c>
      <c r="AQ48" s="903" t="str">
        <f>IF(ISBLANK('Saisie données file act.'!AQ67), "", 'Saisie données file act.'!AQ67)</f>
        <v/>
      </c>
      <c r="AR48" s="903" t="str">
        <f>IF(ISBLANK('Saisie données file act.'!AR67), "", 'Saisie données file act.'!AR67)</f>
        <v/>
      </c>
      <c r="AS48" s="903" t="str">
        <f>IF(ISBLANK('Saisie données file act.'!AS67), "", 'Saisie données file act.'!AS67)</f>
        <v/>
      </c>
      <c r="AT48" s="903" t="str">
        <f>IF(ISBLANK('Saisie données file act.'!AT67), "", 'Saisie données file act.'!AT67)</f>
        <v/>
      </c>
      <c r="AU48" s="903" t="str">
        <f>IF(ISBLANK('Saisie données file act.'!AU67), "", 'Saisie données file act.'!AU67)</f>
        <v/>
      </c>
      <c r="AV48" s="909">
        <f>'Saisie données file act.'!E157</f>
        <v>0</v>
      </c>
      <c r="AW48" s="910"/>
      <c r="AX48" s="909">
        <f>'Saisie données file act.'!E299</f>
        <v>0</v>
      </c>
    </row>
    <row r="49" spans="3:50" s="895" customFormat="1" ht="14.25" thickBot="1" x14ac:dyDescent="0.3">
      <c r="C49" s="3258"/>
      <c r="D49" s="905">
        <f>'Saisie données file act.'!D68</f>
        <v>0</v>
      </c>
      <c r="E49" s="903" t="str">
        <f>IF(ISBLANK('Saisie données file act.'!E68), "", 'Saisie données file act.'!E68)</f>
        <v/>
      </c>
      <c r="F49" s="903" t="str">
        <f>IF(ISBLANK('Saisie données file act.'!F68), "", 'Saisie données file act.'!F68)</f>
        <v/>
      </c>
      <c r="G49" s="903" t="str">
        <f>IF(ISBLANK('Saisie données file act.'!G68), "", 'Saisie données file act.'!G68)</f>
        <v/>
      </c>
      <c r="H49" s="903" t="str">
        <f>IF(ISBLANK('Saisie données file act.'!H68), "", 'Saisie données file act.'!H68)</f>
        <v/>
      </c>
      <c r="I49" s="903" t="str">
        <f>IF(ISBLANK('Saisie données file act.'!I68), "", 'Saisie données file act.'!I68)</f>
        <v/>
      </c>
      <c r="J49" s="903" t="str">
        <f>IF(ISBLANK('Saisie données file act.'!J68), "", 'Saisie données file act.'!J68)</f>
        <v/>
      </c>
      <c r="K49" s="903" t="str">
        <f>IF(ISBLANK('Saisie données file act.'!K68), "", 'Saisie données file act.'!K68)</f>
        <v/>
      </c>
      <c r="L49" s="903" t="str">
        <f>IF(ISBLANK('Saisie données file act.'!L68), "", 'Saisie données file act.'!L68)</f>
        <v/>
      </c>
      <c r="M49" s="903" t="str">
        <f>IF(ISBLANK('Saisie données file act.'!M68), "", 'Saisie données file act.'!M68)</f>
        <v/>
      </c>
      <c r="N49" s="903" t="str">
        <f>IF(ISBLANK('Saisie données file act.'!N68), "", 'Saisie données file act.'!N68)</f>
        <v/>
      </c>
      <c r="O49" s="903" t="str">
        <f>IF(ISBLANK('Saisie données file act.'!O68), "", 'Saisie données file act.'!O68)</f>
        <v/>
      </c>
      <c r="P49" s="903" t="str">
        <f>IF(ISBLANK('Saisie données file act.'!P68), "", 'Saisie données file act.'!P68)</f>
        <v/>
      </c>
      <c r="Q49" s="903" t="str">
        <f>IF(ISBLANK('Saisie données file act.'!Q68), "", 'Saisie données file act.'!Q68)</f>
        <v/>
      </c>
      <c r="R49" s="903" t="str">
        <f>IF(ISBLANK('Saisie données file act.'!R68), "", 'Saisie données file act.'!R68)</f>
        <v/>
      </c>
      <c r="S49" s="903" t="str">
        <f>IF(ISBLANK('Saisie données file act.'!S68), "", 'Saisie données file act.'!S68)</f>
        <v/>
      </c>
      <c r="T49" s="903" t="str">
        <f>IF(ISBLANK('Saisie données file act.'!T68), "", 'Saisie données file act.'!T68)</f>
        <v/>
      </c>
      <c r="U49" s="903" t="str">
        <f>IF(ISBLANK('Saisie données file act.'!U68), "", 'Saisie données file act.'!U68)</f>
        <v/>
      </c>
      <c r="V49" s="903" t="str">
        <f>IF(ISBLANK('Saisie données file act.'!V68), "", 'Saisie données file act.'!V68)</f>
        <v/>
      </c>
      <c r="W49" s="903" t="str">
        <f>IF(ISBLANK('Saisie données file act.'!W68), "", 'Saisie données file act.'!W68)</f>
        <v/>
      </c>
      <c r="X49" s="903" t="str">
        <f>IF(ISBLANK('Saisie données file act.'!X68), "", 'Saisie données file act.'!X68)</f>
        <v/>
      </c>
      <c r="Y49" s="903" t="str">
        <f>IF(ISBLANK('Saisie données file act.'!Y68), "", 'Saisie données file act.'!Y68)</f>
        <v/>
      </c>
      <c r="Z49" s="903" t="str">
        <f>IF(ISBLANK('Saisie données file act.'!Z68), "", 'Saisie données file act.'!Z68)</f>
        <v/>
      </c>
      <c r="AA49" s="903" t="str">
        <f>IF(ISBLANK('Saisie données file act.'!AA68), "", 'Saisie données file act.'!AA68)</f>
        <v/>
      </c>
      <c r="AB49" s="903" t="str">
        <f>IF(ISBLANK('Saisie données file act.'!AB68), "", 'Saisie données file act.'!AB68)</f>
        <v/>
      </c>
      <c r="AC49" s="903" t="str">
        <f>IF(ISBLANK('Saisie données file act.'!AC68), "", 'Saisie données file act.'!AC68)</f>
        <v/>
      </c>
      <c r="AD49" s="903" t="str">
        <f>IF(ISBLANK('Saisie données file act.'!AD68), "", 'Saisie données file act.'!AD68)</f>
        <v/>
      </c>
      <c r="AE49" s="903" t="str">
        <f>IF(ISBLANK('Saisie données file act.'!AE68), "", 'Saisie données file act.'!AE68)</f>
        <v/>
      </c>
      <c r="AF49" s="903" t="str">
        <f>IF(ISBLANK('Saisie données file act.'!AF68), "", 'Saisie données file act.'!AF68)</f>
        <v/>
      </c>
      <c r="AG49" s="903" t="str">
        <f>IF(ISBLANK('Saisie données file act.'!AG68), "", 'Saisie données file act.'!AG68)</f>
        <v/>
      </c>
      <c r="AH49" s="903" t="str">
        <f>IF(ISBLANK('Saisie données file act.'!AH68), "", 'Saisie données file act.'!AH68)</f>
        <v/>
      </c>
      <c r="AI49" s="903" t="str">
        <f>IF(ISBLANK('Saisie données file act.'!AI68), "", 'Saisie données file act.'!AI68)</f>
        <v/>
      </c>
      <c r="AJ49" s="903" t="str">
        <f>IF(ISBLANK('Saisie données file act.'!AJ68), "", 'Saisie données file act.'!AJ68)</f>
        <v/>
      </c>
      <c r="AK49" s="903" t="str">
        <f>IF(ISBLANK('Saisie données file act.'!AK68), "", 'Saisie données file act.'!AK68)</f>
        <v/>
      </c>
      <c r="AL49" s="903" t="str">
        <f>IF(ISBLANK('Saisie données file act.'!AL68), "", 'Saisie données file act.'!AL68)</f>
        <v/>
      </c>
      <c r="AM49" s="903" t="str">
        <f>IF(ISBLANK('Saisie données file act.'!AM68), "", 'Saisie données file act.'!AM68)</f>
        <v/>
      </c>
      <c r="AN49" s="903" t="str">
        <f>IF(ISBLANK('Saisie données file act.'!AN68), "", 'Saisie données file act.'!AN68)</f>
        <v/>
      </c>
      <c r="AO49" s="903" t="str">
        <f>IF(ISBLANK('Saisie données file act.'!AO68), "", 'Saisie données file act.'!AO68)</f>
        <v/>
      </c>
      <c r="AP49" s="903" t="str">
        <f>IF(ISBLANK('Saisie données file act.'!AP68), "", 'Saisie données file act.'!AP68)</f>
        <v/>
      </c>
      <c r="AQ49" s="903" t="str">
        <f>IF(ISBLANK('Saisie données file act.'!AQ68), "", 'Saisie données file act.'!AQ68)</f>
        <v/>
      </c>
      <c r="AR49" s="903" t="str">
        <f>IF(ISBLANK('Saisie données file act.'!AR68), "", 'Saisie données file act.'!AR68)</f>
        <v/>
      </c>
      <c r="AS49" s="903" t="str">
        <f>IF(ISBLANK('Saisie données file act.'!AS68), "", 'Saisie données file act.'!AS68)</f>
        <v/>
      </c>
      <c r="AT49" s="903" t="str">
        <f>IF(ISBLANK('Saisie données file act.'!AT68), "", 'Saisie données file act.'!AT68)</f>
        <v/>
      </c>
      <c r="AU49" s="903" t="str">
        <f>IF(ISBLANK('Saisie données file act.'!AU68), "", 'Saisie données file act.'!AU68)</f>
        <v/>
      </c>
      <c r="AV49" s="900">
        <f>'Saisie données file act.'!E158</f>
        <v>0</v>
      </c>
      <c r="AW49" s="901"/>
      <c r="AX49" s="900">
        <f>'Saisie données file act.'!E300</f>
        <v>0</v>
      </c>
    </row>
    <row r="50" spans="3:50" s="895" customFormat="1" ht="14.25" thickBot="1" x14ac:dyDescent="0.3">
      <c r="C50" s="3258"/>
      <c r="D50" s="904">
        <f>'Saisie données file act.'!D69</f>
        <v>0</v>
      </c>
      <c r="E50" s="903" t="str">
        <f>IF(ISBLANK('Saisie données file act.'!E69), "", 'Saisie données file act.'!E69)</f>
        <v/>
      </c>
      <c r="F50" s="903" t="str">
        <f>IF(ISBLANK('Saisie données file act.'!F69), "", 'Saisie données file act.'!F69)</f>
        <v/>
      </c>
      <c r="G50" s="903" t="str">
        <f>IF(ISBLANK('Saisie données file act.'!G69), "", 'Saisie données file act.'!G69)</f>
        <v/>
      </c>
      <c r="H50" s="903" t="str">
        <f>IF(ISBLANK('Saisie données file act.'!H69), "", 'Saisie données file act.'!H69)</f>
        <v/>
      </c>
      <c r="I50" s="903" t="str">
        <f>IF(ISBLANK('Saisie données file act.'!I69), "", 'Saisie données file act.'!I69)</f>
        <v/>
      </c>
      <c r="J50" s="903" t="str">
        <f>IF(ISBLANK('Saisie données file act.'!J69), "", 'Saisie données file act.'!J69)</f>
        <v/>
      </c>
      <c r="K50" s="903" t="str">
        <f>IF(ISBLANK('Saisie données file act.'!K69), "", 'Saisie données file act.'!K69)</f>
        <v/>
      </c>
      <c r="L50" s="903" t="str">
        <f>IF(ISBLANK('Saisie données file act.'!L69), "", 'Saisie données file act.'!L69)</f>
        <v/>
      </c>
      <c r="M50" s="903" t="str">
        <f>IF(ISBLANK('Saisie données file act.'!M69), "", 'Saisie données file act.'!M69)</f>
        <v/>
      </c>
      <c r="N50" s="903" t="str">
        <f>IF(ISBLANK('Saisie données file act.'!N69), "", 'Saisie données file act.'!N69)</f>
        <v/>
      </c>
      <c r="O50" s="903" t="str">
        <f>IF(ISBLANK('Saisie données file act.'!O69), "", 'Saisie données file act.'!O69)</f>
        <v/>
      </c>
      <c r="P50" s="903" t="str">
        <f>IF(ISBLANK('Saisie données file act.'!P69), "", 'Saisie données file act.'!P69)</f>
        <v/>
      </c>
      <c r="Q50" s="903" t="str">
        <f>IF(ISBLANK('Saisie données file act.'!Q69), "", 'Saisie données file act.'!Q69)</f>
        <v/>
      </c>
      <c r="R50" s="903" t="str">
        <f>IF(ISBLANK('Saisie données file act.'!R69), "", 'Saisie données file act.'!R69)</f>
        <v/>
      </c>
      <c r="S50" s="903" t="str">
        <f>IF(ISBLANK('Saisie données file act.'!S69), "", 'Saisie données file act.'!S69)</f>
        <v/>
      </c>
      <c r="T50" s="903" t="str">
        <f>IF(ISBLANK('Saisie données file act.'!T69), "", 'Saisie données file act.'!T69)</f>
        <v/>
      </c>
      <c r="U50" s="903" t="str">
        <f>IF(ISBLANK('Saisie données file act.'!U69), "", 'Saisie données file act.'!U69)</f>
        <v/>
      </c>
      <c r="V50" s="903" t="str">
        <f>IF(ISBLANK('Saisie données file act.'!V69), "", 'Saisie données file act.'!V69)</f>
        <v/>
      </c>
      <c r="W50" s="903" t="str">
        <f>IF(ISBLANK('Saisie données file act.'!W69), "", 'Saisie données file act.'!W69)</f>
        <v/>
      </c>
      <c r="X50" s="903" t="str">
        <f>IF(ISBLANK('Saisie données file act.'!X69), "", 'Saisie données file act.'!X69)</f>
        <v/>
      </c>
      <c r="Y50" s="903" t="str">
        <f>IF(ISBLANK('Saisie données file act.'!Y69), "", 'Saisie données file act.'!Y69)</f>
        <v/>
      </c>
      <c r="Z50" s="903" t="str">
        <f>IF(ISBLANK('Saisie données file act.'!Z69), "", 'Saisie données file act.'!Z69)</f>
        <v/>
      </c>
      <c r="AA50" s="903" t="str">
        <f>IF(ISBLANK('Saisie données file act.'!AA69), "", 'Saisie données file act.'!AA69)</f>
        <v/>
      </c>
      <c r="AB50" s="903" t="str">
        <f>IF(ISBLANK('Saisie données file act.'!AB69), "", 'Saisie données file act.'!AB69)</f>
        <v/>
      </c>
      <c r="AC50" s="903" t="str">
        <f>IF(ISBLANK('Saisie données file act.'!AC69), "", 'Saisie données file act.'!AC69)</f>
        <v/>
      </c>
      <c r="AD50" s="903" t="str">
        <f>IF(ISBLANK('Saisie données file act.'!AD69), "", 'Saisie données file act.'!AD69)</f>
        <v/>
      </c>
      <c r="AE50" s="903" t="str">
        <f>IF(ISBLANK('Saisie données file act.'!AE69), "", 'Saisie données file act.'!AE69)</f>
        <v/>
      </c>
      <c r="AF50" s="903" t="str">
        <f>IF(ISBLANK('Saisie données file act.'!AF69), "", 'Saisie données file act.'!AF69)</f>
        <v/>
      </c>
      <c r="AG50" s="903" t="str">
        <f>IF(ISBLANK('Saisie données file act.'!AG69), "", 'Saisie données file act.'!AG69)</f>
        <v/>
      </c>
      <c r="AH50" s="903" t="str">
        <f>IF(ISBLANK('Saisie données file act.'!AH69), "", 'Saisie données file act.'!AH69)</f>
        <v/>
      </c>
      <c r="AI50" s="903" t="str">
        <f>IF(ISBLANK('Saisie données file act.'!AI69), "", 'Saisie données file act.'!AI69)</f>
        <v/>
      </c>
      <c r="AJ50" s="903" t="str">
        <f>IF(ISBLANK('Saisie données file act.'!AJ69), "", 'Saisie données file act.'!AJ69)</f>
        <v/>
      </c>
      <c r="AK50" s="903" t="str">
        <f>IF(ISBLANK('Saisie données file act.'!AK69), "", 'Saisie données file act.'!AK69)</f>
        <v/>
      </c>
      <c r="AL50" s="903" t="str">
        <f>IF(ISBLANK('Saisie données file act.'!AL69), "", 'Saisie données file act.'!AL69)</f>
        <v/>
      </c>
      <c r="AM50" s="903" t="str">
        <f>IF(ISBLANK('Saisie données file act.'!AM69), "", 'Saisie données file act.'!AM69)</f>
        <v/>
      </c>
      <c r="AN50" s="903" t="str">
        <f>IF(ISBLANK('Saisie données file act.'!AN69), "", 'Saisie données file act.'!AN69)</f>
        <v/>
      </c>
      <c r="AO50" s="903" t="str">
        <f>IF(ISBLANK('Saisie données file act.'!AO69), "", 'Saisie données file act.'!AO69)</f>
        <v/>
      </c>
      <c r="AP50" s="903" t="str">
        <f>IF(ISBLANK('Saisie données file act.'!AP69), "", 'Saisie données file act.'!AP69)</f>
        <v/>
      </c>
      <c r="AQ50" s="903" t="str">
        <f>IF(ISBLANK('Saisie données file act.'!AQ69), "", 'Saisie données file act.'!AQ69)</f>
        <v/>
      </c>
      <c r="AR50" s="903" t="str">
        <f>IF(ISBLANK('Saisie données file act.'!AR69), "", 'Saisie données file act.'!AR69)</f>
        <v/>
      </c>
      <c r="AS50" s="903" t="str">
        <f>IF(ISBLANK('Saisie données file act.'!AS69), "", 'Saisie données file act.'!AS69)</f>
        <v/>
      </c>
      <c r="AT50" s="903" t="str">
        <f>IF(ISBLANK('Saisie données file act.'!AT69), "", 'Saisie données file act.'!AT69)</f>
        <v/>
      </c>
      <c r="AU50" s="903" t="str">
        <f>IF(ISBLANK('Saisie données file act.'!AU69), "", 'Saisie données file act.'!AU69)</f>
        <v/>
      </c>
      <c r="AV50" s="909">
        <f>'Saisie données file act.'!E159</f>
        <v>0</v>
      </c>
      <c r="AW50" s="910"/>
      <c r="AX50" s="909">
        <f>'Saisie données file act.'!E301</f>
        <v>0</v>
      </c>
    </row>
    <row r="51" spans="3:50" s="895" customFormat="1" ht="14.25" thickBot="1" x14ac:dyDescent="0.3">
      <c r="C51" s="3258"/>
      <c r="D51" s="905">
        <f>'Saisie données file act.'!D70</f>
        <v>0</v>
      </c>
      <c r="E51" s="903" t="str">
        <f>IF(ISBLANK('Saisie données file act.'!E70), "", 'Saisie données file act.'!E70)</f>
        <v/>
      </c>
      <c r="F51" s="903" t="str">
        <f>IF(ISBLANK('Saisie données file act.'!F70), "", 'Saisie données file act.'!F70)</f>
        <v/>
      </c>
      <c r="G51" s="903" t="str">
        <f>IF(ISBLANK('Saisie données file act.'!G70), "", 'Saisie données file act.'!G70)</f>
        <v/>
      </c>
      <c r="H51" s="903" t="str">
        <f>IF(ISBLANK('Saisie données file act.'!H70), "", 'Saisie données file act.'!H70)</f>
        <v/>
      </c>
      <c r="I51" s="903" t="str">
        <f>IF(ISBLANK('Saisie données file act.'!I70), "", 'Saisie données file act.'!I70)</f>
        <v/>
      </c>
      <c r="J51" s="903" t="str">
        <f>IF(ISBLANK('Saisie données file act.'!J70), "", 'Saisie données file act.'!J70)</f>
        <v/>
      </c>
      <c r="K51" s="903" t="str">
        <f>IF(ISBLANK('Saisie données file act.'!K70), "", 'Saisie données file act.'!K70)</f>
        <v/>
      </c>
      <c r="L51" s="903" t="str">
        <f>IF(ISBLANK('Saisie données file act.'!L70), "", 'Saisie données file act.'!L70)</f>
        <v/>
      </c>
      <c r="M51" s="903" t="str">
        <f>IF(ISBLANK('Saisie données file act.'!M70), "", 'Saisie données file act.'!M70)</f>
        <v/>
      </c>
      <c r="N51" s="903" t="str">
        <f>IF(ISBLANK('Saisie données file act.'!N70), "", 'Saisie données file act.'!N70)</f>
        <v/>
      </c>
      <c r="O51" s="903" t="str">
        <f>IF(ISBLANK('Saisie données file act.'!O70), "", 'Saisie données file act.'!O70)</f>
        <v/>
      </c>
      <c r="P51" s="903" t="str">
        <f>IF(ISBLANK('Saisie données file act.'!P70), "", 'Saisie données file act.'!P70)</f>
        <v/>
      </c>
      <c r="Q51" s="903" t="str">
        <f>IF(ISBLANK('Saisie données file act.'!Q70), "", 'Saisie données file act.'!Q70)</f>
        <v/>
      </c>
      <c r="R51" s="903" t="str">
        <f>IF(ISBLANK('Saisie données file act.'!R70), "", 'Saisie données file act.'!R70)</f>
        <v/>
      </c>
      <c r="S51" s="903" t="str">
        <f>IF(ISBLANK('Saisie données file act.'!S70), "", 'Saisie données file act.'!S70)</f>
        <v/>
      </c>
      <c r="T51" s="903" t="str">
        <f>IF(ISBLANK('Saisie données file act.'!T70), "", 'Saisie données file act.'!T70)</f>
        <v/>
      </c>
      <c r="U51" s="903" t="str">
        <f>IF(ISBLANK('Saisie données file act.'!U70), "", 'Saisie données file act.'!U70)</f>
        <v/>
      </c>
      <c r="V51" s="903" t="str">
        <f>IF(ISBLANK('Saisie données file act.'!V70), "", 'Saisie données file act.'!V70)</f>
        <v/>
      </c>
      <c r="W51" s="903" t="str">
        <f>IF(ISBLANK('Saisie données file act.'!W70), "", 'Saisie données file act.'!W70)</f>
        <v/>
      </c>
      <c r="X51" s="903" t="str">
        <f>IF(ISBLANK('Saisie données file act.'!X70), "", 'Saisie données file act.'!X70)</f>
        <v/>
      </c>
      <c r="Y51" s="903" t="str">
        <f>IF(ISBLANK('Saisie données file act.'!Y70), "", 'Saisie données file act.'!Y70)</f>
        <v/>
      </c>
      <c r="Z51" s="903" t="str">
        <f>IF(ISBLANK('Saisie données file act.'!Z70), "", 'Saisie données file act.'!Z70)</f>
        <v/>
      </c>
      <c r="AA51" s="903" t="str">
        <f>IF(ISBLANK('Saisie données file act.'!AA70), "", 'Saisie données file act.'!AA70)</f>
        <v/>
      </c>
      <c r="AB51" s="903" t="str">
        <f>IF(ISBLANK('Saisie données file act.'!AB70), "", 'Saisie données file act.'!AB70)</f>
        <v/>
      </c>
      <c r="AC51" s="903" t="str">
        <f>IF(ISBLANK('Saisie données file act.'!AC70), "", 'Saisie données file act.'!AC70)</f>
        <v/>
      </c>
      <c r="AD51" s="903" t="str">
        <f>IF(ISBLANK('Saisie données file act.'!AD70), "", 'Saisie données file act.'!AD70)</f>
        <v/>
      </c>
      <c r="AE51" s="903" t="str">
        <f>IF(ISBLANK('Saisie données file act.'!AE70), "", 'Saisie données file act.'!AE70)</f>
        <v/>
      </c>
      <c r="AF51" s="903" t="str">
        <f>IF(ISBLANK('Saisie données file act.'!AF70), "", 'Saisie données file act.'!AF70)</f>
        <v/>
      </c>
      <c r="AG51" s="903" t="str">
        <f>IF(ISBLANK('Saisie données file act.'!AG70), "", 'Saisie données file act.'!AG70)</f>
        <v/>
      </c>
      <c r="AH51" s="903" t="str">
        <f>IF(ISBLANK('Saisie données file act.'!AH70), "", 'Saisie données file act.'!AH70)</f>
        <v/>
      </c>
      <c r="AI51" s="903" t="str">
        <f>IF(ISBLANK('Saisie données file act.'!AI70), "", 'Saisie données file act.'!AI70)</f>
        <v/>
      </c>
      <c r="AJ51" s="903" t="str">
        <f>IF(ISBLANK('Saisie données file act.'!AJ70), "", 'Saisie données file act.'!AJ70)</f>
        <v/>
      </c>
      <c r="AK51" s="903" t="str">
        <f>IF(ISBLANK('Saisie données file act.'!AK70), "", 'Saisie données file act.'!AK70)</f>
        <v/>
      </c>
      <c r="AL51" s="903" t="str">
        <f>IF(ISBLANK('Saisie données file act.'!AL70), "", 'Saisie données file act.'!AL70)</f>
        <v/>
      </c>
      <c r="AM51" s="903" t="str">
        <f>IF(ISBLANK('Saisie données file act.'!AM70), "", 'Saisie données file act.'!AM70)</f>
        <v/>
      </c>
      <c r="AN51" s="903" t="str">
        <f>IF(ISBLANK('Saisie données file act.'!AN70), "", 'Saisie données file act.'!AN70)</f>
        <v/>
      </c>
      <c r="AO51" s="903" t="str">
        <f>IF(ISBLANK('Saisie données file act.'!AO70), "", 'Saisie données file act.'!AO70)</f>
        <v/>
      </c>
      <c r="AP51" s="903" t="str">
        <f>IF(ISBLANK('Saisie données file act.'!AP70), "", 'Saisie données file act.'!AP70)</f>
        <v/>
      </c>
      <c r="AQ51" s="903" t="str">
        <f>IF(ISBLANK('Saisie données file act.'!AQ70), "", 'Saisie données file act.'!AQ70)</f>
        <v/>
      </c>
      <c r="AR51" s="903" t="str">
        <f>IF(ISBLANK('Saisie données file act.'!AR70), "", 'Saisie données file act.'!AR70)</f>
        <v/>
      </c>
      <c r="AS51" s="903" t="str">
        <f>IF(ISBLANK('Saisie données file act.'!AS70), "", 'Saisie données file act.'!AS70)</f>
        <v/>
      </c>
      <c r="AT51" s="903" t="str">
        <f>IF(ISBLANK('Saisie données file act.'!AT70), "", 'Saisie données file act.'!AT70)</f>
        <v/>
      </c>
      <c r="AU51" s="903" t="str">
        <f>IF(ISBLANK('Saisie données file act.'!AU70), "", 'Saisie données file act.'!AU70)</f>
        <v/>
      </c>
      <c r="AV51" s="900">
        <f>'Saisie données file act.'!E160</f>
        <v>0</v>
      </c>
      <c r="AW51" s="901"/>
      <c r="AX51" s="900">
        <f>'Saisie données file act.'!E302</f>
        <v>0</v>
      </c>
    </row>
    <row r="52" spans="3:50" s="895" customFormat="1" ht="14.25" thickBot="1" x14ac:dyDescent="0.3">
      <c r="C52" s="3258"/>
      <c r="D52" s="904">
        <f>'Saisie données file act.'!D71</f>
        <v>0</v>
      </c>
      <c r="E52" s="903" t="str">
        <f>IF(ISBLANK('Saisie données file act.'!E71), "", 'Saisie données file act.'!E71)</f>
        <v/>
      </c>
      <c r="F52" s="903" t="str">
        <f>IF(ISBLANK('Saisie données file act.'!F71), "", 'Saisie données file act.'!F71)</f>
        <v/>
      </c>
      <c r="G52" s="903" t="str">
        <f>IF(ISBLANK('Saisie données file act.'!G71), "", 'Saisie données file act.'!G71)</f>
        <v/>
      </c>
      <c r="H52" s="903" t="str">
        <f>IF(ISBLANK('Saisie données file act.'!H71), "", 'Saisie données file act.'!H71)</f>
        <v/>
      </c>
      <c r="I52" s="903" t="str">
        <f>IF(ISBLANK('Saisie données file act.'!I71), "", 'Saisie données file act.'!I71)</f>
        <v/>
      </c>
      <c r="J52" s="903" t="str">
        <f>IF(ISBLANK('Saisie données file act.'!J71), "", 'Saisie données file act.'!J71)</f>
        <v/>
      </c>
      <c r="K52" s="903" t="str">
        <f>IF(ISBLANK('Saisie données file act.'!K71), "", 'Saisie données file act.'!K71)</f>
        <v/>
      </c>
      <c r="L52" s="903" t="str">
        <f>IF(ISBLANK('Saisie données file act.'!L71), "", 'Saisie données file act.'!L71)</f>
        <v/>
      </c>
      <c r="M52" s="903" t="str">
        <f>IF(ISBLANK('Saisie données file act.'!M71), "", 'Saisie données file act.'!M71)</f>
        <v/>
      </c>
      <c r="N52" s="903" t="str">
        <f>IF(ISBLANK('Saisie données file act.'!N71), "", 'Saisie données file act.'!N71)</f>
        <v/>
      </c>
      <c r="O52" s="903" t="str">
        <f>IF(ISBLANK('Saisie données file act.'!O71), "", 'Saisie données file act.'!O71)</f>
        <v/>
      </c>
      <c r="P52" s="903" t="str">
        <f>IF(ISBLANK('Saisie données file act.'!P71), "", 'Saisie données file act.'!P71)</f>
        <v/>
      </c>
      <c r="Q52" s="903" t="str">
        <f>IF(ISBLANK('Saisie données file act.'!Q71), "", 'Saisie données file act.'!Q71)</f>
        <v/>
      </c>
      <c r="R52" s="903" t="str">
        <f>IF(ISBLANK('Saisie données file act.'!R71), "", 'Saisie données file act.'!R71)</f>
        <v/>
      </c>
      <c r="S52" s="903" t="str">
        <f>IF(ISBLANK('Saisie données file act.'!S71), "", 'Saisie données file act.'!S71)</f>
        <v/>
      </c>
      <c r="T52" s="903" t="str">
        <f>IF(ISBLANK('Saisie données file act.'!T71), "", 'Saisie données file act.'!T71)</f>
        <v/>
      </c>
      <c r="U52" s="903" t="str">
        <f>IF(ISBLANK('Saisie données file act.'!U71), "", 'Saisie données file act.'!U71)</f>
        <v/>
      </c>
      <c r="V52" s="903" t="str">
        <f>IF(ISBLANK('Saisie données file act.'!V71), "", 'Saisie données file act.'!V71)</f>
        <v/>
      </c>
      <c r="W52" s="903" t="str">
        <f>IF(ISBLANK('Saisie données file act.'!W71), "", 'Saisie données file act.'!W71)</f>
        <v/>
      </c>
      <c r="X52" s="903" t="str">
        <f>IF(ISBLANK('Saisie données file act.'!X71), "", 'Saisie données file act.'!X71)</f>
        <v/>
      </c>
      <c r="Y52" s="903" t="str">
        <f>IF(ISBLANK('Saisie données file act.'!Y71), "", 'Saisie données file act.'!Y71)</f>
        <v/>
      </c>
      <c r="Z52" s="903" t="str">
        <f>IF(ISBLANK('Saisie données file act.'!Z71), "", 'Saisie données file act.'!Z71)</f>
        <v/>
      </c>
      <c r="AA52" s="903" t="str">
        <f>IF(ISBLANK('Saisie données file act.'!AA71), "", 'Saisie données file act.'!AA71)</f>
        <v/>
      </c>
      <c r="AB52" s="903" t="str">
        <f>IF(ISBLANK('Saisie données file act.'!AB71), "", 'Saisie données file act.'!AB71)</f>
        <v/>
      </c>
      <c r="AC52" s="903" t="str">
        <f>IF(ISBLANK('Saisie données file act.'!AC71), "", 'Saisie données file act.'!AC71)</f>
        <v/>
      </c>
      <c r="AD52" s="903" t="str">
        <f>IF(ISBLANK('Saisie données file act.'!AD71), "", 'Saisie données file act.'!AD71)</f>
        <v/>
      </c>
      <c r="AE52" s="903" t="str">
        <f>IF(ISBLANK('Saisie données file act.'!AE71), "", 'Saisie données file act.'!AE71)</f>
        <v/>
      </c>
      <c r="AF52" s="903" t="str">
        <f>IF(ISBLANK('Saisie données file act.'!AF71), "", 'Saisie données file act.'!AF71)</f>
        <v/>
      </c>
      <c r="AG52" s="903" t="str">
        <f>IF(ISBLANK('Saisie données file act.'!AG71), "", 'Saisie données file act.'!AG71)</f>
        <v/>
      </c>
      <c r="AH52" s="903" t="str">
        <f>IF(ISBLANK('Saisie données file act.'!AH71), "", 'Saisie données file act.'!AH71)</f>
        <v/>
      </c>
      <c r="AI52" s="903" t="str">
        <f>IF(ISBLANK('Saisie données file act.'!AI71), "", 'Saisie données file act.'!AI71)</f>
        <v/>
      </c>
      <c r="AJ52" s="903" t="str">
        <f>IF(ISBLANK('Saisie données file act.'!AJ71), "", 'Saisie données file act.'!AJ71)</f>
        <v/>
      </c>
      <c r="AK52" s="903" t="str">
        <f>IF(ISBLANK('Saisie données file act.'!AK71), "", 'Saisie données file act.'!AK71)</f>
        <v/>
      </c>
      <c r="AL52" s="903" t="str">
        <f>IF(ISBLANK('Saisie données file act.'!AL71), "", 'Saisie données file act.'!AL71)</f>
        <v/>
      </c>
      <c r="AM52" s="903" t="str">
        <f>IF(ISBLANK('Saisie données file act.'!AM71), "", 'Saisie données file act.'!AM71)</f>
        <v/>
      </c>
      <c r="AN52" s="903" t="str">
        <f>IF(ISBLANK('Saisie données file act.'!AN71), "", 'Saisie données file act.'!AN71)</f>
        <v/>
      </c>
      <c r="AO52" s="903" t="str">
        <f>IF(ISBLANK('Saisie données file act.'!AO71), "", 'Saisie données file act.'!AO71)</f>
        <v/>
      </c>
      <c r="AP52" s="903" t="str">
        <f>IF(ISBLANK('Saisie données file act.'!AP71), "", 'Saisie données file act.'!AP71)</f>
        <v/>
      </c>
      <c r="AQ52" s="903" t="str">
        <f>IF(ISBLANK('Saisie données file act.'!AQ71), "", 'Saisie données file act.'!AQ71)</f>
        <v/>
      </c>
      <c r="AR52" s="903" t="str">
        <f>IF(ISBLANK('Saisie données file act.'!AR71), "", 'Saisie données file act.'!AR71)</f>
        <v/>
      </c>
      <c r="AS52" s="903" t="str">
        <f>IF(ISBLANK('Saisie données file act.'!AS71), "", 'Saisie données file act.'!AS71)</f>
        <v/>
      </c>
      <c r="AT52" s="903" t="str">
        <f>IF(ISBLANK('Saisie données file act.'!AT71), "", 'Saisie données file act.'!AT71)</f>
        <v/>
      </c>
      <c r="AU52" s="903" t="str">
        <f>IF(ISBLANK('Saisie données file act.'!AU71), "", 'Saisie données file act.'!AU71)</f>
        <v/>
      </c>
      <c r="AV52" s="918">
        <f>'Saisie données file act.'!E161</f>
        <v>0</v>
      </c>
      <c r="AW52" s="919"/>
      <c r="AX52" s="918">
        <f>'Saisie données file act.'!E303</f>
        <v>0</v>
      </c>
    </row>
    <row r="53" spans="3:50" s="895" customFormat="1" ht="14.25" thickBot="1" x14ac:dyDescent="0.3">
      <c r="C53" s="3258"/>
      <c r="D53" s="905">
        <f>'Saisie données file act.'!D72</f>
        <v>0</v>
      </c>
      <c r="E53" s="903" t="str">
        <f>IF(ISBLANK('Saisie données file act.'!E72), "", 'Saisie données file act.'!E72)</f>
        <v/>
      </c>
      <c r="F53" s="903" t="str">
        <f>IF(ISBLANK('Saisie données file act.'!F72), "", 'Saisie données file act.'!F72)</f>
        <v/>
      </c>
      <c r="G53" s="903" t="str">
        <f>IF(ISBLANK('Saisie données file act.'!G72), "", 'Saisie données file act.'!G72)</f>
        <v/>
      </c>
      <c r="H53" s="903" t="str">
        <f>IF(ISBLANK('Saisie données file act.'!H72), "", 'Saisie données file act.'!H72)</f>
        <v/>
      </c>
      <c r="I53" s="903" t="str">
        <f>IF(ISBLANK('Saisie données file act.'!I72), "", 'Saisie données file act.'!I72)</f>
        <v/>
      </c>
      <c r="J53" s="903" t="str">
        <f>IF(ISBLANK('Saisie données file act.'!J72), "", 'Saisie données file act.'!J72)</f>
        <v/>
      </c>
      <c r="K53" s="903" t="str">
        <f>IF(ISBLANK('Saisie données file act.'!K72), "", 'Saisie données file act.'!K72)</f>
        <v/>
      </c>
      <c r="L53" s="903" t="str">
        <f>IF(ISBLANK('Saisie données file act.'!L72), "", 'Saisie données file act.'!L72)</f>
        <v/>
      </c>
      <c r="M53" s="903" t="str">
        <f>IF(ISBLANK('Saisie données file act.'!M72), "", 'Saisie données file act.'!M72)</f>
        <v/>
      </c>
      <c r="N53" s="903" t="str">
        <f>IF(ISBLANK('Saisie données file act.'!N72), "", 'Saisie données file act.'!N72)</f>
        <v/>
      </c>
      <c r="O53" s="903" t="str">
        <f>IF(ISBLANK('Saisie données file act.'!O72), "", 'Saisie données file act.'!O72)</f>
        <v/>
      </c>
      <c r="P53" s="903" t="str">
        <f>IF(ISBLANK('Saisie données file act.'!P72), "", 'Saisie données file act.'!P72)</f>
        <v/>
      </c>
      <c r="Q53" s="903" t="str">
        <f>IF(ISBLANK('Saisie données file act.'!Q72), "", 'Saisie données file act.'!Q72)</f>
        <v/>
      </c>
      <c r="R53" s="903" t="str">
        <f>IF(ISBLANK('Saisie données file act.'!R72), "", 'Saisie données file act.'!R72)</f>
        <v/>
      </c>
      <c r="S53" s="903" t="str">
        <f>IF(ISBLANK('Saisie données file act.'!S72), "", 'Saisie données file act.'!S72)</f>
        <v/>
      </c>
      <c r="T53" s="903" t="str">
        <f>IF(ISBLANK('Saisie données file act.'!T72), "", 'Saisie données file act.'!T72)</f>
        <v/>
      </c>
      <c r="U53" s="903" t="str">
        <f>IF(ISBLANK('Saisie données file act.'!U72), "", 'Saisie données file act.'!U72)</f>
        <v/>
      </c>
      <c r="V53" s="903" t="str">
        <f>IF(ISBLANK('Saisie données file act.'!V72), "", 'Saisie données file act.'!V72)</f>
        <v/>
      </c>
      <c r="W53" s="903" t="str">
        <f>IF(ISBLANK('Saisie données file act.'!W72), "", 'Saisie données file act.'!W72)</f>
        <v/>
      </c>
      <c r="X53" s="903" t="str">
        <f>IF(ISBLANK('Saisie données file act.'!X72), "", 'Saisie données file act.'!X72)</f>
        <v/>
      </c>
      <c r="Y53" s="903" t="str">
        <f>IF(ISBLANK('Saisie données file act.'!Y72), "", 'Saisie données file act.'!Y72)</f>
        <v/>
      </c>
      <c r="Z53" s="903" t="str">
        <f>IF(ISBLANK('Saisie données file act.'!Z72), "", 'Saisie données file act.'!Z72)</f>
        <v/>
      </c>
      <c r="AA53" s="903" t="str">
        <f>IF(ISBLANK('Saisie données file act.'!AA72), "", 'Saisie données file act.'!AA72)</f>
        <v/>
      </c>
      <c r="AB53" s="903" t="str">
        <f>IF(ISBLANK('Saisie données file act.'!AB72), "", 'Saisie données file act.'!AB72)</f>
        <v/>
      </c>
      <c r="AC53" s="903" t="str">
        <f>IF(ISBLANK('Saisie données file act.'!AC72), "", 'Saisie données file act.'!AC72)</f>
        <v/>
      </c>
      <c r="AD53" s="903" t="str">
        <f>IF(ISBLANK('Saisie données file act.'!AD72), "", 'Saisie données file act.'!AD72)</f>
        <v/>
      </c>
      <c r="AE53" s="903" t="str">
        <f>IF(ISBLANK('Saisie données file act.'!AE72), "", 'Saisie données file act.'!AE72)</f>
        <v/>
      </c>
      <c r="AF53" s="903" t="str">
        <f>IF(ISBLANK('Saisie données file act.'!AF72), "", 'Saisie données file act.'!AF72)</f>
        <v/>
      </c>
      <c r="AG53" s="903" t="str">
        <f>IF(ISBLANK('Saisie données file act.'!AG72), "", 'Saisie données file act.'!AG72)</f>
        <v/>
      </c>
      <c r="AH53" s="903" t="str">
        <f>IF(ISBLANK('Saisie données file act.'!AH72), "", 'Saisie données file act.'!AH72)</f>
        <v/>
      </c>
      <c r="AI53" s="903" t="str">
        <f>IF(ISBLANK('Saisie données file act.'!AI72), "", 'Saisie données file act.'!AI72)</f>
        <v/>
      </c>
      <c r="AJ53" s="903" t="str">
        <f>IF(ISBLANK('Saisie données file act.'!AJ72), "", 'Saisie données file act.'!AJ72)</f>
        <v/>
      </c>
      <c r="AK53" s="903" t="str">
        <f>IF(ISBLANK('Saisie données file act.'!AK72), "", 'Saisie données file act.'!AK72)</f>
        <v/>
      </c>
      <c r="AL53" s="903" t="str">
        <f>IF(ISBLANK('Saisie données file act.'!AL72), "", 'Saisie données file act.'!AL72)</f>
        <v/>
      </c>
      <c r="AM53" s="903" t="str">
        <f>IF(ISBLANK('Saisie données file act.'!AM72), "", 'Saisie données file act.'!AM72)</f>
        <v/>
      </c>
      <c r="AN53" s="903" t="str">
        <f>IF(ISBLANK('Saisie données file act.'!AN72), "", 'Saisie données file act.'!AN72)</f>
        <v/>
      </c>
      <c r="AO53" s="903" t="str">
        <f>IF(ISBLANK('Saisie données file act.'!AO72), "", 'Saisie données file act.'!AO72)</f>
        <v/>
      </c>
      <c r="AP53" s="903" t="str">
        <f>IF(ISBLANK('Saisie données file act.'!AP72), "", 'Saisie données file act.'!AP72)</f>
        <v/>
      </c>
      <c r="AQ53" s="903" t="str">
        <f>IF(ISBLANK('Saisie données file act.'!AQ72), "", 'Saisie données file act.'!AQ72)</f>
        <v/>
      </c>
      <c r="AR53" s="903" t="str">
        <f>IF(ISBLANK('Saisie données file act.'!AR72), "", 'Saisie données file act.'!AR72)</f>
        <v/>
      </c>
      <c r="AS53" s="903" t="str">
        <f>IF(ISBLANK('Saisie données file act.'!AS72), "", 'Saisie données file act.'!AS72)</f>
        <v/>
      </c>
      <c r="AT53" s="903" t="str">
        <f>IF(ISBLANK('Saisie données file act.'!AT72), "", 'Saisie données file act.'!AT72)</f>
        <v/>
      </c>
      <c r="AU53" s="903" t="str">
        <f>IF(ISBLANK('Saisie données file act.'!AU72), "", 'Saisie données file act.'!AU72)</f>
        <v/>
      </c>
      <c r="AV53" s="909">
        <f>'Saisie données file act.'!E162</f>
        <v>0</v>
      </c>
      <c r="AW53" s="910"/>
      <c r="AX53" s="909">
        <f>'Saisie données file act.'!E304</f>
        <v>0</v>
      </c>
    </row>
    <row r="54" spans="3:50" s="895" customFormat="1" ht="14.25" thickBot="1" x14ac:dyDescent="0.3">
      <c r="C54" s="3258"/>
      <c r="D54" s="904">
        <f>'Saisie données file act.'!D73</f>
        <v>0</v>
      </c>
      <c r="E54" s="903" t="str">
        <f>IF(ISBLANK('Saisie données file act.'!E73), "", 'Saisie données file act.'!E73)</f>
        <v/>
      </c>
      <c r="F54" s="903" t="str">
        <f>IF(ISBLANK('Saisie données file act.'!F73), "", 'Saisie données file act.'!F73)</f>
        <v/>
      </c>
      <c r="G54" s="903" t="str">
        <f>IF(ISBLANK('Saisie données file act.'!G73), "", 'Saisie données file act.'!G73)</f>
        <v/>
      </c>
      <c r="H54" s="903" t="str">
        <f>IF(ISBLANK('Saisie données file act.'!H73), "", 'Saisie données file act.'!H73)</f>
        <v/>
      </c>
      <c r="I54" s="903" t="str">
        <f>IF(ISBLANK('Saisie données file act.'!I73), "", 'Saisie données file act.'!I73)</f>
        <v/>
      </c>
      <c r="J54" s="903" t="str">
        <f>IF(ISBLANK('Saisie données file act.'!J73), "", 'Saisie données file act.'!J73)</f>
        <v/>
      </c>
      <c r="K54" s="903" t="str">
        <f>IF(ISBLANK('Saisie données file act.'!K73), "", 'Saisie données file act.'!K73)</f>
        <v/>
      </c>
      <c r="L54" s="903" t="str">
        <f>IF(ISBLANK('Saisie données file act.'!L73), "", 'Saisie données file act.'!L73)</f>
        <v/>
      </c>
      <c r="M54" s="903" t="str">
        <f>IF(ISBLANK('Saisie données file act.'!M73), "", 'Saisie données file act.'!M73)</f>
        <v/>
      </c>
      <c r="N54" s="903" t="str">
        <f>IF(ISBLANK('Saisie données file act.'!N73), "", 'Saisie données file act.'!N73)</f>
        <v/>
      </c>
      <c r="O54" s="903" t="str">
        <f>IF(ISBLANK('Saisie données file act.'!O73), "", 'Saisie données file act.'!O73)</f>
        <v/>
      </c>
      <c r="P54" s="903" t="str">
        <f>IF(ISBLANK('Saisie données file act.'!P73), "", 'Saisie données file act.'!P73)</f>
        <v/>
      </c>
      <c r="Q54" s="903" t="str">
        <f>IF(ISBLANK('Saisie données file act.'!Q73), "", 'Saisie données file act.'!Q73)</f>
        <v/>
      </c>
      <c r="R54" s="903" t="str">
        <f>IF(ISBLANK('Saisie données file act.'!R73), "", 'Saisie données file act.'!R73)</f>
        <v/>
      </c>
      <c r="S54" s="903" t="str">
        <f>IF(ISBLANK('Saisie données file act.'!S73), "", 'Saisie données file act.'!S73)</f>
        <v/>
      </c>
      <c r="T54" s="903" t="str">
        <f>IF(ISBLANK('Saisie données file act.'!T73), "", 'Saisie données file act.'!T73)</f>
        <v/>
      </c>
      <c r="U54" s="903" t="str">
        <f>IF(ISBLANK('Saisie données file act.'!U73), "", 'Saisie données file act.'!U73)</f>
        <v/>
      </c>
      <c r="V54" s="903" t="str">
        <f>IF(ISBLANK('Saisie données file act.'!V73), "", 'Saisie données file act.'!V73)</f>
        <v/>
      </c>
      <c r="W54" s="903" t="str">
        <f>IF(ISBLANK('Saisie données file act.'!W73), "", 'Saisie données file act.'!W73)</f>
        <v/>
      </c>
      <c r="X54" s="903" t="str">
        <f>IF(ISBLANK('Saisie données file act.'!X73), "", 'Saisie données file act.'!X73)</f>
        <v/>
      </c>
      <c r="Y54" s="903" t="str">
        <f>IF(ISBLANK('Saisie données file act.'!Y73), "", 'Saisie données file act.'!Y73)</f>
        <v/>
      </c>
      <c r="Z54" s="903" t="str">
        <f>IF(ISBLANK('Saisie données file act.'!Z73), "", 'Saisie données file act.'!Z73)</f>
        <v/>
      </c>
      <c r="AA54" s="903" t="str">
        <f>IF(ISBLANK('Saisie données file act.'!AA73), "", 'Saisie données file act.'!AA73)</f>
        <v/>
      </c>
      <c r="AB54" s="903" t="str">
        <f>IF(ISBLANK('Saisie données file act.'!AB73), "", 'Saisie données file act.'!AB73)</f>
        <v/>
      </c>
      <c r="AC54" s="903" t="str">
        <f>IF(ISBLANK('Saisie données file act.'!AC73), "", 'Saisie données file act.'!AC73)</f>
        <v/>
      </c>
      <c r="AD54" s="903" t="str">
        <f>IF(ISBLANK('Saisie données file act.'!AD73), "", 'Saisie données file act.'!AD73)</f>
        <v/>
      </c>
      <c r="AE54" s="903" t="str">
        <f>IF(ISBLANK('Saisie données file act.'!AE73), "", 'Saisie données file act.'!AE73)</f>
        <v/>
      </c>
      <c r="AF54" s="903" t="str">
        <f>IF(ISBLANK('Saisie données file act.'!AF73), "", 'Saisie données file act.'!AF73)</f>
        <v/>
      </c>
      <c r="AG54" s="903" t="str">
        <f>IF(ISBLANK('Saisie données file act.'!AG73), "", 'Saisie données file act.'!AG73)</f>
        <v/>
      </c>
      <c r="AH54" s="903" t="str">
        <f>IF(ISBLANK('Saisie données file act.'!AH73), "", 'Saisie données file act.'!AH73)</f>
        <v/>
      </c>
      <c r="AI54" s="903" t="str">
        <f>IF(ISBLANK('Saisie données file act.'!AI73), "", 'Saisie données file act.'!AI73)</f>
        <v/>
      </c>
      <c r="AJ54" s="903" t="str">
        <f>IF(ISBLANK('Saisie données file act.'!AJ73), "", 'Saisie données file act.'!AJ73)</f>
        <v/>
      </c>
      <c r="AK54" s="903" t="str">
        <f>IF(ISBLANK('Saisie données file act.'!AK73), "", 'Saisie données file act.'!AK73)</f>
        <v/>
      </c>
      <c r="AL54" s="903" t="str">
        <f>IF(ISBLANK('Saisie données file act.'!AL73), "", 'Saisie données file act.'!AL73)</f>
        <v/>
      </c>
      <c r="AM54" s="903" t="str">
        <f>IF(ISBLANK('Saisie données file act.'!AM73), "", 'Saisie données file act.'!AM73)</f>
        <v/>
      </c>
      <c r="AN54" s="903" t="str">
        <f>IF(ISBLANK('Saisie données file act.'!AN73), "", 'Saisie données file act.'!AN73)</f>
        <v/>
      </c>
      <c r="AO54" s="903" t="str">
        <f>IF(ISBLANK('Saisie données file act.'!AO73), "", 'Saisie données file act.'!AO73)</f>
        <v/>
      </c>
      <c r="AP54" s="903" t="str">
        <f>IF(ISBLANK('Saisie données file act.'!AP73), "", 'Saisie données file act.'!AP73)</f>
        <v/>
      </c>
      <c r="AQ54" s="903" t="str">
        <f>IF(ISBLANK('Saisie données file act.'!AQ73), "", 'Saisie données file act.'!AQ73)</f>
        <v/>
      </c>
      <c r="AR54" s="903" t="str">
        <f>IF(ISBLANK('Saisie données file act.'!AR73), "", 'Saisie données file act.'!AR73)</f>
        <v/>
      </c>
      <c r="AS54" s="903" t="str">
        <f>IF(ISBLANK('Saisie données file act.'!AS73), "", 'Saisie données file act.'!AS73)</f>
        <v/>
      </c>
      <c r="AT54" s="903" t="str">
        <f>IF(ISBLANK('Saisie données file act.'!AT73), "", 'Saisie données file act.'!AT73)</f>
        <v/>
      </c>
      <c r="AU54" s="903" t="str">
        <f>IF(ISBLANK('Saisie données file act.'!AU73), "", 'Saisie données file act.'!AU73)</f>
        <v/>
      </c>
      <c r="AV54" s="909">
        <f>'Saisie données file act.'!E163</f>
        <v>0</v>
      </c>
      <c r="AW54" s="910"/>
      <c r="AX54" s="909">
        <f>'Saisie données file act.'!E305</f>
        <v>0</v>
      </c>
    </row>
    <row r="55" spans="3:50" s="895" customFormat="1" ht="14.25" thickBot="1" x14ac:dyDescent="0.3">
      <c r="C55" s="3258"/>
      <c r="D55" s="905">
        <f>'Saisie données file act.'!D74</f>
        <v>0</v>
      </c>
      <c r="E55" s="903" t="str">
        <f>IF(ISBLANK('Saisie données file act.'!E74), "", 'Saisie données file act.'!E74)</f>
        <v/>
      </c>
      <c r="F55" s="903" t="str">
        <f>IF(ISBLANK('Saisie données file act.'!F74), "", 'Saisie données file act.'!F74)</f>
        <v/>
      </c>
      <c r="G55" s="903" t="str">
        <f>IF(ISBLANK('Saisie données file act.'!G74), "", 'Saisie données file act.'!G74)</f>
        <v/>
      </c>
      <c r="H55" s="903" t="str">
        <f>IF(ISBLANK('Saisie données file act.'!H74), "", 'Saisie données file act.'!H74)</f>
        <v/>
      </c>
      <c r="I55" s="903" t="str">
        <f>IF(ISBLANK('Saisie données file act.'!I74), "", 'Saisie données file act.'!I74)</f>
        <v/>
      </c>
      <c r="J55" s="903" t="str">
        <f>IF(ISBLANK('Saisie données file act.'!J74), "", 'Saisie données file act.'!J74)</f>
        <v/>
      </c>
      <c r="K55" s="903" t="str">
        <f>IF(ISBLANK('Saisie données file act.'!K74), "", 'Saisie données file act.'!K74)</f>
        <v/>
      </c>
      <c r="L55" s="903" t="str">
        <f>IF(ISBLANK('Saisie données file act.'!L74), "", 'Saisie données file act.'!L74)</f>
        <v/>
      </c>
      <c r="M55" s="903" t="str">
        <f>IF(ISBLANK('Saisie données file act.'!M74), "", 'Saisie données file act.'!M74)</f>
        <v/>
      </c>
      <c r="N55" s="903" t="str">
        <f>IF(ISBLANK('Saisie données file act.'!N74), "", 'Saisie données file act.'!N74)</f>
        <v/>
      </c>
      <c r="O55" s="903" t="str">
        <f>IF(ISBLANK('Saisie données file act.'!O74), "", 'Saisie données file act.'!O74)</f>
        <v/>
      </c>
      <c r="P55" s="903" t="str">
        <f>IF(ISBLANK('Saisie données file act.'!P74), "", 'Saisie données file act.'!P74)</f>
        <v/>
      </c>
      <c r="Q55" s="903" t="str">
        <f>IF(ISBLANK('Saisie données file act.'!Q74), "", 'Saisie données file act.'!Q74)</f>
        <v/>
      </c>
      <c r="R55" s="903" t="str">
        <f>IF(ISBLANK('Saisie données file act.'!R74), "", 'Saisie données file act.'!R74)</f>
        <v/>
      </c>
      <c r="S55" s="903" t="str">
        <f>IF(ISBLANK('Saisie données file act.'!S74), "", 'Saisie données file act.'!S74)</f>
        <v/>
      </c>
      <c r="T55" s="903" t="str">
        <f>IF(ISBLANK('Saisie données file act.'!T74), "", 'Saisie données file act.'!T74)</f>
        <v/>
      </c>
      <c r="U55" s="903" t="str">
        <f>IF(ISBLANK('Saisie données file act.'!U74), "", 'Saisie données file act.'!U74)</f>
        <v/>
      </c>
      <c r="V55" s="903" t="str">
        <f>IF(ISBLANK('Saisie données file act.'!V74), "", 'Saisie données file act.'!V74)</f>
        <v/>
      </c>
      <c r="W55" s="903" t="str">
        <f>IF(ISBLANK('Saisie données file act.'!W74), "", 'Saisie données file act.'!W74)</f>
        <v/>
      </c>
      <c r="X55" s="903" t="str">
        <f>IF(ISBLANK('Saisie données file act.'!X74), "", 'Saisie données file act.'!X74)</f>
        <v/>
      </c>
      <c r="Y55" s="903" t="str">
        <f>IF(ISBLANK('Saisie données file act.'!Y74), "", 'Saisie données file act.'!Y74)</f>
        <v/>
      </c>
      <c r="Z55" s="903" t="str">
        <f>IF(ISBLANK('Saisie données file act.'!Z74), "", 'Saisie données file act.'!Z74)</f>
        <v/>
      </c>
      <c r="AA55" s="903" t="str">
        <f>IF(ISBLANK('Saisie données file act.'!AA74), "", 'Saisie données file act.'!AA74)</f>
        <v/>
      </c>
      <c r="AB55" s="903" t="str">
        <f>IF(ISBLANK('Saisie données file act.'!AB74), "", 'Saisie données file act.'!AB74)</f>
        <v/>
      </c>
      <c r="AC55" s="903" t="str">
        <f>IF(ISBLANK('Saisie données file act.'!AC74), "", 'Saisie données file act.'!AC74)</f>
        <v/>
      </c>
      <c r="AD55" s="903" t="str">
        <f>IF(ISBLANK('Saisie données file act.'!AD74), "", 'Saisie données file act.'!AD74)</f>
        <v/>
      </c>
      <c r="AE55" s="903" t="str">
        <f>IF(ISBLANK('Saisie données file act.'!AE74), "", 'Saisie données file act.'!AE74)</f>
        <v/>
      </c>
      <c r="AF55" s="903" t="str">
        <f>IF(ISBLANK('Saisie données file act.'!AF74), "", 'Saisie données file act.'!AF74)</f>
        <v/>
      </c>
      <c r="AG55" s="903" t="str">
        <f>IF(ISBLANK('Saisie données file act.'!AG74), "", 'Saisie données file act.'!AG74)</f>
        <v/>
      </c>
      <c r="AH55" s="903" t="str">
        <f>IF(ISBLANK('Saisie données file act.'!AH74), "", 'Saisie données file act.'!AH74)</f>
        <v/>
      </c>
      <c r="AI55" s="903" t="str">
        <f>IF(ISBLANK('Saisie données file act.'!AI74), "", 'Saisie données file act.'!AI74)</f>
        <v/>
      </c>
      <c r="AJ55" s="903" t="str">
        <f>IF(ISBLANK('Saisie données file act.'!AJ74), "", 'Saisie données file act.'!AJ74)</f>
        <v/>
      </c>
      <c r="AK55" s="903" t="str">
        <f>IF(ISBLANK('Saisie données file act.'!AK74), "", 'Saisie données file act.'!AK74)</f>
        <v/>
      </c>
      <c r="AL55" s="903" t="str">
        <f>IF(ISBLANK('Saisie données file act.'!AL74), "", 'Saisie données file act.'!AL74)</f>
        <v/>
      </c>
      <c r="AM55" s="903" t="str">
        <f>IF(ISBLANK('Saisie données file act.'!AM74), "", 'Saisie données file act.'!AM74)</f>
        <v/>
      </c>
      <c r="AN55" s="903" t="str">
        <f>IF(ISBLANK('Saisie données file act.'!AN74), "", 'Saisie données file act.'!AN74)</f>
        <v/>
      </c>
      <c r="AO55" s="903" t="str">
        <f>IF(ISBLANK('Saisie données file act.'!AO74), "", 'Saisie données file act.'!AO74)</f>
        <v/>
      </c>
      <c r="AP55" s="903" t="str">
        <f>IF(ISBLANK('Saisie données file act.'!AP74), "", 'Saisie données file act.'!AP74)</f>
        <v/>
      </c>
      <c r="AQ55" s="903" t="str">
        <f>IF(ISBLANK('Saisie données file act.'!AQ74), "", 'Saisie données file act.'!AQ74)</f>
        <v/>
      </c>
      <c r="AR55" s="903" t="str">
        <f>IF(ISBLANK('Saisie données file act.'!AR74), "", 'Saisie données file act.'!AR74)</f>
        <v/>
      </c>
      <c r="AS55" s="903" t="str">
        <f>IF(ISBLANK('Saisie données file act.'!AS74), "", 'Saisie données file act.'!AS74)</f>
        <v/>
      </c>
      <c r="AT55" s="903" t="str">
        <f>IF(ISBLANK('Saisie données file act.'!AT74), "", 'Saisie données file act.'!AT74)</f>
        <v/>
      </c>
      <c r="AU55" s="903" t="str">
        <f>IF(ISBLANK('Saisie données file act.'!AU74), "", 'Saisie données file act.'!AU74)</f>
        <v/>
      </c>
      <c r="AV55" s="909">
        <f>'Saisie données file act.'!E164</f>
        <v>0</v>
      </c>
      <c r="AW55" s="910"/>
      <c r="AX55" s="909">
        <f>'Saisie données file act.'!E306</f>
        <v>0</v>
      </c>
    </row>
    <row r="56" spans="3:50" s="895" customFormat="1" ht="14.25" thickBot="1" x14ac:dyDescent="0.3">
      <c r="C56" s="3258"/>
      <c r="D56" s="905">
        <f>'Saisie données file act.'!D75</f>
        <v>0</v>
      </c>
      <c r="E56" s="903" t="str">
        <f>IF(ISBLANK('Saisie données file act.'!E75), "", 'Saisie données file act.'!E75)</f>
        <v/>
      </c>
      <c r="F56" s="903" t="str">
        <f>IF(ISBLANK('Saisie données file act.'!F75), "", 'Saisie données file act.'!F75)</f>
        <v/>
      </c>
      <c r="G56" s="903" t="str">
        <f>IF(ISBLANK('Saisie données file act.'!G75), "", 'Saisie données file act.'!G75)</f>
        <v/>
      </c>
      <c r="H56" s="903" t="str">
        <f>IF(ISBLANK('Saisie données file act.'!H75), "", 'Saisie données file act.'!H75)</f>
        <v/>
      </c>
      <c r="I56" s="903" t="str">
        <f>IF(ISBLANK('Saisie données file act.'!I75), "", 'Saisie données file act.'!I75)</f>
        <v/>
      </c>
      <c r="J56" s="903" t="str">
        <f>IF(ISBLANK('Saisie données file act.'!J75), "", 'Saisie données file act.'!J75)</f>
        <v/>
      </c>
      <c r="K56" s="903" t="str">
        <f>IF(ISBLANK('Saisie données file act.'!K75), "", 'Saisie données file act.'!K75)</f>
        <v/>
      </c>
      <c r="L56" s="903" t="str">
        <f>IF(ISBLANK('Saisie données file act.'!L75), "", 'Saisie données file act.'!L75)</f>
        <v/>
      </c>
      <c r="M56" s="903" t="str">
        <f>IF(ISBLANK('Saisie données file act.'!M75), "", 'Saisie données file act.'!M75)</f>
        <v/>
      </c>
      <c r="N56" s="903" t="str">
        <f>IF(ISBLANK('Saisie données file act.'!N75), "", 'Saisie données file act.'!N75)</f>
        <v/>
      </c>
      <c r="O56" s="903" t="str">
        <f>IF(ISBLANK('Saisie données file act.'!O75), "", 'Saisie données file act.'!O75)</f>
        <v/>
      </c>
      <c r="P56" s="903" t="str">
        <f>IF(ISBLANK('Saisie données file act.'!P75), "", 'Saisie données file act.'!P75)</f>
        <v/>
      </c>
      <c r="Q56" s="903" t="str">
        <f>IF(ISBLANK('Saisie données file act.'!Q75), "", 'Saisie données file act.'!Q75)</f>
        <v/>
      </c>
      <c r="R56" s="903" t="str">
        <f>IF(ISBLANK('Saisie données file act.'!R75), "", 'Saisie données file act.'!R75)</f>
        <v/>
      </c>
      <c r="S56" s="903" t="str">
        <f>IF(ISBLANK('Saisie données file act.'!S75), "", 'Saisie données file act.'!S75)</f>
        <v/>
      </c>
      <c r="T56" s="903" t="str">
        <f>IF(ISBLANK('Saisie données file act.'!T75), "", 'Saisie données file act.'!T75)</f>
        <v/>
      </c>
      <c r="U56" s="903" t="str">
        <f>IF(ISBLANK('Saisie données file act.'!U75), "", 'Saisie données file act.'!U75)</f>
        <v/>
      </c>
      <c r="V56" s="903" t="str">
        <f>IF(ISBLANK('Saisie données file act.'!V75), "", 'Saisie données file act.'!V75)</f>
        <v/>
      </c>
      <c r="W56" s="903" t="str">
        <f>IF(ISBLANK('Saisie données file act.'!W75), "", 'Saisie données file act.'!W75)</f>
        <v/>
      </c>
      <c r="X56" s="903" t="str">
        <f>IF(ISBLANK('Saisie données file act.'!X75), "", 'Saisie données file act.'!X75)</f>
        <v/>
      </c>
      <c r="Y56" s="903" t="str">
        <f>IF(ISBLANK('Saisie données file act.'!Y75), "", 'Saisie données file act.'!Y75)</f>
        <v/>
      </c>
      <c r="Z56" s="903" t="str">
        <f>IF(ISBLANK('Saisie données file act.'!Z75), "", 'Saisie données file act.'!Z75)</f>
        <v/>
      </c>
      <c r="AA56" s="903" t="str">
        <f>IF(ISBLANK('Saisie données file act.'!AA75), "", 'Saisie données file act.'!AA75)</f>
        <v/>
      </c>
      <c r="AB56" s="903" t="str">
        <f>IF(ISBLANK('Saisie données file act.'!AB75), "", 'Saisie données file act.'!AB75)</f>
        <v/>
      </c>
      <c r="AC56" s="903" t="str">
        <f>IF(ISBLANK('Saisie données file act.'!AC75), "", 'Saisie données file act.'!AC75)</f>
        <v/>
      </c>
      <c r="AD56" s="903" t="str">
        <f>IF(ISBLANK('Saisie données file act.'!AD75), "", 'Saisie données file act.'!AD75)</f>
        <v/>
      </c>
      <c r="AE56" s="903" t="str">
        <f>IF(ISBLANK('Saisie données file act.'!AE75), "", 'Saisie données file act.'!AE75)</f>
        <v/>
      </c>
      <c r="AF56" s="903" t="str">
        <f>IF(ISBLANK('Saisie données file act.'!AF75), "", 'Saisie données file act.'!AF75)</f>
        <v/>
      </c>
      <c r="AG56" s="903" t="str">
        <f>IF(ISBLANK('Saisie données file act.'!AG75), "", 'Saisie données file act.'!AG75)</f>
        <v/>
      </c>
      <c r="AH56" s="903" t="str">
        <f>IF(ISBLANK('Saisie données file act.'!AH75), "", 'Saisie données file act.'!AH75)</f>
        <v/>
      </c>
      <c r="AI56" s="903" t="str">
        <f>IF(ISBLANK('Saisie données file act.'!AI75), "", 'Saisie données file act.'!AI75)</f>
        <v/>
      </c>
      <c r="AJ56" s="903" t="str">
        <f>IF(ISBLANK('Saisie données file act.'!AJ75), "", 'Saisie données file act.'!AJ75)</f>
        <v/>
      </c>
      <c r="AK56" s="903" t="str">
        <f>IF(ISBLANK('Saisie données file act.'!AK75), "", 'Saisie données file act.'!AK75)</f>
        <v/>
      </c>
      <c r="AL56" s="903" t="str">
        <f>IF(ISBLANK('Saisie données file act.'!AL75), "", 'Saisie données file act.'!AL75)</f>
        <v/>
      </c>
      <c r="AM56" s="903" t="str">
        <f>IF(ISBLANK('Saisie données file act.'!AM75), "", 'Saisie données file act.'!AM75)</f>
        <v/>
      </c>
      <c r="AN56" s="903" t="str">
        <f>IF(ISBLANK('Saisie données file act.'!AN75), "", 'Saisie données file act.'!AN75)</f>
        <v/>
      </c>
      <c r="AO56" s="903" t="str">
        <f>IF(ISBLANK('Saisie données file act.'!AO75), "", 'Saisie données file act.'!AO75)</f>
        <v/>
      </c>
      <c r="AP56" s="903" t="str">
        <f>IF(ISBLANK('Saisie données file act.'!AP75), "", 'Saisie données file act.'!AP75)</f>
        <v/>
      </c>
      <c r="AQ56" s="903" t="str">
        <f>IF(ISBLANK('Saisie données file act.'!AQ75), "", 'Saisie données file act.'!AQ75)</f>
        <v/>
      </c>
      <c r="AR56" s="903" t="str">
        <f>IF(ISBLANK('Saisie données file act.'!AR75), "", 'Saisie données file act.'!AR75)</f>
        <v/>
      </c>
      <c r="AS56" s="903" t="str">
        <f>IF(ISBLANK('Saisie données file act.'!AS75), "", 'Saisie données file act.'!AS75)</f>
        <v/>
      </c>
      <c r="AT56" s="903" t="str">
        <f>IF(ISBLANK('Saisie données file act.'!AT75), "", 'Saisie données file act.'!AT75)</f>
        <v/>
      </c>
      <c r="AU56" s="903" t="str">
        <f>IF(ISBLANK('Saisie données file act.'!AU75), "", 'Saisie données file act.'!AU75)</f>
        <v/>
      </c>
      <c r="AV56" s="900">
        <f>'Saisie données file act.'!E165</f>
        <v>0</v>
      </c>
      <c r="AW56" s="901"/>
      <c r="AX56" s="900">
        <f>'Saisie données file act.'!E307</f>
        <v>0</v>
      </c>
    </row>
    <row r="57" spans="3:50" s="895" customFormat="1" ht="14.25" thickBot="1" x14ac:dyDescent="0.3">
      <c r="C57" s="3258"/>
      <c r="D57" s="904">
        <f>'Saisie données file act.'!D76</f>
        <v>0</v>
      </c>
      <c r="E57" s="903" t="str">
        <f>IF(ISBLANK('Saisie données file act.'!E76), "", 'Saisie données file act.'!E76)</f>
        <v/>
      </c>
      <c r="F57" s="903" t="str">
        <f>IF(ISBLANK('Saisie données file act.'!F76), "", 'Saisie données file act.'!F76)</f>
        <v/>
      </c>
      <c r="G57" s="903" t="str">
        <f>IF(ISBLANK('Saisie données file act.'!G76), "", 'Saisie données file act.'!G76)</f>
        <v/>
      </c>
      <c r="H57" s="903" t="str">
        <f>IF(ISBLANK('Saisie données file act.'!H76), "", 'Saisie données file act.'!H76)</f>
        <v/>
      </c>
      <c r="I57" s="903" t="str">
        <f>IF(ISBLANK('Saisie données file act.'!I76), "", 'Saisie données file act.'!I76)</f>
        <v/>
      </c>
      <c r="J57" s="903" t="str">
        <f>IF(ISBLANK('Saisie données file act.'!J76), "", 'Saisie données file act.'!J76)</f>
        <v/>
      </c>
      <c r="K57" s="903" t="str">
        <f>IF(ISBLANK('Saisie données file act.'!K76), "", 'Saisie données file act.'!K76)</f>
        <v/>
      </c>
      <c r="L57" s="903" t="str">
        <f>IF(ISBLANK('Saisie données file act.'!L76), "", 'Saisie données file act.'!L76)</f>
        <v/>
      </c>
      <c r="M57" s="903" t="str">
        <f>IF(ISBLANK('Saisie données file act.'!M76), "", 'Saisie données file act.'!M76)</f>
        <v/>
      </c>
      <c r="N57" s="903" t="str">
        <f>IF(ISBLANK('Saisie données file act.'!N76), "", 'Saisie données file act.'!N76)</f>
        <v/>
      </c>
      <c r="O57" s="903" t="str">
        <f>IF(ISBLANK('Saisie données file act.'!O76), "", 'Saisie données file act.'!O76)</f>
        <v/>
      </c>
      <c r="P57" s="903" t="str">
        <f>IF(ISBLANK('Saisie données file act.'!P76), "", 'Saisie données file act.'!P76)</f>
        <v/>
      </c>
      <c r="Q57" s="903" t="str">
        <f>IF(ISBLANK('Saisie données file act.'!Q76), "", 'Saisie données file act.'!Q76)</f>
        <v/>
      </c>
      <c r="R57" s="903" t="str">
        <f>IF(ISBLANK('Saisie données file act.'!R76), "", 'Saisie données file act.'!R76)</f>
        <v/>
      </c>
      <c r="S57" s="903" t="str">
        <f>IF(ISBLANK('Saisie données file act.'!S76), "", 'Saisie données file act.'!S76)</f>
        <v/>
      </c>
      <c r="T57" s="903" t="str">
        <f>IF(ISBLANK('Saisie données file act.'!T76), "", 'Saisie données file act.'!T76)</f>
        <v/>
      </c>
      <c r="U57" s="903" t="str">
        <f>IF(ISBLANK('Saisie données file act.'!U76), "", 'Saisie données file act.'!U76)</f>
        <v/>
      </c>
      <c r="V57" s="903" t="str">
        <f>IF(ISBLANK('Saisie données file act.'!V76), "", 'Saisie données file act.'!V76)</f>
        <v/>
      </c>
      <c r="W57" s="903" t="str">
        <f>IF(ISBLANK('Saisie données file act.'!W76), "", 'Saisie données file act.'!W76)</f>
        <v/>
      </c>
      <c r="X57" s="903" t="str">
        <f>IF(ISBLANK('Saisie données file act.'!X76), "", 'Saisie données file act.'!X76)</f>
        <v/>
      </c>
      <c r="Y57" s="903" t="str">
        <f>IF(ISBLANK('Saisie données file act.'!Y76), "", 'Saisie données file act.'!Y76)</f>
        <v/>
      </c>
      <c r="Z57" s="903" t="str">
        <f>IF(ISBLANK('Saisie données file act.'!Z76), "", 'Saisie données file act.'!Z76)</f>
        <v/>
      </c>
      <c r="AA57" s="903" t="str">
        <f>IF(ISBLANK('Saisie données file act.'!AA76), "", 'Saisie données file act.'!AA76)</f>
        <v/>
      </c>
      <c r="AB57" s="903" t="str">
        <f>IF(ISBLANK('Saisie données file act.'!AB76), "", 'Saisie données file act.'!AB76)</f>
        <v/>
      </c>
      <c r="AC57" s="903" t="str">
        <f>IF(ISBLANK('Saisie données file act.'!AC76), "", 'Saisie données file act.'!AC76)</f>
        <v/>
      </c>
      <c r="AD57" s="903" t="str">
        <f>IF(ISBLANK('Saisie données file act.'!AD76), "", 'Saisie données file act.'!AD76)</f>
        <v/>
      </c>
      <c r="AE57" s="903" t="str">
        <f>IF(ISBLANK('Saisie données file act.'!AE76), "", 'Saisie données file act.'!AE76)</f>
        <v/>
      </c>
      <c r="AF57" s="903" t="str">
        <f>IF(ISBLANK('Saisie données file act.'!AF76), "", 'Saisie données file act.'!AF76)</f>
        <v/>
      </c>
      <c r="AG57" s="903" t="str">
        <f>IF(ISBLANK('Saisie données file act.'!AG76), "", 'Saisie données file act.'!AG76)</f>
        <v/>
      </c>
      <c r="AH57" s="903" t="str">
        <f>IF(ISBLANK('Saisie données file act.'!AH76), "", 'Saisie données file act.'!AH76)</f>
        <v/>
      </c>
      <c r="AI57" s="903" t="str">
        <f>IF(ISBLANK('Saisie données file act.'!AI76), "", 'Saisie données file act.'!AI76)</f>
        <v/>
      </c>
      <c r="AJ57" s="903" t="str">
        <f>IF(ISBLANK('Saisie données file act.'!AJ76), "", 'Saisie données file act.'!AJ76)</f>
        <v/>
      </c>
      <c r="AK57" s="903" t="str">
        <f>IF(ISBLANK('Saisie données file act.'!AK76), "", 'Saisie données file act.'!AK76)</f>
        <v/>
      </c>
      <c r="AL57" s="903" t="str">
        <f>IF(ISBLANK('Saisie données file act.'!AL76), "", 'Saisie données file act.'!AL76)</f>
        <v/>
      </c>
      <c r="AM57" s="903" t="str">
        <f>IF(ISBLANK('Saisie données file act.'!AM76), "", 'Saisie données file act.'!AM76)</f>
        <v/>
      </c>
      <c r="AN57" s="903" t="str">
        <f>IF(ISBLANK('Saisie données file act.'!AN76), "", 'Saisie données file act.'!AN76)</f>
        <v/>
      </c>
      <c r="AO57" s="903" t="str">
        <f>IF(ISBLANK('Saisie données file act.'!AO76), "", 'Saisie données file act.'!AO76)</f>
        <v/>
      </c>
      <c r="AP57" s="903" t="str">
        <f>IF(ISBLANK('Saisie données file act.'!AP76), "", 'Saisie données file act.'!AP76)</f>
        <v/>
      </c>
      <c r="AQ57" s="903" t="str">
        <f>IF(ISBLANK('Saisie données file act.'!AQ76), "", 'Saisie données file act.'!AQ76)</f>
        <v/>
      </c>
      <c r="AR57" s="903" t="str">
        <f>IF(ISBLANK('Saisie données file act.'!AR76), "", 'Saisie données file act.'!AR76)</f>
        <v/>
      </c>
      <c r="AS57" s="903" t="str">
        <f>IF(ISBLANK('Saisie données file act.'!AS76), "", 'Saisie données file act.'!AS76)</f>
        <v/>
      </c>
      <c r="AT57" s="903" t="str">
        <f>IF(ISBLANK('Saisie données file act.'!AT76), "", 'Saisie données file act.'!AT76)</f>
        <v/>
      </c>
      <c r="AU57" s="903" t="str">
        <f>IF(ISBLANK('Saisie données file act.'!AU76), "", 'Saisie données file act.'!AU76)</f>
        <v/>
      </c>
      <c r="AV57" s="909">
        <f>'Saisie données file act.'!E166</f>
        <v>0</v>
      </c>
      <c r="AW57" s="910"/>
      <c r="AX57" s="909">
        <f>'Saisie données file act.'!E308</f>
        <v>0</v>
      </c>
    </row>
    <row r="58" spans="3:50" s="895" customFormat="1" ht="14.25" thickBot="1" x14ac:dyDescent="0.3">
      <c r="C58" s="3258"/>
      <c r="D58" s="904">
        <f>'Saisie données file act.'!D77</f>
        <v>0</v>
      </c>
      <c r="E58" s="903" t="str">
        <f>IF(ISBLANK('Saisie données file act.'!E77), "", 'Saisie données file act.'!E77)</f>
        <v/>
      </c>
      <c r="F58" s="903" t="str">
        <f>IF(ISBLANK('Saisie données file act.'!F77), "", 'Saisie données file act.'!F77)</f>
        <v/>
      </c>
      <c r="G58" s="903" t="str">
        <f>IF(ISBLANK('Saisie données file act.'!G77), "", 'Saisie données file act.'!G77)</f>
        <v/>
      </c>
      <c r="H58" s="903" t="str">
        <f>IF(ISBLANK('Saisie données file act.'!H77), "", 'Saisie données file act.'!H77)</f>
        <v/>
      </c>
      <c r="I58" s="903" t="str">
        <f>IF(ISBLANK('Saisie données file act.'!I77), "", 'Saisie données file act.'!I77)</f>
        <v/>
      </c>
      <c r="J58" s="903" t="str">
        <f>IF(ISBLANK('Saisie données file act.'!J77), "", 'Saisie données file act.'!J77)</f>
        <v/>
      </c>
      <c r="K58" s="903" t="str">
        <f>IF(ISBLANK('Saisie données file act.'!K77), "", 'Saisie données file act.'!K77)</f>
        <v/>
      </c>
      <c r="L58" s="903" t="str">
        <f>IF(ISBLANK('Saisie données file act.'!L77), "", 'Saisie données file act.'!L77)</f>
        <v/>
      </c>
      <c r="M58" s="903" t="str">
        <f>IF(ISBLANK('Saisie données file act.'!M77), "", 'Saisie données file act.'!M77)</f>
        <v/>
      </c>
      <c r="N58" s="903" t="str">
        <f>IF(ISBLANK('Saisie données file act.'!N77), "", 'Saisie données file act.'!N77)</f>
        <v/>
      </c>
      <c r="O58" s="903" t="str">
        <f>IF(ISBLANK('Saisie données file act.'!O77), "", 'Saisie données file act.'!O77)</f>
        <v/>
      </c>
      <c r="P58" s="903" t="str">
        <f>IF(ISBLANK('Saisie données file act.'!P77), "", 'Saisie données file act.'!P77)</f>
        <v/>
      </c>
      <c r="Q58" s="903" t="str">
        <f>IF(ISBLANK('Saisie données file act.'!Q77), "", 'Saisie données file act.'!Q77)</f>
        <v/>
      </c>
      <c r="R58" s="903" t="str">
        <f>IF(ISBLANK('Saisie données file act.'!R77), "", 'Saisie données file act.'!R77)</f>
        <v/>
      </c>
      <c r="S58" s="903" t="str">
        <f>IF(ISBLANK('Saisie données file act.'!S77), "", 'Saisie données file act.'!S77)</f>
        <v/>
      </c>
      <c r="T58" s="903" t="str">
        <f>IF(ISBLANK('Saisie données file act.'!T77), "", 'Saisie données file act.'!T77)</f>
        <v/>
      </c>
      <c r="U58" s="903" t="str">
        <f>IF(ISBLANK('Saisie données file act.'!U77), "", 'Saisie données file act.'!U77)</f>
        <v/>
      </c>
      <c r="V58" s="903" t="str">
        <f>IF(ISBLANK('Saisie données file act.'!V77), "", 'Saisie données file act.'!V77)</f>
        <v/>
      </c>
      <c r="W58" s="903" t="str">
        <f>IF(ISBLANK('Saisie données file act.'!W77), "", 'Saisie données file act.'!W77)</f>
        <v/>
      </c>
      <c r="X58" s="903" t="str">
        <f>IF(ISBLANK('Saisie données file act.'!X77), "", 'Saisie données file act.'!X77)</f>
        <v/>
      </c>
      <c r="Y58" s="903" t="str">
        <f>IF(ISBLANK('Saisie données file act.'!Y77), "", 'Saisie données file act.'!Y77)</f>
        <v/>
      </c>
      <c r="Z58" s="903" t="str">
        <f>IF(ISBLANK('Saisie données file act.'!Z77), "", 'Saisie données file act.'!Z77)</f>
        <v/>
      </c>
      <c r="AA58" s="903" t="str">
        <f>IF(ISBLANK('Saisie données file act.'!AA77), "", 'Saisie données file act.'!AA77)</f>
        <v/>
      </c>
      <c r="AB58" s="903" t="str">
        <f>IF(ISBLANK('Saisie données file act.'!AB77), "", 'Saisie données file act.'!AB77)</f>
        <v/>
      </c>
      <c r="AC58" s="903" t="str">
        <f>IF(ISBLANK('Saisie données file act.'!AC77), "", 'Saisie données file act.'!AC77)</f>
        <v/>
      </c>
      <c r="AD58" s="903" t="str">
        <f>IF(ISBLANK('Saisie données file act.'!AD77), "", 'Saisie données file act.'!AD77)</f>
        <v/>
      </c>
      <c r="AE58" s="903" t="str">
        <f>IF(ISBLANK('Saisie données file act.'!AE77), "", 'Saisie données file act.'!AE77)</f>
        <v/>
      </c>
      <c r="AF58" s="903" t="str">
        <f>IF(ISBLANK('Saisie données file act.'!AF77), "", 'Saisie données file act.'!AF77)</f>
        <v/>
      </c>
      <c r="AG58" s="903" t="str">
        <f>IF(ISBLANK('Saisie données file act.'!AG77), "", 'Saisie données file act.'!AG77)</f>
        <v/>
      </c>
      <c r="AH58" s="903" t="str">
        <f>IF(ISBLANK('Saisie données file act.'!AH77), "", 'Saisie données file act.'!AH77)</f>
        <v/>
      </c>
      <c r="AI58" s="903" t="str">
        <f>IF(ISBLANK('Saisie données file act.'!AI77), "", 'Saisie données file act.'!AI77)</f>
        <v/>
      </c>
      <c r="AJ58" s="903" t="str">
        <f>IF(ISBLANK('Saisie données file act.'!AJ77), "", 'Saisie données file act.'!AJ77)</f>
        <v/>
      </c>
      <c r="AK58" s="903" t="str">
        <f>IF(ISBLANK('Saisie données file act.'!AK77), "", 'Saisie données file act.'!AK77)</f>
        <v/>
      </c>
      <c r="AL58" s="903" t="str">
        <f>IF(ISBLANK('Saisie données file act.'!AL77), "", 'Saisie données file act.'!AL77)</f>
        <v/>
      </c>
      <c r="AM58" s="903" t="str">
        <f>IF(ISBLANK('Saisie données file act.'!AM77), "", 'Saisie données file act.'!AM77)</f>
        <v/>
      </c>
      <c r="AN58" s="903" t="str">
        <f>IF(ISBLANK('Saisie données file act.'!AN77), "", 'Saisie données file act.'!AN77)</f>
        <v/>
      </c>
      <c r="AO58" s="903" t="str">
        <f>IF(ISBLANK('Saisie données file act.'!AO77), "", 'Saisie données file act.'!AO77)</f>
        <v/>
      </c>
      <c r="AP58" s="903" t="str">
        <f>IF(ISBLANK('Saisie données file act.'!AP77), "", 'Saisie données file act.'!AP77)</f>
        <v/>
      </c>
      <c r="AQ58" s="903" t="str">
        <f>IF(ISBLANK('Saisie données file act.'!AQ77), "", 'Saisie données file act.'!AQ77)</f>
        <v/>
      </c>
      <c r="AR58" s="903" t="str">
        <f>IF(ISBLANK('Saisie données file act.'!AR77), "", 'Saisie données file act.'!AR77)</f>
        <v/>
      </c>
      <c r="AS58" s="903" t="str">
        <f>IF(ISBLANK('Saisie données file act.'!AS77), "", 'Saisie données file act.'!AS77)</f>
        <v/>
      </c>
      <c r="AT58" s="903" t="str">
        <f>IF(ISBLANK('Saisie données file act.'!AT77), "", 'Saisie données file act.'!AT77)</f>
        <v/>
      </c>
      <c r="AU58" s="903" t="str">
        <f>IF(ISBLANK('Saisie données file act.'!AU77), "", 'Saisie données file act.'!AU77)</f>
        <v/>
      </c>
      <c r="AV58" s="909">
        <f>'Saisie données file act.'!E167</f>
        <v>0</v>
      </c>
      <c r="AW58" s="910"/>
      <c r="AX58" s="909">
        <f>'Saisie données file act.'!E309</f>
        <v>0</v>
      </c>
    </row>
    <row r="59" spans="3:50" s="895" customFormat="1" ht="14.25" thickBot="1" x14ac:dyDescent="0.3">
      <c r="C59" s="3258"/>
      <c r="D59" s="904">
        <f>'Saisie données file act.'!D78</f>
        <v>0</v>
      </c>
      <c r="E59" s="903" t="str">
        <f>IF(ISBLANK('Saisie données file act.'!E78), "", 'Saisie données file act.'!E78)</f>
        <v/>
      </c>
      <c r="F59" s="903" t="str">
        <f>IF(ISBLANK('Saisie données file act.'!F78), "", 'Saisie données file act.'!F78)</f>
        <v/>
      </c>
      <c r="G59" s="903" t="str">
        <f>IF(ISBLANK('Saisie données file act.'!G78), "", 'Saisie données file act.'!G78)</f>
        <v/>
      </c>
      <c r="H59" s="903" t="str">
        <f>IF(ISBLANK('Saisie données file act.'!H78), "", 'Saisie données file act.'!H78)</f>
        <v/>
      </c>
      <c r="I59" s="903" t="str">
        <f>IF(ISBLANK('Saisie données file act.'!I78), "", 'Saisie données file act.'!I78)</f>
        <v/>
      </c>
      <c r="J59" s="903" t="str">
        <f>IF(ISBLANK('Saisie données file act.'!J78), "", 'Saisie données file act.'!J78)</f>
        <v/>
      </c>
      <c r="K59" s="903" t="str">
        <f>IF(ISBLANK('Saisie données file act.'!K78), "", 'Saisie données file act.'!K78)</f>
        <v/>
      </c>
      <c r="L59" s="903" t="str">
        <f>IF(ISBLANK('Saisie données file act.'!L78), "", 'Saisie données file act.'!L78)</f>
        <v/>
      </c>
      <c r="M59" s="903" t="str">
        <f>IF(ISBLANK('Saisie données file act.'!M78), "", 'Saisie données file act.'!M78)</f>
        <v/>
      </c>
      <c r="N59" s="903" t="str">
        <f>IF(ISBLANK('Saisie données file act.'!N78), "", 'Saisie données file act.'!N78)</f>
        <v/>
      </c>
      <c r="O59" s="903" t="str">
        <f>IF(ISBLANK('Saisie données file act.'!O78), "", 'Saisie données file act.'!O78)</f>
        <v/>
      </c>
      <c r="P59" s="903" t="str">
        <f>IF(ISBLANK('Saisie données file act.'!P78), "", 'Saisie données file act.'!P78)</f>
        <v/>
      </c>
      <c r="Q59" s="903" t="str">
        <f>IF(ISBLANK('Saisie données file act.'!Q78), "", 'Saisie données file act.'!Q78)</f>
        <v/>
      </c>
      <c r="R59" s="903" t="str">
        <f>IF(ISBLANK('Saisie données file act.'!R78), "", 'Saisie données file act.'!R78)</f>
        <v/>
      </c>
      <c r="S59" s="903" t="str">
        <f>IF(ISBLANK('Saisie données file act.'!S78), "", 'Saisie données file act.'!S78)</f>
        <v/>
      </c>
      <c r="T59" s="903" t="str">
        <f>IF(ISBLANK('Saisie données file act.'!T78), "", 'Saisie données file act.'!T78)</f>
        <v/>
      </c>
      <c r="U59" s="903" t="str">
        <f>IF(ISBLANK('Saisie données file act.'!U78), "", 'Saisie données file act.'!U78)</f>
        <v/>
      </c>
      <c r="V59" s="903" t="str">
        <f>IF(ISBLANK('Saisie données file act.'!V78), "", 'Saisie données file act.'!V78)</f>
        <v/>
      </c>
      <c r="W59" s="903" t="str">
        <f>IF(ISBLANK('Saisie données file act.'!W78), "", 'Saisie données file act.'!W78)</f>
        <v/>
      </c>
      <c r="X59" s="903" t="str">
        <f>IF(ISBLANK('Saisie données file act.'!X78), "", 'Saisie données file act.'!X78)</f>
        <v/>
      </c>
      <c r="Y59" s="903" t="str">
        <f>IF(ISBLANK('Saisie données file act.'!Y78), "", 'Saisie données file act.'!Y78)</f>
        <v/>
      </c>
      <c r="Z59" s="903" t="str">
        <f>IF(ISBLANK('Saisie données file act.'!Z78), "", 'Saisie données file act.'!Z78)</f>
        <v/>
      </c>
      <c r="AA59" s="903" t="str">
        <f>IF(ISBLANK('Saisie données file act.'!AA78), "", 'Saisie données file act.'!AA78)</f>
        <v/>
      </c>
      <c r="AB59" s="903" t="str">
        <f>IF(ISBLANK('Saisie données file act.'!AB78), "", 'Saisie données file act.'!AB78)</f>
        <v/>
      </c>
      <c r="AC59" s="903" t="str">
        <f>IF(ISBLANK('Saisie données file act.'!AC78), "", 'Saisie données file act.'!AC78)</f>
        <v/>
      </c>
      <c r="AD59" s="903" t="str">
        <f>IF(ISBLANK('Saisie données file act.'!AD78), "", 'Saisie données file act.'!AD78)</f>
        <v/>
      </c>
      <c r="AE59" s="903" t="str">
        <f>IF(ISBLANK('Saisie données file act.'!AE78), "", 'Saisie données file act.'!AE78)</f>
        <v/>
      </c>
      <c r="AF59" s="903" t="str">
        <f>IF(ISBLANK('Saisie données file act.'!AF78), "", 'Saisie données file act.'!AF78)</f>
        <v/>
      </c>
      <c r="AG59" s="903" t="str">
        <f>IF(ISBLANK('Saisie données file act.'!AG78), "", 'Saisie données file act.'!AG78)</f>
        <v/>
      </c>
      <c r="AH59" s="903" t="str">
        <f>IF(ISBLANK('Saisie données file act.'!AH78), "", 'Saisie données file act.'!AH78)</f>
        <v/>
      </c>
      <c r="AI59" s="903" t="str">
        <f>IF(ISBLANK('Saisie données file act.'!AI78), "", 'Saisie données file act.'!AI78)</f>
        <v/>
      </c>
      <c r="AJ59" s="903" t="str">
        <f>IF(ISBLANK('Saisie données file act.'!AJ78), "", 'Saisie données file act.'!AJ78)</f>
        <v/>
      </c>
      <c r="AK59" s="903" t="str">
        <f>IF(ISBLANK('Saisie données file act.'!AK78), "", 'Saisie données file act.'!AK78)</f>
        <v/>
      </c>
      <c r="AL59" s="903" t="str">
        <f>IF(ISBLANK('Saisie données file act.'!AL78), "", 'Saisie données file act.'!AL78)</f>
        <v/>
      </c>
      <c r="AM59" s="903" t="str">
        <f>IF(ISBLANK('Saisie données file act.'!AM78), "", 'Saisie données file act.'!AM78)</f>
        <v/>
      </c>
      <c r="AN59" s="903" t="str">
        <f>IF(ISBLANK('Saisie données file act.'!AN78), "", 'Saisie données file act.'!AN78)</f>
        <v/>
      </c>
      <c r="AO59" s="903" t="str">
        <f>IF(ISBLANK('Saisie données file act.'!AO78), "", 'Saisie données file act.'!AO78)</f>
        <v/>
      </c>
      <c r="AP59" s="903" t="str">
        <f>IF(ISBLANK('Saisie données file act.'!AP78), "", 'Saisie données file act.'!AP78)</f>
        <v/>
      </c>
      <c r="AQ59" s="903" t="str">
        <f>IF(ISBLANK('Saisie données file act.'!AQ78), "", 'Saisie données file act.'!AQ78)</f>
        <v/>
      </c>
      <c r="AR59" s="903" t="str">
        <f>IF(ISBLANK('Saisie données file act.'!AR78), "", 'Saisie données file act.'!AR78)</f>
        <v/>
      </c>
      <c r="AS59" s="903" t="str">
        <f>IF(ISBLANK('Saisie données file act.'!AS78), "", 'Saisie données file act.'!AS78)</f>
        <v/>
      </c>
      <c r="AT59" s="903" t="str">
        <f>IF(ISBLANK('Saisie données file act.'!AT78), "", 'Saisie données file act.'!AT78)</f>
        <v/>
      </c>
      <c r="AU59" s="903" t="str">
        <f>IF(ISBLANK('Saisie données file act.'!AU78), "", 'Saisie données file act.'!AU78)</f>
        <v/>
      </c>
      <c r="AV59" s="909">
        <f>'Saisie données file act.'!E168</f>
        <v>0</v>
      </c>
      <c r="AW59" s="910"/>
      <c r="AX59" s="909">
        <f>'Saisie données file act.'!E310</f>
        <v>0</v>
      </c>
    </row>
    <row r="60" spans="3:50" s="895" customFormat="1" ht="14.25" thickBot="1" x14ac:dyDescent="0.3">
      <c r="C60" s="3258"/>
      <c r="D60" s="904">
        <f>'Saisie données file act.'!D79</f>
        <v>0</v>
      </c>
      <c r="E60" s="903" t="str">
        <f>IF(ISBLANK('Saisie données file act.'!E79), "", 'Saisie données file act.'!E79)</f>
        <v/>
      </c>
      <c r="F60" s="903" t="str">
        <f>IF(ISBLANK('Saisie données file act.'!F79), "", 'Saisie données file act.'!F79)</f>
        <v/>
      </c>
      <c r="G60" s="903" t="str">
        <f>IF(ISBLANK('Saisie données file act.'!G79), "", 'Saisie données file act.'!G79)</f>
        <v/>
      </c>
      <c r="H60" s="903" t="str">
        <f>IF(ISBLANK('Saisie données file act.'!H79), "", 'Saisie données file act.'!H79)</f>
        <v/>
      </c>
      <c r="I60" s="903" t="str">
        <f>IF(ISBLANK('Saisie données file act.'!I79), "", 'Saisie données file act.'!I79)</f>
        <v/>
      </c>
      <c r="J60" s="903" t="str">
        <f>IF(ISBLANK('Saisie données file act.'!J79), "", 'Saisie données file act.'!J79)</f>
        <v/>
      </c>
      <c r="K60" s="903" t="str">
        <f>IF(ISBLANK('Saisie données file act.'!K79), "", 'Saisie données file act.'!K79)</f>
        <v/>
      </c>
      <c r="L60" s="903" t="str">
        <f>IF(ISBLANK('Saisie données file act.'!L79), "", 'Saisie données file act.'!L79)</f>
        <v/>
      </c>
      <c r="M60" s="903" t="str">
        <f>IF(ISBLANK('Saisie données file act.'!M79), "", 'Saisie données file act.'!M79)</f>
        <v/>
      </c>
      <c r="N60" s="903" t="str">
        <f>IF(ISBLANK('Saisie données file act.'!N79), "", 'Saisie données file act.'!N79)</f>
        <v/>
      </c>
      <c r="O60" s="903" t="str">
        <f>IF(ISBLANK('Saisie données file act.'!O79), "", 'Saisie données file act.'!O79)</f>
        <v/>
      </c>
      <c r="P60" s="903" t="str">
        <f>IF(ISBLANK('Saisie données file act.'!P79), "", 'Saisie données file act.'!P79)</f>
        <v/>
      </c>
      <c r="Q60" s="903" t="str">
        <f>IF(ISBLANK('Saisie données file act.'!Q79), "", 'Saisie données file act.'!Q79)</f>
        <v/>
      </c>
      <c r="R60" s="903" t="str">
        <f>IF(ISBLANK('Saisie données file act.'!R79), "", 'Saisie données file act.'!R79)</f>
        <v/>
      </c>
      <c r="S60" s="903" t="str">
        <f>IF(ISBLANK('Saisie données file act.'!S79), "", 'Saisie données file act.'!S79)</f>
        <v/>
      </c>
      <c r="T60" s="903" t="str">
        <f>IF(ISBLANK('Saisie données file act.'!T79), "", 'Saisie données file act.'!T79)</f>
        <v/>
      </c>
      <c r="U60" s="903" t="str">
        <f>IF(ISBLANK('Saisie données file act.'!U79), "", 'Saisie données file act.'!U79)</f>
        <v/>
      </c>
      <c r="V60" s="903" t="str">
        <f>IF(ISBLANK('Saisie données file act.'!V79), "", 'Saisie données file act.'!V79)</f>
        <v/>
      </c>
      <c r="W60" s="903" t="str">
        <f>IF(ISBLANK('Saisie données file act.'!W79), "", 'Saisie données file act.'!W79)</f>
        <v/>
      </c>
      <c r="X60" s="903" t="str">
        <f>IF(ISBLANK('Saisie données file act.'!X79), "", 'Saisie données file act.'!X79)</f>
        <v/>
      </c>
      <c r="Y60" s="903" t="str">
        <f>IF(ISBLANK('Saisie données file act.'!Y79), "", 'Saisie données file act.'!Y79)</f>
        <v/>
      </c>
      <c r="Z60" s="903" t="str">
        <f>IF(ISBLANK('Saisie données file act.'!Z79), "", 'Saisie données file act.'!Z79)</f>
        <v/>
      </c>
      <c r="AA60" s="903" t="str">
        <f>IF(ISBLANK('Saisie données file act.'!AA79), "", 'Saisie données file act.'!AA79)</f>
        <v/>
      </c>
      <c r="AB60" s="903" t="str">
        <f>IF(ISBLANK('Saisie données file act.'!AB79), "", 'Saisie données file act.'!AB79)</f>
        <v/>
      </c>
      <c r="AC60" s="903" t="str">
        <f>IF(ISBLANK('Saisie données file act.'!AC79), "", 'Saisie données file act.'!AC79)</f>
        <v/>
      </c>
      <c r="AD60" s="903" t="str">
        <f>IF(ISBLANK('Saisie données file act.'!AD79), "", 'Saisie données file act.'!AD79)</f>
        <v/>
      </c>
      <c r="AE60" s="903" t="str">
        <f>IF(ISBLANK('Saisie données file act.'!AE79), "", 'Saisie données file act.'!AE79)</f>
        <v/>
      </c>
      <c r="AF60" s="903" t="str">
        <f>IF(ISBLANK('Saisie données file act.'!AF79), "", 'Saisie données file act.'!AF79)</f>
        <v/>
      </c>
      <c r="AG60" s="903" t="str">
        <f>IF(ISBLANK('Saisie données file act.'!AG79), "", 'Saisie données file act.'!AG79)</f>
        <v/>
      </c>
      <c r="AH60" s="903" t="str">
        <f>IF(ISBLANK('Saisie données file act.'!AH79), "", 'Saisie données file act.'!AH79)</f>
        <v/>
      </c>
      <c r="AI60" s="903" t="str">
        <f>IF(ISBLANK('Saisie données file act.'!AI79), "", 'Saisie données file act.'!AI79)</f>
        <v/>
      </c>
      <c r="AJ60" s="903" t="str">
        <f>IF(ISBLANK('Saisie données file act.'!AJ79), "", 'Saisie données file act.'!AJ79)</f>
        <v/>
      </c>
      <c r="AK60" s="903" t="str">
        <f>IF(ISBLANK('Saisie données file act.'!AK79), "", 'Saisie données file act.'!AK79)</f>
        <v/>
      </c>
      <c r="AL60" s="903" t="str">
        <f>IF(ISBLANK('Saisie données file act.'!AL79), "", 'Saisie données file act.'!AL79)</f>
        <v/>
      </c>
      <c r="AM60" s="903" t="str">
        <f>IF(ISBLANK('Saisie données file act.'!AM79), "", 'Saisie données file act.'!AM79)</f>
        <v/>
      </c>
      <c r="AN60" s="903" t="str">
        <f>IF(ISBLANK('Saisie données file act.'!AN79), "", 'Saisie données file act.'!AN79)</f>
        <v/>
      </c>
      <c r="AO60" s="903" t="str">
        <f>IF(ISBLANK('Saisie données file act.'!AO79), "", 'Saisie données file act.'!AO79)</f>
        <v/>
      </c>
      <c r="AP60" s="903" t="str">
        <f>IF(ISBLANK('Saisie données file act.'!AP79), "", 'Saisie données file act.'!AP79)</f>
        <v/>
      </c>
      <c r="AQ60" s="903" t="str">
        <f>IF(ISBLANK('Saisie données file act.'!AQ79), "", 'Saisie données file act.'!AQ79)</f>
        <v/>
      </c>
      <c r="AR60" s="903" t="str">
        <f>IF(ISBLANK('Saisie données file act.'!AR79), "", 'Saisie données file act.'!AR79)</f>
        <v/>
      </c>
      <c r="AS60" s="903" t="str">
        <f>IF(ISBLANK('Saisie données file act.'!AS79), "", 'Saisie données file act.'!AS79)</f>
        <v/>
      </c>
      <c r="AT60" s="903" t="str">
        <f>IF(ISBLANK('Saisie données file act.'!AT79), "", 'Saisie données file act.'!AT79)</f>
        <v/>
      </c>
      <c r="AU60" s="903" t="str">
        <f>IF(ISBLANK('Saisie données file act.'!AU79), "", 'Saisie données file act.'!AU79)</f>
        <v/>
      </c>
      <c r="AV60" s="909">
        <f>'Saisie données file act.'!E169</f>
        <v>0</v>
      </c>
      <c r="AW60" s="910"/>
      <c r="AX60" s="909">
        <f>'Saisie données file act.'!E311</f>
        <v>0</v>
      </c>
    </row>
    <row r="61" spans="3:50" s="895" customFormat="1" ht="14.25" thickBot="1" x14ac:dyDescent="0.3">
      <c r="C61" s="3258"/>
      <c r="D61" s="904">
        <f>'Saisie données file act.'!D80</f>
        <v>0</v>
      </c>
      <c r="E61" s="903" t="str">
        <f>IF(ISBLANK('Saisie données file act.'!E80), "", 'Saisie données file act.'!E80)</f>
        <v/>
      </c>
      <c r="F61" s="903" t="str">
        <f>IF(ISBLANK('Saisie données file act.'!F80), "", 'Saisie données file act.'!F80)</f>
        <v/>
      </c>
      <c r="G61" s="903" t="str">
        <f>IF(ISBLANK('Saisie données file act.'!G80), "", 'Saisie données file act.'!G80)</f>
        <v/>
      </c>
      <c r="H61" s="903" t="str">
        <f>IF(ISBLANK('Saisie données file act.'!H80), "", 'Saisie données file act.'!H80)</f>
        <v/>
      </c>
      <c r="I61" s="903" t="str">
        <f>IF(ISBLANK('Saisie données file act.'!I80), "", 'Saisie données file act.'!I80)</f>
        <v/>
      </c>
      <c r="J61" s="903" t="str">
        <f>IF(ISBLANK('Saisie données file act.'!J80), "", 'Saisie données file act.'!J80)</f>
        <v/>
      </c>
      <c r="K61" s="903" t="str">
        <f>IF(ISBLANK('Saisie données file act.'!K80), "", 'Saisie données file act.'!K80)</f>
        <v/>
      </c>
      <c r="L61" s="903" t="str">
        <f>IF(ISBLANK('Saisie données file act.'!L80), "", 'Saisie données file act.'!L80)</f>
        <v/>
      </c>
      <c r="M61" s="903" t="str">
        <f>IF(ISBLANK('Saisie données file act.'!M80), "", 'Saisie données file act.'!M80)</f>
        <v/>
      </c>
      <c r="N61" s="903" t="str">
        <f>IF(ISBLANK('Saisie données file act.'!N80), "", 'Saisie données file act.'!N80)</f>
        <v/>
      </c>
      <c r="O61" s="903" t="str">
        <f>IF(ISBLANK('Saisie données file act.'!O80), "", 'Saisie données file act.'!O80)</f>
        <v/>
      </c>
      <c r="P61" s="903" t="str">
        <f>IF(ISBLANK('Saisie données file act.'!P80), "", 'Saisie données file act.'!P80)</f>
        <v/>
      </c>
      <c r="Q61" s="903" t="str">
        <f>IF(ISBLANK('Saisie données file act.'!Q80), "", 'Saisie données file act.'!Q80)</f>
        <v/>
      </c>
      <c r="R61" s="903" t="str">
        <f>IF(ISBLANK('Saisie données file act.'!R80), "", 'Saisie données file act.'!R80)</f>
        <v/>
      </c>
      <c r="S61" s="903" t="str">
        <f>IF(ISBLANK('Saisie données file act.'!S80), "", 'Saisie données file act.'!S80)</f>
        <v/>
      </c>
      <c r="T61" s="903" t="str">
        <f>IF(ISBLANK('Saisie données file act.'!T80), "", 'Saisie données file act.'!T80)</f>
        <v/>
      </c>
      <c r="U61" s="903" t="str">
        <f>IF(ISBLANK('Saisie données file act.'!U80), "", 'Saisie données file act.'!U80)</f>
        <v/>
      </c>
      <c r="V61" s="903" t="str">
        <f>IF(ISBLANK('Saisie données file act.'!V80), "", 'Saisie données file act.'!V80)</f>
        <v/>
      </c>
      <c r="W61" s="903" t="str">
        <f>IF(ISBLANK('Saisie données file act.'!W80), "", 'Saisie données file act.'!W80)</f>
        <v/>
      </c>
      <c r="X61" s="903" t="str">
        <f>IF(ISBLANK('Saisie données file act.'!X80), "", 'Saisie données file act.'!X80)</f>
        <v/>
      </c>
      <c r="Y61" s="903" t="str">
        <f>IF(ISBLANK('Saisie données file act.'!Y80), "", 'Saisie données file act.'!Y80)</f>
        <v/>
      </c>
      <c r="Z61" s="903" t="str">
        <f>IF(ISBLANK('Saisie données file act.'!Z80), "", 'Saisie données file act.'!Z80)</f>
        <v/>
      </c>
      <c r="AA61" s="903" t="str">
        <f>IF(ISBLANK('Saisie données file act.'!AA80), "", 'Saisie données file act.'!AA80)</f>
        <v/>
      </c>
      <c r="AB61" s="903" t="str">
        <f>IF(ISBLANK('Saisie données file act.'!AB80), "", 'Saisie données file act.'!AB80)</f>
        <v/>
      </c>
      <c r="AC61" s="903" t="str">
        <f>IF(ISBLANK('Saisie données file act.'!AC80), "", 'Saisie données file act.'!AC80)</f>
        <v/>
      </c>
      <c r="AD61" s="903" t="str">
        <f>IF(ISBLANK('Saisie données file act.'!AD80), "", 'Saisie données file act.'!AD80)</f>
        <v/>
      </c>
      <c r="AE61" s="903" t="str">
        <f>IF(ISBLANK('Saisie données file act.'!AE80), "", 'Saisie données file act.'!AE80)</f>
        <v/>
      </c>
      <c r="AF61" s="903" t="str">
        <f>IF(ISBLANK('Saisie données file act.'!AF80), "", 'Saisie données file act.'!AF80)</f>
        <v/>
      </c>
      <c r="AG61" s="903" t="str">
        <f>IF(ISBLANK('Saisie données file act.'!AG80), "", 'Saisie données file act.'!AG80)</f>
        <v/>
      </c>
      <c r="AH61" s="903" t="str">
        <f>IF(ISBLANK('Saisie données file act.'!AH80), "", 'Saisie données file act.'!AH80)</f>
        <v/>
      </c>
      <c r="AI61" s="903" t="str">
        <f>IF(ISBLANK('Saisie données file act.'!AI80), "", 'Saisie données file act.'!AI80)</f>
        <v/>
      </c>
      <c r="AJ61" s="903" t="str">
        <f>IF(ISBLANK('Saisie données file act.'!AJ80), "", 'Saisie données file act.'!AJ80)</f>
        <v/>
      </c>
      <c r="AK61" s="903" t="str">
        <f>IF(ISBLANK('Saisie données file act.'!AK80), "", 'Saisie données file act.'!AK80)</f>
        <v/>
      </c>
      <c r="AL61" s="903" t="str">
        <f>IF(ISBLANK('Saisie données file act.'!AL80), "", 'Saisie données file act.'!AL80)</f>
        <v/>
      </c>
      <c r="AM61" s="903" t="str">
        <f>IF(ISBLANK('Saisie données file act.'!AM80), "", 'Saisie données file act.'!AM80)</f>
        <v/>
      </c>
      <c r="AN61" s="903" t="str">
        <f>IF(ISBLANK('Saisie données file act.'!AN80), "", 'Saisie données file act.'!AN80)</f>
        <v/>
      </c>
      <c r="AO61" s="903" t="str">
        <f>IF(ISBLANK('Saisie données file act.'!AO80), "", 'Saisie données file act.'!AO80)</f>
        <v/>
      </c>
      <c r="AP61" s="903" t="str">
        <f>IF(ISBLANK('Saisie données file act.'!AP80), "", 'Saisie données file act.'!AP80)</f>
        <v/>
      </c>
      <c r="AQ61" s="903" t="str">
        <f>IF(ISBLANK('Saisie données file act.'!AQ80), "", 'Saisie données file act.'!AQ80)</f>
        <v/>
      </c>
      <c r="AR61" s="903" t="str">
        <f>IF(ISBLANK('Saisie données file act.'!AR80), "", 'Saisie données file act.'!AR80)</f>
        <v/>
      </c>
      <c r="AS61" s="903" t="str">
        <f>IF(ISBLANK('Saisie données file act.'!AS80), "", 'Saisie données file act.'!AS80)</f>
        <v/>
      </c>
      <c r="AT61" s="903" t="str">
        <f>IF(ISBLANK('Saisie données file act.'!AT80), "", 'Saisie données file act.'!AT80)</f>
        <v/>
      </c>
      <c r="AU61" s="903" t="str">
        <f>IF(ISBLANK('Saisie données file act.'!AU80), "", 'Saisie données file act.'!AU80)</f>
        <v/>
      </c>
      <c r="AV61" s="909">
        <f>'Saisie données file act.'!E170</f>
        <v>0</v>
      </c>
      <c r="AW61" s="910"/>
      <c r="AX61" s="909">
        <f>'Saisie données file act.'!E312</f>
        <v>0</v>
      </c>
    </row>
    <row r="62" spans="3:50" s="895" customFormat="1" ht="14.25" thickBot="1" x14ac:dyDescent="0.3">
      <c r="C62" s="3258"/>
      <c r="D62" s="904">
        <f>'Saisie données file act.'!D81</f>
        <v>0</v>
      </c>
      <c r="E62" s="903" t="str">
        <f>IF(ISBLANK('Saisie données file act.'!E81), "", 'Saisie données file act.'!E81)</f>
        <v/>
      </c>
      <c r="F62" s="903" t="str">
        <f>IF(ISBLANK('Saisie données file act.'!F81), "", 'Saisie données file act.'!F81)</f>
        <v/>
      </c>
      <c r="G62" s="903" t="str">
        <f>IF(ISBLANK('Saisie données file act.'!G81), "", 'Saisie données file act.'!G81)</f>
        <v/>
      </c>
      <c r="H62" s="903" t="str">
        <f>IF(ISBLANK('Saisie données file act.'!H81), "", 'Saisie données file act.'!H81)</f>
        <v/>
      </c>
      <c r="I62" s="903" t="str">
        <f>IF(ISBLANK('Saisie données file act.'!I81), "", 'Saisie données file act.'!I81)</f>
        <v/>
      </c>
      <c r="J62" s="903" t="str">
        <f>IF(ISBLANK('Saisie données file act.'!J81), "", 'Saisie données file act.'!J81)</f>
        <v/>
      </c>
      <c r="K62" s="903" t="str">
        <f>IF(ISBLANK('Saisie données file act.'!K81), "", 'Saisie données file act.'!K81)</f>
        <v/>
      </c>
      <c r="L62" s="903" t="str">
        <f>IF(ISBLANK('Saisie données file act.'!L81), "", 'Saisie données file act.'!L81)</f>
        <v/>
      </c>
      <c r="M62" s="903" t="str">
        <f>IF(ISBLANK('Saisie données file act.'!M81), "", 'Saisie données file act.'!M81)</f>
        <v/>
      </c>
      <c r="N62" s="903" t="str">
        <f>IF(ISBLANK('Saisie données file act.'!N81), "", 'Saisie données file act.'!N81)</f>
        <v/>
      </c>
      <c r="O62" s="903" t="str">
        <f>IF(ISBLANK('Saisie données file act.'!O81), "", 'Saisie données file act.'!O81)</f>
        <v/>
      </c>
      <c r="P62" s="903" t="str">
        <f>IF(ISBLANK('Saisie données file act.'!P81), "", 'Saisie données file act.'!P81)</f>
        <v/>
      </c>
      <c r="Q62" s="903" t="str">
        <f>IF(ISBLANK('Saisie données file act.'!Q81), "", 'Saisie données file act.'!Q81)</f>
        <v/>
      </c>
      <c r="R62" s="903" t="str">
        <f>IF(ISBLANK('Saisie données file act.'!R81), "", 'Saisie données file act.'!R81)</f>
        <v/>
      </c>
      <c r="S62" s="903" t="str">
        <f>IF(ISBLANK('Saisie données file act.'!S81), "", 'Saisie données file act.'!S81)</f>
        <v/>
      </c>
      <c r="T62" s="903" t="str">
        <f>IF(ISBLANK('Saisie données file act.'!T81), "", 'Saisie données file act.'!T81)</f>
        <v/>
      </c>
      <c r="U62" s="903" t="str">
        <f>IF(ISBLANK('Saisie données file act.'!U81), "", 'Saisie données file act.'!U81)</f>
        <v/>
      </c>
      <c r="V62" s="903" t="str">
        <f>IF(ISBLANK('Saisie données file act.'!V81), "", 'Saisie données file act.'!V81)</f>
        <v/>
      </c>
      <c r="W62" s="903" t="str">
        <f>IF(ISBLANK('Saisie données file act.'!W81), "", 'Saisie données file act.'!W81)</f>
        <v/>
      </c>
      <c r="X62" s="903" t="str">
        <f>IF(ISBLANK('Saisie données file act.'!X81), "", 'Saisie données file act.'!X81)</f>
        <v/>
      </c>
      <c r="Y62" s="903" t="str">
        <f>IF(ISBLANK('Saisie données file act.'!Y81), "", 'Saisie données file act.'!Y81)</f>
        <v/>
      </c>
      <c r="Z62" s="903" t="str">
        <f>IF(ISBLANK('Saisie données file act.'!Z81), "", 'Saisie données file act.'!Z81)</f>
        <v/>
      </c>
      <c r="AA62" s="903" t="str">
        <f>IF(ISBLANK('Saisie données file act.'!AA81), "", 'Saisie données file act.'!AA81)</f>
        <v/>
      </c>
      <c r="AB62" s="903" t="str">
        <f>IF(ISBLANK('Saisie données file act.'!AB81), "", 'Saisie données file act.'!AB81)</f>
        <v/>
      </c>
      <c r="AC62" s="903" t="str">
        <f>IF(ISBLANK('Saisie données file act.'!AC81), "", 'Saisie données file act.'!AC81)</f>
        <v/>
      </c>
      <c r="AD62" s="903" t="str">
        <f>IF(ISBLANK('Saisie données file act.'!AD81), "", 'Saisie données file act.'!AD81)</f>
        <v/>
      </c>
      <c r="AE62" s="903" t="str">
        <f>IF(ISBLANK('Saisie données file act.'!AE81), "", 'Saisie données file act.'!AE81)</f>
        <v/>
      </c>
      <c r="AF62" s="903" t="str">
        <f>IF(ISBLANK('Saisie données file act.'!AF81), "", 'Saisie données file act.'!AF81)</f>
        <v/>
      </c>
      <c r="AG62" s="903" t="str">
        <f>IF(ISBLANK('Saisie données file act.'!AG81), "", 'Saisie données file act.'!AG81)</f>
        <v/>
      </c>
      <c r="AH62" s="903" t="str">
        <f>IF(ISBLANK('Saisie données file act.'!AH81), "", 'Saisie données file act.'!AH81)</f>
        <v/>
      </c>
      <c r="AI62" s="903" t="str">
        <f>IF(ISBLANK('Saisie données file act.'!AI81), "", 'Saisie données file act.'!AI81)</f>
        <v/>
      </c>
      <c r="AJ62" s="903" t="str">
        <f>IF(ISBLANK('Saisie données file act.'!AJ81), "", 'Saisie données file act.'!AJ81)</f>
        <v/>
      </c>
      <c r="AK62" s="903" t="str">
        <f>IF(ISBLANK('Saisie données file act.'!AK81), "", 'Saisie données file act.'!AK81)</f>
        <v/>
      </c>
      <c r="AL62" s="903" t="str">
        <f>IF(ISBLANK('Saisie données file act.'!AL81), "", 'Saisie données file act.'!AL81)</f>
        <v/>
      </c>
      <c r="AM62" s="903" t="str">
        <f>IF(ISBLANK('Saisie données file act.'!AM81), "", 'Saisie données file act.'!AM81)</f>
        <v/>
      </c>
      <c r="AN62" s="903" t="str">
        <f>IF(ISBLANK('Saisie données file act.'!AN81), "", 'Saisie données file act.'!AN81)</f>
        <v/>
      </c>
      <c r="AO62" s="903" t="str">
        <f>IF(ISBLANK('Saisie données file act.'!AO81), "", 'Saisie données file act.'!AO81)</f>
        <v/>
      </c>
      <c r="AP62" s="903" t="str">
        <f>IF(ISBLANK('Saisie données file act.'!AP81), "", 'Saisie données file act.'!AP81)</f>
        <v/>
      </c>
      <c r="AQ62" s="903" t="str">
        <f>IF(ISBLANK('Saisie données file act.'!AQ81), "", 'Saisie données file act.'!AQ81)</f>
        <v/>
      </c>
      <c r="AR62" s="903" t="str">
        <f>IF(ISBLANK('Saisie données file act.'!AR81), "", 'Saisie données file act.'!AR81)</f>
        <v/>
      </c>
      <c r="AS62" s="903" t="str">
        <f>IF(ISBLANK('Saisie données file act.'!AS81), "", 'Saisie données file act.'!AS81)</f>
        <v/>
      </c>
      <c r="AT62" s="903" t="str">
        <f>IF(ISBLANK('Saisie données file act.'!AT81), "", 'Saisie données file act.'!AT81)</f>
        <v/>
      </c>
      <c r="AU62" s="903" t="str">
        <f>IF(ISBLANK('Saisie données file act.'!AU81), "", 'Saisie données file act.'!AU81)</f>
        <v/>
      </c>
      <c r="AV62" s="909">
        <f>'Saisie données file act.'!E171</f>
        <v>0</v>
      </c>
      <c r="AW62" s="910"/>
      <c r="AX62" s="909">
        <f>'Saisie données file act.'!E313</f>
        <v>0</v>
      </c>
    </row>
    <row r="63" spans="3:50" s="895" customFormat="1" ht="14.25" thickBot="1" x14ac:dyDescent="0.3">
      <c r="C63" s="3258"/>
      <c r="D63" s="904">
        <f>'Saisie données file act.'!D82</f>
        <v>0</v>
      </c>
      <c r="E63" s="903" t="str">
        <f>IF(ISBLANK('Saisie données file act.'!E82), "", 'Saisie données file act.'!E82)</f>
        <v/>
      </c>
      <c r="F63" s="903" t="str">
        <f>IF(ISBLANK('Saisie données file act.'!F82), "", 'Saisie données file act.'!F82)</f>
        <v/>
      </c>
      <c r="G63" s="903" t="str">
        <f>IF(ISBLANK('Saisie données file act.'!G82), "", 'Saisie données file act.'!G82)</f>
        <v/>
      </c>
      <c r="H63" s="903" t="str">
        <f>IF(ISBLANK('Saisie données file act.'!H82), "", 'Saisie données file act.'!H82)</f>
        <v/>
      </c>
      <c r="I63" s="903" t="str">
        <f>IF(ISBLANK('Saisie données file act.'!I82), "", 'Saisie données file act.'!I82)</f>
        <v/>
      </c>
      <c r="J63" s="903" t="str">
        <f>IF(ISBLANK('Saisie données file act.'!J82), "", 'Saisie données file act.'!J82)</f>
        <v/>
      </c>
      <c r="K63" s="903" t="str">
        <f>IF(ISBLANK('Saisie données file act.'!K82), "", 'Saisie données file act.'!K82)</f>
        <v/>
      </c>
      <c r="L63" s="903" t="str">
        <f>IF(ISBLANK('Saisie données file act.'!L82), "", 'Saisie données file act.'!L82)</f>
        <v/>
      </c>
      <c r="M63" s="903" t="str">
        <f>IF(ISBLANK('Saisie données file act.'!M82), "", 'Saisie données file act.'!M82)</f>
        <v/>
      </c>
      <c r="N63" s="903" t="str">
        <f>IF(ISBLANK('Saisie données file act.'!N82), "", 'Saisie données file act.'!N82)</f>
        <v/>
      </c>
      <c r="O63" s="903" t="str">
        <f>IF(ISBLANK('Saisie données file act.'!O82), "", 'Saisie données file act.'!O82)</f>
        <v/>
      </c>
      <c r="P63" s="903" t="str">
        <f>IF(ISBLANK('Saisie données file act.'!P82), "", 'Saisie données file act.'!P82)</f>
        <v/>
      </c>
      <c r="Q63" s="903" t="str">
        <f>IF(ISBLANK('Saisie données file act.'!Q82), "", 'Saisie données file act.'!Q82)</f>
        <v/>
      </c>
      <c r="R63" s="903" t="str">
        <f>IF(ISBLANK('Saisie données file act.'!R82), "", 'Saisie données file act.'!R82)</f>
        <v/>
      </c>
      <c r="S63" s="903" t="str">
        <f>IF(ISBLANK('Saisie données file act.'!S82), "", 'Saisie données file act.'!S82)</f>
        <v/>
      </c>
      <c r="T63" s="903" t="str">
        <f>IF(ISBLANK('Saisie données file act.'!T82), "", 'Saisie données file act.'!T82)</f>
        <v/>
      </c>
      <c r="U63" s="903" t="str">
        <f>IF(ISBLANK('Saisie données file act.'!U82), "", 'Saisie données file act.'!U82)</f>
        <v/>
      </c>
      <c r="V63" s="903" t="str">
        <f>IF(ISBLANK('Saisie données file act.'!V82), "", 'Saisie données file act.'!V82)</f>
        <v/>
      </c>
      <c r="W63" s="903" t="str">
        <f>IF(ISBLANK('Saisie données file act.'!W82), "", 'Saisie données file act.'!W82)</f>
        <v/>
      </c>
      <c r="X63" s="903" t="str">
        <f>IF(ISBLANK('Saisie données file act.'!X82), "", 'Saisie données file act.'!X82)</f>
        <v/>
      </c>
      <c r="Y63" s="903" t="str">
        <f>IF(ISBLANK('Saisie données file act.'!Y82), "", 'Saisie données file act.'!Y82)</f>
        <v/>
      </c>
      <c r="Z63" s="903" t="str">
        <f>IF(ISBLANK('Saisie données file act.'!Z82), "", 'Saisie données file act.'!Z82)</f>
        <v/>
      </c>
      <c r="AA63" s="903" t="str">
        <f>IF(ISBLANK('Saisie données file act.'!AA82), "", 'Saisie données file act.'!AA82)</f>
        <v/>
      </c>
      <c r="AB63" s="903" t="str">
        <f>IF(ISBLANK('Saisie données file act.'!AB82), "", 'Saisie données file act.'!AB82)</f>
        <v/>
      </c>
      <c r="AC63" s="903" t="str">
        <f>IF(ISBLANK('Saisie données file act.'!AC82), "", 'Saisie données file act.'!AC82)</f>
        <v/>
      </c>
      <c r="AD63" s="903" t="str">
        <f>IF(ISBLANK('Saisie données file act.'!AD82), "", 'Saisie données file act.'!AD82)</f>
        <v/>
      </c>
      <c r="AE63" s="903" t="str">
        <f>IF(ISBLANK('Saisie données file act.'!AE82), "", 'Saisie données file act.'!AE82)</f>
        <v/>
      </c>
      <c r="AF63" s="903" t="str">
        <f>IF(ISBLANK('Saisie données file act.'!AF82), "", 'Saisie données file act.'!AF82)</f>
        <v/>
      </c>
      <c r="AG63" s="903" t="str">
        <f>IF(ISBLANK('Saisie données file act.'!AG82), "", 'Saisie données file act.'!AG82)</f>
        <v/>
      </c>
      <c r="AH63" s="903" t="str">
        <f>IF(ISBLANK('Saisie données file act.'!AH82), "", 'Saisie données file act.'!AH82)</f>
        <v/>
      </c>
      <c r="AI63" s="903" t="str">
        <f>IF(ISBLANK('Saisie données file act.'!AI82), "", 'Saisie données file act.'!AI82)</f>
        <v/>
      </c>
      <c r="AJ63" s="903" t="str">
        <f>IF(ISBLANK('Saisie données file act.'!AJ82), "", 'Saisie données file act.'!AJ82)</f>
        <v/>
      </c>
      <c r="AK63" s="903" t="str">
        <f>IF(ISBLANK('Saisie données file act.'!AK82), "", 'Saisie données file act.'!AK82)</f>
        <v/>
      </c>
      <c r="AL63" s="903" t="str">
        <f>IF(ISBLANK('Saisie données file act.'!AL82), "", 'Saisie données file act.'!AL82)</f>
        <v/>
      </c>
      <c r="AM63" s="903" t="str">
        <f>IF(ISBLANK('Saisie données file act.'!AM82), "", 'Saisie données file act.'!AM82)</f>
        <v/>
      </c>
      <c r="AN63" s="903" t="str">
        <f>IF(ISBLANK('Saisie données file act.'!AN82), "", 'Saisie données file act.'!AN82)</f>
        <v/>
      </c>
      <c r="AO63" s="903" t="str">
        <f>IF(ISBLANK('Saisie données file act.'!AO82), "", 'Saisie données file act.'!AO82)</f>
        <v/>
      </c>
      <c r="AP63" s="903" t="str">
        <f>IF(ISBLANK('Saisie données file act.'!AP82), "", 'Saisie données file act.'!AP82)</f>
        <v/>
      </c>
      <c r="AQ63" s="903" t="str">
        <f>IF(ISBLANK('Saisie données file act.'!AQ82), "", 'Saisie données file act.'!AQ82)</f>
        <v/>
      </c>
      <c r="AR63" s="903" t="str">
        <f>IF(ISBLANK('Saisie données file act.'!AR82), "", 'Saisie données file act.'!AR82)</f>
        <v/>
      </c>
      <c r="AS63" s="903" t="str">
        <f>IF(ISBLANK('Saisie données file act.'!AS82), "", 'Saisie données file act.'!AS82)</f>
        <v/>
      </c>
      <c r="AT63" s="903" t="str">
        <f>IF(ISBLANK('Saisie données file act.'!AT82), "", 'Saisie données file act.'!AT82)</f>
        <v/>
      </c>
      <c r="AU63" s="903" t="str">
        <f>IF(ISBLANK('Saisie données file act.'!AU82), "", 'Saisie données file act.'!AU82)</f>
        <v/>
      </c>
      <c r="AV63" s="909">
        <f>'Saisie données file act.'!E172</f>
        <v>0</v>
      </c>
      <c r="AW63" s="910"/>
      <c r="AX63" s="909">
        <f>'Saisie données file act.'!E314</f>
        <v>0</v>
      </c>
    </row>
    <row r="64" spans="3:50" s="895" customFormat="1" ht="14.25" thickBot="1" x14ac:dyDescent="0.3">
      <c r="C64" s="3258"/>
      <c r="D64" s="904">
        <f>'Saisie données file act.'!D83</f>
        <v>0</v>
      </c>
      <c r="E64" s="903" t="str">
        <f>IF(ISBLANK('Saisie données file act.'!E83), "", 'Saisie données file act.'!E83)</f>
        <v/>
      </c>
      <c r="F64" s="903" t="str">
        <f>IF(ISBLANK('Saisie données file act.'!F83), "", 'Saisie données file act.'!F83)</f>
        <v/>
      </c>
      <c r="G64" s="903" t="str">
        <f>IF(ISBLANK('Saisie données file act.'!G83), "", 'Saisie données file act.'!G83)</f>
        <v/>
      </c>
      <c r="H64" s="903" t="str">
        <f>IF(ISBLANK('Saisie données file act.'!H83), "", 'Saisie données file act.'!H83)</f>
        <v/>
      </c>
      <c r="I64" s="903" t="str">
        <f>IF(ISBLANK('Saisie données file act.'!I83), "", 'Saisie données file act.'!I83)</f>
        <v/>
      </c>
      <c r="J64" s="903" t="str">
        <f>IF(ISBLANK('Saisie données file act.'!J83), "", 'Saisie données file act.'!J83)</f>
        <v/>
      </c>
      <c r="K64" s="903" t="str">
        <f>IF(ISBLANK('Saisie données file act.'!K83), "", 'Saisie données file act.'!K83)</f>
        <v/>
      </c>
      <c r="L64" s="903" t="str">
        <f>IF(ISBLANK('Saisie données file act.'!L83), "", 'Saisie données file act.'!L83)</f>
        <v/>
      </c>
      <c r="M64" s="903" t="str">
        <f>IF(ISBLANK('Saisie données file act.'!M83), "", 'Saisie données file act.'!M83)</f>
        <v/>
      </c>
      <c r="N64" s="903" t="str">
        <f>IF(ISBLANK('Saisie données file act.'!N83), "", 'Saisie données file act.'!N83)</f>
        <v/>
      </c>
      <c r="O64" s="903" t="str">
        <f>IF(ISBLANK('Saisie données file act.'!O83), "", 'Saisie données file act.'!O83)</f>
        <v/>
      </c>
      <c r="P64" s="903" t="str">
        <f>IF(ISBLANK('Saisie données file act.'!P83), "", 'Saisie données file act.'!P83)</f>
        <v/>
      </c>
      <c r="Q64" s="903" t="str">
        <f>IF(ISBLANK('Saisie données file act.'!Q83), "", 'Saisie données file act.'!Q83)</f>
        <v/>
      </c>
      <c r="R64" s="903" t="str">
        <f>IF(ISBLANK('Saisie données file act.'!R83), "", 'Saisie données file act.'!R83)</f>
        <v/>
      </c>
      <c r="S64" s="903" t="str">
        <f>IF(ISBLANK('Saisie données file act.'!S83), "", 'Saisie données file act.'!S83)</f>
        <v/>
      </c>
      <c r="T64" s="903" t="str">
        <f>IF(ISBLANK('Saisie données file act.'!T83), "", 'Saisie données file act.'!T83)</f>
        <v/>
      </c>
      <c r="U64" s="903" t="str">
        <f>IF(ISBLANK('Saisie données file act.'!U83), "", 'Saisie données file act.'!U83)</f>
        <v/>
      </c>
      <c r="V64" s="903" t="str">
        <f>IF(ISBLANK('Saisie données file act.'!V83), "", 'Saisie données file act.'!V83)</f>
        <v/>
      </c>
      <c r="W64" s="903" t="str">
        <f>IF(ISBLANK('Saisie données file act.'!W83), "", 'Saisie données file act.'!W83)</f>
        <v/>
      </c>
      <c r="X64" s="903" t="str">
        <f>IF(ISBLANK('Saisie données file act.'!X83), "", 'Saisie données file act.'!X83)</f>
        <v/>
      </c>
      <c r="Y64" s="903" t="str">
        <f>IF(ISBLANK('Saisie données file act.'!Y83), "", 'Saisie données file act.'!Y83)</f>
        <v/>
      </c>
      <c r="Z64" s="903" t="str">
        <f>IF(ISBLANK('Saisie données file act.'!Z83), "", 'Saisie données file act.'!Z83)</f>
        <v/>
      </c>
      <c r="AA64" s="903" t="str">
        <f>IF(ISBLANK('Saisie données file act.'!AA83), "", 'Saisie données file act.'!AA83)</f>
        <v/>
      </c>
      <c r="AB64" s="903" t="str">
        <f>IF(ISBLANK('Saisie données file act.'!AB83), "", 'Saisie données file act.'!AB83)</f>
        <v/>
      </c>
      <c r="AC64" s="903" t="str">
        <f>IF(ISBLANK('Saisie données file act.'!AC83), "", 'Saisie données file act.'!AC83)</f>
        <v/>
      </c>
      <c r="AD64" s="903" t="str">
        <f>IF(ISBLANK('Saisie données file act.'!AD83), "", 'Saisie données file act.'!AD83)</f>
        <v/>
      </c>
      <c r="AE64" s="903" t="str">
        <f>IF(ISBLANK('Saisie données file act.'!AE83), "", 'Saisie données file act.'!AE83)</f>
        <v/>
      </c>
      <c r="AF64" s="903" t="str">
        <f>IF(ISBLANK('Saisie données file act.'!AF83), "", 'Saisie données file act.'!AF83)</f>
        <v/>
      </c>
      <c r="AG64" s="903" t="str">
        <f>IF(ISBLANK('Saisie données file act.'!AG83), "", 'Saisie données file act.'!AG83)</f>
        <v/>
      </c>
      <c r="AH64" s="903" t="str">
        <f>IF(ISBLANK('Saisie données file act.'!AH83), "", 'Saisie données file act.'!AH83)</f>
        <v/>
      </c>
      <c r="AI64" s="903" t="str">
        <f>IF(ISBLANK('Saisie données file act.'!AI83), "", 'Saisie données file act.'!AI83)</f>
        <v/>
      </c>
      <c r="AJ64" s="903" t="str">
        <f>IF(ISBLANK('Saisie données file act.'!AJ83), "", 'Saisie données file act.'!AJ83)</f>
        <v/>
      </c>
      <c r="AK64" s="903" t="str">
        <f>IF(ISBLANK('Saisie données file act.'!AK83), "", 'Saisie données file act.'!AK83)</f>
        <v/>
      </c>
      <c r="AL64" s="903" t="str">
        <f>IF(ISBLANK('Saisie données file act.'!AL83), "", 'Saisie données file act.'!AL83)</f>
        <v/>
      </c>
      <c r="AM64" s="903" t="str">
        <f>IF(ISBLANK('Saisie données file act.'!AM83), "", 'Saisie données file act.'!AM83)</f>
        <v/>
      </c>
      <c r="AN64" s="903" t="str">
        <f>IF(ISBLANK('Saisie données file act.'!AN83), "", 'Saisie données file act.'!AN83)</f>
        <v/>
      </c>
      <c r="AO64" s="903" t="str">
        <f>IF(ISBLANK('Saisie données file act.'!AO83), "", 'Saisie données file act.'!AO83)</f>
        <v/>
      </c>
      <c r="AP64" s="903" t="str">
        <f>IF(ISBLANK('Saisie données file act.'!AP83), "", 'Saisie données file act.'!AP83)</f>
        <v/>
      </c>
      <c r="AQ64" s="903" t="str">
        <f>IF(ISBLANK('Saisie données file act.'!AQ83), "", 'Saisie données file act.'!AQ83)</f>
        <v/>
      </c>
      <c r="AR64" s="903" t="str">
        <f>IF(ISBLANK('Saisie données file act.'!AR83), "", 'Saisie données file act.'!AR83)</f>
        <v/>
      </c>
      <c r="AS64" s="903" t="str">
        <f>IF(ISBLANK('Saisie données file act.'!AS83), "", 'Saisie données file act.'!AS83)</f>
        <v/>
      </c>
      <c r="AT64" s="903" t="str">
        <f>IF(ISBLANK('Saisie données file act.'!AT83), "", 'Saisie données file act.'!AT83)</f>
        <v/>
      </c>
      <c r="AU64" s="903" t="str">
        <f>IF(ISBLANK('Saisie données file act.'!AU83), "", 'Saisie données file act.'!AU83)</f>
        <v/>
      </c>
      <c r="AV64" s="909">
        <f>'Saisie données file act.'!E173</f>
        <v>0</v>
      </c>
      <c r="AW64" s="910"/>
      <c r="AX64" s="909">
        <f>'Saisie données file act.'!E315</f>
        <v>0</v>
      </c>
    </row>
    <row r="65" spans="3:50" s="895" customFormat="1" ht="14.25" thickBot="1" x14ac:dyDescent="0.3">
      <c r="C65" s="3258"/>
      <c r="D65" s="904">
        <f>'Saisie données file act.'!D84</f>
        <v>0</v>
      </c>
      <c r="E65" s="903" t="str">
        <f>IF(ISBLANK('Saisie données file act.'!E84), "", 'Saisie données file act.'!E84)</f>
        <v/>
      </c>
      <c r="F65" s="903" t="str">
        <f>IF(ISBLANK('Saisie données file act.'!F84), "", 'Saisie données file act.'!F84)</f>
        <v/>
      </c>
      <c r="G65" s="903" t="str">
        <f>IF(ISBLANK('Saisie données file act.'!G84), "", 'Saisie données file act.'!G84)</f>
        <v/>
      </c>
      <c r="H65" s="903" t="str">
        <f>IF(ISBLANK('Saisie données file act.'!H84), "", 'Saisie données file act.'!H84)</f>
        <v/>
      </c>
      <c r="I65" s="903" t="str">
        <f>IF(ISBLANK('Saisie données file act.'!I84), "", 'Saisie données file act.'!I84)</f>
        <v/>
      </c>
      <c r="J65" s="903" t="str">
        <f>IF(ISBLANK('Saisie données file act.'!J84), "", 'Saisie données file act.'!J84)</f>
        <v/>
      </c>
      <c r="K65" s="903" t="str">
        <f>IF(ISBLANK('Saisie données file act.'!K84), "", 'Saisie données file act.'!K84)</f>
        <v/>
      </c>
      <c r="L65" s="903" t="str">
        <f>IF(ISBLANK('Saisie données file act.'!L84), "", 'Saisie données file act.'!L84)</f>
        <v/>
      </c>
      <c r="M65" s="903" t="str">
        <f>IF(ISBLANK('Saisie données file act.'!M84), "", 'Saisie données file act.'!M84)</f>
        <v/>
      </c>
      <c r="N65" s="903" t="str">
        <f>IF(ISBLANK('Saisie données file act.'!N84), "", 'Saisie données file act.'!N84)</f>
        <v/>
      </c>
      <c r="O65" s="903" t="str">
        <f>IF(ISBLANK('Saisie données file act.'!O84), "", 'Saisie données file act.'!O84)</f>
        <v/>
      </c>
      <c r="P65" s="903" t="str">
        <f>IF(ISBLANK('Saisie données file act.'!P84), "", 'Saisie données file act.'!P84)</f>
        <v/>
      </c>
      <c r="Q65" s="903" t="str">
        <f>IF(ISBLANK('Saisie données file act.'!Q84), "", 'Saisie données file act.'!Q84)</f>
        <v/>
      </c>
      <c r="R65" s="903" t="str">
        <f>IF(ISBLANK('Saisie données file act.'!R84), "", 'Saisie données file act.'!R84)</f>
        <v/>
      </c>
      <c r="S65" s="903" t="str">
        <f>IF(ISBLANK('Saisie données file act.'!S84), "", 'Saisie données file act.'!S84)</f>
        <v/>
      </c>
      <c r="T65" s="903" t="str">
        <f>IF(ISBLANK('Saisie données file act.'!T84), "", 'Saisie données file act.'!T84)</f>
        <v/>
      </c>
      <c r="U65" s="903" t="str">
        <f>IF(ISBLANK('Saisie données file act.'!U84), "", 'Saisie données file act.'!U84)</f>
        <v/>
      </c>
      <c r="V65" s="903" t="str">
        <f>IF(ISBLANK('Saisie données file act.'!V84), "", 'Saisie données file act.'!V84)</f>
        <v/>
      </c>
      <c r="W65" s="903" t="str">
        <f>IF(ISBLANK('Saisie données file act.'!W84), "", 'Saisie données file act.'!W84)</f>
        <v/>
      </c>
      <c r="X65" s="903" t="str">
        <f>IF(ISBLANK('Saisie données file act.'!X84), "", 'Saisie données file act.'!X84)</f>
        <v/>
      </c>
      <c r="Y65" s="903" t="str">
        <f>IF(ISBLANK('Saisie données file act.'!Y84), "", 'Saisie données file act.'!Y84)</f>
        <v/>
      </c>
      <c r="Z65" s="903" t="str">
        <f>IF(ISBLANK('Saisie données file act.'!Z84), "", 'Saisie données file act.'!Z84)</f>
        <v/>
      </c>
      <c r="AA65" s="903" t="str">
        <f>IF(ISBLANK('Saisie données file act.'!AA84), "", 'Saisie données file act.'!AA84)</f>
        <v/>
      </c>
      <c r="AB65" s="903" t="str">
        <f>IF(ISBLANK('Saisie données file act.'!AB84), "", 'Saisie données file act.'!AB84)</f>
        <v/>
      </c>
      <c r="AC65" s="903" t="str">
        <f>IF(ISBLANK('Saisie données file act.'!AC84), "", 'Saisie données file act.'!AC84)</f>
        <v/>
      </c>
      <c r="AD65" s="903" t="str">
        <f>IF(ISBLANK('Saisie données file act.'!AD84), "", 'Saisie données file act.'!AD84)</f>
        <v/>
      </c>
      <c r="AE65" s="903" t="str">
        <f>IF(ISBLANK('Saisie données file act.'!AE84), "", 'Saisie données file act.'!AE84)</f>
        <v/>
      </c>
      <c r="AF65" s="903" t="str">
        <f>IF(ISBLANK('Saisie données file act.'!AF84), "", 'Saisie données file act.'!AF84)</f>
        <v/>
      </c>
      <c r="AG65" s="903" t="str">
        <f>IF(ISBLANK('Saisie données file act.'!AG84), "", 'Saisie données file act.'!AG84)</f>
        <v/>
      </c>
      <c r="AH65" s="903" t="str">
        <f>IF(ISBLANK('Saisie données file act.'!AH84), "", 'Saisie données file act.'!AH84)</f>
        <v/>
      </c>
      <c r="AI65" s="903" t="str">
        <f>IF(ISBLANK('Saisie données file act.'!AI84), "", 'Saisie données file act.'!AI84)</f>
        <v/>
      </c>
      <c r="AJ65" s="903" t="str">
        <f>IF(ISBLANK('Saisie données file act.'!AJ84), "", 'Saisie données file act.'!AJ84)</f>
        <v/>
      </c>
      <c r="AK65" s="903" t="str">
        <f>IF(ISBLANK('Saisie données file act.'!AK84), "", 'Saisie données file act.'!AK84)</f>
        <v/>
      </c>
      <c r="AL65" s="903" t="str">
        <f>IF(ISBLANK('Saisie données file act.'!AL84), "", 'Saisie données file act.'!AL84)</f>
        <v/>
      </c>
      <c r="AM65" s="903" t="str">
        <f>IF(ISBLANK('Saisie données file act.'!AM84), "", 'Saisie données file act.'!AM84)</f>
        <v/>
      </c>
      <c r="AN65" s="903" t="str">
        <f>IF(ISBLANK('Saisie données file act.'!AN84), "", 'Saisie données file act.'!AN84)</f>
        <v/>
      </c>
      <c r="AO65" s="903" t="str">
        <f>IF(ISBLANK('Saisie données file act.'!AO84), "", 'Saisie données file act.'!AO84)</f>
        <v/>
      </c>
      <c r="AP65" s="903" t="str">
        <f>IF(ISBLANK('Saisie données file act.'!AP84), "", 'Saisie données file act.'!AP84)</f>
        <v/>
      </c>
      <c r="AQ65" s="903" t="str">
        <f>IF(ISBLANK('Saisie données file act.'!AQ84), "", 'Saisie données file act.'!AQ84)</f>
        <v/>
      </c>
      <c r="AR65" s="903" t="str">
        <f>IF(ISBLANK('Saisie données file act.'!AR84), "", 'Saisie données file act.'!AR84)</f>
        <v/>
      </c>
      <c r="AS65" s="903" t="str">
        <f>IF(ISBLANK('Saisie données file act.'!AS84), "", 'Saisie données file act.'!AS84)</f>
        <v/>
      </c>
      <c r="AT65" s="903" t="str">
        <f>IF(ISBLANK('Saisie données file act.'!AT84), "", 'Saisie données file act.'!AT84)</f>
        <v/>
      </c>
      <c r="AU65" s="903" t="str">
        <f>IF(ISBLANK('Saisie données file act.'!AU84), "", 'Saisie données file act.'!AU84)</f>
        <v/>
      </c>
      <c r="AV65" s="909">
        <f>'Saisie données file act.'!E174</f>
        <v>0</v>
      </c>
      <c r="AW65" s="910"/>
      <c r="AX65" s="909">
        <f>'Saisie données file act.'!E316</f>
        <v>0</v>
      </c>
    </row>
    <row r="66" spans="3:50" s="895" customFormat="1" ht="14.25" thickBot="1" x14ac:dyDescent="0.3">
      <c r="C66" s="3258"/>
      <c r="D66" s="904">
        <f>'Saisie données file act.'!D85</f>
        <v>0</v>
      </c>
      <c r="E66" s="903" t="str">
        <f>IF(ISBLANK('Saisie données file act.'!E85), "", 'Saisie données file act.'!E85)</f>
        <v/>
      </c>
      <c r="F66" s="903" t="str">
        <f>IF(ISBLANK('Saisie données file act.'!F85), "", 'Saisie données file act.'!F85)</f>
        <v/>
      </c>
      <c r="G66" s="903" t="str">
        <f>IF(ISBLANK('Saisie données file act.'!G85), "", 'Saisie données file act.'!G85)</f>
        <v/>
      </c>
      <c r="H66" s="903" t="str">
        <f>IF(ISBLANK('Saisie données file act.'!H85), "", 'Saisie données file act.'!H85)</f>
        <v/>
      </c>
      <c r="I66" s="903" t="str">
        <f>IF(ISBLANK('Saisie données file act.'!I85), "", 'Saisie données file act.'!I85)</f>
        <v/>
      </c>
      <c r="J66" s="903" t="str">
        <f>IF(ISBLANK('Saisie données file act.'!J85), "", 'Saisie données file act.'!J85)</f>
        <v/>
      </c>
      <c r="K66" s="903" t="str">
        <f>IF(ISBLANK('Saisie données file act.'!K85), "", 'Saisie données file act.'!K85)</f>
        <v/>
      </c>
      <c r="L66" s="903" t="str">
        <f>IF(ISBLANK('Saisie données file act.'!L85), "", 'Saisie données file act.'!L85)</f>
        <v/>
      </c>
      <c r="M66" s="903" t="str">
        <f>IF(ISBLANK('Saisie données file act.'!M85), "", 'Saisie données file act.'!M85)</f>
        <v/>
      </c>
      <c r="N66" s="903" t="str">
        <f>IF(ISBLANK('Saisie données file act.'!N85), "", 'Saisie données file act.'!N85)</f>
        <v/>
      </c>
      <c r="O66" s="903" t="str">
        <f>IF(ISBLANK('Saisie données file act.'!O85), "", 'Saisie données file act.'!O85)</f>
        <v/>
      </c>
      <c r="P66" s="903" t="str">
        <f>IF(ISBLANK('Saisie données file act.'!P85), "", 'Saisie données file act.'!P85)</f>
        <v/>
      </c>
      <c r="Q66" s="903" t="str">
        <f>IF(ISBLANK('Saisie données file act.'!Q85), "", 'Saisie données file act.'!Q85)</f>
        <v/>
      </c>
      <c r="R66" s="903" t="str">
        <f>IF(ISBLANK('Saisie données file act.'!R85), "", 'Saisie données file act.'!R85)</f>
        <v/>
      </c>
      <c r="S66" s="903" t="str">
        <f>IF(ISBLANK('Saisie données file act.'!S85), "", 'Saisie données file act.'!S85)</f>
        <v/>
      </c>
      <c r="T66" s="903" t="str">
        <f>IF(ISBLANK('Saisie données file act.'!T85), "", 'Saisie données file act.'!T85)</f>
        <v/>
      </c>
      <c r="U66" s="903" t="str">
        <f>IF(ISBLANK('Saisie données file act.'!U85), "", 'Saisie données file act.'!U85)</f>
        <v/>
      </c>
      <c r="V66" s="903" t="str">
        <f>IF(ISBLANK('Saisie données file act.'!V85), "", 'Saisie données file act.'!V85)</f>
        <v/>
      </c>
      <c r="W66" s="903" t="str">
        <f>IF(ISBLANK('Saisie données file act.'!W85), "", 'Saisie données file act.'!W85)</f>
        <v/>
      </c>
      <c r="X66" s="903" t="str">
        <f>IF(ISBLANK('Saisie données file act.'!X85), "", 'Saisie données file act.'!X85)</f>
        <v/>
      </c>
      <c r="Y66" s="903" t="str">
        <f>IF(ISBLANK('Saisie données file act.'!Y85), "", 'Saisie données file act.'!Y85)</f>
        <v/>
      </c>
      <c r="Z66" s="903" t="str">
        <f>IF(ISBLANK('Saisie données file act.'!Z85), "", 'Saisie données file act.'!Z85)</f>
        <v/>
      </c>
      <c r="AA66" s="903" t="str">
        <f>IF(ISBLANK('Saisie données file act.'!AA85), "", 'Saisie données file act.'!AA85)</f>
        <v/>
      </c>
      <c r="AB66" s="903" t="str">
        <f>IF(ISBLANK('Saisie données file act.'!AB85), "", 'Saisie données file act.'!AB85)</f>
        <v/>
      </c>
      <c r="AC66" s="903" t="str">
        <f>IF(ISBLANK('Saisie données file act.'!AC85), "", 'Saisie données file act.'!AC85)</f>
        <v/>
      </c>
      <c r="AD66" s="903" t="str">
        <f>IF(ISBLANK('Saisie données file act.'!AD85), "", 'Saisie données file act.'!AD85)</f>
        <v/>
      </c>
      <c r="AE66" s="903" t="str">
        <f>IF(ISBLANK('Saisie données file act.'!AE85), "", 'Saisie données file act.'!AE85)</f>
        <v/>
      </c>
      <c r="AF66" s="903" t="str">
        <f>IF(ISBLANK('Saisie données file act.'!AF85), "", 'Saisie données file act.'!AF85)</f>
        <v/>
      </c>
      <c r="AG66" s="903" t="str">
        <f>IF(ISBLANK('Saisie données file act.'!AG85), "", 'Saisie données file act.'!AG85)</f>
        <v/>
      </c>
      <c r="AH66" s="903" t="str">
        <f>IF(ISBLANK('Saisie données file act.'!AH85), "", 'Saisie données file act.'!AH85)</f>
        <v/>
      </c>
      <c r="AI66" s="903" t="str">
        <f>IF(ISBLANK('Saisie données file act.'!AI85), "", 'Saisie données file act.'!AI85)</f>
        <v/>
      </c>
      <c r="AJ66" s="903" t="str">
        <f>IF(ISBLANK('Saisie données file act.'!AJ85), "", 'Saisie données file act.'!AJ85)</f>
        <v/>
      </c>
      <c r="AK66" s="903" t="str">
        <f>IF(ISBLANK('Saisie données file act.'!AK85), "", 'Saisie données file act.'!AK85)</f>
        <v/>
      </c>
      <c r="AL66" s="903" t="str">
        <f>IF(ISBLANK('Saisie données file act.'!AL85), "", 'Saisie données file act.'!AL85)</f>
        <v/>
      </c>
      <c r="AM66" s="903" t="str">
        <f>IF(ISBLANK('Saisie données file act.'!AM85), "", 'Saisie données file act.'!AM85)</f>
        <v/>
      </c>
      <c r="AN66" s="903" t="str">
        <f>IF(ISBLANK('Saisie données file act.'!AN85), "", 'Saisie données file act.'!AN85)</f>
        <v/>
      </c>
      <c r="AO66" s="903" t="str">
        <f>IF(ISBLANK('Saisie données file act.'!AO85), "", 'Saisie données file act.'!AO85)</f>
        <v/>
      </c>
      <c r="AP66" s="903" t="str">
        <f>IF(ISBLANK('Saisie données file act.'!AP85), "", 'Saisie données file act.'!AP85)</f>
        <v/>
      </c>
      <c r="AQ66" s="903" t="str">
        <f>IF(ISBLANK('Saisie données file act.'!AQ85), "", 'Saisie données file act.'!AQ85)</f>
        <v/>
      </c>
      <c r="AR66" s="903" t="str">
        <f>IF(ISBLANK('Saisie données file act.'!AR85), "", 'Saisie données file act.'!AR85)</f>
        <v/>
      </c>
      <c r="AS66" s="903" t="str">
        <f>IF(ISBLANK('Saisie données file act.'!AS85), "", 'Saisie données file act.'!AS85)</f>
        <v/>
      </c>
      <c r="AT66" s="903" t="str">
        <f>IF(ISBLANK('Saisie données file act.'!AT85), "", 'Saisie données file act.'!AT85)</f>
        <v/>
      </c>
      <c r="AU66" s="903" t="str">
        <f>IF(ISBLANK('Saisie données file act.'!AU85), "", 'Saisie données file act.'!AU85)</f>
        <v/>
      </c>
      <c r="AV66" s="909">
        <f>'Saisie données file act.'!E175</f>
        <v>0</v>
      </c>
      <c r="AW66" s="910"/>
      <c r="AX66" s="909">
        <f>'Saisie données file act.'!E317</f>
        <v>0</v>
      </c>
    </row>
    <row r="67" spans="3:50" s="895" customFormat="1" ht="14.25" thickBot="1" x14ac:dyDescent="0.3">
      <c r="C67" s="3258"/>
      <c r="D67" s="904">
        <f>'Saisie données file act.'!D86</f>
        <v>0</v>
      </c>
      <c r="E67" s="903" t="str">
        <f>IF(ISBLANK('Saisie données file act.'!E86), "", 'Saisie données file act.'!E86)</f>
        <v/>
      </c>
      <c r="F67" s="903" t="str">
        <f>IF(ISBLANK('Saisie données file act.'!F86), "", 'Saisie données file act.'!F86)</f>
        <v/>
      </c>
      <c r="G67" s="903" t="str">
        <f>IF(ISBLANK('Saisie données file act.'!G86), "", 'Saisie données file act.'!G86)</f>
        <v/>
      </c>
      <c r="H67" s="903" t="str">
        <f>IF(ISBLANK('Saisie données file act.'!H86), "", 'Saisie données file act.'!H86)</f>
        <v/>
      </c>
      <c r="I67" s="903" t="str">
        <f>IF(ISBLANK('Saisie données file act.'!I86), "", 'Saisie données file act.'!I86)</f>
        <v/>
      </c>
      <c r="J67" s="903" t="str">
        <f>IF(ISBLANK('Saisie données file act.'!J86), "", 'Saisie données file act.'!J86)</f>
        <v/>
      </c>
      <c r="K67" s="903" t="str">
        <f>IF(ISBLANK('Saisie données file act.'!K86), "", 'Saisie données file act.'!K86)</f>
        <v/>
      </c>
      <c r="L67" s="903" t="str">
        <f>IF(ISBLANK('Saisie données file act.'!L86), "", 'Saisie données file act.'!L86)</f>
        <v/>
      </c>
      <c r="M67" s="903" t="str">
        <f>IF(ISBLANK('Saisie données file act.'!M86), "", 'Saisie données file act.'!M86)</f>
        <v/>
      </c>
      <c r="N67" s="903" t="str">
        <f>IF(ISBLANK('Saisie données file act.'!N86), "", 'Saisie données file act.'!N86)</f>
        <v/>
      </c>
      <c r="O67" s="903" t="str">
        <f>IF(ISBLANK('Saisie données file act.'!O86), "", 'Saisie données file act.'!O86)</f>
        <v/>
      </c>
      <c r="P67" s="903" t="str">
        <f>IF(ISBLANK('Saisie données file act.'!P86), "", 'Saisie données file act.'!P86)</f>
        <v/>
      </c>
      <c r="Q67" s="903" t="str">
        <f>IF(ISBLANK('Saisie données file act.'!Q86), "", 'Saisie données file act.'!Q86)</f>
        <v/>
      </c>
      <c r="R67" s="903" t="str">
        <f>IF(ISBLANK('Saisie données file act.'!R86), "", 'Saisie données file act.'!R86)</f>
        <v/>
      </c>
      <c r="S67" s="903" t="str">
        <f>IF(ISBLANK('Saisie données file act.'!S86), "", 'Saisie données file act.'!S86)</f>
        <v/>
      </c>
      <c r="T67" s="903" t="str">
        <f>IF(ISBLANK('Saisie données file act.'!T86), "", 'Saisie données file act.'!T86)</f>
        <v/>
      </c>
      <c r="U67" s="903" t="str">
        <f>IF(ISBLANK('Saisie données file act.'!U86), "", 'Saisie données file act.'!U86)</f>
        <v/>
      </c>
      <c r="V67" s="903" t="str">
        <f>IF(ISBLANK('Saisie données file act.'!V86), "", 'Saisie données file act.'!V86)</f>
        <v/>
      </c>
      <c r="W67" s="903" t="str">
        <f>IF(ISBLANK('Saisie données file act.'!W86), "", 'Saisie données file act.'!W86)</f>
        <v/>
      </c>
      <c r="X67" s="903" t="str">
        <f>IF(ISBLANK('Saisie données file act.'!X86), "", 'Saisie données file act.'!X86)</f>
        <v/>
      </c>
      <c r="Y67" s="903" t="str">
        <f>IF(ISBLANK('Saisie données file act.'!Y86), "", 'Saisie données file act.'!Y86)</f>
        <v/>
      </c>
      <c r="Z67" s="903" t="str">
        <f>IF(ISBLANK('Saisie données file act.'!Z86), "", 'Saisie données file act.'!Z86)</f>
        <v/>
      </c>
      <c r="AA67" s="903" t="str">
        <f>IF(ISBLANK('Saisie données file act.'!AA86), "", 'Saisie données file act.'!AA86)</f>
        <v/>
      </c>
      <c r="AB67" s="903" t="str">
        <f>IF(ISBLANK('Saisie données file act.'!AB86), "", 'Saisie données file act.'!AB86)</f>
        <v/>
      </c>
      <c r="AC67" s="903" t="str">
        <f>IF(ISBLANK('Saisie données file act.'!AC86), "", 'Saisie données file act.'!AC86)</f>
        <v/>
      </c>
      <c r="AD67" s="903" t="str">
        <f>IF(ISBLANK('Saisie données file act.'!AD86), "", 'Saisie données file act.'!AD86)</f>
        <v/>
      </c>
      <c r="AE67" s="903" t="str">
        <f>IF(ISBLANK('Saisie données file act.'!AE86), "", 'Saisie données file act.'!AE86)</f>
        <v/>
      </c>
      <c r="AF67" s="903" t="str">
        <f>IF(ISBLANK('Saisie données file act.'!AF86), "", 'Saisie données file act.'!AF86)</f>
        <v/>
      </c>
      <c r="AG67" s="903" t="str">
        <f>IF(ISBLANK('Saisie données file act.'!AG86), "", 'Saisie données file act.'!AG86)</f>
        <v/>
      </c>
      <c r="AH67" s="903" t="str">
        <f>IF(ISBLANK('Saisie données file act.'!AH86), "", 'Saisie données file act.'!AH86)</f>
        <v/>
      </c>
      <c r="AI67" s="903" t="str">
        <f>IF(ISBLANK('Saisie données file act.'!AI86), "", 'Saisie données file act.'!AI86)</f>
        <v/>
      </c>
      <c r="AJ67" s="903" t="str">
        <f>IF(ISBLANK('Saisie données file act.'!AJ86), "", 'Saisie données file act.'!AJ86)</f>
        <v/>
      </c>
      <c r="AK67" s="903" t="str">
        <f>IF(ISBLANK('Saisie données file act.'!AK86), "", 'Saisie données file act.'!AK86)</f>
        <v/>
      </c>
      <c r="AL67" s="903" t="str">
        <f>IF(ISBLANK('Saisie données file act.'!AL86), "", 'Saisie données file act.'!AL86)</f>
        <v/>
      </c>
      <c r="AM67" s="903" t="str">
        <f>IF(ISBLANK('Saisie données file act.'!AM86), "", 'Saisie données file act.'!AM86)</f>
        <v/>
      </c>
      <c r="AN67" s="903" t="str">
        <f>IF(ISBLANK('Saisie données file act.'!AN86), "", 'Saisie données file act.'!AN86)</f>
        <v/>
      </c>
      <c r="AO67" s="903" t="str">
        <f>IF(ISBLANK('Saisie données file act.'!AO86), "", 'Saisie données file act.'!AO86)</f>
        <v/>
      </c>
      <c r="AP67" s="903" t="str">
        <f>IF(ISBLANK('Saisie données file act.'!AP86), "", 'Saisie données file act.'!AP86)</f>
        <v/>
      </c>
      <c r="AQ67" s="903" t="str">
        <f>IF(ISBLANK('Saisie données file act.'!AQ86), "", 'Saisie données file act.'!AQ86)</f>
        <v/>
      </c>
      <c r="AR67" s="903" t="str">
        <f>IF(ISBLANK('Saisie données file act.'!AR86), "", 'Saisie données file act.'!AR86)</f>
        <v/>
      </c>
      <c r="AS67" s="903" t="str">
        <f>IF(ISBLANK('Saisie données file act.'!AS86), "", 'Saisie données file act.'!AS86)</f>
        <v/>
      </c>
      <c r="AT67" s="903" t="str">
        <f>IF(ISBLANK('Saisie données file act.'!AT86), "", 'Saisie données file act.'!AT86)</f>
        <v/>
      </c>
      <c r="AU67" s="903" t="str">
        <f>IF(ISBLANK('Saisie données file act.'!AU86), "", 'Saisie données file act.'!AU86)</f>
        <v/>
      </c>
      <c r="AV67" s="909">
        <f>'Saisie données file act.'!E176</f>
        <v>0</v>
      </c>
      <c r="AW67" s="910"/>
      <c r="AX67" s="909">
        <f>'Saisie données file act.'!E318</f>
        <v>0</v>
      </c>
    </row>
    <row r="68" spans="3:50" s="895" customFormat="1" ht="14.25" thickBot="1" x14ac:dyDescent="0.3">
      <c r="C68" s="3258"/>
      <c r="D68" s="904">
        <f>'Saisie données file act.'!D87</f>
        <v>0</v>
      </c>
      <c r="E68" s="903" t="str">
        <f>IF(ISBLANK('Saisie données file act.'!E87), "", 'Saisie données file act.'!E87)</f>
        <v/>
      </c>
      <c r="F68" s="903" t="str">
        <f>IF(ISBLANK('Saisie données file act.'!F87), "", 'Saisie données file act.'!F87)</f>
        <v/>
      </c>
      <c r="G68" s="903" t="str">
        <f>IF(ISBLANK('Saisie données file act.'!G87), "", 'Saisie données file act.'!G87)</f>
        <v/>
      </c>
      <c r="H68" s="903" t="str">
        <f>IF(ISBLANK('Saisie données file act.'!H87), "", 'Saisie données file act.'!H87)</f>
        <v/>
      </c>
      <c r="I68" s="903" t="str">
        <f>IF(ISBLANK('Saisie données file act.'!I87), "", 'Saisie données file act.'!I87)</f>
        <v/>
      </c>
      <c r="J68" s="903" t="str">
        <f>IF(ISBLANK('Saisie données file act.'!J87), "", 'Saisie données file act.'!J87)</f>
        <v/>
      </c>
      <c r="K68" s="903" t="str">
        <f>IF(ISBLANK('Saisie données file act.'!K87), "", 'Saisie données file act.'!K87)</f>
        <v/>
      </c>
      <c r="L68" s="903" t="str">
        <f>IF(ISBLANK('Saisie données file act.'!L87), "", 'Saisie données file act.'!L87)</f>
        <v/>
      </c>
      <c r="M68" s="903" t="str">
        <f>IF(ISBLANK('Saisie données file act.'!M87), "", 'Saisie données file act.'!M87)</f>
        <v/>
      </c>
      <c r="N68" s="903" t="str">
        <f>IF(ISBLANK('Saisie données file act.'!N87), "", 'Saisie données file act.'!N87)</f>
        <v/>
      </c>
      <c r="O68" s="903" t="str">
        <f>IF(ISBLANK('Saisie données file act.'!O87), "", 'Saisie données file act.'!O87)</f>
        <v/>
      </c>
      <c r="P68" s="903" t="str">
        <f>IF(ISBLANK('Saisie données file act.'!P87), "", 'Saisie données file act.'!P87)</f>
        <v/>
      </c>
      <c r="Q68" s="903" t="str">
        <f>IF(ISBLANK('Saisie données file act.'!Q87), "", 'Saisie données file act.'!Q87)</f>
        <v/>
      </c>
      <c r="R68" s="903" t="str">
        <f>IF(ISBLANK('Saisie données file act.'!R87), "", 'Saisie données file act.'!R87)</f>
        <v/>
      </c>
      <c r="S68" s="903" t="str">
        <f>IF(ISBLANK('Saisie données file act.'!S87), "", 'Saisie données file act.'!S87)</f>
        <v/>
      </c>
      <c r="T68" s="903" t="str">
        <f>IF(ISBLANK('Saisie données file act.'!T87), "", 'Saisie données file act.'!T87)</f>
        <v/>
      </c>
      <c r="U68" s="903" t="str">
        <f>IF(ISBLANK('Saisie données file act.'!U87), "", 'Saisie données file act.'!U87)</f>
        <v/>
      </c>
      <c r="V68" s="903" t="str">
        <f>IF(ISBLANK('Saisie données file act.'!V87), "", 'Saisie données file act.'!V87)</f>
        <v/>
      </c>
      <c r="W68" s="903" t="str">
        <f>IF(ISBLANK('Saisie données file act.'!W87), "", 'Saisie données file act.'!W87)</f>
        <v/>
      </c>
      <c r="X68" s="903" t="str">
        <f>IF(ISBLANK('Saisie données file act.'!X87), "", 'Saisie données file act.'!X87)</f>
        <v/>
      </c>
      <c r="Y68" s="903" t="str">
        <f>IF(ISBLANK('Saisie données file act.'!Y87), "", 'Saisie données file act.'!Y87)</f>
        <v/>
      </c>
      <c r="Z68" s="903" t="str">
        <f>IF(ISBLANK('Saisie données file act.'!Z87), "", 'Saisie données file act.'!Z87)</f>
        <v/>
      </c>
      <c r="AA68" s="903" t="str">
        <f>IF(ISBLANK('Saisie données file act.'!AA87), "", 'Saisie données file act.'!AA87)</f>
        <v/>
      </c>
      <c r="AB68" s="903" t="str">
        <f>IF(ISBLANK('Saisie données file act.'!AB87), "", 'Saisie données file act.'!AB87)</f>
        <v/>
      </c>
      <c r="AC68" s="903" t="str">
        <f>IF(ISBLANK('Saisie données file act.'!AC87), "", 'Saisie données file act.'!AC87)</f>
        <v/>
      </c>
      <c r="AD68" s="903" t="str">
        <f>IF(ISBLANK('Saisie données file act.'!AD87), "", 'Saisie données file act.'!AD87)</f>
        <v/>
      </c>
      <c r="AE68" s="903" t="str">
        <f>IF(ISBLANK('Saisie données file act.'!AE87), "", 'Saisie données file act.'!AE87)</f>
        <v/>
      </c>
      <c r="AF68" s="903" t="str">
        <f>IF(ISBLANK('Saisie données file act.'!AF87), "", 'Saisie données file act.'!AF87)</f>
        <v/>
      </c>
      <c r="AG68" s="903" t="str">
        <f>IF(ISBLANK('Saisie données file act.'!AG87), "", 'Saisie données file act.'!AG87)</f>
        <v/>
      </c>
      <c r="AH68" s="903" t="str">
        <f>IF(ISBLANK('Saisie données file act.'!AH87), "", 'Saisie données file act.'!AH87)</f>
        <v/>
      </c>
      <c r="AI68" s="903" t="str">
        <f>IF(ISBLANK('Saisie données file act.'!AI87), "", 'Saisie données file act.'!AI87)</f>
        <v/>
      </c>
      <c r="AJ68" s="903" t="str">
        <f>IF(ISBLANK('Saisie données file act.'!AJ87), "", 'Saisie données file act.'!AJ87)</f>
        <v/>
      </c>
      <c r="AK68" s="903" t="str">
        <f>IF(ISBLANK('Saisie données file act.'!AK87), "", 'Saisie données file act.'!AK87)</f>
        <v/>
      </c>
      <c r="AL68" s="903" t="str">
        <f>IF(ISBLANK('Saisie données file act.'!AL87), "", 'Saisie données file act.'!AL87)</f>
        <v/>
      </c>
      <c r="AM68" s="903" t="str">
        <f>IF(ISBLANK('Saisie données file act.'!AM87), "", 'Saisie données file act.'!AM87)</f>
        <v/>
      </c>
      <c r="AN68" s="903" t="str">
        <f>IF(ISBLANK('Saisie données file act.'!AN87), "", 'Saisie données file act.'!AN87)</f>
        <v/>
      </c>
      <c r="AO68" s="903" t="str">
        <f>IF(ISBLANK('Saisie données file act.'!AO87), "", 'Saisie données file act.'!AO87)</f>
        <v/>
      </c>
      <c r="AP68" s="903" t="str">
        <f>IF(ISBLANK('Saisie données file act.'!AP87), "", 'Saisie données file act.'!AP87)</f>
        <v/>
      </c>
      <c r="AQ68" s="903" t="str">
        <f>IF(ISBLANK('Saisie données file act.'!AQ87), "", 'Saisie données file act.'!AQ87)</f>
        <v/>
      </c>
      <c r="AR68" s="903" t="str">
        <f>IF(ISBLANK('Saisie données file act.'!AR87), "", 'Saisie données file act.'!AR87)</f>
        <v/>
      </c>
      <c r="AS68" s="903" t="str">
        <f>IF(ISBLANK('Saisie données file act.'!AS87), "", 'Saisie données file act.'!AS87)</f>
        <v/>
      </c>
      <c r="AT68" s="903" t="str">
        <f>IF(ISBLANK('Saisie données file act.'!AT87), "", 'Saisie données file act.'!AT87)</f>
        <v/>
      </c>
      <c r="AU68" s="903" t="str">
        <f>IF(ISBLANK('Saisie données file act.'!AU87), "", 'Saisie données file act.'!AU87)</f>
        <v/>
      </c>
      <c r="AV68" s="909">
        <f>'Saisie données file act.'!E177</f>
        <v>0</v>
      </c>
      <c r="AW68" s="910"/>
      <c r="AX68" s="909">
        <f>'Saisie données file act.'!E319</f>
        <v>0</v>
      </c>
    </row>
    <row r="69" spans="3:50" s="895" customFormat="1" ht="14.25" thickBot="1" x14ac:dyDescent="0.3">
      <c r="C69" s="3258"/>
      <c r="D69" s="904">
        <f>'Saisie données file act.'!D88</f>
        <v>0</v>
      </c>
      <c r="E69" s="903" t="str">
        <f>IF(ISBLANK('Saisie données file act.'!E88), "", 'Saisie données file act.'!E88)</f>
        <v/>
      </c>
      <c r="F69" s="903" t="str">
        <f>IF(ISBLANK('Saisie données file act.'!F88), "", 'Saisie données file act.'!F88)</f>
        <v/>
      </c>
      <c r="G69" s="903" t="str">
        <f>IF(ISBLANK('Saisie données file act.'!G88), "", 'Saisie données file act.'!G88)</f>
        <v/>
      </c>
      <c r="H69" s="903" t="str">
        <f>IF(ISBLANK('Saisie données file act.'!H88), "", 'Saisie données file act.'!H88)</f>
        <v/>
      </c>
      <c r="I69" s="903" t="str">
        <f>IF(ISBLANK('Saisie données file act.'!I88), "", 'Saisie données file act.'!I88)</f>
        <v/>
      </c>
      <c r="J69" s="903" t="str">
        <f>IF(ISBLANK('Saisie données file act.'!J88), "", 'Saisie données file act.'!J88)</f>
        <v/>
      </c>
      <c r="K69" s="903" t="str">
        <f>IF(ISBLANK('Saisie données file act.'!K88), "", 'Saisie données file act.'!K88)</f>
        <v/>
      </c>
      <c r="L69" s="903" t="str">
        <f>IF(ISBLANK('Saisie données file act.'!L88), "", 'Saisie données file act.'!L88)</f>
        <v/>
      </c>
      <c r="M69" s="903" t="str">
        <f>IF(ISBLANK('Saisie données file act.'!M88), "", 'Saisie données file act.'!M88)</f>
        <v/>
      </c>
      <c r="N69" s="903" t="str">
        <f>IF(ISBLANK('Saisie données file act.'!N88), "", 'Saisie données file act.'!N88)</f>
        <v/>
      </c>
      <c r="O69" s="903" t="str">
        <f>IF(ISBLANK('Saisie données file act.'!O88), "", 'Saisie données file act.'!O88)</f>
        <v/>
      </c>
      <c r="P69" s="903" t="str">
        <f>IF(ISBLANK('Saisie données file act.'!P88), "", 'Saisie données file act.'!P88)</f>
        <v/>
      </c>
      <c r="Q69" s="903" t="str">
        <f>IF(ISBLANK('Saisie données file act.'!Q88), "", 'Saisie données file act.'!Q88)</f>
        <v/>
      </c>
      <c r="R69" s="903" t="str">
        <f>IF(ISBLANK('Saisie données file act.'!R88), "", 'Saisie données file act.'!R88)</f>
        <v/>
      </c>
      <c r="S69" s="903" t="str">
        <f>IF(ISBLANK('Saisie données file act.'!S88), "", 'Saisie données file act.'!S88)</f>
        <v/>
      </c>
      <c r="T69" s="903" t="str">
        <f>IF(ISBLANK('Saisie données file act.'!T88), "", 'Saisie données file act.'!T88)</f>
        <v/>
      </c>
      <c r="U69" s="903" t="str">
        <f>IF(ISBLANK('Saisie données file act.'!U88), "", 'Saisie données file act.'!U88)</f>
        <v/>
      </c>
      <c r="V69" s="903" t="str">
        <f>IF(ISBLANK('Saisie données file act.'!V88), "", 'Saisie données file act.'!V88)</f>
        <v/>
      </c>
      <c r="W69" s="903" t="str">
        <f>IF(ISBLANK('Saisie données file act.'!W88), "", 'Saisie données file act.'!W88)</f>
        <v/>
      </c>
      <c r="X69" s="903" t="str">
        <f>IF(ISBLANK('Saisie données file act.'!X88), "", 'Saisie données file act.'!X88)</f>
        <v/>
      </c>
      <c r="Y69" s="903" t="str">
        <f>IF(ISBLANK('Saisie données file act.'!Y88), "", 'Saisie données file act.'!Y88)</f>
        <v/>
      </c>
      <c r="Z69" s="903" t="str">
        <f>IF(ISBLANK('Saisie données file act.'!Z88), "", 'Saisie données file act.'!Z88)</f>
        <v/>
      </c>
      <c r="AA69" s="903" t="str">
        <f>IF(ISBLANK('Saisie données file act.'!AA88), "", 'Saisie données file act.'!AA88)</f>
        <v/>
      </c>
      <c r="AB69" s="903" t="str">
        <f>IF(ISBLANK('Saisie données file act.'!AB88), "", 'Saisie données file act.'!AB88)</f>
        <v/>
      </c>
      <c r="AC69" s="903" t="str">
        <f>IF(ISBLANK('Saisie données file act.'!AC88), "", 'Saisie données file act.'!AC88)</f>
        <v/>
      </c>
      <c r="AD69" s="903" t="str">
        <f>IF(ISBLANK('Saisie données file act.'!AD88), "", 'Saisie données file act.'!AD88)</f>
        <v/>
      </c>
      <c r="AE69" s="903" t="str">
        <f>IF(ISBLANK('Saisie données file act.'!AE88), "", 'Saisie données file act.'!AE88)</f>
        <v/>
      </c>
      <c r="AF69" s="903" t="str">
        <f>IF(ISBLANK('Saisie données file act.'!AF88), "", 'Saisie données file act.'!AF88)</f>
        <v/>
      </c>
      <c r="AG69" s="903" t="str">
        <f>IF(ISBLANK('Saisie données file act.'!AG88), "", 'Saisie données file act.'!AG88)</f>
        <v/>
      </c>
      <c r="AH69" s="903" t="str">
        <f>IF(ISBLANK('Saisie données file act.'!AH88), "", 'Saisie données file act.'!AH88)</f>
        <v/>
      </c>
      <c r="AI69" s="903" t="str">
        <f>IF(ISBLANK('Saisie données file act.'!AI88), "", 'Saisie données file act.'!AI88)</f>
        <v/>
      </c>
      <c r="AJ69" s="903" t="str">
        <f>IF(ISBLANK('Saisie données file act.'!AJ88), "", 'Saisie données file act.'!AJ88)</f>
        <v/>
      </c>
      <c r="AK69" s="903" t="str">
        <f>IF(ISBLANK('Saisie données file act.'!AK88), "", 'Saisie données file act.'!AK88)</f>
        <v/>
      </c>
      <c r="AL69" s="903" t="str">
        <f>IF(ISBLANK('Saisie données file act.'!AL88), "", 'Saisie données file act.'!AL88)</f>
        <v/>
      </c>
      <c r="AM69" s="903" t="str">
        <f>IF(ISBLANK('Saisie données file act.'!AM88), "", 'Saisie données file act.'!AM88)</f>
        <v/>
      </c>
      <c r="AN69" s="903" t="str">
        <f>IF(ISBLANK('Saisie données file act.'!AN88), "", 'Saisie données file act.'!AN88)</f>
        <v/>
      </c>
      <c r="AO69" s="903" t="str">
        <f>IF(ISBLANK('Saisie données file act.'!AO88), "", 'Saisie données file act.'!AO88)</f>
        <v/>
      </c>
      <c r="AP69" s="903" t="str">
        <f>IF(ISBLANK('Saisie données file act.'!AP88), "", 'Saisie données file act.'!AP88)</f>
        <v/>
      </c>
      <c r="AQ69" s="903" t="str">
        <f>IF(ISBLANK('Saisie données file act.'!AQ88), "", 'Saisie données file act.'!AQ88)</f>
        <v/>
      </c>
      <c r="AR69" s="903" t="str">
        <f>IF(ISBLANK('Saisie données file act.'!AR88), "", 'Saisie données file act.'!AR88)</f>
        <v/>
      </c>
      <c r="AS69" s="903" t="str">
        <f>IF(ISBLANK('Saisie données file act.'!AS88), "", 'Saisie données file act.'!AS88)</f>
        <v/>
      </c>
      <c r="AT69" s="903" t="str">
        <f>IF(ISBLANK('Saisie données file act.'!AT88), "", 'Saisie données file act.'!AT88)</f>
        <v/>
      </c>
      <c r="AU69" s="903" t="str">
        <f>IF(ISBLANK('Saisie données file act.'!AU88), "", 'Saisie données file act.'!AU88)</f>
        <v/>
      </c>
      <c r="AV69" s="909">
        <f>'Saisie données file act.'!E178</f>
        <v>0</v>
      </c>
      <c r="AW69" s="910"/>
      <c r="AX69" s="909">
        <f>'Saisie données file act.'!E320</f>
        <v>0</v>
      </c>
    </row>
    <row r="70" spans="3:50" s="895" customFormat="1" ht="14.25" thickBot="1" x14ac:dyDescent="0.3">
      <c r="C70" s="3258"/>
      <c r="D70" s="904">
        <f>'Saisie données file act.'!D89</f>
        <v>0</v>
      </c>
      <c r="E70" s="903" t="str">
        <f>IF(ISBLANK('Saisie données file act.'!E89), "", 'Saisie données file act.'!E89)</f>
        <v/>
      </c>
      <c r="F70" s="903" t="str">
        <f>IF(ISBLANK('Saisie données file act.'!F89), "", 'Saisie données file act.'!F89)</f>
        <v/>
      </c>
      <c r="G70" s="903" t="str">
        <f>IF(ISBLANK('Saisie données file act.'!G89), "", 'Saisie données file act.'!G89)</f>
        <v/>
      </c>
      <c r="H70" s="903" t="str">
        <f>IF(ISBLANK('Saisie données file act.'!H89), "", 'Saisie données file act.'!H89)</f>
        <v/>
      </c>
      <c r="I70" s="903" t="str">
        <f>IF(ISBLANK('Saisie données file act.'!I89), "", 'Saisie données file act.'!I89)</f>
        <v/>
      </c>
      <c r="J70" s="903" t="str">
        <f>IF(ISBLANK('Saisie données file act.'!J89), "", 'Saisie données file act.'!J89)</f>
        <v/>
      </c>
      <c r="K70" s="903" t="str">
        <f>IF(ISBLANK('Saisie données file act.'!K89), "", 'Saisie données file act.'!K89)</f>
        <v/>
      </c>
      <c r="L70" s="903" t="str">
        <f>IF(ISBLANK('Saisie données file act.'!L89), "", 'Saisie données file act.'!L89)</f>
        <v/>
      </c>
      <c r="M70" s="903" t="str">
        <f>IF(ISBLANK('Saisie données file act.'!M89), "", 'Saisie données file act.'!M89)</f>
        <v/>
      </c>
      <c r="N70" s="903" t="str">
        <f>IF(ISBLANK('Saisie données file act.'!N89), "", 'Saisie données file act.'!N89)</f>
        <v/>
      </c>
      <c r="O70" s="903" t="str">
        <f>IF(ISBLANK('Saisie données file act.'!O89), "", 'Saisie données file act.'!O89)</f>
        <v/>
      </c>
      <c r="P70" s="903" t="str">
        <f>IF(ISBLANK('Saisie données file act.'!P89), "", 'Saisie données file act.'!P89)</f>
        <v/>
      </c>
      <c r="Q70" s="903" t="str">
        <f>IF(ISBLANK('Saisie données file act.'!Q89), "", 'Saisie données file act.'!Q89)</f>
        <v/>
      </c>
      <c r="R70" s="903" t="str">
        <f>IF(ISBLANK('Saisie données file act.'!R89), "", 'Saisie données file act.'!R89)</f>
        <v/>
      </c>
      <c r="S70" s="903" t="str">
        <f>IF(ISBLANK('Saisie données file act.'!S89), "", 'Saisie données file act.'!S89)</f>
        <v/>
      </c>
      <c r="T70" s="903" t="str">
        <f>IF(ISBLANK('Saisie données file act.'!T89), "", 'Saisie données file act.'!T89)</f>
        <v/>
      </c>
      <c r="U70" s="903" t="str">
        <f>IF(ISBLANK('Saisie données file act.'!U89), "", 'Saisie données file act.'!U89)</f>
        <v/>
      </c>
      <c r="V70" s="903" t="str">
        <f>IF(ISBLANK('Saisie données file act.'!V89), "", 'Saisie données file act.'!V89)</f>
        <v/>
      </c>
      <c r="W70" s="903" t="str">
        <f>IF(ISBLANK('Saisie données file act.'!W89), "", 'Saisie données file act.'!W89)</f>
        <v/>
      </c>
      <c r="X70" s="903" t="str">
        <f>IF(ISBLANK('Saisie données file act.'!X89), "", 'Saisie données file act.'!X89)</f>
        <v/>
      </c>
      <c r="Y70" s="903" t="str">
        <f>IF(ISBLANK('Saisie données file act.'!Y89), "", 'Saisie données file act.'!Y89)</f>
        <v/>
      </c>
      <c r="Z70" s="903" t="str">
        <f>IF(ISBLANK('Saisie données file act.'!Z89), "", 'Saisie données file act.'!Z89)</f>
        <v/>
      </c>
      <c r="AA70" s="903" t="str">
        <f>IF(ISBLANK('Saisie données file act.'!AA89), "", 'Saisie données file act.'!AA89)</f>
        <v/>
      </c>
      <c r="AB70" s="903" t="str">
        <f>IF(ISBLANK('Saisie données file act.'!AB89), "", 'Saisie données file act.'!AB89)</f>
        <v/>
      </c>
      <c r="AC70" s="903" t="str">
        <f>IF(ISBLANK('Saisie données file act.'!AC89), "", 'Saisie données file act.'!AC89)</f>
        <v/>
      </c>
      <c r="AD70" s="903" t="str">
        <f>IF(ISBLANK('Saisie données file act.'!AD89), "", 'Saisie données file act.'!AD89)</f>
        <v/>
      </c>
      <c r="AE70" s="903" t="str">
        <f>IF(ISBLANK('Saisie données file act.'!AE89), "", 'Saisie données file act.'!AE89)</f>
        <v/>
      </c>
      <c r="AF70" s="903" t="str">
        <f>IF(ISBLANK('Saisie données file act.'!AF89), "", 'Saisie données file act.'!AF89)</f>
        <v/>
      </c>
      <c r="AG70" s="903" t="str">
        <f>IF(ISBLANK('Saisie données file act.'!AG89), "", 'Saisie données file act.'!AG89)</f>
        <v/>
      </c>
      <c r="AH70" s="903" t="str">
        <f>IF(ISBLANK('Saisie données file act.'!AH89), "", 'Saisie données file act.'!AH89)</f>
        <v/>
      </c>
      <c r="AI70" s="903" t="str">
        <f>IF(ISBLANK('Saisie données file act.'!AI89), "", 'Saisie données file act.'!AI89)</f>
        <v/>
      </c>
      <c r="AJ70" s="903" t="str">
        <f>IF(ISBLANK('Saisie données file act.'!AJ89), "", 'Saisie données file act.'!AJ89)</f>
        <v/>
      </c>
      <c r="AK70" s="903" t="str">
        <f>IF(ISBLANK('Saisie données file act.'!AK89), "", 'Saisie données file act.'!AK89)</f>
        <v/>
      </c>
      <c r="AL70" s="903" t="str">
        <f>IF(ISBLANK('Saisie données file act.'!AL89), "", 'Saisie données file act.'!AL89)</f>
        <v/>
      </c>
      <c r="AM70" s="903" t="str">
        <f>IF(ISBLANK('Saisie données file act.'!AM89), "", 'Saisie données file act.'!AM89)</f>
        <v/>
      </c>
      <c r="AN70" s="903" t="str">
        <f>IF(ISBLANK('Saisie données file act.'!AN89), "", 'Saisie données file act.'!AN89)</f>
        <v/>
      </c>
      <c r="AO70" s="903" t="str">
        <f>IF(ISBLANK('Saisie données file act.'!AO89), "", 'Saisie données file act.'!AO89)</f>
        <v/>
      </c>
      <c r="AP70" s="903" t="str">
        <f>IF(ISBLANK('Saisie données file act.'!AP89), "", 'Saisie données file act.'!AP89)</f>
        <v/>
      </c>
      <c r="AQ70" s="903" t="str">
        <f>IF(ISBLANK('Saisie données file act.'!AQ89), "", 'Saisie données file act.'!AQ89)</f>
        <v/>
      </c>
      <c r="AR70" s="903" t="str">
        <f>IF(ISBLANK('Saisie données file act.'!AR89), "", 'Saisie données file act.'!AR89)</f>
        <v/>
      </c>
      <c r="AS70" s="903" t="str">
        <f>IF(ISBLANK('Saisie données file act.'!AS89), "", 'Saisie données file act.'!AS89)</f>
        <v/>
      </c>
      <c r="AT70" s="903" t="str">
        <f>IF(ISBLANK('Saisie données file act.'!AT89), "", 'Saisie données file act.'!AT89)</f>
        <v/>
      </c>
      <c r="AU70" s="903" t="str">
        <f>IF(ISBLANK('Saisie données file act.'!AU89), "", 'Saisie données file act.'!AU89)</f>
        <v/>
      </c>
      <c r="AV70" s="909">
        <f>'Saisie données file act.'!E179</f>
        <v>0</v>
      </c>
      <c r="AW70" s="910"/>
      <c r="AX70" s="909">
        <f>'Saisie données file act.'!E321</f>
        <v>0</v>
      </c>
    </row>
    <row r="71" spans="3:50" s="895" customFormat="1" ht="14.25" thickBot="1" x14ac:dyDescent="0.3">
      <c r="C71" s="3258"/>
      <c r="D71" s="904">
        <f>'Saisie données file act.'!D90</f>
        <v>0</v>
      </c>
      <c r="E71" s="903" t="str">
        <f>IF(ISBLANK('Saisie données file act.'!E90), "", 'Saisie données file act.'!E90)</f>
        <v/>
      </c>
      <c r="F71" s="903" t="str">
        <f>IF(ISBLANK('Saisie données file act.'!F90), "", 'Saisie données file act.'!F90)</f>
        <v/>
      </c>
      <c r="G71" s="903" t="str">
        <f>IF(ISBLANK('Saisie données file act.'!G90), "", 'Saisie données file act.'!G90)</f>
        <v/>
      </c>
      <c r="H71" s="903" t="str">
        <f>IF(ISBLANK('Saisie données file act.'!H90), "", 'Saisie données file act.'!H90)</f>
        <v/>
      </c>
      <c r="I71" s="903" t="str">
        <f>IF(ISBLANK('Saisie données file act.'!I90), "", 'Saisie données file act.'!I90)</f>
        <v/>
      </c>
      <c r="J71" s="903" t="str">
        <f>IF(ISBLANK('Saisie données file act.'!J90), "", 'Saisie données file act.'!J90)</f>
        <v/>
      </c>
      <c r="K71" s="903" t="str">
        <f>IF(ISBLANK('Saisie données file act.'!K90), "", 'Saisie données file act.'!K90)</f>
        <v/>
      </c>
      <c r="L71" s="903" t="str">
        <f>IF(ISBLANK('Saisie données file act.'!L90), "", 'Saisie données file act.'!L90)</f>
        <v/>
      </c>
      <c r="M71" s="903" t="str">
        <f>IF(ISBLANK('Saisie données file act.'!M90), "", 'Saisie données file act.'!M90)</f>
        <v/>
      </c>
      <c r="N71" s="903" t="str">
        <f>IF(ISBLANK('Saisie données file act.'!N90), "", 'Saisie données file act.'!N90)</f>
        <v/>
      </c>
      <c r="O71" s="903" t="str">
        <f>IF(ISBLANK('Saisie données file act.'!O90), "", 'Saisie données file act.'!O90)</f>
        <v/>
      </c>
      <c r="P71" s="903" t="str">
        <f>IF(ISBLANK('Saisie données file act.'!P90), "", 'Saisie données file act.'!P90)</f>
        <v/>
      </c>
      <c r="Q71" s="903" t="str">
        <f>IF(ISBLANK('Saisie données file act.'!Q90), "", 'Saisie données file act.'!Q90)</f>
        <v/>
      </c>
      <c r="R71" s="903" t="str">
        <f>IF(ISBLANK('Saisie données file act.'!R90), "", 'Saisie données file act.'!R90)</f>
        <v/>
      </c>
      <c r="S71" s="903" t="str">
        <f>IF(ISBLANK('Saisie données file act.'!S90), "", 'Saisie données file act.'!S90)</f>
        <v/>
      </c>
      <c r="T71" s="903" t="str">
        <f>IF(ISBLANK('Saisie données file act.'!T90), "", 'Saisie données file act.'!T90)</f>
        <v/>
      </c>
      <c r="U71" s="903" t="str">
        <f>IF(ISBLANK('Saisie données file act.'!U90), "", 'Saisie données file act.'!U90)</f>
        <v/>
      </c>
      <c r="V71" s="903" t="str">
        <f>IF(ISBLANK('Saisie données file act.'!V90), "", 'Saisie données file act.'!V90)</f>
        <v/>
      </c>
      <c r="W71" s="903" t="str">
        <f>IF(ISBLANK('Saisie données file act.'!W90), "", 'Saisie données file act.'!W90)</f>
        <v/>
      </c>
      <c r="X71" s="903" t="str">
        <f>IF(ISBLANK('Saisie données file act.'!X90), "", 'Saisie données file act.'!X90)</f>
        <v/>
      </c>
      <c r="Y71" s="903" t="str">
        <f>IF(ISBLANK('Saisie données file act.'!Y90), "", 'Saisie données file act.'!Y90)</f>
        <v/>
      </c>
      <c r="Z71" s="903" t="str">
        <f>IF(ISBLANK('Saisie données file act.'!Z90), "", 'Saisie données file act.'!Z90)</f>
        <v/>
      </c>
      <c r="AA71" s="903" t="str">
        <f>IF(ISBLANK('Saisie données file act.'!AA90), "", 'Saisie données file act.'!AA90)</f>
        <v/>
      </c>
      <c r="AB71" s="903" t="str">
        <f>IF(ISBLANK('Saisie données file act.'!AB90), "", 'Saisie données file act.'!AB90)</f>
        <v/>
      </c>
      <c r="AC71" s="903" t="str">
        <f>IF(ISBLANK('Saisie données file act.'!AC90), "", 'Saisie données file act.'!AC90)</f>
        <v/>
      </c>
      <c r="AD71" s="903" t="str">
        <f>IF(ISBLANK('Saisie données file act.'!AD90), "", 'Saisie données file act.'!AD90)</f>
        <v/>
      </c>
      <c r="AE71" s="903" t="str">
        <f>IF(ISBLANK('Saisie données file act.'!AE90), "", 'Saisie données file act.'!AE90)</f>
        <v/>
      </c>
      <c r="AF71" s="903" t="str">
        <f>IF(ISBLANK('Saisie données file act.'!AF90), "", 'Saisie données file act.'!AF90)</f>
        <v/>
      </c>
      <c r="AG71" s="903" t="str">
        <f>IF(ISBLANK('Saisie données file act.'!AG90), "", 'Saisie données file act.'!AG90)</f>
        <v/>
      </c>
      <c r="AH71" s="903" t="str">
        <f>IF(ISBLANK('Saisie données file act.'!AH90), "", 'Saisie données file act.'!AH90)</f>
        <v/>
      </c>
      <c r="AI71" s="903" t="str">
        <f>IF(ISBLANK('Saisie données file act.'!AI90), "", 'Saisie données file act.'!AI90)</f>
        <v/>
      </c>
      <c r="AJ71" s="903" t="str">
        <f>IF(ISBLANK('Saisie données file act.'!AJ90), "", 'Saisie données file act.'!AJ90)</f>
        <v/>
      </c>
      <c r="AK71" s="903" t="str">
        <f>IF(ISBLANK('Saisie données file act.'!AK90), "", 'Saisie données file act.'!AK90)</f>
        <v/>
      </c>
      <c r="AL71" s="903" t="str">
        <f>IF(ISBLANK('Saisie données file act.'!AL90), "", 'Saisie données file act.'!AL90)</f>
        <v/>
      </c>
      <c r="AM71" s="903" t="str">
        <f>IF(ISBLANK('Saisie données file act.'!AM90), "", 'Saisie données file act.'!AM90)</f>
        <v/>
      </c>
      <c r="AN71" s="903" t="str">
        <f>IF(ISBLANK('Saisie données file act.'!AN90), "", 'Saisie données file act.'!AN90)</f>
        <v/>
      </c>
      <c r="AO71" s="903" t="str">
        <f>IF(ISBLANK('Saisie données file act.'!AO90), "", 'Saisie données file act.'!AO90)</f>
        <v/>
      </c>
      <c r="AP71" s="903" t="str">
        <f>IF(ISBLANK('Saisie données file act.'!AP90), "", 'Saisie données file act.'!AP90)</f>
        <v/>
      </c>
      <c r="AQ71" s="903" t="str">
        <f>IF(ISBLANK('Saisie données file act.'!AQ90), "", 'Saisie données file act.'!AQ90)</f>
        <v/>
      </c>
      <c r="AR71" s="903" t="str">
        <f>IF(ISBLANK('Saisie données file act.'!AR90), "", 'Saisie données file act.'!AR90)</f>
        <v/>
      </c>
      <c r="AS71" s="903" t="str">
        <f>IF(ISBLANK('Saisie données file act.'!AS90), "", 'Saisie données file act.'!AS90)</f>
        <v/>
      </c>
      <c r="AT71" s="903" t="str">
        <f>IF(ISBLANK('Saisie données file act.'!AT90), "", 'Saisie données file act.'!AT90)</f>
        <v/>
      </c>
      <c r="AU71" s="903" t="str">
        <f>IF(ISBLANK('Saisie données file act.'!AU90), "", 'Saisie données file act.'!AU90)</f>
        <v/>
      </c>
      <c r="AV71" s="909">
        <f>'Saisie données file act.'!E180</f>
        <v>0</v>
      </c>
      <c r="AW71" s="910"/>
      <c r="AX71" s="909">
        <f>'Saisie données file act.'!E322</f>
        <v>0</v>
      </c>
    </row>
    <row r="72" spans="3:50" s="895" customFormat="1" ht="14.25" thickBot="1" x14ac:dyDescent="0.3">
      <c r="C72" s="3258"/>
      <c r="D72" s="904">
        <f>'Saisie données file act.'!D91</f>
        <v>0</v>
      </c>
      <c r="E72" s="903" t="str">
        <f>IF(ISBLANK('Saisie données file act.'!E91), "", 'Saisie données file act.'!E91)</f>
        <v/>
      </c>
      <c r="F72" s="903" t="str">
        <f>IF(ISBLANK('Saisie données file act.'!F91), "", 'Saisie données file act.'!F91)</f>
        <v/>
      </c>
      <c r="G72" s="903" t="str">
        <f>IF(ISBLANK('Saisie données file act.'!G91), "", 'Saisie données file act.'!G91)</f>
        <v/>
      </c>
      <c r="H72" s="903" t="str">
        <f>IF(ISBLANK('Saisie données file act.'!H91), "", 'Saisie données file act.'!H91)</f>
        <v/>
      </c>
      <c r="I72" s="903" t="str">
        <f>IF(ISBLANK('Saisie données file act.'!I91), "", 'Saisie données file act.'!I91)</f>
        <v/>
      </c>
      <c r="J72" s="903" t="str">
        <f>IF(ISBLANK('Saisie données file act.'!J91), "", 'Saisie données file act.'!J91)</f>
        <v/>
      </c>
      <c r="K72" s="903" t="str">
        <f>IF(ISBLANK('Saisie données file act.'!K91), "", 'Saisie données file act.'!K91)</f>
        <v/>
      </c>
      <c r="L72" s="903" t="str">
        <f>IF(ISBLANK('Saisie données file act.'!L91), "", 'Saisie données file act.'!L91)</f>
        <v/>
      </c>
      <c r="M72" s="903" t="str">
        <f>IF(ISBLANK('Saisie données file act.'!M91), "", 'Saisie données file act.'!M91)</f>
        <v/>
      </c>
      <c r="N72" s="903" t="str">
        <f>IF(ISBLANK('Saisie données file act.'!N91), "", 'Saisie données file act.'!N91)</f>
        <v/>
      </c>
      <c r="O72" s="903" t="str">
        <f>IF(ISBLANK('Saisie données file act.'!O91), "", 'Saisie données file act.'!O91)</f>
        <v/>
      </c>
      <c r="P72" s="903" t="str">
        <f>IF(ISBLANK('Saisie données file act.'!P91), "", 'Saisie données file act.'!P91)</f>
        <v/>
      </c>
      <c r="Q72" s="903" t="str">
        <f>IF(ISBLANK('Saisie données file act.'!Q91), "", 'Saisie données file act.'!Q91)</f>
        <v/>
      </c>
      <c r="R72" s="903" t="str">
        <f>IF(ISBLANK('Saisie données file act.'!R91), "", 'Saisie données file act.'!R91)</f>
        <v/>
      </c>
      <c r="S72" s="903" t="str">
        <f>IF(ISBLANK('Saisie données file act.'!S91), "", 'Saisie données file act.'!S91)</f>
        <v/>
      </c>
      <c r="T72" s="903" t="str">
        <f>IF(ISBLANK('Saisie données file act.'!T91), "", 'Saisie données file act.'!T91)</f>
        <v/>
      </c>
      <c r="U72" s="903" t="str">
        <f>IF(ISBLANK('Saisie données file act.'!U91), "", 'Saisie données file act.'!U91)</f>
        <v/>
      </c>
      <c r="V72" s="903" t="str">
        <f>IF(ISBLANK('Saisie données file act.'!V91), "", 'Saisie données file act.'!V91)</f>
        <v/>
      </c>
      <c r="W72" s="903" t="str">
        <f>IF(ISBLANK('Saisie données file act.'!W91), "", 'Saisie données file act.'!W91)</f>
        <v/>
      </c>
      <c r="X72" s="903" t="str">
        <f>IF(ISBLANK('Saisie données file act.'!X91), "", 'Saisie données file act.'!X91)</f>
        <v/>
      </c>
      <c r="Y72" s="903" t="str">
        <f>IF(ISBLANK('Saisie données file act.'!Y91), "", 'Saisie données file act.'!Y91)</f>
        <v/>
      </c>
      <c r="Z72" s="903" t="str">
        <f>IF(ISBLANK('Saisie données file act.'!Z91), "", 'Saisie données file act.'!Z91)</f>
        <v/>
      </c>
      <c r="AA72" s="903" t="str">
        <f>IF(ISBLANK('Saisie données file act.'!AA91), "", 'Saisie données file act.'!AA91)</f>
        <v/>
      </c>
      <c r="AB72" s="903" t="str">
        <f>IF(ISBLANK('Saisie données file act.'!AB91), "", 'Saisie données file act.'!AB91)</f>
        <v/>
      </c>
      <c r="AC72" s="903" t="str">
        <f>IF(ISBLANK('Saisie données file act.'!AC91), "", 'Saisie données file act.'!AC91)</f>
        <v/>
      </c>
      <c r="AD72" s="903" t="str">
        <f>IF(ISBLANK('Saisie données file act.'!AD91), "", 'Saisie données file act.'!AD91)</f>
        <v/>
      </c>
      <c r="AE72" s="903" t="str">
        <f>IF(ISBLANK('Saisie données file act.'!AE91), "", 'Saisie données file act.'!AE91)</f>
        <v/>
      </c>
      <c r="AF72" s="903" t="str">
        <f>IF(ISBLANK('Saisie données file act.'!AF91), "", 'Saisie données file act.'!AF91)</f>
        <v/>
      </c>
      <c r="AG72" s="903" t="str">
        <f>IF(ISBLANK('Saisie données file act.'!AG91), "", 'Saisie données file act.'!AG91)</f>
        <v/>
      </c>
      <c r="AH72" s="903" t="str">
        <f>IF(ISBLANK('Saisie données file act.'!AH91), "", 'Saisie données file act.'!AH91)</f>
        <v/>
      </c>
      <c r="AI72" s="903" t="str">
        <f>IF(ISBLANK('Saisie données file act.'!AI91), "", 'Saisie données file act.'!AI91)</f>
        <v/>
      </c>
      <c r="AJ72" s="903" t="str">
        <f>IF(ISBLANK('Saisie données file act.'!AJ91), "", 'Saisie données file act.'!AJ91)</f>
        <v/>
      </c>
      <c r="AK72" s="903" t="str">
        <f>IF(ISBLANK('Saisie données file act.'!AK91), "", 'Saisie données file act.'!AK91)</f>
        <v/>
      </c>
      <c r="AL72" s="903" t="str">
        <f>IF(ISBLANK('Saisie données file act.'!AL91), "", 'Saisie données file act.'!AL91)</f>
        <v/>
      </c>
      <c r="AM72" s="903" t="str">
        <f>IF(ISBLANK('Saisie données file act.'!AM91), "", 'Saisie données file act.'!AM91)</f>
        <v/>
      </c>
      <c r="AN72" s="903" t="str">
        <f>IF(ISBLANK('Saisie données file act.'!AN91), "", 'Saisie données file act.'!AN91)</f>
        <v/>
      </c>
      <c r="AO72" s="903" t="str">
        <f>IF(ISBLANK('Saisie données file act.'!AO91), "", 'Saisie données file act.'!AO91)</f>
        <v/>
      </c>
      <c r="AP72" s="903" t="str">
        <f>IF(ISBLANK('Saisie données file act.'!AP91), "", 'Saisie données file act.'!AP91)</f>
        <v/>
      </c>
      <c r="AQ72" s="903" t="str">
        <f>IF(ISBLANK('Saisie données file act.'!AQ91), "", 'Saisie données file act.'!AQ91)</f>
        <v/>
      </c>
      <c r="AR72" s="903" t="str">
        <f>IF(ISBLANK('Saisie données file act.'!AR91), "", 'Saisie données file act.'!AR91)</f>
        <v/>
      </c>
      <c r="AS72" s="903" t="str">
        <f>IF(ISBLANK('Saisie données file act.'!AS91), "", 'Saisie données file act.'!AS91)</f>
        <v/>
      </c>
      <c r="AT72" s="903" t="str">
        <f>IF(ISBLANK('Saisie données file act.'!AT91), "", 'Saisie données file act.'!AT91)</f>
        <v/>
      </c>
      <c r="AU72" s="903" t="str">
        <f>IF(ISBLANK('Saisie données file act.'!AU91), "", 'Saisie données file act.'!AU91)</f>
        <v/>
      </c>
      <c r="AV72" s="909">
        <f>'Saisie données file act.'!E181</f>
        <v>0</v>
      </c>
      <c r="AW72" s="910"/>
      <c r="AX72" s="909">
        <f>'Saisie données file act.'!E323</f>
        <v>0</v>
      </c>
    </row>
    <row r="73" spans="3:50" s="895" customFormat="1" ht="14.25" thickBot="1" x14ac:dyDescent="0.3">
      <c r="C73" s="3258"/>
      <c r="D73" s="904">
        <f>'Saisie données file act.'!D92</f>
        <v>0</v>
      </c>
      <c r="E73" s="903" t="str">
        <f>IF(ISBLANK('Saisie données file act.'!E92), "", 'Saisie données file act.'!E92)</f>
        <v/>
      </c>
      <c r="F73" s="903" t="str">
        <f>IF(ISBLANK('Saisie données file act.'!F92), "", 'Saisie données file act.'!F92)</f>
        <v/>
      </c>
      <c r="G73" s="903" t="str">
        <f>IF(ISBLANK('Saisie données file act.'!G92), "", 'Saisie données file act.'!G92)</f>
        <v/>
      </c>
      <c r="H73" s="903" t="str">
        <f>IF(ISBLANK('Saisie données file act.'!H92), "", 'Saisie données file act.'!H92)</f>
        <v/>
      </c>
      <c r="I73" s="903" t="str">
        <f>IF(ISBLANK('Saisie données file act.'!I92), "", 'Saisie données file act.'!I92)</f>
        <v/>
      </c>
      <c r="J73" s="903" t="str">
        <f>IF(ISBLANK('Saisie données file act.'!J92), "", 'Saisie données file act.'!J92)</f>
        <v/>
      </c>
      <c r="K73" s="903" t="str">
        <f>IF(ISBLANK('Saisie données file act.'!K92), "", 'Saisie données file act.'!K92)</f>
        <v/>
      </c>
      <c r="L73" s="903" t="str">
        <f>IF(ISBLANK('Saisie données file act.'!L92), "", 'Saisie données file act.'!L92)</f>
        <v/>
      </c>
      <c r="M73" s="903" t="str">
        <f>IF(ISBLANK('Saisie données file act.'!M92), "", 'Saisie données file act.'!M92)</f>
        <v/>
      </c>
      <c r="N73" s="903" t="str">
        <f>IF(ISBLANK('Saisie données file act.'!N92), "", 'Saisie données file act.'!N92)</f>
        <v/>
      </c>
      <c r="O73" s="903" t="str">
        <f>IF(ISBLANK('Saisie données file act.'!O92), "", 'Saisie données file act.'!O92)</f>
        <v/>
      </c>
      <c r="P73" s="903" t="str">
        <f>IF(ISBLANK('Saisie données file act.'!P92), "", 'Saisie données file act.'!P92)</f>
        <v/>
      </c>
      <c r="Q73" s="903" t="str">
        <f>IF(ISBLANK('Saisie données file act.'!Q92), "", 'Saisie données file act.'!Q92)</f>
        <v/>
      </c>
      <c r="R73" s="903" t="str">
        <f>IF(ISBLANK('Saisie données file act.'!R92), "", 'Saisie données file act.'!R92)</f>
        <v/>
      </c>
      <c r="S73" s="903" t="str">
        <f>IF(ISBLANK('Saisie données file act.'!S92), "", 'Saisie données file act.'!S92)</f>
        <v/>
      </c>
      <c r="T73" s="903" t="str">
        <f>IF(ISBLANK('Saisie données file act.'!T92), "", 'Saisie données file act.'!T92)</f>
        <v/>
      </c>
      <c r="U73" s="903" t="str">
        <f>IF(ISBLANK('Saisie données file act.'!U92), "", 'Saisie données file act.'!U92)</f>
        <v/>
      </c>
      <c r="V73" s="903" t="str">
        <f>IF(ISBLANK('Saisie données file act.'!V92), "", 'Saisie données file act.'!V92)</f>
        <v/>
      </c>
      <c r="W73" s="903" t="str">
        <f>IF(ISBLANK('Saisie données file act.'!W92), "", 'Saisie données file act.'!W92)</f>
        <v/>
      </c>
      <c r="X73" s="903" t="str">
        <f>IF(ISBLANK('Saisie données file act.'!X92), "", 'Saisie données file act.'!X92)</f>
        <v/>
      </c>
      <c r="Y73" s="903" t="str">
        <f>IF(ISBLANK('Saisie données file act.'!Y92), "", 'Saisie données file act.'!Y92)</f>
        <v/>
      </c>
      <c r="Z73" s="903" t="str">
        <f>IF(ISBLANK('Saisie données file act.'!Z92), "", 'Saisie données file act.'!Z92)</f>
        <v/>
      </c>
      <c r="AA73" s="903" t="str">
        <f>IF(ISBLANK('Saisie données file act.'!AA92), "", 'Saisie données file act.'!AA92)</f>
        <v/>
      </c>
      <c r="AB73" s="903" t="str">
        <f>IF(ISBLANK('Saisie données file act.'!AB92), "", 'Saisie données file act.'!AB92)</f>
        <v/>
      </c>
      <c r="AC73" s="903" t="str">
        <f>IF(ISBLANK('Saisie données file act.'!AC92), "", 'Saisie données file act.'!AC92)</f>
        <v/>
      </c>
      <c r="AD73" s="903" t="str">
        <f>IF(ISBLANK('Saisie données file act.'!AD92), "", 'Saisie données file act.'!AD92)</f>
        <v/>
      </c>
      <c r="AE73" s="903" t="str">
        <f>IF(ISBLANK('Saisie données file act.'!AE92), "", 'Saisie données file act.'!AE92)</f>
        <v/>
      </c>
      <c r="AF73" s="903" t="str">
        <f>IF(ISBLANK('Saisie données file act.'!AF92), "", 'Saisie données file act.'!AF92)</f>
        <v/>
      </c>
      <c r="AG73" s="903" t="str">
        <f>IF(ISBLANK('Saisie données file act.'!AG92), "", 'Saisie données file act.'!AG92)</f>
        <v/>
      </c>
      <c r="AH73" s="903" t="str">
        <f>IF(ISBLANK('Saisie données file act.'!AH92), "", 'Saisie données file act.'!AH92)</f>
        <v/>
      </c>
      <c r="AI73" s="903" t="str">
        <f>IF(ISBLANK('Saisie données file act.'!AI92), "", 'Saisie données file act.'!AI92)</f>
        <v/>
      </c>
      <c r="AJ73" s="903" t="str">
        <f>IF(ISBLANK('Saisie données file act.'!AJ92), "", 'Saisie données file act.'!AJ92)</f>
        <v/>
      </c>
      <c r="AK73" s="903" t="str">
        <f>IF(ISBLANK('Saisie données file act.'!AK92), "", 'Saisie données file act.'!AK92)</f>
        <v/>
      </c>
      <c r="AL73" s="903" t="str">
        <f>IF(ISBLANK('Saisie données file act.'!AL92), "", 'Saisie données file act.'!AL92)</f>
        <v/>
      </c>
      <c r="AM73" s="903" t="str">
        <f>IF(ISBLANK('Saisie données file act.'!AM92), "", 'Saisie données file act.'!AM92)</f>
        <v/>
      </c>
      <c r="AN73" s="903" t="str">
        <f>IF(ISBLANK('Saisie données file act.'!AN92), "", 'Saisie données file act.'!AN92)</f>
        <v/>
      </c>
      <c r="AO73" s="903" t="str">
        <f>IF(ISBLANK('Saisie données file act.'!AO92), "", 'Saisie données file act.'!AO92)</f>
        <v/>
      </c>
      <c r="AP73" s="903" t="str">
        <f>IF(ISBLANK('Saisie données file act.'!AP92), "", 'Saisie données file act.'!AP92)</f>
        <v/>
      </c>
      <c r="AQ73" s="903" t="str">
        <f>IF(ISBLANK('Saisie données file act.'!AQ92), "", 'Saisie données file act.'!AQ92)</f>
        <v/>
      </c>
      <c r="AR73" s="903" t="str">
        <f>IF(ISBLANK('Saisie données file act.'!AR92), "", 'Saisie données file act.'!AR92)</f>
        <v/>
      </c>
      <c r="AS73" s="903" t="str">
        <f>IF(ISBLANK('Saisie données file act.'!AS92), "", 'Saisie données file act.'!AS92)</f>
        <v/>
      </c>
      <c r="AT73" s="903" t="str">
        <f>IF(ISBLANK('Saisie données file act.'!AT92), "", 'Saisie données file act.'!AT92)</f>
        <v/>
      </c>
      <c r="AU73" s="903" t="str">
        <f>IF(ISBLANK('Saisie données file act.'!AU92), "", 'Saisie données file act.'!AU92)</f>
        <v/>
      </c>
      <c r="AV73" s="909">
        <f>'Saisie données file act.'!E182</f>
        <v>0</v>
      </c>
      <c r="AW73" s="910"/>
      <c r="AX73" s="909">
        <f>'Saisie données file act.'!E324</f>
        <v>0</v>
      </c>
    </row>
    <row r="74" spans="3:50" s="895" customFormat="1" ht="14.25" thickBot="1" x14ac:dyDescent="0.3">
      <c r="C74" s="3258"/>
      <c r="D74" s="904">
        <f>'Saisie données file act.'!D93</f>
        <v>0</v>
      </c>
      <c r="E74" s="903" t="str">
        <f>IF(ISBLANK('Saisie données file act.'!E93), "", 'Saisie données file act.'!E93)</f>
        <v/>
      </c>
      <c r="F74" s="903" t="str">
        <f>IF(ISBLANK('Saisie données file act.'!F93), "", 'Saisie données file act.'!F93)</f>
        <v/>
      </c>
      <c r="G74" s="903" t="str">
        <f>IF(ISBLANK('Saisie données file act.'!G93), "", 'Saisie données file act.'!G93)</f>
        <v/>
      </c>
      <c r="H74" s="903" t="str">
        <f>IF(ISBLANK('Saisie données file act.'!H93), "", 'Saisie données file act.'!H93)</f>
        <v/>
      </c>
      <c r="I74" s="903" t="str">
        <f>IF(ISBLANK('Saisie données file act.'!I93), "", 'Saisie données file act.'!I93)</f>
        <v/>
      </c>
      <c r="J74" s="903" t="str">
        <f>IF(ISBLANK('Saisie données file act.'!J93), "", 'Saisie données file act.'!J93)</f>
        <v/>
      </c>
      <c r="K74" s="903" t="str">
        <f>IF(ISBLANK('Saisie données file act.'!K93), "", 'Saisie données file act.'!K93)</f>
        <v/>
      </c>
      <c r="L74" s="903" t="str">
        <f>IF(ISBLANK('Saisie données file act.'!L93), "", 'Saisie données file act.'!L93)</f>
        <v/>
      </c>
      <c r="M74" s="903" t="str">
        <f>IF(ISBLANK('Saisie données file act.'!M93), "", 'Saisie données file act.'!M93)</f>
        <v/>
      </c>
      <c r="N74" s="903" t="str">
        <f>IF(ISBLANK('Saisie données file act.'!N93), "", 'Saisie données file act.'!N93)</f>
        <v/>
      </c>
      <c r="O74" s="903" t="str">
        <f>IF(ISBLANK('Saisie données file act.'!O93), "", 'Saisie données file act.'!O93)</f>
        <v/>
      </c>
      <c r="P74" s="903" t="str">
        <f>IF(ISBLANK('Saisie données file act.'!P93), "", 'Saisie données file act.'!P93)</f>
        <v/>
      </c>
      <c r="Q74" s="903" t="str">
        <f>IF(ISBLANK('Saisie données file act.'!Q93), "", 'Saisie données file act.'!Q93)</f>
        <v/>
      </c>
      <c r="R74" s="903" t="str">
        <f>IF(ISBLANK('Saisie données file act.'!R93), "", 'Saisie données file act.'!R93)</f>
        <v/>
      </c>
      <c r="S74" s="903" t="str">
        <f>IF(ISBLANK('Saisie données file act.'!S93), "", 'Saisie données file act.'!S93)</f>
        <v/>
      </c>
      <c r="T74" s="903" t="str">
        <f>IF(ISBLANK('Saisie données file act.'!T93), "", 'Saisie données file act.'!T93)</f>
        <v/>
      </c>
      <c r="U74" s="903" t="str">
        <f>IF(ISBLANK('Saisie données file act.'!U93), "", 'Saisie données file act.'!U93)</f>
        <v/>
      </c>
      <c r="V74" s="903" t="str">
        <f>IF(ISBLANK('Saisie données file act.'!V93), "", 'Saisie données file act.'!V93)</f>
        <v/>
      </c>
      <c r="W74" s="903" t="str">
        <f>IF(ISBLANK('Saisie données file act.'!W93), "", 'Saisie données file act.'!W93)</f>
        <v/>
      </c>
      <c r="X74" s="903" t="str">
        <f>IF(ISBLANK('Saisie données file act.'!X93), "", 'Saisie données file act.'!X93)</f>
        <v/>
      </c>
      <c r="Y74" s="903" t="str">
        <f>IF(ISBLANK('Saisie données file act.'!Y93), "", 'Saisie données file act.'!Y93)</f>
        <v/>
      </c>
      <c r="Z74" s="903" t="str">
        <f>IF(ISBLANK('Saisie données file act.'!Z93), "", 'Saisie données file act.'!Z93)</f>
        <v/>
      </c>
      <c r="AA74" s="903" t="str">
        <f>IF(ISBLANK('Saisie données file act.'!AA93), "", 'Saisie données file act.'!AA93)</f>
        <v/>
      </c>
      <c r="AB74" s="903" t="str">
        <f>IF(ISBLANK('Saisie données file act.'!AB93), "", 'Saisie données file act.'!AB93)</f>
        <v/>
      </c>
      <c r="AC74" s="903" t="str">
        <f>IF(ISBLANK('Saisie données file act.'!AC93), "", 'Saisie données file act.'!AC93)</f>
        <v/>
      </c>
      <c r="AD74" s="903" t="str">
        <f>IF(ISBLANK('Saisie données file act.'!AD93), "", 'Saisie données file act.'!AD93)</f>
        <v/>
      </c>
      <c r="AE74" s="903" t="str">
        <f>IF(ISBLANK('Saisie données file act.'!AE93), "", 'Saisie données file act.'!AE93)</f>
        <v/>
      </c>
      <c r="AF74" s="903" t="str">
        <f>IF(ISBLANK('Saisie données file act.'!AF93), "", 'Saisie données file act.'!AF93)</f>
        <v/>
      </c>
      <c r="AG74" s="903" t="str">
        <f>IF(ISBLANK('Saisie données file act.'!AG93), "", 'Saisie données file act.'!AG93)</f>
        <v/>
      </c>
      <c r="AH74" s="903" t="str">
        <f>IF(ISBLANK('Saisie données file act.'!AH93), "", 'Saisie données file act.'!AH93)</f>
        <v/>
      </c>
      <c r="AI74" s="903" t="str">
        <f>IF(ISBLANK('Saisie données file act.'!AI93), "", 'Saisie données file act.'!AI93)</f>
        <v/>
      </c>
      <c r="AJ74" s="903" t="str">
        <f>IF(ISBLANK('Saisie données file act.'!AJ93), "", 'Saisie données file act.'!AJ93)</f>
        <v/>
      </c>
      <c r="AK74" s="903" t="str">
        <f>IF(ISBLANK('Saisie données file act.'!AK93), "", 'Saisie données file act.'!AK93)</f>
        <v/>
      </c>
      <c r="AL74" s="903" t="str">
        <f>IF(ISBLANK('Saisie données file act.'!AL93), "", 'Saisie données file act.'!AL93)</f>
        <v/>
      </c>
      <c r="AM74" s="903" t="str">
        <f>IF(ISBLANK('Saisie données file act.'!AM93), "", 'Saisie données file act.'!AM93)</f>
        <v/>
      </c>
      <c r="AN74" s="903" t="str">
        <f>IF(ISBLANK('Saisie données file act.'!AN93), "", 'Saisie données file act.'!AN93)</f>
        <v/>
      </c>
      <c r="AO74" s="903" t="str">
        <f>IF(ISBLANK('Saisie données file act.'!AO93), "", 'Saisie données file act.'!AO93)</f>
        <v/>
      </c>
      <c r="AP74" s="903" t="str">
        <f>IF(ISBLANK('Saisie données file act.'!AP93), "", 'Saisie données file act.'!AP93)</f>
        <v/>
      </c>
      <c r="AQ74" s="903" t="str">
        <f>IF(ISBLANK('Saisie données file act.'!AQ93), "", 'Saisie données file act.'!AQ93)</f>
        <v/>
      </c>
      <c r="AR74" s="903" t="str">
        <f>IF(ISBLANK('Saisie données file act.'!AR93), "", 'Saisie données file act.'!AR93)</f>
        <v/>
      </c>
      <c r="AS74" s="903" t="str">
        <f>IF(ISBLANK('Saisie données file act.'!AS93), "", 'Saisie données file act.'!AS93)</f>
        <v/>
      </c>
      <c r="AT74" s="903" t="str">
        <f>IF(ISBLANK('Saisie données file act.'!AT93), "", 'Saisie données file act.'!AT93)</f>
        <v/>
      </c>
      <c r="AU74" s="903" t="str">
        <f>IF(ISBLANK('Saisie données file act.'!AU93), "", 'Saisie données file act.'!AU93)</f>
        <v/>
      </c>
      <c r="AV74" s="909">
        <f>'Saisie données file act.'!E183</f>
        <v>0</v>
      </c>
      <c r="AW74" s="910"/>
      <c r="AX74" s="909">
        <f>'Saisie données file act.'!E325</f>
        <v>0</v>
      </c>
    </row>
    <row r="75" spans="3:50" s="895" customFormat="1" ht="14.25" thickBot="1" x14ac:dyDescent="0.3">
      <c r="C75" s="3258"/>
      <c r="D75" s="904">
        <f>'Saisie données file act.'!D94</f>
        <v>0</v>
      </c>
      <c r="E75" s="903" t="str">
        <f>IF(ISBLANK('Saisie données file act.'!E94), "", 'Saisie données file act.'!E94)</f>
        <v/>
      </c>
      <c r="F75" s="903" t="str">
        <f>IF(ISBLANK('Saisie données file act.'!F94), "", 'Saisie données file act.'!F94)</f>
        <v/>
      </c>
      <c r="G75" s="903" t="str">
        <f>IF(ISBLANK('Saisie données file act.'!G94), "", 'Saisie données file act.'!G94)</f>
        <v/>
      </c>
      <c r="H75" s="903" t="str">
        <f>IF(ISBLANK('Saisie données file act.'!H94), "", 'Saisie données file act.'!H94)</f>
        <v/>
      </c>
      <c r="I75" s="903" t="str">
        <f>IF(ISBLANK('Saisie données file act.'!I94), "", 'Saisie données file act.'!I94)</f>
        <v/>
      </c>
      <c r="J75" s="903" t="str">
        <f>IF(ISBLANK('Saisie données file act.'!J94), "", 'Saisie données file act.'!J94)</f>
        <v/>
      </c>
      <c r="K75" s="903" t="str">
        <f>IF(ISBLANK('Saisie données file act.'!K94), "", 'Saisie données file act.'!K94)</f>
        <v/>
      </c>
      <c r="L75" s="903" t="str">
        <f>IF(ISBLANK('Saisie données file act.'!L94), "", 'Saisie données file act.'!L94)</f>
        <v/>
      </c>
      <c r="M75" s="903" t="str">
        <f>IF(ISBLANK('Saisie données file act.'!M94), "", 'Saisie données file act.'!M94)</f>
        <v/>
      </c>
      <c r="N75" s="903" t="str">
        <f>IF(ISBLANK('Saisie données file act.'!N94), "", 'Saisie données file act.'!N94)</f>
        <v/>
      </c>
      <c r="O75" s="903" t="str">
        <f>IF(ISBLANK('Saisie données file act.'!O94), "", 'Saisie données file act.'!O94)</f>
        <v/>
      </c>
      <c r="P75" s="903" t="str">
        <f>IF(ISBLANK('Saisie données file act.'!P94), "", 'Saisie données file act.'!P94)</f>
        <v/>
      </c>
      <c r="Q75" s="903" t="str">
        <f>IF(ISBLANK('Saisie données file act.'!Q94), "", 'Saisie données file act.'!Q94)</f>
        <v/>
      </c>
      <c r="R75" s="903" t="str">
        <f>IF(ISBLANK('Saisie données file act.'!R94), "", 'Saisie données file act.'!R94)</f>
        <v/>
      </c>
      <c r="S75" s="903" t="str">
        <f>IF(ISBLANK('Saisie données file act.'!S94), "", 'Saisie données file act.'!S94)</f>
        <v/>
      </c>
      <c r="T75" s="903" t="str">
        <f>IF(ISBLANK('Saisie données file act.'!T94), "", 'Saisie données file act.'!T94)</f>
        <v/>
      </c>
      <c r="U75" s="903" t="str">
        <f>IF(ISBLANK('Saisie données file act.'!U94), "", 'Saisie données file act.'!U94)</f>
        <v/>
      </c>
      <c r="V75" s="903" t="str">
        <f>IF(ISBLANK('Saisie données file act.'!V94), "", 'Saisie données file act.'!V94)</f>
        <v/>
      </c>
      <c r="W75" s="903" t="str">
        <f>IF(ISBLANK('Saisie données file act.'!W94), "", 'Saisie données file act.'!W94)</f>
        <v/>
      </c>
      <c r="X75" s="903" t="str">
        <f>IF(ISBLANK('Saisie données file act.'!X94), "", 'Saisie données file act.'!X94)</f>
        <v/>
      </c>
      <c r="Y75" s="903" t="str">
        <f>IF(ISBLANK('Saisie données file act.'!Y94), "", 'Saisie données file act.'!Y94)</f>
        <v/>
      </c>
      <c r="Z75" s="903" t="str">
        <f>IF(ISBLANK('Saisie données file act.'!Z94), "", 'Saisie données file act.'!Z94)</f>
        <v/>
      </c>
      <c r="AA75" s="903" t="str">
        <f>IF(ISBLANK('Saisie données file act.'!AA94), "", 'Saisie données file act.'!AA94)</f>
        <v/>
      </c>
      <c r="AB75" s="903" t="str">
        <f>IF(ISBLANK('Saisie données file act.'!AB94), "", 'Saisie données file act.'!AB94)</f>
        <v/>
      </c>
      <c r="AC75" s="903" t="str">
        <f>IF(ISBLANK('Saisie données file act.'!AC94), "", 'Saisie données file act.'!AC94)</f>
        <v/>
      </c>
      <c r="AD75" s="903" t="str">
        <f>IF(ISBLANK('Saisie données file act.'!AD94), "", 'Saisie données file act.'!AD94)</f>
        <v/>
      </c>
      <c r="AE75" s="903" t="str">
        <f>IF(ISBLANK('Saisie données file act.'!AE94), "", 'Saisie données file act.'!AE94)</f>
        <v/>
      </c>
      <c r="AF75" s="903" t="str">
        <f>IF(ISBLANK('Saisie données file act.'!AF94), "", 'Saisie données file act.'!AF94)</f>
        <v/>
      </c>
      <c r="AG75" s="903" t="str">
        <f>IF(ISBLANK('Saisie données file act.'!AG94), "", 'Saisie données file act.'!AG94)</f>
        <v/>
      </c>
      <c r="AH75" s="903" t="str">
        <f>IF(ISBLANK('Saisie données file act.'!AH94), "", 'Saisie données file act.'!AH94)</f>
        <v/>
      </c>
      <c r="AI75" s="903" t="str">
        <f>IF(ISBLANK('Saisie données file act.'!AI94), "", 'Saisie données file act.'!AI94)</f>
        <v/>
      </c>
      <c r="AJ75" s="903" t="str">
        <f>IF(ISBLANK('Saisie données file act.'!AJ94), "", 'Saisie données file act.'!AJ94)</f>
        <v/>
      </c>
      <c r="AK75" s="903" t="str">
        <f>IF(ISBLANK('Saisie données file act.'!AK94), "", 'Saisie données file act.'!AK94)</f>
        <v/>
      </c>
      <c r="AL75" s="903" t="str">
        <f>IF(ISBLANK('Saisie données file act.'!AL94), "", 'Saisie données file act.'!AL94)</f>
        <v/>
      </c>
      <c r="AM75" s="903" t="str">
        <f>IF(ISBLANK('Saisie données file act.'!AM94), "", 'Saisie données file act.'!AM94)</f>
        <v/>
      </c>
      <c r="AN75" s="903" t="str">
        <f>IF(ISBLANK('Saisie données file act.'!AN94), "", 'Saisie données file act.'!AN94)</f>
        <v/>
      </c>
      <c r="AO75" s="903" t="str">
        <f>IF(ISBLANK('Saisie données file act.'!AO94), "", 'Saisie données file act.'!AO94)</f>
        <v/>
      </c>
      <c r="AP75" s="903" t="str">
        <f>IF(ISBLANK('Saisie données file act.'!AP94), "", 'Saisie données file act.'!AP94)</f>
        <v/>
      </c>
      <c r="AQ75" s="903" t="str">
        <f>IF(ISBLANK('Saisie données file act.'!AQ94), "", 'Saisie données file act.'!AQ94)</f>
        <v/>
      </c>
      <c r="AR75" s="903" t="str">
        <f>IF(ISBLANK('Saisie données file act.'!AR94), "", 'Saisie données file act.'!AR94)</f>
        <v/>
      </c>
      <c r="AS75" s="903" t="str">
        <f>IF(ISBLANK('Saisie données file act.'!AS94), "", 'Saisie données file act.'!AS94)</f>
        <v/>
      </c>
      <c r="AT75" s="903" t="str">
        <f>IF(ISBLANK('Saisie données file act.'!AT94), "", 'Saisie données file act.'!AT94)</f>
        <v/>
      </c>
      <c r="AU75" s="903" t="str">
        <f>IF(ISBLANK('Saisie données file act.'!AU94), "", 'Saisie données file act.'!AU94)</f>
        <v/>
      </c>
      <c r="AV75" s="909">
        <f>'Saisie données file act.'!E184</f>
        <v>0</v>
      </c>
      <c r="AW75" s="910"/>
      <c r="AX75" s="909">
        <f>'Saisie données file act.'!E326</f>
        <v>0</v>
      </c>
    </row>
    <row r="76" spans="3:50" s="895" customFormat="1" ht="14.25" thickBot="1" x14ac:dyDescent="0.3">
      <c r="C76" s="3258"/>
      <c r="D76" s="904">
        <f>'Saisie données file act.'!D95</f>
        <v>0</v>
      </c>
      <c r="E76" s="903" t="str">
        <f>IF(ISBLANK('Saisie données file act.'!E95), "", 'Saisie données file act.'!E95)</f>
        <v/>
      </c>
      <c r="F76" s="903" t="str">
        <f>IF(ISBLANK('Saisie données file act.'!F95), "", 'Saisie données file act.'!F95)</f>
        <v/>
      </c>
      <c r="G76" s="903" t="str">
        <f>IF(ISBLANK('Saisie données file act.'!G95), "", 'Saisie données file act.'!G95)</f>
        <v/>
      </c>
      <c r="H76" s="903" t="str">
        <f>IF(ISBLANK('Saisie données file act.'!H95), "", 'Saisie données file act.'!H95)</f>
        <v/>
      </c>
      <c r="I76" s="903" t="str">
        <f>IF(ISBLANK('Saisie données file act.'!I95), "", 'Saisie données file act.'!I95)</f>
        <v/>
      </c>
      <c r="J76" s="903" t="str">
        <f>IF(ISBLANK('Saisie données file act.'!J95), "", 'Saisie données file act.'!J95)</f>
        <v/>
      </c>
      <c r="K76" s="903" t="str">
        <f>IF(ISBLANK('Saisie données file act.'!K95), "", 'Saisie données file act.'!K95)</f>
        <v/>
      </c>
      <c r="L76" s="903" t="str">
        <f>IF(ISBLANK('Saisie données file act.'!L95), "", 'Saisie données file act.'!L95)</f>
        <v/>
      </c>
      <c r="M76" s="903" t="str">
        <f>IF(ISBLANK('Saisie données file act.'!M95), "", 'Saisie données file act.'!M95)</f>
        <v/>
      </c>
      <c r="N76" s="903" t="str">
        <f>IF(ISBLANK('Saisie données file act.'!N95), "", 'Saisie données file act.'!N95)</f>
        <v/>
      </c>
      <c r="O76" s="903" t="str">
        <f>IF(ISBLANK('Saisie données file act.'!O95), "", 'Saisie données file act.'!O95)</f>
        <v/>
      </c>
      <c r="P76" s="903" t="str">
        <f>IF(ISBLANK('Saisie données file act.'!P95), "", 'Saisie données file act.'!P95)</f>
        <v/>
      </c>
      <c r="Q76" s="903" t="str">
        <f>IF(ISBLANK('Saisie données file act.'!Q95), "", 'Saisie données file act.'!Q95)</f>
        <v/>
      </c>
      <c r="R76" s="903" t="str">
        <f>IF(ISBLANK('Saisie données file act.'!R95), "", 'Saisie données file act.'!R95)</f>
        <v/>
      </c>
      <c r="S76" s="903" t="str">
        <f>IF(ISBLANK('Saisie données file act.'!S95), "", 'Saisie données file act.'!S95)</f>
        <v/>
      </c>
      <c r="T76" s="903" t="str">
        <f>IF(ISBLANK('Saisie données file act.'!T95), "", 'Saisie données file act.'!T95)</f>
        <v/>
      </c>
      <c r="U76" s="903" t="str">
        <f>IF(ISBLANK('Saisie données file act.'!U95), "", 'Saisie données file act.'!U95)</f>
        <v/>
      </c>
      <c r="V76" s="903" t="str">
        <f>IF(ISBLANK('Saisie données file act.'!V95), "", 'Saisie données file act.'!V95)</f>
        <v/>
      </c>
      <c r="W76" s="903" t="str">
        <f>IF(ISBLANK('Saisie données file act.'!W95), "", 'Saisie données file act.'!W95)</f>
        <v/>
      </c>
      <c r="X76" s="903" t="str">
        <f>IF(ISBLANK('Saisie données file act.'!X95), "", 'Saisie données file act.'!X95)</f>
        <v/>
      </c>
      <c r="Y76" s="903" t="str">
        <f>IF(ISBLANK('Saisie données file act.'!Y95), "", 'Saisie données file act.'!Y95)</f>
        <v/>
      </c>
      <c r="Z76" s="903" t="str">
        <f>IF(ISBLANK('Saisie données file act.'!Z95), "", 'Saisie données file act.'!Z95)</f>
        <v/>
      </c>
      <c r="AA76" s="903" t="str">
        <f>IF(ISBLANK('Saisie données file act.'!AA95), "", 'Saisie données file act.'!AA95)</f>
        <v/>
      </c>
      <c r="AB76" s="903" t="str">
        <f>IF(ISBLANK('Saisie données file act.'!AB95), "", 'Saisie données file act.'!AB95)</f>
        <v/>
      </c>
      <c r="AC76" s="903" t="str">
        <f>IF(ISBLANK('Saisie données file act.'!AC95), "", 'Saisie données file act.'!AC95)</f>
        <v/>
      </c>
      <c r="AD76" s="903" t="str">
        <f>IF(ISBLANK('Saisie données file act.'!AD95), "", 'Saisie données file act.'!AD95)</f>
        <v/>
      </c>
      <c r="AE76" s="903" t="str">
        <f>IF(ISBLANK('Saisie données file act.'!AE95), "", 'Saisie données file act.'!AE95)</f>
        <v/>
      </c>
      <c r="AF76" s="903" t="str">
        <f>IF(ISBLANK('Saisie données file act.'!AF95), "", 'Saisie données file act.'!AF95)</f>
        <v/>
      </c>
      <c r="AG76" s="903" t="str">
        <f>IF(ISBLANK('Saisie données file act.'!AG95), "", 'Saisie données file act.'!AG95)</f>
        <v/>
      </c>
      <c r="AH76" s="903" t="str">
        <f>IF(ISBLANK('Saisie données file act.'!AH95), "", 'Saisie données file act.'!AH95)</f>
        <v/>
      </c>
      <c r="AI76" s="903" t="str">
        <f>IF(ISBLANK('Saisie données file act.'!AI95), "", 'Saisie données file act.'!AI95)</f>
        <v/>
      </c>
      <c r="AJ76" s="903" t="str">
        <f>IF(ISBLANK('Saisie données file act.'!AJ95), "", 'Saisie données file act.'!AJ95)</f>
        <v/>
      </c>
      <c r="AK76" s="903" t="str">
        <f>IF(ISBLANK('Saisie données file act.'!AK95), "", 'Saisie données file act.'!AK95)</f>
        <v/>
      </c>
      <c r="AL76" s="903" t="str">
        <f>IF(ISBLANK('Saisie données file act.'!AL95), "", 'Saisie données file act.'!AL95)</f>
        <v/>
      </c>
      <c r="AM76" s="903" t="str">
        <f>IF(ISBLANK('Saisie données file act.'!AM95), "", 'Saisie données file act.'!AM95)</f>
        <v/>
      </c>
      <c r="AN76" s="903" t="str">
        <f>IF(ISBLANK('Saisie données file act.'!AN95), "", 'Saisie données file act.'!AN95)</f>
        <v/>
      </c>
      <c r="AO76" s="903" t="str">
        <f>IF(ISBLANK('Saisie données file act.'!AO95), "", 'Saisie données file act.'!AO95)</f>
        <v/>
      </c>
      <c r="AP76" s="903" t="str">
        <f>IF(ISBLANK('Saisie données file act.'!AP95), "", 'Saisie données file act.'!AP95)</f>
        <v/>
      </c>
      <c r="AQ76" s="903" t="str">
        <f>IF(ISBLANK('Saisie données file act.'!AQ95), "", 'Saisie données file act.'!AQ95)</f>
        <v/>
      </c>
      <c r="AR76" s="903" t="str">
        <f>IF(ISBLANK('Saisie données file act.'!AR95), "", 'Saisie données file act.'!AR95)</f>
        <v/>
      </c>
      <c r="AS76" s="903" t="str">
        <f>IF(ISBLANK('Saisie données file act.'!AS95), "", 'Saisie données file act.'!AS95)</f>
        <v/>
      </c>
      <c r="AT76" s="903" t="str">
        <f>IF(ISBLANK('Saisie données file act.'!AT95), "", 'Saisie données file act.'!AT95)</f>
        <v/>
      </c>
      <c r="AU76" s="903" t="str">
        <f>IF(ISBLANK('Saisie données file act.'!AU95), "", 'Saisie données file act.'!AU95)</f>
        <v/>
      </c>
      <c r="AV76" s="909">
        <f>'Saisie données file act.'!E185</f>
        <v>0</v>
      </c>
      <c r="AW76" s="910"/>
      <c r="AX76" s="909">
        <f>'Saisie données file act.'!E327</f>
        <v>0</v>
      </c>
    </row>
    <row r="77" spans="3:50" s="895" customFormat="1" ht="14.25" thickBot="1" x14ac:dyDescent="0.3">
      <c r="C77" s="3258"/>
      <c r="D77" s="904">
        <f>'Saisie données file act.'!D96</f>
        <v>0</v>
      </c>
      <c r="E77" s="903" t="str">
        <f>IF(ISBLANK('Saisie données file act.'!E96), "", 'Saisie données file act.'!E96)</f>
        <v/>
      </c>
      <c r="F77" s="903" t="str">
        <f>IF(ISBLANK('Saisie données file act.'!F96), "", 'Saisie données file act.'!F96)</f>
        <v/>
      </c>
      <c r="G77" s="903" t="str">
        <f>IF(ISBLANK('Saisie données file act.'!G96), "", 'Saisie données file act.'!G96)</f>
        <v/>
      </c>
      <c r="H77" s="903" t="str">
        <f>IF(ISBLANK('Saisie données file act.'!H96), "", 'Saisie données file act.'!H96)</f>
        <v/>
      </c>
      <c r="I77" s="903" t="str">
        <f>IF(ISBLANK('Saisie données file act.'!I96), "", 'Saisie données file act.'!I96)</f>
        <v/>
      </c>
      <c r="J77" s="903" t="str">
        <f>IF(ISBLANK('Saisie données file act.'!J96), "", 'Saisie données file act.'!J96)</f>
        <v/>
      </c>
      <c r="K77" s="903" t="str">
        <f>IF(ISBLANK('Saisie données file act.'!K96), "", 'Saisie données file act.'!K96)</f>
        <v/>
      </c>
      <c r="L77" s="903" t="str">
        <f>IF(ISBLANK('Saisie données file act.'!L96), "", 'Saisie données file act.'!L96)</f>
        <v/>
      </c>
      <c r="M77" s="903" t="str">
        <f>IF(ISBLANK('Saisie données file act.'!M96), "", 'Saisie données file act.'!M96)</f>
        <v/>
      </c>
      <c r="N77" s="903" t="str">
        <f>IF(ISBLANK('Saisie données file act.'!N96), "", 'Saisie données file act.'!N96)</f>
        <v/>
      </c>
      <c r="O77" s="903" t="str">
        <f>IF(ISBLANK('Saisie données file act.'!O96), "", 'Saisie données file act.'!O96)</f>
        <v/>
      </c>
      <c r="P77" s="903" t="str">
        <f>IF(ISBLANK('Saisie données file act.'!P96), "", 'Saisie données file act.'!P96)</f>
        <v/>
      </c>
      <c r="Q77" s="903" t="str">
        <f>IF(ISBLANK('Saisie données file act.'!Q96), "", 'Saisie données file act.'!Q96)</f>
        <v/>
      </c>
      <c r="R77" s="903" t="str">
        <f>IF(ISBLANK('Saisie données file act.'!R96), "", 'Saisie données file act.'!R96)</f>
        <v/>
      </c>
      <c r="S77" s="903" t="str">
        <f>IF(ISBLANK('Saisie données file act.'!S96), "", 'Saisie données file act.'!S96)</f>
        <v/>
      </c>
      <c r="T77" s="903" t="str">
        <f>IF(ISBLANK('Saisie données file act.'!T96), "", 'Saisie données file act.'!T96)</f>
        <v/>
      </c>
      <c r="U77" s="903" t="str">
        <f>IF(ISBLANK('Saisie données file act.'!U96), "", 'Saisie données file act.'!U96)</f>
        <v/>
      </c>
      <c r="V77" s="903" t="str">
        <f>IF(ISBLANK('Saisie données file act.'!V96), "", 'Saisie données file act.'!V96)</f>
        <v/>
      </c>
      <c r="W77" s="903" t="str">
        <f>IF(ISBLANK('Saisie données file act.'!W96), "", 'Saisie données file act.'!W96)</f>
        <v/>
      </c>
      <c r="X77" s="903" t="str">
        <f>IF(ISBLANK('Saisie données file act.'!X96), "", 'Saisie données file act.'!X96)</f>
        <v/>
      </c>
      <c r="Y77" s="903" t="str">
        <f>IF(ISBLANK('Saisie données file act.'!Y96), "", 'Saisie données file act.'!Y96)</f>
        <v/>
      </c>
      <c r="Z77" s="903" t="str">
        <f>IF(ISBLANK('Saisie données file act.'!Z96), "", 'Saisie données file act.'!Z96)</f>
        <v/>
      </c>
      <c r="AA77" s="903" t="str">
        <f>IF(ISBLANK('Saisie données file act.'!AA96), "", 'Saisie données file act.'!AA96)</f>
        <v/>
      </c>
      <c r="AB77" s="903" t="str">
        <f>IF(ISBLANK('Saisie données file act.'!AB96), "", 'Saisie données file act.'!AB96)</f>
        <v/>
      </c>
      <c r="AC77" s="903" t="str">
        <f>IF(ISBLANK('Saisie données file act.'!AC96), "", 'Saisie données file act.'!AC96)</f>
        <v/>
      </c>
      <c r="AD77" s="903" t="str">
        <f>IF(ISBLANK('Saisie données file act.'!AD96), "", 'Saisie données file act.'!AD96)</f>
        <v/>
      </c>
      <c r="AE77" s="903" t="str">
        <f>IF(ISBLANK('Saisie données file act.'!AE96), "", 'Saisie données file act.'!AE96)</f>
        <v/>
      </c>
      <c r="AF77" s="903" t="str">
        <f>IF(ISBLANK('Saisie données file act.'!AF96), "", 'Saisie données file act.'!AF96)</f>
        <v/>
      </c>
      <c r="AG77" s="903" t="str">
        <f>IF(ISBLANK('Saisie données file act.'!AG96), "", 'Saisie données file act.'!AG96)</f>
        <v/>
      </c>
      <c r="AH77" s="903" t="str">
        <f>IF(ISBLANK('Saisie données file act.'!AH96), "", 'Saisie données file act.'!AH96)</f>
        <v/>
      </c>
      <c r="AI77" s="903" t="str">
        <f>IF(ISBLANK('Saisie données file act.'!AI96), "", 'Saisie données file act.'!AI96)</f>
        <v/>
      </c>
      <c r="AJ77" s="903" t="str">
        <f>IF(ISBLANK('Saisie données file act.'!AJ96), "", 'Saisie données file act.'!AJ96)</f>
        <v/>
      </c>
      <c r="AK77" s="903" t="str">
        <f>IF(ISBLANK('Saisie données file act.'!AK96), "", 'Saisie données file act.'!AK96)</f>
        <v/>
      </c>
      <c r="AL77" s="903" t="str">
        <f>IF(ISBLANK('Saisie données file act.'!AL96), "", 'Saisie données file act.'!AL96)</f>
        <v/>
      </c>
      <c r="AM77" s="903" t="str">
        <f>IF(ISBLANK('Saisie données file act.'!AM96), "", 'Saisie données file act.'!AM96)</f>
        <v/>
      </c>
      <c r="AN77" s="903" t="str">
        <f>IF(ISBLANK('Saisie données file act.'!AN96), "", 'Saisie données file act.'!AN96)</f>
        <v/>
      </c>
      <c r="AO77" s="903" t="str">
        <f>IF(ISBLANK('Saisie données file act.'!AO96), "", 'Saisie données file act.'!AO96)</f>
        <v/>
      </c>
      <c r="AP77" s="903" t="str">
        <f>IF(ISBLANK('Saisie données file act.'!AP96), "", 'Saisie données file act.'!AP96)</f>
        <v/>
      </c>
      <c r="AQ77" s="903" t="str">
        <f>IF(ISBLANK('Saisie données file act.'!AQ96), "", 'Saisie données file act.'!AQ96)</f>
        <v/>
      </c>
      <c r="AR77" s="903" t="str">
        <f>IF(ISBLANK('Saisie données file act.'!AR96), "", 'Saisie données file act.'!AR96)</f>
        <v/>
      </c>
      <c r="AS77" s="903" t="str">
        <f>IF(ISBLANK('Saisie données file act.'!AS96), "", 'Saisie données file act.'!AS96)</f>
        <v/>
      </c>
      <c r="AT77" s="903" t="str">
        <f>IF(ISBLANK('Saisie données file act.'!AT96), "", 'Saisie données file act.'!AT96)</f>
        <v/>
      </c>
      <c r="AU77" s="903" t="str">
        <f>IF(ISBLANK('Saisie données file act.'!AU96), "", 'Saisie données file act.'!AU96)</f>
        <v/>
      </c>
      <c r="AV77" s="909">
        <f>'Saisie données file act.'!E186</f>
        <v>0</v>
      </c>
      <c r="AW77" s="910"/>
      <c r="AX77" s="909">
        <f>'Saisie données file act.'!E328</f>
        <v>0</v>
      </c>
    </row>
    <row r="78" spans="3:50" s="895" customFormat="1" ht="14.25" thickBot="1" x14ac:dyDescent="0.3">
      <c r="C78" s="3258"/>
      <c r="D78" s="904">
        <f>'Saisie données file act.'!D97</f>
        <v>0</v>
      </c>
      <c r="E78" s="903" t="str">
        <f>IF(ISBLANK('Saisie données file act.'!E97), "", 'Saisie données file act.'!E97)</f>
        <v/>
      </c>
      <c r="F78" s="903" t="str">
        <f>IF(ISBLANK('Saisie données file act.'!F97), "", 'Saisie données file act.'!F97)</f>
        <v/>
      </c>
      <c r="G78" s="903" t="str">
        <f>IF(ISBLANK('Saisie données file act.'!G97), "", 'Saisie données file act.'!G97)</f>
        <v/>
      </c>
      <c r="H78" s="903" t="str">
        <f>IF(ISBLANK('Saisie données file act.'!H97), "", 'Saisie données file act.'!H97)</f>
        <v/>
      </c>
      <c r="I78" s="903" t="str">
        <f>IF(ISBLANK('Saisie données file act.'!I97), "", 'Saisie données file act.'!I97)</f>
        <v/>
      </c>
      <c r="J78" s="903" t="str">
        <f>IF(ISBLANK('Saisie données file act.'!J97), "", 'Saisie données file act.'!J97)</f>
        <v/>
      </c>
      <c r="K78" s="903" t="str">
        <f>IF(ISBLANK('Saisie données file act.'!K97), "", 'Saisie données file act.'!K97)</f>
        <v/>
      </c>
      <c r="L78" s="903" t="str">
        <f>IF(ISBLANK('Saisie données file act.'!L97), "", 'Saisie données file act.'!L97)</f>
        <v/>
      </c>
      <c r="M78" s="903" t="str">
        <f>IF(ISBLANK('Saisie données file act.'!M97), "", 'Saisie données file act.'!M97)</f>
        <v/>
      </c>
      <c r="N78" s="903" t="str">
        <f>IF(ISBLANK('Saisie données file act.'!N97), "", 'Saisie données file act.'!N97)</f>
        <v/>
      </c>
      <c r="O78" s="903" t="str">
        <f>IF(ISBLANK('Saisie données file act.'!O97), "", 'Saisie données file act.'!O97)</f>
        <v/>
      </c>
      <c r="P78" s="903" t="str">
        <f>IF(ISBLANK('Saisie données file act.'!P97), "", 'Saisie données file act.'!P97)</f>
        <v/>
      </c>
      <c r="Q78" s="903" t="str">
        <f>IF(ISBLANK('Saisie données file act.'!Q97), "", 'Saisie données file act.'!Q97)</f>
        <v/>
      </c>
      <c r="R78" s="903" t="str">
        <f>IF(ISBLANK('Saisie données file act.'!R97), "", 'Saisie données file act.'!R97)</f>
        <v/>
      </c>
      <c r="S78" s="903" t="str">
        <f>IF(ISBLANK('Saisie données file act.'!S97), "", 'Saisie données file act.'!S97)</f>
        <v/>
      </c>
      <c r="T78" s="903" t="str">
        <f>IF(ISBLANK('Saisie données file act.'!T97), "", 'Saisie données file act.'!T97)</f>
        <v/>
      </c>
      <c r="U78" s="903" t="str">
        <f>IF(ISBLANK('Saisie données file act.'!U97), "", 'Saisie données file act.'!U97)</f>
        <v/>
      </c>
      <c r="V78" s="903" t="str">
        <f>IF(ISBLANK('Saisie données file act.'!V97), "", 'Saisie données file act.'!V97)</f>
        <v/>
      </c>
      <c r="W78" s="903" t="str">
        <f>IF(ISBLANK('Saisie données file act.'!W97), "", 'Saisie données file act.'!W97)</f>
        <v/>
      </c>
      <c r="X78" s="903" t="str">
        <f>IF(ISBLANK('Saisie données file act.'!X97), "", 'Saisie données file act.'!X97)</f>
        <v/>
      </c>
      <c r="Y78" s="903" t="str">
        <f>IF(ISBLANK('Saisie données file act.'!Y97), "", 'Saisie données file act.'!Y97)</f>
        <v/>
      </c>
      <c r="Z78" s="903" t="str">
        <f>IF(ISBLANK('Saisie données file act.'!Z97), "", 'Saisie données file act.'!Z97)</f>
        <v/>
      </c>
      <c r="AA78" s="903" t="str">
        <f>IF(ISBLANK('Saisie données file act.'!AA97), "", 'Saisie données file act.'!AA97)</f>
        <v/>
      </c>
      <c r="AB78" s="903" t="str">
        <f>IF(ISBLANK('Saisie données file act.'!AB97), "", 'Saisie données file act.'!AB97)</f>
        <v/>
      </c>
      <c r="AC78" s="903" t="str">
        <f>IF(ISBLANK('Saisie données file act.'!AC97), "", 'Saisie données file act.'!AC97)</f>
        <v/>
      </c>
      <c r="AD78" s="903" t="str">
        <f>IF(ISBLANK('Saisie données file act.'!AD97), "", 'Saisie données file act.'!AD97)</f>
        <v/>
      </c>
      <c r="AE78" s="903" t="str">
        <f>IF(ISBLANK('Saisie données file act.'!AE97), "", 'Saisie données file act.'!AE97)</f>
        <v/>
      </c>
      <c r="AF78" s="903" t="str">
        <f>IF(ISBLANK('Saisie données file act.'!AF97), "", 'Saisie données file act.'!AF97)</f>
        <v/>
      </c>
      <c r="AG78" s="903" t="str">
        <f>IF(ISBLANK('Saisie données file act.'!AG97), "", 'Saisie données file act.'!AG97)</f>
        <v/>
      </c>
      <c r="AH78" s="903" t="str">
        <f>IF(ISBLANK('Saisie données file act.'!AH97), "", 'Saisie données file act.'!AH97)</f>
        <v/>
      </c>
      <c r="AI78" s="903" t="str">
        <f>IF(ISBLANK('Saisie données file act.'!AI97), "", 'Saisie données file act.'!AI97)</f>
        <v/>
      </c>
      <c r="AJ78" s="903" t="str">
        <f>IF(ISBLANK('Saisie données file act.'!AJ97), "", 'Saisie données file act.'!AJ97)</f>
        <v/>
      </c>
      <c r="AK78" s="903" t="str">
        <f>IF(ISBLANK('Saisie données file act.'!AK97), "", 'Saisie données file act.'!AK97)</f>
        <v/>
      </c>
      <c r="AL78" s="903" t="str">
        <f>IF(ISBLANK('Saisie données file act.'!AL97), "", 'Saisie données file act.'!AL97)</f>
        <v/>
      </c>
      <c r="AM78" s="903" t="str">
        <f>IF(ISBLANK('Saisie données file act.'!AM97), "", 'Saisie données file act.'!AM97)</f>
        <v/>
      </c>
      <c r="AN78" s="903" t="str">
        <f>IF(ISBLANK('Saisie données file act.'!AN97), "", 'Saisie données file act.'!AN97)</f>
        <v/>
      </c>
      <c r="AO78" s="903" t="str">
        <f>IF(ISBLANK('Saisie données file act.'!AO97), "", 'Saisie données file act.'!AO97)</f>
        <v/>
      </c>
      <c r="AP78" s="903" t="str">
        <f>IF(ISBLANK('Saisie données file act.'!AP97), "", 'Saisie données file act.'!AP97)</f>
        <v/>
      </c>
      <c r="AQ78" s="903" t="str">
        <f>IF(ISBLANK('Saisie données file act.'!AQ97), "", 'Saisie données file act.'!AQ97)</f>
        <v/>
      </c>
      <c r="AR78" s="903" t="str">
        <f>IF(ISBLANK('Saisie données file act.'!AR97), "", 'Saisie données file act.'!AR97)</f>
        <v/>
      </c>
      <c r="AS78" s="903" t="str">
        <f>IF(ISBLANK('Saisie données file act.'!AS97), "", 'Saisie données file act.'!AS97)</f>
        <v/>
      </c>
      <c r="AT78" s="903" t="str">
        <f>IF(ISBLANK('Saisie données file act.'!AT97), "", 'Saisie données file act.'!AT97)</f>
        <v/>
      </c>
      <c r="AU78" s="903" t="str">
        <f>IF(ISBLANK('Saisie données file act.'!AU97), "", 'Saisie données file act.'!AU97)</f>
        <v/>
      </c>
      <c r="AV78" s="909">
        <f>'Saisie données file act.'!E187</f>
        <v>0</v>
      </c>
      <c r="AW78" s="910"/>
      <c r="AX78" s="909">
        <f>'Saisie données file act.'!E329</f>
        <v>0</v>
      </c>
    </row>
    <row r="79" spans="3:50" s="895" customFormat="1" ht="14.25" thickBot="1" x14ac:dyDescent="0.3">
      <c r="C79" s="3258"/>
      <c r="D79" s="906">
        <f>'Saisie données file act.'!D98</f>
        <v>0</v>
      </c>
      <c r="E79" s="920" t="str">
        <f>IF(ISBLANK('Saisie données file act.'!E98), "", 'Saisie données file act.'!E98)</f>
        <v/>
      </c>
      <c r="F79" s="920" t="str">
        <f>IF(ISBLANK('Saisie données file act.'!F98), "", 'Saisie données file act.'!F98)</f>
        <v/>
      </c>
      <c r="G79" s="920" t="str">
        <f>IF(ISBLANK('Saisie données file act.'!G98), "", 'Saisie données file act.'!G98)</f>
        <v/>
      </c>
      <c r="H79" s="920" t="str">
        <f>IF(ISBLANK('Saisie données file act.'!H98), "", 'Saisie données file act.'!H98)</f>
        <v/>
      </c>
      <c r="I79" s="920" t="str">
        <f>IF(ISBLANK('Saisie données file act.'!I98), "", 'Saisie données file act.'!I98)</f>
        <v/>
      </c>
      <c r="J79" s="920" t="str">
        <f>IF(ISBLANK('Saisie données file act.'!J98), "", 'Saisie données file act.'!J98)</f>
        <v/>
      </c>
      <c r="K79" s="920" t="str">
        <f>IF(ISBLANK('Saisie données file act.'!K98), "", 'Saisie données file act.'!K98)</f>
        <v/>
      </c>
      <c r="L79" s="920" t="str">
        <f>IF(ISBLANK('Saisie données file act.'!L98), "", 'Saisie données file act.'!L98)</f>
        <v/>
      </c>
      <c r="M79" s="920" t="str">
        <f>IF(ISBLANK('Saisie données file act.'!M98), "", 'Saisie données file act.'!M98)</f>
        <v/>
      </c>
      <c r="N79" s="920" t="str">
        <f>IF(ISBLANK('Saisie données file act.'!N98), "", 'Saisie données file act.'!N98)</f>
        <v/>
      </c>
      <c r="O79" s="920" t="str">
        <f>IF(ISBLANK('Saisie données file act.'!O98), "", 'Saisie données file act.'!O98)</f>
        <v/>
      </c>
      <c r="P79" s="920" t="str">
        <f>IF(ISBLANK('Saisie données file act.'!P98), "", 'Saisie données file act.'!P98)</f>
        <v/>
      </c>
      <c r="Q79" s="920" t="str">
        <f>IF(ISBLANK('Saisie données file act.'!Q98), "", 'Saisie données file act.'!Q98)</f>
        <v/>
      </c>
      <c r="R79" s="920" t="str">
        <f>IF(ISBLANK('Saisie données file act.'!R98), "", 'Saisie données file act.'!R98)</f>
        <v/>
      </c>
      <c r="S79" s="920" t="str">
        <f>IF(ISBLANK('Saisie données file act.'!S98), "", 'Saisie données file act.'!S98)</f>
        <v/>
      </c>
      <c r="T79" s="920" t="str">
        <f>IF(ISBLANK('Saisie données file act.'!T98), "", 'Saisie données file act.'!T98)</f>
        <v/>
      </c>
      <c r="U79" s="920" t="str">
        <f>IF(ISBLANK('Saisie données file act.'!U98), "", 'Saisie données file act.'!U98)</f>
        <v/>
      </c>
      <c r="V79" s="920" t="str">
        <f>IF(ISBLANK('Saisie données file act.'!V98), "", 'Saisie données file act.'!V98)</f>
        <v/>
      </c>
      <c r="W79" s="920" t="str">
        <f>IF(ISBLANK('Saisie données file act.'!W98), "", 'Saisie données file act.'!W98)</f>
        <v/>
      </c>
      <c r="X79" s="920" t="str">
        <f>IF(ISBLANK('Saisie données file act.'!X98), "", 'Saisie données file act.'!X98)</f>
        <v/>
      </c>
      <c r="Y79" s="920" t="str">
        <f>IF(ISBLANK('Saisie données file act.'!Y98), "", 'Saisie données file act.'!Y98)</f>
        <v/>
      </c>
      <c r="Z79" s="920" t="str">
        <f>IF(ISBLANK('Saisie données file act.'!Z98), "", 'Saisie données file act.'!Z98)</f>
        <v/>
      </c>
      <c r="AA79" s="920" t="str">
        <f>IF(ISBLANK('Saisie données file act.'!AA98), "", 'Saisie données file act.'!AA98)</f>
        <v/>
      </c>
      <c r="AB79" s="920" t="str">
        <f>IF(ISBLANK('Saisie données file act.'!AB98), "", 'Saisie données file act.'!AB98)</f>
        <v/>
      </c>
      <c r="AC79" s="920" t="str">
        <f>IF(ISBLANK('Saisie données file act.'!AC98), "", 'Saisie données file act.'!AC98)</f>
        <v/>
      </c>
      <c r="AD79" s="920" t="str">
        <f>IF(ISBLANK('Saisie données file act.'!AD98), "", 'Saisie données file act.'!AD98)</f>
        <v/>
      </c>
      <c r="AE79" s="920" t="str">
        <f>IF(ISBLANK('Saisie données file act.'!AE98), "", 'Saisie données file act.'!AE98)</f>
        <v/>
      </c>
      <c r="AF79" s="920" t="str">
        <f>IF(ISBLANK('Saisie données file act.'!AF98), "", 'Saisie données file act.'!AF98)</f>
        <v/>
      </c>
      <c r="AG79" s="920" t="str">
        <f>IF(ISBLANK('Saisie données file act.'!AG98), "", 'Saisie données file act.'!AG98)</f>
        <v/>
      </c>
      <c r="AH79" s="920" t="str">
        <f>IF(ISBLANK('Saisie données file act.'!AH98), "", 'Saisie données file act.'!AH98)</f>
        <v/>
      </c>
      <c r="AI79" s="920" t="str">
        <f>IF(ISBLANK('Saisie données file act.'!AI98), "", 'Saisie données file act.'!AI98)</f>
        <v/>
      </c>
      <c r="AJ79" s="920" t="str">
        <f>IF(ISBLANK('Saisie données file act.'!AJ98), "", 'Saisie données file act.'!AJ98)</f>
        <v/>
      </c>
      <c r="AK79" s="920" t="str">
        <f>IF(ISBLANK('Saisie données file act.'!AK98), "", 'Saisie données file act.'!AK98)</f>
        <v/>
      </c>
      <c r="AL79" s="920" t="str">
        <f>IF(ISBLANK('Saisie données file act.'!AL98), "", 'Saisie données file act.'!AL98)</f>
        <v/>
      </c>
      <c r="AM79" s="920" t="str">
        <f>IF(ISBLANK('Saisie données file act.'!AM98), "", 'Saisie données file act.'!AM98)</f>
        <v/>
      </c>
      <c r="AN79" s="920" t="str">
        <f>IF(ISBLANK('Saisie données file act.'!AN98), "", 'Saisie données file act.'!AN98)</f>
        <v/>
      </c>
      <c r="AO79" s="920" t="str">
        <f>IF(ISBLANK('Saisie données file act.'!AO98), "", 'Saisie données file act.'!AO98)</f>
        <v/>
      </c>
      <c r="AP79" s="920" t="str">
        <f>IF(ISBLANK('Saisie données file act.'!AP98), "", 'Saisie données file act.'!AP98)</f>
        <v/>
      </c>
      <c r="AQ79" s="920" t="str">
        <f>IF(ISBLANK('Saisie données file act.'!AQ98), "", 'Saisie données file act.'!AQ98)</f>
        <v/>
      </c>
      <c r="AR79" s="920" t="str">
        <f>IF(ISBLANK('Saisie données file act.'!AR98), "", 'Saisie données file act.'!AR98)</f>
        <v/>
      </c>
      <c r="AS79" s="920" t="str">
        <f>IF(ISBLANK('Saisie données file act.'!AS98), "", 'Saisie données file act.'!AS98)</f>
        <v/>
      </c>
      <c r="AT79" s="920" t="str">
        <f>IF(ISBLANK('Saisie données file act.'!AT98), "", 'Saisie données file act.'!AT98)</f>
        <v/>
      </c>
      <c r="AU79" s="920" t="str">
        <f>IF(ISBLANK('Saisie données file act.'!AU98), "", 'Saisie données file act.'!AU98)</f>
        <v/>
      </c>
      <c r="AV79" s="909">
        <f>'Saisie données file act.'!E188</f>
        <v>0</v>
      </c>
      <c r="AW79" s="910"/>
      <c r="AX79" s="909">
        <f>'Saisie données file act.'!E330</f>
        <v>0</v>
      </c>
    </row>
    <row r="80" spans="3:50" s="895" customFormat="1" ht="14.25" thickBot="1" x14ac:dyDescent="0.3">
      <c r="C80" s="3258"/>
      <c r="D80" s="913" t="str">
        <f>'TRAD-Calculs'!B14</f>
        <v>Troisièmes lignes</v>
      </c>
      <c r="E80" s="921"/>
      <c r="F80" s="921"/>
      <c r="G80" s="921"/>
      <c r="H80" s="921"/>
      <c r="I80" s="921"/>
      <c r="J80" s="921"/>
      <c r="K80" s="921"/>
      <c r="L80" s="921"/>
      <c r="M80" s="921"/>
      <c r="N80" s="921"/>
      <c r="O80" s="921"/>
      <c r="P80" s="921"/>
      <c r="Q80" s="921"/>
      <c r="R80" s="921"/>
      <c r="S80" s="921"/>
      <c r="T80" s="921"/>
      <c r="U80" s="921"/>
      <c r="V80" s="921"/>
      <c r="W80" s="921"/>
      <c r="X80" s="921"/>
      <c r="Y80" s="921"/>
      <c r="Z80" s="921"/>
      <c r="AA80" s="921"/>
      <c r="AB80" s="921"/>
      <c r="AC80" s="921"/>
      <c r="AD80" s="921"/>
      <c r="AE80" s="921"/>
      <c r="AF80" s="921"/>
      <c r="AG80" s="921"/>
      <c r="AH80" s="921"/>
      <c r="AI80" s="921"/>
      <c r="AJ80" s="921"/>
      <c r="AK80" s="921"/>
      <c r="AL80" s="921"/>
      <c r="AM80" s="921"/>
      <c r="AN80" s="921"/>
      <c r="AO80" s="921"/>
      <c r="AP80" s="921"/>
      <c r="AQ80" s="921"/>
      <c r="AR80" s="921"/>
      <c r="AS80" s="921"/>
      <c r="AT80" s="921"/>
      <c r="AU80" s="921"/>
      <c r="AV80" s="912"/>
      <c r="AW80" s="913"/>
      <c r="AX80" s="914"/>
    </row>
    <row r="81" spans="3:50" s="895" customFormat="1" ht="14.25" thickBot="1" x14ac:dyDescent="0.3">
      <c r="C81" s="3258"/>
      <c r="D81" s="904" t="str">
        <f>'Saisie données file act.'!D100</f>
        <v>Patients recevant TDF</v>
      </c>
      <c r="E81" s="920" t="str">
        <f>IF(ISBLANK('Saisie données file act.'!E100), "", 'Saisie données file act.'!E100)</f>
        <v/>
      </c>
      <c r="F81" s="920" t="str">
        <f>IF(ISBLANK('Saisie données file act.'!F100), "", 'Saisie données file act.'!F100)</f>
        <v/>
      </c>
      <c r="G81" s="920" t="str">
        <f>IF(ISBLANK('Saisie données file act.'!G100), "", 'Saisie données file act.'!G100)</f>
        <v/>
      </c>
      <c r="H81" s="920" t="str">
        <f>IF(ISBLANK('Saisie données file act.'!H100), "", 'Saisie données file act.'!H100)</f>
        <v/>
      </c>
      <c r="I81" s="920" t="str">
        <f>IF(ISBLANK('Saisie données file act.'!I100), "", 'Saisie données file act.'!I100)</f>
        <v/>
      </c>
      <c r="J81" s="920" t="str">
        <f>IF(ISBLANK('Saisie données file act.'!J100), "", 'Saisie données file act.'!J100)</f>
        <v/>
      </c>
      <c r="K81" s="920" t="str">
        <f>IF(ISBLANK('Saisie données file act.'!K100), "", 'Saisie données file act.'!K100)</f>
        <v/>
      </c>
      <c r="L81" s="920" t="str">
        <f>IF(ISBLANK('Saisie données file act.'!L100), "", 'Saisie données file act.'!L100)</f>
        <v/>
      </c>
      <c r="M81" s="920" t="str">
        <f>IF(ISBLANK('Saisie données file act.'!M100), "", 'Saisie données file act.'!M100)</f>
        <v/>
      </c>
      <c r="N81" s="920" t="str">
        <f>IF(ISBLANK('Saisie données file act.'!N100), "", 'Saisie données file act.'!N100)</f>
        <v/>
      </c>
      <c r="O81" s="920" t="str">
        <f>IF(ISBLANK('Saisie données file act.'!O100), "", 'Saisie données file act.'!O100)</f>
        <v/>
      </c>
      <c r="P81" s="920" t="str">
        <f>IF(ISBLANK('Saisie données file act.'!P100), "", 'Saisie données file act.'!P100)</f>
        <v/>
      </c>
      <c r="Q81" s="920" t="str">
        <f>IF(ISBLANK('Saisie données file act.'!Q100), "", 'Saisie données file act.'!Q100)</f>
        <v/>
      </c>
      <c r="R81" s="920" t="str">
        <f>IF(ISBLANK('Saisie données file act.'!R100), "", 'Saisie données file act.'!R100)</f>
        <v/>
      </c>
      <c r="S81" s="920" t="str">
        <f>IF(ISBLANK('Saisie données file act.'!S100), "", 'Saisie données file act.'!S100)</f>
        <v/>
      </c>
      <c r="T81" s="920" t="str">
        <f>IF(ISBLANK('Saisie données file act.'!T100), "", 'Saisie données file act.'!T100)</f>
        <v/>
      </c>
      <c r="U81" s="920" t="str">
        <f>IF(ISBLANK('Saisie données file act.'!U100), "", 'Saisie données file act.'!U100)</f>
        <v/>
      </c>
      <c r="V81" s="920" t="str">
        <f>IF(ISBLANK('Saisie données file act.'!V100), "", 'Saisie données file act.'!V100)</f>
        <v/>
      </c>
      <c r="W81" s="920" t="str">
        <f>IF(ISBLANK('Saisie données file act.'!W100), "", 'Saisie données file act.'!W100)</f>
        <v/>
      </c>
      <c r="X81" s="920" t="str">
        <f>IF(ISBLANK('Saisie données file act.'!X100), "", 'Saisie données file act.'!X100)</f>
        <v/>
      </c>
      <c r="Y81" s="920" t="str">
        <f>IF(ISBLANK('Saisie données file act.'!Y100), "", 'Saisie données file act.'!Y100)</f>
        <v/>
      </c>
      <c r="Z81" s="920" t="str">
        <f>IF(ISBLANK('Saisie données file act.'!Z100), "", 'Saisie données file act.'!Z100)</f>
        <v/>
      </c>
      <c r="AA81" s="920" t="str">
        <f>IF(ISBLANK('Saisie données file act.'!AA100), "", 'Saisie données file act.'!AA100)</f>
        <v/>
      </c>
      <c r="AB81" s="920" t="str">
        <f>IF(ISBLANK('Saisie données file act.'!AB100), "", 'Saisie données file act.'!AB100)</f>
        <v/>
      </c>
      <c r="AC81" s="920" t="str">
        <f>IF(ISBLANK('Saisie données file act.'!AC100), "", 'Saisie données file act.'!AC100)</f>
        <v/>
      </c>
      <c r="AD81" s="920" t="str">
        <f>IF(ISBLANK('Saisie données file act.'!AD100), "", 'Saisie données file act.'!AD100)</f>
        <v/>
      </c>
      <c r="AE81" s="920" t="str">
        <f>IF(ISBLANK('Saisie données file act.'!AE100), "", 'Saisie données file act.'!AE100)</f>
        <v/>
      </c>
      <c r="AF81" s="920" t="str">
        <f>IF(ISBLANK('Saisie données file act.'!AF100), "", 'Saisie données file act.'!AF100)</f>
        <v/>
      </c>
      <c r="AG81" s="920" t="str">
        <f>IF(ISBLANK('Saisie données file act.'!AG100), "", 'Saisie données file act.'!AG100)</f>
        <v/>
      </c>
      <c r="AH81" s="920" t="str">
        <f>IF(ISBLANK('Saisie données file act.'!AH100), "", 'Saisie données file act.'!AH100)</f>
        <v/>
      </c>
      <c r="AI81" s="920" t="str">
        <f>IF(ISBLANK('Saisie données file act.'!AI100), "", 'Saisie données file act.'!AI100)</f>
        <v/>
      </c>
      <c r="AJ81" s="920" t="str">
        <f>IF(ISBLANK('Saisie données file act.'!AJ100), "", 'Saisie données file act.'!AJ100)</f>
        <v>X</v>
      </c>
      <c r="AK81" s="920" t="str">
        <f>IF(ISBLANK('Saisie données file act.'!AK100), "", 'Saisie données file act.'!AK100)</f>
        <v/>
      </c>
      <c r="AL81" s="920" t="str">
        <f>IF(ISBLANK('Saisie données file act.'!AL100), "", 'Saisie données file act.'!AL100)</f>
        <v/>
      </c>
      <c r="AM81" s="920" t="str">
        <f>IF(ISBLANK('Saisie données file act.'!AM100), "", 'Saisie données file act.'!AM100)</f>
        <v/>
      </c>
      <c r="AN81" s="920" t="str">
        <f>IF(ISBLANK('Saisie données file act.'!AN100), "", 'Saisie données file act.'!AN100)</f>
        <v/>
      </c>
      <c r="AO81" s="920" t="str">
        <f>IF(ISBLANK('Saisie données file act.'!AO100), "", 'Saisie données file act.'!AO100)</f>
        <v/>
      </c>
      <c r="AP81" s="920" t="str">
        <f>IF(ISBLANK('Saisie données file act.'!AP100), "", 'Saisie données file act.'!AP100)</f>
        <v/>
      </c>
      <c r="AQ81" s="920" t="str">
        <f>IF(ISBLANK('Saisie données file act.'!AQ100), "", 'Saisie données file act.'!AQ100)</f>
        <v/>
      </c>
      <c r="AR81" s="920" t="str">
        <f>IF(ISBLANK('Saisie données file act.'!AR100), "", 'Saisie données file act.'!AR100)</f>
        <v/>
      </c>
      <c r="AS81" s="920" t="str">
        <f>IF(ISBLANK('Saisie données file act.'!AS100), "", 'Saisie données file act.'!AS100)</f>
        <v/>
      </c>
      <c r="AT81" s="920" t="str">
        <f>IF(ISBLANK('Saisie données file act.'!AT100), "", 'Saisie données file act.'!AT100)</f>
        <v/>
      </c>
      <c r="AU81" s="920" t="str">
        <f>IF(ISBLANK('Saisie données file act.'!AU100), "", 'Saisie données file act.'!AU100)</f>
        <v/>
      </c>
      <c r="AV81" s="1046">
        <f>'Saisie données file act.'!E190</f>
        <v>0</v>
      </c>
      <c r="AW81" s="917"/>
      <c r="AX81" s="1046">
        <f>'Saisie données file act.'!F346</f>
        <v>0</v>
      </c>
    </row>
    <row r="82" spans="3:50" s="895" customFormat="1" ht="14.25" thickBot="1" x14ac:dyDescent="0.3">
      <c r="C82" s="3258"/>
      <c r="D82" s="905" t="str">
        <f>'Saisie données file act.'!D101</f>
        <v>Patients recevant AZT</v>
      </c>
      <c r="E82" s="920" t="str">
        <f>IF(ISBLANK('Saisie données file act.'!E101), "", 'Saisie données file act.'!E101)</f>
        <v/>
      </c>
      <c r="F82" s="920" t="str">
        <f>IF(ISBLANK('Saisie données file act.'!F101), "", 'Saisie données file act.'!F101)</f>
        <v/>
      </c>
      <c r="G82" s="920" t="str">
        <f>IF(ISBLANK('Saisie données file act.'!G101), "", 'Saisie données file act.'!G101)</f>
        <v/>
      </c>
      <c r="H82" s="920" t="str">
        <f>IF(ISBLANK('Saisie données file act.'!H101), "", 'Saisie données file act.'!H101)</f>
        <v/>
      </c>
      <c r="I82" s="920" t="str">
        <f>IF(ISBLANK('Saisie données file act.'!I101), "", 'Saisie données file act.'!I101)</f>
        <v/>
      </c>
      <c r="J82" s="920" t="str">
        <f>IF(ISBLANK('Saisie données file act.'!J101), "", 'Saisie données file act.'!J101)</f>
        <v/>
      </c>
      <c r="K82" s="920" t="str">
        <f>IF(ISBLANK('Saisie données file act.'!K101), "", 'Saisie données file act.'!K101)</f>
        <v/>
      </c>
      <c r="L82" s="920" t="str">
        <f>IF(ISBLANK('Saisie données file act.'!L101), "", 'Saisie données file act.'!L101)</f>
        <v/>
      </c>
      <c r="M82" s="920" t="str">
        <f>IF(ISBLANK('Saisie données file act.'!M101), "", 'Saisie données file act.'!M101)</f>
        <v/>
      </c>
      <c r="N82" s="920" t="str">
        <f>IF(ISBLANK('Saisie données file act.'!N101), "", 'Saisie données file act.'!N101)</f>
        <v/>
      </c>
      <c r="O82" s="920" t="str">
        <f>IF(ISBLANK('Saisie données file act.'!O101), "", 'Saisie données file act.'!O101)</f>
        <v/>
      </c>
      <c r="P82" s="920" t="str">
        <f>IF(ISBLANK('Saisie données file act.'!P101), "", 'Saisie données file act.'!P101)</f>
        <v/>
      </c>
      <c r="Q82" s="920" t="str">
        <f>IF(ISBLANK('Saisie données file act.'!Q101), "", 'Saisie données file act.'!Q101)</f>
        <v/>
      </c>
      <c r="R82" s="920" t="str">
        <f>IF(ISBLANK('Saisie données file act.'!R101), "", 'Saisie données file act.'!R101)</f>
        <v/>
      </c>
      <c r="S82" s="920" t="str">
        <f>IF(ISBLANK('Saisie données file act.'!S101), "", 'Saisie données file act.'!S101)</f>
        <v/>
      </c>
      <c r="T82" s="920" t="str">
        <f>IF(ISBLANK('Saisie données file act.'!T101), "", 'Saisie données file act.'!T101)</f>
        <v/>
      </c>
      <c r="U82" s="920" t="str">
        <f>IF(ISBLANK('Saisie données file act.'!U101), "", 'Saisie données file act.'!U101)</f>
        <v/>
      </c>
      <c r="V82" s="920" t="str">
        <f>IF(ISBLANK('Saisie données file act.'!V101), "", 'Saisie données file act.'!V101)</f>
        <v/>
      </c>
      <c r="W82" s="920" t="str">
        <f>IF(ISBLANK('Saisie données file act.'!W101), "", 'Saisie données file act.'!W101)</f>
        <v/>
      </c>
      <c r="X82" s="920" t="str">
        <f>IF(ISBLANK('Saisie données file act.'!X101), "", 'Saisie données file act.'!X101)</f>
        <v/>
      </c>
      <c r="Y82" s="920" t="str">
        <f>IF(ISBLANK('Saisie données file act.'!Y101), "", 'Saisie données file act.'!Y101)</f>
        <v/>
      </c>
      <c r="Z82" s="920" t="str">
        <f>IF(ISBLANK('Saisie données file act.'!Z101), "", 'Saisie données file act.'!Z101)</f>
        <v/>
      </c>
      <c r="AA82" s="920" t="str">
        <f>IF(ISBLANK('Saisie données file act.'!AA101), "", 'Saisie données file act.'!AA101)</f>
        <v/>
      </c>
      <c r="AB82" s="920" t="str">
        <f>IF(ISBLANK('Saisie données file act.'!AB101), "", 'Saisie données file act.'!AB101)</f>
        <v>X</v>
      </c>
      <c r="AC82" s="920" t="str">
        <f>IF(ISBLANK('Saisie données file act.'!AC101), "", 'Saisie données file act.'!AC101)</f>
        <v/>
      </c>
      <c r="AD82" s="920" t="str">
        <f>IF(ISBLANK('Saisie données file act.'!AD101), "", 'Saisie données file act.'!AD101)</f>
        <v/>
      </c>
      <c r="AE82" s="920" t="str">
        <f>IF(ISBLANK('Saisie données file act.'!AE101), "", 'Saisie données file act.'!AE101)</f>
        <v/>
      </c>
      <c r="AF82" s="920" t="str">
        <f>IF(ISBLANK('Saisie données file act.'!AF101), "", 'Saisie données file act.'!AF101)</f>
        <v/>
      </c>
      <c r="AG82" s="920" t="str">
        <f>IF(ISBLANK('Saisie données file act.'!AG101), "", 'Saisie données file act.'!AG101)</f>
        <v/>
      </c>
      <c r="AH82" s="920" t="str">
        <f>IF(ISBLANK('Saisie données file act.'!AH101), "", 'Saisie données file act.'!AH101)</f>
        <v/>
      </c>
      <c r="AI82" s="920" t="str">
        <f>IF(ISBLANK('Saisie données file act.'!AI101), "", 'Saisie données file act.'!AI101)</f>
        <v/>
      </c>
      <c r="AJ82" s="920" t="str">
        <f>IF(ISBLANK('Saisie données file act.'!AJ101), "", 'Saisie données file act.'!AJ101)</f>
        <v/>
      </c>
      <c r="AK82" s="920" t="str">
        <f>IF(ISBLANK('Saisie données file act.'!AK101), "", 'Saisie données file act.'!AK101)</f>
        <v/>
      </c>
      <c r="AL82" s="920" t="str">
        <f>IF(ISBLANK('Saisie données file act.'!AL101), "", 'Saisie données file act.'!AL101)</f>
        <v/>
      </c>
      <c r="AM82" s="920" t="str">
        <f>IF(ISBLANK('Saisie données file act.'!AM101), "", 'Saisie données file act.'!AM101)</f>
        <v/>
      </c>
      <c r="AN82" s="920" t="str">
        <f>IF(ISBLANK('Saisie données file act.'!AN101), "", 'Saisie données file act.'!AN101)</f>
        <v/>
      </c>
      <c r="AO82" s="920" t="str">
        <f>IF(ISBLANK('Saisie données file act.'!AO101), "", 'Saisie données file act.'!AO101)</f>
        <v/>
      </c>
      <c r="AP82" s="920" t="str">
        <f>IF(ISBLANK('Saisie données file act.'!AP101), "", 'Saisie données file act.'!AP101)</f>
        <v/>
      </c>
      <c r="AQ82" s="920" t="str">
        <f>IF(ISBLANK('Saisie données file act.'!AQ101), "", 'Saisie données file act.'!AQ101)</f>
        <v/>
      </c>
      <c r="AR82" s="920" t="str">
        <f>IF(ISBLANK('Saisie données file act.'!AR101), "", 'Saisie données file act.'!AR101)</f>
        <v/>
      </c>
      <c r="AS82" s="920" t="str">
        <f>IF(ISBLANK('Saisie données file act.'!AS101), "", 'Saisie données file act.'!AS101)</f>
        <v/>
      </c>
      <c r="AT82" s="920" t="str">
        <f>IF(ISBLANK('Saisie données file act.'!AT101), "", 'Saisie données file act.'!AT101)</f>
        <v/>
      </c>
      <c r="AU82" s="920" t="str">
        <f>IF(ISBLANK('Saisie données file act.'!AU101), "", 'Saisie données file act.'!AU101)</f>
        <v/>
      </c>
      <c r="AV82" s="1047">
        <f>'Saisie données file act.'!E191</f>
        <v>0</v>
      </c>
      <c r="AW82" s="901"/>
      <c r="AX82" s="1047">
        <f>'Saisie données file act.'!F347</f>
        <v>0</v>
      </c>
    </row>
    <row r="83" spans="3:50" s="895" customFormat="1" ht="14.25" thickBot="1" x14ac:dyDescent="0.3">
      <c r="C83" s="3258"/>
      <c r="D83" s="904" t="str">
        <f>'Saisie données file act.'!D102</f>
        <v>Patients recevant 3TC</v>
      </c>
      <c r="E83" s="920" t="str">
        <f>IF(ISBLANK('Saisie données file act.'!E102), "", 'Saisie données file act.'!E102)</f>
        <v/>
      </c>
      <c r="F83" s="920" t="str">
        <f>IF(ISBLANK('Saisie données file act.'!F102), "", 'Saisie données file act.'!F102)</f>
        <v/>
      </c>
      <c r="G83" s="920" t="str">
        <f>IF(ISBLANK('Saisie données file act.'!G102), "", 'Saisie données file act.'!G102)</f>
        <v/>
      </c>
      <c r="H83" s="920" t="str">
        <f>IF(ISBLANK('Saisie données file act.'!H102), "", 'Saisie données file act.'!H102)</f>
        <v/>
      </c>
      <c r="I83" s="920" t="str">
        <f>IF(ISBLANK('Saisie données file act.'!I102), "", 'Saisie données file act.'!I102)</f>
        <v/>
      </c>
      <c r="J83" s="920" t="str">
        <f>IF(ISBLANK('Saisie données file act.'!J102), "", 'Saisie données file act.'!J102)</f>
        <v/>
      </c>
      <c r="K83" s="920" t="str">
        <f>IF(ISBLANK('Saisie données file act.'!K102), "", 'Saisie données file act.'!K102)</f>
        <v/>
      </c>
      <c r="L83" s="920" t="str">
        <f>IF(ISBLANK('Saisie données file act.'!L102), "", 'Saisie données file act.'!L102)</f>
        <v/>
      </c>
      <c r="M83" s="920" t="str">
        <f>IF(ISBLANK('Saisie données file act.'!M102), "", 'Saisie données file act.'!M102)</f>
        <v/>
      </c>
      <c r="N83" s="920" t="str">
        <f>IF(ISBLANK('Saisie données file act.'!N102), "", 'Saisie données file act.'!N102)</f>
        <v/>
      </c>
      <c r="O83" s="920" t="str">
        <f>IF(ISBLANK('Saisie données file act.'!O102), "", 'Saisie données file act.'!O102)</f>
        <v/>
      </c>
      <c r="P83" s="920" t="str">
        <f>IF(ISBLANK('Saisie données file act.'!P102), "", 'Saisie données file act.'!P102)</f>
        <v/>
      </c>
      <c r="Q83" s="920" t="str">
        <f>IF(ISBLANK('Saisie données file act.'!Q102), "", 'Saisie données file act.'!Q102)</f>
        <v/>
      </c>
      <c r="R83" s="920" t="str">
        <f>IF(ISBLANK('Saisie données file act.'!R102), "", 'Saisie données file act.'!R102)</f>
        <v/>
      </c>
      <c r="S83" s="920" t="str">
        <f>IF(ISBLANK('Saisie données file act.'!S102), "", 'Saisie données file act.'!S102)</f>
        <v/>
      </c>
      <c r="T83" s="920" t="str">
        <f>IF(ISBLANK('Saisie données file act.'!T102), "", 'Saisie données file act.'!T102)</f>
        <v/>
      </c>
      <c r="U83" s="920" t="str">
        <f>IF(ISBLANK('Saisie données file act.'!U102), "", 'Saisie données file act.'!U102)</f>
        <v/>
      </c>
      <c r="V83" s="920" t="str">
        <f>IF(ISBLANK('Saisie données file act.'!V102), "", 'Saisie données file act.'!V102)</f>
        <v/>
      </c>
      <c r="W83" s="920" t="str">
        <f>IF(ISBLANK('Saisie données file act.'!W102), "", 'Saisie données file act.'!W102)</f>
        <v/>
      </c>
      <c r="X83" s="920" t="str">
        <f>IF(ISBLANK('Saisie données file act.'!X102), "", 'Saisie données file act.'!X102)</f>
        <v/>
      </c>
      <c r="Y83" s="920" t="str">
        <f>IF(ISBLANK('Saisie données file act.'!Y102), "", 'Saisie données file act.'!Y102)</f>
        <v/>
      </c>
      <c r="Z83" s="920" t="str">
        <f>IF(ISBLANK('Saisie données file act.'!Z102), "", 'Saisie données file act.'!Z102)</f>
        <v/>
      </c>
      <c r="AA83" s="920" t="str">
        <f>IF(ISBLANK('Saisie données file act.'!AA102), "", 'Saisie données file act.'!AA102)</f>
        <v/>
      </c>
      <c r="AB83" s="920" t="str">
        <f>IF(ISBLANK('Saisie données file act.'!AB102), "", 'Saisie données file act.'!AB102)</f>
        <v/>
      </c>
      <c r="AC83" s="920" t="str">
        <f>IF(ISBLANK('Saisie données file act.'!AC102), "", 'Saisie données file act.'!AC102)</f>
        <v/>
      </c>
      <c r="AD83" s="920" t="str">
        <f>IF(ISBLANK('Saisie données file act.'!AD102), "", 'Saisie données file act.'!AD102)</f>
        <v/>
      </c>
      <c r="AE83" s="920" t="str">
        <f>IF(ISBLANK('Saisie données file act.'!AE102), "", 'Saisie données file act.'!AE102)</f>
        <v/>
      </c>
      <c r="AF83" s="920" t="str">
        <f>IF(ISBLANK('Saisie données file act.'!AF102), "", 'Saisie données file act.'!AF102)</f>
        <v>X</v>
      </c>
      <c r="AG83" s="920" t="str">
        <f>IF(ISBLANK('Saisie données file act.'!AG102), "", 'Saisie données file act.'!AG102)</f>
        <v/>
      </c>
      <c r="AH83" s="920" t="str">
        <f>IF(ISBLANK('Saisie données file act.'!AH102), "", 'Saisie données file act.'!AH102)</f>
        <v/>
      </c>
      <c r="AI83" s="920" t="str">
        <f>IF(ISBLANK('Saisie données file act.'!AI102), "", 'Saisie données file act.'!AI102)</f>
        <v/>
      </c>
      <c r="AJ83" s="920" t="str">
        <f>IF(ISBLANK('Saisie données file act.'!AJ102), "", 'Saisie données file act.'!AJ102)</f>
        <v/>
      </c>
      <c r="AK83" s="920" t="str">
        <f>IF(ISBLANK('Saisie données file act.'!AK102), "", 'Saisie données file act.'!AK102)</f>
        <v/>
      </c>
      <c r="AL83" s="920" t="str">
        <f>IF(ISBLANK('Saisie données file act.'!AL102), "", 'Saisie données file act.'!AL102)</f>
        <v/>
      </c>
      <c r="AM83" s="920" t="str">
        <f>IF(ISBLANK('Saisie données file act.'!AM102), "", 'Saisie données file act.'!AM102)</f>
        <v/>
      </c>
      <c r="AN83" s="920" t="str">
        <f>IF(ISBLANK('Saisie données file act.'!AN102), "", 'Saisie données file act.'!AN102)</f>
        <v/>
      </c>
      <c r="AO83" s="920" t="str">
        <f>IF(ISBLANK('Saisie données file act.'!AO102), "", 'Saisie données file act.'!AO102)</f>
        <v/>
      </c>
      <c r="AP83" s="920" t="str">
        <f>IF(ISBLANK('Saisie données file act.'!AP102), "", 'Saisie données file act.'!AP102)</f>
        <v/>
      </c>
      <c r="AQ83" s="920" t="str">
        <f>IF(ISBLANK('Saisie données file act.'!AQ102), "", 'Saisie données file act.'!AQ102)</f>
        <v/>
      </c>
      <c r="AR83" s="920" t="str">
        <f>IF(ISBLANK('Saisie données file act.'!AR102), "", 'Saisie données file act.'!AR102)</f>
        <v/>
      </c>
      <c r="AS83" s="920" t="str">
        <f>IF(ISBLANK('Saisie données file act.'!AS102), "", 'Saisie données file act.'!AS102)</f>
        <v/>
      </c>
      <c r="AT83" s="920" t="str">
        <f>IF(ISBLANK('Saisie données file act.'!AT102), "", 'Saisie données file act.'!AT102)</f>
        <v/>
      </c>
      <c r="AU83" s="920" t="str">
        <f>IF(ISBLANK('Saisie données file act.'!AU102), "", 'Saisie données file act.'!AU102)</f>
        <v/>
      </c>
      <c r="AV83" s="1046">
        <f>'Saisie données file act.'!E192</f>
        <v>0</v>
      </c>
      <c r="AW83" s="917"/>
      <c r="AX83" s="1046">
        <f>'Saisie données file act.'!F348</f>
        <v>0</v>
      </c>
    </row>
    <row r="84" spans="3:50" s="895" customFormat="1" ht="14.25" thickBot="1" x14ac:dyDescent="0.3">
      <c r="C84" s="3258"/>
      <c r="D84" s="905" t="str">
        <f>'Saisie données file act.'!D103</f>
        <v>Patients recevant ABC</v>
      </c>
      <c r="E84" s="920" t="str">
        <f>IF(ISBLANK('Saisie données file act.'!E103), "", 'Saisie données file act.'!E103)</f>
        <v/>
      </c>
      <c r="F84" s="920" t="str">
        <f>IF(ISBLANK('Saisie données file act.'!F103), "", 'Saisie données file act.'!F103)</f>
        <v/>
      </c>
      <c r="G84" s="920" t="str">
        <f>IF(ISBLANK('Saisie données file act.'!G103), "", 'Saisie données file act.'!G103)</f>
        <v/>
      </c>
      <c r="H84" s="920" t="str">
        <f>IF(ISBLANK('Saisie données file act.'!H103), "", 'Saisie données file act.'!H103)</f>
        <v/>
      </c>
      <c r="I84" s="920" t="str">
        <f>IF(ISBLANK('Saisie données file act.'!I103), "", 'Saisie données file act.'!I103)</f>
        <v/>
      </c>
      <c r="J84" s="920" t="str">
        <f>IF(ISBLANK('Saisie données file act.'!J103), "", 'Saisie données file act.'!J103)</f>
        <v/>
      </c>
      <c r="K84" s="920" t="str">
        <f>IF(ISBLANK('Saisie données file act.'!K103), "", 'Saisie données file act.'!K103)</f>
        <v/>
      </c>
      <c r="L84" s="920" t="str">
        <f>IF(ISBLANK('Saisie données file act.'!L103), "", 'Saisie données file act.'!L103)</f>
        <v/>
      </c>
      <c r="M84" s="920" t="str">
        <f>IF(ISBLANK('Saisie données file act.'!M103), "", 'Saisie données file act.'!M103)</f>
        <v/>
      </c>
      <c r="N84" s="920" t="str">
        <f>IF(ISBLANK('Saisie données file act.'!N103), "", 'Saisie données file act.'!N103)</f>
        <v/>
      </c>
      <c r="O84" s="920" t="str">
        <f>IF(ISBLANK('Saisie données file act.'!O103), "", 'Saisie données file act.'!O103)</f>
        <v/>
      </c>
      <c r="P84" s="920" t="str">
        <f>IF(ISBLANK('Saisie données file act.'!P103), "", 'Saisie données file act.'!P103)</f>
        <v/>
      </c>
      <c r="Q84" s="920" t="str">
        <f>IF(ISBLANK('Saisie données file act.'!Q103), "", 'Saisie données file act.'!Q103)</f>
        <v/>
      </c>
      <c r="R84" s="920" t="str">
        <f>IF(ISBLANK('Saisie données file act.'!R103), "", 'Saisie données file act.'!R103)</f>
        <v/>
      </c>
      <c r="S84" s="920" t="str">
        <f>IF(ISBLANK('Saisie données file act.'!S103), "", 'Saisie données file act.'!S103)</f>
        <v/>
      </c>
      <c r="T84" s="920" t="str">
        <f>IF(ISBLANK('Saisie données file act.'!T103), "", 'Saisie données file act.'!T103)</f>
        <v/>
      </c>
      <c r="U84" s="920" t="str">
        <f>IF(ISBLANK('Saisie données file act.'!U103), "", 'Saisie données file act.'!U103)</f>
        <v/>
      </c>
      <c r="V84" s="920" t="str">
        <f>IF(ISBLANK('Saisie données file act.'!V103), "", 'Saisie données file act.'!V103)</f>
        <v/>
      </c>
      <c r="W84" s="920" t="str">
        <f>IF(ISBLANK('Saisie données file act.'!W103), "", 'Saisie données file act.'!W103)</f>
        <v/>
      </c>
      <c r="X84" s="920" t="str">
        <f>IF(ISBLANK('Saisie données file act.'!X103), "", 'Saisie données file act.'!X103)</f>
        <v/>
      </c>
      <c r="Y84" s="920" t="str">
        <f>IF(ISBLANK('Saisie données file act.'!Y103), "", 'Saisie données file act.'!Y103)</f>
        <v/>
      </c>
      <c r="Z84" s="920" t="str">
        <f>IF(ISBLANK('Saisie données file act.'!Z103), "", 'Saisie données file act.'!Z103)</f>
        <v>X</v>
      </c>
      <c r="AA84" s="920" t="str">
        <f>IF(ISBLANK('Saisie données file act.'!AA103), "", 'Saisie données file act.'!AA103)</f>
        <v/>
      </c>
      <c r="AB84" s="920" t="str">
        <f>IF(ISBLANK('Saisie données file act.'!AB103), "", 'Saisie données file act.'!AB103)</f>
        <v/>
      </c>
      <c r="AC84" s="920" t="str">
        <f>IF(ISBLANK('Saisie données file act.'!AC103), "", 'Saisie données file act.'!AC103)</f>
        <v/>
      </c>
      <c r="AD84" s="920" t="str">
        <f>IF(ISBLANK('Saisie données file act.'!AD103), "", 'Saisie données file act.'!AD103)</f>
        <v/>
      </c>
      <c r="AE84" s="920" t="str">
        <f>IF(ISBLANK('Saisie données file act.'!AE103), "", 'Saisie données file act.'!AE103)</f>
        <v/>
      </c>
      <c r="AF84" s="920" t="str">
        <f>IF(ISBLANK('Saisie données file act.'!AF103), "", 'Saisie données file act.'!AF103)</f>
        <v/>
      </c>
      <c r="AG84" s="920" t="str">
        <f>IF(ISBLANK('Saisie données file act.'!AG103), "", 'Saisie données file act.'!AG103)</f>
        <v/>
      </c>
      <c r="AH84" s="920" t="str">
        <f>IF(ISBLANK('Saisie données file act.'!AH103), "", 'Saisie données file act.'!AH103)</f>
        <v/>
      </c>
      <c r="AI84" s="920" t="str">
        <f>IF(ISBLANK('Saisie données file act.'!AI103), "", 'Saisie données file act.'!AI103)</f>
        <v/>
      </c>
      <c r="AJ84" s="920" t="str">
        <f>IF(ISBLANK('Saisie données file act.'!AJ103), "", 'Saisie données file act.'!AJ103)</f>
        <v/>
      </c>
      <c r="AK84" s="920" t="str">
        <f>IF(ISBLANK('Saisie données file act.'!AK103), "", 'Saisie données file act.'!AK103)</f>
        <v/>
      </c>
      <c r="AL84" s="920" t="str">
        <f>IF(ISBLANK('Saisie données file act.'!AL103), "", 'Saisie données file act.'!AL103)</f>
        <v/>
      </c>
      <c r="AM84" s="920" t="str">
        <f>IF(ISBLANK('Saisie données file act.'!AM103), "", 'Saisie données file act.'!AM103)</f>
        <v/>
      </c>
      <c r="AN84" s="920" t="str">
        <f>IF(ISBLANK('Saisie données file act.'!AN103), "", 'Saisie données file act.'!AN103)</f>
        <v/>
      </c>
      <c r="AO84" s="920" t="str">
        <f>IF(ISBLANK('Saisie données file act.'!AO103), "", 'Saisie données file act.'!AO103)</f>
        <v/>
      </c>
      <c r="AP84" s="920" t="str">
        <f>IF(ISBLANK('Saisie données file act.'!AP103), "", 'Saisie données file act.'!AP103)</f>
        <v/>
      </c>
      <c r="AQ84" s="920" t="str">
        <f>IF(ISBLANK('Saisie données file act.'!AQ103), "", 'Saisie données file act.'!AQ103)</f>
        <v/>
      </c>
      <c r="AR84" s="920" t="str">
        <f>IF(ISBLANK('Saisie données file act.'!AR103), "", 'Saisie données file act.'!AR103)</f>
        <v/>
      </c>
      <c r="AS84" s="920" t="str">
        <f>IF(ISBLANK('Saisie données file act.'!AS103), "", 'Saisie données file act.'!AS103)</f>
        <v/>
      </c>
      <c r="AT84" s="920" t="str">
        <f>IF(ISBLANK('Saisie données file act.'!AT103), "", 'Saisie données file act.'!AT103)</f>
        <v/>
      </c>
      <c r="AU84" s="920" t="str">
        <f>IF(ISBLANK('Saisie données file act.'!AU103), "", 'Saisie données file act.'!AU103)</f>
        <v/>
      </c>
      <c r="AV84" s="1047">
        <f>'Saisie données file act.'!E193</f>
        <v>0</v>
      </c>
      <c r="AW84" s="901"/>
      <c r="AX84" s="1047">
        <f>'Saisie données file act.'!F349</f>
        <v>0</v>
      </c>
    </row>
    <row r="85" spans="3:50" s="895" customFormat="1" ht="14.25" thickBot="1" x14ac:dyDescent="0.3">
      <c r="C85" s="3258"/>
      <c r="D85" s="904" t="str">
        <f>'Saisie données file act.'!D104</f>
        <v>Patients recevant DDI 250</v>
      </c>
      <c r="E85" s="920" t="str">
        <f>IF(ISBLANK('Saisie données file act.'!E104), "", 'Saisie données file act.'!E104)</f>
        <v/>
      </c>
      <c r="F85" s="920" t="str">
        <f>IF(ISBLANK('Saisie données file act.'!F104), "", 'Saisie données file act.'!F104)</f>
        <v/>
      </c>
      <c r="G85" s="920" t="str">
        <f>IF(ISBLANK('Saisie données file act.'!G104), "", 'Saisie données file act.'!G104)</f>
        <v/>
      </c>
      <c r="H85" s="920" t="str">
        <f>IF(ISBLANK('Saisie données file act.'!H104), "", 'Saisie données file act.'!H104)</f>
        <v/>
      </c>
      <c r="I85" s="920" t="str">
        <f>IF(ISBLANK('Saisie données file act.'!I104), "", 'Saisie données file act.'!I104)</f>
        <v/>
      </c>
      <c r="J85" s="920" t="str">
        <f>IF(ISBLANK('Saisie données file act.'!J104), "", 'Saisie données file act.'!J104)</f>
        <v/>
      </c>
      <c r="K85" s="920" t="str">
        <f>IF(ISBLANK('Saisie données file act.'!K104), "", 'Saisie données file act.'!K104)</f>
        <v/>
      </c>
      <c r="L85" s="920" t="str">
        <f>IF(ISBLANK('Saisie données file act.'!L104), "", 'Saisie données file act.'!L104)</f>
        <v/>
      </c>
      <c r="M85" s="920" t="str">
        <f>IF(ISBLANK('Saisie données file act.'!M104), "", 'Saisie données file act.'!M104)</f>
        <v/>
      </c>
      <c r="N85" s="920" t="str">
        <f>IF(ISBLANK('Saisie données file act.'!N104), "", 'Saisie données file act.'!N104)</f>
        <v/>
      </c>
      <c r="O85" s="920" t="str">
        <f>IF(ISBLANK('Saisie données file act.'!O104), "", 'Saisie données file act.'!O104)</f>
        <v/>
      </c>
      <c r="P85" s="920" t="str">
        <f>IF(ISBLANK('Saisie données file act.'!P104), "", 'Saisie données file act.'!P104)</f>
        <v/>
      </c>
      <c r="Q85" s="920" t="str">
        <f>IF(ISBLANK('Saisie données file act.'!Q104), "", 'Saisie données file act.'!Q104)</f>
        <v/>
      </c>
      <c r="R85" s="920" t="str">
        <f>IF(ISBLANK('Saisie données file act.'!R104), "", 'Saisie données file act.'!R104)</f>
        <v/>
      </c>
      <c r="S85" s="920" t="str">
        <f>IF(ISBLANK('Saisie données file act.'!S104), "", 'Saisie données file act.'!S104)</f>
        <v/>
      </c>
      <c r="T85" s="920" t="str">
        <f>IF(ISBLANK('Saisie données file act.'!T104), "", 'Saisie données file act.'!T104)</f>
        <v/>
      </c>
      <c r="U85" s="920" t="str">
        <f>IF(ISBLANK('Saisie données file act.'!U104), "", 'Saisie données file act.'!U104)</f>
        <v/>
      </c>
      <c r="V85" s="920" t="str">
        <f>IF(ISBLANK('Saisie données file act.'!V104), "", 'Saisie données file act.'!V104)</f>
        <v/>
      </c>
      <c r="W85" s="920" t="str">
        <f>IF(ISBLANK('Saisie données file act.'!W104), "", 'Saisie données file act.'!W104)</f>
        <v/>
      </c>
      <c r="X85" s="920" t="str">
        <f>IF(ISBLANK('Saisie données file act.'!X104), "", 'Saisie données file act.'!X104)</f>
        <v/>
      </c>
      <c r="Y85" s="920" t="str">
        <f>IF(ISBLANK('Saisie données file act.'!Y104), "", 'Saisie données file act.'!Y104)</f>
        <v/>
      </c>
      <c r="Z85" s="920" t="str">
        <f>IF(ISBLANK('Saisie données file act.'!Z104), "", 'Saisie données file act.'!Z104)</f>
        <v/>
      </c>
      <c r="AA85" s="920" t="str">
        <f>IF(ISBLANK('Saisie données file act.'!AA104), "", 'Saisie données file act.'!AA104)</f>
        <v/>
      </c>
      <c r="AB85" s="920" t="str">
        <f>IF(ISBLANK('Saisie données file act.'!AB104), "", 'Saisie données file act.'!AB104)</f>
        <v/>
      </c>
      <c r="AC85" s="920" t="str">
        <f>IF(ISBLANK('Saisie données file act.'!AC104), "", 'Saisie données file act.'!AC104)</f>
        <v/>
      </c>
      <c r="AD85" s="920" t="str">
        <f>IF(ISBLANK('Saisie données file act.'!AD104), "", 'Saisie données file act.'!AD104)</f>
        <v/>
      </c>
      <c r="AE85" s="920" t="str">
        <f>IF(ISBLANK('Saisie données file act.'!AE104), "", 'Saisie données file act.'!AE104)</f>
        <v/>
      </c>
      <c r="AF85" s="920" t="str">
        <f>IF(ISBLANK('Saisie données file act.'!AF104), "", 'Saisie données file act.'!AF104)</f>
        <v/>
      </c>
      <c r="AG85" s="920" t="str">
        <f>IF(ISBLANK('Saisie données file act.'!AG104), "", 'Saisie données file act.'!AG104)</f>
        <v/>
      </c>
      <c r="AH85" s="920" t="str">
        <f>IF(ISBLANK('Saisie données file act.'!AH104), "", 'Saisie données file act.'!AH104)</f>
        <v>X</v>
      </c>
      <c r="AI85" s="920" t="str">
        <f>IF(ISBLANK('Saisie données file act.'!AI104), "", 'Saisie données file act.'!AI104)</f>
        <v/>
      </c>
      <c r="AJ85" s="920" t="str">
        <f>IF(ISBLANK('Saisie données file act.'!AJ104), "", 'Saisie données file act.'!AJ104)</f>
        <v/>
      </c>
      <c r="AK85" s="920" t="str">
        <f>IF(ISBLANK('Saisie données file act.'!AK104), "", 'Saisie données file act.'!AK104)</f>
        <v/>
      </c>
      <c r="AL85" s="920" t="str">
        <f>IF(ISBLANK('Saisie données file act.'!AL104), "", 'Saisie données file act.'!AL104)</f>
        <v/>
      </c>
      <c r="AM85" s="920" t="str">
        <f>IF(ISBLANK('Saisie données file act.'!AM104), "", 'Saisie données file act.'!AM104)</f>
        <v/>
      </c>
      <c r="AN85" s="920" t="str">
        <f>IF(ISBLANK('Saisie données file act.'!AN104), "", 'Saisie données file act.'!AN104)</f>
        <v/>
      </c>
      <c r="AO85" s="920" t="str">
        <f>IF(ISBLANK('Saisie données file act.'!AO104), "", 'Saisie données file act.'!AO104)</f>
        <v/>
      </c>
      <c r="AP85" s="920" t="str">
        <f>IF(ISBLANK('Saisie données file act.'!AP104), "", 'Saisie données file act.'!AP104)</f>
        <v/>
      </c>
      <c r="AQ85" s="920" t="str">
        <f>IF(ISBLANK('Saisie données file act.'!AQ104), "", 'Saisie données file act.'!AQ104)</f>
        <v/>
      </c>
      <c r="AR85" s="920" t="str">
        <f>IF(ISBLANK('Saisie données file act.'!AR104), "", 'Saisie données file act.'!AR104)</f>
        <v/>
      </c>
      <c r="AS85" s="920" t="str">
        <f>IF(ISBLANK('Saisie données file act.'!AS104), "", 'Saisie données file act.'!AS104)</f>
        <v/>
      </c>
      <c r="AT85" s="920" t="str">
        <f>IF(ISBLANK('Saisie données file act.'!AT104), "", 'Saisie données file act.'!AT104)</f>
        <v/>
      </c>
      <c r="AU85" s="920" t="str">
        <f>IF(ISBLANK('Saisie données file act.'!AU104), "", 'Saisie données file act.'!AU104)</f>
        <v/>
      </c>
      <c r="AV85" s="1046">
        <f>'Saisie données file act.'!E194</f>
        <v>0</v>
      </c>
      <c r="AW85" s="917"/>
      <c r="AX85" s="1046">
        <f>'Saisie données file act.'!F350</f>
        <v>0</v>
      </c>
    </row>
    <row r="86" spans="3:50" s="895" customFormat="1" ht="14.25" thickBot="1" x14ac:dyDescent="0.3">
      <c r="C86" s="3258"/>
      <c r="D86" s="905" t="str">
        <f>'Saisie données file act.'!D105</f>
        <v>Patients recevant DDI 400</v>
      </c>
      <c r="E86" s="920" t="str">
        <f>IF(ISBLANK('Saisie données file act.'!E105), "", 'Saisie données file act.'!E105)</f>
        <v/>
      </c>
      <c r="F86" s="920" t="str">
        <f>IF(ISBLANK('Saisie données file act.'!F105), "", 'Saisie données file act.'!F105)</f>
        <v/>
      </c>
      <c r="G86" s="920" t="str">
        <f>IF(ISBLANK('Saisie données file act.'!G105), "", 'Saisie données file act.'!G105)</f>
        <v/>
      </c>
      <c r="H86" s="920" t="str">
        <f>IF(ISBLANK('Saisie données file act.'!H105), "", 'Saisie données file act.'!H105)</f>
        <v/>
      </c>
      <c r="I86" s="920" t="str">
        <f>IF(ISBLANK('Saisie données file act.'!I105), "", 'Saisie données file act.'!I105)</f>
        <v/>
      </c>
      <c r="J86" s="920" t="str">
        <f>IF(ISBLANK('Saisie données file act.'!J105), "", 'Saisie données file act.'!J105)</f>
        <v/>
      </c>
      <c r="K86" s="920" t="str">
        <f>IF(ISBLANK('Saisie données file act.'!K105), "", 'Saisie données file act.'!K105)</f>
        <v/>
      </c>
      <c r="L86" s="920" t="str">
        <f>IF(ISBLANK('Saisie données file act.'!L105), "", 'Saisie données file act.'!L105)</f>
        <v/>
      </c>
      <c r="M86" s="920" t="str">
        <f>IF(ISBLANK('Saisie données file act.'!M105), "", 'Saisie données file act.'!M105)</f>
        <v/>
      </c>
      <c r="N86" s="920" t="str">
        <f>IF(ISBLANK('Saisie données file act.'!N105), "", 'Saisie données file act.'!N105)</f>
        <v/>
      </c>
      <c r="O86" s="920" t="str">
        <f>IF(ISBLANK('Saisie données file act.'!O105), "", 'Saisie données file act.'!O105)</f>
        <v/>
      </c>
      <c r="P86" s="920" t="str">
        <f>IF(ISBLANK('Saisie données file act.'!P105), "", 'Saisie données file act.'!P105)</f>
        <v/>
      </c>
      <c r="Q86" s="920" t="str">
        <f>IF(ISBLANK('Saisie données file act.'!Q105), "", 'Saisie données file act.'!Q105)</f>
        <v/>
      </c>
      <c r="R86" s="920" t="str">
        <f>IF(ISBLANK('Saisie données file act.'!R105), "", 'Saisie données file act.'!R105)</f>
        <v/>
      </c>
      <c r="S86" s="920" t="str">
        <f>IF(ISBLANK('Saisie données file act.'!S105), "", 'Saisie données file act.'!S105)</f>
        <v/>
      </c>
      <c r="T86" s="920" t="str">
        <f>IF(ISBLANK('Saisie données file act.'!T105), "", 'Saisie données file act.'!T105)</f>
        <v/>
      </c>
      <c r="U86" s="920" t="str">
        <f>IF(ISBLANK('Saisie données file act.'!U105), "", 'Saisie données file act.'!U105)</f>
        <v/>
      </c>
      <c r="V86" s="920" t="str">
        <f>IF(ISBLANK('Saisie données file act.'!V105), "", 'Saisie données file act.'!V105)</f>
        <v/>
      </c>
      <c r="W86" s="920" t="str">
        <f>IF(ISBLANK('Saisie données file act.'!W105), "", 'Saisie données file act.'!W105)</f>
        <v/>
      </c>
      <c r="X86" s="920" t="str">
        <f>IF(ISBLANK('Saisie données file act.'!X105), "", 'Saisie données file act.'!X105)</f>
        <v/>
      </c>
      <c r="Y86" s="920" t="str">
        <f>IF(ISBLANK('Saisie données file act.'!Y105), "", 'Saisie données file act.'!Y105)</f>
        <v/>
      </c>
      <c r="Z86" s="920" t="str">
        <f>IF(ISBLANK('Saisie données file act.'!Z105), "", 'Saisie données file act.'!Z105)</f>
        <v/>
      </c>
      <c r="AA86" s="920" t="str">
        <f>IF(ISBLANK('Saisie données file act.'!AA105), "", 'Saisie données file act.'!AA105)</f>
        <v/>
      </c>
      <c r="AB86" s="920" t="str">
        <f>IF(ISBLANK('Saisie données file act.'!AB105), "", 'Saisie données file act.'!AB105)</f>
        <v/>
      </c>
      <c r="AC86" s="920" t="str">
        <f>IF(ISBLANK('Saisie données file act.'!AC105), "", 'Saisie données file act.'!AC105)</f>
        <v/>
      </c>
      <c r="AD86" s="920" t="str">
        <f>IF(ISBLANK('Saisie données file act.'!AD105), "", 'Saisie données file act.'!AD105)</f>
        <v/>
      </c>
      <c r="AE86" s="920" t="str">
        <f>IF(ISBLANK('Saisie données file act.'!AE105), "", 'Saisie données file act.'!AE105)</f>
        <v/>
      </c>
      <c r="AF86" s="920" t="str">
        <f>IF(ISBLANK('Saisie données file act.'!AF105), "", 'Saisie données file act.'!AF105)</f>
        <v/>
      </c>
      <c r="AG86" s="920" t="str">
        <f>IF(ISBLANK('Saisie données file act.'!AG105), "", 'Saisie données file act.'!AG105)</f>
        <v/>
      </c>
      <c r="AH86" s="920" t="str">
        <f>IF(ISBLANK('Saisie données file act.'!AH105), "", 'Saisie données file act.'!AH105)</f>
        <v/>
      </c>
      <c r="AI86" s="920" t="str">
        <f>IF(ISBLANK('Saisie données file act.'!AI105), "", 'Saisie données file act.'!AI105)</f>
        <v>X</v>
      </c>
      <c r="AJ86" s="920" t="str">
        <f>IF(ISBLANK('Saisie données file act.'!AJ105), "", 'Saisie données file act.'!AJ105)</f>
        <v/>
      </c>
      <c r="AK86" s="920" t="str">
        <f>IF(ISBLANK('Saisie données file act.'!AK105), "", 'Saisie données file act.'!AK105)</f>
        <v/>
      </c>
      <c r="AL86" s="920" t="str">
        <f>IF(ISBLANK('Saisie données file act.'!AL105), "", 'Saisie données file act.'!AL105)</f>
        <v/>
      </c>
      <c r="AM86" s="920" t="str">
        <f>IF(ISBLANK('Saisie données file act.'!AM105), "", 'Saisie données file act.'!AM105)</f>
        <v/>
      </c>
      <c r="AN86" s="920" t="str">
        <f>IF(ISBLANK('Saisie données file act.'!AN105), "", 'Saisie données file act.'!AN105)</f>
        <v/>
      </c>
      <c r="AO86" s="920" t="str">
        <f>IF(ISBLANK('Saisie données file act.'!AO105), "", 'Saisie données file act.'!AO105)</f>
        <v/>
      </c>
      <c r="AP86" s="920" t="str">
        <f>IF(ISBLANK('Saisie données file act.'!AP105), "", 'Saisie données file act.'!AP105)</f>
        <v/>
      </c>
      <c r="AQ86" s="920" t="str">
        <f>IF(ISBLANK('Saisie données file act.'!AQ105), "", 'Saisie données file act.'!AQ105)</f>
        <v/>
      </c>
      <c r="AR86" s="920" t="str">
        <f>IF(ISBLANK('Saisie données file act.'!AR105), "", 'Saisie données file act.'!AR105)</f>
        <v/>
      </c>
      <c r="AS86" s="920" t="str">
        <f>IF(ISBLANK('Saisie données file act.'!AS105), "", 'Saisie données file act.'!AS105)</f>
        <v/>
      </c>
      <c r="AT86" s="920" t="str">
        <f>IF(ISBLANK('Saisie données file act.'!AT105), "", 'Saisie données file act.'!AT105)</f>
        <v/>
      </c>
      <c r="AU86" s="920" t="str">
        <f>IF(ISBLANK('Saisie données file act.'!AU105), "", 'Saisie données file act.'!AU105)</f>
        <v/>
      </c>
      <c r="AV86" s="1047">
        <f>'Saisie données file act.'!E195</f>
        <v>0</v>
      </c>
      <c r="AW86" s="901"/>
      <c r="AX86" s="1047">
        <f>'Saisie données file act.'!F351</f>
        <v>0</v>
      </c>
    </row>
    <row r="87" spans="3:50" s="895" customFormat="1" ht="14.25" thickBot="1" x14ac:dyDescent="0.3">
      <c r="C87" s="3258"/>
      <c r="D87" s="904" t="str">
        <f>'Saisie données file act.'!D106</f>
        <v>Patients recevant ATV+RTV</v>
      </c>
      <c r="E87" s="920" t="str">
        <f>IF(ISBLANK('Saisie données file act.'!E106), "", 'Saisie données file act.'!E106)</f>
        <v/>
      </c>
      <c r="F87" s="920" t="str">
        <f>IF(ISBLANK('Saisie données file act.'!F106), "", 'Saisie données file act.'!F106)</f>
        <v/>
      </c>
      <c r="G87" s="920" t="str">
        <f>IF(ISBLANK('Saisie données file act.'!G106), "", 'Saisie données file act.'!G106)</f>
        <v/>
      </c>
      <c r="H87" s="920" t="str">
        <f>IF(ISBLANK('Saisie données file act.'!H106), "", 'Saisie données file act.'!H106)</f>
        <v/>
      </c>
      <c r="I87" s="920" t="str">
        <f>IF(ISBLANK('Saisie données file act.'!I106), "", 'Saisie données file act.'!I106)</f>
        <v/>
      </c>
      <c r="J87" s="920" t="str">
        <f>IF(ISBLANK('Saisie données file act.'!J106), "", 'Saisie données file act.'!J106)</f>
        <v/>
      </c>
      <c r="K87" s="920" t="str">
        <f>IF(ISBLANK('Saisie données file act.'!K106), "", 'Saisie données file act.'!K106)</f>
        <v/>
      </c>
      <c r="L87" s="920" t="str">
        <f>IF(ISBLANK('Saisie données file act.'!L106), "", 'Saisie données file act.'!L106)</f>
        <v/>
      </c>
      <c r="M87" s="920" t="str">
        <f>IF(ISBLANK('Saisie données file act.'!M106), "", 'Saisie données file act.'!M106)</f>
        <v/>
      </c>
      <c r="N87" s="920" t="str">
        <f>IF(ISBLANK('Saisie données file act.'!N106), "", 'Saisie données file act.'!N106)</f>
        <v/>
      </c>
      <c r="O87" s="920" t="str">
        <f>IF(ISBLANK('Saisie données file act.'!O106), "", 'Saisie données file act.'!O106)</f>
        <v/>
      </c>
      <c r="P87" s="920" t="str">
        <f>IF(ISBLANK('Saisie données file act.'!P106), "", 'Saisie données file act.'!P106)</f>
        <v/>
      </c>
      <c r="Q87" s="920" t="str">
        <f>IF(ISBLANK('Saisie données file act.'!Q106), "", 'Saisie données file act.'!Q106)</f>
        <v/>
      </c>
      <c r="R87" s="920" t="str">
        <f>IF(ISBLANK('Saisie données file act.'!R106), "", 'Saisie données file act.'!R106)</f>
        <v/>
      </c>
      <c r="S87" s="920" t="str">
        <f>IF(ISBLANK('Saisie données file act.'!S106), "", 'Saisie données file act.'!S106)</f>
        <v/>
      </c>
      <c r="T87" s="920" t="str">
        <f>IF(ISBLANK('Saisie données file act.'!T106), "", 'Saisie données file act.'!T106)</f>
        <v/>
      </c>
      <c r="U87" s="920" t="str">
        <f>IF(ISBLANK('Saisie données file act.'!U106), "", 'Saisie données file act.'!U106)</f>
        <v/>
      </c>
      <c r="V87" s="920" t="str">
        <f>IF(ISBLANK('Saisie données file act.'!V106), "", 'Saisie données file act.'!V106)</f>
        <v/>
      </c>
      <c r="W87" s="920" t="str">
        <f>IF(ISBLANK('Saisie données file act.'!W106), "", 'Saisie données file act.'!W106)</f>
        <v/>
      </c>
      <c r="X87" s="920" t="str">
        <f>IF(ISBLANK('Saisie données file act.'!X106), "", 'Saisie données file act.'!X106)</f>
        <v/>
      </c>
      <c r="Y87" s="920" t="str">
        <f>IF(ISBLANK('Saisie données file act.'!Y106), "", 'Saisie données file act.'!Y106)</f>
        <v/>
      </c>
      <c r="Z87" s="920" t="str">
        <f>IF(ISBLANK('Saisie données file act.'!Z106), "", 'Saisie données file act.'!Z106)</f>
        <v/>
      </c>
      <c r="AA87" s="920" t="str">
        <f>IF(ISBLANK('Saisie données file act.'!AA106), "", 'Saisie données file act.'!AA106)</f>
        <v/>
      </c>
      <c r="AB87" s="920" t="str">
        <f>IF(ISBLANK('Saisie données file act.'!AB106), "", 'Saisie données file act.'!AB106)</f>
        <v/>
      </c>
      <c r="AC87" s="920" t="str">
        <f>IF(ISBLANK('Saisie données file act.'!AC106), "", 'Saisie données file act.'!AC106)</f>
        <v/>
      </c>
      <c r="AD87" s="920" t="str">
        <f>IF(ISBLANK('Saisie données file act.'!AD106), "", 'Saisie données file act.'!AD106)</f>
        <v/>
      </c>
      <c r="AE87" s="920" t="str">
        <f>IF(ISBLANK('Saisie données file act.'!AE106), "", 'Saisie données file act.'!AE106)</f>
        <v/>
      </c>
      <c r="AF87" s="920" t="str">
        <f>IF(ISBLANK('Saisie données file act.'!AF106), "", 'Saisie données file act.'!AF106)</f>
        <v/>
      </c>
      <c r="AG87" s="920" t="str">
        <f>IF(ISBLANK('Saisie données file act.'!AG106), "", 'Saisie données file act.'!AG106)</f>
        <v/>
      </c>
      <c r="AH87" s="920" t="str">
        <f>IF(ISBLANK('Saisie données file act.'!AH106), "", 'Saisie données file act.'!AH106)</f>
        <v/>
      </c>
      <c r="AI87" s="920" t="str">
        <f>IF(ISBLANK('Saisie données file act.'!AI106), "", 'Saisie données file act.'!AI106)</f>
        <v/>
      </c>
      <c r="AJ87" s="920" t="str">
        <f>IF(ISBLANK('Saisie données file act.'!AJ106), "", 'Saisie données file act.'!AJ106)</f>
        <v/>
      </c>
      <c r="AK87" s="920" t="str">
        <f>IF(ISBLANK('Saisie données file act.'!AK106), "", 'Saisie données file act.'!AK106)</f>
        <v/>
      </c>
      <c r="AL87" s="920" t="str">
        <f>IF(ISBLANK('Saisie données file act.'!AL106), "", 'Saisie données file act.'!AL106)</f>
        <v/>
      </c>
      <c r="AM87" s="920" t="str">
        <f>IF(ISBLANK('Saisie données file act.'!AM106), "", 'Saisie données file act.'!AM106)</f>
        <v>X</v>
      </c>
      <c r="AN87" s="920" t="str">
        <f>IF(ISBLANK('Saisie données file act.'!AN106), "", 'Saisie données file act.'!AN106)</f>
        <v/>
      </c>
      <c r="AO87" s="920" t="str">
        <f>IF(ISBLANK('Saisie données file act.'!AO106), "", 'Saisie données file act.'!AO106)</f>
        <v/>
      </c>
      <c r="AP87" s="920" t="str">
        <f>IF(ISBLANK('Saisie données file act.'!AP106), "", 'Saisie données file act.'!AP106)</f>
        <v/>
      </c>
      <c r="AQ87" s="920" t="str">
        <f>IF(ISBLANK('Saisie données file act.'!AQ106), "", 'Saisie données file act.'!AQ106)</f>
        <v/>
      </c>
      <c r="AR87" s="920" t="str">
        <f>IF(ISBLANK('Saisie données file act.'!AR106), "", 'Saisie données file act.'!AR106)</f>
        <v/>
      </c>
      <c r="AS87" s="920" t="str">
        <f>IF(ISBLANK('Saisie données file act.'!AS106), "", 'Saisie données file act.'!AS106)</f>
        <v/>
      </c>
      <c r="AT87" s="920" t="str">
        <f>IF(ISBLANK('Saisie données file act.'!AT106), "", 'Saisie données file act.'!AT106)</f>
        <v/>
      </c>
      <c r="AU87" s="920" t="str">
        <f>IF(ISBLANK('Saisie données file act.'!AU106), "", 'Saisie données file act.'!AU106)</f>
        <v/>
      </c>
      <c r="AV87" s="1046">
        <f>'Saisie données file act.'!E196</f>
        <v>0</v>
      </c>
      <c r="AW87" s="917"/>
      <c r="AX87" s="1046">
        <f>'Saisie données file act.'!F352</f>
        <v>0</v>
      </c>
    </row>
    <row r="88" spans="3:50" s="895" customFormat="1" ht="14.25" thickBot="1" x14ac:dyDescent="0.3">
      <c r="C88" s="3258"/>
      <c r="D88" s="904" t="str">
        <f>'Saisie données file act.'!D107</f>
        <v>Patients recevant FPV+RTV</v>
      </c>
      <c r="E88" s="920" t="str">
        <f>IF(ISBLANK('Saisie données file act.'!E107), "", 'Saisie données file act.'!E107)</f>
        <v/>
      </c>
      <c r="F88" s="920" t="str">
        <f>IF(ISBLANK('Saisie données file act.'!F107), "", 'Saisie données file act.'!F107)</f>
        <v/>
      </c>
      <c r="G88" s="920" t="str">
        <f>IF(ISBLANK('Saisie données file act.'!G107), "", 'Saisie données file act.'!G107)</f>
        <v/>
      </c>
      <c r="H88" s="920" t="str">
        <f>IF(ISBLANK('Saisie données file act.'!H107), "", 'Saisie données file act.'!H107)</f>
        <v/>
      </c>
      <c r="I88" s="920" t="str">
        <f>IF(ISBLANK('Saisie données file act.'!I107), "", 'Saisie données file act.'!I107)</f>
        <v/>
      </c>
      <c r="J88" s="920" t="str">
        <f>IF(ISBLANK('Saisie données file act.'!J107), "", 'Saisie données file act.'!J107)</f>
        <v/>
      </c>
      <c r="K88" s="920" t="str">
        <f>IF(ISBLANK('Saisie données file act.'!K107), "", 'Saisie données file act.'!K107)</f>
        <v/>
      </c>
      <c r="L88" s="920" t="str">
        <f>IF(ISBLANK('Saisie données file act.'!L107), "", 'Saisie données file act.'!L107)</f>
        <v/>
      </c>
      <c r="M88" s="920" t="str">
        <f>IF(ISBLANK('Saisie données file act.'!M107), "", 'Saisie données file act.'!M107)</f>
        <v/>
      </c>
      <c r="N88" s="920" t="str">
        <f>IF(ISBLANK('Saisie données file act.'!N107), "", 'Saisie données file act.'!N107)</f>
        <v/>
      </c>
      <c r="O88" s="920" t="str">
        <f>IF(ISBLANK('Saisie données file act.'!O107), "", 'Saisie données file act.'!O107)</f>
        <v/>
      </c>
      <c r="P88" s="920" t="str">
        <f>IF(ISBLANK('Saisie données file act.'!P107), "", 'Saisie données file act.'!P107)</f>
        <v/>
      </c>
      <c r="Q88" s="920" t="str">
        <f>IF(ISBLANK('Saisie données file act.'!Q107), "", 'Saisie données file act.'!Q107)</f>
        <v/>
      </c>
      <c r="R88" s="920" t="str">
        <f>IF(ISBLANK('Saisie données file act.'!R107), "", 'Saisie données file act.'!R107)</f>
        <v/>
      </c>
      <c r="S88" s="920" t="str">
        <f>IF(ISBLANK('Saisie données file act.'!S107), "", 'Saisie données file act.'!S107)</f>
        <v/>
      </c>
      <c r="T88" s="920" t="str">
        <f>IF(ISBLANK('Saisie données file act.'!T107), "", 'Saisie données file act.'!T107)</f>
        <v/>
      </c>
      <c r="U88" s="920" t="str">
        <f>IF(ISBLANK('Saisie données file act.'!U107), "", 'Saisie données file act.'!U107)</f>
        <v/>
      </c>
      <c r="V88" s="920" t="str">
        <f>IF(ISBLANK('Saisie données file act.'!V107), "", 'Saisie données file act.'!V107)</f>
        <v/>
      </c>
      <c r="W88" s="920" t="str">
        <f>IF(ISBLANK('Saisie données file act.'!W107), "", 'Saisie données file act.'!W107)</f>
        <v/>
      </c>
      <c r="X88" s="920" t="str">
        <f>IF(ISBLANK('Saisie données file act.'!X107), "", 'Saisie données file act.'!X107)</f>
        <v/>
      </c>
      <c r="Y88" s="920" t="str">
        <f>IF(ISBLANK('Saisie données file act.'!Y107), "", 'Saisie données file act.'!Y107)</f>
        <v/>
      </c>
      <c r="Z88" s="920" t="str">
        <f>IF(ISBLANK('Saisie données file act.'!Z107), "", 'Saisie données file act.'!Z107)</f>
        <v/>
      </c>
      <c r="AA88" s="920" t="str">
        <f>IF(ISBLANK('Saisie données file act.'!AA107), "", 'Saisie données file act.'!AA107)</f>
        <v/>
      </c>
      <c r="AB88" s="920" t="str">
        <f>IF(ISBLANK('Saisie données file act.'!AB107), "", 'Saisie données file act.'!AB107)</f>
        <v/>
      </c>
      <c r="AC88" s="920" t="str">
        <f>IF(ISBLANK('Saisie données file act.'!AC107), "", 'Saisie données file act.'!AC107)</f>
        <v/>
      </c>
      <c r="AD88" s="920" t="str">
        <f>IF(ISBLANK('Saisie données file act.'!AD107), "", 'Saisie données file act.'!AD107)</f>
        <v/>
      </c>
      <c r="AE88" s="920" t="str">
        <f>IF(ISBLANK('Saisie données file act.'!AE107), "", 'Saisie données file act.'!AE107)</f>
        <v/>
      </c>
      <c r="AF88" s="920" t="str">
        <f>IF(ISBLANK('Saisie données file act.'!AF107), "", 'Saisie données file act.'!AF107)</f>
        <v/>
      </c>
      <c r="AG88" s="920" t="str">
        <f>IF(ISBLANK('Saisie données file act.'!AG107), "", 'Saisie données file act.'!AG107)</f>
        <v/>
      </c>
      <c r="AH88" s="920" t="str">
        <f>IF(ISBLANK('Saisie données file act.'!AH107), "", 'Saisie données file act.'!AH107)</f>
        <v/>
      </c>
      <c r="AI88" s="920" t="str">
        <f>IF(ISBLANK('Saisie données file act.'!AI107), "", 'Saisie données file act.'!AI107)</f>
        <v/>
      </c>
      <c r="AJ88" s="920" t="str">
        <f>IF(ISBLANK('Saisie données file act.'!AJ107), "", 'Saisie données file act.'!AJ107)</f>
        <v/>
      </c>
      <c r="AK88" s="920" t="str">
        <f>IF(ISBLANK('Saisie données file act.'!AK107), "", 'Saisie données file act.'!AK107)</f>
        <v/>
      </c>
      <c r="AL88" s="920" t="str">
        <f>IF(ISBLANK('Saisie données file act.'!AL107), "", 'Saisie données file act.'!AL107)</f>
        <v/>
      </c>
      <c r="AM88" s="920" t="str">
        <f>IF(ISBLANK('Saisie données file act.'!AM107), "", 'Saisie données file act.'!AM107)</f>
        <v/>
      </c>
      <c r="AN88" s="920" t="str">
        <f>IF(ISBLANK('Saisie données file act.'!AN107), "", 'Saisie données file act.'!AN107)</f>
        <v>X</v>
      </c>
      <c r="AO88" s="920" t="str">
        <f>IF(ISBLANK('Saisie données file act.'!AO107), "", 'Saisie données file act.'!AO107)</f>
        <v/>
      </c>
      <c r="AP88" s="920" t="str">
        <f>IF(ISBLANK('Saisie données file act.'!AP107), "", 'Saisie données file act.'!AP107)</f>
        <v/>
      </c>
      <c r="AQ88" s="920" t="str">
        <f>IF(ISBLANK('Saisie données file act.'!AQ107), "", 'Saisie données file act.'!AQ107)</f>
        <v/>
      </c>
      <c r="AR88" s="920" t="str">
        <f>IF(ISBLANK('Saisie données file act.'!AR107), "", 'Saisie données file act.'!AR107)</f>
        <v/>
      </c>
      <c r="AS88" s="920" t="str">
        <f>IF(ISBLANK('Saisie données file act.'!AS107), "", 'Saisie données file act.'!AS107)</f>
        <v/>
      </c>
      <c r="AT88" s="920" t="str">
        <f>IF(ISBLANK('Saisie données file act.'!AT107), "", 'Saisie données file act.'!AT107)</f>
        <v>X</v>
      </c>
      <c r="AU88" s="920" t="str">
        <f>IF(ISBLANK('Saisie données file act.'!AU107), "", 'Saisie données file act.'!AU107)</f>
        <v/>
      </c>
      <c r="AV88" s="1046">
        <f>'Saisie données file act.'!E197</f>
        <v>0</v>
      </c>
      <c r="AW88" s="917"/>
      <c r="AX88" s="1046">
        <f>'Saisie données file act.'!F353</f>
        <v>0</v>
      </c>
    </row>
    <row r="89" spans="3:50" s="895" customFormat="1" ht="14.25" thickBot="1" x14ac:dyDescent="0.3">
      <c r="C89" s="3258"/>
      <c r="D89" s="905" t="str">
        <f>'Saisie données file act.'!D108</f>
        <v>Patients recevant DRV+RTV</v>
      </c>
      <c r="E89" s="920" t="str">
        <f>IF(ISBLANK('Saisie données file act.'!E108), "", 'Saisie données file act.'!E108)</f>
        <v/>
      </c>
      <c r="F89" s="920" t="str">
        <f>IF(ISBLANK('Saisie données file act.'!F108), "", 'Saisie données file act.'!F108)</f>
        <v/>
      </c>
      <c r="G89" s="920" t="str">
        <f>IF(ISBLANK('Saisie données file act.'!G108), "", 'Saisie données file act.'!G108)</f>
        <v/>
      </c>
      <c r="H89" s="920" t="str">
        <f>IF(ISBLANK('Saisie données file act.'!H108), "", 'Saisie données file act.'!H108)</f>
        <v/>
      </c>
      <c r="I89" s="920" t="str">
        <f>IF(ISBLANK('Saisie données file act.'!I108), "", 'Saisie données file act.'!I108)</f>
        <v/>
      </c>
      <c r="J89" s="920" t="str">
        <f>IF(ISBLANK('Saisie données file act.'!J108), "", 'Saisie données file act.'!J108)</f>
        <v/>
      </c>
      <c r="K89" s="920" t="str">
        <f>IF(ISBLANK('Saisie données file act.'!K108), "", 'Saisie données file act.'!K108)</f>
        <v/>
      </c>
      <c r="L89" s="920" t="str">
        <f>IF(ISBLANK('Saisie données file act.'!L108), "", 'Saisie données file act.'!L108)</f>
        <v/>
      </c>
      <c r="M89" s="920" t="str">
        <f>IF(ISBLANK('Saisie données file act.'!M108), "", 'Saisie données file act.'!M108)</f>
        <v/>
      </c>
      <c r="N89" s="920" t="str">
        <f>IF(ISBLANK('Saisie données file act.'!N108), "", 'Saisie données file act.'!N108)</f>
        <v/>
      </c>
      <c r="O89" s="920" t="str">
        <f>IF(ISBLANK('Saisie données file act.'!O108), "", 'Saisie données file act.'!O108)</f>
        <v/>
      </c>
      <c r="P89" s="920" t="str">
        <f>IF(ISBLANK('Saisie données file act.'!P108), "", 'Saisie données file act.'!P108)</f>
        <v/>
      </c>
      <c r="Q89" s="920" t="str">
        <f>IF(ISBLANK('Saisie données file act.'!Q108), "", 'Saisie données file act.'!Q108)</f>
        <v/>
      </c>
      <c r="R89" s="920" t="str">
        <f>IF(ISBLANK('Saisie données file act.'!R108), "", 'Saisie données file act.'!R108)</f>
        <v/>
      </c>
      <c r="S89" s="920" t="str">
        <f>IF(ISBLANK('Saisie données file act.'!S108), "", 'Saisie données file act.'!S108)</f>
        <v/>
      </c>
      <c r="T89" s="920" t="str">
        <f>IF(ISBLANK('Saisie données file act.'!T108), "", 'Saisie données file act.'!T108)</f>
        <v/>
      </c>
      <c r="U89" s="920" t="str">
        <f>IF(ISBLANK('Saisie données file act.'!U108), "", 'Saisie données file act.'!U108)</f>
        <v/>
      </c>
      <c r="V89" s="920" t="str">
        <f>IF(ISBLANK('Saisie données file act.'!V108), "", 'Saisie données file act.'!V108)</f>
        <v/>
      </c>
      <c r="W89" s="920" t="str">
        <f>IF(ISBLANK('Saisie données file act.'!W108), "", 'Saisie données file act.'!W108)</f>
        <v/>
      </c>
      <c r="X89" s="920" t="str">
        <f>IF(ISBLANK('Saisie données file act.'!X108), "", 'Saisie données file act.'!X108)</f>
        <v/>
      </c>
      <c r="Y89" s="920" t="str">
        <f>IF(ISBLANK('Saisie données file act.'!Y108), "", 'Saisie données file act.'!Y108)</f>
        <v/>
      </c>
      <c r="Z89" s="920" t="str">
        <f>IF(ISBLANK('Saisie données file act.'!Z108), "", 'Saisie données file act.'!Z108)</f>
        <v/>
      </c>
      <c r="AA89" s="920" t="str">
        <f>IF(ISBLANK('Saisie données file act.'!AA108), "", 'Saisie données file act.'!AA108)</f>
        <v/>
      </c>
      <c r="AB89" s="920" t="str">
        <f>IF(ISBLANK('Saisie données file act.'!AB108), "", 'Saisie données file act.'!AB108)</f>
        <v/>
      </c>
      <c r="AC89" s="920" t="str">
        <f>IF(ISBLANK('Saisie données file act.'!AC108), "", 'Saisie données file act.'!AC108)</f>
        <v/>
      </c>
      <c r="AD89" s="920" t="str">
        <f>IF(ISBLANK('Saisie données file act.'!AD108), "", 'Saisie données file act.'!AD108)</f>
        <v/>
      </c>
      <c r="AE89" s="920" t="str">
        <f>IF(ISBLANK('Saisie données file act.'!AE108), "", 'Saisie données file act.'!AE108)</f>
        <v/>
      </c>
      <c r="AF89" s="920" t="str">
        <f>IF(ISBLANK('Saisie données file act.'!AF108), "", 'Saisie données file act.'!AF108)</f>
        <v/>
      </c>
      <c r="AG89" s="920" t="str">
        <f>IF(ISBLANK('Saisie données file act.'!AG108), "", 'Saisie données file act.'!AG108)</f>
        <v/>
      </c>
      <c r="AH89" s="920" t="str">
        <f>IF(ISBLANK('Saisie données file act.'!AH108), "", 'Saisie données file act.'!AH108)</f>
        <v/>
      </c>
      <c r="AI89" s="920" t="str">
        <f>IF(ISBLANK('Saisie données file act.'!AI108), "", 'Saisie données file act.'!AI108)</f>
        <v/>
      </c>
      <c r="AJ89" s="920" t="str">
        <f>IF(ISBLANK('Saisie données file act.'!AJ108), "", 'Saisie données file act.'!AJ108)</f>
        <v/>
      </c>
      <c r="AK89" s="920" t="str">
        <f>IF(ISBLANK('Saisie données file act.'!AK108), "", 'Saisie données file act.'!AK108)</f>
        <v/>
      </c>
      <c r="AL89" s="920" t="str">
        <f>IF(ISBLANK('Saisie données file act.'!AL108), "", 'Saisie données file act.'!AL108)</f>
        <v/>
      </c>
      <c r="AM89" s="920" t="str">
        <f>IF(ISBLANK('Saisie données file act.'!AM108), "", 'Saisie données file act.'!AM108)</f>
        <v/>
      </c>
      <c r="AN89" s="920" t="str">
        <f>IF(ISBLANK('Saisie données file act.'!AN108), "", 'Saisie données file act.'!AN108)</f>
        <v/>
      </c>
      <c r="AO89" s="920" t="str">
        <f>IF(ISBLANK('Saisie données file act.'!AO108), "", 'Saisie données file act.'!AO108)</f>
        <v/>
      </c>
      <c r="AP89" s="920" t="str">
        <f>IF(ISBLANK('Saisie données file act.'!AP108), "", 'Saisie données file act.'!AP108)</f>
        <v/>
      </c>
      <c r="AQ89" s="920" t="str">
        <f>IF(ISBLANK('Saisie données file act.'!AQ108), "", 'Saisie données file act.'!AQ108)</f>
        <v>X</v>
      </c>
      <c r="AR89" s="920" t="str">
        <f>IF(ISBLANK('Saisie données file act.'!AR108), "", 'Saisie données file act.'!AR108)</f>
        <v/>
      </c>
      <c r="AS89" s="920" t="str">
        <f>IF(ISBLANK('Saisie données file act.'!AS108), "", 'Saisie données file act.'!AS108)</f>
        <v/>
      </c>
      <c r="AT89" s="920" t="str">
        <f>IF(ISBLANK('Saisie données file act.'!AT108), "", 'Saisie données file act.'!AT108)</f>
        <v>X</v>
      </c>
      <c r="AU89" s="920" t="str">
        <f>IF(ISBLANK('Saisie données file act.'!AU108), "", 'Saisie données file act.'!AU108)</f>
        <v/>
      </c>
      <c r="AV89" s="1047">
        <f>'Saisie données file act.'!E198</f>
        <v>0</v>
      </c>
      <c r="AW89" s="901"/>
      <c r="AX89" s="1047">
        <f>'Saisie données file act.'!F354</f>
        <v>0</v>
      </c>
    </row>
    <row r="90" spans="3:50" s="895" customFormat="1" ht="14.25" thickBot="1" x14ac:dyDescent="0.3">
      <c r="C90" s="3258"/>
      <c r="D90" s="905" t="str">
        <f>'Saisie données file act.'!D109</f>
        <v>Patients recevant ETV</v>
      </c>
      <c r="E90" s="920" t="str">
        <f>IF(ISBLANK('Saisie données file act.'!E109), "", 'Saisie données file act.'!E109)</f>
        <v/>
      </c>
      <c r="F90" s="920" t="str">
        <f>IF(ISBLANK('Saisie données file act.'!F109), "", 'Saisie données file act.'!F109)</f>
        <v/>
      </c>
      <c r="G90" s="920" t="str">
        <f>IF(ISBLANK('Saisie données file act.'!G109), "", 'Saisie données file act.'!G109)</f>
        <v/>
      </c>
      <c r="H90" s="920" t="str">
        <f>IF(ISBLANK('Saisie données file act.'!H109), "", 'Saisie données file act.'!H109)</f>
        <v/>
      </c>
      <c r="I90" s="920" t="str">
        <f>IF(ISBLANK('Saisie données file act.'!I109), "", 'Saisie données file act.'!I109)</f>
        <v/>
      </c>
      <c r="J90" s="920" t="str">
        <f>IF(ISBLANK('Saisie données file act.'!J109), "", 'Saisie données file act.'!J109)</f>
        <v/>
      </c>
      <c r="K90" s="920" t="str">
        <f>IF(ISBLANK('Saisie données file act.'!K109), "", 'Saisie données file act.'!K109)</f>
        <v/>
      </c>
      <c r="L90" s="920" t="str">
        <f>IF(ISBLANK('Saisie données file act.'!L109), "", 'Saisie données file act.'!L109)</f>
        <v/>
      </c>
      <c r="M90" s="920" t="str">
        <f>IF(ISBLANK('Saisie données file act.'!M109), "", 'Saisie données file act.'!M109)</f>
        <v/>
      </c>
      <c r="N90" s="920" t="str">
        <f>IF(ISBLANK('Saisie données file act.'!N109), "", 'Saisie données file act.'!N109)</f>
        <v/>
      </c>
      <c r="O90" s="920" t="str">
        <f>IF(ISBLANK('Saisie données file act.'!O109), "", 'Saisie données file act.'!O109)</f>
        <v/>
      </c>
      <c r="P90" s="920" t="str">
        <f>IF(ISBLANK('Saisie données file act.'!P109), "", 'Saisie données file act.'!P109)</f>
        <v/>
      </c>
      <c r="Q90" s="920" t="str">
        <f>IF(ISBLANK('Saisie données file act.'!Q109), "", 'Saisie données file act.'!Q109)</f>
        <v/>
      </c>
      <c r="R90" s="920" t="str">
        <f>IF(ISBLANK('Saisie données file act.'!R109), "", 'Saisie données file act.'!R109)</f>
        <v/>
      </c>
      <c r="S90" s="920" t="str">
        <f>IF(ISBLANK('Saisie données file act.'!S109), "", 'Saisie données file act.'!S109)</f>
        <v/>
      </c>
      <c r="T90" s="920" t="str">
        <f>IF(ISBLANK('Saisie données file act.'!T109), "", 'Saisie données file act.'!T109)</f>
        <v/>
      </c>
      <c r="U90" s="920" t="str">
        <f>IF(ISBLANK('Saisie données file act.'!U109), "", 'Saisie données file act.'!U109)</f>
        <v/>
      </c>
      <c r="V90" s="920" t="str">
        <f>IF(ISBLANK('Saisie données file act.'!V109), "", 'Saisie données file act.'!V109)</f>
        <v/>
      </c>
      <c r="W90" s="920" t="str">
        <f>IF(ISBLANK('Saisie données file act.'!W109), "", 'Saisie données file act.'!W109)</f>
        <v>X</v>
      </c>
      <c r="X90" s="920" t="str">
        <f>IF(ISBLANK('Saisie données file act.'!X109), "", 'Saisie données file act.'!X109)</f>
        <v/>
      </c>
      <c r="Y90" s="920" t="str">
        <f>IF(ISBLANK('Saisie données file act.'!Y109), "", 'Saisie données file act.'!Y109)</f>
        <v/>
      </c>
      <c r="Z90" s="920" t="str">
        <f>IF(ISBLANK('Saisie données file act.'!Z109), "", 'Saisie données file act.'!Z109)</f>
        <v/>
      </c>
      <c r="AA90" s="920" t="str">
        <f>IF(ISBLANK('Saisie données file act.'!AA109), "", 'Saisie données file act.'!AA109)</f>
        <v/>
      </c>
      <c r="AB90" s="920" t="str">
        <f>IF(ISBLANK('Saisie données file act.'!AB109), "", 'Saisie données file act.'!AB109)</f>
        <v/>
      </c>
      <c r="AC90" s="920" t="str">
        <f>IF(ISBLANK('Saisie données file act.'!AC109), "", 'Saisie données file act.'!AC109)</f>
        <v/>
      </c>
      <c r="AD90" s="920" t="str">
        <f>IF(ISBLANK('Saisie données file act.'!AD109), "", 'Saisie données file act.'!AD109)</f>
        <v/>
      </c>
      <c r="AE90" s="920" t="str">
        <f>IF(ISBLANK('Saisie données file act.'!AE109), "", 'Saisie données file act.'!AE109)</f>
        <v/>
      </c>
      <c r="AF90" s="920" t="str">
        <f>IF(ISBLANK('Saisie données file act.'!AF109), "", 'Saisie données file act.'!AF109)</f>
        <v/>
      </c>
      <c r="AG90" s="920" t="str">
        <f>IF(ISBLANK('Saisie données file act.'!AG109), "", 'Saisie données file act.'!AG109)</f>
        <v/>
      </c>
      <c r="AH90" s="920" t="str">
        <f>IF(ISBLANK('Saisie données file act.'!AH109), "", 'Saisie données file act.'!AH109)</f>
        <v/>
      </c>
      <c r="AI90" s="920" t="str">
        <f>IF(ISBLANK('Saisie données file act.'!AI109), "", 'Saisie données file act.'!AI109)</f>
        <v/>
      </c>
      <c r="AJ90" s="920" t="str">
        <f>IF(ISBLANK('Saisie données file act.'!AJ109), "", 'Saisie données file act.'!AJ109)</f>
        <v/>
      </c>
      <c r="AK90" s="920" t="str">
        <f>IF(ISBLANK('Saisie données file act.'!AK109), "", 'Saisie données file act.'!AK109)</f>
        <v/>
      </c>
      <c r="AL90" s="920" t="str">
        <f>IF(ISBLANK('Saisie données file act.'!AL109), "", 'Saisie données file act.'!AL109)</f>
        <v/>
      </c>
      <c r="AM90" s="920" t="str">
        <f>IF(ISBLANK('Saisie données file act.'!AM109), "", 'Saisie données file act.'!AM109)</f>
        <v/>
      </c>
      <c r="AN90" s="920" t="str">
        <f>IF(ISBLANK('Saisie données file act.'!AN109), "", 'Saisie données file act.'!AN109)</f>
        <v/>
      </c>
      <c r="AO90" s="920" t="str">
        <f>IF(ISBLANK('Saisie données file act.'!AO109), "", 'Saisie données file act.'!AO109)</f>
        <v/>
      </c>
      <c r="AP90" s="920" t="str">
        <f>IF(ISBLANK('Saisie données file act.'!AP109), "", 'Saisie données file act.'!AP109)</f>
        <v/>
      </c>
      <c r="AQ90" s="920" t="str">
        <f>IF(ISBLANK('Saisie données file act.'!AQ109), "", 'Saisie données file act.'!AQ109)</f>
        <v/>
      </c>
      <c r="AR90" s="920" t="str">
        <f>IF(ISBLANK('Saisie données file act.'!AR109), "", 'Saisie données file act.'!AR109)</f>
        <v/>
      </c>
      <c r="AS90" s="920" t="str">
        <f>IF(ISBLANK('Saisie données file act.'!AS109), "", 'Saisie données file act.'!AS109)</f>
        <v/>
      </c>
      <c r="AT90" s="920" t="str">
        <f>IF(ISBLANK('Saisie données file act.'!AT109), "", 'Saisie données file act.'!AT109)</f>
        <v/>
      </c>
      <c r="AU90" s="920" t="str">
        <f>IF(ISBLANK('Saisie données file act.'!AU109), "", 'Saisie données file act.'!AU109)</f>
        <v/>
      </c>
      <c r="AV90" s="1048">
        <f>'Saisie données file act.'!E199</f>
        <v>0</v>
      </c>
      <c r="AW90" s="910"/>
      <c r="AX90" s="1048">
        <f>'Saisie données file act.'!F355</f>
        <v>0</v>
      </c>
    </row>
    <row r="91" spans="3:50" s="895" customFormat="1" ht="14.25" thickBot="1" x14ac:dyDescent="0.3">
      <c r="C91" s="3258"/>
      <c r="D91" s="1711" t="str">
        <f>'Saisie données file act.'!D110</f>
        <v>Patients recevant RPV</v>
      </c>
      <c r="E91" s="920" t="str">
        <f>IF(ISBLANK('Saisie données file act.'!E110), "", 'Saisie données file act.'!E110)</f>
        <v/>
      </c>
      <c r="F91" s="920" t="str">
        <f>IF(ISBLANK('Saisie données file act.'!F110), "", 'Saisie données file act.'!F110)</f>
        <v/>
      </c>
      <c r="G91" s="920" t="str">
        <f>IF(ISBLANK('Saisie données file act.'!G110), "", 'Saisie données file act.'!G110)</f>
        <v/>
      </c>
      <c r="H91" s="920" t="str">
        <f>IF(ISBLANK('Saisie données file act.'!H110), "", 'Saisie données file act.'!H110)</f>
        <v/>
      </c>
      <c r="I91" s="920" t="str">
        <f>IF(ISBLANK('Saisie données file act.'!I110), "", 'Saisie données file act.'!I110)</f>
        <v/>
      </c>
      <c r="J91" s="920" t="str">
        <f>IF(ISBLANK('Saisie données file act.'!J110), "", 'Saisie données file act.'!J110)</f>
        <v/>
      </c>
      <c r="K91" s="920" t="str">
        <f>IF(ISBLANK('Saisie données file act.'!K110), "", 'Saisie données file act.'!K110)</f>
        <v/>
      </c>
      <c r="L91" s="920" t="str">
        <f>IF(ISBLANK('Saisie données file act.'!L110), "", 'Saisie données file act.'!L110)</f>
        <v/>
      </c>
      <c r="M91" s="920" t="str">
        <f>IF(ISBLANK('Saisie données file act.'!M110), "", 'Saisie données file act.'!M110)</f>
        <v/>
      </c>
      <c r="N91" s="920" t="str">
        <f>IF(ISBLANK('Saisie données file act.'!N110), "", 'Saisie données file act.'!N110)</f>
        <v/>
      </c>
      <c r="O91" s="920" t="str">
        <f>IF(ISBLANK('Saisie données file act.'!O110), "", 'Saisie données file act.'!O110)</f>
        <v/>
      </c>
      <c r="P91" s="920" t="str">
        <f>IF(ISBLANK('Saisie données file act.'!P110), "", 'Saisie données file act.'!P110)</f>
        <v/>
      </c>
      <c r="Q91" s="920" t="str">
        <f>IF(ISBLANK('Saisie données file act.'!Q110), "", 'Saisie données file act.'!Q110)</f>
        <v/>
      </c>
      <c r="R91" s="920" t="str">
        <f>IF(ISBLANK('Saisie données file act.'!R110), "", 'Saisie données file act.'!R110)</f>
        <v/>
      </c>
      <c r="S91" s="920" t="str">
        <f>IF(ISBLANK('Saisie données file act.'!S110), "", 'Saisie données file act.'!S110)</f>
        <v/>
      </c>
      <c r="T91" s="920" t="str">
        <f>IF(ISBLANK('Saisie données file act.'!T110), "", 'Saisie données file act.'!T110)</f>
        <v/>
      </c>
      <c r="U91" s="920" t="str">
        <f>IF(ISBLANK('Saisie données file act.'!U110), "", 'Saisie données file act.'!U110)</f>
        <v/>
      </c>
      <c r="V91" s="920" t="str">
        <f>IF(ISBLANK('Saisie données file act.'!V110), "", 'Saisie données file act.'!V110)</f>
        <v/>
      </c>
      <c r="W91" s="920" t="str">
        <f>IF(ISBLANK('Saisie données file act.'!W110), "", 'Saisie données file act.'!W110)</f>
        <v/>
      </c>
      <c r="X91" s="920" t="str">
        <f>IF(ISBLANK('Saisie données file act.'!X110), "", 'Saisie données file act.'!X110)</f>
        <v/>
      </c>
      <c r="Y91" s="920" t="str">
        <f>IF(ISBLANK('Saisie données file act.'!Y110), "", 'Saisie données file act.'!Y110)</f>
        <v>X</v>
      </c>
      <c r="Z91" s="920" t="str">
        <f>IF(ISBLANK('Saisie données file act.'!Z110), "", 'Saisie données file act.'!Z110)</f>
        <v/>
      </c>
      <c r="AA91" s="920" t="str">
        <f>IF(ISBLANK('Saisie données file act.'!AA110), "", 'Saisie données file act.'!AA110)</f>
        <v/>
      </c>
      <c r="AB91" s="920" t="str">
        <f>IF(ISBLANK('Saisie données file act.'!AB110), "", 'Saisie données file act.'!AB110)</f>
        <v/>
      </c>
      <c r="AC91" s="920" t="str">
        <f>IF(ISBLANK('Saisie données file act.'!AC110), "", 'Saisie données file act.'!AC110)</f>
        <v/>
      </c>
      <c r="AD91" s="920" t="str">
        <f>IF(ISBLANK('Saisie données file act.'!AD110), "", 'Saisie données file act.'!AD110)</f>
        <v/>
      </c>
      <c r="AE91" s="920" t="str">
        <f>IF(ISBLANK('Saisie données file act.'!AE110), "", 'Saisie données file act.'!AE110)</f>
        <v/>
      </c>
      <c r="AF91" s="920" t="str">
        <f>IF(ISBLANK('Saisie données file act.'!AF110), "", 'Saisie données file act.'!AF110)</f>
        <v/>
      </c>
      <c r="AG91" s="920" t="str">
        <f>IF(ISBLANK('Saisie données file act.'!AG110), "", 'Saisie données file act.'!AG110)</f>
        <v/>
      </c>
      <c r="AH91" s="920" t="str">
        <f>IF(ISBLANK('Saisie données file act.'!AH110), "", 'Saisie données file act.'!AH110)</f>
        <v/>
      </c>
      <c r="AI91" s="920" t="str">
        <f>IF(ISBLANK('Saisie données file act.'!AI110), "", 'Saisie données file act.'!AI110)</f>
        <v/>
      </c>
      <c r="AJ91" s="920" t="str">
        <f>IF(ISBLANK('Saisie données file act.'!AJ110), "", 'Saisie données file act.'!AJ110)</f>
        <v/>
      </c>
      <c r="AK91" s="920" t="str">
        <f>IF(ISBLANK('Saisie données file act.'!AK110), "", 'Saisie données file act.'!AK110)</f>
        <v/>
      </c>
      <c r="AL91" s="920" t="str">
        <f>IF(ISBLANK('Saisie données file act.'!AL110), "", 'Saisie données file act.'!AL110)</f>
        <v/>
      </c>
      <c r="AM91" s="920" t="str">
        <f>IF(ISBLANK('Saisie données file act.'!AM110), "", 'Saisie données file act.'!AM110)</f>
        <v/>
      </c>
      <c r="AN91" s="920" t="str">
        <f>IF(ISBLANK('Saisie données file act.'!AN110), "", 'Saisie données file act.'!AN110)</f>
        <v/>
      </c>
      <c r="AO91" s="920" t="str">
        <f>IF(ISBLANK('Saisie données file act.'!AO110), "", 'Saisie données file act.'!AO110)</f>
        <v/>
      </c>
      <c r="AP91" s="920" t="str">
        <f>IF(ISBLANK('Saisie données file act.'!AP110), "", 'Saisie données file act.'!AP110)</f>
        <v/>
      </c>
      <c r="AQ91" s="920" t="str">
        <f>IF(ISBLANK('Saisie données file act.'!AQ110), "", 'Saisie données file act.'!AQ110)</f>
        <v/>
      </c>
      <c r="AR91" s="920" t="str">
        <f>IF(ISBLANK('Saisie données file act.'!AR110), "", 'Saisie données file act.'!AR110)</f>
        <v/>
      </c>
      <c r="AS91" s="920" t="str">
        <f>IF(ISBLANK('Saisie données file act.'!AS110), "", 'Saisie données file act.'!AS110)</f>
        <v/>
      </c>
      <c r="AT91" s="920" t="str">
        <f>IF(ISBLANK('Saisie données file act.'!AT110), "", 'Saisie données file act.'!AT110)</f>
        <v/>
      </c>
      <c r="AU91" s="920" t="str">
        <f>IF(ISBLANK('Saisie données file act.'!AU110), "", 'Saisie données file act.'!AU110)</f>
        <v/>
      </c>
      <c r="AV91" s="1048">
        <f>'Saisie données file act.'!E200</f>
        <v>0</v>
      </c>
      <c r="AW91" s="910"/>
      <c r="AX91" s="1048">
        <f>'Saisie données file act.'!F356</f>
        <v>0</v>
      </c>
    </row>
    <row r="92" spans="3:50" s="895" customFormat="1" ht="14.25" thickBot="1" x14ac:dyDescent="0.3">
      <c r="C92" s="3259"/>
      <c r="D92" s="924" t="str">
        <f>'Saisie données file act.'!D111</f>
        <v>Patients recevant RLT</v>
      </c>
      <c r="E92" s="920" t="str">
        <f>IF(ISBLANK('Saisie données file act.'!E111), "", 'Saisie données file act.'!E111)</f>
        <v/>
      </c>
      <c r="F92" s="920" t="str">
        <f>IF(ISBLANK('Saisie données file act.'!F111), "", 'Saisie données file act.'!F111)</f>
        <v/>
      </c>
      <c r="G92" s="920" t="str">
        <f>IF(ISBLANK('Saisie données file act.'!G111), "", 'Saisie données file act.'!G111)</f>
        <v/>
      </c>
      <c r="H92" s="920" t="str">
        <f>IF(ISBLANK('Saisie données file act.'!H111), "", 'Saisie données file act.'!H111)</f>
        <v/>
      </c>
      <c r="I92" s="920" t="str">
        <f>IF(ISBLANK('Saisie données file act.'!I111), "", 'Saisie données file act.'!I111)</f>
        <v/>
      </c>
      <c r="J92" s="920" t="str">
        <f>IF(ISBLANK('Saisie données file act.'!J111), "", 'Saisie données file act.'!J111)</f>
        <v/>
      </c>
      <c r="K92" s="920" t="str">
        <f>IF(ISBLANK('Saisie données file act.'!K111), "", 'Saisie données file act.'!K111)</f>
        <v/>
      </c>
      <c r="L92" s="920" t="str">
        <f>IF(ISBLANK('Saisie données file act.'!L111), "", 'Saisie données file act.'!L111)</f>
        <v/>
      </c>
      <c r="M92" s="920" t="str">
        <f>IF(ISBLANK('Saisie données file act.'!M111), "", 'Saisie données file act.'!M111)</f>
        <v/>
      </c>
      <c r="N92" s="920" t="str">
        <f>IF(ISBLANK('Saisie données file act.'!N111), "", 'Saisie données file act.'!N111)</f>
        <v/>
      </c>
      <c r="O92" s="920" t="str">
        <f>IF(ISBLANK('Saisie données file act.'!O111), "", 'Saisie données file act.'!O111)</f>
        <v/>
      </c>
      <c r="P92" s="920" t="str">
        <f>IF(ISBLANK('Saisie données file act.'!P111), "", 'Saisie données file act.'!P111)</f>
        <v/>
      </c>
      <c r="Q92" s="920" t="str">
        <f>IF(ISBLANK('Saisie données file act.'!Q111), "", 'Saisie données file act.'!Q111)</f>
        <v/>
      </c>
      <c r="R92" s="920" t="str">
        <f>IF(ISBLANK('Saisie données file act.'!R111), "", 'Saisie données file act.'!R111)</f>
        <v/>
      </c>
      <c r="S92" s="920" t="str">
        <f>IF(ISBLANK('Saisie données file act.'!S111), "", 'Saisie données file act.'!S111)</f>
        <v/>
      </c>
      <c r="T92" s="920" t="str">
        <f>IF(ISBLANK('Saisie données file act.'!T111), "", 'Saisie données file act.'!T111)</f>
        <v/>
      </c>
      <c r="U92" s="920" t="str">
        <f>IF(ISBLANK('Saisie données file act.'!U111), "", 'Saisie données file act.'!U111)</f>
        <v/>
      </c>
      <c r="V92" s="920" t="str">
        <f>IF(ISBLANK('Saisie données file act.'!V111), "", 'Saisie données file act.'!V111)</f>
        <v/>
      </c>
      <c r="W92" s="920" t="str">
        <f>IF(ISBLANK('Saisie données file act.'!W111), "", 'Saisie données file act.'!W111)</f>
        <v/>
      </c>
      <c r="X92" s="920" t="str">
        <f>IF(ISBLANK('Saisie données file act.'!X111), "", 'Saisie données file act.'!X111)</f>
        <v/>
      </c>
      <c r="Y92" s="920" t="str">
        <f>IF(ISBLANK('Saisie données file act.'!Y111), "", 'Saisie données file act.'!Y111)</f>
        <v/>
      </c>
      <c r="Z92" s="920" t="str">
        <f>IF(ISBLANK('Saisie données file act.'!Z111), "", 'Saisie données file act.'!Z111)</f>
        <v/>
      </c>
      <c r="AA92" s="920" t="str">
        <f>IF(ISBLANK('Saisie données file act.'!AA111), "", 'Saisie données file act.'!AA111)</f>
        <v/>
      </c>
      <c r="AB92" s="920" t="str">
        <f>IF(ISBLANK('Saisie données file act.'!AB111), "", 'Saisie données file act.'!AB111)</f>
        <v/>
      </c>
      <c r="AC92" s="920" t="str">
        <f>IF(ISBLANK('Saisie données file act.'!AC111), "", 'Saisie données file act.'!AC111)</f>
        <v/>
      </c>
      <c r="AD92" s="920" t="str">
        <f>IF(ISBLANK('Saisie données file act.'!AD111), "", 'Saisie données file act.'!AD111)</f>
        <v/>
      </c>
      <c r="AE92" s="920" t="str">
        <f>IF(ISBLANK('Saisie données file act.'!AE111), "", 'Saisie données file act.'!AE111)</f>
        <v/>
      </c>
      <c r="AF92" s="920" t="str">
        <f>IF(ISBLANK('Saisie données file act.'!AF111), "", 'Saisie données file act.'!AF111)</f>
        <v/>
      </c>
      <c r="AG92" s="920" t="str">
        <f>IF(ISBLANK('Saisie données file act.'!AG111), "", 'Saisie données file act.'!AG111)</f>
        <v/>
      </c>
      <c r="AH92" s="920" t="str">
        <f>IF(ISBLANK('Saisie données file act.'!AH111), "", 'Saisie données file act.'!AH111)</f>
        <v/>
      </c>
      <c r="AI92" s="920" t="str">
        <f>IF(ISBLANK('Saisie données file act.'!AI111), "", 'Saisie données file act.'!AI111)</f>
        <v/>
      </c>
      <c r="AJ92" s="920" t="str">
        <f>IF(ISBLANK('Saisie données file act.'!AJ111), "", 'Saisie données file act.'!AJ111)</f>
        <v/>
      </c>
      <c r="AK92" s="920" t="str">
        <f>IF(ISBLANK('Saisie données file act.'!AK111), "", 'Saisie données file act.'!AK111)</f>
        <v/>
      </c>
      <c r="AL92" s="920" t="str">
        <f>IF(ISBLANK('Saisie données file act.'!AL111), "", 'Saisie données file act.'!AL111)</f>
        <v/>
      </c>
      <c r="AM92" s="920" t="str">
        <f>IF(ISBLANK('Saisie données file act.'!AM111), "", 'Saisie données file act.'!AM111)</f>
        <v/>
      </c>
      <c r="AN92" s="920" t="str">
        <f>IF(ISBLANK('Saisie données file act.'!AN111), "", 'Saisie données file act.'!AN111)</f>
        <v/>
      </c>
      <c r="AO92" s="920" t="str">
        <f>IF(ISBLANK('Saisie données file act.'!AO111), "", 'Saisie données file act.'!AO111)</f>
        <v/>
      </c>
      <c r="AP92" s="920" t="str">
        <f>IF(ISBLANK('Saisie données file act.'!AP111), "", 'Saisie données file act.'!AP111)</f>
        <v/>
      </c>
      <c r="AQ92" s="920" t="str">
        <f>IF(ISBLANK('Saisie données file act.'!AQ111), "", 'Saisie données file act.'!AQ111)</f>
        <v/>
      </c>
      <c r="AR92" s="920" t="str">
        <f>IF(ISBLANK('Saisie données file act.'!AR111), "", 'Saisie données file act.'!AR111)</f>
        <v/>
      </c>
      <c r="AS92" s="920" t="str">
        <f>IF(ISBLANK('Saisie données file act.'!AS111), "", 'Saisie données file act.'!AS111)</f>
        <v/>
      </c>
      <c r="AT92" s="920" t="str">
        <f>IF(ISBLANK('Saisie données file act.'!AT111), "", 'Saisie données file act.'!AT111)</f>
        <v/>
      </c>
      <c r="AU92" s="920" t="str">
        <f>IF(ISBLANK('Saisie données file act.'!AU111), "", 'Saisie données file act.'!AU111)</f>
        <v>X</v>
      </c>
      <c r="AV92" s="1048">
        <f>'Saisie données file act.'!E201</f>
        <v>0</v>
      </c>
      <c r="AW92" s="910"/>
      <c r="AX92" s="1048">
        <f>'Saisie données file act.'!F357</f>
        <v>0</v>
      </c>
    </row>
    <row r="93" spans="3:50" s="895" customFormat="1" ht="26.25" thickBot="1" x14ac:dyDescent="0.3">
      <c r="D93" s="925" t="str">
        <f>'TRAD-Calculs'!B15</f>
        <v>Nombre de patients suivis prenant le produit / mois</v>
      </c>
      <c r="E93" s="926">
        <f>SUMIF(E9:E92, "X", $AV9:$AV92)</f>
        <v>0</v>
      </c>
      <c r="F93" s="926">
        <f t="shared" ref="F93:AB93" si="0">SUMIF(F9:F92, "X", $AV9:$AV92)</f>
        <v>0</v>
      </c>
      <c r="G93" s="926">
        <f t="shared" si="0"/>
        <v>0</v>
      </c>
      <c r="H93" s="926">
        <f t="shared" si="0"/>
        <v>0</v>
      </c>
      <c r="I93" s="926">
        <f t="shared" si="0"/>
        <v>0</v>
      </c>
      <c r="J93" s="926">
        <f t="shared" si="0"/>
        <v>0</v>
      </c>
      <c r="K93" s="1690">
        <f t="shared" si="0"/>
        <v>0</v>
      </c>
      <c r="L93" s="926">
        <f t="shared" si="0"/>
        <v>0</v>
      </c>
      <c r="M93" s="926">
        <f t="shared" si="0"/>
        <v>0</v>
      </c>
      <c r="N93" s="926">
        <f t="shared" si="0"/>
        <v>0</v>
      </c>
      <c r="O93" s="926">
        <f t="shared" si="0"/>
        <v>0</v>
      </c>
      <c r="P93" s="926">
        <f t="shared" si="0"/>
        <v>0</v>
      </c>
      <c r="Q93" s="926">
        <f t="shared" si="0"/>
        <v>0</v>
      </c>
      <c r="R93" s="926">
        <f t="shared" si="0"/>
        <v>0</v>
      </c>
      <c r="S93" s="926">
        <f t="shared" si="0"/>
        <v>0</v>
      </c>
      <c r="T93" s="926">
        <f t="shared" si="0"/>
        <v>0</v>
      </c>
      <c r="U93" s="926">
        <f t="shared" si="0"/>
        <v>0</v>
      </c>
      <c r="V93" s="926">
        <f t="shared" si="0"/>
        <v>0</v>
      </c>
      <c r="W93" s="926">
        <f t="shared" si="0"/>
        <v>0</v>
      </c>
      <c r="X93" s="926">
        <f t="shared" si="0"/>
        <v>0</v>
      </c>
      <c r="Y93" s="926">
        <f t="shared" si="0"/>
        <v>0</v>
      </c>
      <c r="Z93" s="926">
        <f t="shared" si="0"/>
        <v>0</v>
      </c>
      <c r="AA93" s="926">
        <f t="shared" si="0"/>
        <v>0</v>
      </c>
      <c r="AB93" s="926">
        <f t="shared" si="0"/>
        <v>0</v>
      </c>
      <c r="AC93" s="926">
        <f t="shared" ref="AC93:AG93" si="1">SUMIF(AC9:AC92, "X", $AV9:$AV92)</f>
        <v>0</v>
      </c>
      <c r="AD93" s="926">
        <f t="shared" si="1"/>
        <v>0</v>
      </c>
      <c r="AE93" s="926">
        <f t="shared" si="1"/>
        <v>0</v>
      </c>
      <c r="AF93" s="926">
        <f t="shared" si="1"/>
        <v>0</v>
      </c>
      <c r="AG93" s="926">
        <f t="shared" si="1"/>
        <v>0</v>
      </c>
      <c r="AH93" s="926">
        <f>SUMIF(AH9:AH92, "X", $AV9:$AV92)</f>
        <v>0</v>
      </c>
      <c r="AI93" s="926">
        <f>SUMIF(AI9:AI92, "X", $AV9:$AV92)</f>
        <v>0</v>
      </c>
      <c r="AJ93" s="926">
        <f>SUMIF(AJ9:AJ92, "X", $AV9:$AV92)</f>
        <v>0</v>
      </c>
      <c r="AK93" s="926">
        <f>SUMIF(AK9:AK92, "X", $AV9:$AV92)</f>
        <v>0</v>
      </c>
      <c r="AL93" s="926">
        <f t="shared" ref="AL93:AN93" si="2">SUMIF(AL9:AL92, "X", $AV9:$AV92)</f>
        <v>0</v>
      </c>
      <c r="AM93" s="926">
        <f t="shared" si="2"/>
        <v>0</v>
      </c>
      <c r="AN93" s="926">
        <f t="shared" si="2"/>
        <v>0</v>
      </c>
      <c r="AO93" s="926">
        <f t="shared" ref="AO93:AU93" si="3">SUMIF(AO9:AO92, "X", $AV9:$AV92)</f>
        <v>0</v>
      </c>
      <c r="AP93" s="926">
        <f t="shared" si="3"/>
        <v>0</v>
      </c>
      <c r="AQ93" s="926">
        <f t="shared" si="3"/>
        <v>0</v>
      </c>
      <c r="AR93" s="926">
        <f t="shared" si="3"/>
        <v>0</v>
      </c>
      <c r="AS93" s="926">
        <f t="shared" si="3"/>
        <v>0</v>
      </c>
      <c r="AT93" s="926">
        <f t="shared" si="3"/>
        <v>0</v>
      </c>
      <c r="AU93" s="1028">
        <f t="shared" si="3"/>
        <v>0</v>
      </c>
      <c r="AV93" s="1035">
        <f>SUM(AV9:AV92)</f>
        <v>0</v>
      </c>
      <c r="AW93" s="1036">
        <f>SUM(AW9:AW92)</f>
        <v>0</v>
      </c>
      <c r="AX93" s="1037">
        <f>SUM(AX9:AX92)</f>
        <v>0</v>
      </c>
    </row>
    <row r="94" spans="3:50" s="895" customFormat="1" ht="26.25" thickBot="1" x14ac:dyDescent="0.3">
      <c r="D94" s="925" t="str">
        <f>'TRAD-Calculs'!B16</f>
        <v>Nombre de patients initiés prenant le produit / mois</v>
      </c>
      <c r="E94" s="927">
        <f t="shared" ref="E94:AB94" si="4">SUMIF(E9:E92, "X", $AW9:$AW92)</f>
        <v>0</v>
      </c>
      <c r="F94" s="927">
        <f t="shared" si="4"/>
        <v>0</v>
      </c>
      <c r="G94" s="927">
        <f t="shared" si="4"/>
        <v>0</v>
      </c>
      <c r="H94" s="927">
        <f t="shared" si="4"/>
        <v>0</v>
      </c>
      <c r="I94" s="927">
        <f t="shared" si="4"/>
        <v>0</v>
      </c>
      <c r="J94" s="927">
        <f t="shared" si="4"/>
        <v>0</v>
      </c>
      <c r="K94" s="927">
        <f t="shared" si="4"/>
        <v>0</v>
      </c>
      <c r="L94" s="927">
        <f t="shared" si="4"/>
        <v>0</v>
      </c>
      <c r="M94" s="927">
        <f t="shared" si="4"/>
        <v>0</v>
      </c>
      <c r="N94" s="927">
        <f t="shared" si="4"/>
        <v>0</v>
      </c>
      <c r="O94" s="927">
        <f t="shared" si="4"/>
        <v>0</v>
      </c>
      <c r="P94" s="927">
        <f t="shared" si="4"/>
        <v>0</v>
      </c>
      <c r="Q94" s="927">
        <f t="shared" si="4"/>
        <v>0</v>
      </c>
      <c r="R94" s="927">
        <f t="shared" si="4"/>
        <v>0</v>
      </c>
      <c r="S94" s="927">
        <f t="shared" si="4"/>
        <v>0</v>
      </c>
      <c r="T94" s="927">
        <f t="shared" si="4"/>
        <v>0</v>
      </c>
      <c r="U94" s="927">
        <f t="shared" si="4"/>
        <v>0</v>
      </c>
      <c r="V94" s="927">
        <f t="shared" si="4"/>
        <v>0</v>
      </c>
      <c r="W94" s="927">
        <f t="shared" si="4"/>
        <v>0</v>
      </c>
      <c r="X94" s="927">
        <f t="shared" si="4"/>
        <v>0</v>
      </c>
      <c r="Y94" s="927">
        <f t="shared" si="4"/>
        <v>0</v>
      </c>
      <c r="Z94" s="927">
        <f t="shared" si="4"/>
        <v>0</v>
      </c>
      <c r="AA94" s="927">
        <f t="shared" si="4"/>
        <v>0</v>
      </c>
      <c r="AB94" s="927">
        <f t="shared" si="4"/>
        <v>0</v>
      </c>
      <c r="AC94" s="927">
        <f t="shared" ref="AC94:AG94" si="5">SUMIF(AC9:AC92, "X", $AW9:$AW92)</f>
        <v>0</v>
      </c>
      <c r="AD94" s="927">
        <f t="shared" si="5"/>
        <v>0</v>
      </c>
      <c r="AE94" s="927">
        <f t="shared" si="5"/>
        <v>0</v>
      </c>
      <c r="AF94" s="927">
        <f t="shared" si="5"/>
        <v>0</v>
      </c>
      <c r="AG94" s="927">
        <f t="shared" si="5"/>
        <v>0</v>
      </c>
      <c r="AH94" s="927">
        <f>SUMIF(AH9:AH92, "X", $AW9:$AW92)</f>
        <v>0</v>
      </c>
      <c r="AI94" s="927">
        <f>SUMIF(AI9:AI92, "X", $AW9:$AW92)</f>
        <v>0</v>
      </c>
      <c r="AJ94" s="927">
        <f>SUMIF(AJ9:AJ92, "X", $AW9:$AW92)</f>
        <v>0</v>
      </c>
      <c r="AK94" s="927">
        <f>SUMIF(AK9:AK92, "X", $AW9:$AW92)</f>
        <v>0</v>
      </c>
      <c r="AL94" s="927">
        <f t="shared" ref="AL94:AN94" si="6">SUMIF(AL9:AL92, "X", $AW9:$AW92)</f>
        <v>0</v>
      </c>
      <c r="AM94" s="927">
        <f t="shared" si="6"/>
        <v>0</v>
      </c>
      <c r="AN94" s="927">
        <f t="shared" si="6"/>
        <v>0</v>
      </c>
      <c r="AO94" s="927">
        <f t="shared" ref="AO94:AU94" si="7">SUMIF(AO9:AO92, "X", $AW9:$AW92)</f>
        <v>0</v>
      </c>
      <c r="AP94" s="927">
        <f t="shared" si="7"/>
        <v>0</v>
      </c>
      <c r="AQ94" s="927">
        <f t="shared" si="7"/>
        <v>0</v>
      </c>
      <c r="AR94" s="927">
        <f t="shared" si="7"/>
        <v>0</v>
      </c>
      <c r="AS94" s="927">
        <f t="shared" si="7"/>
        <v>0</v>
      </c>
      <c r="AT94" s="927">
        <f t="shared" si="7"/>
        <v>0</v>
      </c>
      <c r="AU94" s="1029">
        <f t="shared" si="7"/>
        <v>0</v>
      </c>
      <c r="AV94" s="1031"/>
      <c r="AW94" s="1032"/>
      <c r="AX94" s="1032"/>
    </row>
    <row r="95" spans="3:50" s="895" customFormat="1" ht="39" thickBot="1" x14ac:dyDescent="0.3">
      <c r="D95" s="925" t="str">
        <f>'TRAD-Calculs'!B18</f>
        <v>Nombre de nouveaux patients switchés prenant le produit / mois</v>
      </c>
      <c r="E95" s="928">
        <f t="shared" ref="E95:AB95" si="8">SUMIF(E9:E92, "X", $AX9:$AX92)</f>
        <v>0</v>
      </c>
      <c r="F95" s="928">
        <f t="shared" si="8"/>
        <v>0</v>
      </c>
      <c r="G95" s="928">
        <f t="shared" si="8"/>
        <v>0</v>
      </c>
      <c r="H95" s="928">
        <f t="shared" si="8"/>
        <v>0</v>
      </c>
      <c r="I95" s="928">
        <f t="shared" si="8"/>
        <v>0</v>
      </c>
      <c r="J95" s="928">
        <f t="shared" si="8"/>
        <v>0</v>
      </c>
      <c r="K95" s="928">
        <f t="shared" si="8"/>
        <v>0</v>
      </c>
      <c r="L95" s="928">
        <f t="shared" si="8"/>
        <v>0</v>
      </c>
      <c r="M95" s="928">
        <f t="shared" si="8"/>
        <v>0</v>
      </c>
      <c r="N95" s="928">
        <f t="shared" si="8"/>
        <v>0</v>
      </c>
      <c r="O95" s="928">
        <f t="shared" si="8"/>
        <v>0</v>
      </c>
      <c r="P95" s="928">
        <f t="shared" si="8"/>
        <v>0</v>
      </c>
      <c r="Q95" s="928">
        <f t="shared" si="8"/>
        <v>0</v>
      </c>
      <c r="R95" s="928">
        <f t="shared" si="8"/>
        <v>0</v>
      </c>
      <c r="S95" s="928">
        <f t="shared" si="8"/>
        <v>0</v>
      </c>
      <c r="T95" s="928">
        <f t="shared" si="8"/>
        <v>0</v>
      </c>
      <c r="U95" s="928">
        <f t="shared" si="8"/>
        <v>0</v>
      </c>
      <c r="V95" s="928">
        <f t="shared" si="8"/>
        <v>0</v>
      </c>
      <c r="W95" s="928">
        <f t="shared" si="8"/>
        <v>0</v>
      </c>
      <c r="X95" s="928">
        <f t="shared" si="8"/>
        <v>0</v>
      </c>
      <c r="Y95" s="928">
        <f t="shared" si="8"/>
        <v>0</v>
      </c>
      <c r="Z95" s="928">
        <f t="shared" si="8"/>
        <v>0</v>
      </c>
      <c r="AA95" s="928">
        <f t="shared" si="8"/>
        <v>0</v>
      </c>
      <c r="AB95" s="928">
        <f t="shared" si="8"/>
        <v>0</v>
      </c>
      <c r="AC95" s="928">
        <f t="shared" ref="AC95:AG95" si="9">SUMIF(AC9:AC92, "X", $AX9:$AX92)</f>
        <v>0</v>
      </c>
      <c r="AD95" s="928">
        <f t="shared" si="9"/>
        <v>0</v>
      </c>
      <c r="AE95" s="928">
        <f t="shared" si="9"/>
        <v>0</v>
      </c>
      <c r="AF95" s="928">
        <f t="shared" si="9"/>
        <v>0</v>
      </c>
      <c r="AG95" s="928">
        <f t="shared" si="9"/>
        <v>0</v>
      </c>
      <c r="AH95" s="928">
        <f>SUMIF(AH9:AH92, "X", $AX9:$AX92)</f>
        <v>0</v>
      </c>
      <c r="AI95" s="928">
        <f>SUMIF(AI9:AI92, "X", $AX9:$AX92)</f>
        <v>0</v>
      </c>
      <c r="AJ95" s="928">
        <f>SUMIF(AJ9:AJ92, "X", $AX9:$AX92)</f>
        <v>0</v>
      </c>
      <c r="AK95" s="928">
        <f>SUMIF(AK9:AK92, "X", $AX9:$AX92)</f>
        <v>0</v>
      </c>
      <c r="AL95" s="928">
        <f t="shared" ref="AL95:AN95" si="10">SUMIF(AL9:AL92, "X", $AX9:$AX92)</f>
        <v>0</v>
      </c>
      <c r="AM95" s="928">
        <f t="shared" si="10"/>
        <v>0</v>
      </c>
      <c r="AN95" s="928">
        <f t="shared" si="10"/>
        <v>0</v>
      </c>
      <c r="AO95" s="928">
        <f t="shared" ref="AO95:AU95" si="11">SUMIF(AO9:AO92, "X", $AX9:$AX92)</f>
        <v>0</v>
      </c>
      <c r="AP95" s="928">
        <f t="shared" si="11"/>
        <v>0</v>
      </c>
      <c r="AQ95" s="928">
        <f t="shared" si="11"/>
        <v>0</v>
      </c>
      <c r="AR95" s="928">
        <f t="shared" si="11"/>
        <v>0</v>
      </c>
      <c r="AS95" s="928">
        <f t="shared" si="11"/>
        <v>0</v>
      </c>
      <c r="AT95" s="928">
        <f t="shared" si="11"/>
        <v>0</v>
      </c>
      <c r="AU95" s="1030">
        <f t="shared" si="11"/>
        <v>0</v>
      </c>
      <c r="AV95" s="1033"/>
      <c r="AW95" s="1034"/>
      <c r="AX95" s="1034"/>
    </row>
    <row r="96" spans="3:50" s="895" customFormat="1" ht="26.25" thickBot="1" x14ac:dyDescent="0.3">
      <c r="D96" s="925" t="str">
        <f>'TRAD-Calculs'!B19</f>
        <v>TOTAL nb de cdt / mois / produits suivis</v>
      </c>
      <c r="E96" s="926">
        <f t="shared" ref="E96:AB96" si="12">E93*E6*30/E7</f>
        <v>0</v>
      </c>
      <c r="F96" s="926">
        <f t="shared" si="12"/>
        <v>0</v>
      </c>
      <c r="G96" s="926">
        <f t="shared" si="12"/>
        <v>0</v>
      </c>
      <c r="H96" s="926">
        <f t="shared" si="12"/>
        <v>0</v>
      </c>
      <c r="I96" s="926">
        <f t="shared" si="12"/>
        <v>0</v>
      </c>
      <c r="J96" s="926">
        <f t="shared" si="12"/>
        <v>0</v>
      </c>
      <c r="K96" s="1690">
        <f t="shared" si="12"/>
        <v>0</v>
      </c>
      <c r="L96" s="926">
        <f t="shared" si="12"/>
        <v>0</v>
      </c>
      <c r="M96" s="926">
        <f t="shared" si="12"/>
        <v>0</v>
      </c>
      <c r="N96" s="926">
        <f t="shared" si="12"/>
        <v>0</v>
      </c>
      <c r="O96" s="926">
        <f t="shared" si="12"/>
        <v>0</v>
      </c>
      <c r="P96" s="926">
        <f t="shared" si="12"/>
        <v>0</v>
      </c>
      <c r="Q96" s="926">
        <f t="shared" si="12"/>
        <v>0</v>
      </c>
      <c r="R96" s="926">
        <f t="shared" si="12"/>
        <v>0</v>
      </c>
      <c r="S96" s="926">
        <f t="shared" si="12"/>
        <v>0</v>
      </c>
      <c r="T96" s="926">
        <f t="shared" si="12"/>
        <v>0</v>
      </c>
      <c r="U96" s="926">
        <f t="shared" si="12"/>
        <v>0</v>
      </c>
      <c r="V96" s="926">
        <f t="shared" si="12"/>
        <v>0</v>
      </c>
      <c r="W96" s="926">
        <f t="shared" si="12"/>
        <v>0</v>
      </c>
      <c r="X96" s="926">
        <f t="shared" si="12"/>
        <v>0</v>
      </c>
      <c r="Y96" s="926">
        <f t="shared" si="12"/>
        <v>0</v>
      </c>
      <c r="Z96" s="926">
        <f t="shared" si="12"/>
        <v>0</v>
      </c>
      <c r="AA96" s="926">
        <f t="shared" si="12"/>
        <v>0</v>
      </c>
      <c r="AB96" s="926">
        <f t="shared" si="12"/>
        <v>0</v>
      </c>
      <c r="AC96" s="926">
        <f t="shared" ref="AC96:AG96" si="13">AC93*AC6*30/AC7</f>
        <v>0</v>
      </c>
      <c r="AD96" s="926">
        <f t="shared" si="13"/>
        <v>0</v>
      </c>
      <c r="AE96" s="926">
        <f t="shared" si="13"/>
        <v>0</v>
      </c>
      <c r="AF96" s="926">
        <f t="shared" si="13"/>
        <v>0</v>
      </c>
      <c r="AG96" s="926">
        <f t="shared" si="13"/>
        <v>0</v>
      </c>
      <c r="AH96" s="926">
        <f>AH93*AH6*30/AH7</f>
        <v>0</v>
      </c>
      <c r="AI96" s="926">
        <f>AI93*AI6*30/AI7</f>
        <v>0</v>
      </c>
      <c r="AJ96" s="926">
        <f>AJ93*AJ6*30/AJ7</f>
        <v>0</v>
      </c>
      <c r="AK96" s="926">
        <f>AK93*AK6*30/AK7</f>
        <v>0</v>
      </c>
      <c r="AL96" s="926">
        <f t="shared" ref="AL96:AN96" si="14">AL93*AL6*30/AL7</f>
        <v>0</v>
      </c>
      <c r="AM96" s="926">
        <f t="shared" si="14"/>
        <v>0</v>
      </c>
      <c r="AN96" s="926">
        <f t="shared" si="14"/>
        <v>0</v>
      </c>
      <c r="AO96" s="926">
        <f t="shared" ref="AO96:AU96" si="15">AO93*AO6*30/AO7</f>
        <v>0</v>
      </c>
      <c r="AP96" s="926">
        <f t="shared" si="15"/>
        <v>0</v>
      </c>
      <c r="AQ96" s="926">
        <f t="shared" si="15"/>
        <v>0</v>
      </c>
      <c r="AR96" s="926">
        <f t="shared" si="15"/>
        <v>0</v>
      </c>
      <c r="AS96" s="926">
        <f t="shared" si="15"/>
        <v>0</v>
      </c>
      <c r="AT96" s="926">
        <f t="shared" si="15"/>
        <v>0</v>
      </c>
      <c r="AU96" s="1028">
        <f t="shared" si="15"/>
        <v>0</v>
      </c>
      <c r="AV96" s="1044"/>
      <c r="AW96" s="1045"/>
      <c r="AX96" s="1045"/>
    </row>
    <row r="97" spans="2:50" s="895" customFormat="1" ht="26.25" thickBot="1" x14ac:dyDescent="0.3">
      <c r="D97" s="925" t="str">
        <f>'TRAD-Calculs'!B20</f>
        <v xml:space="preserve">TOTAL nb de cdt / mois / produit  initiés </v>
      </c>
      <c r="E97" s="927">
        <f>E94*E6*30/E7+IF('Saisie données file act.'!E16="X", 'Saisie données file act.'!E215/4, "0")</f>
        <v>0</v>
      </c>
      <c r="F97" s="927">
        <f>F94*F6*30/F7</f>
        <v>0</v>
      </c>
      <c r="G97" s="927">
        <f>G94*G6*30/G7</f>
        <v>0</v>
      </c>
      <c r="H97" s="927">
        <f>H94*H6*30/H7+IF('Saisie données file act.'!E16="X", 'Saisie données file act.'!E215/4, IF('Saisie données file act.'!E17="X", 'Saisie données file act.'!E215/2))</f>
        <v>0</v>
      </c>
      <c r="I97" s="927">
        <f>I94*I6*30/I7</f>
        <v>0</v>
      </c>
      <c r="J97" s="927">
        <f>J94*J6*30/J7</f>
        <v>0</v>
      </c>
      <c r="K97" s="927">
        <f>K94*K6*30/K7</f>
        <v>0</v>
      </c>
      <c r="L97" s="927">
        <f>L94*L6*30/L7+IF('Saisie données file act.'!E18="X", 'Saisie données file act.'!E218/4, "0")</f>
        <v>0</v>
      </c>
      <c r="M97" s="927">
        <f>M94*M6*30/M7</f>
        <v>0</v>
      </c>
      <c r="N97" s="927">
        <f>N94*N6*30/N7+IF('Saisie données file act.'!E18="X", 'Saisie données file act.'!E218/4, IF('Saisie données file act.'!E19="X", 'Saisie données file act.'!E218/2))</f>
        <v>0</v>
      </c>
      <c r="O97" s="927">
        <f t="shared" ref="O97:W97" si="16">O94*O6*30/O7</f>
        <v>0</v>
      </c>
      <c r="P97" s="927">
        <f t="shared" si="16"/>
        <v>0</v>
      </c>
      <c r="Q97" s="927">
        <f t="shared" si="16"/>
        <v>0</v>
      </c>
      <c r="R97" s="927">
        <f t="shared" si="16"/>
        <v>0</v>
      </c>
      <c r="S97" s="927">
        <f t="shared" si="16"/>
        <v>0</v>
      </c>
      <c r="T97" s="927">
        <f t="shared" si="16"/>
        <v>0</v>
      </c>
      <c r="U97" s="927">
        <f t="shared" si="16"/>
        <v>0</v>
      </c>
      <c r="V97" s="927">
        <f t="shared" si="16"/>
        <v>0</v>
      </c>
      <c r="W97" s="927">
        <f t="shared" si="16"/>
        <v>0</v>
      </c>
      <c r="X97" s="927">
        <f>X94*X6*30/X7+IF('Saisie données file act.'!E17="X", 'Saisie données file act.'!E215/4, "0")+IF('Saisie données file act.'!E19="X", 'Saisie données file act.'!E218/4, "0")</f>
        <v>0</v>
      </c>
      <c r="Y97" s="927">
        <f>Y94*Y6*30/Y7+IF('Saisie données file act.'!F17="X", 'Saisie données file act.'!F215/4, "0")+IF('Saisie données file act.'!F19="X", 'Saisie données file act.'!F218/4, "0")</f>
        <v>0</v>
      </c>
      <c r="Z97" s="927">
        <f>Z94*Z6*30/Z7</f>
        <v>0</v>
      </c>
      <c r="AA97" s="927">
        <f>AA94*AA6*30/AA7</f>
        <v>0</v>
      </c>
      <c r="AB97" s="927">
        <f>AB94*AB6*30/AB7</f>
        <v>0</v>
      </c>
      <c r="AC97" s="927">
        <f t="shared" ref="AC97:AG97" si="17">AC94*AC6*30/AC7</f>
        <v>0</v>
      </c>
      <c r="AD97" s="927">
        <f t="shared" si="17"/>
        <v>0</v>
      </c>
      <c r="AE97" s="927">
        <f t="shared" si="17"/>
        <v>0</v>
      </c>
      <c r="AF97" s="927">
        <f t="shared" si="17"/>
        <v>0</v>
      </c>
      <c r="AG97" s="927">
        <f t="shared" si="17"/>
        <v>0</v>
      </c>
      <c r="AH97" s="927">
        <f>AH94*AH6*30/AH7</f>
        <v>0</v>
      </c>
      <c r="AI97" s="927">
        <f>AI94*AI6*30/AI7</f>
        <v>0</v>
      </c>
      <c r="AJ97" s="927">
        <f>AJ94*AJ6*30/AJ7</f>
        <v>0</v>
      </c>
      <c r="AK97" s="927">
        <f>AK94*AK6*30/AK7</f>
        <v>0</v>
      </c>
      <c r="AL97" s="927">
        <f t="shared" ref="AL97:AN97" si="18">AL94*AL6*30/AL7</f>
        <v>0</v>
      </c>
      <c r="AM97" s="927">
        <f t="shared" si="18"/>
        <v>0</v>
      </c>
      <c r="AN97" s="927">
        <f t="shared" si="18"/>
        <v>0</v>
      </c>
      <c r="AO97" s="927">
        <f t="shared" ref="AO97:AU97" si="19">AO94*AO6*30/AO7</f>
        <v>0</v>
      </c>
      <c r="AP97" s="927">
        <f t="shared" si="19"/>
        <v>0</v>
      </c>
      <c r="AQ97" s="927">
        <f t="shared" si="19"/>
        <v>0</v>
      </c>
      <c r="AR97" s="927">
        <f t="shared" si="19"/>
        <v>0</v>
      </c>
      <c r="AS97" s="927">
        <f t="shared" si="19"/>
        <v>0</v>
      </c>
      <c r="AT97" s="927">
        <f t="shared" si="19"/>
        <v>0</v>
      </c>
      <c r="AU97" s="927">
        <f t="shared" si="19"/>
        <v>0</v>
      </c>
      <c r="AV97" s="1033"/>
      <c r="AW97" s="1034"/>
      <c r="AX97" s="1034"/>
    </row>
    <row r="98" spans="2:50" s="895" customFormat="1" ht="26.25" thickBot="1" x14ac:dyDescent="0.3">
      <c r="D98" s="925" t="str">
        <f>'TRAD-Calculs'!B21</f>
        <v>TOTAL nb de cdt / mois / produit switchés</v>
      </c>
      <c r="E98" s="928">
        <f t="shared" ref="E98:AB98" si="20">E95*E6*30/E7</f>
        <v>0</v>
      </c>
      <c r="F98" s="928">
        <f t="shared" si="20"/>
        <v>0</v>
      </c>
      <c r="G98" s="928">
        <f t="shared" si="20"/>
        <v>0</v>
      </c>
      <c r="H98" s="928">
        <f t="shared" si="20"/>
        <v>0</v>
      </c>
      <c r="I98" s="928">
        <f t="shared" si="20"/>
        <v>0</v>
      </c>
      <c r="J98" s="928">
        <f t="shared" si="20"/>
        <v>0</v>
      </c>
      <c r="K98" s="928">
        <f t="shared" si="20"/>
        <v>0</v>
      </c>
      <c r="L98" s="928">
        <f t="shared" si="20"/>
        <v>0</v>
      </c>
      <c r="M98" s="928">
        <f t="shared" si="20"/>
        <v>0</v>
      </c>
      <c r="N98" s="928">
        <f t="shared" si="20"/>
        <v>0</v>
      </c>
      <c r="O98" s="928">
        <f t="shared" si="20"/>
        <v>0</v>
      </c>
      <c r="P98" s="928">
        <f t="shared" si="20"/>
        <v>0</v>
      </c>
      <c r="Q98" s="928">
        <f t="shared" si="20"/>
        <v>0</v>
      </c>
      <c r="R98" s="928">
        <f t="shared" si="20"/>
        <v>0</v>
      </c>
      <c r="S98" s="928">
        <f t="shared" si="20"/>
        <v>0</v>
      </c>
      <c r="T98" s="928">
        <f t="shared" si="20"/>
        <v>0</v>
      </c>
      <c r="U98" s="928">
        <f t="shared" si="20"/>
        <v>0</v>
      </c>
      <c r="V98" s="928">
        <f t="shared" si="20"/>
        <v>0</v>
      </c>
      <c r="W98" s="928">
        <f t="shared" si="20"/>
        <v>0</v>
      </c>
      <c r="X98" s="928">
        <f t="shared" si="20"/>
        <v>0</v>
      </c>
      <c r="Y98" s="928">
        <f t="shared" si="20"/>
        <v>0</v>
      </c>
      <c r="Z98" s="928">
        <f t="shared" si="20"/>
        <v>0</v>
      </c>
      <c r="AA98" s="928">
        <f t="shared" si="20"/>
        <v>0</v>
      </c>
      <c r="AB98" s="928">
        <f t="shared" si="20"/>
        <v>0</v>
      </c>
      <c r="AC98" s="928">
        <f t="shared" ref="AC98:AG98" si="21">AC95*AC6*30/AC7</f>
        <v>0</v>
      </c>
      <c r="AD98" s="928">
        <f t="shared" si="21"/>
        <v>0</v>
      </c>
      <c r="AE98" s="928">
        <f t="shared" si="21"/>
        <v>0</v>
      </c>
      <c r="AF98" s="928">
        <f t="shared" si="21"/>
        <v>0</v>
      </c>
      <c r="AG98" s="928">
        <f t="shared" si="21"/>
        <v>0</v>
      </c>
      <c r="AH98" s="928">
        <f>AH95*AH6*30/AH7</f>
        <v>0</v>
      </c>
      <c r="AI98" s="928">
        <f>AI95*AI6*30/AI7</f>
        <v>0</v>
      </c>
      <c r="AJ98" s="928">
        <f>AJ95*AJ6*30/AJ7</f>
        <v>0</v>
      </c>
      <c r="AK98" s="928">
        <f>AK95*AK6*30/AK7</f>
        <v>0</v>
      </c>
      <c r="AL98" s="928">
        <f t="shared" ref="AL98:AN98" si="22">AL95*AL6*30/AL7</f>
        <v>0</v>
      </c>
      <c r="AM98" s="928">
        <f t="shared" si="22"/>
        <v>0</v>
      </c>
      <c r="AN98" s="928">
        <f t="shared" si="22"/>
        <v>0</v>
      </c>
      <c r="AO98" s="928">
        <f t="shared" ref="AO98:AU98" si="23">AO95*AO6*30/AO7</f>
        <v>0</v>
      </c>
      <c r="AP98" s="928">
        <f t="shared" si="23"/>
        <v>0</v>
      </c>
      <c r="AQ98" s="928">
        <f t="shared" si="23"/>
        <v>0</v>
      </c>
      <c r="AR98" s="928">
        <f t="shared" si="23"/>
        <v>0</v>
      </c>
      <c r="AS98" s="928">
        <f t="shared" si="23"/>
        <v>0</v>
      </c>
      <c r="AT98" s="928">
        <f t="shared" si="23"/>
        <v>0</v>
      </c>
      <c r="AU98" s="928">
        <f t="shared" si="23"/>
        <v>0</v>
      </c>
      <c r="AV98" s="1033"/>
      <c r="AW98" s="1034"/>
      <c r="AX98" s="1034"/>
    </row>
    <row r="99" spans="2:50" s="883" customFormat="1" x14ac:dyDescent="0.2"/>
    <row r="100" spans="2:50" s="883" customFormat="1" ht="13.5" thickBot="1" x14ac:dyDescent="0.25"/>
    <row r="101" spans="2:50" s="883" customFormat="1" ht="65.25" customHeight="1" thickBot="1" x14ac:dyDescent="0.25">
      <c r="B101" s="929"/>
      <c r="C101" s="930"/>
      <c r="D101" s="931" t="str">
        <f>'TRAD-Calculs'!B3</f>
        <v>Composition</v>
      </c>
      <c r="E101" s="932" t="str">
        <f>'TRAD-Calculs'!B22</f>
        <v>Forme galénique</v>
      </c>
      <c r="F101" s="932" t="str">
        <f>'TRAD-Calculs'!B4</f>
        <v>Dosage</v>
      </c>
      <c r="G101" s="932" t="str">
        <f>'TRAD-Calculs'!B23</f>
        <v>DCI</v>
      </c>
      <c r="H101" s="932" t="str">
        <f>'TRAD-Calculs'!B24</f>
        <v>Nom de spécialité</v>
      </c>
      <c r="I101" s="932" t="str">
        <f>'TRAD-Calculs'!B25</f>
        <v>Nom de générique possible</v>
      </c>
      <c r="J101" s="932" t="str">
        <f>'TRAD-Calculs'!B26</f>
        <v>Conditionnement</v>
      </c>
      <c r="K101" s="933" t="str">
        <f>'TRAD-Calculs'!B27</f>
        <v>Posologies</v>
      </c>
      <c r="L101" s="934" t="str">
        <f>'TRAD-Calculs'!B19</f>
        <v>TOTAL nb de cdt / mois / produits suivis</v>
      </c>
      <c r="M101" s="935" t="str">
        <f>'TRAD-Calculs'!B20</f>
        <v xml:space="preserve">TOTAL nb de cdt / mois / produit  initiés </v>
      </c>
      <c r="N101" s="936" t="str">
        <f>'TRAD-Calculs'!B21</f>
        <v>TOTAL nb de cdt / mois / produit switchés</v>
      </c>
      <c r="P101" s="934" t="str">
        <f>'TRAD-Calculs'!B15</f>
        <v>Nombre de patients suivis prenant le produit / mois</v>
      </c>
      <c r="Q101" s="935" t="str">
        <f>'TRAD-Calculs'!B16</f>
        <v>Nombre de patients initiés prenant le produit / mois</v>
      </c>
      <c r="R101" s="936" t="str">
        <f>'TRAD-Calculs'!B18</f>
        <v>Nombre de nouveaux patients switchés prenant le produit / mois</v>
      </c>
    </row>
    <row r="102" spans="2:50" s="883" customFormat="1" ht="38.25" x14ac:dyDescent="0.2">
      <c r="B102" s="937" t="str">
        <f>'TRAD-Calculs'!B28</f>
        <v>Comprimés</v>
      </c>
      <c r="C102" s="938" t="s">
        <v>15</v>
      </c>
      <c r="D102" s="939" t="str">
        <f>'Saisie données stocks'!F19</f>
        <v>AZT+3TC+NVP</v>
      </c>
      <c r="E102" s="940" t="str">
        <f>'Saisie données stocks'!G19</f>
        <v>Cp</v>
      </c>
      <c r="F102" s="940" t="str">
        <f>'Saisie données stocks'!H19</f>
        <v>300/150/200 mg</v>
      </c>
      <c r="G102" s="940" t="str">
        <f>'Saisie données stocks'!I19</f>
        <v>Zidovudine+ Lamivudine+ Nevirapine</v>
      </c>
      <c r="H102" s="941">
        <f>'Saisie données stocks'!J19</f>
        <v>0</v>
      </c>
      <c r="I102" s="942" t="str">
        <f>'Saisie données stocks'!K19</f>
        <v>DUOVIR-N, ZIDOLAM-N</v>
      </c>
      <c r="J102" s="943">
        <f t="array" ref="J102:J137">TRANSPOSE(E7:AN7)</f>
        <v>60</v>
      </c>
      <c r="K102" s="944">
        <f t="array" ref="K102:K137">TRANSPOSE(E6:AN6)</f>
        <v>2</v>
      </c>
      <c r="L102" s="945">
        <f>$E96</f>
        <v>0</v>
      </c>
      <c r="M102" s="946">
        <f>$E97</f>
        <v>0</v>
      </c>
      <c r="N102" s="947">
        <f>$E98</f>
        <v>0</v>
      </c>
      <c r="P102" s="945">
        <f>$E93</f>
        <v>0</v>
      </c>
      <c r="Q102" s="946">
        <f>$E94</f>
        <v>0</v>
      </c>
      <c r="R102" s="947">
        <f>$E95</f>
        <v>0</v>
      </c>
    </row>
    <row r="103" spans="2:50" s="883" customFormat="1" ht="51" x14ac:dyDescent="0.2">
      <c r="B103" s="948"/>
      <c r="C103" s="949"/>
      <c r="D103" s="950" t="str">
        <f>'Saisie données stocks'!F20</f>
        <v>AZT+3TC+NVP</v>
      </c>
      <c r="E103" s="951" t="str">
        <f>'Saisie données stocks'!G20</f>
        <v>Cp</v>
      </c>
      <c r="F103" s="951" t="str">
        <f>'Saisie données stocks'!H20</f>
        <v>60/30/50 mg</v>
      </c>
      <c r="G103" s="951" t="str">
        <f>'Saisie données stocks'!I20</f>
        <v>Zidovudine+ Lamivudine+ Nevirapine</v>
      </c>
      <c r="H103" s="952">
        <f>'Saisie données stocks'!J20</f>
        <v>0</v>
      </c>
      <c r="I103" s="953" t="str">
        <f>'Saisie données stocks'!K20</f>
        <v>DUOVIR-N baby, ZIDOLAM-N baby</v>
      </c>
      <c r="J103" s="954">
        <v>60</v>
      </c>
      <c r="K103" s="955">
        <v>2</v>
      </c>
      <c r="L103" s="956">
        <f>$F96</f>
        <v>0</v>
      </c>
      <c r="M103" s="957">
        <f>$F97</f>
        <v>0</v>
      </c>
      <c r="N103" s="958">
        <f>$F98</f>
        <v>0</v>
      </c>
      <c r="P103" s="956">
        <f>$F93</f>
        <v>0</v>
      </c>
      <c r="Q103" s="957">
        <f>$F94</f>
        <v>0</v>
      </c>
      <c r="R103" s="958">
        <f>$F95</f>
        <v>0</v>
      </c>
    </row>
    <row r="104" spans="2:50" s="883" customFormat="1" ht="38.25" x14ac:dyDescent="0.2">
      <c r="B104" s="948"/>
      <c r="C104" s="949"/>
      <c r="D104" s="959" t="str">
        <f>'Saisie données stocks'!F21</f>
        <v>AZT+3TC+ABC</v>
      </c>
      <c r="E104" s="960" t="str">
        <f>'Saisie données stocks'!G21</f>
        <v>Cp</v>
      </c>
      <c r="F104" s="960" t="str">
        <f>'Saisie données stocks'!H21</f>
        <v>300/150/300 mg</v>
      </c>
      <c r="G104" s="960" t="str">
        <f>'Saisie données stocks'!I21</f>
        <v>Zidovudine+ Lamivudine+ Abacavir</v>
      </c>
      <c r="H104" s="961" t="str">
        <f>'Saisie données stocks'!J21</f>
        <v>TRIZIVIR</v>
      </c>
      <c r="I104" s="962">
        <f>'Saisie données stocks'!K21</f>
        <v>0</v>
      </c>
      <c r="J104" s="963">
        <v>60</v>
      </c>
      <c r="K104" s="955">
        <v>2</v>
      </c>
      <c r="L104" s="956">
        <f>$G96</f>
        <v>0</v>
      </c>
      <c r="M104" s="957">
        <f>$G97</f>
        <v>0</v>
      </c>
      <c r="N104" s="958">
        <f>$G98</f>
        <v>0</v>
      </c>
      <c r="P104" s="956">
        <f>$G93</f>
        <v>0</v>
      </c>
      <c r="Q104" s="957">
        <f>$G94</f>
        <v>0</v>
      </c>
      <c r="R104" s="958">
        <f>$G95</f>
        <v>0</v>
      </c>
    </row>
    <row r="105" spans="2:50" s="883" customFormat="1" ht="51" x14ac:dyDescent="0.2">
      <c r="B105" s="948"/>
      <c r="C105" s="949"/>
      <c r="D105" s="959" t="str">
        <f>'Saisie données stocks'!F22</f>
        <v>AZT+3TC</v>
      </c>
      <c r="E105" s="960" t="str">
        <f>'Saisie données stocks'!G22</f>
        <v>Cp</v>
      </c>
      <c r="F105" s="960" t="str">
        <f>'Saisie données stocks'!H22</f>
        <v>300/150 mg</v>
      </c>
      <c r="G105" s="960" t="str">
        <f>'Saisie données stocks'!I22</f>
        <v>Zidovudine+ Lamivudine</v>
      </c>
      <c r="H105" s="961" t="str">
        <f>'Saisie données stocks'!J22</f>
        <v>COMBIVIR</v>
      </c>
      <c r="I105" s="962" t="str">
        <f>'Saisie données stocks'!K22</f>
        <v>LAMZID, DUOVIR, ZIDOLAM, VIRACOMB</v>
      </c>
      <c r="J105" s="963">
        <v>60</v>
      </c>
      <c r="K105" s="955">
        <v>2</v>
      </c>
      <c r="L105" s="956">
        <f>$H96</f>
        <v>0</v>
      </c>
      <c r="M105" s="957">
        <f>$H97</f>
        <v>0</v>
      </c>
      <c r="N105" s="958">
        <f>$H98</f>
        <v>0</v>
      </c>
      <c r="P105" s="956">
        <f>$H93</f>
        <v>0</v>
      </c>
      <c r="Q105" s="957">
        <f>$H94</f>
        <v>0</v>
      </c>
      <c r="R105" s="958">
        <f>$H95</f>
        <v>0</v>
      </c>
    </row>
    <row r="106" spans="2:50" s="883" customFormat="1" ht="51" x14ac:dyDescent="0.2">
      <c r="B106" s="948"/>
      <c r="C106" s="949"/>
      <c r="D106" s="950" t="str">
        <f>'Saisie données stocks'!F23</f>
        <v>AZT+3TC</v>
      </c>
      <c r="E106" s="951" t="str">
        <f>'Saisie données stocks'!G23</f>
        <v>Cp</v>
      </c>
      <c r="F106" s="951" t="str">
        <f>'Saisie données stocks'!H23</f>
        <v>60/30 mg</v>
      </c>
      <c r="G106" s="951" t="str">
        <f>'Saisie données stocks'!I23</f>
        <v>Zidovudine+ Lamivudine</v>
      </c>
      <c r="H106" s="952">
        <f>'Saisie données stocks'!J23</f>
        <v>0</v>
      </c>
      <c r="I106" s="953" t="str">
        <f>'Saisie données stocks'!K23</f>
        <v>DUOVIR baby, ZIDOLAM baby</v>
      </c>
      <c r="J106" s="954">
        <v>60</v>
      </c>
      <c r="K106" s="955">
        <v>2</v>
      </c>
      <c r="L106" s="956">
        <f>$I96</f>
        <v>0</v>
      </c>
      <c r="M106" s="957">
        <f>$I97</f>
        <v>0</v>
      </c>
      <c r="N106" s="958">
        <f>$I98</f>
        <v>0</v>
      </c>
      <c r="P106" s="956">
        <f>$I93</f>
        <v>0</v>
      </c>
      <c r="Q106" s="957">
        <f>$I94</f>
        <v>0</v>
      </c>
      <c r="R106" s="958">
        <f>$I95</f>
        <v>0</v>
      </c>
    </row>
    <row r="107" spans="2:50" s="883" customFormat="1" ht="25.5" x14ac:dyDescent="0.2">
      <c r="B107" s="948"/>
      <c r="C107" s="949"/>
      <c r="D107" s="950" t="str">
        <f>'Saisie données stocks'!F24</f>
        <v>3TC+ABC</v>
      </c>
      <c r="E107" s="951" t="str">
        <f>'Saisie données stocks'!G24</f>
        <v>Cp</v>
      </c>
      <c r="F107" s="951" t="str">
        <f>'Saisie données stocks'!H24</f>
        <v>300/600 mg</v>
      </c>
      <c r="G107" s="951" t="str">
        <f>'Saisie données stocks'!I24</f>
        <v>Lamivudine+ Abacavir</v>
      </c>
      <c r="H107" s="952">
        <f>'Saisie données stocks'!J24</f>
        <v>0</v>
      </c>
      <c r="I107" s="953" t="str">
        <f>'Saisie données stocks'!K24</f>
        <v>KIVEXA</v>
      </c>
      <c r="J107" s="954">
        <v>30</v>
      </c>
      <c r="K107" s="955">
        <v>1</v>
      </c>
      <c r="L107" s="956">
        <f>$J96</f>
        <v>0</v>
      </c>
      <c r="M107" s="957">
        <f>$J97</f>
        <v>0</v>
      </c>
      <c r="N107" s="958">
        <f>$J98</f>
        <v>0</v>
      </c>
      <c r="P107" s="956">
        <f>$J93</f>
        <v>0</v>
      </c>
      <c r="Q107" s="957">
        <f>$J94</f>
        <v>0</v>
      </c>
      <c r="R107" s="958">
        <f>$J95</f>
        <v>0</v>
      </c>
    </row>
    <row r="108" spans="2:50" s="883" customFormat="1" ht="25.5" x14ac:dyDescent="0.2">
      <c r="B108" s="948"/>
      <c r="C108" s="949"/>
      <c r="D108" s="950" t="str">
        <f>'Saisie données stocks'!F25</f>
        <v>3TC+ABC</v>
      </c>
      <c r="E108" s="951" t="str">
        <f>'Saisie données stocks'!G25</f>
        <v>Cp</v>
      </c>
      <c r="F108" s="951" t="str">
        <f>'Saisie données stocks'!H25</f>
        <v>30/60 mg</v>
      </c>
      <c r="G108" s="951" t="str">
        <f>'Saisie données stocks'!I25</f>
        <v>Lamivudine+ Abacavir</v>
      </c>
      <c r="H108" s="952">
        <f>'Saisie données stocks'!J25</f>
        <v>0</v>
      </c>
      <c r="I108" s="953">
        <f>'Saisie données stocks'!K25</f>
        <v>0</v>
      </c>
      <c r="J108" s="954">
        <v>60</v>
      </c>
      <c r="K108" s="955">
        <v>2</v>
      </c>
      <c r="L108" s="956">
        <f>K96</f>
        <v>0</v>
      </c>
      <c r="M108" s="957">
        <f>K97</f>
        <v>0</v>
      </c>
      <c r="N108" s="958">
        <f>K98</f>
        <v>0</v>
      </c>
      <c r="P108" s="956">
        <f>K93</f>
        <v>0</v>
      </c>
      <c r="Q108" s="957">
        <f>K94</f>
        <v>0</v>
      </c>
      <c r="R108" s="958">
        <f>K95</f>
        <v>0</v>
      </c>
    </row>
    <row r="109" spans="2:50" s="883" customFormat="1" ht="38.25" x14ac:dyDescent="0.2">
      <c r="B109" s="948"/>
      <c r="C109" s="949"/>
      <c r="D109" s="964" t="str">
        <f>'Saisie données stocks'!F26</f>
        <v>D4T+3TC+NVP</v>
      </c>
      <c r="E109" s="965" t="str">
        <f>'Saisie données stocks'!G26</f>
        <v>Cp</v>
      </c>
      <c r="F109" s="965" t="str">
        <f>'Saisie données stocks'!H26</f>
        <v>30/150/200 mg</v>
      </c>
      <c r="G109" s="965" t="str">
        <f>'Saisie données stocks'!I26</f>
        <v>Stavudine+ Lamivudine+ Nevirapine</v>
      </c>
      <c r="H109" s="966">
        <f>'Saisie données stocks'!J26</f>
        <v>0</v>
      </c>
      <c r="I109" s="967" t="str">
        <f>'Saisie données stocks'!K26</f>
        <v>TRIOMUNE</v>
      </c>
      <c r="J109" s="968">
        <v>60</v>
      </c>
      <c r="K109" s="969">
        <v>2</v>
      </c>
      <c r="L109" s="956">
        <f>$L96</f>
        <v>0</v>
      </c>
      <c r="M109" s="957">
        <f>$L97</f>
        <v>0</v>
      </c>
      <c r="N109" s="958">
        <f>$L98</f>
        <v>0</v>
      </c>
      <c r="P109" s="956">
        <f>$L93</f>
        <v>0</v>
      </c>
      <c r="Q109" s="957">
        <f>$L94</f>
        <v>0</v>
      </c>
      <c r="R109" s="958">
        <f>$L95</f>
        <v>0</v>
      </c>
    </row>
    <row r="110" spans="2:50" s="883" customFormat="1" ht="38.25" x14ac:dyDescent="0.2">
      <c r="B110" s="948"/>
      <c r="C110" s="949"/>
      <c r="D110" s="964" t="str">
        <f>'Saisie données stocks'!F27</f>
        <v>D4T+3TC+NVP</v>
      </c>
      <c r="E110" s="965" t="str">
        <f>'Saisie données stocks'!G27</f>
        <v>Cp</v>
      </c>
      <c r="F110" s="965" t="str">
        <f>'Saisie données stocks'!H27</f>
        <v>6/30/50 mg</v>
      </c>
      <c r="G110" s="965" t="str">
        <f>'Saisie données stocks'!I27</f>
        <v>Stavudine+ Lamivudine+ Nevirapine</v>
      </c>
      <c r="H110" s="967">
        <f>'Saisie données stocks'!J27</f>
        <v>0</v>
      </c>
      <c r="I110" s="967" t="str">
        <f>'Saisie données stocks'!K27</f>
        <v>TRIOMUNE baby</v>
      </c>
      <c r="J110" s="968">
        <v>60</v>
      </c>
      <c r="K110" s="969">
        <v>2</v>
      </c>
      <c r="L110" s="956">
        <f>$M96</f>
        <v>0</v>
      </c>
      <c r="M110" s="957">
        <f>$M97</f>
        <v>0</v>
      </c>
      <c r="N110" s="958">
        <f>$M98</f>
        <v>0</v>
      </c>
      <c r="P110" s="956">
        <f>$M93</f>
        <v>0</v>
      </c>
      <c r="Q110" s="957">
        <f>$M94</f>
        <v>0</v>
      </c>
      <c r="R110" s="958">
        <f>$M95</f>
        <v>0</v>
      </c>
    </row>
    <row r="111" spans="2:50" s="883" customFormat="1" ht="25.5" x14ac:dyDescent="0.2">
      <c r="B111" s="948"/>
      <c r="C111" s="949"/>
      <c r="D111" s="964" t="str">
        <f>'Saisie données stocks'!F28</f>
        <v>D4T+3TC</v>
      </c>
      <c r="E111" s="965" t="str">
        <f>'Saisie données stocks'!G28</f>
        <v>Cp</v>
      </c>
      <c r="F111" s="965" t="str">
        <f>'Saisie données stocks'!H28</f>
        <v>30/150 mg</v>
      </c>
      <c r="G111" s="960" t="str">
        <f>'Saisie données stocks'!I28</f>
        <v>Stavudine+ Lamivudine</v>
      </c>
      <c r="H111" s="962">
        <f>'Saisie données stocks'!J28</f>
        <v>0</v>
      </c>
      <c r="I111" s="967" t="str">
        <f>'Saisie données stocks'!K28</f>
        <v>COVIRO, LAMIVIR-S</v>
      </c>
      <c r="J111" s="968">
        <v>60</v>
      </c>
      <c r="K111" s="969">
        <v>2</v>
      </c>
      <c r="L111" s="956">
        <f>$N96</f>
        <v>0</v>
      </c>
      <c r="M111" s="957">
        <f>$N97</f>
        <v>0</v>
      </c>
      <c r="N111" s="958">
        <f>$N98</f>
        <v>0</v>
      </c>
      <c r="P111" s="956">
        <f>$N93</f>
        <v>0</v>
      </c>
      <c r="Q111" s="957">
        <f>$N94</f>
        <v>0</v>
      </c>
      <c r="R111" s="958">
        <f>$N95</f>
        <v>0</v>
      </c>
    </row>
    <row r="112" spans="2:50" s="883" customFormat="1" ht="38.25" x14ac:dyDescent="0.2">
      <c r="B112" s="948"/>
      <c r="C112" s="949"/>
      <c r="D112" s="964" t="str">
        <f>'Saisie données stocks'!F29</f>
        <v>TDF+FTC+EFV</v>
      </c>
      <c r="E112" s="965" t="str">
        <f>'Saisie données stocks'!G29</f>
        <v>Cp</v>
      </c>
      <c r="F112" s="965" t="str">
        <f>'Saisie données stocks'!H29</f>
        <v>300/200/600 mg</v>
      </c>
      <c r="G112" s="960" t="str">
        <f>'Saisie données stocks'!I29</f>
        <v>Tenofovir+ Emtricitabine+ Efavirenz</v>
      </c>
      <c r="H112" s="962" t="str">
        <f>'Saisie données stocks'!J29</f>
        <v>ATRIPLA</v>
      </c>
      <c r="I112" s="967">
        <f>'Saisie données stocks'!K29</f>
        <v>0</v>
      </c>
      <c r="J112" s="968">
        <v>30</v>
      </c>
      <c r="K112" s="969">
        <v>1</v>
      </c>
      <c r="L112" s="956">
        <f>$O96</f>
        <v>0</v>
      </c>
      <c r="M112" s="957">
        <f>$O97</f>
        <v>0</v>
      </c>
      <c r="N112" s="958">
        <f>$O98</f>
        <v>0</v>
      </c>
      <c r="P112" s="956">
        <f>$O93</f>
        <v>0</v>
      </c>
      <c r="Q112" s="957">
        <f>$O94</f>
        <v>0</v>
      </c>
      <c r="R112" s="958">
        <f>$O95</f>
        <v>0</v>
      </c>
    </row>
    <row r="113" spans="2:18" s="883" customFormat="1" ht="38.25" x14ac:dyDescent="0.2">
      <c r="B113" s="948"/>
      <c r="C113" s="949"/>
      <c r="D113" s="964" t="str">
        <f>'Saisie données stocks'!F30</f>
        <v>TDF+FTC</v>
      </c>
      <c r="E113" s="965" t="str">
        <f>'Saisie données stocks'!G30</f>
        <v>Cp</v>
      </c>
      <c r="F113" s="965" t="str">
        <f>'Saisie données stocks'!H30</f>
        <v>300/200 mg</v>
      </c>
      <c r="G113" s="960" t="str">
        <f>'Saisie données stocks'!I30</f>
        <v>Tenofovir+ Emtricitabine</v>
      </c>
      <c r="H113" s="962" t="str">
        <f>'Saisie données stocks'!J30</f>
        <v>TRUVADA</v>
      </c>
      <c r="I113" s="967">
        <f>'Saisie données stocks'!K30</f>
        <v>0</v>
      </c>
      <c r="J113" s="968">
        <v>30</v>
      </c>
      <c r="K113" s="969">
        <v>1</v>
      </c>
      <c r="L113" s="956">
        <f>$P96</f>
        <v>0</v>
      </c>
      <c r="M113" s="957">
        <f>$P97</f>
        <v>0</v>
      </c>
      <c r="N113" s="958">
        <f>$P98</f>
        <v>0</v>
      </c>
      <c r="P113" s="956">
        <f>$P93</f>
        <v>0</v>
      </c>
      <c r="Q113" s="957">
        <f>$P94</f>
        <v>0</v>
      </c>
      <c r="R113" s="958">
        <f>$P95</f>
        <v>0</v>
      </c>
    </row>
    <row r="114" spans="2:18" s="883" customFormat="1" ht="38.25" x14ac:dyDescent="0.2">
      <c r="B114" s="948"/>
      <c r="C114" s="970"/>
      <c r="D114" s="964" t="str">
        <f>'Saisie données stocks'!F31</f>
        <v>TDF+3TC+EFV</v>
      </c>
      <c r="E114" s="965" t="str">
        <f>'Saisie données stocks'!G31</f>
        <v>Cp</v>
      </c>
      <c r="F114" s="965" t="str">
        <f>'Saisie données stocks'!H31</f>
        <v>300/200/600 mg</v>
      </c>
      <c r="G114" s="960" t="str">
        <f>'Saisie données stocks'!I31</f>
        <v>Tenofovir+ Lamivudine+ Efavirenz</v>
      </c>
      <c r="H114" s="962" t="str">
        <f>'Saisie données stocks'!J31</f>
        <v>ATRIPLA</v>
      </c>
      <c r="I114" s="967">
        <f>'Saisie données stocks'!K31</f>
        <v>0</v>
      </c>
      <c r="J114" s="968">
        <v>30</v>
      </c>
      <c r="K114" s="969">
        <v>1</v>
      </c>
      <c r="L114" s="956">
        <f>$Q96</f>
        <v>0</v>
      </c>
      <c r="M114" s="957">
        <f>$Q97</f>
        <v>0</v>
      </c>
      <c r="N114" s="958">
        <f>$Q98</f>
        <v>0</v>
      </c>
      <c r="P114" s="956">
        <f>$Q93</f>
        <v>0</v>
      </c>
      <c r="Q114" s="957">
        <f>$Q94</f>
        <v>0</v>
      </c>
      <c r="R114" s="958">
        <f>$Q95</f>
        <v>0</v>
      </c>
    </row>
    <row r="115" spans="2:18" s="883" customFormat="1" ht="25.5" x14ac:dyDescent="0.2">
      <c r="B115" s="948"/>
      <c r="C115" s="970"/>
      <c r="D115" s="964" t="str">
        <f>'Saisie données stocks'!F32</f>
        <v>TDF+3TC</v>
      </c>
      <c r="E115" s="965" t="str">
        <f>'Saisie données stocks'!G32</f>
        <v>Cp</v>
      </c>
      <c r="F115" s="965" t="str">
        <f>'Saisie données stocks'!H32</f>
        <v>300/200 mg</v>
      </c>
      <c r="G115" s="960" t="str">
        <f>'Saisie données stocks'!I32</f>
        <v>Tenofovir+ Lamivudine</v>
      </c>
      <c r="H115" s="962">
        <f>'Saisie données stocks'!J32</f>
        <v>0</v>
      </c>
      <c r="I115" s="967">
        <f>'Saisie données stocks'!K32</f>
        <v>0</v>
      </c>
      <c r="J115" s="968">
        <v>30</v>
      </c>
      <c r="K115" s="969">
        <v>1</v>
      </c>
      <c r="L115" s="956">
        <f>$R96</f>
        <v>0</v>
      </c>
      <c r="M115" s="957">
        <f>$R97</f>
        <v>0</v>
      </c>
      <c r="N115" s="958">
        <f>$R98</f>
        <v>0</v>
      </c>
      <c r="P115" s="956">
        <f>$R93</f>
        <v>0</v>
      </c>
      <c r="Q115" s="957">
        <f>$R94</f>
        <v>0</v>
      </c>
      <c r="R115" s="958">
        <f>$R95</f>
        <v>0</v>
      </c>
    </row>
    <row r="116" spans="2:18" s="883" customFormat="1" ht="51" x14ac:dyDescent="0.2">
      <c r="B116" s="971"/>
      <c r="C116" s="972"/>
      <c r="D116" s="973" t="str">
        <f>'Saisie données stocks'!F33</f>
        <v>[TDF+3TC]+ATV/r</v>
      </c>
      <c r="E116" s="974" t="str">
        <f>'Saisie données stocks'!G33</f>
        <v>Cp coblister</v>
      </c>
      <c r="F116" s="974" t="str">
        <f>'Saisie données stocks'!H33</f>
        <v>[300/300]+300/100 mg</v>
      </c>
      <c r="G116" s="1653" t="str">
        <f>'Saisie données stocks'!I33</f>
        <v>[Tenofovir+ Lamivudine]+ Atazanavir/Ritonavir</v>
      </c>
      <c r="H116" s="975">
        <f>'Saisie données stocks'!J33</f>
        <v>0</v>
      </c>
      <c r="I116" s="976">
        <f>'Saisie données stocks'!K33</f>
        <v>0</v>
      </c>
      <c r="J116" s="977">
        <v>30</v>
      </c>
      <c r="K116" s="978">
        <v>1</v>
      </c>
      <c r="L116" s="956">
        <f>S96</f>
        <v>0</v>
      </c>
      <c r="M116" s="957">
        <f>S97</f>
        <v>0</v>
      </c>
      <c r="N116" s="958">
        <f>S98</f>
        <v>0</v>
      </c>
      <c r="P116" s="956">
        <f>S93</f>
        <v>0</v>
      </c>
      <c r="Q116" s="957">
        <f>S94</f>
        <v>0</v>
      </c>
      <c r="R116" s="958">
        <f>S95</f>
        <v>0</v>
      </c>
    </row>
    <row r="117" spans="2:18" s="883" customFormat="1" ht="25.5" x14ac:dyDescent="0.2">
      <c r="B117" s="948"/>
      <c r="C117" s="949" t="s">
        <v>26</v>
      </c>
      <c r="D117" s="959" t="str">
        <f>'Saisie données stocks'!F34</f>
        <v>EFV</v>
      </c>
      <c r="E117" s="960" t="str">
        <f>'Saisie données stocks'!G34</f>
        <v>Gél</v>
      </c>
      <c r="F117" s="960" t="str">
        <f>'Saisie données stocks'!H34</f>
        <v>50 mg</v>
      </c>
      <c r="G117" s="960" t="str">
        <f>'Saisie données stocks'!I34</f>
        <v>Efavirenz</v>
      </c>
      <c r="H117" s="962" t="str">
        <f>'Saisie données stocks'!J34</f>
        <v>SUSTIVA, STOCRIN</v>
      </c>
      <c r="I117" s="962">
        <f>'Saisie données stocks'!K34</f>
        <v>0</v>
      </c>
      <c r="J117" s="963">
        <v>30</v>
      </c>
      <c r="K117" s="955">
        <v>0</v>
      </c>
      <c r="L117" s="956">
        <f>$T96</f>
        <v>0</v>
      </c>
      <c r="M117" s="957">
        <f>$T97</f>
        <v>0</v>
      </c>
      <c r="N117" s="958">
        <f>$T98</f>
        <v>0</v>
      </c>
      <c r="P117" s="956">
        <f>$T93</f>
        <v>0</v>
      </c>
      <c r="Q117" s="957">
        <f>$T94</f>
        <v>0</v>
      </c>
      <c r="R117" s="958">
        <f>$T95</f>
        <v>0</v>
      </c>
    </row>
    <row r="118" spans="2:18" s="883" customFormat="1" ht="25.5" x14ac:dyDescent="0.2">
      <c r="B118" s="948"/>
      <c r="C118" s="949"/>
      <c r="D118" s="964" t="str">
        <f>'Saisie données stocks'!F35</f>
        <v>EFV</v>
      </c>
      <c r="E118" s="965" t="str">
        <f>'Saisie données stocks'!G35</f>
        <v>Gél</v>
      </c>
      <c r="F118" s="965" t="str">
        <f>'Saisie données stocks'!H35</f>
        <v>200 mg</v>
      </c>
      <c r="G118" s="960" t="str">
        <f>'Saisie données stocks'!I35</f>
        <v>Efavirenz</v>
      </c>
      <c r="H118" s="962" t="str">
        <f>'Saisie données stocks'!J35</f>
        <v>SUSTIVA, STOCRIN</v>
      </c>
      <c r="I118" s="967">
        <f>'Saisie données stocks'!K35</f>
        <v>0</v>
      </c>
      <c r="J118" s="968">
        <v>90</v>
      </c>
      <c r="K118" s="969">
        <v>0</v>
      </c>
      <c r="L118" s="956">
        <f>$U96</f>
        <v>0</v>
      </c>
      <c r="M118" s="957">
        <f>$U97</f>
        <v>0</v>
      </c>
      <c r="N118" s="958">
        <f>$U98</f>
        <v>0</v>
      </c>
      <c r="P118" s="956">
        <f>$U93</f>
        <v>0</v>
      </c>
      <c r="Q118" s="957">
        <f>$U94</f>
        <v>0</v>
      </c>
      <c r="R118" s="958">
        <f>$U95</f>
        <v>0</v>
      </c>
    </row>
    <row r="119" spans="2:18" s="883" customFormat="1" ht="25.5" x14ac:dyDescent="0.2">
      <c r="B119" s="948"/>
      <c r="C119" s="949"/>
      <c r="D119" s="979" t="str">
        <f>'Saisie données stocks'!F36</f>
        <v>EFV</v>
      </c>
      <c r="E119" s="980" t="str">
        <f>'Saisie données stocks'!G36</f>
        <v>Cp</v>
      </c>
      <c r="F119" s="980" t="str">
        <f>'Saisie données stocks'!H36</f>
        <v>600 mg</v>
      </c>
      <c r="G119" s="1648" t="str">
        <f>'Saisie données stocks'!I36</f>
        <v>Efavirenz</v>
      </c>
      <c r="H119" s="962" t="str">
        <f>'Saisie données stocks'!J36</f>
        <v>SUSTIVA, STOCRIN</v>
      </c>
      <c r="I119" s="981">
        <f>'Saisie données stocks'!K36</f>
        <v>0</v>
      </c>
      <c r="J119" s="982">
        <v>30</v>
      </c>
      <c r="K119" s="983">
        <v>1</v>
      </c>
      <c r="L119" s="956">
        <f>$V96</f>
        <v>0</v>
      </c>
      <c r="M119" s="957">
        <f>$V97</f>
        <v>0</v>
      </c>
      <c r="N119" s="958">
        <f>$V98</f>
        <v>0</v>
      </c>
      <c r="P119" s="956">
        <f>$V93</f>
        <v>0</v>
      </c>
      <c r="Q119" s="957">
        <f>$V94</f>
        <v>0</v>
      </c>
      <c r="R119" s="958">
        <f>$V95</f>
        <v>0</v>
      </c>
    </row>
    <row r="120" spans="2:18" s="883" customFormat="1" x14ac:dyDescent="0.2">
      <c r="B120" s="948"/>
      <c r="C120" s="949"/>
      <c r="D120" s="979" t="str">
        <f>'Saisie données stocks'!F37</f>
        <v>ETV</v>
      </c>
      <c r="E120" s="980" t="str">
        <f>'Saisie données stocks'!G37</f>
        <v>Cp</v>
      </c>
      <c r="F120" s="980" t="str">
        <f>'Saisie données stocks'!H37</f>
        <v>200 mg</v>
      </c>
      <c r="G120" s="1648" t="str">
        <f>'Saisie données stocks'!I37</f>
        <v>Etravirine</v>
      </c>
      <c r="H120" s="1649" t="str">
        <f>'Saisie données stocks'!J37</f>
        <v>INTELENCE</v>
      </c>
      <c r="I120" s="981">
        <f>'Saisie données stocks'!K37</f>
        <v>0</v>
      </c>
      <c r="J120" s="982">
        <v>60</v>
      </c>
      <c r="K120" s="983">
        <v>2</v>
      </c>
      <c r="L120" s="956">
        <f>W96</f>
        <v>0</v>
      </c>
      <c r="M120" s="957">
        <f>W97</f>
        <v>0</v>
      </c>
      <c r="N120" s="958">
        <f>W98</f>
        <v>0</v>
      </c>
      <c r="P120" s="956">
        <f>W93</f>
        <v>0</v>
      </c>
      <c r="Q120" s="957">
        <f>W94</f>
        <v>0</v>
      </c>
      <c r="R120" s="958">
        <f>W95</f>
        <v>0</v>
      </c>
    </row>
    <row r="121" spans="2:18" s="883" customFormat="1" x14ac:dyDescent="0.2">
      <c r="B121" s="948"/>
      <c r="C121" s="970"/>
      <c r="D121" s="964" t="str">
        <f>'Saisie données stocks'!F38</f>
        <v>NVP</v>
      </c>
      <c r="E121" s="965" t="str">
        <f>'Saisie données stocks'!G38</f>
        <v>Cp</v>
      </c>
      <c r="F121" s="965" t="str">
        <f>'Saisie données stocks'!H38</f>
        <v>200 mg</v>
      </c>
      <c r="G121" s="960" t="str">
        <f>'Saisie données stocks'!I38</f>
        <v>Nevirapine</v>
      </c>
      <c r="H121" s="962" t="str">
        <f>'Saisie données stocks'!J38</f>
        <v>VIRAMUNE</v>
      </c>
      <c r="I121" s="967">
        <f>'Saisie données stocks'!K38</f>
        <v>0</v>
      </c>
      <c r="J121" s="968">
        <v>60</v>
      </c>
      <c r="K121" s="969">
        <v>2</v>
      </c>
      <c r="L121" s="956">
        <f>$X96</f>
        <v>0</v>
      </c>
      <c r="M121" s="957">
        <f>$X97</f>
        <v>0</v>
      </c>
      <c r="N121" s="958">
        <f>$X98</f>
        <v>0</v>
      </c>
      <c r="P121" s="956">
        <f>$X93</f>
        <v>0</v>
      </c>
      <c r="Q121" s="957">
        <f>$X94</f>
        <v>0</v>
      </c>
      <c r="R121" s="958">
        <f>$X95</f>
        <v>0</v>
      </c>
    </row>
    <row r="122" spans="2:18" s="883" customFormat="1" x14ac:dyDescent="0.2">
      <c r="B122" s="971"/>
      <c r="C122" s="972"/>
      <c r="D122" s="973" t="str">
        <f>'Saisie données stocks'!F39</f>
        <v>RPV</v>
      </c>
      <c r="E122" s="974" t="str">
        <f>'Saisie données stocks'!G39</f>
        <v>Cp</v>
      </c>
      <c r="F122" s="974" t="str">
        <f>'Saisie données stocks'!H39</f>
        <v>25 mg</v>
      </c>
      <c r="G122" s="1653" t="str">
        <f>'Saisie données stocks'!I39</f>
        <v>Rilpivirine</v>
      </c>
      <c r="H122" s="975" t="str">
        <f>'Saisie données stocks'!J39</f>
        <v>EDURANT</v>
      </c>
      <c r="I122" s="976">
        <f>'Saisie données stocks'!K39</f>
        <v>0</v>
      </c>
      <c r="J122" s="977">
        <v>30</v>
      </c>
      <c r="K122" s="978">
        <v>1</v>
      </c>
      <c r="L122" s="956">
        <f>Y96</f>
        <v>0</v>
      </c>
      <c r="M122" s="957">
        <f>Y97</f>
        <v>0</v>
      </c>
      <c r="N122" s="958">
        <f>Y98</f>
        <v>0</v>
      </c>
      <c r="P122" s="956">
        <f>Y93</f>
        <v>0</v>
      </c>
      <c r="Q122" s="957">
        <f>Y94</f>
        <v>0</v>
      </c>
      <c r="R122" s="958">
        <f>Y95</f>
        <v>0</v>
      </c>
    </row>
    <row r="123" spans="2:18" s="883" customFormat="1" ht="25.5" x14ac:dyDescent="0.2">
      <c r="B123" s="948"/>
      <c r="C123" s="949" t="s">
        <v>31</v>
      </c>
      <c r="D123" s="959" t="str">
        <f>'Saisie données stocks'!F40</f>
        <v>ABC</v>
      </c>
      <c r="E123" s="960" t="str">
        <f>'Saisie données stocks'!G40</f>
        <v>Cp</v>
      </c>
      <c r="F123" s="960" t="str">
        <f>'Saisie données stocks'!H40</f>
        <v>300 mg</v>
      </c>
      <c r="G123" s="960" t="str">
        <f>'Saisie données stocks'!I40</f>
        <v>Abacavir</v>
      </c>
      <c r="H123" s="961" t="str">
        <f>'Saisie données stocks'!J40</f>
        <v>ZIAGEN</v>
      </c>
      <c r="I123" s="962" t="str">
        <f>'Saisie données stocks'!K40</f>
        <v>ABAVIR, VIROL</v>
      </c>
      <c r="J123" s="963">
        <v>60</v>
      </c>
      <c r="K123" s="955">
        <v>2</v>
      </c>
      <c r="L123" s="956">
        <f>$Z96</f>
        <v>0</v>
      </c>
      <c r="M123" s="957">
        <f>$Z97</f>
        <v>0</v>
      </c>
      <c r="N123" s="958">
        <f>$Z98</f>
        <v>0</v>
      </c>
      <c r="P123" s="956">
        <f>$Z93</f>
        <v>0</v>
      </c>
      <c r="Q123" s="957">
        <f>$Z94</f>
        <v>0</v>
      </c>
      <c r="R123" s="958">
        <f>$Z95</f>
        <v>0</v>
      </c>
    </row>
    <row r="124" spans="2:18" s="883" customFormat="1" x14ac:dyDescent="0.2">
      <c r="B124" s="948"/>
      <c r="C124" s="949"/>
      <c r="D124" s="959" t="str">
        <f>'Saisie données stocks'!F41</f>
        <v>ABC</v>
      </c>
      <c r="E124" s="960" t="str">
        <f>'Saisie données stocks'!G41</f>
        <v>Cp</v>
      </c>
      <c r="F124" s="960" t="str">
        <f>'Saisie données stocks'!H41</f>
        <v>60 mg</v>
      </c>
      <c r="G124" s="960" t="str">
        <f>'Saisie données stocks'!I41</f>
        <v>Abacavir</v>
      </c>
      <c r="H124" s="961">
        <f>'Saisie données stocks'!J41</f>
        <v>0</v>
      </c>
      <c r="I124" s="962">
        <f>'Saisie données stocks'!K41</f>
        <v>0</v>
      </c>
      <c r="J124" s="963">
        <v>60</v>
      </c>
      <c r="K124" s="955">
        <v>2</v>
      </c>
      <c r="L124" s="956">
        <f>AA96</f>
        <v>0</v>
      </c>
      <c r="M124" s="957">
        <f>AA97</f>
        <v>0</v>
      </c>
      <c r="N124" s="958">
        <f>AA98</f>
        <v>0</v>
      </c>
      <c r="P124" s="956">
        <f>AA93</f>
        <v>0</v>
      </c>
      <c r="Q124" s="957">
        <f>AA94</f>
        <v>0</v>
      </c>
      <c r="R124" s="958">
        <f>AA95</f>
        <v>0</v>
      </c>
    </row>
    <row r="125" spans="2:18" s="883" customFormat="1" x14ac:dyDescent="0.2">
      <c r="B125" s="948"/>
      <c r="C125" s="949"/>
      <c r="D125" s="959" t="str">
        <f>'Saisie données stocks'!F42</f>
        <v>AZT</v>
      </c>
      <c r="E125" s="960" t="str">
        <f>'Saisie données stocks'!G42</f>
        <v>Cp</v>
      </c>
      <c r="F125" s="965" t="str">
        <f>'Saisie données stocks'!H42</f>
        <v>300 mg</v>
      </c>
      <c r="G125" s="960" t="str">
        <f>'Saisie données stocks'!I42</f>
        <v>Zidovudine</v>
      </c>
      <c r="H125" s="961" t="str">
        <f>'Saisie données stocks'!J42</f>
        <v>RETROVIR</v>
      </c>
      <c r="I125" s="962">
        <f>'Saisie données stocks'!K42</f>
        <v>0</v>
      </c>
      <c r="J125" s="963">
        <v>60</v>
      </c>
      <c r="K125" s="955">
        <v>2</v>
      </c>
      <c r="L125" s="956">
        <f>$AB96</f>
        <v>0</v>
      </c>
      <c r="M125" s="957">
        <f>$AB97</f>
        <v>0</v>
      </c>
      <c r="N125" s="958">
        <f>$AB98</f>
        <v>0</v>
      </c>
      <c r="P125" s="956">
        <f>$AB93</f>
        <v>0</v>
      </c>
      <c r="Q125" s="957">
        <f>$AB94</f>
        <v>0</v>
      </c>
      <c r="R125" s="958">
        <f>$AB95</f>
        <v>0</v>
      </c>
    </row>
    <row r="126" spans="2:18" s="883" customFormat="1" x14ac:dyDescent="0.2">
      <c r="B126" s="948"/>
      <c r="C126" s="949"/>
      <c r="D126" s="376" t="str">
        <f>'Saisie données stocks'!F43</f>
        <v>AZT</v>
      </c>
      <c r="E126" s="377" t="str">
        <f>'Saisie données stocks'!G43</f>
        <v>Cp</v>
      </c>
      <c r="F126" s="1208" t="str">
        <f>'Saisie données stocks'!H43</f>
        <v>100 mg</v>
      </c>
      <c r="G126" s="377" t="str">
        <f>'Saisie données stocks'!I43</f>
        <v>Zidovudine</v>
      </c>
      <c r="H126" s="378" t="str">
        <f>'Saisie données stocks'!J43</f>
        <v>RETROVIR</v>
      </c>
      <c r="I126" s="379">
        <f>'Saisie données stocks'!K43</f>
        <v>0</v>
      </c>
      <c r="J126" s="114">
        <v>100</v>
      </c>
      <c r="K126" s="955">
        <v>0</v>
      </c>
      <c r="L126" s="956">
        <f>AC96</f>
        <v>0</v>
      </c>
      <c r="M126" s="957">
        <f>AC97</f>
        <v>0</v>
      </c>
      <c r="N126" s="958">
        <f>AC98</f>
        <v>0</v>
      </c>
      <c r="P126" s="956">
        <f>AC93</f>
        <v>0</v>
      </c>
      <c r="Q126" s="957">
        <f>AC94</f>
        <v>0</v>
      </c>
      <c r="R126" s="958">
        <f>AC95</f>
        <v>0</v>
      </c>
    </row>
    <row r="127" spans="2:18" s="883" customFormat="1" x14ac:dyDescent="0.2">
      <c r="B127" s="948"/>
      <c r="C127" s="949"/>
      <c r="D127" s="376" t="str">
        <f>'Saisie données stocks'!F44</f>
        <v>AZT</v>
      </c>
      <c r="E127" s="377" t="str">
        <f>'Saisie données stocks'!G44</f>
        <v>Cp</v>
      </c>
      <c r="F127" s="1208" t="str">
        <f>'Saisie données stocks'!H44</f>
        <v>60 mg</v>
      </c>
      <c r="G127" s="377" t="str">
        <f>'Saisie données stocks'!I44</f>
        <v>Zidovudine</v>
      </c>
      <c r="H127" s="378">
        <f>'Saisie données stocks'!J44</f>
        <v>0</v>
      </c>
      <c r="I127" s="379">
        <f>'Saisie données stocks'!K44</f>
        <v>0</v>
      </c>
      <c r="J127" s="114">
        <v>60</v>
      </c>
      <c r="K127" s="955">
        <v>2</v>
      </c>
      <c r="L127" s="956">
        <f>AD96</f>
        <v>0</v>
      </c>
      <c r="M127" s="957">
        <f>AD97</f>
        <v>0</v>
      </c>
      <c r="N127" s="958">
        <f>AD98</f>
        <v>0</v>
      </c>
      <c r="P127" s="956">
        <f>AD93</f>
        <v>0</v>
      </c>
      <c r="Q127" s="957">
        <f>AD94</f>
        <v>0</v>
      </c>
      <c r="R127" s="958">
        <f>AD95</f>
        <v>0</v>
      </c>
    </row>
    <row r="128" spans="2:18" s="883" customFormat="1" x14ac:dyDescent="0.2">
      <c r="B128" s="948"/>
      <c r="C128" s="949"/>
      <c r="D128" s="959" t="str">
        <f>'Saisie données stocks'!F45</f>
        <v>D4T</v>
      </c>
      <c r="E128" s="960" t="str">
        <f>'Saisie données stocks'!G45</f>
        <v>Cp</v>
      </c>
      <c r="F128" s="965" t="str">
        <f>'Saisie données stocks'!H45</f>
        <v>30 mg</v>
      </c>
      <c r="G128" s="960" t="str">
        <f>'Saisie données stocks'!I45</f>
        <v>Stavudine</v>
      </c>
      <c r="H128" s="961" t="str">
        <f>'Saisie données stocks'!J45</f>
        <v>ZERIT</v>
      </c>
      <c r="I128" s="962" t="str">
        <f>'Saisie données stocks'!K45</f>
        <v>STAVIR</v>
      </c>
      <c r="J128" s="963">
        <v>60</v>
      </c>
      <c r="K128" s="955">
        <v>2</v>
      </c>
      <c r="L128" s="956">
        <f>$AE96</f>
        <v>0</v>
      </c>
      <c r="M128" s="957">
        <f>$AE97</f>
        <v>0</v>
      </c>
      <c r="N128" s="958">
        <f>$AE98</f>
        <v>0</v>
      </c>
      <c r="P128" s="956">
        <f>$AE93</f>
        <v>0</v>
      </c>
      <c r="Q128" s="957">
        <f>$AE94</f>
        <v>0</v>
      </c>
      <c r="R128" s="958">
        <f>$AE95</f>
        <v>0</v>
      </c>
    </row>
    <row r="129" spans="2:18" s="883" customFormat="1" x14ac:dyDescent="0.2">
      <c r="B129" s="948"/>
      <c r="C129" s="949"/>
      <c r="D129" s="959" t="str">
        <f>'Saisie données stocks'!F46</f>
        <v>3TC</v>
      </c>
      <c r="E129" s="960" t="str">
        <f>'Saisie données stocks'!G46</f>
        <v>Cp</v>
      </c>
      <c r="F129" s="965" t="str">
        <f>'Saisie données stocks'!H46</f>
        <v>150 mg</v>
      </c>
      <c r="G129" s="960" t="str">
        <f>'Saisie données stocks'!I46</f>
        <v>Lamivudine</v>
      </c>
      <c r="H129" s="961" t="str">
        <f>'Saisie données stocks'!J46</f>
        <v>EPIVIR</v>
      </c>
      <c r="I129" s="962" t="str">
        <f>'Saisie données stocks'!K46</f>
        <v>LAMIVIR</v>
      </c>
      <c r="J129" s="963">
        <v>60</v>
      </c>
      <c r="K129" s="955">
        <v>2</v>
      </c>
      <c r="L129" s="956">
        <f>$AF96</f>
        <v>0</v>
      </c>
      <c r="M129" s="957">
        <f>$AF97</f>
        <v>0</v>
      </c>
      <c r="N129" s="958">
        <f>$AF98</f>
        <v>0</v>
      </c>
      <c r="P129" s="956">
        <f>$AF93</f>
        <v>0</v>
      </c>
      <c r="Q129" s="957">
        <f>$AF94</f>
        <v>0</v>
      </c>
      <c r="R129" s="958">
        <f>$AF95</f>
        <v>0</v>
      </c>
    </row>
    <row r="130" spans="2:18" s="883" customFormat="1" x14ac:dyDescent="0.2">
      <c r="B130" s="948"/>
      <c r="C130" s="949"/>
      <c r="D130" s="959" t="str">
        <f>'Saisie données stocks'!F47</f>
        <v>3TC</v>
      </c>
      <c r="E130" s="960" t="str">
        <f>'Saisie données stocks'!G47</f>
        <v>Cp</v>
      </c>
      <c r="F130" s="965" t="str">
        <f>'Saisie données stocks'!H47</f>
        <v>30 mg</v>
      </c>
      <c r="G130" s="960" t="str">
        <f>'Saisie données stocks'!I47</f>
        <v>Lamivudine</v>
      </c>
      <c r="H130" s="961">
        <f>'Saisie données stocks'!J47</f>
        <v>0</v>
      </c>
      <c r="I130" s="962">
        <f>'Saisie données stocks'!K47</f>
        <v>0</v>
      </c>
      <c r="J130" s="963">
        <v>60</v>
      </c>
      <c r="K130" s="955">
        <v>2</v>
      </c>
      <c r="L130" s="956">
        <f>AG96</f>
        <v>0</v>
      </c>
      <c r="M130" s="957">
        <f>AG97</f>
        <v>0</v>
      </c>
      <c r="N130" s="958">
        <f>AG98</f>
        <v>0</v>
      </c>
      <c r="P130" s="956">
        <f>AG93</f>
        <v>0</v>
      </c>
      <c r="Q130" s="957">
        <f>AG94</f>
        <v>0</v>
      </c>
      <c r="R130" s="958">
        <f>AG95</f>
        <v>0</v>
      </c>
    </row>
    <row r="131" spans="2:18" s="883" customFormat="1" ht="38.25" x14ac:dyDescent="0.2">
      <c r="B131" s="948"/>
      <c r="C131" s="949"/>
      <c r="D131" s="964" t="str">
        <f>'Saisie données stocks'!F48</f>
        <v>DDI</v>
      </c>
      <c r="E131" s="965" t="str">
        <f>'Saisie données stocks'!G48</f>
        <v>Cp</v>
      </c>
      <c r="F131" s="965" t="str">
        <f>'Saisie données stocks'!H48</f>
        <v>250 mg</v>
      </c>
      <c r="G131" s="965" t="str">
        <f>'Saisie données stocks'!I48</f>
        <v>Didanosine</v>
      </c>
      <c r="H131" s="966" t="str">
        <f>'Saisie données stocks'!J48</f>
        <v>VIDEX</v>
      </c>
      <c r="I131" s="967" t="str">
        <f>'Saisie données stocks'!K48</f>
        <v>DINEX, DIVIR, DINOSIN, VIROSINE</v>
      </c>
      <c r="J131" s="968">
        <v>30</v>
      </c>
      <c r="K131" s="969">
        <v>1</v>
      </c>
      <c r="L131" s="956">
        <f>$AH96</f>
        <v>0</v>
      </c>
      <c r="M131" s="957">
        <f>$AH97</f>
        <v>0</v>
      </c>
      <c r="N131" s="958">
        <f>$AH98</f>
        <v>0</v>
      </c>
      <c r="P131" s="956">
        <f>$AH93</f>
        <v>0</v>
      </c>
      <c r="Q131" s="957">
        <f>$AH94</f>
        <v>0</v>
      </c>
      <c r="R131" s="958">
        <f>$AH95</f>
        <v>0</v>
      </c>
    </row>
    <row r="132" spans="2:18" s="883" customFormat="1" ht="38.25" x14ac:dyDescent="0.2">
      <c r="B132" s="948"/>
      <c r="C132" s="949"/>
      <c r="D132" s="964" t="str">
        <f>'Saisie données stocks'!F49</f>
        <v>DDI</v>
      </c>
      <c r="E132" s="965" t="str">
        <f>'Saisie données stocks'!G49</f>
        <v>Cp</v>
      </c>
      <c r="F132" s="980" t="str">
        <f>'Saisie données stocks'!H49</f>
        <v>400 mg</v>
      </c>
      <c r="G132" s="980" t="str">
        <f>'Saisie données stocks'!I49</f>
        <v>Didanosine</v>
      </c>
      <c r="H132" s="966" t="str">
        <f>'Saisie données stocks'!J49</f>
        <v>VIDEX</v>
      </c>
      <c r="I132" s="967" t="str">
        <f>'Saisie données stocks'!K49</f>
        <v>DINEX, DIVIR, DINOSIN, VIROSINE</v>
      </c>
      <c r="J132" s="982">
        <v>30</v>
      </c>
      <c r="K132" s="983">
        <v>1</v>
      </c>
      <c r="L132" s="956">
        <f>$AI96</f>
        <v>0</v>
      </c>
      <c r="M132" s="957">
        <f>$AI97</f>
        <v>0</v>
      </c>
      <c r="N132" s="958">
        <f>$AI98</f>
        <v>0</v>
      </c>
      <c r="P132" s="956">
        <f>$AI93</f>
        <v>0</v>
      </c>
      <c r="Q132" s="957">
        <f>$AI94</f>
        <v>0</v>
      </c>
      <c r="R132" s="958">
        <f>$AI95</f>
        <v>0</v>
      </c>
    </row>
    <row r="133" spans="2:18" s="883" customFormat="1" x14ac:dyDescent="0.2">
      <c r="B133" s="971"/>
      <c r="C133" s="972"/>
      <c r="D133" s="973" t="str">
        <f>'Saisie données stocks'!F50</f>
        <v>TDF</v>
      </c>
      <c r="E133" s="974" t="str">
        <f>'Saisie données stocks'!G50</f>
        <v>Cp</v>
      </c>
      <c r="F133" s="974" t="str">
        <f>'Saisie données stocks'!H50</f>
        <v>300 mg</v>
      </c>
      <c r="G133" s="974" t="str">
        <f>'Saisie données stocks'!I50</f>
        <v>Tenofovir</v>
      </c>
      <c r="H133" s="984" t="str">
        <f>'Saisie données stocks'!J50</f>
        <v>VIREAD</v>
      </c>
      <c r="I133" s="976">
        <f>'Saisie données stocks'!K50</f>
        <v>0</v>
      </c>
      <c r="J133" s="977">
        <v>30</v>
      </c>
      <c r="K133" s="978">
        <v>1</v>
      </c>
      <c r="L133" s="956">
        <f>$AJ96</f>
        <v>0</v>
      </c>
      <c r="M133" s="957">
        <f>$AJ97</f>
        <v>0</v>
      </c>
      <c r="N133" s="958">
        <f>$AJ98</f>
        <v>0</v>
      </c>
      <c r="P133" s="956">
        <f>$AJ93</f>
        <v>0</v>
      </c>
      <c r="Q133" s="957">
        <f>$AJ94</f>
        <v>0</v>
      </c>
      <c r="R133" s="958">
        <f>$AJ95</f>
        <v>0</v>
      </c>
    </row>
    <row r="134" spans="2:18" s="883" customFormat="1" ht="25.5" x14ac:dyDescent="0.2">
      <c r="B134" s="948"/>
      <c r="C134" s="949" t="s">
        <v>41</v>
      </c>
      <c r="D134" s="959" t="str">
        <f>'Saisie données stocks'!F51</f>
        <v>LPV/r</v>
      </c>
      <c r="E134" s="960" t="str">
        <f>'Saisie données stocks'!G51</f>
        <v>Cp</v>
      </c>
      <c r="F134" s="960" t="str">
        <f>'Saisie données stocks'!H51</f>
        <v>200/50 mg</v>
      </c>
      <c r="G134" s="960" t="str">
        <f>'Saisie données stocks'!I51</f>
        <v>Lopinavir/ Ritonavir</v>
      </c>
      <c r="H134" s="961" t="str">
        <f>'Saisie données stocks'!J51</f>
        <v>KALETRA, ALUVIA</v>
      </c>
      <c r="I134" s="962" t="str">
        <f>'Saisie données stocks'!K51</f>
        <v>RITOCOM</v>
      </c>
      <c r="J134" s="963">
        <v>120</v>
      </c>
      <c r="K134" s="955">
        <v>4</v>
      </c>
      <c r="L134" s="956">
        <f>$AK96</f>
        <v>0</v>
      </c>
      <c r="M134" s="957">
        <f>$AK97</f>
        <v>0</v>
      </c>
      <c r="N134" s="958">
        <f>$AK98</f>
        <v>0</v>
      </c>
      <c r="P134" s="956">
        <f>$AK93</f>
        <v>0</v>
      </c>
      <c r="Q134" s="957">
        <f>$AK94</f>
        <v>0</v>
      </c>
      <c r="R134" s="958">
        <f>$AK95</f>
        <v>0</v>
      </c>
    </row>
    <row r="135" spans="2:18" s="883" customFormat="1" ht="25.5" x14ac:dyDescent="0.2">
      <c r="B135" s="948"/>
      <c r="C135" s="949"/>
      <c r="D135" s="1209" t="str">
        <f>'Saisie données stocks'!F52</f>
        <v>LPV/r</v>
      </c>
      <c r="E135" s="1210" t="str">
        <f>'Saisie données stocks'!G52</f>
        <v>Cp coblister</v>
      </c>
      <c r="F135" s="1210" t="str">
        <f>'Saisie données stocks'!H52</f>
        <v>100/25 mg</v>
      </c>
      <c r="G135" s="1210" t="str">
        <f>'Saisie données stocks'!I52</f>
        <v>Lopinavir/ Ritonavir</v>
      </c>
      <c r="H135" s="1211" t="str">
        <f>'Saisie données stocks'!J52</f>
        <v>KALETRA, ALUVIA</v>
      </c>
      <c r="I135" s="1212">
        <f>'Saisie données stocks'!K52</f>
        <v>0</v>
      </c>
      <c r="J135" s="537">
        <v>60</v>
      </c>
      <c r="K135" s="1213">
        <v>2</v>
      </c>
      <c r="L135" s="956">
        <f>AL96</f>
        <v>0</v>
      </c>
      <c r="M135" s="957">
        <f>AL97</f>
        <v>0</v>
      </c>
      <c r="N135" s="958">
        <f>AL98</f>
        <v>0</v>
      </c>
      <c r="P135" s="956">
        <f>AL93</f>
        <v>0</v>
      </c>
      <c r="Q135" s="957">
        <f>AL94</f>
        <v>0</v>
      </c>
      <c r="R135" s="958">
        <f>AL95</f>
        <v>0</v>
      </c>
    </row>
    <row r="136" spans="2:18" s="883" customFormat="1" ht="25.5" x14ac:dyDescent="0.2">
      <c r="B136" s="948"/>
      <c r="C136" s="985"/>
      <c r="D136" s="990" t="str">
        <f>'Saisie données stocks'!F53</f>
        <v>ATV/r</v>
      </c>
      <c r="E136" s="991" t="str">
        <f>'Saisie données stocks'!G53</f>
        <v>Cp</v>
      </c>
      <c r="F136" s="980" t="str">
        <f>'Saisie données stocks'!H53</f>
        <v>300/100 mg</v>
      </c>
      <c r="G136" s="980" t="str">
        <f>'Saisie données stocks'!I53</f>
        <v>Atazanavir/ Ritonavir</v>
      </c>
      <c r="H136" s="986">
        <f>'Saisie données stocks'!J53</f>
        <v>0</v>
      </c>
      <c r="I136" s="981">
        <f>'Saisie données stocks'!K53</f>
        <v>0</v>
      </c>
      <c r="J136" s="982">
        <v>60</v>
      </c>
      <c r="K136" s="983">
        <v>2</v>
      </c>
      <c r="L136" s="956">
        <f>$AM96</f>
        <v>0</v>
      </c>
      <c r="M136" s="957">
        <f>$AM97</f>
        <v>0</v>
      </c>
      <c r="N136" s="958">
        <f>$AM98</f>
        <v>0</v>
      </c>
      <c r="P136" s="956">
        <f>$AM93</f>
        <v>0</v>
      </c>
      <c r="Q136" s="957">
        <f>$AM94</f>
        <v>0</v>
      </c>
      <c r="R136" s="958">
        <f>$AM95</f>
        <v>0</v>
      </c>
    </row>
    <row r="137" spans="2:18" s="883" customFormat="1" ht="25.5" x14ac:dyDescent="0.2">
      <c r="B137" s="948"/>
      <c r="C137" s="949"/>
      <c r="D137" s="1209" t="str">
        <f>'Saisie données stocks'!F54</f>
        <v>FPV</v>
      </c>
      <c r="E137" s="1210" t="str">
        <f>'Saisie données stocks'!G54</f>
        <v>Cp</v>
      </c>
      <c r="F137" s="980" t="str">
        <f>'Saisie données stocks'!H54</f>
        <v>700 mg</v>
      </c>
      <c r="G137" s="980" t="str">
        <f>'Saisie données stocks'!I54</f>
        <v>Fosamprenavir</v>
      </c>
      <c r="H137" s="986" t="str">
        <f>'Saisie données stocks'!J54</f>
        <v>TELZIR</v>
      </c>
      <c r="I137" s="981">
        <f>'Saisie données stocks'!K54</f>
        <v>0</v>
      </c>
      <c r="J137" s="982">
        <v>60</v>
      </c>
      <c r="K137" s="983">
        <v>2</v>
      </c>
      <c r="L137" s="956">
        <f>AN96</f>
        <v>0</v>
      </c>
      <c r="M137" s="957">
        <f>AN97</f>
        <v>0</v>
      </c>
      <c r="N137" s="958">
        <f>AN98</f>
        <v>0</v>
      </c>
      <c r="P137" s="956">
        <f>AN93</f>
        <v>0</v>
      </c>
      <c r="Q137" s="957">
        <f>AN94</f>
        <v>0</v>
      </c>
      <c r="R137" s="958">
        <f>AN95</f>
        <v>0</v>
      </c>
    </row>
    <row r="138" spans="2:18" s="883" customFormat="1" x14ac:dyDescent="0.2">
      <c r="B138" s="948"/>
      <c r="C138" s="985"/>
      <c r="D138" s="979" t="str">
        <f>'Saisie données stocks'!F55</f>
        <v>IDV</v>
      </c>
      <c r="E138" s="980" t="str">
        <f>'Saisie données stocks'!G55</f>
        <v>Gel</v>
      </c>
      <c r="F138" s="980" t="str">
        <f>'Saisie données stocks'!H55</f>
        <v>400 mg</v>
      </c>
      <c r="G138" s="980" t="str">
        <f>'Saisie données stocks'!I55</f>
        <v>Indinavir</v>
      </c>
      <c r="H138" s="986" t="str">
        <f>'Saisie données stocks'!J55</f>
        <v>CRIXIVAN</v>
      </c>
      <c r="I138" s="981">
        <f>'Saisie données stocks'!K55</f>
        <v>0</v>
      </c>
      <c r="J138" s="982">
        <f>AO7</f>
        <v>180</v>
      </c>
      <c r="K138" s="1816"/>
      <c r="L138" s="987">
        <f>$AO96+$AP96</f>
        <v>0</v>
      </c>
      <c r="M138" s="988">
        <f>$AO97+$AP97</f>
        <v>0</v>
      </c>
      <c r="N138" s="989">
        <f>$AO98+$AP98</f>
        <v>0</v>
      </c>
      <c r="P138" s="987">
        <f>$AO93+$AP93</f>
        <v>0</v>
      </c>
      <c r="Q138" s="988">
        <f>$AO94+$AP94</f>
        <v>0</v>
      </c>
      <c r="R138" s="989">
        <f>$AO95+$AP95</f>
        <v>0</v>
      </c>
    </row>
    <row r="139" spans="2:18" s="883" customFormat="1" x14ac:dyDescent="0.2">
      <c r="B139" s="948"/>
      <c r="C139" s="985"/>
      <c r="D139" s="979" t="str">
        <f>'Saisie données stocks'!F56</f>
        <v>DRV</v>
      </c>
      <c r="E139" s="980" t="str">
        <f>'Saisie données stocks'!G56</f>
        <v>Cp</v>
      </c>
      <c r="F139" s="980" t="str">
        <f>'Saisie données stocks'!H56</f>
        <v>300 mg</v>
      </c>
      <c r="G139" s="980" t="str">
        <f>'Saisie données stocks'!I56</f>
        <v>Darunavir</v>
      </c>
      <c r="H139" s="986" t="str">
        <f>'Saisie données stocks'!J56</f>
        <v>PREZISTA</v>
      </c>
      <c r="I139" s="981">
        <f>'Saisie données stocks'!K56</f>
        <v>0</v>
      </c>
      <c r="J139" s="982">
        <f>AQ7</f>
        <v>120</v>
      </c>
      <c r="K139" s="983">
        <f>AQ6</f>
        <v>4</v>
      </c>
      <c r="L139" s="956">
        <f>$AQ96</f>
        <v>0</v>
      </c>
      <c r="M139" s="957">
        <f>$AQ97</f>
        <v>0</v>
      </c>
      <c r="N139" s="958">
        <f>$AQ98</f>
        <v>0</v>
      </c>
      <c r="P139" s="956">
        <f>$AQ93</f>
        <v>0</v>
      </c>
      <c r="Q139" s="957">
        <f>$AQ94</f>
        <v>0</v>
      </c>
      <c r="R139" s="958">
        <f>$AQ95</f>
        <v>0</v>
      </c>
    </row>
    <row r="140" spans="2:18" s="883" customFormat="1" x14ac:dyDescent="0.2">
      <c r="B140" s="948"/>
      <c r="C140" s="985"/>
      <c r="D140" s="979" t="str">
        <f>'Saisie données stocks'!F57</f>
        <v>SQV</v>
      </c>
      <c r="E140" s="980" t="str">
        <f>'Saisie données stocks'!G57</f>
        <v>Cp</v>
      </c>
      <c r="F140" s="980" t="str">
        <f>'Saisie données stocks'!H57</f>
        <v>500 mg</v>
      </c>
      <c r="G140" s="980" t="str">
        <f>'Saisie données stocks'!I57</f>
        <v>Saquinavir</v>
      </c>
      <c r="H140" s="986" t="str">
        <f>'Saisie données stocks'!J57</f>
        <v>INVIRASE</v>
      </c>
      <c r="I140" s="981">
        <f>'Saisie données stocks'!K57</f>
        <v>0</v>
      </c>
      <c r="J140" s="982">
        <f>AR7</f>
        <v>120</v>
      </c>
      <c r="K140" s="983">
        <f>AR6</f>
        <v>4</v>
      </c>
      <c r="L140" s="956">
        <f>$AR96</f>
        <v>0</v>
      </c>
      <c r="M140" s="957">
        <f>$AR97</f>
        <v>0</v>
      </c>
      <c r="N140" s="958">
        <f>$AR98</f>
        <v>0</v>
      </c>
      <c r="P140" s="956">
        <f>$AR93</f>
        <v>0</v>
      </c>
      <c r="Q140" s="957">
        <f>$AR94</f>
        <v>0</v>
      </c>
      <c r="R140" s="958">
        <f>$AR95</f>
        <v>0</v>
      </c>
    </row>
    <row r="141" spans="2:18" s="883" customFormat="1" x14ac:dyDescent="0.2">
      <c r="B141" s="971"/>
      <c r="C141" s="972"/>
      <c r="D141" s="973" t="str">
        <f>'Saisie données stocks'!F58</f>
        <v>RTV</v>
      </c>
      <c r="E141" s="974" t="str">
        <f>'Saisie données stocks'!G58</f>
        <v>Caps</v>
      </c>
      <c r="F141" s="974" t="str">
        <f>'Saisie données stocks'!H58</f>
        <v>100 mg</v>
      </c>
      <c r="G141" s="974" t="str">
        <f>'Saisie données stocks'!I58</f>
        <v>Ritonavir</v>
      </c>
      <c r="H141" s="984" t="str">
        <f>'Saisie données stocks'!J58</f>
        <v>NORVIR</v>
      </c>
      <c r="I141" s="976">
        <f>'Saisie données stocks'!K58</f>
        <v>0</v>
      </c>
      <c r="J141" s="977">
        <f>AS7</f>
        <v>84</v>
      </c>
      <c r="K141" s="1817"/>
      <c r="L141" s="987">
        <f>$AS96+$AT96</f>
        <v>0</v>
      </c>
      <c r="M141" s="988">
        <f>$AS97+$AT97</f>
        <v>0</v>
      </c>
      <c r="N141" s="989">
        <f>$AS98+$AT98</f>
        <v>0</v>
      </c>
      <c r="P141" s="987">
        <f>$AS93+$AT93</f>
        <v>0</v>
      </c>
      <c r="Q141" s="988">
        <f>$AS94+$AT94</f>
        <v>0</v>
      </c>
      <c r="R141" s="989">
        <f>$AS95+$AT95</f>
        <v>0</v>
      </c>
    </row>
    <row r="142" spans="2:18" s="883" customFormat="1" ht="13.5" thickBot="1" x14ac:dyDescent="0.25">
      <c r="B142" s="992"/>
      <c r="C142" s="993" t="s">
        <v>266</v>
      </c>
      <c r="D142" s="994" t="str">
        <f>'Saisie données stocks'!F59</f>
        <v>RLT = RAL</v>
      </c>
      <c r="E142" s="995" t="str">
        <f>'Saisie données stocks'!G59</f>
        <v>Cp</v>
      </c>
      <c r="F142" s="995" t="str">
        <f>'Saisie données stocks'!H59</f>
        <v>400 mg</v>
      </c>
      <c r="G142" s="995" t="str">
        <f>'Saisie données stocks'!I59</f>
        <v>Raltegravir</v>
      </c>
      <c r="H142" s="996" t="str">
        <f>'Saisie données stocks'!J59</f>
        <v>ISENTRESS</v>
      </c>
      <c r="I142" s="997">
        <f>'Saisie données stocks'!K59</f>
        <v>0</v>
      </c>
      <c r="J142" s="998">
        <f>AU7</f>
        <v>60</v>
      </c>
      <c r="K142" s="999">
        <f>AU6</f>
        <v>2</v>
      </c>
      <c r="L142" s="1000">
        <f>$AU96</f>
        <v>0</v>
      </c>
      <c r="M142" s="1001">
        <f>$AU97</f>
        <v>0</v>
      </c>
      <c r="N142" s="1002">
        <f>$AU98</f>
        <v>0</v>
      </c>
      <c r="P142" s="1000">
        <f>$AU93</f>
        <v>0</v>
      </c>
      <c r="Q142" s="1001">
        <f>$AU94</f>
        <v>0</v>
      </c>
      <c r="R142" s="1002">
        <f>$AU95</f>
        <v>0</v>
      </c>
    </row>
    <row r="143" spans="2:18" customFormat="1" x14ac:dyDescent="0.2"/>
    <row r="144" spans="2:18" s="599" customFormat="1" x14ac:dyDescent="0.2">
      <c r="B144" s="1040" t="str">
        <f>'TRAD-Calculs'!B29</f>
        <v>Note</v>
      </c>
      <c r="C144" s="1041"/>
      <c r="D144" s="1042"/>
      <c r="E144" s="1042"/>
      <c r="F144" s="1042"/>
      <c r="G144" s="1042"/>
      <c r="H144" s="1042"/>
      <c r="I144" s="1042"/>
      <c r="J144" s="1042"/>
      <c r="K144" s="1042"/>
      <c r="L144" s="1042"/>
      <c r="M144" s="1042"/>
    </row>
    <row r="145" spans="1:25" s="599" customFormat="1" x14ac:dyDescent="0.2">
      <c r="C145" s="1039" t="str">
        <f>'TRAD-Calculs'!B30</f>
        <v>Les cases en gris claire correspondent aux cases incluant des calculs liés à l'addition de quantités relatives à des posologies différentes</v>
      </c>
    </row>
    <row r="146" spans="1:25" customFormat="1" x14ac:dyDescent="0.2">
      <c r="C146" s="1038"/>
    </row>
    <row r="147" spans="1:25" customFormat="1" x14ac:dyDescent="0.2"/>
    <row r="148" spans="1:25" s="358" customFormat="1" ht="15.75" thickBot="1" x14ac:dyDescent="0.25">
      <c r="A148" s="3257" t="str">
        <f>'TRAD-Calculs'!B31</f>
        <v>Etape 1 : détermination du nombre mensuel de patients nécessitant les traitements</v>
      </c>
      <c r="B148" s="3257"/>
      <c r="C148" s="3257"/>
      <c r="D148" s="3257"/>
      <c r="E148" s="3257"/>
      <c r="F148" s="3257"/>
      <c r="G148" s="3257"/>
      <c r="H148" s="3257"/>
      <c r="I148" s="3257"/>
      <c r="J148" s="3257"/>
      <c r="K148" s="3257"/>
      <c r="L148" s="3257"/>
      <c r="M148" s="3257"/>
      <c r="N148" s="3257"/>
      <c r="P148" s="356"/>
    </row>
    <row r="149" spans="1:25" s="358" customFormat="1" x14ac:dyDescent="0.2">
      <c r="P149" s="356"/>
    </row>
    <row r="150" spans="1:25" s="358" customFormat="1" ht="14.25" x14ac:dyDescent="0.2">
      <c r="B150" s="359" t="str">
        <f>'TRAD-Calculs'!B32</f>
        <v>A. Pour les patients déjà sous traitement</v>
      </c>
      <c r="C150" s="359"/>
      <c r="D150" s="359"/>
      <c r="E150" s="359"/>
      <c r="F150" s="359"/>
      <c r="G150" s="359"/>
      <c r="H150" s="359"/>
      <c r="I150" s="359"/>
      <c r="J150" s="359"/>
      <c r="K150" s="359"/>
      <c r="L150" s="359"/>
      <c r="M150" s="359"/>
      <c r="N150" s="359"/>
      <c r="P150" s="356"/>
      <c r="R150" s="1535" t="str">
        <f>'TRAD-Calculs'!B84</f>
        <v>DONNEES Nombre de patients</v>
      </c>
      <c r="S150" s="1535"/>
      <c r="T150" s="1535"/>
      <c r="U150" s="1535"/>
      <c r="V150" s="1535"/>
      <c r="W150" s="1535"/>
      <c r="X150" s="1535"/>
      <c r="Y150" s="1535"/>
    </row>
    <row r="151" spans="1:25" s="358" customFormat="1" ht="13.5" thickBot="1" x14ac:dyDescent="0.25">
      <c r="P151" s="356"/>
      <c r="R151" s="1535" t="str">
        <f>'TRAD-Calculs'!B85</f>
        <v>Avec données de PEC</v>
      </c>
      <c r="S151" s="1535"/>
      <c r="T151" s="1535"/>
      <c r="U151" s="1535"/>
      <c r="V151" s="1535" t="str">
        <f>'TRAD-Calculs'!B86</f>
        <v>Avec extrapolation consommations</v>
      </c>
      <c r="W151" s="1535"/>
      <c r="X151" s="1535"/>
      <c r="Y151" s="1535" t="str">
        <f>'TRAD-Calculs'!B87</f>
        <v>Représentation visuelle</v>
      </c>
    </row>
    <row r="152" spans="1:25" s="358" customFormat="1" ht="77.25" thickBot="1" x14ac:dyDescent="0.25">
      <c r="C152" s="85"/>
      <c r="D152" s="120"/>
      <c r="E152" s="32" t="str">
        <f>'TRAD-Calculs'!B3</f>
        <v>Composition</v>
      </c>
      <c r="F152" s="33" t="str">
        <f>'TRAD-Calculs'!B22</f>
        <v>Forme galénique</v>
      </c>
      <c r="G152" s="33" t="str">
        <f>'TRAD-Calculs'!B4</f>
        <v>Dosage</v>
      </c>
      <c r="H152" s="33" t="str">
        <f>'TRAD-Calculs'!B23</f>
        <v>DCI</v>
      </c>
      <c r="I152" s="33" t="str">
        <f>'TRAD-Calculs'!B24</f>
        <v>Nom de spécialité</v>
      </c>
      <c r="J152" s="33" t="str">
        <f>'TRAD-Calculs'!B25</f>
        <v>Nom de générique possible</v>
      </c>
      <c r="K152" s="33" t="str">
        <f>'TRAD-Calculs'!B26</f>
        <v>Conditionnement</v>
      </c>
      <c r="L152" s="1716" t="str">
        <f>'TRAD-Calculs'!B33</f>
        <v>Nombre de boites pour les adultes pour 1 mois</v>
      </c>
      <c r="M152" s="342" t="str">
        <f>'TRAD-Calculs'!B34</f>
        <v>Nombre de boites pour les enfants pour 1 mois</v>
      </c>
      <c r="N152" s="342" t="str">
        <f>'TRAD-Calculs'!B35</f>
        <v>Besoins PTME pour 1 mois</v>
      </c>
      <c r="O152" s="345" t="str">
        <f>'TRAD-Calculs'!B36</f>
        <v>Total des besoins pour 1 mois</v>
      </c>
      <c r="R152" s="345" t="str">
        <f>'TRAD-Calculs'!B15</f>
        <v>Nombre de patients suivis prenant le produit / mois</v>
      </c>
      <c r="V152" s="345" t="str">
        <f>'TRAD-Calculs'!B15</f>
        <v>Nombre de patients suivis prenant le produit / mois</v>
      </c>
      <c r="Y152" s="345" t="str">
        <f>'TRAD-Calculs'!B15</f>
        <v>Nombre de patients suivis prenant le produit / mois</v>
      </c>
    </row>
    <row r="153" spans="1:25" s="358" customFormat="1" ht="39" thickBot="1" x14ac:dyDescent="0.25">
      <c r="C153" s="31" t="str">
        <f>'TRAD-Calculs'!B28</f>
        <v>Comprimés</v>
      </c>
      <c r="D153" s="97" t="str">
        <f>'Saisie données stocks'!$E$19</f>
        <v>CDF</v>
      </c>
      <c r="E153" s="86" t="str">
        <f>'Saisie données stocks'!F19</f>
        <v>AZT+3TC+NVP</v>
      </c>
      <c r="F153" s="87" t="str">
        <f>'Saisie données stocks'!G19</f>
        <v>Cp</v>
      </c>
      <c r="G153" s="87" t="str">
        <f>'Saisie données stocks'!H19</f>
        <v>300/150/200 mg</v>
      </c>
      <c r="H153" s="87" t="str">
        <f>'Saisie données stocks'!I19</f>
        <v>Zidovudine+ Lamivudine+ Nevirapine</v>
      </c>
      <c r="I153" s="36">
        <f>'Saisie données stocks'!J19</f>
        <v>0</v>
      </c>
      <c r="J153" s="35" t="str">
        <f>'Saisie données stocks'!K19</f>
        <v>DUOVIR-N, ZIDOLAM-N</v>
      </c>
      <c r="K153" s="113">
        <f>'Saisie données stocks'!L19</f>
        <v>60</v>
      </c>
      <c r="L153" s="337">
        <f t="shared" ref="L153:L193" si="24">L102</f>
        <v>0</v>
      </c>
      <c r="M153" s="338">
        <f>'Calculs pédiatriques'!I446+'Calculs pédiatriques'!J481</f>
        <v>0</v>
      </c>
      <c r="N153" s="338">
        <f>'Saisie données conso'!N90</f>
        <v>0</v>
      </c>
      <c r="O153" s="339">
        <f>ROUNDUP(SUM(L153:N153),1)</f>
        <v>0</v>
      </c>
      <c r="Q153" s="1026"/>
      <c r="R153" s="423">
        <f t="shared" ref="R153:R193" si="25">IF(O153&gt;100,ROUNDUP((P102+M153),-1),ROUNDUP((P102+M153),0))</f>
        <v>0</v>
      </c>
      <c r="V153" s="423">
        <f t="shared" ref="V153:V193" si="26">IF(ISERROR(L317*J102/(K102*30)), "ND", (L317*J102/(K102*30)))</f>
        <v>6338</v>
      </c>
      <c r="W153" s="1026"/>
      <c r="Y153" s="423">
        <f>IF('Saisie données conso'!$I$76="X", Calculs!R153, IF('Saisie données conso'!$I$77="X", Calculs!V153, "ND"))</f>
        <v>6338</v>
      </c>
    </row>
    <row r="154" spans="1:25" s="358" customFormat="1" ht="51.75" thickBot="1" x14ac:dyDescent="0.25">
      <c r="C154" s="37"/>
      <c r="D154" s="98"/>
      <c r="E154" s="501" t="str">
        <f>'Saisie données stocks'!F20</f>
        <v>AZT+3TC+NVP</v>
      </c>
      <c r="F154" s="502" t="str">
        <f>'Saisie données stocks'!G20</f>
        <v>Cp</v>
      </c>
      <c r="G154" s="502" t="str">
        <f>'Saisie données stocks'!H20</f>
        <v>60/30/50 mg</v>
      </c>
      <c r="H154" s="502" t="str">
        <f>'Saisie données stocks'!I20</f>
        <v>Zidovudine+ Lamivudine+ Nevirapine</v>
      </c>
      <c r="I154" s="503">
        <f>'Saisie données stocks'!J20</f>
        <v>0</v>
      </c>
      <c r="J154" s="504" t="str">
        <f>'Saisie données stocks'!K20</f>
        <v>DUOVIR-N baby, ZIDOLAM-N baby</v>
      </c>
      <c r="K154" s="505">
        <f>'Saisie données stocks'!L20</f>
        <v>60</v>
      </c>
      <c r="L154" s="337">
        <f t="shared" si="24"/>
        <v>0</v>
      </c>
      <c r="M154" s="338">
        <f>'Calculs pédiatriques'!I447+'Calculs pédiatriques'!J482</f>
        <v>0</v>
      </c>
      <c r="N154" s="338">
        <f>'Saisie données conso'!N91</f>
        <v>0</v>
      </c>
      <c r="O154" s="340">
        <f t="shared" ref="O154:O193" si="27">ROUNDUP(SUM(L154:N154),1)</f>
        <v>0</v>
      </c>
      <c r="Q154" s="1026"/>
      <c r="R154" s="423">
        <f t="shared" si="25"/>
        <v>0</v>
      </c>
      <c r="V154" s="423">
        <f t="shared" si="26"/>
        <v>546</v>
      </c>
      <c r="W154" s="1026"/>
      <c r="Y154" s="423">
        <f>IF('Saisie données conso'!$I$76="X", Calculs!R154, IF('Saisie données conso'!$I$77="X", Calculs!V154, "ND"))</f>
        <v>546</v>
      </c>
    </row>
    <row r="155" spans="1:25" s="358" customFormat="1" ht="39" thickBot="1" x14ac:dyDescent="0.25">
      <c r="C155" s="37"/>
      <c r="D155" s="98"/>
      <c r="E155" s="88" t="str">
        <f>'Saisie données stocks'!F21</f>
        <v>AZT+3TC+ABC</v>
      </c>
      <c r="F155" s="89" t="str">
        <f>'Saisie données stocks'!G21</f>
        <v>Cp</v>
      </c>
      <c r="G155" s="89" t="str">
        <f>'Saisie données stocks'!H21</f>
        <v>300/150/300 mg</v>
      </c>
      <c r="H155" s="89" t="str">
        <f>'Saisie données stocks'!I21</f>
        <v>Zidovudine+ Lamivudine+ Abacavir</v>
      </c>
      <c r="I155" s="39" t="str">
        <f>'Saisie données stocks'!J21</f>
        <v>TRIZIVIR</v>
      </c>
      <c r="J155" s="38">
        <f>'Saisie données stocks'!K21</f>
        <v>0</v>
      </c>
      <c r="K155" s="114">
        <f>'Saisie données stocks'!L21</f>
        <v>60</v>
      </c>
      <c r="L155" s="337">
        <f t="shared" si="24"/>
        <v>0</v>
      </c>
      <c r="M155" s="338">
        <f>'Calculs pédiatriques'!I453</f>
        <v>0</v>
      </c>
      <c r="N155" s="338">
        <f>'Saisie données conso'!N92</f>
        <v>0</v>
      </c>
      <c r="O155" s="340">
        <f t="shared" si="27"/>
        <v>0</v>
      </c>
      <c r="Q155" s="1026"/>
      <c r="R155" s="423">
        <f t="shared" si="25"/>
        <v>0</v>
      </c>
      <c r="V155" s="423">
        <f t="shared" si="26"/>
        <v>27</v>
      </c>
      <c r="W155" s="1026"/>
      <c r="Y155" s="423">
        <f>IF('Saisie données conso'!$I$76="X", Calculs!R155, IF('Saisie données conso'!$I$77="X", Calculs!V155, "ND"))</f>
        <v>27</v>
      </c>
    </row>
    <row r="156" spans="1:25" s="358" customFormat="1" ht="51.75" thickBot="1" x14ac:dyDescent="0.25">
      <c r="C156" s="37"/>
      <c r="D156" s="98"/>
      <c r="E156" s="88" t="str">
        <f>'Saisie données stocks'!F22</f>
        <v>AZT+3TC</v>
      </c>
      <c r="F156" s="89" t="str">
        <f>'Saisie données stocks'!G22</f>
        <v>Cp</v>
      </c>
      <c r="G156" s="89" t="str">
        <f>'Saisie données stocks'!H22</f>
        <v>300/150 mg</v>
      </c>
      <c r="H156" s="89" t="str">
        <f>'Saisie données stocks'!I22</f>
        <v>Zidovudine+ Lamivudine</v>
      </c>
      <c r="I156" s="39" t="str">
        <f>'Saisie données stocks'!J22</f>
        <v>COMBIVIR</v>
      </c>
      <c r="J156" s="38" t="str">
        <f>'Saisie données stocks'!K22</f>
        <v>LAMZID, DUOVIR, ZIDOLAM, VIRACOMB</v>
      </c>
      <c r="K156" s="114">
        <f>'Saisie données stocks'!L22</f>
        <v>60</v>
      </c>
      <c r="L156" s="337">
        <f t="shared" si="24"/>
        <v>0</v>
      </c>
      <c r="M156" s="338">
        <f>'Calculs pédiatriques'!I448</f>
        <v>0</v>
      </c>
      <c r="N156" s="338">
        <f>'Saisie données conso'!N93</f>
        <v>0</v>
      </c>
      <c r="O156" s="341">
        <f t="shared" si="27"/>
        <v>0</v>
      </c>
      <c r="Q156" s="1026"/>
      <c r="R156" s="423">
        <f t="shared" si="25"/>
        <v>0</v>
      </c>
      <c r="V156" s="423">
        <f t="shared" si="26"/>
        <v>1267</v>
      </c>
      <c r="W156" s="1026"/>
      <c r="Y156" s="423">
        <f>IF('Saisie données conso'!$I$76="X", Calculs!R156, IF('Saisie données conso'!$I$77="X", Calculs!V156, "ND"))</f>
        <v>1267</v>
      </c>
    </row>
    <row r="157" spans="1:25" s="358" customFormat="1" ht="51.75" thickBot="1" x14ac:dyDescent="0.25">
      <c r="C157" s="37"/>
      <c r="D157" s="98"/>
      <c r="E157" s="1656" t="str">
        <f>'Saisie données stocks'!F23</f>
        <v>AZT+3TC</v>
      </c>
      <c r="F157" s="1657" t="str">
        <f>'Saisie données stocks'!G23</f>
        <v>Cp</v>
      </c>
      <c r="G157" s="1657" t="str">
        <f>'Saisie données stocks'!H23</f>
        <v>60/30 mg</v>
      </c>
      <c r="H157" s="1657" t="str">
        <f>'Saisie données stocks'!I23</f>
        <v>Zidovudine+ Lamivudine</v>
      </c>
      <c r="I157" s="2442">
        <f>'Saisie données stocks'!J23</f>
        <v>0</v>
      </c>
      <c r="J157" s="2443" t="str">
        <f>'Saisie données stocks'!K23</f>
        <v>DUOVIR baby, ZIDOLAM baby</v>
      </c>
      <c r="K157" s="505">
        <f>'Saisie données stocks'!L23</f>
        <v>60</v>
      </c>
      <c r="L157" s="337">
        <f t="shared" si="24"/>
        <v>0</v>
      </c>
      <c r="M157" s="338">
        <f>'Calculs pédiatriques'!I449+'Calculs pédiatriques'!J484</f>
        <v>0</v>
      </c>
      <c r="N157" s="338">
        <f>'Saisie données conso'!N94</f>
        <v>0</v>
      </c>
      <c r="O157" s="341">
        <f t="shared" si="27"/>
        <v>0</v>
      </c>
      <c r="Q157" s="1026"/>
      <c r="R157" s="423">
        <f t="shared" si="25"/>
        <v>0</v>
      </c>
      <c r="V157" s="423">
        <f t="shared" si="26"/>
        <v>146</v>
      </c>
      <c r="W157" s="1026"/>
      <c r="Y157" s="423">
        <f>IF('Saisie données conso'!$I$76="X", Calculs!R157, IF('Saisie données conso'!$I$77="X", Calculs!V157, "ND"))</f>
        <v>146</v>
      </c>
    </row>
    <row r="158" spans="1:25" s="358" customFormat="1" ht="26.25" thickBot="1" x14ac:dyDescent="0.25">
      <c r="C158" s="37"/>
      <c r="D158" s="98"/>
      <c r="E158" s="1656" t="str">
        <f>'Saisie données stocks'!F24</f>
        <v>3TC+ABC</v>
      </c>
      <c r="F158" s="1657" t="str">
        <f>'Saisie données stocks'!G24</f>
        <v>Cp</v>
      </c>
      <c r="G158" s="1657" t="str">
        <f>'Saisie données stocks'!H24</f>
        <v>300/600 mg</v>
      </c>
      <c r="H158" s="1657" t="str">
        <f>'Saisie données stocks'!I24</f>
        <v>Lamivudine+ Abacavir</v>
      </c>
      <c r="I158" s="2442">
        <f>'Saisie données stocks'!J24</f>
        <v>0</v>
      </c>
      <c r="J158" s="2443" t="str">
        <f>'Saisie données stocks'!K24</f>
        <v>KIVEXA</v>
      </c>
      <c r="K158" s="505">
        <f>'Saisie données stocks'!L24</f>
        <v>30</v>
      </c>
      <c r="L158" s="337">
        <f t="shared" si="24"/>
        <v>0</v>
      </c>
      <c r="M158" s="338">
        <f>'Calculs pédiatriques'!I454</f>
        <v>0</v>
      </c>
      <c r="N158" s="338">
        <f>'Saisie données conso'!N95</f>
        <v>0</v>
      </c>
      <c r="O158" s="341">
        <f t="shared" si="27"/>
        <v>0</v>
      </c>
      <c r="Q158" s="1026"/>
      <c r="R158" s="423">
        <f t="shared" si="25"/>
        <v>0</v>
      </c>
      <c r="V158" s="423">
        <f t="shared" si="26"/>
        <v>56</v>
      </c>
      <c r="W158" s="1026"/>
      <c r="Y158" s="423">
        <f>IF('Saisie données conso'!$I$76="X", Calculs!R158, IF('Saisie données conso'!$I$77="X", Calculs!V158, "ND"))</f>
        <v>56</v>
      </c>
    </row>
    <row r="159" spans="1:25" s="358" customFormat="1" ht="26.25" thickBot="1" x14ac:dyDescent="0.25">
      <c r="C159" s="37"/>
      <c r="D159" s="98"/>
      <c r="E159" s="1656" t="str">
        <f>'Saisie données stocks'!F25</f>
        <v>3TC+ABC</v>
      </c>
      <c r="F159" s="1657" t="str">
        <f>'Saisie données stocks'!G25</f>
        <v>Cp</v>
      </c>
      <c r="G159" s="1657" t="str">
        <f>'Saisie données stocks'!H25</f>
        <v>30/60 mg</v>
      </c>
      <c r="H159" s="1657" t="str">
        <f>'Saisie données stocks'!I25</f>
        <v>Lamivudine+ Abacavir</v>
      </c>
      <c r="I159" s="2442">
        <f>'Saisie données stocks'!J25</f>
        <v>0</v>
      </c>
      <c r="J159" s="2443">
        <f>'Saisie données stocks'!K25</f>
        <v>0</v>
      </c>
      <c r="K159" s="505">
        <f>'Saisie données stocks'!L25</f>
        <v>60</v>
      </c>
      <c r="L159" s="337">
        <f t="shared" si="24"/>
        <v>0</v>
      </c>
      <c r="M159" s="338">
        <f>'Calculs pédiatriques'!I455</f>
        <v>0</v>
      </c>
      <c r="N159" s="338">
        <f>'Saisie données conso'!N96</f>
        <v>0</v>
      </c>
      <c r="O159" s="1650">
        <f t="shared" si="27"/>
        <v>0</v>
      </c>
      <c r="Q159" s="1026"/>
      <c r="R159" s="423">
        <f t="shared" si="25"/>
        <v>0</v>
      </c>
      <c r="V159" s="423">
        <f t="shared" si="26"/>
        <v>22</v>
      </c>
      <c r="W159" s="1026"/>
      <c r="Y159" s="423">
        <f>IF('Saisie données conso'!$I$76="X", Calculs!R159, IF('Saisie données conso'!$I$77="X", Calculs!V159, "ND"))</f>
        <v>22</v>
      </c>
    </row>
    <row r="160" spans="1:25" s="358" customFormat="1" ht="39" thickBot="1" x14ac:dyDescent="0.25">
      <c r="C160" s="37"/>
      <c r="D160" s="98"/>
      <c r="E160" s="1660" t="str">
        <f>'Saisie données stocks'!F26</f>
        <v>D4T+3TC+NVP</v>
      </c>
      <c r="F160" s="1661" t="str">
        <f>'Saisie données stocks'!G26</f>
        <v>Cp</v>
      </c>
      <c r="G160" s="1661" t="str">
        <f>'Saisie données stocks'!H26</f>
        <v>30/150/200 mg</v>
      </c>
      <c r="H160" s="1662" t="str">
        <f>'Saisie données stocks'!I26</f>
        <v>Stavudine+ Lamivudine+ Nevirapine</v>
      </c>
      <c r="I160" s="2444">
        <f>'Saisie données stocks'!J26</f>
        <v>0</v>
      </c>
      <c r="J160" s="2445" t="str">
        <f>'Saisie données stocks'!K26</f>
        <v>TRIOMUNE</v>
      </c>
      <c r="K160" s="115">
        <f>'Saisie données stocks'!L26</f>
        <v>60</v>
      </c>
      <c r="L160" s="337">
        <f t="shared" si="24"/>
        <v>0</v>
      </c>
      <c r="M160" s="338">
        <f>'Calculs pédiatriques'!I450</f>
        <v>0</v>
      </c>
      <c r="N160" s="338">
        <f>'Saisie données conso'!N97</f>
        <v>0</v>
      </c>
      <c r="O160" s="341">
        <f t="shared" si="27"/>
        <v>0</v>
      </c>
      <c r="Q160" s="1026"/>
      <c r="R160" s="423">
        <f t="shared" si="25"/>
        <v>0</v>
      </c>
      <c r="V160" s="423">
        <f t="shared" si="26"/>
        <v>0</v>
      </c>
      <c r="W160" s="1026"/>
      <c r="Y160" s="423">
        <f>IF('Saisie données conso'!$I$76="X", Calculs!R160, IF('Saisie données conso'!$I$77="X", Calculs!V160, "ND"))</f>
        <v>0</v>
      </c>
    </row>
    <row r="161" spans="3:25" s="358" customFormat="1" ht="39" thickBot="1" x14ac:dyDescent="0.25">
      <c r="C161" s="37"/>
      <c r="D161" s="98"/>
      <c r="E161" s="1660" t="str">
        <f>'Saisie données stocks'!F27</f>
        <v>D4T+3TC+NVP</v>
      </c>
      <c r="F161" s="1661" t="str">
        <f>'Saisie données stocks'!G27</f>
        <v>Cp</v>
      </c>
      <c r="G161" s="1661" t="str">
        <f>'Saisie données stocks'!H27</f>
        <v>6/30/50 mg</v>
      </c>
      <c r="H161" s="1662" t="str">
        <f>'Saisie données stocks'!I27</f>
        <v>Stavudine+ Lamivudine+ Nevirapine</v>
      </c>
      <c r="I161" s="2445">
        <f>'Saisie données stocks'!J27</f>
        <v>0</v>
      </c>
      <c r="J161" s="2445" t="str">
        <f>'Saisie données stocks'!K27</f>
        <v>TRIOMUNE baby</v>
      </c>
      <c r="K161" s="115">
        <f>'Saisie données stocks'!L27</f>
        <v>60</v>
      </c>
      <c r="L161" s="337">
        <f t="shared" si="24"/>
        <v>0</v>
      </c>
      <c r="M161" s="338">
        <f>'Calculs pédiatriques'!I451+'Calculs pédiatriques'!J486</f>
        <v>0</v>
      </c>
      <c r="N161" s="338">
        <f>'Saisie données conso'!N98</f>
        <v>0</v>
      </c>
      <c r="O161" s="341">
        <f t="shared" si="27"/>
        <v>0</v>
      </c>
      <c r="Q161" s="1026"/>
      <c r="R161" s="423">
        <f t="shared" si="25"/>
        <v>0</v>
      </c>
      <c r="V161" s="423">
        <f t="shared" si="26"/>
        <v>100</v>
      </c>
      <c r="W161" s="1026"/>
      <c r="Y161" s="423">
        <f>IF('Saisie données conso'!$I$76="X", Calculs!R161, IF('Saisie données conso'!$I$77="X", Calculs!V161, "ND"))</f>
        <v>100</v>
      </c>
    </row>
    <row r="162" spans="3:25" s="358" customFormat="1" ht="26.25" thickBot="1" x14ac:dyDescent="0.25">
      <c r="C162" s="37"/>
      <c r="D162" s="98"/>
      <c r="E162" s="1660" t="str">
        <f>'Saisie données stocks'!F28</f>
        <v>D4T+3TC</v>
      </c>
      <c r="F162" s="1661" t="str">
        <f>'Saisie données stocks'!G28</f>
        <v>Cp</v>
      </c>
      <c r="G162" s="1661" t="str">
        <f>'Saisie données stocks'!H28</f>
        <v>30/150 mg</v>
      </c>
      <c r="H162" s="1659" t="str">
        <f>'Saisie données stocks'!I28</f>
        <v>Stavudine+ Lamivudine</v>
      </c>
      <c r="I162" s="2446">
        <f>'Saisie données stocks'!J28</f>
        <v>0</v>
      </c>
      <c r="J162" s="2445" t="str">
        <f>'Saisie données stocks'!K28</f>
        <v>COVIRO, LAMIVIR-S</v>
      </c>
      <c r="K162" s="115">
        <f>'Saisie données stocks'!L28</f>
        <v>60</v>
      </c>
      <c r="L162" s="337">
        <f t="shared" si="24"/>
        <v>0</v>
      </c>
      <c r="M162" s="338">
        <f>'Calculs pédiatriques'!I452</f>
        <v>0</v>
      </c>
      <c r="N162" s="338">
        <f>'Saisie données conso'!N99</f>
        <v>0</v>
      </c>
      <c r="O162" s="341">
        <f t="shared" si="27"/>
        <v>0</v>
      </c>
      <c r="Q162" s="1026"/>
      <c r="R162" s="423">
        <f t="shared" si="25"/>
        <v>0</v>
      </c>
      <c r="V162" s="423">
        <f t="shared" si="26"/>
        <v>45</v>
      </c>
      <c r="W162" s="1026"/>
      <c r="Y162" s="423">
        <f>IF('Saisie données conso'!$I$76="X", Calculs!R162, IF('Saisie données conso'!$I$77="X", Calculs!V162, "ND"))</f>
        <v>45</v>
      </c>
    </row>
    <row r="163" spans="3:25" s="358" customFormat="1" ht="39" thickBot="1" x14ac:dyDescent="0.25">
      <c r="C163" s="37"/>
      <c r="D163" s="98"/>
      <c r="E163" s="1660" t="str">
        <f>'Saisie données stocks'!F29</f>
        <v>TDF+FTC+EFV</v>
      </c>
      <c r="F163" s="1661" t="str">
        <f>'Saisie données stocks'!G29</f>
        <v>Cp</v>
      </c>
      <c r="G163" s="1661" t="str">
        <f>'Saisie données stocks'!H29</f>
        <v>300/200/600 mg</v>
      </c>
      <c r="H163" s="1659" t="str">
        <f>'Saisie données stocks'!I29</f>
        <v>Tenofovir+ Emtricitabine+ Efavirenz</v>
      </c>
      <c r="I163" s="2446" t="str">
        <f>'Saisie données stocks'!J29</f>
        <v>ATRIPLA</v>
      </c>
      <c r="J163" s="2445">
        <f>'Saisie données stocks'!K29</f>
        <v>0</v>
      </c>
      <c r="K163" s="115">
        <f>'Saisie données stocks'!L29</f>
        <v>30</v>
      </c>
      <c r="L163" s="337">
        <f t="shared" si="24"/>
        <v>0</v>
      </c>
      <c r="M163" s="338"/>
      <c r="N163" s="338">
        <f>'Saisie données conso'!N100</f>
        <v>0</v>
      </c>
      <c r="O163" s="341">
        <f t="shared" si="27"/>
        <v>0</v>
      </c>
      <c r="Q163" s="1026"/>
      <c r="R163" s="423">
        <f t="shared" si="25"/>
        <v>0</v>
      </c>
      <c r="V163" s="423">
        <f t="shared" si="26"/>
        <v>0</v>
      </c>
      <c r="W163" s="1026"/>
      <c r="Y163" s="423">
        <f>IF('Saisie données conso'!$I$76="X", Calculs!R163, IF('Saisie données conso'!$I$77="X", Calculs!V163, "ND"))</f>
        <v>0</v>
      </c>
    </row>
    <row r="164" spans="3:25" s="358" customFormat="1" ht="26.25" thickBot="1" x14ac:dyDescent="0.25">
      <c r="C164" s="37"/>
      <c r="D164" s="98"/>
      <c r="E164" s="1660" t="str">
        <f>'Saisie données stocks'!F30</f>
        <v>TDF+FTC</v>
      </c>
      <c r="F164" s="1661" t="str">
        <f>'Saisie données stocks'!G30</f>
        <v>Cp</v>
      </c>
      <c r="G164" s="1661" t="str">
        <f>'Saisie données stocks'!H30</f>
        <v>300/200 mg</v>
      </c>
      <c r="H164" s="1659" t="str">
        <f>'Saisie données stocks'!I30</f>
        <v>Tenofovir+ Emtricitabine</v>
      </c>
      <c r="I164" s="2446" t="str">
        <f>'Saisie données stocks'!J30</f>
        <v>TRUVADA</v>
      </c>
      <c r="J164" s="2445">
        <f>'Saisie données stocks'!K30</f>
        <v>0</v>
      </c>
      <c r="K164" s="115">
        <f>'Saisie données stocks'!L30</f>
        <v>30</v>
      </c>
      <c r="L164" s="337">
        <f t="shared" si="24"/>
        <v>0</v>
      </c>
      <c r="M164" s="338"/>
      <c r="N164" s="338">
        <f>'Saisie données conso'!N101</f>
        <v>0</v>
      </c>
      <c r="O164" s="341">
        <f t="shared" si="27"/>
        <v>0</v>
      </c>
      <c r="Q164" s="1026"/>
      <c r="R164" s="423">
        <f t="shared" si="25"/>
        <v>0</v>
      </c>
      <c r="V164" s="423">
        <f t="shared" si="26"/>
        <v>0</v>
      </c>
      <c r="W164" s="1026"/>
      <c r="Y164" s="423">
        <f>IF('Saisie données conso'!$I$76="X", Calculs!R164, IF('Saisie données conso'!$I$77="X", Calculs!V164, "ND"))</f>
        <v>0</v>
      </c>
    </row>
    <row r="165" spans="3:25" s="358" customFormat="1" ht="39" thickBot="1" x14ac:dyDescent="0.25">
      <c r="C165" s="37"/>
      <c r="D165" s="123"/>
      <c r="E165" s="1660" t="str">
        <f>'Saisie données stocks'!F31</f>
        <v>TDF+3TC+EFV</v>
      </c>
      <c r="F165" s="1661" t="str">
        <f>'Saisie données stocks'!G31</f>
        <v>Cp</v>
      </c>
      <c r="G165" s="1661" t="str">
        <f>'Saisie données stocks'!H31</f>
        <v>300/200/600 mg</v>
      </c>
      <c r="H165" s="1659" t="str">
        <f>'Saisie données stocks'!I31</f>
        <v>Tenofovir+ Lamivudine+ Efavirenz</v>
      </c>
      <c r="I165" s="2446" t="str">
        <f>'Saisie données stocks'!J31</f>
        <v>ATRIPLA</v>
      </c>
      <c r="J165" s="2445">
        <f>'Saisie données stocks'!K31</f>
        <v>0</v>
      </c>
      <c r="K165" s="115">
        <f>'Saisie données stocks'!L31</f>
        <v>30</v>
      </c>
      <c r="L165" s="337">
        <f t="shared" si="24"/>
        <v>0</v>
      </c>
      <c r="M165" s="338"/>
      <c r="N165" s="338">
        <f>'Saisie données conso'!N102</f>
        <v>0</v>
      </c>
      <c r="O165" s="341">
        <f t="shared" si="27"/>
        <v>0</v>
      </c>
      <c r="Q165" s="1026"/>
      <c r="R165" s="423">
        <f t="shared" si="25"/>
        <v>0</v>
      </c>
      <c r="V165" s="423">
        <f t="shared" si="26"/>
        <v>1484</v>
      </c>
      <c r="W165" s="1026"/>
      <c r="Y165" s="423">
        <f>IF('Saisie données conso'!$I$76="X", Calculs!R165, IF('Saisie données conso'!$I$77="X", Calculs!V165, "ND"))</f>
        <v>1484</v>
      </c>
    </row>
    <row r="166" spans="3:25" s="358" customFormat="1" ht="26.25" thickBot="1" x14ac:dyDescent="0.25">
      <c r="C166" s="37"/>
      <c r="D166" s="123"/>
      <c r="E166" s="1660" t="str">
        <f>'Saisie données stocks'!F32</f>
        <v>TDF+3TC</v>
      </c>
      <c r="F166" s="1661" t="str">
        <f>'Saisie données stocks'!G32</f>
        <v>Cp</v>
      </c>
      <c r="G166" s="1661" t="str">
        <f>'Saisie données stocks'!H32</f>
        <v>300/200 mg</v>
      </c>
      <c r="H166" s="1659" t="str">
        <f>'Saisie données stocks'!I32</f>
        <v>Tenofovir+ Lamivudine</v>
      </c>
      <c r="I166" s="2446">
        <f>'Saisie données stocks'!J32</f>
        <v>0</v>
      </c>
      <c r="J166" s="2445">
        <f>'Saisie données stocks'!K32</f>
        <v>0</v>
      </c>
      <c r="K166" s="115">
        <f>'Saisie données stocks'!L32</f>
        <v>30</v>
      </c>
      <c r="L166" s="337">
        <f t="shared" si="24"/>
        <v>0</v>
      </c>
      <c r="M166" s="338"/>
      <c r="N166" s="338">
        <f>'Saisie données conso'!N103</f>
        <v>0</v>
      </c>
      <c r="O166" s="341">
        <f t="shared" si="27"/>
        <v>0</v>
      </c>
      <c r="Q166" s="1026"/>
      <c r="R166" s="423">
        <f t="shared" si="25"/>
        <v>0</v>
      </c>
      <c r="V166" s="423">
        <f t="shared" si="26"/>
        <v>104</v>
      </c>
      <c r="W166" s="1026"/>
      <c r="Y166" s="423">
        <f>IF('Saisie données conso'!$I$76="X", Calculs!R166, IF('Saisie données conso'!$I$77="X", Calculs!V166, "ND"))</f>
        <v>104</v>
      </c>
    </row>
    <row r="167" spans="3:25" s="358" customFormat="1" ht="51.75" thickBot="1" x14ac:dyDescent="0.25">
      <c r="C167" s="100"/>
      <c r="D167" s="101"/>
      <c r="E167" s="1663" t="str">
        <f>'Saisie données stocks'!F33</f>
        <v>[TDF+3TC]+ATV/r</v>
      </c>
      <c r="F167" s="1664" t="str">
        <f>'Saisie données stocks'!G33</f>
        <v>Cp coblister</v>
      </c>
      <c r="G167" s="1664" t="str">
        <f>'Saisie données stocks'!H33</f>
        <v>[300/300]+300/100 mg</v>
      </c>
      <c r="H167" s="2447" t="str">
        <f>'Saisie données stocks'!I33</f>
        <v>[Tenofovir+ Lamivudine]+ Atazanavir/Ritonavir</v>
      </c>
      <c r="I167" s="2448">
        <f>'Saisie données stocks'!J33</f>
        <v>0</v>
      </c>
      <c r="J167" s="2449">
        <f>'Saisie données stocks'!K33</f>
        <v>0</v>
      </c>
      <c r="K167" s="116">
        <f>'Saisie données stocks'!L33</f>
        <v>30</v>
      </c>
      <c r="L167" s="337">
        <f t="shared" si="24"/>
        <v>0</v>
      </c>
      <c r="M167" s="338"/>
      <c r="N167" s="338">
        <f>'Saisie données conso'!N104</f>
        <v>0</v>
      </c>
      <c r="O167" s="1650">
        <f t="shared" si="27"/>
        <v>0</v>
      </c>
      <c r="Q167" s="1026"/>
      <c r="R167" s="423">
        <f t="shared" si="25"/>
        <v>0</v>
      </c>
      <c r="V167" s="423">
        <f t="shared" si="26"/>
        <v>0</v>
      </c>
      <c r="W167" s="1026"/>
      <c r="Y167" s="423">
        <f>IF('Saisie données conso'!$I$76="X", Calculs!R167, IF('Saisie données conso'!$I$77="X", Calculs!V167, "ND"))</f>
        <v>0</v>
      </c>
    </row>
    <row r="168" spans="3:25" s="358" customFormat="1" ht="26.25" thickBot="1" x14ac:dyDescent="0.25">
      <c r="C168" s="37"/>
      <c r="D168" s="98" t="str">
        <f>'Saisie données stocks'!$E$34</f>
        <v>INNTI</v>
      </c>
      <c r="E168" s="1658" t="str">
        <f>'Saisie données stocks'!F34</f>
        <v>EFV</v>
      </c>
      <c r="F168" s="1659" t="str">
        <f>'Saisie données stocks'!G34</f>
        <v>Gél</v>
      </c>
      <c r="G168" s="1659" t="str">
        <f>'Saisie données stocks'!H34</f>
        <v>50 mg</v>
      </c>
      <c r="H168" s="1659" t="str">
        <f>'Saisie données stocks'!I34</f>
        <v>Efavirenz</v>
      </c>
      <c r="I168" s="2446" t="str">
        <f>'Saisie données stocks'!J34</f>
        <v>SUSTIVA, STOCRIN</v>
      </c>
      <c r="J168" s="2446">
        <f>'Saisie données stocks'!K34</f>
        <v>0</v>
      </c>
      <c r="K168" s="114">
        <f>'Saisie données stocks'!L34</f>
        <v>30</v>
      </c>
      <c r="L168" s="337">
        <f t="shared" si="24"/>
        <v>0</v>
      </c>
      <c r="M168" s="338">
        <f>'Calculs pédiatriques'!I464</f>
        <v>0</v>
      </c>
      <c r="N168" s="338">
        <f>'Saisie données conso'!N105</f>
        <v>0</v>
      </c>
      <c r="O168" s="341">
        <f t="shared" si="27"/>
        <v>0</v>
      </c>
      <c r="Q168" s="1026"/>
      <c r="R168" s="423">
        <f t="shared" si="25"/>
        <v>0</v>
      </c>
      <c r="V168" s="423" t="str">
        <f t="shared" si="26"/>
        <v>ND</v>
      </c>
      <c r="W168" s="1026"/>
      <c r="Y168" s="423" t="str">
        <f>IF('Saisie données conso'!$I$76="X", Calculs!R168, IF('Saisie données conso'!$I$77="X", Calculs!V168, "ND"))</f>
        <v>ND</v>
      </c>
    </row>
    <row r="169" spans="3:25" s="358" customFormat="1" ht="26.25" thickBot="1" x14ac:dyDescent="0.25">
      <c r="C169" s="37"/>
      <c r="D169" s="98"/>
      <c r="E169" s="1660" t="str">
        <f>'Saisie données stocks'!F35</f>
        <v>EFV</v>
      </c>
      <c r="F169" s="1661" t="str">
        <f>'Saisie données stocks'!G35</f>
        <v>Gél</v>
      </c>
      <c r="G169" s="1661" t="str">
        <f>'Saisie données stocks'!H35</f>
        <v>200 mg</v>
      </c>
      <c r="H169" s="1659" t="str">
        <f>'Saisie données stocks'!I35</f>
        <v>Efavirenz</v>
      </c>
      <c r="I169" s="2446" t="str">
        <f>'Saisie données stocks'!J35</f>
        <v>SUSTIVA, STOCRIN</v>
      </c>
      <c r="J169" s="2445">
        <f>'Saisie données stocks'!K35</f>
        <v>0</v>
      </c>
      <c r="K169" s="115">
        <f>'Saisie données stocks'!L35</f>
        <v>90</v>
      </c>
      <c r="L169" s="337">
        <f t="shared" si="24"/>
        <v>0</v>
      </c>
      <c r="M169" s="338">
        <f>'Calculs pédiatriques'!I463</f>
        <v>0</v>
      </c>
      <c r="N169" s="338">
        <f>'Saisie données conso'!N106</f>
        <v>0</v>
      </c>
      <c r="O169" s="341">
        <f t="shared" si="27"/>
        <v>0</v>
      </c>
      <c r="Q169" s="1026"/>
      <c r="R169" s="423">
        <f t="shared" si="25"/>
        <v>0</v>
      </c>
      <c r="V169" s="423" t="str">
        <f t="shared" si="26"/>
        <v>ND</v>
      </c>
      <c r="W169" s="1026"/>
      <c r="Y169" s="423" t="str">
        <f>IF('Saisie données conso'!$I$76="X", Calculs!R169, IF('Saisie données conso'!$I$77="X", Calculs!V169, "ND"))</f>
        <v>ND</v>
      </c>
    </row>
    <row r="170" spans="3:25" s="358" customFormat="1" ht="26.25" thickBot="1" x14ac:dyDescent="0.25">
      <c r="C170" s="37"/>
      <c r="D170" s="98"/>
      <c r="E170" s="1665" t="str">
        <f>'Saisie données stocks'!F36</f>
        <v>EFV</v>
      </c>
      <c r="F170" s="1666" t="str">
        <f>'Saisie données stocks'!G36</f>
        <v>Cp</v>
      </c>
      <c r="G170" s="1666" t="str">
        <f>'Saisie données stocks'!H36</f>
        <v>600 mg</v>
      </c>
      <c r="H170" s="1673" t="str">
        <f>'Saisie données stocks'!I36</f>
        <v>Efavirenz</v>
      </c>
      <c r="I170" s="2446" t="str">
        <f>'Saisie données stocks'!J36</f>
        <v>SUSTIVA, STOCRIN</v>
      </c>
      <c r="J170" s="2450">
        <f>'Saisie données stocks'!K36</f>
        <v>0</v>
      </c>
      <c r="K170" s="117">
        <f>'Saisie données stocks'!L36</f>
        <v>30</v>
      </c>
      <c r="L170" s="337">
        <f t="shared" si="24"/>
        <v>0</v>
      </c>
      <c r="M170" s="338"/>
      <c r="N170" s="338">
        <f>'Saisie données conso'!N107</f>
        <v>0</v>
      </c>
      <c r="O170" s="341">
        <f t="shared" si="27"/>
        <v>0</v>
      </c>
      <c r="Q170" s="1026"/>
      <c r="R170" s="423">
        <f t="shared" si="25"/>
        <v>0</v>
      </c>
      <c r="V170" s="423">
        <f t="shared" si="26"/>
        <v>1485</v>
      </c>
      <c r="W170" s="1026"/>
      <c r="Y170" s="423">
        <f>IF('Saisie données conso'!$I$76="X", Calculs!R170, IF('Saisie données conso'!$I$77="X", Calculs!V170, "ND"))</f>
        <v>1485</v>
      </c>
    </row>
    <row r="171" spans="3:25" s="358" customFormat="1" ht="13.5" thickBot="1" x14ac:dyDescent="0.25">
      <c r="C171" s="37"/>
      <c r="D171" s="98"/>
      <c r="E171" s="1667" t="str">
        <f>'Saisie données stocks'!F37</f>
        <v>ETV</v>
      </c>
      <c r="F171" s="1668" t="str">
        <f>'Saisie données stocks'!G37</f>
        <v>Cp</v>
      </c>
      <c r="G171" s="1668" t="str">
        <f>'Saisie données stocks'!H37</f>
        <v>200 mg</v>
      </c>
      <c r="H171" s="1673" t="str">
        <f>'Saisie données stocks'!I37</f>
        <v>Etravirine</v>
      </c>
      <c r="I171" s="2451" t="str">
        <f>'Saisie données stocks'!J37</f>
        <v>INTELENCE</v>
      </c>
      <c r="J171" s="2452">
        <f>'Saisie données stocks'!K37</f>
        <v>0</v>
      </c>
      <c r="K171" s="1386">
        <f>'Saisie données stocks'!L37</f>
        <v>60</v>
      </c>
      <c r="L171" s="337">
        <f t="shared" si="24"/>
        <v>0</v>
      </c>
      <c r="M171" s="338"/>
      <c r="N171" s="338">
        <f>'Saisie données conso'!N108</f>
        <v>0</v>
      </c>
      <c r="O171" s="1650">
        <f t="shared" si="27"/>
        <v>0</v>
      </c>
      <c r="Q171" s="1026"/>
      <c r="R171" s="423">
        <f t="shared" si="25"/>
        <v>0</v>
      </c>
      <c r="V171" s="423">
        <f t="shared" si="26"/>
        <v>0</v>
      </c>
      <c r="W171" s="1026"/>
      <c r="Y171" s="423">
        <f>IF('Saisie données conso'!$I$76="X", Calculs!R171, IF('Saisie données conso'!$I$77="X", Calculs!V171, "ND"))</f>
        <v>0</v>
      </c>
    </row>
    <row r="172" spans="3:25" s="358" customFormat="1" ht="13.5" thickBot="1" x14ac:dyDescent="0.25">
      <c r="C172" s="37"/>
      <c r="D172" s="123"/>
      <c r="E172" s="1660" t="str">
        <f>'Saisie données stocks'!F38</f>
        <v>NVP</v>
      </c>
      <c r="F172" s="1661" t="str">
        <f>'Saisie données stocks'!G38</f>
        <v>Cp</v>
      </c>
      <c r="G172" s="1661" t="str">
        <f>'Saisie données stocks'!H38</f>
        <v>200 mg</v>
      </c>
      <c r="H172" s="1659" t="str">
        <f>'Saisie données stocks'!I38</f>
        <v>Nevirapine</v>
      </c>
      <c r="I172" s="2446" t="str">
        <f>'Saisie données stocks'!J38</f>
        <v>VIRAMUNE</v>
      </c>
      <c r="J172" s="2445">
        <f>'Saisie données stocks'!K38</f>
        <v>0</v>
      </c>
      <c r="K172" s="115">
        <f>'Saisie données stocks'!L38</f>
        <v>60</v>
      </c>
      <c r="L172" s="337">
        <f t="shared" si="24"/>
        <v>0</v>
      </c>
      <c r="M172" s="338">
        <f>'Calculs pédiatriques'!I462</f>
        <v>0</v>
      </c>
      <c r="N172" s="338">
        <f>'Saisie données conso'!N109</f>
        <v>0</v>
      </c>
      <c r="O172" s="341">
        <f t="shared" si="27"/>
        <v>0</v>
      </c>
      <c r="Q172" s="1026"/>
      <c r="R172" s="423">
        <f t="shared" si="25"/>
        <v>0</v>
      </c>
      <c r="V172" s="423">
        <f t="shared" si="26"/>
        <v>0</v>
      </c>
      <c r="W172" s="1026"/>
      <c r="Y172" s="423">
        <f>IF('Saisie données conso'!$I$76="X", Calculs!R172, IF('Saisie données conso'!$I$77="X", Calculs!V172, "ND"))</f>
        <v>0</v>
      </c>
    </row>
    <row r="173" spans="3:25" s="358" customFormat="1" ht="13.5" thickBot="1" x14ac:dyDescent="0.25">
      <c r="C173" s="100"/>
      <c r="D173" s="101"/>
      <c r="E173" s="1663" t="str">
        <f>'Saisie données stocks'!F39</f>
        <v>RPV</v>
      </c>
      <c r="F173" s="1664" t="str">
        <f>'Saisie données stocks'!G39</f>
        <v>Cp</v>
      </c>
      <c r="G173" s="1664" t="str">
        <f>'Saisie données stocks'!H39</f>
        <v>25 mg</v>
      </c>
      <c r="H173" s="2447" t="str">
        <f>'Saisie données stocks'!I39</f>
        <v>Rilpivirine</v>
      </c>
      <c r="I173" s="2448" t="str">
        <f>'Saisie données stocks'!J39</f>
        <v>EDURANT</v>
      </c>
      <c r="J173" s="2449">
        <f>'Saisie données stocks'!K39</f>
        <v>0</v>
      </c>
      <c r="K173" s="116">
        <f>'Saisie données stocks'!L39</f>
        <v>30</v>
      </c>
      <c r="L173" s="337">
        <f t="shared" si="24"/>
        <v>0</v>
      </c>
      <c r="M173" s="338"/>
      <c r="N173" s="338">
        <f>'Saisie données conso'!N110</f>
        <v>0</v>
      </c>
      <c r="O173" s="1650">
        <f t="shared" si="27"/>
        <v>0</v>
      </c>
      <c r="Q173" s="1026"/>
      <c r="R173" s="423">
        <f t="shared" si="25"/>
        <v>0</v>
      </c>
      <c r="V173" s="423">
        <f t="shared" si="26"/>
        <v>0</v>
      </c>
      <c r="W173" s="1026"/>
      <c r="Y173" s="423">
        <f>IF('Saisie données conso'!$I$76="X", Calculs!R173, IF('Saisie données conso'!$I$77="X", Calculs!V173, "ND"))</f>
        <v>0</v>
      </c>
    </row>
    <row r="174" spans="3:25" s="358" customFormat="1" ht="26.25" thickBot="1" x14ac:dyDescent="0.25">
      <c r="C174" s="37"/>
      <c r="D174" s="123" t="str">
        <f>'Saisie données stocks'!$E$40</f>
        <v>INTI</v>
      </c>
      <c r="E174" s="1660" t="str">
        <f>'Saisie données stocks'!F40</f>
        <v>ABC</v>
      </c>
      <c r="F174" s="1661" t="str">
        <f>'Saisie données stocks'!G40</f>
        <v>Cp</v>
      </c>
      <c r="G174" s="1661" t="str">
        <f>'Saisie données stocks'!H40</f>
        <v>300 mg</v>
      </c>
      <c r="H174" s="1659" t="str">
        <f>'Saisie données stocks'!I40</f>
        <v>Abacavir</v>
      </c>
      <c r="I174" s="2446" t="str">
        <f>'Saisie données stocks'!J40</f>
        <v>ZIAGEN</v>
      </c>
      <c r="J174" s="2445" t="str">
        <f>'Saisie données stocks'!K40</f>
        <v>ABAVIR, VIROL</v>
      </c>
      <c r="K174" s="115">
        <f>'Saisie données stocks'!L40</f>
        <v>60</v>
      </c>
      <c r="L174" s="337">
        <f t="shared" si="24"/>
        <v>0</v>
      </c>
      <c r="M174" s="338">
        <f>'Calculs pédiatriques'!I457</f>
        <v>0</v>
      </c>
      <c r="N174" s="338">
        <f>'Saisie données conso'!N111</f>
        <v>0</v>
      </c>
      <c r="O174" s="341">
        <f t="shared" si="27"/>
        <v>0</v>
      </c>
      <c r="Q174" s="1026"/>
      <c r="R174" s="423">
        <f t="shared" si="25"/>
        <v>0</v>
      </c>
      <c r="V174" s="423">
        <f t="shared" si="26"/>
        <v>2</v>
      </c>
      <c r="W174" s="1026"/>
      <c r="Y174" s="423">
        <f>IF('Saisie données conso'!$I$76="X", Calculs!R174, IF('Saisie données conso'!$I$77="X", Calculs!V174, "ND"))</f>
        <v>2</v>
      </c>
    </row>
    <row r="175" spans="3:25" s="358" customFormat="1" ht="13.5" thickBot="1" x14ac:dyDescent="0.25">
      <c r="C175" s="37"/>
      <c r="D175" s="98"/>
      <c r="E175" s="1658" t="str">
        <f>'Saisie données stocks'!F41</f>
        <v>ABC</v>
      </c>
      <c r="F175" s="1659" t="str">
        <f>'Saisie données stocks'!G41</f>
        <v>Cp</v>
      </c>
      <c r="G175" s="1659" t="str">
        <f>'Saisie données stocks'!H41</f>
        <v>60 mg</v>
      </c>
      <c r="H175" s="1659" t="str">
        <f>'Saisie données stocks'!I41</f>
        <v>Abacavir</v>
      </c>
      <c r="I175" s="2453">
        <f>'Saisie données stocks'!J41</f>
        <v>0</v>
      </c>
      <c r="J175" s="2446">
        <f>'Saisie données stocks'!K41</f>
        <v>0</v>
      </c>
      <c r="K175" s="114">
        <f>'Saisie données stocks'!L41</f>
        <v>60</v>
      </c>
      <c r="L175" s="337">
        <f t="shared" si="24"/>
        <v>0</v>
      </c>
      <c r="M175" s="338">
        <f>'Calculs pédiatriques'!I458</f>
        <v>0</v>
      </c>
      <c r="N175" s="338">
        <f>'Saisie données conso'!N112</f>
        <v>0</v>
      </c>
      <c r="O175" s="1650">
        <f t="shared" si="27"/>
        <v>0</v>
      </c>
      <c r="Q175" s="1026"/>
      <c r="R175" s="423">
        <f t="shared" si="25"/>
        <v>0</v>
      </c>
      <c r="V175" s="423">
        <f t="shared" si="26"/>
        <v>0</v>
      </c>
      <c r="W175" s="1026"/>
      <c r="Y175" s="423">
        <f>IF('Saisie données conso'!$I$76="X", Calculs!R175, IF('Saisie données conso'!$I$77="X", Calculs!V175, "ND"))</f>
        <v>0</v>
      </c>
    </row>
    <row r="176" spans="3:25" s="358" customFormat="1" ht="13.5" thickBot="1" x14ac:dyDescent="0.25">
      <c r="C176" s="37"/>
      <c r="D176" s="98"/>
      <c r="E176" s="1658" t="str">
        <f>'Saisie données stocks'!F42</f>
        <v>AZT</v>
      </c>
      <c r="F176" s="1659" t="str">
        <f>'Saisie données stocks'!G42</f>
        <v>Cp</v>
      </c>
      <c r="G176" s="1661" t="str">
        <f>'Saisie données stocks'!H42</f>
        <v>300 mg</v>
      </c>
      <c r="H176" s="1659" t="str">
        <f>'Saisie données stocks'!I42</f>
        <v>Zidovudine</v>
      </c>
      <c r="I176" s="2453" t="str">
        <f>'Saisie données stocks'!J42</f>
        <v>RETROVIR</v>
      </c>
      <c r="J176" s="2446">
        <f>'Saisie données stocks'!K42</f>
        <v>0</v>
      </c>
      <c r="K176" s="114">
        <f>'Saisie données stocks'!L42</f>
        <v>60</v>
      </c>
      <c r="L176" s="337">
        <f t="shared" si="24"/>
        <v>0</v>
      </c>
      <c r="M176" s="338"/>
      <c r="N176" s="338">
        <f>'Saisie données conso'!N113</f>
        <v>0</v>
      </c>
      <c r="O176" s="341">
        <f t="shared" si="27"/>
        <v>0</v>
      </c>
      <c r="Q176" s="1026"/>
      <c r="R176" s="423">
        <f t="shared" si="25"/>
        <v>0</v>
      </c>
      <c r="V176" s="423">
        <f t="shared" si="26"/>
        <v>0</v>
      </c>
      <c r="W176" s="1026"/>
      <c r="Y176" s="423">
        <f>IF('Saisie données conso'!$I$76="X", Calculs!R176, IF('Saisie données conso'!$I$77="X", Calculs!V176, "ND"))</f>
        <v>0</v>
      </c>
    </row>
    <row r="177" spans="3:25" s="358" customFormat="1" ht="13.5" thickBot="1" x14ac:dyDescent="0.25">
      <c r="C177" s="37"/>
      <c r="D177" s="98"/>
      <c r="E177" s="1658" t="str">
        <f>'Saisie données stocks'!F43</f>
        <v>AZT</v>
      </c>
      <c r="F177" s="1659" t="str">
        <f>'Saisie données stocks'!G43</f>
        <v>Cp</v>
      </c>
      <c r="G177" s="1662" t="str">
        <f>'Saisie données stocks'!H43</f>
        <v>100 mg</v>
      </c>
      <c r="H177" s="1659" t="str">
        <f>'Saisie données stocks'!I43</f>
        <v>Zidovudine</v>
      </c>
      <c r="I177" s="2453" t="str">
        <f>'Saisie données stocks'!J43</f>
        <v>RETROVIR</v>
      </c>
      <c r="J177" s="2446">
        <f>'Saisie données stocks'!K43</f>
        <v>0</v>
      </c>
      <c r="K177" s="114">
        <f>'Saisie données stocks'!L43</f>
        <v>100</v>
      </c>
      <c r="L177" s="337">
        <f t="shared" si="24"/>
        <v>0</v>
      </c>
      <c r="M177" s="338">
        <f>'Calculs pédiatriques'!I459</f>
        <v>0</v>
      </c>
      <c r="N177" s="338">
        <f>'Saisie données conso'!N114</f>
        <v>0</v>
      </c>
      <c r="O177" s="341">
        <f t="shared" si="27"/>
        <v>0</v>
      </c>
      <c r="Q177" s="1026"/>
      <c r="R177" s="423">
        <f t="shared" si="25"/>
        <v>0</v>
      </c>
      <c r="V177" s="423" t="str">
        <f t="shared" si="26"/>
        <v>ND</v>
      </c>
      <c r="W177" s="1026"/>
      <c r="Y177" s="423" t="str">
        <f>IF('Saisie données conso'!$I$76="X", Calculs!R177, IF('Saisie données conso'!$I$77="X", Calculs!V177, "ND"))</f>
        <v>ND</v>
      </c>
    </row>
    <row r="178" spans="3:25" s="358" customFormat="1" ht="13.5" thickBot="1" x14ac:dyDescent="0.25">
      <c r="C178" s="37"/>
      <c r="D178" s="98"/>
      <c r="E178" s="1658" t="str">
        <f>'Saisie données stocks'!F44</f>
        <v>AZT</v>
      </c>
      <c r="F178" s="1659" t="str">
        <f>'Saisie données stocks'!G44</f>
        <v>Cp</v>
      </c>
      <c r="G178" s="1662" t="str">
        <f>'Saisie données stocks'!H44</f>
        <v>60 mg</v>
      </c>
      <c r="H178" s="1659" t="str">
        <f>'Saisie données stocks'!I44</f>
        <v>Zidovudine</v>
      </c>
      <c r="I178" s="2453">
        <f>'Saisie données stocks'!J44</f>
        <v>0</v>
      </c>
      <c r="J178" s="2446">
        <f>'Saisie données stocks'!K44</f>
        <v>0</v>
      </c>
      <c r="K178" s="114">
        <f>'Saisie données stocks'!L44</f>
        <v>60</v>
      </c>
      <c r="L178" s="337">
        <f t="shared" si="24"/>
        <v>0</v>
      </c>
      <c r="M178" s="338">
        <f>'Calculs pédiatriques'!I460</f>
        <v>0</v>
      </c>
      <c r="N178" s="338">
        <f>'Saisie données conso'!N115</f>
        <v>0</v>
      </c>
      <c r="O178" s="1650">
        <f t="shared" si="27"/>
        <v>0</v>
      </c>
      <c r="Q178" s="1026"/>
      <c r="R178" s="423">
        <f t="shared" si="25"/>
        <v>0</v>
      </c>
      <c r="V178" s="423">
        <f t="shared" si="26"/>
        <v>0</v>
      </c>
      <c r="W178" s="1026"/>
      <c r="Y178" s="423">
        <f>IF('Saisie données conso'!$I$76="X", Calculs!R178, IF('Saisie données conso'!$I$77="X", Calculs!V178, "ND"))</f>
        <v>0</v>
      </c>
    </row>
    <row r="179" spans="3:25" s="358" customFormat="1" ht="13.5" thickBot="1" x14ac:dyDescent="0.25">
      <c r="C179" s="37"/>
      <c r="D179" s="98"/>
      <c r="E179" s="1669" t="str">
        <f>'Saisie données stocks'!F45</f>
        <v>D4T</v>
      </c>
      <c r="F179" s="1670" t="str">
        <f>'Saisie données stocks'!G45</f>
        <v>Cp</v>
      </c>
      <c r="G179" s="1671" t="str">
        <f>'Saisie données stocks'!H45</f>
        <v>30 mg</v>
      </c>
      <c r="H179" s="1670" t="str">
        <f>'Saisie données stocks'!I45</f>
        <v>Stavudine</v>
      </c>
      <c r="I179" s="2454" t="str">
        <f>'Saisie données stocks'!J45</f>
        <v>ZERIT</v>
      </c>
      <c r="J179" s="2455" t="str">
        <f>'Saisie données stocks'!K45</f>
        <v>STAVIR</v>
      </c>
      <c r="K179" s="114">
        <f>'Saisie données stocks'!L45</f>
        <v>60</v>
      </c>
      <c r="L179" s="337">
        <f t="shared" si="24"/>
        <v>0</v>
      </c>
      <c r="M179" s="338"/>
      <c r="N179" s="338">
        <f>'Saisie données conso'!N116</f>
        <v>0</v>
      </c>
      <c r="O179" s="341">
        <f t="shared" si="27"/>
        <v>0</v>
      </c>
      <c r="Q179" s="1026"/>
      <c r="R179" s="423">
        <f t="shared" si="25"/>
        <v>0</v>
      </c>
      <c r="V179" s="423">
        <f t="shared" si="26"/>
        <v>0</v>
      </c>
      <c r="W179" s="1026"/>
      <c r="Y179" s="423">
        <f>IF('Saisie données conso'!$I$76="X", Calculs!R179, IF('Saisie données conso'!$I$77="X", Calculs!V179, "ND"))</f>
        <v>0</v>
      </c>
    </row>
    <row r="180" spans="3:25" s="358" customFormat="1" ht="13.5" thickBot="1" x14ac:dyDescent="0.25">
      <c r="C180" s="37"/>
      <c r="D180" s="98"/>
      <c r="E180" s="1658" t="str">
        <f>'Saisie données stocks'!F46</f>
        <v>3TC</v>
      </c>
      <c r="F180" s="1659" t="str">
        <f>'Saisie données stocks'!G46</f>
        <v>Cp</v>
      </c>
      <c r="G180" s="1661" t="str">
        <f>'Saisie données stocks'!H46</f>
        <v>150 mg</v>
      </c>
      <c r="H180" s="1659" t="str">
        <f>'Saisie données stocks'!I46</f>
        <v>Lamivudine</v>
      </c>
      <c r="I180" s="2453" t="str">
        <f>'Saisie données stocks'!J46</f>
        <v>EPIVIR</v>
      </c>
      <c r="J180" s="2446" t="str">
        <f>'Saisie données stocks'!K46</f>
        <v>LAMIVIR</v>
      </c>
      <c r="K180" s="114">
        <f>'Saisie données stocks'!L46</f>
        <v>60</v>
      </c>
      <c r="L180" s="337">
        <f t="shared" si="24"/>
        <v>0</v>
      </c>
      <c r="M180" s="338">
        <f>'Calculs pédiatriques'!I456</f>
        <v>0</v>
      </c>
      <c r="N180" s="338">
        <f>'Saisie données conso'!N117</f>
        <v>0</v>
      </c>
      <c r="O180" s="341">
        <f t="shared" si="27"/>
        <v>0</v>
      </c>
      <c r="Q180" s="1026"/>
      <c r="R180" s="423">
        <f t="shared" si="25"/>
        <v>0</v>
      </c>
      <c r="V180" s="423">
        <f t="shared" si="26"/>
        <v>0</v>
      </c>
      <c r="W180" s="1026"/>
      <c r="Y180" s="423">
        <f>IF('Saisie données conso'!$I$76="X", Calculs!R180, IF('Saisie données conso'!$I$77="X", Calculs!V180, "ND"))</f>
        <v>0</v>
      </c>
    </row>
    <row r="181" spans="3:25" s="358" customFormat="1" ht="13.5" thickBot="1" x14ac:dyDescent="0.25">
      <c r="C181" s="37"/>
      <c r="D181" s="98"/>
      <c r="E181" s="1658" t="str">
        <f>'Saisie données stocks'!F47</f>
        <v>3TC</v>
      </c>
      <c r="F181" s="1659" t="str">
        <f>'Saisie données stocks'!G47</f>
        <v>Cp</v>
      </c>
      <c r="G181" s="1662" t="str">
        <f>'Saisie données stocks'!H47</f>
        <v>30 mg</v>
      </c>
      <c r="H181" s="1659" t="str">
        <f>'Saisie données stocks'!I47</f>
        <v>Lamivudine</v>
      </c>
      <c r="I181" s="2453">
        <f>'Saisie données stocks'!J47</f>
        <v>0</v>
      </c>
      <c r="J181" s="2446">
        <f>'Saisie données stocks'!K47</f>
        <v>0</v>
      </c>
      <c r="K181" s="114">
        <f>'Saisie données stocks'!L47</f>
        <v>60</v>
      </c>
      <c r="L181" s="337">
        <f t="shared" si="24"/>
        <v>0</v>
      </c>
      <c r="M181" s="338"/>
      <c r="N181" s="338">
        <f>'Saisie données conso'!N118</f>
        <v>0</v>
      </c>
      <c r="O181" s="1650">
        <f t="shared" si="27"/>
        <v>0</v>
      </c>
      <c r="Q181" s="1026"/>
      <c r="R181" s="423">
        <f t="shared" si="25"/>
        <v>0</v>
      </c>
      <c r="V181" s="423">
        <f t="shared" si="26"/>
        <v>0</v>
      </c>
      <c r="W181" s="1026"/>
      <c r="Y181" s="423">
        <f>IF('Saisie données conso'!$I$76="X", Calculs!R181, IF('Saisie données conso'!$I$77="X", Calculs!V181, "ND"))</f>
        <v>0</v>
      </c>
    </row>
    <row r="182" spans="3:25" s="358" customFormat="1" ht="39" thickBot="1" x14ac:dyDescent="0.25">
      <c r="C182" s="37"/>
      <c r="D182" s="98"/>
      <c r="E182" s="1660" t="str">
        <f>'Saisie données stocks'!F48</f>
        <v>DDI</v>
      </c>
      <c r="F182" s="1661" t="str">
        <f>'Saisie données stocks'!G48</f>
        <v>Cp</v>
      </c>
      <c r="G182" s="1661" t="str">
        <f>'Saisie données stocks'!H48</f>
        <v>250 mg</v>
      </c>
      <c r="H182" s="1662" t="str">
        <f>'Saisie données stocks'!I48</f>
        <v>Didanosine</v>
      </c>
      <c r="I182" s="2444" t="str">
        <f>'Saisie données stocks'!J48</f>
        <v>VIDEX</v>
      </c>
      <c r="J182" s="2445" t="str">
        <f>'Saisie données stocks'!K48</f>
        <v>DINEX, DIVIR, DINOSIN, VIROSINE</v>
      </c>
      <c r="K182" s="115">
        <f>'Saisie données stocks'!L48</f>
        <v>30</v>
      </c>
      <c r="L182" s="337">
        <f t="shared" si="24"/>
        <v>0</v>
      </c>
      <c r="M182" s="338">
        <f>'Calculs pédiatriques'!I461</f>
        <v>0</v>
      </c>
      <c r="N182" s="338">
        <f>'Saisie données conso'!N119</f>
        <v>0</v>
      </c>
      <c r="O182" s="341">
        <f t="shared" si="27"/>
        <v>0</v>
      </c>
      <c r="Q182" s="1026"/>
      <c r="R182" s="423">
        <f t="shared" si="25"/>
        <v>0</v>
      </c>
      <c r="V182" s="423">
        <f t="shared" si="26"/>
        <v>0</v>
      </c>
      <c r="W182" s="1026"/>
      <c r="Y182" s="423">
        <f>IF('Saisie données conso'!$I$76="X", Calculs!R182, IF('Saisie données conso'!$I$77="X", Calculs!V182, "ND"))</f>
        <v>0</v>
      </c>
    </row>
    <row r="183" spans="3:25" s="358" customFormat="1" ht="39" thickBot="1" x14ac:dyDescent="0.25">
      <c r="C183" s="37"/>
      <c r="D183" s="98"/>
      <c r="E183" s="1660" t="str">
        <f>'Saisie données stocks'!F49</f>
        <v>DDI</v>
      </c>
      <c r="F183" s="1661" t="str">
        <f>'Saisie données stocks'!G49</f>
        <v>Cp</v>
      </c>
      <c r="G183" s="1666" t="str">
        <f>'Saisie données stocks'!H49</f>
        <v>400 mg</v>
      </c>
      <c r="H183" s="1668" t="str">
        <f>'Saisie données stocks'!I49</f>
        <v>Didanosine</v>
      </c>
      <c r="I183" s="2444" t="str">
        <f>'Saisie données stocks'!J49</f>
        <v>VIDEX</v>
      </c>
      <c r="J183" s="2445" t="str">
        <f>'Saisie données stocks'!K49</f>
        <v>DINEX, DIVIR, DINOSIN, VIROSINE</v>
      </c>
      <c r="K183" s="117">
        <f>'Saisie données stocks'!L49</f>
        <v>30</v>
      </c>
      <c r="L183" s="337">
        <f t="shared" si="24"/>
        <v>0</v>
      </c>
      <c r="M183" s="338"/>
      <c r="N183" s="338">
        <f>'Saisie données conso'!N120</f>
        <v>0</v>
      </c>
      <c r="O183" s="341">
        <f t="shared" si="27"/>
        <v>0</v>
      </c>
      <c r="Q183" s="1026"/>
      <c r="R183" s="423">
        <f t="shared" si="25"/>
        <v>0</v>
      </c>
      <c r="V183" s="423">
        <f t="shared" si="26"/>
        <v>2</v>
      </c>
      <c r="W183" s="1026"/>
      <c r="Y183" s="423">
        <f>IF('Saisie données conso'!$I$76="X", Calculs!R183, IF('Saisie données conso'!$I$77="X", Calculs!V183, "ND"))</f>
        <v>2</v>
      </c>
    </row>
    <row r="184" spans="3:25" s="358" customFormat="1" ht="13.5" thickBot="1" x14ac:dyDescent="0.25">
      <c r="C184" s="100"/>
      <c r="D184" s="101"/>
      <c r="E184" s="1663" t="str">
        <f>'Saisie données stocks'!F50</f>
        <v>TDF</v>
      </c>
      <c r="F184" s="1664" t="str">
        <f>'Saisie données stocks'!G50</f>
        <v>Cp</v>
      </c>
      <c r="G184" s="1664" t="str">
        <f>'Saisie données stocks'!H50</f>
        <v>300 mg</v>
      </c>
      <c r="H184" s="2456" t="str">
        <f>'Saisie données stocks'!I50</f>
        <v>Tenofovir</v>
      </c>
      <c r="I184" s="2457" t="str">
        <f>'Saisie données stocks'!J50</f>
        <v>VIREAD</v>
      </c>
      <c r="J184" s="2449">
        <f>'Saisie données stocks'!K50</f>
        <v>0</v>
      </c>
      <c r="K184" s="116">
        <f>'Saisie données stocks'!L50</f>
        <v>30</v>
      </c>
      <c r="L184" s="337">
        <f t="shared" si="24"/>
        <v>0</v>
      </c>
      <c r="M184" s="338"/>
      <c r="N184" s="338">
        <f>'Saisie données conso'!N121</f>
        <v>0</v>
      </c>
      <c r="O184" s="341">
        <f t="shared" si="27"/>
        <v>0</v>
      </c>
      <c r="Q184" s="1026"/>
      <c r="R184" s="423">
        <f t="shared" si="25"/>
        <v>0</v>
      </c>
      <c r="V184" s="423">
        <f t="shared" si="26"/>
        <v>0</v>
      </c>
      <c r="W184" s="1026"/>
      <c r="Y184" s="423">
        <f>IF('Saisie données conso'!$I$76="X", Calculs!R184, IF('Saisie données conso'!$I$77="X", Calculs!V184, "ND"))</f>
        <v>0</v>
      </c>
    </row>
    <row r="185" spans="3:25" s="358" customFormat="1" ht="26.25" thickBot="1" x14ac:dyDescent="0.25">
      <c r="C185" s="37"/>
      <c r="D185" s="98" t="str">
        <f>'Saisie données stocks'!$E$51</f>
        <v>IP</v>
      </c>
      <c r="E185" s="1658" t="str">
        <f>'Saisie données stocks'!F51</f>
        <v>LPV/r</v>
      </c>
      <c r="F185" s="1659" t="str">
        <f>'Saisie données stocks'!G51</f>
        <v>Cp</v>
      </c>
      <c r="G185" s="1659" t="str">
        <f>'Saisie données stocks'!H51</f>
        <v>200/50 mg</v>
      </c>
      <c r="H185" s="1659" t="str">
        <f>'Saisie données stocks'!I51</f>
        <v>Lopinavir/ Ritonavir</v>
      </c>
      <c r="I185" s="2453" t="str">
        <f>'Saisie données stocks'!J51</f>
        <v>KALETRA, ALUVIA</v>
      </c>
      <c r="J185" s="2446" t="str">
        <f>'Saisie données stocks'!K51</f>
        <v>RITOCOM</v>
      </c>
      <c r="K185" s="114">
        <f>'Saisie données stocks'!L51</f>
        <v>120</v>
      </c>
      <c r="L185" s="337">
        <f t="shared" si="24"/>
        <v>0</v>
      </c>
      <c r="M185" s="338">
        <f>'Calculs pédiatriques'!I465</f>
        <v>0</v>
      </c>
      <c r="N185" s="338">
        <f>'Saisie données conso'!N122</f>
        <v>0</v>
      </c>
      <c r="O185" s="341">
        <f t="shared" si="27"/>
        <v>0</v>
      </c>
      <c r="P185" s="635"/>
      <c r="Q185" s="1026"/>
      <c r="R185" s="423">
        <f t="shared" si="25"/>
        <v>0</v>
      </c>
      <c r="V185" s="423">
        <f t="shared" si="26"/>
        <v>106</v>
      </c>
      <c r="W185" s="1026"/>
      <c r="Y185" s="423">
        <f>IF('Saisie données conso'!$I$76="X", Calculs!R185, IF('Saisie données conso'!$I$77="X", Calculs!V185, "ND"))</f>
        <v>106</v>
      </c>
    </row>
    <row r="186" spans="3:25" s="358" customFormat="1" ht="26.25" thickBot="1" x14ac:dyDescent="0.25">
      <c r="C186" s="37"/>
      <c r="D186" s="98"/>
      <c r="E186" s="1672" t="str">
        <f>'Saisie données stocks'!F52</f>
        <v>LPV/r</v>
      </c>
      <c r="F186" s="1673" t="str">
        <f>'Saisie données stocks'!G52</f>
        <v>Cp coblister</v>
      </c>
      <c r="G186" s="1673" t="str">
        <f>'Saisie données stocks'!H52</f>
        <v>100/25 mg</v>
      </c>
      <c r="H186" s="1673" t="str">
        <f>'Saisie données stocks'!I52</f>
        <v>Lopinavir/ Ritonavir</v>
      </c>
      <c r="I186" s="2458" t="str">
        <f>'Saisie données stocks'!J52</f>
        <v>KALETRA, ALUVIA</v>
      </c>
      <c r="J186" s="2451">
        <f>'Saisie données stocks'!K52</f>
        <v>0</v>
      </c>
      <c r="K186" s="537">
        <f>'Saisie données stocks'!L52</f>
        <v>60</v>
      </c>
      <c r="L186" s="337">
        <f t="shared" si="24"/>
        <v>0</v>
      </c>
      <c r="M186" s="338">
        <f>'Calculs pédiatriques'!I466</f>
        <v>0</v>
      </c>
      <c r="N186" s="338">
        <f>'Saisie données conso'!N123</f>
        <v>0</v>
      </c>
      <c r="O186" s="341">
        <f t="shared" si="27"/>
        <v>0</v>
      </c>
      <c r="P186" s="635"/>
      <c r="Q186" s="1026"/>
      <c r="R186" s="423">
        <f t="shared" si="25"/>
        <v>0</v>
      </c>
      <c r="V186" s="423">
        <f t="shared" si="26"/>
        <v>18</v>
      </c>
      <c r="W186" s="1026"/>
      <c r="Y186" s="423">
        <f>IF('Saisie données conso'!$I$76="X", Calculs!R186, IF('Saisie données conso'!$I$77="X", Calculs!V186, "ND"))</f>
        <v>18</v>
      </c>
    </row>
    <row r="187" spans="3:25" s="358" customFormat="1" ht="26.25" thickBot="1" x14ac:dyDescent="0.25">
      <c r="C187" s="37"/>
      <c r="D187" s="92"/>
      <c r="E187" s="1674" t="str">
        <f>'Saisie données stocks'!F53</f>
        <v>ATV/r</v>
      </c>
      <c r="F187" s="1675" t="str">
        <f>'Saisie données stocks'!G53</f>
        <v>Cp</v>
      </c>
      <c r="G187" s="1676" t="str">
        <f>'Saisie données stocks'!H53</f>
        <v>300/100 mg</v>
      </c>
      <c r="H187" s="1678" t="str">
        <f>'Saisie données stocks'!I53</f>
        <v>Atazanavir/ Ritonavir</v>
      </c>
      <c r="I187" s="2459">
        <f>'Saisie données stocks'!J53</f>
        <v>0</v>
      </c>
      <c r="J187" s="2460">
        <f>'Saisie données stocks'!K53</f>
        <v>0</v>
      </c>
      <c r="K187" s="512">
        <f>'Saisie données stocks'!L53</f>
        <v>30</v>
      </c>
      <c r="L187" s="337">
        <f t="shared" si="24"/>
        <v>0</v>
      </c>
      <c r="M187" s="338"/>
      <c r="N187" s="338">
        <f>'Saisie données conso'!N124</f>
        <v>0</v>
      </c>
      <c r="O187" s="341">
        <f t="shared" si="27"/>
        <v>0</v>
      </c>
      <c r="R187" s="423">
        <f t="shared" si="25"/>
        <v>0</v>
      </c>
      <c r="V187" s="423">
        <f t="shared" si="26"/>
        <v>0</v>
      </c>
      <c r="W187" s="1026"/>
      <c r="Y187" s="423">
        <f>IF('Saisie données conso'!$I$76="X", Calculs!R187, IF('Saisie données conso'!$I$77="X", Calculs!V187, "ND"))</f>
        <v>0</v>
      </c>
    </row>
    <row r="188" spans="3:25" s="358" customFormat="1" ht="26.25" thickBot="1" x14ac:dyDescent="0.25">
      <c r="C188" s="37"/>
      <c r="D188" s="92"/>
      <c r="E188" s="1677" t="str">
        <f>'Saisie données stocks'!F54</f>
        <v>FPV</v>
      </c>
      <c r="F188" s="1678" t="str">
        <f>'Saisie données stocks'!G54</f>
        <v>Cp</v>
      </c>
      <c r="G188" s="1678" t="str">
        <f>'Saisie données stocks'!H54</f>
        <v>700 mg</v>
      </c>
      <c r="H188" s="1678" t="str">
        <f>'Saisie données stocks'!I54</f>
        <v>Fosamprenavir</v>
      </c>
      <c r="I188" s="2461" t="str">
        <f>'Saisie données stocks'!J54</f>
        <v>TELZIR</v>
      </c>
      <c r="J188" s="2462">
        <f>'Saisie données stocks'!K54</f>
        <v>0</v>
      </c>
      <c r="K188" s="1388">
        <f>'Saisie données stocks'!L54</f>
        <v>60</v>
      </c>
      <c r="L188" s="337">
        <f t="shared" si="24"/>
        <v>0</v>
      </c>
      <c r="M188" s="338"/>
      <c r="N188" s="338">
        <f>'Saisie données conso'!N125</f>
        <v>0</v>
      </c>
      <c r="O188" s="1650">
        <f t="shared" si="27"/>
        <v>0</v>
      </c>
      <c r="P188" s="635"/>
      <c r="Q188" s="1026"/>
      <c r="R188" s="423">
        <f t="shared" si="25"/>
        <v>0</v>
      </c>
      <c r="V188" s="423">
        <f t="shared" si="26"/>
        <v>0</v>
      </c>
      <c r="W188" s="1026"/>
      <c r="Y188" s="423">
        <f>IF('Saisie données conso'!$I$76="X", Calculs!R188, IF('Saisie données conso'!$I$77="X", Calculs!V188, "ND"))</f>
        <v>0</v>
      </c>
    </row>
    <row r="189" spans="3:25" s="358" customFormat="1" ht="13.5" thickBot="1" x14ac:dyDescent="0.25">
      <c r="C189" s="37"/>
      <c r="D189" s="92"/>
      <c r="E189" s="1665" t="str">
        <f>'Saisie données stocks'!F55</f>
        <v>IDV</v>
      </c>
      <c r="F189" s="1666" t="str">
        <f>'Saisie données stocks'!G55</f>
        <v>Gel</v>
      </c>
      <c r="G189" s="1666" t="str">
        <f>'Saisie données stocks'!H55</f>
        <v>400 mg</v>
      </c>
      <c r="H189" s="1668" t="str">
        <f>'Saisie données stocks'!I55</f>
        <v>Indinavir</v>
      </c>
      <c r="I189" s="2463" t="str">
        <f>'Saisie données stocks'!J55</f>
        <v>CRIXIVAN</v>
      </c>
      <c r="J189" s="2450">
        <f>'Saisie données stocks'!K55</f>
        <v>0</v>
      </c>
      <c r="K189" s="117">
        <f>'Saisie données stocks'!L55</f>
        <v>180</v>
      </c>
      <c r="L189" s="337">
        <f t="shared" si="24"/>
        <v>0</v>
      </c>
      <c r="M189" s="338"/>
      <c r="N189" s="338">
        <f>'Saisie données conso'!N126</f>
        <v>0</v>
      </c>
      <c r="O189" s="341">
        <f t="shared" si="27"/>
        <v>0</v>
      </c>
      <c r="P189" s="1214"/>
      <c r="R189" s="423">
        <f t="shared" si="25"/>
        <v>0</v>
      </c>
      <c r="V189" s="423" t="str">
        <f t="shared" si="26"/>
        <v>ND</v>
      </c>
      <c r="W189" s="1026"/>
      <c r="Y189" s="423" t="str">
        <f>IF('Saisie données conso'!$I$76="X", Calculs!R189, IF('Saisie données conso'!$I$77="X", Calculs!V189, "ND"))</f>
        <v>ND</v>
      </c>
    </row>
    <row r="190" spans="3:25" s="358" customFormat="1" ht="13.5" thickBot="1" x14ac:dyDescent="0.25">
      <c r="C190" s="37"/>
      <c r="D190" s="92"/>
      <c r="E190" s="1665" t="str">
        <f>'Saisie données stocks'!F56</f>
        <v>DRV</v>
      </c>
      <c r="F190" s="1666" t="str">
        <f>'Saisie données stocks'!G56</f>
        <v>Cp</v>
      </c>
      <c r="G190" s="1679" t="str">
        <f>'Saisie données stocks'!H56</f>
        <v>300 mg</v>
      </c>
      <c r="H190" s="1668" t="str">
        <f>'Saisie données stocks'!I56</f>
        <v>Darunavir</v>
      </c>
      <c r="I190" s="2463" t="str">
        <f>'Saisie données stocks'!J56</f>
        <v>PREZISTA</v>
      </c>
      <c r="J190" s="2450">
        <f>'Saisie données stocks'!K56</f>
        <v>0</v>
      </c>
      <c r="K190" s="117">
        <f>'Saisie données stocks'!L56</f>
        <v>60</v>
      </c>
      <c r="L190" s="337">
        <f t="shared" si="24"/>
        <v>0</v>
      </c>
      <c r="M190" s="338"/>
      <c r="N190" s="338">
        <f>'Saisie données conso'!N127</f>
        <v>0</v>
      </c>
      <c r="O190" s="341">
        <f t="shared" si="27"/>
        <v>0</v>
      </c>
      <c r="R190" s="423">
        <f t="shared" si="25"/>
        <v>0</v>
      </c>
      <c r="V190" s="423">
        <f t="shared" si="26"/>
        <v>0</v>
      </c>
      <c r="W190" s="1026"/>
      <c r="Y190" s="423">
        <f>IF('Saisie données conso'!$I$76="X", Calculs!R190, IF('Saisie données conso'!$I$77="X", Calculs!V190, "ND"))</f>
        <v>0</v>
      </c>
    </row>
    <row r="191" spans="3:25" s="358" customFormat="1" ht="13.5" thickBot="1" x14ac:dyDescent="0.25">
      <c r="C191" s="37"/>
      <c r="D191" s="92"/>
      <c r="E191" s="1665" t="str">
        <f>'Saisie données stocks'!F57</f>
        <v>SQV</v>
      </c>
      <c r="F191" s="1666" t="str">
        <f>'Saisie données stocks'!G57</f>
        <v>Cp</v>
      </c>
      <c r="G191" s="1666" t="str">
        <f>'Saisie données stocks'!H57</f>
        <v>500 mg</v>
      </c>
      <c r="H191" s="1668" t="str">
        <f>'Saisie données stocks'!I57</f>
        <v>Saquinavir</v>
      </c>
      <c r="I191" s="2463" t="str">
        <f>'Saisie données stocks'!J57</f>
        <v>INVIRASE</v>
      </c>
      <c r="J191" s="2450">
        <f>'Saisie données stocks'!K57</f>
        <v>0</v>
      </c>
      <c r="K191" s="117">
        <f>'Saisie données stocks'!L57</f>
        <v>120</v>
      </c>
      <c r="L191" s="337">
        <f t="shared" si="24"/>
        <v>0</v>
      </c>
      <c r="M191" s="338"/>
      <c r="N191" s="338">
        <f>'Saisie données conso'!N128</f>
        <v>0</v>
      </c>
      <c r="O191" s="341">
        <f t="shared" si="27"/>
        <v>0</v>
      </c>
      <c r="P191" s="635"/>
      <c r="R191" s="423">
        <f t="shared" si="25"/>
        <v>0</v>
      </c>
      <c r="V191" s="423">
        <f t="shared" si="26"/>
        <v>0</v>
      </c>
      <c r="W191" s="1026"/>
      <c r="Y191" s="423">
        <f>IF('Saisie données conso'!$I$76="X", Calculs!R191, IF('Saisie données conso'!$I$77="X", Calculs!V191, "ND"))</f>
        <v>0</v>
      </c>
    </row>
    <row r="192" spans="3:25" s="358" customFormat="1" ht="13.5" thickBot="1" x14ac:dyDescent="0.25">
      <c r="C192" s="100"/>
      <c r="D192" s="101"/>
      <c r="E192" s="1663" t="str">
        <f>'Saisie données stocks'!F58</f>
        <v>RTV</v>
      </c>
      <c r="F192" s="1664" t="str">
        <f>'Saisie données stocks'!G58</f>
        <v>Caps</v>
      </c>
      <c r="G192" s="1664" t="str">
        <f>'Saisie données stocks'!H58</f>
        <v>100 mg</v>
      </c>
      <c r="H192" s="2456" t="str">
        <f>'Saisie données stocks'!I58</f>
        <v>Ritonavir</v>
      </c>
      <c r="I192" s="2457" t="str">
        <f>'Saisie données stocks'!J58</f>
        <v>NORVIR</v>
      </c>
      <c r="J192" s="2449">
        <f>'Saisie données stocks'!K58</f>
        <v>0</v>
      </c>
      <c r="K192" s="116">
        <f>'Saisie données stocks'!L58</f>
        <v>84</v>
      </c>
      <c r="L192" s="337">
        <f t="shared" si="24"/>
        <v>0</v>
      </c>
      <c r="M192" s="338"/>
      <c r="N192" s="338">
        <f>'Saisie données conso'!N129</f>
        <v>0</v>
      </c>
      <c r="O192" s="341">
        <f t="shared" si="27"/>
        <v>0</v>
      </c>
      <c r="R192" s="423">
        <f t="shared" si="25"/>
        <v>0</v>
      </c>
      <c r="V192" s="423" t="str">
        <f t="shared" si="26"/>
        <v>ND</v>
      </c>
      <c r="W192" s="1026"/>
      <c r="Y192" s="423" t="str">
        <f>IF('Saisie données conso'!$I$76="X", Calculs!R192, IF('Saisie données conso'!$I$77="X", Calculs!V192, "ND"))</f>
        <v>ND</v>
      </c>
    </row>
    <row r="193" spans="2:26" s="358" customFormat="1" ht="13.5" thickBot="1" x14ac:dyDescent="0.25">
      <c r="C193" s="519"/>
      <c r="D193" s="520" t="str">
        <f>'Saisie données stocks'!$E$59</f>
        <v>Inh Integrase</v>
      </c>
      <c r="E193" s="513" t="str">
        <f>'Saisie données stocks'!F59</f>
        <v>RLT = RAL</v>
      </c>
      <c r="F193" s="514" t="str">
        <f>'Saisie données stocks'!G59</f>
        <v>Cp</v>
      </c>
      <c r="G193" s="514" t="str">
        <f>'Saisie données stocks'!H59</f>
        <v>400 mg</v>
      </c>
      <c r="H193" s="1644" t="str">
        <f>'Saisie données stocks'!I59</f>
        <v>Raltegravir</v>
      </c>
      <c r="I193" s="515" t="str">
        <f>'Saisie données stocks'!J59</f>
        <v>ISENTRESS</v>
      </c>
      <c r="J193" s="516">
        <f>'Saisie données stocks'!K59</f>
        <v>0</v>
      </c>
      <c r="K193" s="517">
        <f>'Saisie données stocks'!L59</f>
        <v>60</v>
      </c>
      <c r="L193" s="337">
        <f t="shared" si="24"/>
        <v>0</v>
      </c>
      <c r="M193" s="338"/>
      <c r="N193" s="338">
        <f>'Saisie données conso'!N130</f>
        <v>0</v>
      </c>
      <c r="O193" s="341">
        <f t="shared" si="27"/>
        <v>0</v>
      </c>
      <c r="R193" s="423">
        <f t="shared" si="25"/>
        <v>0</v>
      </c>
      <c r="V193" s="423">
        <f t="shared" si="26"/>
        <v>0</v>
      </c>
      <c r="W193" s="1026"/>
      <c r="Y193" s="423">
        <f>IF('Saisie données conso'!$I$76="X", Calculs!R193, IF('Saisie données conso'!$I$77="X", Calculs!V193, "ND"))</f>
        <v>0</v>
      </c>
    </row>
    <row r="194" spans="2:26" s="358" customFormat="1" ht="77.25" thickBot="1" x14ac:dyDescent="0.25">
      <c r="C194" s="405"/>
      <c r="D194" s="406"/>
      <c r="E194" s="364" t="str">
        <f>'TRAD-Calculs'!B3</f>
        <v>Composition</v>
      </c>
      <c r="F194" s="365" t="str">
        <f>'TRAD-Calculs'!B22</f>
        <v>Forme galénique</v>
      </c>
      <c r="G194" s="365" t="str">
        <f>'TRAD-Calculs'!B4</f>
        <v>Dosage</v>
      </c>
      <c r="H194" s="365"/>
      <c r="I194" s="365" t="str">
        <f>'TRAD-Calculs'!B24</f>
        <v>Nom de spécialité</v>
      </c>
      <c r="J194" s="365"/>
      <c r="K194" s="365" t="str">
        <f>'TRAD-Calculs'!B37</f>
        <v>Volume conditionnement primaire (mL)</v>
      </c>
      <c r="L194" s="342" t="str">
        <f>'TRAD-Calculs'!B33</f>
        <v>Nombre de boites pour les adultes pour 1 mois</v>
      </c>
      <c r="M194" s="342" t="str">
        <f>'TRAD-Calculs'!B34</f>
        <v>Nombre de boites pour les enfants pour 1 mois</v>
      </c>
      <c r="N194" s="342" t="str">
        <f>'TRAD-Calculs'!B35</f>
        <v>Besoins PTME pour 1 mois</v>
      </c>
      <c r="O194" s="343" t="str">
        <f>'TRAD-Calculs'!B36</f>
        <v>Total des besoins pour 1 mois</v>
      </c>
      <c r="R194" s="345" t="str">
        <f>'TRAD-Calculs'!B15</f>
        <v>Nombre de patients suivis prenant le produit / mois</v>
      </c>
      <c r="S194" s="343" t="str">
        <f>'TRAD-Calculs'!B88</f>
        <v>Estimation Nb d'enfant concerné HORS PTME</v>
      </c>
      <c r="V194" s="345" t="str">
        <f>'TRAD-Calculs'!B15</f>
        <v>Nombre de patients suivis prenant le produit / mois</v>
      </c>
      <c r="W194" s="1026"/>
      <c r="Y194" s="345" t="str">
        <f>'TRAD-Calculs'!B15</f>
        <v>Nombre de patients suivis prenant le produit / mois</v>
      </c>
      <c r="Z194" s="343" t="str">
        <f>'TRAD-Calculs'!B88</f>
        <v>Estimation Nb d'enfant concerné HORS PTME</v>
      </c>
    </row>
    <row r="195" spans="2:26" s="358" customFormat="1" ht="13.5" thickBot="1" x14ac:dyDescent="0.25">
      <c r="C195" s="366" t="str">
        <f>'TRAD-Calculs'!B38</f>
        <v>Solutions buvables</v>
      </c>
      <c r="D195" s="367" t="str">
        <f>'Saisie données stocks'!$E$61</f>
        <v>INTI</v>
      </c>
      <c r="E195" s="368" t="str">
        <f>'Saisie données stocks'!F61</f>
        <v>AZT</v>
      </c>
      <c r="F195" s="369" t="str">
        <f>'Saisie données stocks'!G61</f>
        <v>Sol buv</v>
      </c>
      <c r="G195" s="369" t="str">
        <f>'Saisie données stocks'!H61</f>
        <v>10 mg/mL</v>
      </c>
      <c r="H195" s="369" t="str">
        <f>'Saisie données stocks'!I61</f>
        <v>Zidovudine</v>
      </c>
      <c r="I195" s="370" t="str">
        <f>'Saisie données stocks'!J61</f>
        <v>RETROVIR</v>
      </c>
      <c r="J195" s="370">
        <f>'Saisie données stocks'!K61</f>
        <v>0</v>
      </c>
      <c r="K195" s="113">
        <f>'Saisie données stocks'!L61</f>
        <v>240</v>
      </c>
      <c r="L195" s="337"/>
      <c r="M195" s="338">
        <f>'Calculs pédiatriques'!I438+'Calculs pédiatriques'!J473</f>
        <v>0</v>
      </c>
      <c r="N195" s="338">
        <f>'Saisie données conso'!N132</f>
        <v>0</v>
      </c>
      <c r="O195" s="340">
        <f t="shared" ref="O195:O202" si="28">ROUNDUP(SUM(L195:N195),1)</f>
        <v>0</v>
      </c>
      <c r="R195" s="423">
        <f>IF(O195&gt;100,ROUNDUP(O195,-1),ROUNDUP(O195,0))</f>
        <v>0</v>
      </c>
      <c r="S195" s="833">
        <f>'Calculs pédiatriques'!$D$323+'Calculs pédiatriques'!$D$358+'Calculs pédiatriques'!$D$393+'Calculs pédiatriques'!$D$428</f>
        <v>0</v>
      </c>
      <c r="V195" s="423" t="str">
        <f>IF(L359=0, "0", ROUNDUP(L359/'Saisie données file act.'!H646, 0))</f>
        <v>0</v>
      </c>
      <c r="W195" s="1026"/>
      <c r="Y195" s="423" t="str">
        <f>IF('Saisie données conso'!$I$76="X", Calculs!R195, IF('Saisie données conso'!$I$77="X", Calculs!V195, "ND"))</f>
        <v>0</v>
      </c>
      <c r="Z195" s="833" t="str">
        <f>Y195</f>
        <v>0</v>
      </c>
    </row>
    <row r="196" spans="2:26" s="358" customFormat="1" ht="13.5" thickBot="1" x14ac:dyDescent="0.25">
      <c r="C196" s="374"/>
      <c r="D196" s="375"/>
      <c r="E196" s="376" t="str">
        <f>'Saisie données stocks'!F62</f>
        <v>D4T</v>
      </c>
      <c r="F196" s="377" t="str">
        <f>'Saisie données stocks'!G62</f>
        <v>Sol buv</v>
      </c>
      <c r="G196" s="377" t="str">
        <f>'Saisie données stocks'!H62</f>
        <v>10 mg/mL</v>
      </c>
      <c r="H196" s="377" t="str">
        <f>'Saisie données stocks'!I62</f>
        <v>Stavudine</v>
      </c>
      <c r="I196" s="378" t="str">
        <f>'Saisie données stocks'!J62</f>
        <v>ZERIT</v>
      </c>
      <c r="J196" s="378">
        <f>'Saisie données stocks'!K62</f>
        <v>0</v>
      </c>
      <c r="K196" s="114">
        <f>'Saisie données stocks'!L62</f>
        <v>240</v>
      </c>
      <c r="L196" s="337"/>
      <c r="M196" s="338">
        <f>'Calculs pédiatriques'!I439+'Calculs pédiatriques'!J474</f>
        <v>0</v>
      </c>
      <c r="N196" s="338">
        <f>'Saisie données conso'!N133</f>
        <v>0</v>
      </c>
      <c r="O196" s="340">
        <f t="shared" si="28"/>
        <v>0</v>
      </c>
      <c r="R196" s="423">
        <f t="shared" ref="R196:R202" si="29">IF(O196&gt;100,ROUNDUP(O196,-1),ROUNDUP(O196,0))</f>
        <v>0</v>
      </c>
      <c r="S196" s="833">
        <f>'Calculs pédiatriques'!$E$323+'Calculs pédiatriques'!$E$358+'Calculs pédiatriques'!$E$393+'Calculs pédiatriques'!$E$428</f>
        <v>0</v>
      </c>
      <c r="V196" s="423" t="str">
        <f>IF(L360=0, "0", ROUNDUP(L360/'Saisie données file act.'!H647, 0))</f>
        <v>0</v>
      </c>
      <c r="W196" s="1026"/>
      <c r="Y196" s="423" t="str">
        <f>IF('Saisie données conso'!$I$76="X", Calculs!R196, IF('Saisie données conso'!$I$77="X", Calculs!V196, "ND"))</f>
        <v>0</v>
      </c>
      <c r="Z196" s="833" t="str">
        <f t="shared" ref="Z196:Z202" si="30">Y196</f>
        <v>0</v>
      </c>
    </row>
    <row r="197" spans="2:26" s="358" customFormat="1" ht="13.5" thickBot="1" x14ac:dyDescent="0.25">
      <c r="C197" s="374"/>
      <c r="D197" s="375"/>
      <c r="E197" s="382" t="str">
        <f>'Saisie données stocks'!F63</f>
        <v>3TC</v>
      </c>
      <c r="F197" s="383" t="str">
        <f>'Saisie données stocks'!G63</f>
        <v>Sol buv</v>
      </c>
      <c r="G197" s="383" t="str">
        <f>'Saisie données stocks'!H63</f>
        <v>10 mg/mL</v>
      </c>
      <c r="H197" s="1208" t="str">
        <f>'Saisie données stocks'!I63</f>
        <v>Lamivudine</v>
      </c>
      <c r="I197" s="384" t="str">
        <f>'Saisie données stocks'!J63</f>
        <v>LAMIVIR, EPIVIR</v>
      </c>
      <c r="J197" s="384">
        <f>'Saisie données stocks'!K63</f>
        <v>0</v>
      </c>
      <c r="K197" s="115">
        <f>'Saisie données stocks'!L63</f>
        <v>240</v>
      </c>
      <c r="L197" s="337"/>
      <c r="M197" s="338">
        <f>'Calculs pédiatriques'!I440+'Calculs pédiatriques'!J475</f>
        <v>0</v>
      </c>
      <c r="N197" s="338">
        <f>'Saisie données conso'!N134</f>
        <v>0</v>
      </c>
      <c r="O197" s="341">
        <f t="shared" si="28"/>
        <v>0</v>
      </c>
      <c r="R197" s="423">
        <f t="shared" si="29"/>
        <v>0</v>
      </c>
      <c r="S197" s="833">
        <f>'Calculs pédiatriques'!$F$323+'Calculs pédiatriques'!$F$358+'Calculs pédiatriques'!$F$393+'Calculs pédiatriques'!$F$428</f>
        <v>0</v>
      </c>
      <c r="V197" s="423" t="str">
        <f>IF(L361=0, "0", ROUNDUP(L361/'Saisie données file act.'!H648, 0))</f>
        <v>0</v>
      </c>
      <c r="W197" s="1026"/>
      <c r="Y197" s="423" t="str">
        <f>IF('Saisie données conso'!$I$76="X", Calculs!R197, IF('Saisie données conso'!$I$77="X", Calculs!V197, "ND"))</f>
        <v>0</v>
      </c>
      <c r="Z197" s="833" t="str">
        <f t="shared" si="30"/>
        <v>0</v>
      </c>
    </row>
    <row r="198" spans="2:26" s="358" customFormat="1" ht="13.5" thickBot="1" x14ac:dyDescent="0.25">
      <c r="C198" s="374"/>
      <c r="D198" s="407"/>
      <c r="E198" s="376" t="str">
        <f>'Saisie données stocks'!F64</f>
        <v>ABC</v>
      </c>
      <c r="F198" s="377" t="str">
        <f>'Saisie données stocks'!G64</f>
        <v>Sol buv</v>
      </c>
      <c r="G198" s="377" t="str">
        <f>'Saisie données stocks'!H64</f>
        <v>20 mg/mL</v>
      </c>
      <c r="H198" s="377" t="str">
        <f>'Saisie données stocks'!I64</f>
        <v>Abacavir</v>
      </c>
      <c r="I198" s="378" t="str">
        <f>'Saisie données stocks'!J64</f>
        <v>ZIAGEN</v>
      </c>
      <c r="J198" s="378">
        <f>'Saisie données stocks'!K64</f>
        <v>0</v>
      </c>
      <c r="K198" s="114">
        <f>'Saisie données stocks'!L64</f>
        <v>240</v>
      </c>
      <c r="L198" s="337"/>
      <c r="M198" s="338">
        <f>'Calculs pédiatriques'!I441+'Calculs pédiatriques'!J476</f>
        <v>0</v>
      </c>
      <c r="N198" s="338">
        <f>'Saisie données conso'!N135</f>
        <v>0</v>
      </c>
      <c r="O198" s="341">
        <f t="shared" si="28"/>
        <v>0</v>
      </c>
      <c r="R198" s="423">
        <f t="shared" si="29"/>
        <v>0</v>
      </c>
      <c r="S198" s="833">
        <f>'Calculs pédiatriques'!$G$323+'Calculs pédiatriques'!$G$358+'Calculs pédiatriques'!$G$393+'Calculs pédiatriques'!$G$428</f>
        <v>0</v>
      </c>
      <c r="V198" s="423" t="str">
        <f>IF(L362=0, "0", ROUNDUP(L362/'Saisie données file act.'!H649, 0))</f>
        <v>0</v>
      </c>
      <c r="W198" s="1026"/>
      <c r="Y198" s="423" t="str">
        <f>IF('Saisie données conso'!$I$76="X", Calculs!R198, IF('Saisie données conso'!$I$77="X", Calculs!V198, "ND"))</f>
        <v>0</v>
      </c>
      <c r="Z198" s="833" t="str">
        <f t="shared" si="30"/>
        <v>0</v>
      </c>
    </row>
    <row r="199" spans="2:26" s="358" customFormat="1" ht="26.25" thickBot="1" x14ac:dyDescent="0.25">
      <c r="C199" s="374"/>
      <c r="D199" s="389"/>
      <c r="E199" s="390" t="str">
        <f>'Saisie données stocks'!F65</f>
        <v>DDI</v>
      </c>
      <c r="F199" s="391" t="str">
        <f>'Saisie données stocks'!G65</f>
        <v>Poudre buvable</v>
      </c>
      <c r="G199" s="391" t="str">
        <f>'Saisie données stocks'!H65</f>
        <v>2 g</v>
      </c>
      <c r="H199" s="1519" t="str">
        <f>'Saisie données stocks'!I65</f>
        <v>Didanosine</v>
      </c>
      <c r="I199" s="401" t="str">
        <f>'Saisie données stocks'!J65</f>
        <v>VIDEX</v>
      </c>
      <c r="J199" s="401">
        <f>'Saisie données stocks'!K65</f>
        <v>0</v>
      </c>
      <c r="K199" s="116">
        <f>'Saisie données stocks'!L65</f>
        <v>200</v>
      </c>
      <c r="L199" s="337"/>
      <c r="M199" s="338">
        <f>'Calculs pédiatriques'!I442+'Calculs pédiatriques'!J477</f>
        <v>0</v>
      </c>
      <c r="N199" s="338">
        <f>'Saisie données conso'!N136</f>
        <v>0</v>
      </c>
      <c r="O199" s="341">
        <f t="shared" si="28"/>
        <v>0</v>
      </c>
      <c r="R199" s="423">
        <f t="shared" si="29"/>
        <v>0</v>
      </c>
      <c r="S199" s="833">
        <f>'Calculs pédiatriques'!$H$323+'Calculs pédiatriques'!$H$358+'Calculs pédiatriques'!$H$393+'Calculs pédiatriques'!$H$428</f>
        <v>0</v>
      </c>
      <c r="V199" s="423" t="str">
        <f>IF(L363=0, "0", ROUNDUP(L363/'Saisie données file act.'!H650, 0))</f>
        <v>0</v>
      </c>
      <c r="W199" s="1026"/>
      <c r="Y199" s="423" t="str">
        <f>IF('Saisie données conso'!$I$76="X", Calculs!R199, IF('Saisie données conso'!$I$77="X", Calculs!V199, "ND"))</f>
        <v>0</v>
      </c>
      <c r="Z199" s="833" t="str">
        <f t="shared" si="30"/>
        <v>0</v>
      </c>
    </row>
    <row r="200" spans="2:26" s="358" customFormat="1" ht="13.5" thickBot="1" x14ac:dyDescent="0.25">
      <c r="C200" s="374"/>
      <c r="D200" s="375" t="str">
        <f>'Saisie données stocks'!$E$66</f>
        <v>INNTI</v>
      </c>
      <c r="E200" s="376" t="str">
        <f>'Saisie données stocks'!F66</f>
        <v>NVP</v>
      </c>
      <c r="F200" s="377" t="str">
        <f>'Saisie données stocks'!G66</f>
        <v>Sol buv</v>
      </c>
      <c r="G200" s="377" t="str">
        <f>'Saisie données stocks'!H66</f>
        <v>10 mg/mL</v>
      </c>
      <c r="H200" s="377" t="str">
        <f>'Saisie données stocks'!I66</f>
        <v>Nevirapine</v>
      </c>
      <c r="I200" s="378" t="str">
        <f>'Saisie données stocks'!J66</f>
        <v>VIRAMUNE</v>
      </c>
      <c r="J200" s="378">
        <f>'Saisie données stocks'!K66</f>
        <v>0</v>
      </c>
      <c r="K200" s="114">
        <f>'Saisie données stocks'!L66</f>
        <v>240</v>
      </c>
      <c r="L200" s="337"/>
      <c r="M200" s="338">
        <f>'Calculs pédiatriques'!I443+'Calculs pédiatriques'!J478</f>
        <v>0</v>
      </c>
      <c r="N200" s="338">
        <f>'Saisie données conso'!N137</f>
        <v>0</v>
      </c>
      <c r="O200" s="341">
        <f t="shared" si="28"/>
        <v>0</v>
      </c>
      <c r="R200" s="423">
        <f t="shared" si="29"/>
        <v>0</v>
      </c>
      <c r="S200" s="833">
        <f>'Calculs pédiatriques'!$I$323+'Calculs pédiatriques'!$I$358+'Calculs pédiatriques'!$I$393+'Calculs pédiatriques'!$I$428</f>
        <v>0</v>
      </c>
      <c r="V200" s="423">
        <f>IF(L364=0, "0", ROUNDUP(L364/'Saisie données file act.'!H651, 0))</f>
        <v>332</v>
      </c>
      <c r="W200" s="1026"/>
      <c r="Y200" s="423">
        <f>IF('Saisie données conso'!$I$76="X", Calculs!R200, IF('Saisie données conso'!$I$77="X", Calculs!V200, "ND"))</f>
        <v>332</v>
      </c>
      <c r="Z200" s="833">
        <f t="shared" si="30"/>
        <v>332</v>
      </c>
    </row>
    <row r="201" spans="2:26" s="358" customFormat="1" ht="13.5" thickBot="1" x14ac:dyDescent="0.25">
      <c r="C201" s="374"/>
      <c r="D201" s="389"/>
      <c r="E201" s="390" t="str">
        <f>'Saisie données stocks'!F67</f>
        <v>EFV</v>
      </c>
      <c r="F201" s="391" t="str">
        <f>'Saisie données stocks'!G67</f>
        <v>Sol buv</v>
      </c>
      <c r="G201" s="391" t="str">
        <f>'Saisie données stocks'!H67</f>
        <v>30 mg/mL</v>
      </c>
      <c r="H201" s="1519" t="str">
        <f>'Saisie données stocks'!I67</f>
        <v>Efavirenz</v>
      </c>
      <c r="I201" s="401" t="str">
        <f>'Saisie données stocks'!J67</f>
        <v>SUSTIVA, STOCRIN</v>
      </c>
      <c r="J201" s="401">
        <f>'Saisie données stocks'!K67</f>
        <v>0</v>
      </c>
      <c r="K201" s="116">
        <f>'Saisie données stocks'!L67</f>
        <v>180</v>
      </c>
      <c r="L201" s="337"/>
      <c r="M201" s="338">
        <f>'Calculs pédiatriques'!I444+'Calculs pédiatriques'!J479</f>
        <v>0</v>
      </c>
      <c r="N201" s="338">
        <f>'Saisie données conso'!N138</f>
        <v>0</v>
      </c>
      <c r="O201" s="341">
        <f t="shared" si="28"/>
        <v>0</v>
      </c>
      <c r="R201" s="423">
        <f t="shared" si="29"/>
        <v>0</v>
      </c>
      <c r="S201" s="833">
        <f>'Calculs pédiatriques'!$J$323+'Calculs pédiatriques'!$J$358+'Calculs pédiatriques'!$J$393+'Calculs pédiatriques'!$J$428</f>
        <v>0</v>
      </c>
      <c r="V201" s="423" t="str">
        <f>IF(L365=0, "0", ROUNDUP(L365/'Saisie données file act.'!H652, 0))</f>
        <v>0</v>
      </c>
      <c r="W201" s="1026"/>
      <c r="Y201" s="423" t="str">
        <f>IF('Saisie données conso'!$I$76="X", Calculs!R201, IF('Saisie données conso'!$I$77="X", Calculs!V201, "ND"))</f>
        <v>0</v>
      </c>
      <c r="Z201" s="833" t="str">
        <f t="shared" si="30"/>
        <v>0</v>
      </c>
    </row>
    <row r="202" spans="2:26" s="358" customFormat="1" ht="26.25" thickBot="1" x14ac:dyDescent="0.25">
      <c r="C202" s="404"/>
      <c r="D202" s="408" t="str">
        <f>'Saisie données stocks'!$E$68</f>
        <v>IP</v>
      </c>
      <c r="E202" s="409" t="str">
        <f>'Saisie données stocks'!F68</f>
        <v>LPV/r</v>
      </c>
      <c r="F202" s="410" t="str">
        <f>'Saisie données stocks'!G68</f>
        <v>Sol buv</v>
      </c>
      <c r="G202" s="410" t="str">
        <f>'Saisie données stocks'!H68</f>
        <v>80/20 mg/mL</v>
      </c>
      <c r="H202" s="410" t="str">
        <f>'Saisie données stocks'!I68</f>
        <v>Lopinavir/Ritonavir</v>
      </c>
      <c r="I202" s="411" t="str">
        <f>'Saisie données stocks'!J68</f>
        <v>KALETRA ALUVIA</v>
      </c>
      <c r="J202" s="411">
        <f>'Saisie données stocks'!K68</f>
        <v>0</v>
      </c>
      <c r="K202" s="312">
        <f>'Saisie données stocks'!L68</f>
        <v>60</v>
      </c>
      <c r="L202" s="337"/>
      <c r="M202" s="338">
        <f>'Calculs pédiatriques'!I445+'Calculs pédiatriques'!J480</f>
        <v>0</v>
      </c>
      <c r="N202" s="338">
        <f>'Saisie données conso'!N139</f>
        <v>0</v>
      </c>
      <c r="O202" s="344">
        <f t="shared" si="28"/>
        <v>0</v>
      </c>
      <c r="R202" s="423">
        <f t="shared" si="29"/>
        <v>0</v>
      </c>
      <c r="S202" s="833">
        <f>'Calculs pédiatriques'!$K$323+'Calculs pédiatriques'!$K$358+'Calculs pédiatriques'!$K$393+'Calculs pédiatriques'!$K$428</f>
        <v>0</v>
      </c>
      <c r="V202" s="423">
        <f>IF(L366=0, "0", ROUNDUP(L366/'Saisie données file act.'!H653, 0))</f>
        <v>31</v>
      </c>
      <c r="W202" s="1026"/>
      <c r="Y202" s="423">
        <f>IF('Saisie données conso'!$I$76="X", Calculs!R202, IF('Saisie données conso'!$I$77="X", Calculs!V202, "ND"))</f>
        <v>31</v>
      </c>
      <c r="Z202" s="833">
        <f t="shared" si="30"/>
        <v>31</v>
      </c>
    </row>
    <row r="203" spans="2:26" s="358" customFormat="1" x14ac:dyDescent="0.2">
      <c r="P203" s="356"/>
    </row>
    <row r="204" spans="2:26" s="419" customFormat="1" ht="14.25" x14ac:dyDescent="0.2">
      <c r="B204" s="359" t="str">
        <f>'TRAD-Calculs'!B39</f>
        <v>B. Pour les initiations &amp; changements de lignes</v>
      </c>
      <c r="C204" s="359"/>
      <c r="D204" s="359"/>
      <c r="E204" s="359"/>
      <c r="F204" s="359"/>
      <c r="G204" s="359"/>
      <c r="H204" s="359"/>
      <c r="I204" s="359"/>
      <c r="J204" s="359"/>
      <c r="K204" s="359"/>
      <c r="L204" s="359"/>
      <c r="M204" s="359"/>
      <c r="N204" s="359"/>
      <c r="O204" s="359"/>
      <c r="R204" s="1535" t="str">
        <f>'TRAD-Calculs'!B84</f>
        <v>DONNEES Nombre de patients</v>
      </c>
      <c r="S204" s="1535"/>
      <c r="T204" s="1535"/>
      <c r="U204" s="1535"/>
      <c r="V204" s="1535"/>
      <c r="W204" s="1535"/>
      <c r="X204" s="1535"/>
      <c r="Y204" s="1535"/>
    </row>
    <row r="205" spans="2:26" s="421" customFormat="1" ht="13.5" thickBot="1" x14ac:dyDescent="0.25">
      <c r="B205" s="420"/>
      <c r="C205" s="420"/>
      <c r="F205" s="422"/>
      <c r="G205" s="422"/>
      <c r="P205" s="356"/>
      <c r="R205" s="1535" t="str">
        <f>'TRAD-Calculs'!B85</f>
        <v>Avec données de PEC</v>
      </c>
      <c r="S205" s="1535"/>
      <c r="T205" s="1535"/>
      <c r="U205" s="1535"/>
      <c r="V205" s="1535" t="str">
        <f>'TRAD-Calculs'!B86</f>
        <v>Avec extrapolation consommations</v>
      </c>
      <c r="W205" s="1535"/>
      <c r="X205" s="1535"/>
      <c r="Y205" s="1535" t="str">
        <f>'TRAD-Calculs'!B87</f>
        <v>Représentation visuelle</v>
      </c>
    </row>
    <row r="206" spans="2:26" s="358" customFormat="1" ht="90" thickBot="1" x14ac:dyDescent="0.25">
      <c r="C206" s="85"/>
      <c r="D206" s="120"/>
      <c r="E206" s="32" t="str">
        <f>'TRAD-Calculs'!B3</f>
        <v>Composition</v>
      </c>
      <c r="F206" s="33" t="str">
        <f>'TRAD-Calculs'!B22</f>
        <v>Forme galénique</v>
      </c>
      <c r="G206" s="33" t="str">
        <f>'TRAD-Calculs'!B4</f>
        <v>Dosage</v>
      </c>
      <c r="H206" s="33" t="str">
        <f>'TRAD-Calculs'!B23</f>
        <v>DCI</v>
      </c>
      <c r="I206" s="33" t="str">
        <f>'TRAD-Calculs'!B24</f>
        <v>Nom de spécialité</v>
      </c>
      <c r="J206" s="33" t="str">
        <f>'TRAD-Calculs'!B25</f>
        <v>Nom de générique possible</v>
      </c>
      <c r="K206" s="33" t="str">
        <f>'TRAD-Calculs'!B26</f>
        <v>Conditionnement</v>
      </c>
      <c r="L206" s="342" t="str">
        <f>'TRAD-Calculs'!B33</f>
        <v>Nombre de boites pour les adultes pour 1 mois</v>
      </c>
      <c r="M206" s="342" t="str">
        <f>'TRAD-Calculs'!B34</f>
        <v>Nombre de boites pour les enfants pour 1 mois</v>
      </c>
      <c r="N206" s="345" t="str">
        <f>'TRAD-Calculs'!B36</f>
        <v>Total des besoins pour 1 mois</v>
      </c>
      <c r="R206" s="345" t="str">
        <f>'TRAD-Calculs'!B17</f>
        <v>Nombre de patients initiés ou switchés prenant le produit / mois</v>
      </c>
      <c r="V206" s="345" t="str">
        <f>'TRAD-Calculs'!B17</f>
        <v>Nombre de patients initiés ou switchés prenant le produit / mois</v>
      </c>
      <c r="Y206" s="345" t="str">
        <f>'TRAD-Calculs'!B17</f>
        <v>Nombre de patients initiés ou switchés prenant le produit / mois</v>
      </c>
    </row>
    <row r="207" spans="2:26" s="358" customFormat="1" ht="39" thickBot="1" x14ac:dyDescent="0.25">
      <c r="C207" s="31" t="s">
        <v>97</v>
      </c>
      <c r="D207" s="97" t="str">
        <f>'Saisie données stocks'!$E$19</f>
        <v>CDF</v>
      </c>
      <c r="E207" s="86" t="str">
        <f>'Saisie données stocks'!F19</f>
        <v>AZT+3TC+NVP</v>
      </c>
      <c r="F207" s="87" t="str">
        <f>'Saisie données stocks'!G19</f>
        <v>Cp</v>
      </c>
      <c r="G207" s="87" t="str">
        <f>'Saisie données stocks'!H19</f>
        <v>300/150/200 mg</v>
      </c>
      <c r="H207" s="87" t="str">
        <f>'Saisie données stocks'!I19</f>
        <v>Zidovudine+ Lamivudine+ Nevirapine</v>
      </c>
      <c r="I207" s="36">
        <f>'Saisie données stocks'!J19</f>
        <v>0</v>
      </c>
      <c r="J207" s="35" t="str">
        <f>'Saisie données stocks'!K19</f>
        <v>DUOVIR-N, ZIDOLAM-N</v>
      </c>
      <c r="K207" s="113">
        <f>'Saisie données stocks'!L19</f>
        <v>60</v>
      </c>
      <c r="L207" s="338">
        <f>IF((M102+N102)&lt;0, 0, (M102+N102))</f>
        <v>0</v>
      </c>
      <c r="M207" s="338">
        <f>'Calculs pédiatriques'!I481</f>
        <v>0</v>
      </c>
      <c r="N207" s="339">
        <f>ROUNDUP(SUM(L207:M207),1)</f>
        <v>0</v>
      </c>
      <c r="P207" s="1026"/>
      <c r="R207" s="423">
        <f t="shared" ref="R207:R247" si="31">IF(N207&gt;100,ROUNDUP((Q102+R102+M207),-1),ROUNDUP((Q102+R102+M207),0))</f>
        <v>0</v>
      </c>
      <c r="V207" s="423" t="str">
        <f t="shared" ref="V207:V247" si="32">IF(ISERROR(N317*J102/(K102*30)), "ND", IF(N317=0, "ND", (N317*J102/(K102*30))))</f>
        <v>ND</v>
      </c>
      <c r="Y207" s="423" t="str">
        <f>IF('Saisie données conso'!$I$76="X", Calculs!R207, IF('Saisie données conso'!$I$77="X", Calculs!V207, "ND"))</f>
        <v>ND</v>
      </c>
    </row>
    <row r="208" spans="2:26" s="358" customFormat="1" ht="51.75" thickBot="1" x14ac:dyDescent="0.25">
      <c r="C208" s="37"/>
      <c r="D208" s="98"/>
      <c r="E208" s="501" t="str">
        <f>'Saisie données stocks'!F20</f>
        <v>AZT+3TC+NVP</v>
      </c>
      <c r="F208" s="502" t="str">
        <f>'Saisie données stocks'!G20</f>
        <v>Cp</v>
      </c>
      <c r="G208" s="502" t="str">
        <f>'Saisie données stocks'!H20</f>
        <v>60/30/50 mg</v>
      </c>
      <c r="H208" s="502" t="str">
        <f>'Saisie données stocks'!I20</f>
        <v>Zidovudine+ Lamivudine+ Nevirapine</v>
      </c>
      <c r="I208" s="503">
        <f>'Saisie données stocks'!J20</f>
        <v>0</v>
      </c>
      <c r="J208" s="504" t="str">
        <f>'Saisie données stocks'!K20</f>
        <v>DUOVIR-N baby, ZIDOLAM-N baby</v>
      </c>
      <c r="K208" s="505">
        <f>'Saisie données stocks'!L20</f>
        <v>60</v>
      </c>
      <c r="L208" s="338">
        <f t="shared" ref="L208:L247" si="33">IF((M103+N103)&lt;0, 0, (M103+N103))</f>
        <v>0</v>
      </c>
      <c r="M208" s="338">
        <f>'Calculs pédiatriques'!I482</f>
        <v>0</v>
      </c>
      <c r="N208" s="340">
        <f t="shared" ref="N208:N256" si="34">ROUNDUP(SUM(L208:M208),1)</f>
        <v>0</v>
      </c>
      <c r="P208" s="1026"/>
      <c r="R208" s="423">
        <f t="shared" si="31"/>
        <v>0</v>
      </c>
      <c r="V208" s="423" t="str">
        <f t="shared" si="32"/>
        <v>ND</v>
      </c>
      <c r="Y208" s="423" t="str">
        <f>IF('Saisie données conso'!$I$76="X", Calculs!R208, IF('Saisie données conso'!$I$77="X", Calculs!V208, "ND"))</f>
        <v>ND</v>
      </c>
    </row>
    <row r="209" spans="3:25" s="358" customFormat="1" ht="39" thickBot="1" x14ac:dyDescent="0.25">
      <c r="C209" s="37"/>
      <c r="D209" s="98"/>
      <c r="E209" s="88" t="str">
        <f>'Saisie données stocks'!F21</f>
        <v>AZT+3TC+ABC</v>
      </c>
      <c r="F209" s="89" t="str">
        <f>'Saisie données stocks'!G21</f>
        <v>Cp</v>
      </c>
      <c r="G209" s="89" t="str">
        <f>'Saisie données stocks'!H21</f>
        <v>300/150/300 mg</v>
      </c>
      <c r="H209" s="89" t="str">
        <f>'Saisie données stocks'!I21</f>
        <v>Zidovudine+ Lamivudine+ Abacavir</v>
      </c>
      <c r="I209" s="39" t="str">
        <f>'Saisie données stocks'!J21</f>
        <v>TRIZIVIR</v>
      </c>
      <c r="J209" s="38">
        <f>'Saisie données stocks'!K21</f>
        <v>0</v>
      </c>
      <c r="K209" s="114">
        <f>'Saisie données stocks'!L21</f>
        <v>60</v>
      </c>
      <c r="L209" s="338">
        <f t="shared" si="33"/>
        <v>0</v>
      </c>
      <c r="M209" s="338">
        <f>'Calculs pédiatriques'!I488</f>
        <v>0</v>
      </c>
      <c r="N209" s="340">
        <f t="shared" si="34"/>
        <v>0</v>
      </c>
      <c r="P209" s="1026"/>
      <c r="R209" s="423">
        <f t="shared" si="31"/>
        <v>0</v>
      </c>
      <c r="V209" s="423" t="str">
        <f t="shared" si="32"/>
        <v>ND</v>
      </c>
      <c r="Y209" s="423" t="str">
        <f>IF('Saisie données conso'!$I$76="X", Calculs!R209, IF('Saisie données conso'!$I$77="X", Calculs!V209, "ND"))</f>
        <v>ND</v>
      </c>
    </row>
    <row r="210" spans="3:25" s="358" customFormat="1" ht="51.75" thickBot="1" x14ac:dyDescent="0.25">
      <c r="C210" s="37"/>
      <c r="D210" s="98"/>
      <c r="E210" s="88" t="str">
        <f>'Saisie données stocks'!F22</f>
        <v>AZT+3TC</v>
      </c>
      <c r="F210" s="89" t="str">
        <f>'Saisie données stocks'!G22</f>
        <v>Cp</v>
      </c>
      <c r="G210" s="89" t="str">
        <f>'Saisie données stocks'!H22</f>
        <v>300/150 mg</v>
      </c>
      <c r="H210" s="89" t="str">
        <f>'Saisie données stocks'!I22</f>
        <v>Zidovudine+ Lamivudine</v>
      </c>
      <c r="I210" s="39" t="str">
        <f>'Saisie données stocks'!J22</f>
        <v>COMBIVIR</v>
      </c>
      <c r="J210" s="38" t="str">
        <f>'Saisie données stocks'!K22</f>
        <v>LAMZID, DUOVIR, ZIDOLAM, VIRACOMB</v>
      </c>
      <c r="K210" s="114">
        <f>'Saisie données stocks'!L22</f>
        <v>60</v>
      </c>
      <c r="L210" s="338">
        <f t="shared" si="33"/>
        <v>0</v>
      </c>
      <c r="M210" s="338">
        <f>'Calculs pédiatriques'!I483</f>
        <v>0</v>
      </c>
      <c r="N210" s="341">
        <f t="shared" si="34"/>
        <v>0</v>
      </c>
      <c r="P210" s="1026"/>
      <c r="R210" s="423">
        <f t="shared" si="31"/>
        <v>0</v>
      </c>
      <c r="V210" s="423" t="str">
        <f t="shared" si="32"/>
        <v>ND</v>
      </c>
      <c r="Y210" s="423" t="str">
        <f>IF('Saisie données conso'!$I$76="X", Calculs!R210, IF('Saisie données conso'!$I$77="X", Calculs!V210, "ND"))</f>
        <v>ND</v>
      </c>
    </row>
    <row r="211" spans="3:25" s="358" customFormat="1" ht="51.75" thickBot="1" x14ac:dyDescent="0.25">
      <c r="C211" s="37"/>
      <c r="D211" s="98"/>
      <c r="E211" s="1656" t="str">
        <f>'Saisie données stocks'!F23</f>
        <v>AZT+3TC</v>
      </c>
      <c r="F211" s="1657" t="str">
        <f>'Saisie données stocks'!G23</f>
        <v>Cp</v>
      </c>
      <c r="G211" s="1657" t="str">
        <f>'Saisie données stocks'!H23</f>
        <v>60/30 mg</v>
      </c>
      <c r="H211" s="1657" t="str">
        <f>'Saisie données stocks'!I23</f>
        <v>Zidovudine+ Lamivudine</v>
      </c>
      <c r="I211" s="2442">
        <f>'Saisie données stocks'!J23</f>
        <v>0</v>
      </c>
      <c r="J211" s="504" t="str">
        <f>'Saisie données stocks'!K23</f>
        <v>DUOVIR baby, ZIDOLAM baby</v>
      </c>
      <c r="K211" s="505">
        <f>'Saisie données stocks'!L23</f>
        <v>60</v>
      </c>
      <c r="L211" s="338">
        <f t="shared" si="33"/>
        <v>0</v>
      </c>
      <c r="M211" s="338">
        <f>'Calculs pédiatriques'!I484</f>
        <v>0</v>
      </c>
      <c r="N211" s="341">
        <f t="shared" si="34"/>
        <v>0</v>
      </c>
      <c r="P211" s="1026"/>
      <c r="R211" s="423">
        <f t="shared" si="31"/>
        <v>0</v>
      </c>
      <c r="V211" s="423" t="str">
        <f t="shared" si="32"/>
        <v>ND</v>
      </c>
      <c r="Y211" s="423" t="str">
        <f>IF('Saisie données conso'!$I$76="X", Calculs!R211, IF('Saisie données conso'!$I$77="X", Calculs!V211, "ND"))</f>
        <v>ND</v>
      </c>
    </row>
    <row r="212" spans="3:25" s="358" customFormat="1" ht="26.25" thickBot="1" x14ac:dyDescent="0.25">
      <c r="C212" s="37"/>
      <c r="D212" s="98"/>
      <c r="E212" s="1656" t="str">
        <f>'Saisie données stocks'!F24</f>
        <v>3TC+ABC</v>
      </c>
      <c r="F212" s="1657" t="str">
        <f>'Saisie données stocks'!G24</f>
        <v>Cp</v>
      </c>
      <c r="G212" s="1657" t="str">
        <f>'Saisie données stocks'!H24</f>
        <v>300/600 mg</v>
      </c>
      <c r="H212" s="1657" t="str">
        <f>'Saisie données stocks'!I24</f>
        <v>Lamivudine+ Abacavir</v>
      </c>
      <c r="I212" s="2442">
        <f>'Saisie données stocks'!J24</f>
        <v>0</v>
      </c>
      <c r="J212" s="504" t="str">
        <f>'Saisie données stocks'!K24</f>
        <v>KIVEXA</v>
      </c>
      <c r="K212" s="505">
        <f>'Saisie données stocks'!L24</f>
        <v>30</v>
      </c>
      <c r="L212" s="338">
        <f t="shared" si="33"/>
        <v>0</v>
      </c>
      <c r="M212" s="338">
        <f>'Calculs pédiatriques'!I489</f>
        <v>0</v>
      </c>
      <c r="N212" s="1025">
        <f t="shared" si="34"/>
        <v>0</v>
      </c>
      <c r="P212" s="1026"/>
      <c r="R212" s="423">
        <f t="shared" si="31"/>
        <v>0</v>
      </c>
      <c r="V212" s="423" t="str">
        <f t="shared" si="32"/>
        <v>ND</v>
      </c>
      <c r="Y212" s="423" t="str">
        <f>IF('Saisie données conso'!$I$76="X", Calculs!R212, IF('Saisie données conso'!$I$77="X", Calculs!V212, "ND"))</f>
        <v>ND</v>
      </c>
    </row>
    <row r="213" spans="3:25" s="358" customFormat="1" ht="26.25" thickBot="1" x14ac:dyDescent="0.25">
      <c r="C213" s="37"/>
      <c r="D213" s="98"/>
      <c r="E213" s="1656" t="str">
        <f>'Saisie données stocks'!F25</f>
        <v>3TC+ABC</v>
      </c>
      <c r="F213" s="1657" t="str">
        <f>'Saisie données stocks'!G25</f>
        <v>Cp</v>
      </c>
      <c r="G213" s="1657" t="str">
        <f>'Saisie données stocks'!H25</f>
        <v>30/60 mg</v>
      </c>
      <c r="H213" s="1657" t="str">
        <f>'Saisie données stocks'!I25</f>
        <v>Lamivudine+ Abacavir</v>
      </c>
      <c r="I213" s="2442">
        <f>'Saisie données stocks'!J25</f>
        <v>0</v>
      </c>
      <c r="J213" s="504">
        <f>'Saisie données stocks'!K25</f>
        <v>0</v>
      </c>
      <c r="K213" s="505">
        <f>'Saisie données stocks'!L25</f>
        <v>60</v>
      </c>
      <c r="L213" s="338">
        <f t="shared" si="33"/>
        <v>0</v>
      </c>
      <c r="M213" s="338">
        <f>'Calculs pédiatriques'!I490</f>
        <v>0</v>
      </c>
      <c r="N213" s="1650">
        <f t="shared" si="34"/>
        <v>0</v>
      </c>
      <c r="P213" s="1026"/>
      <c r="R213" s="423">
        <f t="shared" si="31"/>
        <v>0</v>
      </c>
      <c r="V213" s="423" t="str">
        <f t="shared" si="32"/>
        <v>ND</v>
      </c>
      <c r="Y213" s="423" t="str">
        <f>IF('Saisie données conso'!$I$76="X", Calculs!R213, IF('Saisie données conso'!$I$77="X", Calculs!V213, "ND"))</f>
        <v>ND</v>
      </c>
    </row>
    <row r="214" spans="3:25" s="358" customFormat="1" ht="39" thickBot="1" x14ac:dyDescent="0.25">
      <c r="C214" s="37"/>
      <c r="D214" s="98"/>
      <c r="E214" s="1660" t="str">
        <f>'Saisie données stocks'!F26</f>
        <v>D4T+3TC+NVP</v>
      </c>
      <c r="F214" s="1661" t="str">
        <f>'Saisie données stocks'!G26</f>
        <v>Cp</v>
      </c>
      <c r="G214" s="1661" t="str">
        <f>'Saisie données stocks'!H26</f>
        <v>30/150/200 mg</v>
      </c>
      <c r="H214" s="1662" t="str">
        <f>'Saisie données stocks'!I26</f>
        <v>Stavudine+ Lamivudine+ Nevirapine</v>
      </c>
      <c r="I214" s="2444">
        <f>'Saisie données stocks'!J26</f>
        <v>0</v>
      </c>
      <c r="J214" s="40" t="str">
        <f>'Saisie données stocks'!K26</f>
        <v>TRIOMUNE</v>
      </c>
      <c r="K214" s="115">
        <f>'Saisie données stocks'!L26</f>
        <v>60</v>
      </c>
      <c r="L214" s="338">
        <f t="shared" si="33"/>
        <v>0</v>
      </c>
      <c r="M214" s="338">
        <f>'Calculs pédiatriques'!I485</f>
        <v>0</v>
      </c>
      <c r="N214" s="341">
        <f t="shared" si="34"/>
        <v>0</v>
      </c>
      <c r="P214" s="1026"/>
      <c r="R214" s="423">
        <f t="shared" si="31"/>
        <v>0</v>
      </c>
      <c r="V214" s="423" t="str">
        <f t="shared" si="32"/>
        <v>ND</v>
      </c>
      <c r="Y214" s="423" t="str">
        <f>IF('Saisie données conso'!$I$76="X", Calculs!R214, IF('Saisie données conso'!$I$77="X", Calculs!V214, "ND"))</f>
        <v>ND</v>
      </c>
    </row>
    <row r="215" spans="3:25" s="358" customFormat="1" ht="39" thickBot="1" x14ac:dyDescent="0.25">
      <c r="C215" s="37"/>
      <c r="D215" s="98"/>
      <c r="E215" s="1660" t="str">
        <f>'Saisie données stocks'!F27</f>
        <v>D4T+3TC+NVP</v>
      </c>
      <c r="F215" s="1661" t="str">
        <f>'Saisie données stocks'!G27</f>
        <v>Cp</v>
      </c>
      <c r="G215" s="1661" t="str">
        <f>'Saisie données stocks'!H27</f>
        <v>6/30/50 mg</v>
      </c>
      <c r="H215" s="1662" t="str">
        <f>'Saisie données stocks'!I27</f>
        <v>Stavudine+ Lamivudine+ Nevirapine</v>
      </c>
      <c r="I215" s="2445">
        <f>'Saisie données stocks'!J27</f>
        <v>0</v>
      </c>
      <c r="J215" s="40" t="str">
        <f>'Saisie données stocks'!K27</f>
        <v>TRIOMUNE baby</v>
      </c>
      <c r="K215" s="115">
        <f>'Saisie données stocks'!L27</f>
        <v>60</v>
      </c>
      <c r="L215" s="338">
        <f t="shared" si="33"/>
        <v>0</v>
      </c>
      <c r="M215" s="338">
        <f>'Calculs pédiatriques'!I486</f>
        <v>0</v>
      </c>
      <c r="N215" s="341">
        <f t="shared" si="34"/>
        <v>0</v>
      </c>
      <c r="P215" s="1026"/>
      <c r="R215" s="423">
        <f t="shared" si="31"/>
        <v>0</v>
      </c>
      <c r="V215" s="423" t="str">
        <f t="shared" si="32"/>
        <v>ND</v>
      </c>
      <c r="Y215" s="423" t="str">
        <f>IF('Saisie données conso'!$I$76="X", Calculs!R215, IF('Saisie données conso'!$I$77="X", Calculs!V215, "ND"))</f>
        <v>ND</v>
      </c>
    </row>
    <row r="216" spans="3:25" s="358" customFormat="1" ht="26.25" thickBot="1" x14ac:dyDescent="0.25">
      <c r="C216" s="37"/>
      <c r="D216" s="98"/>
      <c r="E216" s="1660" t="str">
        <f>'Saisie données stocks'!F28</f>
        <v>D4T+3TC</v>
      </c>
      <c r="F216" s="1661" t="str">
        <f>'Saisie données stocks'!G28</f>
        <v>Cp</v>
      </c>
      <c r="G216" s="1661" t="str">
        <f>'Saisie données stocks'!H28</f>
        <v>30/150 mg</v>
      </c>
      <c r="H216" s="1659" t="str">
        <f>'Saisie données stocks'!I28</f>
        <v>Stavudine+ Lamivudine</v>
      </c>
      <c r="I216" s="2446">
        <f>'Saisie données stocks'!J28</f>
        <v>0</v>
      </c>
      <c r="J216" s="40" t="str">
        <f>'Saisie données stocks'!K28</f>
        <v>COVIRO, LAMIVIR-S</v>
      </c>
      <c r="K216" s="115">
        <f>'Saisie données stocks'!L28</f>
        <v>60</v>
      </c>
      <c r="L216" s="338">
        <f t="shared" si="33"/>
        <v>0</v>
      </c>
      <c r="M216" s="338">
        <f>'Calculs pédiatriques'!I487</f>
        <v>0</v>
      </c>
      <c r="N216" s="341">
        <f t="shared" si="34"/>
        <v>0</v>
      </c>
      <c r="P216" s="1026"/>
      <c r="R216" s="423">
        <f t="shared" si="31"/>
        <v>0</v>
      </c>
      <c r="V216" s="423" t="str">
        <f t="shared" si="32"/>
        <v>ND</v>
      </c>
      <c r="Y216" s="423" t="str">
        <f>IF('Saisie données conso'!$I$76="X", Calculs!R216, IF('Saisie données conso'!$I$77="X", Calculs!V216, "ND"))</f>
        <v>ND</v>
      </c>
    </row>
    <row r="217" spans="3:25" s="358" customFormat="1" ht="39" thickBot="1" x14ac:dyDescent="0.25">
      <c r="C217" s="37"/>
      <c r="D217" s="98"/>
      <c r="E217" s="1660" t="str">
        <f>'Saisie données stocks'!F29</f>
        <v>TDF+FTC+EFV</v>
      </c>
      <c r="F217" s="1661" t="str">
        <f>'Saisie données stocks'!G29</f>
        <v>Cp</v>
      </c>
      <c r="G217" s="1661" t="str">
        <f>'Saisie données stocks'!H29</f>
        <v>300/200/600 mg</v>
      </c>
      <c r="H217" s="1659" t="str">
        <f>'Saisie données stocks'!I29</f>
        <v>Tenofovir+ Emtricitabine+ Efavirenz</v>
      </c>
      <c r="I217" s="2446" t="str">
        <f>'Saisie données stocks'!J29</f>
        <v>ATRIPLA</v>
      </c>
      <c r="J217" s="40">
        <f>'Saisie données stocks'!K29</f>
        <v>0</v>
      </c>
      <c r="K217" s="115">
        <f>'Saisie données stocks'!L29</f>
        <v>30</v>
      </c>
      <c r="L217" s="338">
        <f t="shared" si="33"/>
        <v>0</v>
      </c>
      <c r="M217" s="338"/>
      <c r="N217" s="341">
        <f t="shared" si="34"/>
        <v>0</v>
      </c>
      <c r="P217" s="1026"/>
      <c r="R217" s="423">
        <f t="shared" si="31"/>
        <v>0</v>
      </c>
      <c r="V217" s="423" t="str">
        <f t="shared" si="32"/>
        <v>ND</v>
      </c>
      <c r="Y217" s="423" t="str">
        <f>IF('Saisie données conso'!$I$76="X", Calculs!R217, IF('Saisie données conso'!$I$77="X", Calculs!V217, "ND"))</f>
        <v>ND</v>
      </c>
    </row>
    <row r="218" spans="3:25" s="358" customFormat="1" ht="26.25" thickBot="1" x14ac:dyDescent="0.25">
      <c r="C218" s="37"/>
      <c r="D218" s="98"/>
      <c r="E218" s="1660" t="str">
        <f>'Saisie données stocks'!F30</f>
        <v>TDF+FTC</v>
      </c>
      <c r="F218" s="1661" t="str">
        <f>'Saisie données stocks'!G30</f>
        <v>Cp</v>
      </c>
      <c r="G218" s="1661" t="str">
        <f>'Saisie données stocks'!H30</f>
        <v>300/200 mg</v>
      </c>
      <c r="H218" s="1659" t="str">
        <f>'Saisie données stocks'!I30</f>
        <v>Tenofovir+ Emtricitabine</v>
      </c>
      <c r="I218" s="2446" t="str">
        <f>'Saisie données stocks'!J30</f>
        <v>TRUVADA</v>
      </c>
      <c r="J218" s="40">
        <f>'Saisie données stocks'!K30</f>
        <v>0</v>
      </c>
      <c r="K218" s="115">
        <f>'Saisie données stocks'!L30</f>
        <v>30</v>
      </c>
      <c r="L218" s="338">
        <f t="shared" si="33"/>
        <v>0</v>
      </c>
      <c r="M218" s="338"/>
      <c r="N218" s="341">
        <f t="shared" si="34"/>
        <v>0</v>
      </c>
      <c r="P218" s="1026"/>
      <c r="R218" s="423">
        <f t="shared" si="31"/>
        <v>0</v>
      </c>
      <c r="V218" s="423" t="str">
        <f t="shared" si="32"/>
        <v>ND</v>
      </c>
      <c r="Y218" s="423" t="str">
        <f>IF('Saisie données conso'!$I$76="X", Calculs!R218, IF('Saisie données conso'!$I$77="X", Calculs!V218, "ND"))</f>
        <v>ND</v>
      </c>
    </row>
    <row r="219" spans="3:25" s="358" customFormat="1" ht="39" thickBot="1" x14ac:dyDescent="0.25">
      <c r="C219" s="37"/>
      <c r="D219" s="123"/>
      <c r="E219" s="1660" t="str">
        <f>'Saisie données stocks'!F31</f>
        <v>TDF+3TC+EFV</v>
      </c>
      <c r="F219" s="1661" t="str">
        <f>'Saisie données stocks'!G31</f>
        <v>Cp</v>
      </c>
      <c r="G219" s="1661" t="str">
        <f>'Saisie données stocks'!H31</f>
        <v>300/200/600 mg</v>
      </c>
      <c r="H219" s="1659" t="str">
        <f>'Saisie données stocks'!I31</f>
        <v>Tenofovir+ Lamivudine+ Efavirenz</v>
      </c>
      <c r="I219" s="2446" t="str">
        <f>'Saisie données stocks'!J31</f>
        <v>ATRIPLA</v>
      </c>
      <c r="J219" s="40">
        <f>'Saisie données stocks'!K31</f>
        <v>0</v>
      </c>
      <c r="K219" s="115">
        <f>'Saisie données stocks'!L31</f>
        <v>30</v>
      </c>
      <c r="L219" s="338">
        <f t="shared" si="33"/>
        <v>0</v>
      </c>
      <c r="M219" s="338"/>
      <c r="N219" s="341">
        <f t="shared" si="34"/>
        <v>0</v>
      </c>
      <c r="P219" s="1026"/>
      <c r="R219" s="423">
        <f t="shared" si="31"/>
        <v>0</v>
      </c>
      <c r="V219" s="423" t="str">
        <f t="shared" si="32"/>
        <v>ND</v>
      </c>
      <c r="Y219" s="423" t="str">
        <f>IF('Saisie données conso'!$I$76="X", Calculs!R219, IF('Saisie données conso'!$I$77="X", Calculs!V219, "ND"))</f>
        <v>ND</v>
      </c>
    </row>
    <row r="220" spans="3:25" s="358" customFormat="1" ht="26.25" thickBot="1" x14ac:dyDescent="0.25">
      <c r="C220" s="37"/>
      <c r="D220" s="123"/>
      <c r="E220" s="1660" t="str">
        <f>'Saisie données stocks'!F32</f>
        <v>TDF+3TC</v>
      </c>
      <c r="F220" s="1661" t="str">
        <f>'Saisie données stocks'!G32</f>
        <v>Cp</v>
      </c>
      <c r="G220" s="1661" t="str">
        <f>'Saisie données stocks'!H32</f>
        <v>300/200 mg</v>
      </c>
      <c r="H220" s="1659" t="str">
        <f>'Saisie données stocks'!I32</f>
        <v>Tenofovir+ Lamivudine</v>
      </c>
      <c r="I220" s="2446">
        <f>'Saisie données stocks'!J32</f>
        <v>0</v>
      </c>
      <c r="J220" s="40">
        <f>'Saisie données stocks'!K32</f>
        <v>0</v>
      </c>
      <c r="K220" s="115">
        <f>'Saisie données stocks'!L32</f>
        <v>30</v>
      </c>
      <c r="L220" s="338">
        <f t="shared" si="33"/>
        <v>0</v>
      </c>
      <c r="M220" s="338"/>
      <c r="N220" s="341">
        <f t="shared" si="34"/>
        <v>0</v>
      </c>
      <c r="P220" s="1026"/>
      <c r="R220" s="423">
        <f t="shared" si="31"/>
        <v>0</v>
      </c>
      <c r="V220" s="423" t="str">
        <f t="shared" si="32"/>
        <v>ND</v>
      </c>
      <c r="Y220" s="423" t="str">
        <f>IF('Saisie données conso'!$I$76="X", Calculs!R220, IF('Saisie données conso'!$I$77="X", Calculs!V220, "ND"))</f>
        <v>ND</v>
      </c>
    </row>
    <row r="221" spans="3:25" s="358" customFormat="1" ht="51.75" thickBot="1" x14ac:dyDescent="0.25">
      <c r="C221" s="100"/>
      <c r="D221" s="101"/>
      <c r="E221" s="1663" t="str">
        <f>'Saisie données stocks'!F33</f>
        <v>[TDF+3TC]+ATV/r</v>
      </c>
      <c r="F221" s="1664" t="str">
        <f>'Saisie données stocks'!G33</f>
        <v>Cp coblister</v>
      </c>
      <c r="G221" s="1664" t="str">
        <f>'Saisie données stocks'!H33</f>
        <v>[300/300]+300/100 mg</v>
      </c>
      <c r="H221" s="2447" t="str">
        <f>'Saisie données stocks'!I33</f>
        <v>[Tenofovir+ Lamivudine]+ Atazanavir/Ritonavir</v>
      </c>
      <c r="I221" s="2448">
        <f>'Saisie données stocks'!J33</f>
        <v>0</v>
      </c>
      <c r="J221" s="105">
        <f>'Saisie données stocks'!K33</f>
        <v>0</v>
      </c>
      <c r="K221" s="116">
        <f>'Saisie données stocks'!L33</f>
        <v>30</v>
      </c>
      <c r="L221" s="338">
        <f t="shared" si="33"/>
        <v>0</v>
      </c>
      <c r="M221" s="338"/>
      <c r="N221" s="1650">
        <f t="shared" si="34"/>
        <v>0</v>
      </c>
      <c r="P221" s="1026"/>
      <c r="R221" s="423">
        <f t="shared" si="31"/>
        <v>0</v>
      </c>
      <c r="V221" s="423" t="str">
        <f t="shared" si="32"/>
        <v>ND</v>
      </c>
      <c r="Y221" s="423" t="str">
        <f>IF('Saisie données conso'!$I$76="X", Calculs!R221, IF('Saisie données conso'!$I$77="X", Calculs!V221, "ND"))</f>
        <v>ND</v>
      </c>
    </row>
    <row r="222" spans="3:25" s="358" customFormat="1" ht="26.25" thickBot="1" x14ac:dyDescent="0.25">
      <c r="C222" s="37"/>
      <c r="D222" s="98" t="str">
        <f>'Saisie données stocks'!$E$34</f>
        <v>INNTI</v>
      </c>
      <c r="E222" s="1658" t="str">
        <f>'Saisie données stocks'!F34</f>
        <v>EFV</v>
      </c>
      <c r="F222" s="1659" t="str">
        <f>'Saisie données stocks'!G34</f>
        <v>Gél</v>
      </c>
      <c r="G222" s="1659" t="str">
        <f>'Saisie données stocks'!H34</f>
        <v>50 mg</v>
      </c>
      <c r="H222" s="1659" t="str">
        <f>'Saisie données stocks'!I34</f>
        <v>Efavirenz</v>
      </c>
      <c r="I222" s="2446" t="str">
        <f>'Saisie données stocks'!J34</f>
        <v>SUSTIVA, STOCRIN</v>
      </c>
      <c r="J222" s="38">
        <f>'Saisie données stocks'!K34</f>
        <v>0</v>
      </c>
      <c r="K222" s="114">
        <f>'Saisie données stocks'!L34</f>
        <v>30</v>
      </c>
      <c r="L222" s="338">
        <f t="shared" si="33"/>
        <v>0</v>
      </c>
      <c r="M222" s="338">
        <f>'Calculs pédiatriques'!$K$499</f>
        <v>0</v>
      </c>
      <c r="N222" s="341">
        <f t="shared" si="34"/>
        <v>0</v>
      </c>
      <c r="P222" s="1026"/>
      <c r="R222" s="423">
        <f t="shared" si="31"/>
        <v>0</v>
      </c>
      <c r="V222" s="423" t="str">
        <f t="shared" si="32"/>
        <v>ND</v>
      </c>
      <c r="Y222" s="423" t="str">
        <f>IF('Saisie données conso'!$I$76="X", Calculs!R222, IF('Saisie données conso'!$I$77="X", Calculs!V222, "ND"))</f>
        <v>ND</v>
      </c>
    </row>
    <row r="223" spans="3:25" s="358" customFormat="1" ht="26.25" thickBot="1" x14ac:dyDescent="0.25">
      <c r="C223" s="37"/>
      <c r="D223" s="98"/>
      <c r="E223" s="1660" t="str">
        <f>'Saisie données stocks'!F35</f>
        <v>EFV</v>
      </c>
      <c r="F223" s="1661" t="str">
        <f>'Saisie données stocks'!G35</f>
        <v>Gél</v>
      </c>
      <c r="G223" s="1661" t="str">
        <f>'Saisie données stocks'!H35</f>
        <v>200 mg</v>
      </c>
      <c r="H223" s="1659" t="str">
        <f>'Saisie données stocks'!I35</f>
        <v>Efavirenz</v>
      </c>
      <c r="I223" s="2446" t="str">
        <f>'Saisie données stocks'!J35</f>
        <v>SUSTIVA, STOCRIN</v>
      </c>
      <c r="J223" s="40">
        <f>'Saisie données stocks'!K35</f>
        <v>0</v>
      </c>
      <c r="K223" s="115">
        <f>'Saisie données stocks'!L35</f>
        <v>90</v>
      </c>
      <c r="L223" s="338">
        <f t="shared" si="33"/>
        <v>0</v>
      </c>
      <c r="M223" s="338">
        <f>'Calculs pédiatriques'!$K$498</f>
        <v>0</v>
      </c>
      <c r="N223" s="341">
        <f t="shared" si="34"/>
        <v>0</v>
      </c>
      <c r="P223" s="1026"/>
      <c r="R223" s="423">
        <f t="shared" si="31"/>
        <v>0</v>
      </c>
      <c r="V223" s="423" t="str">
        <f t="shared" si="32"/>
        <v>ND</v>
      </c>
      <c r="Y223" s="423" t="str">
        <f>IF('Saisie données conso'!$I$76="X", Calculs!R223, IF('Saisie données conso'!$I$77="X", Calculs!V223, "ND"))</f>
        <v>ND</v>
      </c>
    </row>
    <row r="224" spans="3:25" s="358" customFormat="1" ht="26.25" thickBot="1" x14ac:dyDescent="0.25">
      <c r="C224" s="37"/>
      <c r="D224" s="98"/>
      <c r="E224" s="1665" t="str">
        <f>'Saisie données stocks'!F36</f>
        <v>EFV</v>
      </c>
      <c r="F224" s="1666" t="str">
        <f>'Saisie données stocks'!G36</f>
        <v>Cp</v>
      </c>
      <c r="G224" s="1666" t="str">
        <f>'Saisie données stocks'!H36</f>
        <v>600 mg</v>
      </c>
      <c r="H224" s="1673" t="str">
        <f>'Saisie données stocks'!I36</f>
        <v>Efavirenz</v>
      </c>
      <c r="I224" s="2446" t="str">
        <f>'Saisie données stocks'!J36</f>
        <v>SUSTIVA, STOCRIN</v>
      </c>
      <c r="J224" s="96">
        <f>'Saisie données stocks'!K36</f>
        <v>0</v>
      </c>
      <c r="K224" s="117">
        <f>'Saisie données stocks'!L36</f>
        <v>30</v>
      </c>
      <c r="L224" s="338">
        <f t="shared" si="33"/>
        <v>0</v>
      </c>
      <c r="M224" s="338"/>
      <c r="N224" s="341">
        <f t="shared" si="34"/>
        <v>0</v>
      </c>
      <c r="P224" s="1026"/>
      <c r="R224" s="423">
        <f t="shared" si="31"/>
        <v>0</v>
      </c>
      <c r="V224" s="423" t="str">
        <f t="shared" si="32"/>
        <v>ND</v>
      </c>
      <c r="Y224" s="423" t="str">
        <f>IF('Saisie données conso'!$I$76="X", Calculs!R224, IF('Saisie données conso'!$I$77="X", Calculs!V224, "ND"))</f>
        <v>ND</v>
      </c>
    </row>
    <row r="225" spans="3:25" s="358" customFormat="1" ht="13.5" thickBot="1" x14ac:dyDescent="0.25">
      <c r="C225" s="37"/>
      <c r="D225" s="98"/>
      <c r="E225" s="1667" t="str">
        <f>'Saisie données stocks'!F37</f>
        <v>ETV</v>
      </c>
      <c r="F225" s="1668" t="str">
        <f>'Saisie données stocks'!G37</f>
        <v>Cp</v>
      </c>
      <c r="G225" s="1668" t="str">
        <f>'Saisie données stocks'!H37</f>
        <v>200 mg</v>
      </c>
      <c r="H225" s="1673" t="str">
        <f>'Saisie données stocks'!I37</f>
        <v>Etravirine</v>
      </c>
      <c r="I225" s="2451" t="str">
        <f>'Saisie données stocks'!J37</f>
        <v>INTELENCE</v>
      </c>
      <c r="J225" s="1638">
        <f>'Saisie données stocks'!K37</f>
        <v>0</v>
      </c>
      <c r="K225" s="1386">
        <f>'Saisie données stocks'!L37</f>
        <v>60</v>
      </c>
      <c r="L225" s="338">
        <f t="shared" si="33"/>
        <v>0</v>
      </c>
      <c r="M225" s="338"/>
      <c r="N225" s="1650">
        <f t="shared" si="34"/>
        <v>0</v>
      </c>
      <c r="P225" s="1026"/>
      <c r="R225" s="423">
        <f t="shared" si="31"/>
        <v>0</v>
      </c>
      <c r="V225" s="423" t="str">
        <f t="shared" si="32"/>
        <v>ND</v>
      </c>
      <c r="Y225" s="423" t="str">
        <f>IF('Saisie données conso'!$I$76="X", Calculs!R225, IF('Saisie données conso'!$I$77="X", Calculs!V225, "ND"))</f>
        <v>ND</v>
      </c>
    </row>
    <row r="226" spans="3:25" s="358" customFormat="1" ht="13.5" thickBot="1" x14ac:dyDescent="0.25">
      <c r="C226" s="37"/>
      <c r="D226" s="123"/>
      <c r="E226" s="1660" t="str">
        <f>'Saisie données stocks'!F38</f>
        <v>NVP</v>
      </c>
      <c r="F226" s="1661" t="str">
        <f>'Saisie données stocks'!G38</f>
        <v>Cp</v>
      </c>
      <c r="G226" s="1661" t="str">
        <f>'Saisie données stocks'!H38</f>
        <v>200 mg</v>
      </c>
      <c r="H226" s="1659" t="str">
        <f>'Saisie données stocks'!I38</f>
        <v>Nevirapine</v>
      </c>
      <c r="I226" s="2446" t="str">
        <f>'Saisie données stocks'!J38</f>
        <v>VIRAMUNE</v>
      </c>
      <c r="J226" s="40">
        <f>'Saisie données stocks'!K38</f>
        <v>0</v>
      </c>
      <c r="K226" s="115">
        <f>'Saisie données stocks'!L38</f>
        <v>60</v>
      </c>
      <c r="L226" s="338">
        <f t="shared" si="33"/>
        <v>0</v>
      </c>
      <c r="M226" s="338">
        <f>'Calculs pédiatriques'!I497</f>
        <v>0</v>
      </c>
      <c r="N226" s="341">
        <f t="shared" si="34"/>
        <v>0</v>
      </c>
      <c r="P226" s="1026"/>
      <c r="R226" s="423">
        <f t="shared" si="31"/>
        <v>0</v>
      </c>
      <c r="V226" s="423" t="str">
        <f t="shared" si="32"/>
        <v>ND</v>
      </c>
      <c r="Y226" s="423" t="str">
        <f>IF('Saisie données conso'!$I$76="X", Calculs!R226, IF('Saisie données conso'!$I$77="X", Calculs!V226, "ND"))</f>
        <v>ND</v>
      </c>
    </row>
    <row r="227" spans="3:25" s="358" customFormat="1" ht="13.5" thickBot="1" x14ac:dyDescent="0.25">
      <c r="C227" s="100"/>
      <c r="D227" s="101"/>
      <c r="E227" s="1663" t="str">
        <f>'Saisie données stocks'!F39</f>
        <v>RPV</v>
      </c>
      <c r="F227" s="1664" t="str">
        <f>'Saisie données stocks'!G39</f>
        <v>Cp</v>
      </c>
      <c r="G227" s="1664" t="str">
        <f>'Saisie données stocks'!H39</f>
        <v>25 mg</v>
      </c>
      <c r="H227" s="2447" t="str">
        <f>'Saisie données stocks'!I39</f>
        <v>Rilpivirine</v>
      </c>
      <c r="I227" s="2448" t="str">
        <f>'Saisie données stocks'!J39</f>
        <v>EDURANT</v>
      </c>
      <c r="J227" s="105">
        <f>'Saisie données stocks'!K39</f>
        <v>0</v>
      </c>
      <c r="K227" s="116">
        <f>'Saisie données stocks'!L39</f>
        <v>30</v>
      </c>
      <c r="L227" s="338">
        <f t="shared" si="33"/>
        <v>0</v>
      </c>
      <c r="M227" s="338"/>
      <c r="N227" s="1650">
        <f t="shared" si="34"/>
        <v>0</v>
      </c>
      <c r="P227" s="1026"/>
      <c r="R227" s="423">
        <f t="shared" si="31"/>
        <v>0</v>
      </c>
      <c r="V227" s="423" t="str">
        <f t="shared" si="32"/>
        <v>ND</v>
      </c>
      <c r="Y227" s="423" t="str">
        <f>IF('Saisie données conso'!$I$76="X", Calculs!R227, IF('Saisie données conso'!$I$77="X", Calculs!V227, "ND"))</f>
        <v>ND</v>
      </c>
    </row>
    <row r="228" spans="3:25" s="358" customFormat="1" ht="26.25" thickBot="1" x14ac:dyDescent="0.25">
      <c r="C228" s="37"/>
      <c r="D228" s="123" t="str">
        <f>'Saisie données stocks'!$E$40</f>
        <v>INTI</v>
      </c>
      <c r="E228" s="1660" t="str">
        <f>'Saisie données stocks'!F40</f>
        <v>ABC</v>
      </c>
      <c r="F228" s="1661" t="str">
        <f>'Saisie données stocks'!G40</f>
        <v>Cp</v>
      </c>
      <c r="G228" s="1661" t="str">
        <f>'Saisie données stocks'!H40</f>
        <v>300 mg</v>
      </c>
      <c r="H228" s="1659" t="str">
        <f>'Saisie données stocks'!I40</f>
        <v>Abacavir</v>
      </c>
      <c r="I228" s="2446" t="str">
        <f>'Saisie données stocks'!J40</f>
        <v>ZIAGEN</v>
      </c>
      <c r="J228" s="40" t="str">
        <f>'Saisie données stocks'!K40</f>
        <v>ABAVIR, VIROL</v>
      </c>
      <c r="K228" s="115">
        <f>'Saisie données stocks'!L40</f>
        <v>60</v>
      </c>
      <c r="L228" s="338">
        <f t="shared" si="33"/>
        <v>0</v>
      </c>
      <c r="M228" s="338">
        <f>'Calculs pédiatriques'!I492</f>
        <v>0</v>
      </c>
      <c r="N228" s="341">
        <f t="shared" si="34"/>
        <v>0</v>
      </c>
      <c r="P228" s="1026"/>
      <c r="R228" s="423">
        <f t="shared" si="31"/>
        <v>0</v>
      </c>
      <c r="V228" s="423" t="str">
        <f t="shared" si="32"/>
        <v>ND</v>
      </c>
      <c r="Y228" s="423" t="str">
        <f>IF('Saisie données conso'!$I$76="X", Calculs!R228, IF('Saisie données conso'!$I$77="X", Calculs!V228, "ND"))</f>
        <v>ND</v>
      </c>
    </row>
    <row r="229" spans="3:25" s="358" customFormat="1" ht="13.5" thickBot="1" x14ac:dyDescent="0.25">
      <c r="C229" s="37"/>
      <c r="D229" s="98"/>
      <c r="E229" s="1658" t="str">
        <f>'Saisie données stocks'!F41</f>
        <v>ABC</v>
      </c>
      <c r="F229" s="1659" t="str">
        <f>'Saisie données stocks'!G41</f>
        <v>Cp</v>
      </c>
      <c r="G229" s="1659" t="str">
        <f>'Saisie données stocks'!H41</f>
        <v>60 mg</v>
      </c>
      <c r="H229" s="1659" t="str">
        <f>'Saisie données stocks'!I41</f>
        <v>Abacavir</v>
      </c>
      <c r="I229" s="2453">
        <f>'Saisie données stocks'!J41</f>
        <v>0</v>
      </c>
      <c r="J229" s="38">
        <f>'Saisie données stocks'!K41</f>
        <v>0</v>
      </c>
      <c r="K229" s="114">
        <f>'Saisie données stocks'!L41</f>
        <v>60</v>
      </c>
      <c r="L229" s="338">
        <f t="shared" si="33"/>
        <v>0</v>
      </c>
      <c r="M229" s="338">
        <f>'Calculs pédiatriques'!I493</f>
        <v>0</v>
      </c>
      <c r="N229" s="1650">
        <f t="shared" si="34"/>
        <v>0</v>
      </c>
      <c r="P229" s="1026"/>
      <c r="R229" s="423">
        <f t="shared" si="31"/>
        <v>0</v>
      </c>
      <c r="V229" s="423" t="str">
        <f t="shared" si="32"/>
        <v>ND</v>
      </c>
      <c r="Y229" s="423" t="str">
        <f>IF('Saisie données conso'!$I$76="X", Calculs!R229, IF('Saisie données conso'!$I$77="X", Calculs!V229, "ND"))</f>
        <v>ND</v>
      </c>
    </row>
    <row r="230" spans="3:25" s="358" customFormat="1" ht="13.5" thickBot="1" x14ac:dyDescent="0.25">
      <c r="C230" s="37"/>
      <c r="D230" s="98"/>
      <c r="E230" s="1658" t="str">
        <f>'Saisie données stocks'!F42</f>
        <v>AZT</v>
      </c>
      <c r="F230" s="1659" t="str">
        <f>'Saisie données stocks'!G42</f>
        <v>Cp</v>
      </c>
      <c r="G230" s="1661" t="str">
        <f>'Saisie données stocks'!H42</f>
        <v>300 mg</v>
      </c>
      <c r="H230" s="1659" t="str">
        <f>'Saisie données stocks'!I42</f>
        <v>Zidovudine</v>
      </c>
      <c r="I230" s="2453" t="str">
        <f>'Saisie données stocks'!J42</f>
        <v>RETROVIR</v>
      </c>
      <c r="J230" s="38">
        <f>'Saisie données stocks'!K42</f>
        <v>0</v>
      </c>
      <c r="K230" s="114">
        <f>'Saisie données stocks'!L42</f>
        <v>60</v>
      </c>
      <c r="L230" s="338">
        <f t="shared" si="33"/>
        <v>0</v>
      </c>
      <c r="M230" s="338"/>
      <c r="N230" s="341">
        <f t="shared" si="34"/>
        <v>0</v>
      </c>
      <c r="P230" s="1026"/>
      <c r="R230" s="423">
        <f t="shared" si="31"/>
        <v>0</v>
      </c>
      <c r="V230" s="423" t="str">
        <f t="shared" si="32"/>
        <v>ND</v>
      </c>
      <c r="Y230" s="423" t="str">
        <f>IF('Saisie données conso'!$I$76="X", Calculs!R230, IF('Saisie données conso'!$I$77="X", Calculs!V230, "ND"))</f>
        <v>ND</v>
      </c>
    </row>
    <row r="231" spans="3:25" s="358" customFormat="1" ht="13.5" thickBot="1" x14ac:dyDescent="0.25">
      <c r="C231" s="37"/>
      <c r="D231" s="98"/>
      <c r="E231" s="1658" t="str">
        <f>'Saisie données stocks'!F43</f>
        <v>AZT</v>
      </c>
      <c r="F231" s="1659" t="str">
        <f>'Saisie données stocks'!G43</f>
        <v>Cp</v>
      </c>
      <c r="G231" s="1662" t="str">
        <f>'Saisie données stocks'!H43</f>
        <v>100 mg</v>
      </c>
      <c r="H231" s="1659" t="str">
        <f>'Saisie données stocks'!I43</f>
        <v>Zidovudine</v>
      </c>
      <c r="I231" s="2453" t="str">
        <f>'Saisie données stocks'!J43</f>
        <v>RETROVIR</v>
      </c>
      <c r="J231" s="38">
        <f>'Saisie données stocks'!K43</f>
        <v>0</v>
      </c>
      <c r="K231" s="114">
        <f>'Saisie données stocks'!L43</f>
        <v>100</v>
      </c>
      <c r="L231" s="338">
        <f t="shared" si="33"/>
        <v>0</v>
      </c>
      <c r="M231" s="338">
        <f>'Calculs pédiatriques'!I494</f>
        <v>0</v>
      </c>
      <c r="N231" s="341">
        <f t="shared" si="34"/>
        <v>0</v>
      </c>
      <c r="P231" s="1026"/>
      <c r="R231" s="423">
        <f t="shared" si="31"/>
        <v>0</v>
      </c>
      <c r="V231" s="423" t="str">
        <f t="shared" si="32"/>
        <v>ND</v>
      </c>
      <c r="Y231" s="423" t="str">
        <f>IF('Saisie données conso'!$I$76="X", Calculs!R231, IF('Saisie données conso'!$I$77="X", Calculs!V231, "ND"))</f>
        <v>ND</v>
      </c>
    </row>
    <row r="232" spans="3:25" s="358" customFormat="1" ht="13.5" thickBot="1" x14ac:dyDescent="0.25">
      <c r="C232" s="37"/>
      <c r="D232" s="98"/>
      <c r="E232" s="1658" t="str">
        <f>'Saisie données stocks'!F44</f>
        <v>AZT</v>
      </c>
      <c r="F232" s="1659" t="str">
        <f>'Saisie données stocks'!G44</f>
        <v>Cp</v>
      </c>
      <c r="G232" s="1662" t="str">
        <f>'Saisie données stocks'!H44</f>
        <v>60 mg</v>
      </c>
      <c r="H232" s="1659" t="str">
        <f>'Saisie données stocks'!I44</f>
        <v>Zidovudine</v>
      </c>
      <c r="I232" s="2453">
        <f>'Saisie données stocks'!J44</f>
        <v>0</v>
      </c>
      <c r="J232" s="38">
        <f>'Saisie données stocks'!K44</f>
        <v>0</v>
      </c>
      <c r="K232" s="114">
        <f>'Saisie données stocks'!L44</f>
        <v>60</v>
      </c>
      <c r="L232" s="338">
        <f t="shared" si="33"/>
        <v>0</v>
      </c>
      <c r="M232" s="338">
        <f>'Calculs pédiatriques'!I495</f>
        <v>0</v>
      </c>
      <c r="N232" s="1650">
        <f t="shared" si="34"/>
        <v>0</v>
      </c>
      <c r="P232" s="1026"/>
      <c r="R232" s="423">
        <f t="shared" si="31"/>
        <v>0</v>
      </c>
      <c r="V232" s="423" t="str">
        <f t="shared" si="32"/>
        <v>ND</v>
      </c>
      <c r="Y232" s="423" t="str">
        <f>IF('Saisie données conso'!$I$76="X", Calculs!R232, IF('Saisie données conso'!$I$77="X", Calculs!V232, "ND"))</f>
        <v>ND</v>
      </c>
    </row>
    <row r="233" spans="3:25" s="358" customFormat="1" ht="13.5" thickBot="1" x14ac:dyDescent="0.25">
      <c r="C233" s="37"/>
      <c r="D233" s="98"/>
      <c r="E233" s="1669" t="str">
        <f>'Saisie données stocks'!F45</f>
        <v>D4T</v>
      </c>
      <c r="F233" s="1670" t="str">
        <f>'Saisie données stocks'!G45</f>
        <v>Cp</v>
      </c>
      <c r="G233" s="1671" t="str">
        <f>'Saisie données stocks'!H45</f>
        <v>30 mg</v>
      </c>
      <c r="H233" s="1670" t="str">
        <f>'Saisie données stocks'!I45</f>
        <v>Stavudine</v>
      </c>
      <c r="I233" s="2454" t="str">
        <f>'Saisie données stocks'!J45</f>
        <v>ZERIT</v>
      </c>
      <c r="J233" s="379" t="str">
        <f>'Saisie données stocks'!K45</f>
        <v>STAVIR</v>
      </c>
      <c r="K233" s="114">
        <f>'Saisie données stocks'!L45</f>
        <v>60</v>
      </c>
      <c r="L233" s="338">
        <f t="shared" si="33"/>
        <v>0</v>
      </c>
      <c r="M233" s="338"/>
      <c r="N233" s="341">
        <f t="shared" si="34"/>
        <v>0</v>
      </c>
      <c r="P233" s="1026"/>
      <c r="R233" s="423">
        <f t="shared" si="31"/>
        <v>0</v>
      </c>
      <c r="V233" s="423" t="str">
        <f t="shared" si="32"/>
        <v>ND</v>
      </c>
      <c r="Y233" s="423" t="str">
        <f>IF('Saisie données conso'!$I$76="X", Calculs!R233, IF('Saisie données conso'!$I$77="X", Calculs!V233, "ND"))</f>
        <v>ND</v>
      </c>
    </row>
    <row r="234" spans="3:25" s="358" customFormat="1" ht="13.5" thickBot="1" x14ac:dyDescent="0.25">
      <c r="C234" s="37"/>
      <c r="D234" s="98"/>
      <c r="E234" s="1658" t="str">
        <f>'Saisie données stocks'!F46</f>
        <v>3TC</v>
      </c>
      <c r="F234" s="1659" t="str">
        <f>'Saisie données stocks'!G46</f>
        <v>Cp</v>
      </c>
      <c r="G234" s="1661" t="str">
        <f>'Saisie données stocks'!H46</f>
        <v>150 mg</v>
      </c>
      <c r="H234" s="1659" t="str">
        <f>'Saisie données stocks'!I46</f>
        <v>Lamivudine</v>
      </c>
      <c r="I234" s="2453" t="str">
        <f>'Saisie données stocks'!J46</f>
        <v>EPIVIR</v>
      </c>
      <c r="J234" s="38" t="str">
        <f>'Saisie données stocks'!K46</f>
        <v>LAMIVIR</v>
      </c>
      <c r="K234" s="114">
        <f>'Saisie données stocks'!L46</f>
        <v>60</v>
      </c>
      <c r="L234" s="338">
        <f t="shared" si="33"/>
        <v>0</v>
      </c>
      <c r="M234" s="338">
        <f>'Calculs pédiatriques'!I491</f>
        <v>0</v>
      </c>
      <c r="N234" s="341">
        <f t="shared" si="34"/>
        <v>0</v>
      </c>
      <c r="P234" s="1026"/>
      <c r="R234" s="423">
        <f t="shared" si="31"/>
        <v>0</v>
      </c>
      <c r="V234" s="423" t="str">
        <f t="shared" si="32"/>
        <v>ND</v>
      </c>
      <c r="Y234" s="423" t="str">
        <f>IF('Saisie données conso'!$I$76="X", Calculs!R234, IF('Saisie données conso'!$I$77="X", Calculs!V234, "ND"))</f>
        <v>ND</v>
      </c>
    </row>
    <row r="235" spans="3:25" s="358" customFormat="1" ht="13.5" thickBot="1" x14ac:dyDescent="0.25">
      <c r="C235" s="37"/>
      <c r="D235" s="98"/>
      <c r="E235" s="1658" t="str">
        <f>'Saisie données stocks'!F47</f>
        <v>3TC</v>
      </c>
      <c r="F235" s="1659" t="str">
        <f>'Saisie données stocks'!G47</f>
        <v>Cp</v>
      </c>
      <c r="G235" s="1662" t="str">
        <f>'Saisie données stocks'!H47</f>
        <v>30 mg</v>
      </c>
      <c r="H235" s="1659" t="str">
        <f>'Saisie données stocks'!I47</f>
        <v>Lamivudine</v>
      </c>
      <c r="I235" s="2453">
        <f>'Saisie données stocks'!J47</f>
        <v>0</v>
      </c>
      <c r="J235" s="38">
        <f>'Saisie données stocks'!K47</f>
        <v>0</v>
      </c>
      <c r="K235" s="114">
        <f>'Saisie données stocks'!L47</f>
        <v>60</v>
      </c>
      <c r="L235" s="338">
        <f t="shared" si="33"/>
        <v>0</v>
      </c>
      <c r="M235" s="338"/>
      <c r="N235" s="1650">
        <f t="shared" si="34"/>
        <v>0</v>
      </c>
      <c r="P235" s="1026"/>
      <c r="R235" s="423">
        <f t="shared" si="31"/>
        <v>0</v>
      </c>
      <c r="V235" s="423" t="str">
        <f t="shared" si="32"/>
        <v>ND</v>
      </c>
      <c r="Y235" s="423" t="str">
        <f>IF('Saisie données conso'!$I$76="X", Calculs!R235, IF('Saisie données conso'!$I$77="X", Calculs!V235, "ND"))</f>
        <v>ND</v>
      </c>
    </row>
    <row r="236" spans="3:25" s="358" customFormat="1" ht="39" thickBot="1" x14ac:dyDescent="0.25">
      <c r="C236" s="37"/>
      <c r="D236" s="98"/>
      <c r="E236" s="1660" t="str">
        <f>'Saisie données stocks'!F48</f>
        <v>DDI</v>
      </c>
      <c r="F236" s="1661" t="str">
        <f>'Saisie données stocks'!G48</f>
        <v>Cp</v>
      </c>
      <c r="G236" s="1661" t="str">
        <f>'Saisie données stocks'!H48</f>
        <v>250 mg</v>
      </c>
      <c r="H236" s="1662" t="str">
        <f>'Saisie données stocks'!I48</f>
        <v>Didanosine</v>
      </c>
      <c r="I236" s="2444" t="str">
        <f>'Saisie données stocks'!J48</f>
        <v>VIDEX</v>
      </c>
      <c r="J236" s="40" t="str">
        <f>'Saisie données stocks'!K48</f>
        <v>DINEX, DIVIR, DINOSIN, VIROSINE</v>
      </c>
      <c r="K236" s="115">
        <f>'Saisie données stocks'!L48</f>
        <v>30</v>
      </c>
      <c r="L236" s="338">
        <f t="shared" si="33"/>
        <v>0</v>
      </c>
      <c r="M236" s="338">
        <f>'Calculs pédiatriques'!$K$496</f>
        <v>0</v>
      </c>
      <c r="N236" s="341">
        <f t="shared" si="34"/>
        <v>0</v>
      </c>
      <c r="P236" s="1026"/>
      <c r="R236" s="423">
        <f t="shared" si="31"/>
        <v>0</v>
      </c>
      <c r="V236" s="423" t="str">
        <f t="shared" si="32"/>
        <v>ND</v>
      </c>
      <c r="Y236" s="423" t="str">
        <f>IF('Saisie données conso'!$I$76="X", Calculs!R236, IF('Saisie données conso'!$I$77="X", Calculs!V236, "ND"))</f>
        <v>ND</v>
      </c>
    </row>
    <row r="237" spans="3:25" s="358" customFormat="1" ht="39" thickBot="1" x14ac:dyDescent="0.25">
      <c r="C237" s="37"/>
      <c r="D237" s="98"/>
      <c r="E237" s="1660" t="str">
        <f>'Saisie données stocks'!F49</f>
        <v>DDI</v>
      </c>
      <c r="F237" s="1661" t="str">
        <f>'Saisie données stocks'!G49</f>
        <v>Cp</v>
      </c>
      <c r="G237" s="1666" t="str">
        <f>'Saisie données stocks'!H49</f>
        <v>400 mg</v>
      </c>
      <c r="H237" s="1668" t="str">
        <f>'Saisie données stocks'!I49</f>
        <v>Didanosine</v>
      </c>
      <c r="I237" s="2444" t="str">
        <f>'Saisie données stocks'!J49</f>
        <v>VIDEX</v>
      </c>
      <c r="J237" s="40" t="str">
        <f>'Saisie données stocks'!K49</f>
        <v>DINEX, DIVIR, DINOSIN, VIROSINE</v>
      </c>
      <c r="K237" s="117">
        <f>'Saisie données stocks'!L49</f>
        <v>30</v>
      </c>
      <c r="L237" s="338">
        <f t="shared" si="33"/>
        <v>0</v>
      </c>
      <c r="M237" s="338"/>
      <c r="N237" s="341">
        <f t="shared" si="34"/>
        <v>0</v>
      </c>
      <c r="P237" s="1026"/>
      <c r="R237" s="423">
        <f t="shared" si="31"/>
        <v>0</v>
      </c>
      <c r="V237" s="423" t="str">
        <f t="shared" si="32"/>
        <v>ND</v>
      </c>
      <c r="Y237" s="423" t="str">
        <f>IF('Saisie données conso'!$I$76="X", Calculs!R237, IF('Saisie données conso'!$I$77="X", Calculs!V237, "ND"))</f>
        <v>ND</v>
      </c>
    </row>
    <row r="238" spans="3:25" s="358" customFormat="1" ht="13.5" thickBot="1" x14ac:dyDescent="0.25">
      <c r="C238" s="100"/>
      <c r="D238" s="101"/>
      <c r="E238" s="1663" t="str">
        <f>'Saisie données stocks'!F50</f>
        <v>TDF</v>
      </c>
      <c r="F238" s="1664" t="str">
        <f>'Saisie données stocks'!G50</f>
        <v>Cp</v>
      </c>
      <c r="G238" s="1664" t="str">
        <f>'Saisie données stocks'!H50</f>
        <v>300 mg</v>
      </c>
      <c r="H238" s="2456" t="str">
        <f>'Saisie données stocks'!I50</f>
        <v>Tenofovir</v>
      </c>
      <c r="I238" s="2457" t="str">
        <f>'Saisie données stocks'!J50</f>
        <v>VIREAD</v>
      </c>
      <c r="J238" s="105">
        <f>'Saisie données stocks'!K50</f>
        <v>0</v>
      </c>
      <c r="K238" s="116">
        <f>'Saisie données stocks'!L50</f>
        <v>30</v>
      </c>
      <c r="L238" s="338">
        <f t="shared" si="33"/>
        <v>0</v>
      </c>
      <c r="M238" s="338"/>
      <c r="N238" s="341">
        <f t="shared" si="34"/>
        <v>0</v>
      </c>
      <c r="P238" s="1026"/>
      <c r="R238" s="423">
        <f t="shared" si="31"/>
        <v>0</v>
      </c>
      <c r="V238" s="423" t="str">
        <f t="shared" si="32"/>
        <v>ND</v>
      </c>
      <c r="Y238" s="423" t="str">
        <f>IF('Saisie données conso'!$I$76="X", Calculs!R238, IF('Saisie données conso'!$I$77="X", Calculs!V238, "ND"))</f>
        <v>ND</v>
      </c>
    </row>
    <row r="239" spans="3:25" s="358" customFormat="1" ht="26.25" thickBot="1" x14ac:dyDescent="0.25">
      <c r="C239" s="37"/>
      <c r="D239" s="98" t="str">
        <f>'Saisie données stocks'!$E$51</f>
        <v>IP</v>
      </c>
      <c r="E239" s="1658" t="str">
        <f>'Saisie données stocks'!F51</f>
        <v>LPV/r</v>
      </c>
      <c r="F239" s="1659" t="str">
        <f>'Saisie données stocks'!G51</f>
        <v>Cp</v>
      </c>
      <c r="G239" s="1659" t="str">
        <f>'Saisie données stocks'!H51</f>
        <v>200/50 mg</v>
      </c>
      <c r="H239" s="1659" t="str">
        <f>'Saisie données stocks'!I51</f>
        <v>Lopinavir/ Ritonavir</v>
      </c>
      <c r="I239" s="2453" t="str">
        <f>'Saisie données stocks'!J51</f>
        <v>KALETRA, ALUVIA</v>
      </c>
      <c r="J239" s="38" t="str">
        <f>'Saisie données stocks'!K51</f>
        <v>RITOCOM</v>
      </c>
      <c r="K239" s="114">
        <f>'Saisie données stocks'!L51</f>
        <v>120</v>
      </c>
      <c r="L239" s="338">
        <f t="shared" si="33"/>
        <v>0</v>
      </c>
      <c r="M239" s="338">
        <f>'Calculs pédiatriques'!I500</f>
        <v>0</v>
      </c>
      <c r="N239" s="341">
        <f t="shared" si="34"/>
        <v>0</v>
      </c>
      <c r="P239" s="1026"/>
      <c r="R239" s="423">
        <f t="shared" si="31"/>
        <v>0</v>
      </c>
      <c r="V239" s="423" t="str">
        <f t="shared" si="32"/>
        <v>ND</v>
      </c>
      <c r="Y239" s="423" t="str">
        <f>IF('Saisie données conso'!$I$76="X", Calculs!R239, IF('Saisie données conso'!$I$77="X", Calculs!V239, "ND"))</f>
        <v>ND</v>
      </c>
    </row>
    <row r="240" spans="3:25" s="358" customFormat="1" ht="26.25" thickBot="1" x14ac:dyDescent="0.25">
      <c r="C240" s="37"/>
      <c r="D240" s="98"/>
      <c r="E240" s="1672" t="str">
        <f>'Saisie données stocks'!F52</f>
        <v>LPV/r</v>
      </c>
      <c r="F240" s="1673" t="str">
        <f>'Saisie données stocks'!G52</f>
        <v>Cp coblister</v>
      </c>
      <c r="G240" s="1673" t="str">
        <f>'Saisie données stocks'!H52</f>
        <v>100/25 mg</v>
      </c>
      <c r="H240" s="1673" t="str">
        <f>'Saisie données stocks'!I52</f>
        <v>Lopinavir/ Ritonavir</v>
      </c>
      <c r="I240" s="2458" t="str">
        <f>'Saisie données stocks'!J52</f>
        <v>KALETRA, ALUVIA</v>
      </c>
      <c r="J240" s="1212">
        <f>'Saisie données stocks'!K52</f>
        <v>0</v>
      </c>
      <c r="K240" s="537">
        <f>'Saisie données stocks'!L52</f>
        <v>60</v>
      </c>
      <c r="L240" s="338">
        <f t="shared" si="33"/>
        <v>0</v>
      </c>
      <c r="M240" s="338">
        <f>'Calculs pédiatriques'!I501</f>
        <v>0</v>
      </c>
      <c r="N240" s="341">
        <f t="shared" si="34"/>
        <v>0</v>
      </c>
      <c r="O240" s="635"/>
      <c r="P240" s="1026"/>
      <c r="R240" s="423">
        <f t="shared" si="31"/>
        <v>0</v>
      </c>
      <c r="V240" s="423" t="str">
        <f t="shared" si="32"/>
        <v>ND</v>
      </c>
      <c r="Y240" s="423" t="str">
        <f>IF('Saisie données conso'!$I$76="X", Calculs!R240, IF('Saisie données conso'!$I$77="X", Calculs!V240, "ND"))</f>
        <v>ND</v>
      </c>
    </row>
    <row r="241" spans="3:26" s="358" customFormat="1" ht="26.25" thickBot="1" x14ac:dyDescent="0.25">
      <c r="C241" s="37"/>
      <c r="D241" s="92"/>
      <c r="E241" s="1674" t="str">
        <f>'Saisie données stocks'!F53</f>
        <v>ATV/r</v>
      </c>
      <c r="F241" s="1675" t="str">
        <f>'Saisie données stocks'!G53</f>
        <v>Cp</v>
      </c>
      <c r="G241" s="1676" t="str">
        <f>'Saisie données stocks'!H53</f>
        <v>300/100 mg</v>
      </c>
      <c r="H241" s="1678" t="str">
        <f>'Saisie données stocks'!I53</f>
        <v>Atazanavir/ Ritonavir</v>
      </c>
      <c r="I241" s="2459">
        <f>'Saisie données stocks'!J53</f>
        <v>0</v>
      </c>
      <c r="J241" s="511">
        <f>'Saisie données stocks'!K53</f>
        <v>0</v>
      </c>
      <c r="K241" s="512">
        <f>'Saisie données stocks'!L53</f>
        <v>30</v>
      </c>
      <c r="L241" s="338">
        <f t="shared" si="33"/>
        <v>0</v>
      </c>
      <c r="M241" s="338"/>
      <c r="N241" s="341">
        <f t="shared" si="34"/>
        <v>0</v>
      </c>
      <c r="R241" s="423">
        <f t="shared" si="31"/>
        <v>0</v>
      </c>
      <c r="V241" s="423" t="str">
        <f t="shared" si="32"/>
        <v>ND</v>
      </c>
      <c r="Y241" s="423" t="str">
        <f>IF('Saisie données conso'!$I$76="X", Calculs!R241, IF('Saisie données conso'!$I$77="X", Calculs!V241, "ND"))</f>
        <v>ND</v>
      </c>
    </row>
    <row r="242" spans="3:26" s="358" customFormat="1" ht="26.25" thickBot="1" x14ac:dyDescent="0.25">
      <c r="C242" s="37"/>
      <c r="D242" s="92"/>
      <c r="E242" s="1677" t="str">
        <f>'Saisie données stocks'!F54</f>
        <v>FPV</v>
      </c>
      <c r="F242" s="1678" t="str">
        <f>'Saisie données stocks'!G54</f>
        <v>Cp</v>
      </c>
      <c r="G242" s="1678" t="str">
        <f>'Saisie données stocks'!H54</f>
        <v>700 mg</v>
      </c>
      <c r="H242" s="1678" t="str">
        <f>'Saisie données stocks'!I54</f>
        <v>Fosamprenavir</v>
      </c>
      <c r="I242" s="2461" t="str">
        <f>'Saisie données stocks'!J54</f>
        <v>TELZIR</v>
      </c>
      <c r="J242" s="1627">
        <f>'Saisie données stocks'!K54</f>
        <v>0</v>
      </c>
      <c r="K242" s="1388">
        <f>'Saisie données stocks'!L54</f>
        <v>60</v>
      </c>
      <c r="L242" s="338">
        <f t="shared" si="33"/>
        <v>0</v>
      </c>
      <c r="M242" s="338"/>
      <c r="N242" s="1650">
        <f t="shared" si="34"/>
        <v>0</v>
      </c>
      <c r="O242" s="635"/>
      <c r="P242" s="1026"/>
      <c r="R242" s="423">
        <f t="shared" si="31"/>
        <v>0</v>
      </c>
      <c r="V242" s="423" t="str">
        <f t="shared" si="32"/>
        <v>ND</v>
      </c>
      <c r="Y242" s="423" t="str">
        <f>IF('Saisie données conso'!$I$76="X", Calculs!R242, IF('Saisie données conso'!$I$77="X", Calculs!V242, "ND"))</f>
        <v>ND</v>
      </c>
    </row>
    <row r="243" spans="3:26" s="358" customFormat="1" ht="13.5" thickBot="1" x14ac:dyDescent="0.25">
      <c r="C243" s="37"/>
      <c r="D243" s="92"/>
      <c r="E243" s="1665" t="str">
        <f>'Saisie données stocks'!F55</f>
        <v>IDV</v>
      </c>
      <c r="F243" s="1666" t="str">
        <f>'Saisie données stocks'!G55</f>
        <v>Gel</v>
      </c>
      <c r="G243" s="1666" t="str">
        <f>'Saisie données stocks'!H55</f>
        <v>400 mg</v>
      </c>
      <c r="H243" s="1668" t="str">
        <f>'Saisie données stocks'!I55</f>
        <v>Indinavir</v>
      </c>
      <c r="I243" s="2463" t="str">
        <f>'Saisie données stocks'!J55</f>
        <v>CRIXIVAN</v>
      </c>
      <c r="J243" s="96">
        <f>'Saisie données stocks'!K55</f>
        <v>0</v>
      </c>
      <c r="K243" s="117">
        <f>'Saisie données stocks'!L55</f>
        <v>180</v>
      </c>
      <c r="L243" s="338">
        <f t="shared" si="33"/>
        <v>0</v>
      </c>
      <c r="M243" s="338"/>
      <c r="N243" s="341">
        <f t="shared" si="34"/>
        <v>0</v>
      </c>
      <c r="O243" s="1214"/>
      <c r="R243" s="423">
        <f t="shared" si="31"/>
        <v>0</v>
      </c>
      <c r="V243" s="423" t="str">
        <f t="shared" si="32"/>
        <v>ND</v>
      </c>
      <c r="Y243" s="423" t="str">
        <f>IF('Saisie données conso'!$I$76="X", Calculs!R243, IF('Saisie données conso'!$I$77="X", Calculs!V243, "ND"))</f>
        <v>ND</v>
      </c>
    </row>
    <row r="244" spans="3:26" s="358" customFormat="1" ht="13.5" thickBot="1" x14ac:dyDescent="0.25">
      <c r="C244" s="37"/>
      <c r="D244" s="92"/>
      <c r="E244" s="1665" t="str">
        <f>'Saisie données stocks'!F56</f>
        <v>DRV</v>
      </c>
      <c r="F244" s="1666" t="str">
        <f>'Saisie données stocks'!G56</f>
        <v>Cp</v>
      </c>
      <c r="G244" s="1679" t="str">
        <f>'Saisie données stocks'!H56</f>
        <v>300 mg</v>
      </c>
      <c r="H244" s="1668" t="str">
        <f>'Saisie données stocks'!I56</f>
        <v>Darunavir</v>
      </c>
      <c r="I244" s="2463" t="str">
        <f>'Saisie données stocks'!J56</f>
        <v>PREZISTA</v>
      </c>
      <c r="J244" s="96">
        <f>'Saisie données stocks'!K56</f>
        <v>0</v>
      </c>
      <c r="K244" s="117">
        <f>'Saisie données stocks'!L56</f>
        <v>60</v>
      </c>
      <c r="L244" s="338">
        <f t="shared" si="33"/>
        <v>0</v>
      </c>
      <c r="M244" s="338"/>
      <c r="N244" s="341">
        <f t="shared" si="34"/>
        <v>0</v>
      </c>
      <c r="R244" s="423">
        <f t="shared" si="31"/>
        <v>0</v>
      </c>
      <c r="V244" s="423" t="str">
        <f t="shared" si="32"/>
        <v>ND</v>
      </c>
      <c r="Y244" s="423" t="str">
        <f>IF('Saisie données conso'!$I$76="X", Calculs!R244, IF('Saisie données conso'!$I$77="X", Calculs!V244, "ND"))</f>
        <v>ND</v>
      </c>
    </row>
    <row r="245" spans="3:26" s="358" customFormat="1" ht="13.5" thickBot="1" x14ac:dyDescent="0.25">
      <c r="C245" s="37"/>
      <c r="D245" s="92"/>
      <c r="E245" s="1665" t="str">
        <f>'Saisie données stocks'!F57</f>
        <v>SQV</v>
      </c>
      <c r="F245" s="1666" t="str">
        <f>'Saisie données stocks'!G57</f>
        <v>Cp</v>
      </c>
      <c r="G245" s="1666" t="str">
        <f>'Saisie données stocks'!H57</f>
        <v>500 mg</v>
      </c>
      <c r="H245" s="1668" t="str">
        <f>'Saisie données stocks'!I57</f>
        <v>Saquinavir</v>
      </c>
      <c r="I245" s="2463" t="str">
        <f>'Saisie données stocks'!J57</f>
        <v>INVIRASE</v>
      </c>
      <c r="J245" s="96">
        <f>'Saisie données stocks'!K57</f>
        <v>0</v>
      </c>
      <c r="K245" s="117">
        <f>'Saisie données stocks'!L57</f>
        <v>120</v>
      </c>
      <c r="L245" s="338">
        <f t="shared" si="33"/>
        <v>0</v>
      </c>
      <c r="M245" s="338"/>
      <c r="N245" s="341">
        <f t="shared" si="34"/>
        <v>0</v>
      </c>
      <c r="O245" s="635"/>
      <c r="R245" s="423">
        <f t="shared" si="31"/>
        <v>0</v>
      </c>
      <c r="V245" s="423" t="str">
        <f t="shared" si="32"/>
        <v>ND</v>
      </c>
      <c r="Y245" s="423" t="str">
        <f>IF('Saisie données conso'!$I$76="X", Calculs!R245, IF('Saisie données conso'!$I$77="X", Calculs!V245, "ND"))</f>
        <v>ND</v>
      </c>
    </row>
    <row r="246" spans="3:26" s="358" customFormat="1" ht="13.5" thickBot="1" x14ac:dyDescent="0.25">
      <c r="C246" s="100"/>
      <c r="D246" s="101"/>
      <c r="E246" s="1663" t="str">
        <f>'Saisie données stocks'!F58</f>
        <v>RTV</v>
      </c>
      <c r="F246" s="1664" t="str">
        <f>'Saisie données stocks'!G58</f>
        <v>Caps</v>
      </c>
      <c r="G246" s="1664" t="str">
        <f>'Saisie données stocks'!H58</f>
        <v>100 mg</v>
      </c>
      <c r="H246" s="2456" t="str">
        <f>'Saisie données stocks'!I58</f>
        <v>Ritonavir</v>
      </c>
      <c r="I246" s="2457" t="str">
        <f>'Saisie données stocks'!J58</f>
        <v>NORVIR</v>
      </c>
      <c r="J246" s="105">
        <f>'Saisie données stocks'!K58</f>
        <v>0</v>
      </c>
      <c r="K246" s="116">
        <f>'Saisie données stocks'!L58</f>
        <v>84</v>
      </c>
      <c r="L246" s="338">
        <f t="shared" si="33"/>
        <v>0</v>
      </c>
      <c r="M246" s="338"/>
      <c r="N246" s="341">
        <f t="shared" si="34"/>
        <v>0</v>
      </c>
      <c r="R246" s="423">
        <f t="shared" si="31"/>
        <v>0</v>
      </c>
      <c r="V246" s="423" t="str">
        <f t="shared" si="32"/>
        <v>ND</v>
      </c>
      <c r="Y246" s="423" t="str">
        <f>IF('Saisie données conso'!$I$76="X", Calculs!R246, IF('Saisie données conso'!$I$77="X", Calculs!V246, "ND"))</f>
        <v>ND</v>
      </c>
    </row>
    <row r="247" spans="3:26" s="358" customFormat="1" ht="13.5" thickBot="1" x14ac:dyDescent="0.25">
      <c r="C247" s="519"/>
      <c r="D247" s="520" t="str">
        <f>'Saisie données stocks'!$E$59</f>
        <v>Inh Integrase</v>
      </c>
      <c r="E247" s="513" t="str">
        <f>'Saisie données stocks'!F59</f>
        <v>RLT = RAL</v>
      </c>
      <c r="F247" s="514" t="str">
        <f>'Saisie données stocks'!G59</f>
        <v>Cp</v>
      </c>
      <c r="G247" s="514" t="str">
        <f>'Saisie données stocks'!H59</f>
        <v>400 mg</v>
      </c>
      <c r="H247" s="1644" t="str">
        <f>'Saisie données stocks'!I59</f>
        <v>Raltegravir</v>
      </c>
      <c r="I247" s="515" t="str">
        <f>'Saisie données stocks'!J59</f>
        <v>ISENTRESS</v>
      </c>
      <c r="J247" s="516">
        <f>'Saisie données stocks'!K59</f>
        <v>0</v>
      </c>
      <c r="K247" s="517">
        <f>'Saisie données stocks'!L59</f>
        <v>60</v>
      </c>
      <c r="L247" s="338">
        <f t="shared" si="33"/>
        <v>0</v>
      </c>
      <c r="M247" s="338"/>
      <c r="N247" s="523">
        <f t="shared" si="34"/>
        <v>0</v>
      </c>
      <c r="R247" s="423">
        <f t="shared" si="31"/>
        <v>0</v>
      </c>
      <c r="V247" s="423" t="str">
        <f t="shared" si="32"/>
        <v>ND</v>
      </c>
      <c r="Y247" s="423" t="str">
        <f>IF('Saisie données conso'!$I$76="X", Calculs!R247, IF('Saisie données conso'!$I$77="X", Calculs!V247, "ND"))</f>
        <v>ND</v>
      </c>
    </row>
    <row r="248" spans="3:26" s="358" customFormat="1" ht="90" thickBot="1" x14ac:dyDescent="0.25">
      <c r="C248" s="405"/>
      <c r="D248" s="406"/>
      <c r="E248" s="364" t="str">
        <f>'TRAD-Calculs'!B3</f>
        <v>Composition</v>
      </c>
      <c r="F248" s="365" t="str">
        <f>'TRAD-Calculs'!B22</f>
        <v>Forme galénique</v>
      </c>
      <c r="G248" s="365" t="str">
        <f>'TRAD-Calculs'!B4</f>
        <v>Dosage</v>
      </c>
      <c r="H248" s="365"/>
      <c r="I248" s="365" t="str">
        <f>'TRAD-Calculs'!B24</f>
        <v>Nom de spécialité</v>
      </c>
      <c r="J248" s="365"/>
      <c r="K248" s="365" t="str">
        <f>'TRAD-Calculs'!B37</f>
        <v>Volume conditionnement primaire (mL)</v>
      </c>
      <c r="L248" s="342" t="str">
        <f>'TRAD-Calculs'!B33</f>
        <v>Nombre de boites pour les adultes pour 1 mois</v>
      </c>
      <c r="M248" s="342" t="str">
        <f>'TRAD-Calculs'!B34</f>
        <v>Nombre de boites pour les enfants pour 1 mois</v>
      </c>
      <c r="N248" s="343" t="str">
        <f>'TRAD-Calculs'!B36</f>
        <v>Total des besoins pour 1 mois</v>
      </c>
      <c r="R248" s="345" t="str">
        <f>'TRAD-Calculs'!B17</f>
        <v>Nombre de patients initiés ou switchés prenant le produit / mois</v>
      </c>
      <c r="S248" s="343" t="str">
        <f>'TRAD-Calculs'!B88</f>
        <v>Estimation Nb d'enfant concerné HORS PTME</v>
      </c>
      <c r="V248" s="345" t="str">
        <f>'TRAD-Calculs'!B17</f>
        <v>Nombre de patients initiés ou switchés prenant le produit / mois</v>
      </c>
      <c r="W248" s="343" t="str">
        <f>'TRAD-Calculs'!B89</f>
        <v>Estimation Nb d'enfant concerné</v>
      </c>
      <c r="Y248" s="345" t="str">
        <f>'TRAD-Calculs'!B17</f>
        <v>Nombre de patients initiés ou switchés prenant le produit / mois</v>
      </c>
      <c r="Z248" s="343" t="str">
        <f>'TRAD-Calculs'!B89</f>
        <v>Estimation Nb d'enfant concerné</v>
      </c>
    </row>
    <row r="249" spans="3:26" s="358" customFormat="1" ht="13.5" thickBot="1" x14ac:dyDescent="0.25">
      <c r="C249" s="366" t="str">
        <f>'TRAD-Calculs'!B38</f>
        <v>Solutions buvables</v>
      </c>
      <c r="D249" s="367" t="str">
        <f>'Saisie données stocks'!$E$61</f>
        <v>INTI</v>
      </c>
      <c r="E249" s="368" t="str">
        <f>'Saisie données stocks'!F61</f>
        <v>AZT</v>
      </c>
      <c r="F249" s="369" t="str">
        <f>'Saisie données stocks'!G61</f>
        <v>Sol buv</v>
      </c>
      <c r="G249" s="369" t="str">
        <f>'Saisie données stocks'!H61</f>
        <v>10 mg/mL</v>
      </c>
      <c r="H249" s="369" t="str">
        <f>'Saisie données stocks'!I61</f>
        <v>Zidovudine</v>
      </c>
      <c r="I249" s="370" t="str">
        <f>'Saisie données stocks'!J61</f>
        <v>RETROVIR</v>
      </c>
      <c r="J249" s="370">
        <f>'Saisie données stocks'!K61</f>
        <v>0</v>
      </c>
      <c r="K249" s="113">
        <f>'Saisie données stocks'!L61</f>
        <v>240</v>
      </c>
      <c r="L249" s="338"/>
      <c r="M249" s="338">
        <f>'Calculs pédiatriques'!I473</f>
        <v>0</v>
      </c>
      <c r="N249" s="523">
        <f t="shared" si="34"/>
        <v>0</v>
      </c>
      <c r="R249" s="423">
        <f>IF(N249&gt;100,ROUNDUP(N249,-1),ROUNDUP(N249,0))</f>
        <v>0</v>
      </c>
      <c r="S249" s="833">
        <f>'Calculs pédiatriques'!$D$324+'Calculs pédiatriques'!$D$359+'Calculs pédiatriques'!$D$394+'Calculs pédiatriques'!$D$429</f>
        <v>0</v>
      </c>
      <c r="V249" s="423" t="str">
        <f>IF(N359=0, "0", ROUNDUP(N359/'Saisie données file act.'!H646, 0))</f>
        <v>0</v>
      </c>
      <c r="W249" s="833">
        <f>IF(V249="ND", "ND", V249/AVERAGE('Saisie données file act.'!H631+'Saisie données file act.'!H646+'Saisie données file act.'!H659))</f>
        <v>0</v>
      </c>
      <c r="Y249" s="423">
        <f t="shared" ref="Y249:Y256" si="35">IF(N249&gt;100,ROUNDUP(N249,-1),ROUNDUP(N249,0))</f>
        <v>0</v>
      </c>
      <c r="Z249" s="833">
        <f>Y249</f>
        <v>0</v>
      </c>
    </row>
    <row r="250" spans="3:26" s="358" customFormat="1" ht="13.5" thickBot="1" x14ac:dyDescent="0.25">
      <c r="C250" s="374"/>
      <c r="D250" s="375"/>
      <c r="E250" s="376" t="str">
        <f>'Saisie données stocks'!F62</f>
        <v>D4T</v>
      </c>
      <c r="F250" s="377" t="str">
        <f>'Saisie données stocks'!G62</f>
        <v>Sol buv</v>
      </c>
      <c r="G250" s="377" t="str">
        <f>'Saisie données stocks'!H62</f>
        <v>10 mg/mL</v>
      </c>
      <c r="H250" s="377" t="str">
        <f>'Saisie données stocks'!I62</f>
        <v>Stavudine</v>
      </c>
      <c r="I250" s="378" t="str">
        <f>'Saisie données stocks'!J62</f>
        <v>ZERIT</v>
      </c>
      <c r="J250" s="378">
        <f>'Saisie données stocks'!K62</f>
        <v>0</v>
      </c>
      <c r="K250" s="114">
        <f>'Saisie données stocks'!L62</f>
        <v>240</v>
      </c>
      <c r="L250" s="338"/>
      <c r="M250" s="338">
        <f>'Calculs pédiatriques'!I474</f>
        <v>0</v>
      </c>
      <c r="N250" s="523">
        <f t="shared" si="34"/>
        <v>0</v>
      </c>
      <c r="R250" s="423">
        <f t="shared" ref="R250:R256" si="36">IF(N250&gt;100,ROUNDUP(N250,-1),ROUNDUP(N250,0))</f>
        <v>0</v>
      </c>
      <c r="S250" s="833">
        <f>'Calculs pédiatriques'!$D$324+'Calculs pédiatriques'!$D$359+'Calculs pédiatriques'!$D$394+'Calculs pédiatriques'!$D$429</f>
        <v>0</v>
      </c>
      <c r="V250" s="423" t="str">
        <f>IF(N360=0, "0", ROUNDUP(N360/'Saisie données file act.'!H647, 0))</f>
        <v>0</v>
      </c>
      <c r="W250" s="833">
        <f>IF(V250="ND", "ND", V250/AVERAGE('Saisie données file act.'!H632+'Saisie données file act.'!H647+'Saisie données file act.'!H660))</f>
        <v>0</v>
      </c>
      <c r="Y250" s="423">
        <f t="shared" si="35"/>
        <v>0</v>
      </c>
      <c r="Z250" s="833">
        <f t="shared" ref="Z250:Z256" si="37">Y250</f>
        <v>0</v>
      </c>
    </row>
    <row r="251" spans="3:26" s="358" customFormat="1" ht="13.5" thickBot="1" x14ac:dyDescent="0.25">
      <c r="C251" s="374"/>
      <c r="D251" s="375"/>
      <c r="E251" s="382" t="str">
        <f>'Saisie données stocks'!F63</f>
        <v>3TC</v>
      </c>
      <c r="F251" s="383" t="str">
        <f>'Saisie données stocks'!G63</f>
        <v>Sol buv</v>
      </c>
      <c r="G251" s="383" t="str">
        <f>'Saisie données stocks'!H63</f>
        <v>10 mg/mL</v>
      </c>
      <c r="H251" s="1208" t="str">
        <f>'Saisie données stocks'!I63</f>
        <v>Lamivudine</v>
      </c>
      <c r="I251" s="384" t="str">
        <f>'Saisie données stocks'!J63</f>
        <v>LAMIVIR, EPIVIR</v>
      </c>
      <c r="J251" s="384">
        <f>'Saisie données stocks'!K63</f>
        <v>0</v>
      </c>
      <c r="K251" s="115">
        <f>'Saisie données stocks'!L63</f>
        <v>240</v>
      </c>
      <c r="L251" s="338"/>
      <c r="M251" s="338">
        <f>'Calculs pédiatriques'!I475</f>
        <v>0</v>
      </c>
      <c r="N251" s="523">
        <f t="shared" si="34"/>
        <v>0</v>
      </c>
      <c r="R251" s="423">
        <f t="shared" si="36"/>
        <v>0</v>
      </c>
      <c r="S251" s="833">
        <f>'Calculs pédiatriques'!$D$324+'Calculs pédiatriques'!$D$359+'Calculs pédiatriques'!$D$394+'Calculs pédiatriques'!$D$429</f>
        <v>0</v>
      </c>
      <c r="V251" s="423" t="str">
        <f>IF(N361=0, "0", ROUNDUP(N361/'Saisie données file act.'!H648, 0))</f>
        <v>0</v>
      </c>
      <c r="W251" s="833">
        <f>IF(V251="ND", "ND", V251/AVERAGE('Saisie données file act.'!H633+'Saisie données file act.'!H648+'Saisie données file act.'!H661))</f>
        <v>0</v>
      </c>
      <c r="Y251" s="423">
        <f t="shared" si="35"/>
        <v>0</v>
      </c>
      <c r="Z251" s="833">
        <f t="shared" si="37"/>
        <v>0</v>
      </c>
    </row>
    <row r="252" spans="3:26" s="358" customFormat="1" ht="13.5" thickBot="1" x14ac:dyDescent="0.25">
      <c r="C252" s="374"/>
      <c r="D252" s="407"/>
      <c r="E252" s="376" t="str">
        <f>'Saisie données stocks'!F64</f>
        <v>ABC</v>
      </c>
      <c r="F252" s="377" t="str">
        <f>'Saisie données stocks'!G64</f>
        <v>Sol buv</v>
      </c>
      <c r="G252" s="377" t="str">
        <f>'Saisie données stocks'!H64</f>
        <v>20 mg/mL</v>
      </c>
      <c r="H252" s="377" t="str">
        <f>'Saisie données stocks'!I64</f>
        <v>Abacavir</v>
      </c>
      <c r="I252" s="378" t="str">
        <f>'Saisie données stocks'!J64</f>
        <v>ZIAGEN</v>
      </c>
      <c r="J252" s="378">
        <f>'Saisie données stocks'!K64</f>
        <v>0</v>
      </c>
      <c r="K252" s="114">
        <f>'Saisie données stocks'!L64</f>
        <v>240</v>
      </c>
      <c r="L252" s="338"/>
      <c r="M252" s="338">
        <f>'Calculs pédiatriques'!I476</f>
        <v>0</v>
      </c>
      <c r="N252" s="523">
        <f t="shared" si="34"/>
        <v>0</v>
      </c>
      <c r="R252" s="423">
        <f t="shared" si="36"/>
        <v>0</v>
      </c>
      <c r="S252" s="833">
        <f>'Calculs pédiatriques'!$D$324+'Calculs pédiatriques'!$D$359+'Calculs pédiatriques'!$D$394+'Calculs pédiatriques'!$D$429</f>
        <v>0</v>
      </c>
      <c r="V252" s="423" t="str">
        <f>IF(N362=0, "0", ROUNDUP(N362/'Saisie données file act.'!H649, 0))</f>
        <v>0</v>
      </c>
      <c r="W252" s="833">
        <f>IF(V252="ND", "ND", V252/AVERAGE('Saisie données file act.'!H634+'Saisie données file act.'!H649+'Saisie données file act.'!H662))</f>
        <v>0</v>
      </c>
      <c r="Y252" s="423">
        <f t="shared" si="35"/>
        <v>0</v>
      </c>
      <c r="Z252" s="833">
        <f t="shared" si="37"/>
        <v>0</v>
      </c>
    </row>
    <row r="253" spans="3:26" s="358" customFormat="1" ht="26.25" thickBot="1" x14ac:dyDescent="0.25">
      <c r="C253" s="374"/>
      <c r="D253" s="389"/>
      <c r="E253" s="390" t="str">
        <f>'Saisie données stocks'!F65</f>
        <v>DDI</v>
      </c>
      <c r="F253" s="391" t="str">
        <f>'Saisie données stocks'!G65</f>
        <v>Poudre buvable</v>
      </c>
      <c r="G253" s="391" t="str">
        <f>'Saisie données stocks'!H65</f>
        <v>2 g</v>
      </c>
      <c r="H253" s="1519" t="str">
        <f>'Saisie données stocks'!I65</f>
        <v>Didanosine</v>
      </c>
      <c r="I253" s="401" t="str">
        <f>'Saisie données stocks'!J65</f>
        <v>VIDEX</v>
      </c>
      <c r="J253" s="401">
        <f>'Saisie données stocks'!K65</f>
        <v>0</v>
      </c>
      <c r="K253" s="116">
        <f>'Saisie données stocks'!L65</f>
        <v>200</v>
      </c>
      <c r="L253" s="338"/>
      <c r="M253" s="338">
        <f>'Calculs pédiatriques'!I477</f>
        <v>0</v>
      </c>
      <c r="N253" s="523">
        <f t="shared" si="34"/>
        <v>0</v>
      </c>
      <c r="R253" s="423">
        <f t="shared" si="36"/>
        <v>0</v>
      </c>
      <c r="S253" s="833">
        <f>'Calculs pédiatriques'!$D$324+'Calculs pédiatriques'!$D$359+'Calculs pédiatriques'!$D$394+'Calculs pédiatriques'!$D$429</f>
        <v>0</v>
      </c>
      <c r="V253" s="423" t="str">
        <f>IF(N363=0, "0", ROUNDUP(N363/'Saisie données file act.'!H650, 0))</f>
        <v>0</v>
      </c>
      <c r="W253" s="833">
        <f>IF(V253="ND", "ND", V253/AVERAGE('Saisie données file act.'!H635+'Saisie données file act.'!H650+'Saisie données file act.'!H663))</f>
        <v>0</v>
      </c>
      <c r="Y253" s="423">
        <f t="shared" si="35"/>
        <v>0</v>
      </c>
      <c r="Z253" s="833">
        <f t="shared" si="37"/>
        <v>0</v>
      </c>
    </row>
    <row r="254" spans="3:26" s="358" customFormat="1" ht="13.5" thickBot="1" x14ac:dyDescent="0.25">
      <c r="C254" s="374"/>
      <c r="D254" s="375" t="str">
        <f>'Saisie données stocks'!$E$66</f>
        <v>INNTI</v>
      </c>
      <c r="E254" s="376" t="str">
        <f>'Saisie données stocks'!F66</f>
        <v>NVP</v>
      </c>
      <c r="F254" s="377" t="str">
        <f>'Saisie données stocks'!G66</f>
        <v>Sol buv</v>
      </c>
      <c r="G254" s="377" t="str">
        <f>'Saisie données stocks'!H66</f>
        <v>10 mg/mL</v>
      </c>
      <c r="H254" s="377" t="str">
        <f>'Saisie données stocks'!I66</f>
        <v>Nevirapine</v>
      </c>
      <c r="I254" s="378" t="str">
        <f>'Saisie données stocks'!J66</f>
        <v>VIRAMUNE</v>
      </c>
      <c r="J254" s="378">
        <f>'Saisie données stocks'!K66</f>
        <v>0</v>
      </c>
      <c r="K254" s="114">
        <f>'Saisie données stocks'!L66</f>
        <v>240</v>
      </c>
      <c r="L254" s="338"/>
      <c r="M254" s="338">
        <f>'Calculs pédiatriques'!I478</f>
        <v>0</v>
      </c>
      <c r="N254" s="523">
        <f t="shared" si="34"/>
        <v>0</v>
      </c>
      <c r="R254" s="423">
        <f t="shared" si="36"/>
        <v>0</v>
      </c>
      <c r="S254" s="833">
        <f>'Calculs pédiatriques'!$D$324+'Calculs pédiatriques'!$D$359+'Calculs pédiatriques'!$D$394+'Calculs pédiatriques'!$D$429</f>
        <v>0</v>
      </c>
      <c r="V254" s="423" t="str">
        <f>IF(N364=0, "0", ROUNDUP(N364/'Saisie données file act.'!H651, 0))</f>
        <v>0</v>
      </c>
      <c r="W254" s="833">
        <f>IF(V254="ND", "ND", V254/AVERAGE('Saisie données file act.'!H636+'Saisie données file act.'!H651+'Saisie données file act.'!H664))</f>
        <v>0</v>
      </c>
      <c r="Y254" s="423">
        <f t="shared" si="35"/>
        <v>0</v>
      </c>
      <c r="Z254" s="833">
        <f t="shared" si="37"/>
        <v>0</v>
      </c>
    </row>
    <row r="255" spans="3:26" s="358" customFormat="1" ht="13.5" thickBot="1" x14ac:dyDescent="0.25">
      <c r="C255" s="374"/>
      <c r="D255" s="389"/>
      <c r="E255" s="390" t="str">
        <f>'Saisie données stocks'!F67</f>
        <v>EFV</v>
      </c>
      <c r="F255" s="391" t="str">
        <f>'Saisie données stocks'!G67</f>
        <v>Sol buv</v>
      </c>
      <c r="G255" s="391" t="str">
        <f>'Saisie données stocks'!H67</f>
        <v>30 mg/mL</v>
      </c>
      <c r="H255" s="1519" t="str">
        <f>'Saisie données stocks'!I67</f>
        <v>Efavirenz</v>
      </c>
      <c r="I255" s="401" t="str">
        <f>'Saisie données stocks'!J67</f>
        <v>SUSTIVA, STOCRIN</v>
      </c>
      <c r="J255" s="401">
        <f>'Saisie données stocks'!K67</f>
        <v>0</v>
      </c>
      <c r="K255" s="116">
        <f>'Saisie données stocks'!L67</f>
        <v>180</v>
      </c>
      <c r="L255" s="338"/>
      <c r="M255" s="338">
        <f>'Calculs pédiatriques'!I479</f>
        <v>0</v>
      </c>
      <c r="N255" s="523">
        <f t="shared" si="34"/>
        <v>0</v>
      </c>
      <c r="R255" s="423">
        <f t="shared" si="36"/>
        <v>0</v>
      </c>
      <c r="S255" s="833">
        <f>'Calculs pédiatriques'!$D$324+'Calculs pédiatriques'!$D$359+'Calculs pédiatriques'!$D$394+'Calculs pédiatriques'!$D$429</f>
        <v>0</v>
      </c>
      <c r="V255" s="423" t="str">
        <f>IF(N365=0, "0", ROUNDUP(N365/'Saisie données file act.'!H652, 0))</f>
        <v>0</v>
      </c>
      <c r="W255" s="833">
        <f>IF(V255="ND", "ND", V255/AVERAGE('Saisie données file act.'!H637+'Saisie données file act.'!H652+'Saisie données file act.'!H665))</f>
        <v>0</v>
      </c>
      <c r="Y255" s="423">
        <f t="shared" si="35"/>
        <v>0</v>
      </c>
      <c r="Z255" s="833">
        <f t="shared" si="37"/>
        <v>0</v>
      </c>
    </row>
    <row r="256" spans="3:26" s="358" customFormat="1" ht="26.25" thickBot="1" x14ac:dyDescent="0.25">
      <c r="C256" s="404"/>
      <c r="D256" s="408" t="str">
        <f>'Saisie données stocks'!$E$68</f>
        <v>IP</v>
      </c>
      <c r="E256" s="409" t="str">
        <f>'Saisie données stocks'!F68</f>
        <v>LPV/r</v>
      </c>
      <c r="F256" s="410" t="str">
        <f>'Saisie données stocks'!G68</f>
        <v>Sol buv</v>
      </c>
      <c r="G256" s="410" t="str">
        <f>'Saisie données stocks'!H68</f>
        <v>80/20 mg/mL</v>
      </c>
      <c r="H256" s="410" t="str">
        <f>'Saisie données stocks'!I68</f>
        <v>Lopinavir/Ritonavir</v>
      </c>
      <c r="I256" s="411" t="str">
        <f>'Saisie données stocks'!J68</f>
        <v>KALETRA ALUVIA</v>
      </c>
      <c r="J256" s="411">
        <f>'Saisie données stocks'!K68</f>
        <v>0</v>
      </c>
      <c r="K256" s="312">
        <f>'Saisie données stocks'!L68</f>
        <v>60</v>
      </c>
      <c r="L256" s="338"/>
      <c r="M256" s="338">
        <f>'Calculs pédiatriques'!I480</f>
        <v>0</v>
      </c>
      <c r="N256" s="523">
        <f t="shared" si="34"/>
        <v>0</v>
      </c>
      <c r="R256" s="423">
        <f t="shared" si="36"/>
        <v>0</v>
      </c>
      <c r="S256" s="833">
        <f>'Calculs pédiatriques'!$D$324+'Calculs pédiatriques'!$D$359+'Calculs pédiatriques'!$D$394+'Calculs pédiatriques'!$D$429</f>
        <v>0</v>
      </c>
      <c r="V256" s="423" t="str">
        <f>IF(N366=0, "0", ROUNDUP(N366/'Saisie données file act.'!H653, 0))</f>
        <v>0</v>
      </c>
      <c r="W256" s="833">
        <f>IF(V256="ND", "ND", V256/AVERAGE('Saisie données file act.'!H638+'Saisie données file act.'!H653+'Saisie données file act.'!H666))</f>
        <v>0</v>
      </c>
      <c r="Y256" s="423">
        <f t="shared" si="35"/>
        <v>0</v>
      </c>
      <c r="Z256" s="833">
        <f t="shared" si="37"/>
        <v>0</v>
      </c>
    </row>
    <row r="257" spans="1:17" s="358" customFormat="1" x14ac:dyDescent="0.2">
      <c r="P257" s="356"/>
    </row>
    <row r="259" spans="1:17" s="358" customFormat="1" ht="15.75" thickBot="1" x14ac:dyDescent="0.25">
      <c r="A259" s="3257" t="str">
        <f>'TRAD-Calculs'!B90</f>
        <v>Etape 2 : détermination du stock disponible total (stock central + stock périphérique + commandes à prévoir à court terme)</v>
      </c>
      <c r="B259" s="3257"/>
      <c r="C259" s="3257"/>
      <c r="D259" s="3257"/>
      <c r="E259" s="3257"/>
      <c r="F259" s="3257"/>
      <c r="G259" s="3257"/>
      <c r="H259" s="3257"/>
      <c r="I259" s="3257"/>
      <c r="J259" s="3257"/>
      <c r="K259" s="3257"/>
      <c r="L259" s="3257"/>
      <c r="M259" s="3257"/>
      <c r="N259" s="3257"/>
      <c r="P259" s="356"/>
    </row>
    <row r="260" spans="1:17" s="358" customFormat="1" ht="13.5" thickBot="1" x14ac:dyDescent="0.25">
      <c r="P260" s="356"/>
    </row>
    <row r="261" spans="1:17" s="4" customFormat="1" ht="77.25" thickBot="1" x14ac:dyDescent="0.25">
      <c r="C261" s="85"/>
      <c r="D261" s="120"/>
      <c r="E261" s="32" t="str">
        <f>'TRAD-Calculs'!B3</f>
        <v>Composition</v>
      </c>
      <c r="F261" s="33" t="str">
        <f>'TRAD-Calculs'!B22</f>
        <v>Forme galénique</v>
      </c>
      <c r="G261" s="33" t="str">
        <f>'TRAD-Calculs'!B4</f>
        <v>Dosage</v>
      </c>
      <c r="H261" s="33" t="str">
        <f>'TRAD-Calculs'!B23</f>
        <v>DCI</v>
      </c>
      <c r="I261" s="33" t="str">
        <f>'TRAD-Calculs'!B24</f>
        <v>Nom de spécialité</v>
      </c>
      <c r="J261" s="33" t="str">
        <f>'TRAD-Calculs'!B25</f>
        <v>Nom de générique possible</v>
      </c>
      <c r="K261" s="33" t="str">
        <f>'TRAD-Calculs'!B26</f>
        <v>Conditionnement</v>
      </c>
      <c r="L261" s="34" t="str">
        <f>'TRAD-Calculs'!B41</f>
        <v>Conditionement secondaire</v>
      </c>
      <c r="M261" s="34" t="str">
        <f>'TRAD-Calculs'!B42</f>
        <v>Qtés en stock au niveau central (nb boites)</v>
      </c>
      <c r="N261" s="34" t="str">
        <f>'TRAD-Calculs'!B43</f>
        <v>Qtés en stock périphériques (nb de boites)</v>
      </c>
      <c r="O261" s="462" t="str">
        <f>'TRAD-Calculs'!B44</f>
        <v>Quantités totales en stock (nb de boites)</v>
      </c>
      <c r="P261" s="34" t="str">
        <f>'TRAD-Calculs'!B45</f>
        <v>Commandes attendues à court termes (nb de boites)</v>
      </c>
      <c r="Q261" s="462" t="str">
        <f>'TRAD-Calculs'!B46</f>
        <v>Quantités totales en stock après réception (nb de boites)</v>
      </c>
    </row>
    <row r="262" spans="1:17" s="4" customFormat="1" ht="38.25" x14ac:dyDescent="0.2">
      <c r="C262" s="31" t="str">
        <f>'TRAD-Calculs'!B28</f>
        <v>Comprimés</v>
      </c>
      <c r="D262" s="97" t="str">
        <f>'Saisie données stocks'!$E$19</f>
        <v>CDF</v>
      </c>
      <c r="E262" s="86" t="str">
        <f>'Saisie données stocks'!F19</f>
        <v>AZT+3TC+NVP</v>
      </c>
      <c r="F262" s="87" t="str">
        <f>'Saisie données stocks'!G19</f>
        <v>Cp</v>
      </c>
      <c r="G262" s="87" t="str">
        <f>'Saisie données stocks'!H19</f>
        <v>300/150/200 mg</v>
      </c>
      <c r="H262" s="87" t="str">
        <f>'Saisie données stocks'!I19</f>
        <v>Zidovudine+ Lamivudine+ Nevirapine</v>
      </c>
      <c r="I262" s="36">
        <f>'Saisie données stocks'!J19</f>
        <v>0</v>
      </c>
      <c r="J262" s="35" t="str">
        <f>'Saisie données stocks'!K19</f>
        <v>DUOVIR-N, ZIDOLAM-N</v>
      </c>
      <c r="K262" s="113">
        <f>'Saisie données stocks'!L19</f>
        <v>60</v>
      </c>
      <c r="L262" s="328"/>
      <c r="M262" s="477">
        <f>'Saisie données stocks'!N19</f>
        <v>62923</v>
      </c>
      <c r="N262" s="477">
        <f>'Saisie données stocks'!$N83</f>
        <v>8969</v>
      </c>
      <c r="O262" s="487">
        <f>M262+N262</f>
        <v>71892</v>
      </c>
      <c r="P262" s="477">
        <f>'Saisie données stocks'!N140</f>
        <v>0</v>
      </c>
      <c r="Q262" s="492">
        <f>'Saisie données stocks'!N19+'Saisie données stocks'!N83+'Saisie données stocks'!N140</f>
        <v>71892</v>
      </c>
    </row>
    <row r="263" spans="1:17" s="4" customFormat="1" ht="51" x14ac:dyDescent="0.2">
      <c r="C263" s="37"/>
      <c r="D263" s="98"/>
      <c r="E263" s="501" t="str">
        <f>'Saisie données stocks'!F20</f>
        <v>AZT+3TC+NVP</v>
      </c>
      <c r="F263" s="502" t="str">
        <f>'Saisie données stocks'!G20</f>
        <v>Cp</v>
      </c>
      <c r="G263" s="502" t="str">
        <f>'Saisie données stocks'!H20</f>
        <v>60/30/50 mg</v>
      </c>
      <c r="H263" s="502" t="str">
        <f>'Saisie données stocks'!I20</f>
        <v>Zidovudine+ Lamivudine+ Nevirapine</v>
      </c>
      <c r="I263" s="503">
        <f>'Saisie données stocks'!J20</f>
        <v>0</v>
      </c>
      <c r="J263" s="504" t="str">
        <f>'Saisie données stocks'!K20</f>
        <v>DUOVIR-N baby, ZIDOLAM-N baby</v>
      </c>
      <c r="K263" s="505">
        <f>'Saisie données stocks'!L20</f>
        <v>60</v>
      </c>
      <c r="L263" s="330"/>
      <c r="M263" s="524">
        <f>'Saisie données stocks'!N20</f>
        <v>1032</v>
      </c>
      <c r="N263" s="524">
        <f>'Saisie données stocks'!$N84</f>
        <v>490</v>
      </c>
      <c r="O263" s="525">
        <f t="shared" ref="O263:O266" si="38">M263+N263</f>
        <v>1522</v>
      </c>
      <c r="P263" s="524">
        <f>'Saisie données stocks'!N141</f>
        <v>0</v>
      </c>
      <c r="Q263" s="526">
        <f>'Saisie données stocks'!N20+'Saisie données stocks'!N84+'Saisie données stocks'!N141</f>
        <v>1522</v>
      </c>
    </row>
    <row r="264" spans="1:17" s="4" customFormat="1" ht="38.25" x14ac:dyDescent="0.2">
      <c r="C264" s="37"/>
      <c r="D264" s="98"/>
      <c r="E264" s="88" t="str">
        <f>'Saisie données stocks'!F21</f>
        <v>AZT+3TC+ABC</v>
      </c>
      <c r="F264" s="89" t="str">
        <f>'Saisie données stocks'!G21</f>
        <v>Cp</v>
      </c>
      <c r="G264" s="89" t="str">
        <f>'Saisie données stocks'!H21</f>
        <v>300/150/300 mg</v>
      </c>
      <c r="H264" s="89" t="str">
        <f>'Saisie données stocks'!I21</f>
        <v>Zidovudine+ Lamivudine+ Abacavir</v>
      </c>
      <c r="I264" s="39" t="str">
        <f>'Saisie données stocks'!J21</f>
        <v>TRIZIVIR</v>
      </c>
      <c r="J264" s="38">
        <f>'Saisie données stocks'!K21</f>
        <v>0</v>
      </c>
      <c r="K264" s="114">
        <f>'Saisie données stocks'!L21</f>
        <v>60</v>
      </c>
      <c r="L264" s="330"/>
      <c r="M264" s="478">
        <f>'Saisie données stocks'!N21</f>
        <v>666</v>
      </c>
      <c r="N264" s="478">
        <f>'Saisie données stocks'!$N85</f>
        <v>0</v>
      </c>
      <c r="O264" s="488">
        <f t="shared" si="38"/>
        <v>666</v>
      </c>
      <c r="P264" s="478">
        <f>'Saisie données stocks'!N142</f>
        <v>0</v>
      </c>
      <c r="Q264" s="493">
        <f>'Saisie données stocks'!N21+'Saisie données stocks'!N85+'Saisie données stocks'!N142</f>
        <v>666</v>
      </c>
    </row>
    <row r="265" spans="1:17" s="4" customFormat="1" ht="51" x14ac:dyDescent="0.2">
      <c r="C265" s="37"/>
      <c r="D265" s="98"/>
      <c r="E265" s="88" t="str">
        <f>'Saisie données stocks'!F22</f>
        <v>AZT+3TC</v>
      </c>
      <c r="F265" s="89" t="str">
        <f>'Saisie données stocks'!G22</f>
        <v>Cp</v>
      </c>
      <c r="G265" s="89" t="str">
        <f>'Saisie données stocks'!H22</f>
        <v>300/150 mg</v>
      </c>
      <c r="H265" s="89" t="str">
        <f>'Saisie données stocks'!I22</f>
        <v>Zidovudine+ Lamivudine</v>
      </c>
      <c r="I265" s="39" t="str">
        <f>'Saisie données stocks'!J22</f>
        <v>COMBIVIR</v>
      </c>
      <c r="J265" s="38" t="str">
        <f>'Saisie données stocks'!K22</f>
        <v>LAMZID, DUOVIR, ZIDOLAM, VIRACOMB</v>
      </c>
      <c r="K265" s="114">
        <f>'Saisie données stocks'!L22</f>
        <v>60</v>
      </c>
      <c r="L265" s="330"/>
      <c r="M265" s="478">
        <f>'Saisie données stocks'!N22</f>
        <v>11298</v>
      </c>
      <c r="N265" s="478">
        <f>'Saisie données stocks'!$N86</f>
        <v>1052</v>
      </c>
      <c r="O265" s="488">
        <f t="shared" si="38"/>
        <v>12350</v>
      </c>
      <c r="P265" s="478">
        <f>'Saisie données stocks'!N143</f>
        <v>0</v>
      </c>
      <c r="Q265" s="493">
        <f>'Saisie données stocks'!N22+'Saisie données stocks'!N86+'Saisie données stocks'!N143</f>
        <v>12350</v>
      </c>
    </row>
    <row r="266" spans="1:17" s="4" customFormat="1" ht="51" x14ac:dyDescent="0.2">
      <c r="C266" s="37"/>
      <c r="D266" s="98"/>
      <c r="E266" s="1656" t="str">
        <f>'Saisie données stocks'!F23</f>
        <v>AZT+3TC</v>
      </c>
      <c r="F266" s="1657" t="str">
        <f>'Saisie données stocks'!G23</f>
        <v>Cp</v>
      </c>
      <c r="G266" s="1657" t="str">
        <f>'Saisie données stocks'!H23</f>
        <v>60/30 mg</v>
      </c>
      <c r="H266" s="1657" t="str">
        <f>'Saisie données stocks'!I23</f>
        <v>Zidovudine+ Lamivudine</v>
      </c>
      <c r="I266" s="2442">
        <f>'Saisie données stocks'!J23</f>
        <v>0</v>
      </c>
      <c r="J266" s="2443" t="str">
        <f>'Saisie données stocks'!K23</f>
        <v>DUOVIR baby, ZIDOLAM baby</v>
      </c>
      <c r="K266" s="505">
        <f>'Saisie données stocks'!L23</f>
        <v>60</v>
      </c>
      <c r="L266" s="330"/>
      <c r="M266" s="478">
        <f>'Saisie données stocks'!N23</f>
        <v>743</v>
      </c>
      <c r="N266" s="478">
        <f>'Saisie données stocks'!$N87</f>
        <v>160</v>
      </c>
      <c r="O266" s="488">
        <f t="shared" si="38"/>
        <v>903</v>
      </c>
      <c r="P266" s="478">
        <f>'Saisie données stocks'!N144</f>
        <v>0</v>
      </c>
      <c r="Q266" s="493">
        <f>'Saisie données stocks'!N23+'Saisie données stocks'!N87+'Saisie données stocks'!N144</f>
        <v>903</v>
      </c>
    </row>
    <row r="267" spans="1:17" s="4" customFormat="1" ht="25.5" x14ac:dyDescent="0.2">
      <c r="C267" s="37"/>
      <c r="D267" s="98"/>
      <c r="E267" s="1656" t="str">
        <f>'Saisie données stocks'!F24</f>
        <v>3TC+ABC</v>
      </c>
      <c r="F267" s="1657" t="str">
        <f>'Saisie données stocks'!G24</f>
        <v>Cp</v>
      </c>
      <c r="G267" s="1657" t="str">
        <f>'Saisie données stocks'!H24</f>
        <v>300/600 mg</v>
      </c>
      <c r="H267" s="1657" t="str">
        <f>'Saisie données stocks'!I24</f>
        <v>Lamivudine+ Abacavir</v>
      </c>
      <c r="I267" s="2442">
        <f>'Saisie données stocks'!J24</f>
        <v>0</v>
      </c>
      <c r="J267" s="2443" t="str">
        <f>'Saisie données stocks'!K24</f>
        <v>KIVEXA</v>
      </c>
      <c r="K267" s="505">
        <f>'Saisie données stocks'!L24</f>
        <v>30</v>
      </c>
      <c r="L267" s="330"/>
      <c r="M267" s="478">
        <f>'Saisie données stocks'!N24</f>
        <v>147</v>
      </c>
      <c r="N267" s="478">
        <f>'Saisie données stocks'!$N88</f>
        <v>40</v>
      </c>
      <c r="O267" s="488">
        <f t="shared" ref="O267" si="39">M267+N267</f>
        <v>187</v>
      </c>
      <c r="P267" s="478">
        <f>'Saisie données stocks'!N145</f>
        <v>305</v>
      </c>
      <c r="Q267" s="493">
        <f>'Saisie données stocks'!N24+'Saisie données stocks'!N88+'Saisie données stocks'!N145</f>
        <v>492</v>
      </c>
    </row>
    <row r="268" spans="1:17" s="4" customFormat="1" ht="25.5" x14ac:dyDescent="0.2">
      <c r="C268" s="37"/>
      <c r="D268" s="98"/>
      <c r="E268" s="1656" t="str">
        <f>'Saisie données stocks'!F25</f>
        <v>3TC+ABC</v>
      </c>
      <c r="F268" s="1657" t="str">
        <f>'Saisie données stocks'!G25</f>
        <v>Cp</v>
      </c>
      <c r="G268" s="1657" t="str">
        <f>'Saisie données stocks'!H25</f>
        <v>30/60 mg</v>
      </c>
      <c r="H268" s="1657" t="str">
        <f>'Saisie données stocks'!I25</f>
        <v>Lamivudine+ Abacavir</v>
      </c>
      <c r="I268" s="2442">
        <f>'Saisie données stocks'!J25</f>
        <v>0</v>
      </c>
      <c r="J268" s="2443">
        <f>'Saisie données stocks'!K25</f>
        <v>0</v>
      </c>
      <c r="K268" s="505">
        <f>'Saisie données stocks'!L25</f>
        <v>60</v>
      </c>
      <c r="L268" s="330"/>
      <c r="M268" s="478">
        <f>'Saisie données stocks'!N25</f>
        <v>231</v>
      </c>
      <c r="N268" s="478">
        <f>'Saisie données stocks'!$N89</f>
        <v>0</v>
      </c>
      <c r="O268" s="488">
        <f t="shared" ref="O268" si="40">M268+N268</f>
        <v>231</v>
      </c>
      <c r="P268" s="478">
        <f>'Saisie données stocks'!N146</f>
        <v>0</v>
      </c>
      <c r="Q268" s="493">
        <f>'Saisie données stocks'!N25+'Saisie données stocks'!N89+'Saisie données stocks'!N146</f>
        <v>231</v>
      </c>
    </row>
    <row r="269" spans="1:17" s="4" customFormat="1" ht="38.25" x14ac:dyDescent="0.2">
      <c r="C269" s="37"/>
      <c r="D269" s="98"/>
      <c r="E269" s="1660" t="str">
        <f>'Saisie données stocks'!F26</f>
        <v>D4T+3TC+NVP</v>
      </c>
      <c r="F269" s="1661" t="str">
        <f>'Saisie données stocks'!G26</f>
        <v>Cp</v>
      </c>
      <c r="G269" s="1661" t="str">
        <f>'Saisie données stocks'!H26</f>
        <v>30/150/200 mg</v>
      </c>
      <c r="H269" s="1662" t="str">
        <f>'Saisie données stocks'!I26</f>
        <v>Stavudine+ Lamivudine+ Nevirapine</v>
      </c>
      <c r="I269" s="2444">
        <f>'Saisie données stocks'!J26</f>
        <v>0</v>
      </c>
      <c r="J269" s="2445" t="str">
        <f>'Saisie données stocks'!K26</f>
        <v>TRIOMUNE</v>
      </c>
      <c r="K269" s="115">
        <f>'Saisie données stocks'!L26</f>
        <v>60</v>
      </c>
      <c r="L269" s="331"/>
      <c r="M269" s="479">
        <f>'Saisie données stocks'!N26</f>
        <v>0</v>
      </c>
      <c r="N269" s="479">
        <f>'Saisie données stocks'!$N90</f>
        <v>0</v>
      </c>
      <c r="O269" s="489">
        <f t="shared" ref="O269:O311" si="41">M269+N269</f>
        <v>0</v>
      </c>
      <c r="P269" s="479">
        <f>'Saisie données stocks'!N147</f>
        <v>0</v>
      </c>
      <c r="Q269" s="494">
        <f>'Saisie données stocks'!N26+'Saisie données stocks'!N90+'Saisie données stocks'!N147</f>
        <v>0</v>
      </c>
    </row>
    <row r="270" spans="1:17" s="4" customFormat="1" ht="38.25" x14ac:dyDescent="0.2">
      <c r="C270" s="37"/>
      <c r="D270" s="98"/>
      <c r="E270" s="1660" t="str">
        <f>'Saisie données stocks'!F27</f>
        <v>D4T+3TC+NVP</v>
      </c>
      <c r="F270" s="1661" t="str">
        <f>'Saisie données stocks'!G27</f>
        <v>Cp</v>
      </c>
      <c r="G270" s="1661" t="str">
        <f>'Saisie données stocks'!H27</f>
        <v>6/30/50 mg</v>
      </c>
      <c r="H270" s="1662" t="str">
        <f>'Saisie données stocks'!I27</f>
        <v>Stavudine+ Lamivudine+ Nevirapine</v>
      </c>
      <c r="I270" s="2445">
        <f>'Saisie données stocks'!J27</f>
        <v>0</v>
      </c>
      <c r="J270" s="2445" t="str">
        <f>'Saisie données stocks'!K27</f>
        <v>TRIOMUNE baby</v>
      </c>
      <c r="K270" s="115">
        <f>'Saisie données stocks'!L27</f>
        <v>60</v>
      </c>
      <c r="L270" s="331"/>
      <c r="M270" s="479">
        <f>'Saisie données stocks'!N27</f>
        <v>91</v>
      </c>
      <c r="N270" s="479">
        <f>'Saisie données stocks'!$N91</f>
        <v>30</v>
      </c>
      <c r="O270" s="489">
        <f t="shared" si="41"/>
        <v>121</v>
      </c>
      <c r="P270" s="479">
        <f>'Saisie données stocks'!N148</f>
        <v>0</v>
      </c>
      <c r="Q270" s="494">
        <f>'Saisie données stocks'!N27+'Saisie données stocks'!N91+'Saisie données stocks'!N148</f>
        <v>121</v>
      </c>
    </row>
    <row r="271" spans="1:17" s="4" customFormat="1" ht="25.5" x14ac:dyDescent="0.2">
      <c r="C271" s="37"/>
      <c r="D271" s="98"/>
      <c r="E271" s="1660" t="str">
        <f>'Saisie données stocks'!F28</f>
        <v>D4T+3TC</v>
      </c>
      <c r="F271" s="1661" t="str">
        <f>'Saisie données stocks'!G28</f>
        <v>Cp</v>
      </c>
      <c r="G271" s="1661" t="str">
        <f>'Saisie données stocks'!H28</f>
        <v>30/150 mg</v>
      </c>
      <c r="H271" s="1659" t="str">
        <f>'Saisie données stocks'!I28</f>
        <v>Stavudine+ Lamivudine</v>
      </c>
      <c r="I271" s="2446">
        <f>'Saisie données stocks'!J28</f>
        <v>0</v>
      </c>
      <c r="J271" s="2445" t="str">
        <f>'Saisie données stocks'!K28</f>
        <v>COVIRO, LAMIVIR-S</v>
      </c>
      <c r="K271" s="115">
        <f>'Saisie données stocks'!L28</f>
        <v>60</v>
      </c>
      <c r="L271" s="331"/>
      <c r="M271" s="479">
        <f>'Saisie données stocks'!N28</f>
        <v>2</v>
      </c>
      <c r="N271" s="479">
        <f>'Saisie données stocks'!$N92</f>
        <v>14</v>
      </c>
      <c r="O271" s="489">
        <f t="shared" si="41"/>
        <v>16</v>
      </c>
      <c r="P271" s="479">
        <f>'Saisie données stocks'!N149</f>
        <v>0</v>
      </c>
      <c r="Q271" s="494">
        <f>'Saisie données stocks'!N28+'Saisie données stocks'!N92+'Saisie données stocks'!N149</f>
        <v>16</v>
      </c>
    </row>
    <row r="272" spans="1:17" s="4" customFormat="1" ht="38.25" x14ac:dyDescent="0.2">
      <c r="C272" s="37"/>
      <c r="D272" s="98"/>
      <c r="E272" s="1660" t="str">
        <f>'Saisie données stocks'!F29</f>
        <v>TDF+FTC+EFV</v>
      </c>
      <c r="F272" s="1661" t="str">
        <f>'Saisie données stocks'!G29</f>
        <v>Cp</v>
      </c>
      <c r="G272" s="1661" t="str">
        <f>'Saisie données stocks'!H29</f>
        <v>300/200/600 mg</v>
      </c>
      <c r="H272" s="1659" t="str">
        <f>'Saisie données stocks'!I29</f>
        <v>Tenofovir+ Emtricitabine+ Efavirenz</v>
      </c>
      <c r="I272" s="2446" t="str">
        <f>'Saisie données stocks'!J29</f>
        <v>ATRIPLA</v>
      </c>
      <c r="J272" s="2445">
        <f>'Saisie données stocks'!K29</f>
        <v>0</v>
      </c>
      <c r="K272" s="115">
        <f>'Saisie données stocks'!L29</f>
        <v>30</v>
      </c>
      <c r="L272" s="331"/>
      <c r="M272" s="479">
        <f>'Saisie données stocks'!N29</f>
        <v>0</v>
      </c>
      <c r="N272" s="479">
        <f>'Saisie données stocks'!$N93</f>
        <v>0</v>
      </c>
      <c r="O272" s="489">
        <f t="shared" si="41"/>
        <v>0</v>
      </c>
      <c r="P272" s="479">
        <f>'Saisie données stocks'!N150</f>
        <v>0</v>
      </c>
      <c r="Q272" s="494">
        <f>'Saisie données stocks'!N29+'Saisie données stocks'!N93+'Saisie données stocks'!N150</f>
        <v>0</v>
      </c>
    </row>
    <row r="273" spans="3:17" s="4" customFormat="1" ht="25.5" x14ac:dyDescent="0.2">
      <c r="C273" s="37"/>
      <c r="D273" s="98"/>
      <c r="E273" s="1660" t="str">
        <f>'Saisie données stocks'!F30</f>
        <v>TDF+FTC</v>
      </c>
      <c r="F273" s="1661" t="str">
        <f>'Saisie données stocks'!G30</f>
        <v>Cp</v>
      </c>
      <c r="G273" s="1661" t="str">
        <f>'Saisie données stocks'!H30</f>
        <v>300/200 mg</v>
      </c>
      <c r="H273" s="1659" t="str">
        <f>'Saisie données stocks'!I30</f>
        <v>Tenofovir+ Emtricitabine</v>
      </c>
      <c r="I273" s="2446" t="str">
        <f>'Saisie données stocks'!J30</f>
        <v>TRUVADA</v>
      </c>
      <c r="J273" s="2445">
        <f>'Saisie données stocks'!K30</f>
        <v>0</v>
      </c>
      <c r="K273" s="115">
        <f>'Saisie données stocks'!L30</f>
        <v>30</v>
      </c>
      <c r="L273" s="331"/>
      <c r="M273" s="479">
        <f>'Saisie données stocks'!N30</f>
        <v>0</v>
      </c>
      <c r="N273" s="479">
        <f>'Saisie données stocks'!$N94</f>
        <v>0</v>
      </c>
      <c r="O273" s="489">
        <f t="shared" ref="O273:O302" si="42">M273+N273</f>
        <v>0</v>
      </c>
      <c r="P273" s="479">
        <f>'Saisie données stocks'!N151</f>
        <v>0</v>
      </c>
      <c r="Q273" s="494">
        <f>'Saisie données stocks'!N30+'Saisie données stocks'!N94+'Saisie données stocks'!N151</f>
        <v>0</v>
      </c>
    </row>
    <row r="274" spans="3:17" s="4" customFormat="1" ht="38.25" x14ac:dyDescent="0.2">
      <c r="C274" s="37"/>
      <c r="D274" s="123"/>
      <c r="E274" s="1660" t="str">
        <f>'Saisie données stocks'!F31</f>
        <v>TDF+3TC+EFV</v>
      </c>
      <c r="F274" s="1661" t="str">
        <f>'Saisie données stocks'!G31</f>
        <v>Cp</v>
      </c>
      <c r="G274" s="1661" t="str">
        <f>'Saisie données stocks'!H31</f>
        <v>300/200/600 mg</v>
      </c>
      <c r="H274" s="1659" t="str">
        <f>'Saisie données stocks'!I31</f>
        <v>Tenofovir+ Lamivudine+ Efavirenz</v>
      </c>
      <c r="I274" s="2446" t="str">
        <f>'Saisie données stocks'!J31</f>
        <v>ATRIPLA</v>
      </c>
      <c r="J274" s="2445">
        <f>'Saisie données stocks'!K31</f>
        <v>0</v>
      </c>
      <c r="K274" s="115">
        <f>'Saisie données stocks'!L31</f>
        <v>30</v>
      </c>
      <c r="L274" s="331"/>
      <c r="M274" s="479">
        <f>'Saisie données stocks'!N31</f>
        <v>36034</v>
      </c>
      <c r="N274" s="479">
        <f>'Saisie données stocks'!$N95</f>
        <v>2712</v>
      </c>
      <c r="O274" s="489">
        <f t="shared" si="42"/>
        <v>38746</v>
      </c>
      <c r="P274" s="479">
        <f>'Saisie données stocks'!N152</f>
        <v>0</v>
      </c>
      <c r="Q274" s="494">
        <f>'Saisie données stocks'!N31+'Saisie données stocks'!N95+'Saisie données stocks'!N152</f>
        <v>38746</v>
      </c>
    </row>
    <row r="275" spans="3:17" s="4" customFormat="1" ht="25.5" x14ac:dyDescent="0.2">
      <c r="C275" s="37"/>
      <c r="D275" s="123"/>
      <c r="E275" s="1660" t="str">
        <f>'Saisie données stocks'!F32</f>
        <v>TDF+3TC</v>
      </c>
      <c r="F275" s="1661" t="str">
        <f>'Saisie données stocks'!G32</f>
        <v>Cp</v>
      </c>
      <c r="G275" s="1661" t="str">
        <f>'Saisie données stocks'!H32</f>
        <v>300/200 mg</v>
      </c>
      <c r="H275" s="1659" t="str">
        <f>'Saisie données stocks'!I32</f>
        <v>Tenofovir+ Lamivudine</v>
      </c>
      <c r="I275" s="2446">
        <f>'Saisie données stocks'!J32</f>
        <v>0</v>
      </c>
      <c r="J275" s="2445">
        <f>'Saisie données stocks'!K32</f>
        <v>0</v>
      </c>
      <c r="K275" s="115">
        <f>'Saisie données stocks'!L32</f>
        <v>30</v>
      </c>
      <c r="L275" s="331"/>
      <c r="M275" s="479">
        <f>'Saisie données stocks'!N32</f>
        <v>505</v>
      </c>
      <c r="N275" s="479">
        <f>'Saisie données stocks'!$N96</f>
        <v>0</v>
      </c>
      <c r="O275" s="489">
        <f t="shared" si="42"/>
        <v>505</v>
      </c>
      <c r="P275" s="479">
        <f>'Saisie données stocks'!N153</f>
        <v>0</v>
      </c>
      <c r="Q275" s="494">
        <f>'Saisie données stocks'!N32+'Saisie données stocks'!N96+'Saisie données stocks'!N153</f>
        <v>505</v>
      </c>
    </row>
    <row r="276" spans="3:17" s="4" customFormat="1" ht="51" x14ac:dyDescent="0.2">
      <c r="C276" s="100"/>
      <c r="D276" s="101"/>
      <c r="E276" s="1663" t="str">
        <f>'Saisie données stocks'!F33</f>
        <v>[TDF+3TC]+ATV/r</v>
      </c>
      <c r="F276" s="1664" t="str">
        <f>'Saisie données stocks'!G33</f>
        <v>Cp coblister</v>
      </c>
      <c r="G276" s="1664" t="str">
        <f>'Saisie données stocks'!H33</f>
        <v>[300/300]+300/100 mg</v>
      </c>
      <c r="H276" s="2447" t="str">
        <f>'Saisie données stocks'!I33</f>
        <v>[Tenofovir+ Lamivudine]+ Atazanavir/Ritonavir</v>
      </c>
      <c r="I276" s="2448">
        <f>'Saisie données stocks'!J33</f>
        <v>0</v>
      </c>
      <c r="J276" s="2449">
        <f>'Saisie données stocks'!K33</f>
        <v>0</v>
      </c>
      <c r="K276" s="116">
        <f>'Saisie données stocks'!L33</f>
        <v>30</v>
      </c>
      <c r="L276" s="333"/>
      <c r="M276" s="480">
        <f>'Saisie données stocks'!N33</f>
        <v>0</v>
      </c>
      <c r="N276" s="480">
        <f>'Saisie données stocks'!$N97</f>
        <v>0</v>
      </c>
      <c r="O276" s="490">
        <f t="shared" si="42"/>
        <v>0</v>
      </c>
      <c r="P276" s="480">
        <f>'Saisie données stocks'!N154</f>
        <v>0</v>
      </c>
      <c r="Q276" s="495">
        <f>'Saisie données stocks'!N33+'Saisie données stocks'!N97+'Saisie données stocks'!N154</f>
        <v>0</v>
      </c>
    </row>
    <row r="277" spans="3:17" s="4" customFormat="1" ht="25.5" x14ac:dyDescent="0.2">
      <c r="C277" s="37"/>
      <c r="D277" s="98" t="str">
        <f>'Saisie données stocks'!$E$34</f>
        <v>INNTI</v>
      </c>
      <c r="E277" s="1658" t="str">
        <f>'Saisie données stocks'!F34</f>
        <v>EFV</v>
      </c>
      <c r="F277" s="1659" t="str">
        <f>'Saisie données stocks'!G34</f>
        <v>Gél</v>
      </c>
      <c r="G277" s="1659" t="str">
        <f>'Saisie données stocks'!H34</f>
        <v>50 mg</v>
      </c>
      <c r="H277" s="1659" t="str">
        <f>'Saisie données stocks'!I34</f>
        <v>Efavirenz</v>
      </c>
      <c r="I277" s="2446" t="str">
        <f>'Saisie données stocks'!J34</f>
        <v>SUSTIVA, STOCRIN</v>
      </c>
      <c r="J277" s="2446">
        <f>'Saisie données stocks'!K34</f>
        <v>0</v>
      </c>
      <c r="K277" s="114">
        <f>'Saisie données stocks'!L34</f>
        <v>30</v>
      </c>
      <c r="L277" s="330"/>
      <c r="M277" s="478">
        <f>'Saisie données stocks'!N34</f>
        <v>0</v>
      </c>
      <c r="N277" s="478">
        <f>'Saisie données stocks'!$N98</f>
        <v>0</v>
      </c>
      <c r="O277" s="488">
        <f t="shared" si="42"/>
        <v>0</v>
      </c>
      <c r="P277" s="478">
        <f>'Saisie données stocks'!N155</f>
        <v>0</v>
      </c>
      <c r="Q277" s="493">
        <f>'Saisie données stocks'!N34+'Saisie données stocks'!N98+'Saisie données stocks'!N155</f>
        <v>0</v>
      </c>
    </row>
    <row r="278" spans="3:17" s="4" customFormat="1" ht="25.5" x14ac:dyDescent="0.2">
      <c r="C278" s="37"/>
      <c r="D278" s="98"/>
      <c r="E278" s="1660" t="str">
        <f>'Saisie données stocks'!F35</f>
        <v>EFV</v>
      </c>
      <c r="F278" s="1661" t="str">
        <f>'Saisie données stocks'!G35</f>
        <v>Gél</v>
      </c>
      <c r="G278" s="1661" t="str">
        <f>'Saisie données stocks'!H35</f>
        <v>200 mg</v>
      </c>
      <c r="H278" s="1659" t="str">
        <f>'Saisie données stocks'!I35</f>
        <v>Efavirenz</v>
      </c>
      <c r="I278" s="2446" t="str">
        <f>'Saisie données stocks'!J35</f>
        <v>SUSTIVA, STOCRIN</v>
      </c>
      <c r="J278" s="2445">
        <f>'Saisie données stocks'!K35</f>
        <v>0</v>
      </c>
      <c r="K278" s="115">
        <f>'Saisie données stocks'!L35</f>
        <v>90</v>
      </c>
      <c r="L278" s="331"/>
      <c r="M278" s="479">
        <f>'Saisie données stocks'!N35</f>
        <v>2</v>
      </c>
      <c r="N278" s="479">
        <f>'Saisie données stocks'!$N99</f>
        <v>0</v>
      </c>
      <c r="O278" s="489">
        <f t="shared" si="42"/>
        <v>2</v>
      </c>
      <c r="P278" s="479">
        <f>'Saisie données stocks'!N156</f>
        <v>108</v>
      </c>
      <c r="Q278" s="494">
        <f>'Saisie données stocks'!N35+'Saisie données stocks'!N99+'Saisie données stocks'!N156</f>
        <v>110</v>
      </c>
    </row>
    <row r="279" spans="3:17" s="4" customFormat="1" x14ac:dyDescent="0.2">
      <c r="C279" s="37"/>
      <c r="D279" s="98"/>
      <c r="E279" s="1665" t="str">
        <f>'Saisie données stocks'!F36</f>
        <v>EFV</v>
      </c>
      <c r="F279" s="1659" t="str">
        <f>'Saisie données stocks'!G36</f>
        <v>Cp</v>
      </c>
      <c r="G279" s="1662" t="str">
        <f>'Saisie données stocks'!H36</f>
        <v>600 mg</v>
      </c>
      <c r="H279" s="1659" t="str">
        <f>'Saisie données stocks'!I36</f>
        <v>Efavirenz</v>
      </c>
      <c r="I279" s="2453" t="str">
        <f>'Saisie données stocks'!J36</f>
        <v>SUSTIVA, STOCRIN</v>
      </c>
      <c r="J279" s="2446">
        <f>'Saisie données stocks'!K36</f>
        <v>0</v>
      </c>
      <c r="K279" s="117">
        <f>'Saisie données stocks'!L36</f>
        <v>30</v>
      </c>
      <c r="L279" s="334"/>
      <c r="M279" s="481">
        <f>'Saisie données stocks'!N36</f>
        <v>9356</v>
      </c>
      <c r="N279" s="481">
        <f>'Saisie données stocks'!$N100</f>
        <v>2210</v>
      </c>
      <c r="O279" s="491">
        <f t="shared" si="42"/>
        <v>11566</v>
      </c>
      <c r="P279" s="481">
        <f>'Saisie données stocks'!N157</f>
        <v>0</v>
      </c>
      <c r="Q279" s="496">
        <f>'Saisie données stocks'!N36+'Saisie données stocks'!N100+'Saisie données stocks'!N157</f>
        <v>11566</v>
      </c>
    </row>
    <row r="280" spans="3:17" s="4" customFormat="1" x14ac:dyDescent="0.2">
      <c r="C280" s="37"/>
      <c r="D280" s="98"/>
      <c r="E280" s="1667" t="str">
        <f>'Saisie données stocks'!F37</f>
        <v>ETV</v>
      </c>
      <c r="F280" s="1670" t="str">
        <f>'Saisie données stocks'!G37</f>
        <v>Cp</v>
      </c>
      <c r="G280" s="1671" t="str">
        <f>'Saisie données stocks'!H37</f>
        <v>200 mg</v>
      </c>
      <c r="H280" s="1670" t="str">
        <f>'Saisie données stocks'!I37</f>
        <v>Etravirine</v>
      </c>
      <c r="I280" s="2454" t="str">
        <f>'Saisie données stocks'!J37</f>
        <v>INTELENCE</v>
      </c>
      <c r="J280" s="2455">
        <f>'Saisie données stocks'!K37</f>
        <v>0</v>
      </c>
      <c r="K280" s="1386">
        <f>'Saisie données stocks'!L37</f>
        <v>60</v>
      </c>
      <c r="L280" s="1387"/>
      <c r="M280" s="1651">
        <f>'Saisie données stocks'!N37</f>
        <v>0</v>
      </c>
      <c r="N280" s="1651">
        <f>'Saisie données stocks'!$N101</f>
        <v>0</v>
      </c>
      <c r="O280" s="1652">
        <f t="shared" si="42"/>
        <v>0</v>
      </c>
      <c r="P280" s="1651">
        <f>'Saisie données stocks'!N158</f>
        <v>0</v>
      </c>
      <c r="Q280" s="496">
        <f>'Saisie données stocks'!N37+'Saisie données stocks'!N101+'Saisie données stocks'!N158</f>
        <v>0</v>
      </c>
    </row>
    <row r="281" spans="3:17" s="4" customFormat="1" x14ac:dyDescent="0.2">
      <c r="C281" s="37"/>
      <c r="D281" s="123"/>
      <c r="E281" s="1660" t="str">
        <f>'Saisie données stocks'!F38</f>
        <v>NVP</v>
      </c>
      <c r="F281" s="1659" t="str">
        <f>'Saisie données stocks'!G38</f>
        <v>Cp</v>
      </c>
      <c r="G281" s="1661" t="str">
        <f>'Saisie données stocks'!H38</f>
        <v>200 mg</v>
      </c>
      <c r="H281" s="1659" t="str">
        <f>'Saisie données stocks'!I38</f>
        <v>Nevirapine</v>
      </c>
      <c r="I281" s="2453" t="str">
        <f>'Saisie données stocks'!J38</f>
        <v>VIRAMUNE</v>
      </c>
      <c r="J281" s="2446">
        <f>'Saisie données stocks'!K38</f>
        <v>0</v>
      </c>
      <c r="K281" s="115">
        <f>'Saisie données stocks'!L38</f>
        <v>60</v>
      </c>
      <c r="L281" s="331"/>
      <c r="M281" s="479">
        <f>'Saisie données stocks'!N38</f>
        <v>0</v>
      </c>
      <c r="N281" s="479">
        <f>'Saisie données stocks'!$N102</f>
        <v>0</v>
      </c>
      <c r="O281" s="489">
        <f t="shared" si="42"/>
        <v>0</v>
      </c>
      <c r="P281" s="479">
        <f>'Saisie données stocks'!N159</f>
        <v>0</v>
      </c>
      <c r="Q281" s="494">
        <f>'Saisie données stocks'!N38+'Saisie données stocks'!N102+'Saisie données stocks'!N159</f>
        <v>0</v>
      </c>
    </row>
    <row r="282" spans="3:17" s="4" customFormat="1" x14ac:dyDescent="0.2">
      <c r="C282" s="100"/>
      <c r="D282" s="101"/>
      <c r="E282" s="1663" t="str">
        <f>'Saisie données stocks'!F39</f>
        <v>RPV</v>
      </c>
      <c r="F282" s="1664" t="str">
        <f>'Saisie données stocks'!G39</f>
        <v>Cp</v>
      </c>
      <c r="G282" s="1664" t="str">
        <f>'Saisie données stocks'!H39</f>
        <v>25 mg</v>
      </c>
      <c r="H282" s="2447" t="str">
        <f>'Saisie données stocks'!I39</f>
        <v>Rilpivirine</v>
      </c>
      <c r="I282" s="2448" t="str">
        <f>'Saisie données stocks'!J39</f>
        <v>EDURANT</v>
      </c>
      <c r="J282" s="2449">
        <f>'Saisie données stocks'!K39</f>
        <v>0</v>
      </c>
      <c r="K282" s="116">
        <f>'Saisie données stocks'!L39</f>
        <v>30</v>
      </c>
      <c r="L282" s="333"/>
      <c r="M282" s="480">
        <f>'Saisie données stocks'!N39</f>
        <v>0</v>
      </c>
      <c r="N282" s="480">
        <f>'Saisie données stocks'!$N103</f>
        <v>0</v>
      </c>
      <c r="O282" s="490">
        <f t="shared" si="42"/>
        <v>0</v>
      </c>
      <c r="P282" s="480">
        <f>'Saisie données stocks'!N160</f>
        <v>0</v>
      </c>
      <c r="Q282" s="495">
        <f>'Saisie données stocks'!N39+'Saisie données stocks'!N103+'Saisie données stocks'!N160</f>
        <v>0</v>
      </c>
    </row>
    <row r="283" spans="3:17" s="4" customFormat="1" ht="25.5" x14ac:dyDescent="0.2">
      <c r="C283" s="37"/>
      <c r="D283" s="123" t="str">
        <f>'Saisie données stocks'!$E$40</f>
        <v>INTI</v>
      </c>
      <c r="E283" s="1660" t="str">
        <f>'Saisie données stocks'!F40</f>
        <v>ABC</v>
      </c>
      <c r="F283" s="1661" t="str">
        <f>'Saisie données stocks'!G40</f>
        <v>Cp</v>
      </c>
      <c r="G283" s="1661" t="str">
        <f>'Saisie données stocks'!H40</f>
        <v>300 mg</v>
      </c>
      <c r="H283" s="1659" t="str">
        <f>'Saisie données stocks'!I40</f>
        <v>Abacavir</v>
      </c>
      <c r="I283" s="2446" t="str">
        <f>'Saisie données stocks'!J40</f>
        <v>ZIAGEN</v>
      </c>
      <c r="J283" s="2445" t="str">
        <f>'Saisie données stocks'!K40</f>
        <v>ABAVIR, VIROL</v>
      </c>
      <c r="K283" s="115">
        <f>'Saisie données stocks'!L40</f>
        <v>60</v>
      </c>
      <c r="L283" s="330"/>
      <c r="M283" s="478">
        <f>'Saisie données stocks'!N40</f>
        <v>1093</v>
      </c>
      <c r="N283" s="478">
        <f>'Saisie données stocks'!$N104</f>
        <v>0</v>
      </c>
      <c r="O283" s="488">
        <f t="shared" si="42"/>
        <v>1093</v>
      </c>
      <c r="P283" s="478">
        <f>'Saisie données stocks'!N161</f>
        <v>0</v>
      </c>
      <c r="Q283" s="493">
        <f>'Saisie données stocks'!N40+'Saisie données stocks'!N104+'Saisie données stocks'!N161</f>
        <v>1093</v>
      </c>
    </row>
    <row r="284" spans="3:17" s="4" customFormat="1" x14ac:dyDescent="0.2">
      <c r="C284" s="37"/>
      <c r="D284" s="98"/>
      <c r="E284" s="1658" t="str">
        <f>'Saisie données stocks'!F41</f>
        <v>ABC</v>
      </c>
      <c r="F284" s="1659" t="str">
        <f>'Saisie données stocks'!G41</f>
        <v>Cp</v>
      </c>
      <c r="G284" s="1659" t="str">
        <f>'Saisie données stocks'!H41</f>
        <v>60 mg</v>
      </c>
      <c r="H284" s="1659" t="str">
        <f>'Saisie données stocks'!I41</f>
        <v>Abacavir</v>
      </c>
      <c r="I284" s="2453">
        <f>'Saisie données stocks'!J41</f>
        <v>0</v>
      </c>
      <c r="J284" s="2446">
        <f>'Saisie données stocks'!K41</f>
        <v>0</v>
      </c>
      <c r="K284" s="114">
        <f>'Saisie données stocks'!L41</f>
        <v>60</v>
      </c>
      <c r="L284" s="330"/>
      <c r="M284" s="478">
        <f>'Saisie données stocks'!N41</f>
        <v>0</v>
      </c>
      <c r="N284" s="478">
        <f>'Saisie données stocks'!$N105</f>
        <v>0</v>
      </c>
      <c r="O284" s="488">
        <f t="shared" si="42"/>
        <v>0</v>
      </c>
      <c r="P284" s="478">
        <f>'Saisie données stocks'!N162</f>
        <v>0</v>
      </c>
      <c r="Q284" s="493">
        <f>'Saisie données stocks'!N41+'Saisie données stocks'!N105+'Saisie données stocks'!N162</f>
        <v>0</v>
      </c>
    </row>
    <row r="285" spans="3:17" s="4" customFormat="1" x14ac:dyDescent="0.2">
      <c r="C285" s="37"/>
      <c r="D285" s="98"/>
      <c r="E285" s="1658" t="str">
        <f>'Saisie données stocks'!F42</f>
        <v>AZT</v>
      </c>
      <c r="F285" s="1659" t="str">
        <f>'Saisie données stocks'!G42</f>
        <v>Cp</v>
      </c>
      <c r="G285" s="1661" t="str">
        <f>'Saisie données stocks'!H42</f>
        <v>300 mg</v>
      </c>
      <c r="H285" s="1659" t="str">
        <f>'Saisie données stocks'!I42</f>
        <v>Zidovudine</v>
      </c>
      <c r="I285" s="2453" t="str">
        <f>'Saisie données stocks'!J42</f>
        <v>RETROVIR</v>
      </c>
      <c r="J285" s="2446">
        <f>'Saisie données stocks'!K42</f>
        <v>0</v>
      </c>
      <c r="K285" s="114">
        <f>'Saisie données stocks'!L42</f>
        <v>60</v>
      </c>
      <c r="L285" s="330"/>
      <c r="M285" s="478">
        <f>'Saisie données stocks'!N42</f>
        <v>0</v>
      </c>
      <c r="N285" s="478">
        <f>'Saisie données stocks'!$N106</f>
        <v>0</v>
      </c>
      <c r="O285" s="488">
        <f t="shared" si="42"/>
        <v>0</v>
      </c>
      <c r="P285" s="478">
        <f>'Saisie données stocks'!N163</f>
        <v>0</v>
      </c>
      <c r="Q285" s="493">
        <f>'Saisie données stocks'!N42+'Saisie données stocks'!N106+'Saisie données stocks'!N163</f>
        <v>0</v>
      </c>
    </row>
    <row r="286" spans="3:17" s="4" customFormat="1" x14ac:dyDescent="0.2">
      <c r="C286" s="37"/>
      <c r="D286" s="98"/>
      <c r="E286" s="1658" t="str">
        <f>'Saisie données stocks'!F43</f>
        <v>AZT</v>
      </c>
      <c r="F286" s="1659" t="str">
        <f>'Saisie données stocks'!G43</f>
        <v>Cp</v>
      </c>
      <c r="G286" s="1662" t="str">
        <f>'Saisie données stocks'!H43</f>
        <v>100 mg</v>
      </c>
      <c r="H286" s="1659" t="str">
        <f>'Saisie données stocks'!I43</f>
        <v>Zidovudine</v>
      </c>
      <c r="I286" s="2453" t="str">
        <f>'Saisie données stocks'!J43</f>
        <v>RETROVIR</v>
      </c>
      <c r="J286" s="2446">
        <f>'Saisie données stocks'!K43</f>
        <v>0</v>
      </c>
      <c r="K286" s="114">
        <f>'Saisie données stocks'!L43</f>
        <v>100</v>
      </c>
      <c r="L286" s="330"/>
      <c r="M286" s="478">
        <f>'Saisie données stocks'!N43</f>
        <v>0</v>
      </c>
      <c r="N286" s="478">
        <f>'Saisie données stocks'!$N107</f>
        <v>0</v>
      </c>
      <c r="O286" s="488">
        <f t="shared" si="42"/>
        <v>0</v>
      </c>
      <c r="P286" s="478">
        <f>'Saisie données stocks'!N164</f>
        <v>0</v>
      </c>
      <c r="Q286" s="493">
        <f>'Saisie données stocks'!N43+'Saisie données stocks'!N107+'Saisie données stocks'!N164</f>
        <v>0</v>
      </c>
    </row>
    <row r="287" spans="3:17" s="4" customFormat="1" x14ac:dyDescent="0.2">
      <c r="C287" s="37"/>
      <c r="D287" s="98"/>
      <c r="E287" s="1658" t="str">
        <f>'Saisie données stocks'!F44</f>
        <v>AZT</v>
      </c>
      <c r="F287" s="1659" t="str">
        <f>'Saisie données stocks'!G44</f>
        <v>Cp</v>
      </c>
      <c r="G287" s="1662" t="str">
        <f>'Saisie données stocks'!H44</f>
        <v>60 mg</v>
      </c>
      <c r="H287" s="1659" t="str">
        <f>'Saisie données stocks'!I44</f>
        <v>Zidovudine</v>
      </c>
      <c r="I287" s="2453">
        <f>'Saisie données stocks'!J44</f>
        <v>0</v>
      </c>
      <c r="J287" s="2446">
        <f>'Saisie données stocks'!K44</f>
        <v>0</v>
      </c>
      <c r="K287" s="114">
        <f>'Saisie données stocks'!L44</f>
        <v>60</v>
      </c>
      <c r="L287" s="330"/>
      <c r="M287" s="478">
        <f>'Saisie données stocks'!N44</f>
        <v>0</v>
      </c>
      <c r="N287" s="478">
        <f>'Saisie données stocks'!$N108</f>
        <v>0</v>
      </c>
      <c r="O287" s="488">
        <f t="shared" si="42"/>
        <v>0</v>
      </c>
      <c r="P287" s="478">
        <f>'Saisie données stocks'!N165</f>
        <v>0</v>
      </c>
      <c r="Q287" s="493">
        <f>'Saisie données stocks'!N44+'Saisie données stocks'!N108+'Saisie données stocks'!N165</f>
        <v>0</v>
      </c>
    </row>
    <row r="288" spans="3:17" s="4" customFormat="1" x14ac:dyDescent="0.2">
      <c r="C288" s="37"/>
      <c r="D288" s="98"/>
      <c r="E288" s="1669" t="str">
        <f>'Saisie données stocks'!F45</f>
        <v>D4T</v>
      </c>
      <c r="F288" s="1670" t="str">
        <f>'Saisie données stocks'!G45</f>
        <v>Cp</v>
      </c>
      <c r="G288" s="1671" t="str">
        <f>'Saisie données stocks'!H45</f>
        <v>30 mg</v>
      </c>
      <c r="H288" s="1670" t="str">
        <f>'Saisie données stocks'!I45</f>
        <v>Stavudine</v>
      </c>
      <c r="I288" s="2454" t="str">
        <f>'Saisie données stocks'!J45</f>
        <v>ZERIT</v>
      </c>
      <c r="J288" s="2455" t="str">
        <f>'Saisie données stocks'!K45</f>
        <v>STAVIR</v>
      </c>
      <c r="K288" s="114">
        <f>'Saisie données stocks'!L45</f>
        <v>60</v>
      </c>
      <c r="L288" s="330"/>
      <c r="M288" s="478">
        <f>'Saisie données stocks'!N45</f>
        <v>0</v>
      </c>
      <c r="N288" s="478">
        <f>'Saisie données stocks'!$N109</f>
        <v>0</v>
      </c>
      <c r="O288" s="488">
        <f t="shared" si="42"/>
        <v>0</v>
      </c>
      <c r="P288" s="478">
        <f>'Saisie données stocks'!N166</f>
        <v>0</v>
      </c>
      <c r="Q288" s="493">
        <f>'Saisie données stocks'!N45+'Saisie données stocks'!N109+'Saisie données stocks'!N166</f>
        <v>0</v>
      </c>
    </row>
    <row r="289" spans="3:17" s="4" customFormat="1" x14ac:dyDescent="0.2">
      <c r="C289" s="37"/>
      <c r="D289" s="98"/>
      <c r="E289" s="1658" t="str">
        <f>'Saisie données stocks'!F46</f>
        <v>3TC</v>
      </c>
      <c r="F289" s="1659" t="str">
        <f>'Saisie données stocks'!G46</f>
        <v>Cp</v>
      </c>
      <c r="G289" s="1661" t="str">
        <f>'Saisie données stocks'!H46</f>
        <v>150 mg</v>
      </c>
      <c r="H289" s="1659" t="str">
        <f>'Saisie données stocks'!I46</f>
        <v>Lamivudine</v>
      </c>
      <c r="I289" s="2453" t="str">
        <f>'Saisie données stocks'!J46</f>
        <v>EPIVIR</v>
      </c>
      <c r="J289" s="2446" t="str">
        <f>'Saisie données stocks'!K46</f>
        <v>LAMIVIR</v>
      </c>
      <c r="K289" s="114">
        <f>'Saisie données stocks'!L46</f>
        <v>60</v>
      </c>
      <c r="L289" s="330"/>
      <c r="M289" s="478">
        <f>'Saisie données stocks'!N46</f>
        <v>0</v>
      </c>
      <c r="N289" s="478">
        <f>'Saisie données stocks'!$N110</f>
        <v>0</v>
      </c>
      <c r="O289" s="488">
        <f t="shared" si="42"/>
        <v>0</v>
      </c>
      <c r="P289" s="478">
        <f>'Saisie données stocks'!N167</f>
        <v>0</v>
      </c>
      <c r="Q289" s="493">
        <f>'Saisie données stocks'!N46+'Saisie données stocks'!N110+'Saisie données stocks'!N167</f>
        <v>0</v>
      </c>
    </row>
    <row r="290" spans="3:17" s="4" customFormat="1" x14ac:dyDescent="0.2">
      <c r="C290" s="37"/>
      <c r="D290" s="98"/>
      <c r="E290" s="1658" t="str">
        <f>'Saisie données stocks'!F47</f>
        <v>3TC</v>
      </c>
      <c r="F290" s="1659" t="str">
        <f>'Saisie données stocks'!G47</f>
        <v>Cp</v>
      </c>
      <c r="G290" s="1662" t="str">
        <f>'Saisie données stocks'!H47</f>
        <v>30 mg</v>
      </c>
      <c r="H290" s="1659" t="str">
        <f>'Saisie données stocks'!I47</f>
        <v>Lamivudine</v>
      </c>
      <c r="I290" s="2453">
        <f>'Saisie données stocks'!J47</f>
        <v>0</v>
      </c>
      <c r="J290" s="2446">
        <f>'Saisie données stocks'!K47</f>
        <v>0</v>
      </c>
      <c r="K290" s="114">
        <f>'Saisie données stocks'!L47</f>
        <v>60</v>
      </c>
      <c r="L290" s="330"/>
      <c r="M290" s="478">
        <f>'Saisie données stocks'!N47</f>
        <v>0</v>
      </c>
      <c r="N290" s="478">
        <f>'Saisie données stocks'!$N111</f>
        <v>0</v>
      </c>
      <c r="O290" s="488">
        <f t="shared" si="42"/>
        <v>0</v>
      </c>
      <c r="P290" s="478">
        <f>'Saisie données stocks'!N168</f>
        <v>0</v>
      </c>
      <c r="Q290" s="493">
        <f>'Saisie données stocks'!N47+'Saisie données stocks'!N111+'Saisie données stocks'!N168</f>
        <v>0</v>
      </c>
    </row>
    <row r="291" spans="3:17" s="4" customFormat="1" ht="38.25" x14ac:dyDescent="0.2">
      <c r="C291" s="37"/>
      <c r="D291" s="98"/>
      <c r="E291" s="1660" t="str">
        <f>'Saisie données stocks'!F48</f>
        <v>DDI</v>
      </c>
      <c r="F291" s="1661" t="str">
        <f>'Saisie données stocks'!G48</f>
        <v>Cp</v>
      </c>
      <c r="G291" s="1661" t="str">
        <f>'Saisie données stocks'!H48</f>
        <v>250 mg</v>
      </c>
      <c r="H291" s="1662" t="str">
        <f>'Saisie données stocks'!I48</f>
        <v>Didanosine</v>
      </c>
      <c r="I291" s="2444" t="str">
        <f>'Saisie données stocks'!J48</f>
        <v>VIDEX</v>
      </c>
      <c r="J291" s="2445" t="str">
        <f>'Saisie données stocks'!K48</f>
        <v>DINEX, DIVIR, DINOSIN, VIROSINE</v>
      </c>
      <c r="K291" s="115">
        <f>'Saisie données stocks'!L48</f>
        <v>30</v>
      </c>
      <c r="L291" s="331"/>
      <c r="M291" s="479">
        <f>'Saisie données stocks'!N48</f>
        <v>0</v>
      </c>
      <c r="N291" s="479">
        <f>'Saisie données stocks'!$N112</f>
        <v>0</v>
      </c>
      <c r="O291" s="489">
        <f t="shared" si="42"/>
        <v>0</v>
      </c>
      <c r="P291" s="479">
        <f>'Saisie données stocks'!N169</f>
        <v>0</v>
      </c>
      <c r="Q291" s="494">
        <f>'Saisie données stocks'!N48+'Saisie données stocks'!N112+'Saisie données stocks'!N169</f>
        <v>0</v>
      </c>
    </row>
    <row r="292" spans="3:17" s="4" customFormat="1" ht="38.25" x14ac:dyDescent="0.2">
      <c r="C292" s="37"/>
      <c r="D292" s="98"/>
      <c r="E292" s="1660" t="str">
        <f>'Saisie données stocks'!F49</f>
        <v>DDI</v>
      </c>
      <c r="F292" s="1661" t="str">
        <f>'Saisie données stocks'!G49</f>
        <v>Cp</v>
      </c>
      <c r="G292" s="1666" t="str">
        <f>'Saisie données stocks'!H49</f>
        <v>400 mg</v>
      </c>
      <c r="H292" s="1668" t="str">
        <f>'Saisie données stocks'!I49</f>
        <v>Didanosine</v>
      </c>
      <c r="I292" s="2444" t="str">
        <f>'Saisie données stocks'!J49</f>
        <v>VIDEX</v>
      </c>
      <c r="J292" s="2445" t="str">
        <f>'Saisie données stocks'!K49</f>
        <v>DINEX, DIVIR, DINOSIN, VIROSINE</v>
      </c>
      <c r="K292" s="117">
        <f>'Saisie données stocks'!L49</f>
        <v>30</v>
      </c>
      <c r="L292" s="334"/>
      <c r="M292" s="481">
        <f>'Saisie données stocks'!N49</f>
        <v>956</v>
      </c>
      <c r="N292" s="481">
        <f>'Saisie données stocks'!$N113</f>
        <v>0</v>
      </c>
      <c r="O292" s="491">
        <f t="shared" si="42"/>
        <v>956</v>
      </c>
      <c r="P292" s="481">
        <f>'Saisie données stocks'!N170</f>
        <v>0</v>
      </c>
      <c r="Q292" s="496">
        <f>'Saisie données stocks'!N49+'Saisie données stocks'!N113+'Saisie données stocks'!N170</f>
        <v>956</v>
      </c>
    </row>
    <row r="293" spans="3:17" s="4" customFormat="1" x14ac:dyDescent="0.2">
      <c r="C293" s="100"/>
      <c r="D293" s="101"/>
      <c r="E293" s="1663" t="str">
        <f>'Saisie données stocks'!F50</f>
        <v>TDF</v>
      </c>
      <c r="F293" s="1664" t="str">
        <f>'Saisie données stocks'!G50</f>
        <v>Cp</v>
      </c>
      <c r="G293" s="1664" t="str">
        <f>'Saisie données stocks'!H50</f>
        <v>300 mg</v>
      </c>
      <c r="H293" s="2456" t="str">
        <f>'Saisie données stocks'!I50</f>
        <v>Tenofovir</v>
      </c>
      <c r="I293" s="2457" t="str">
        <f>'Saisie données stocks'!J50</f>
        <v>VIREAD</v>
      </c>
      <c r="J293" s="2449">
        <f>'Saisie données stocks'!K50</f>
        <v>0</v>
      </c>
      <c r="K293" s="116">
        <f>'Saisie données stocks'!L50</f>
        <v>30</v>
      </c>
      <c r="L293" s="333"/>
      <c r="M293" s="480">
        <f>'Saisie données stocks'!N50</f>
        <v>0</v>
      </c>
      <c r="N293" s="480">
        <f>'Saisie données stocks'!$N114</f>
        <v>0</v>
      </c>
      <c r="O293" s="490">
        <f t="shared" si="42"/>
        <v>0</v>
      </c>
      <c r="P293" s="480">
        <f>'Saisie données stocks'!N171</f>
        <v>0</v>
      </c>
      <c r="Q293" s="495">
        <f>'Saisie données stocks'!N50+'Saisie données stocks'!N114+'Saisie données stocks'!N171</f>
        <v>0</v>
      </c>
    </row>
    <row r="294" spans="3:17" s="4" customFormat="1" ht="25.5" x14ac:dyDescent="0.2">
      <c r="C294" s="37"/>
      <c r="D294" s="98" t="str">
        <f>'Saisie données stocks'!$E$51</f>
        <v>IP</v>
      </c>
      <c r="E294" s="1658" t="str">
        <f>'Saisie données stocks'!F51</f>
        <v>LPV/r</v>
      </c>
      <c r="F294" s="1659" t="str">
        <f>'Saisie données stocks'!G51</f>
        <v>Cp</v>
      </c>
      <c r="G294" s="1659" t="str">
        <f>'Saisie données stocks'!H51</f>
        <v>200/50 mg</v>
      </c>
      <c r="H294" s="1659" t="str">
        <f>'Saisie données stocks'!I51</f>
        <v>Lopinavir/ Ritonavir</v>
      </c>
      <c r="I294" s="2453" t="str">
        <f>'Saisie données stocks'!J51</f>
        <v>KALETRA, ALUVIA</v>
      </c>
      <c r="J294" s="2446" t="str">
        <f>'Saisie données stocks'!K51</f>
        <v>RITOCOM</v>
      </c>
      <c r="K294" s="114">
        <f>'Saisie données stocks'!L51</f>
        <v>120</v>
      </c>
      <c r="L294" s="330"/>
      <c r="M294" s="478">
        <f>'Saisie données stocks'!N51</f>
        <v>750</v>
      </c>
      <c r="N294" s="478">
        <f>'Saisie données stocks'!$N115</f>
        <v>0</v>
      </c>
      <c r="O294" s="488">
        <f t="shared" si="42"/>
        <v>750</v>
      </c>
      <c r="P294" s="478">
        <f>'Saisie données stocks'!N172</f>
        <v>0</v>
      </c>
      <c r="Q294" s="493">
        <f>'Saisie données stocks'!N51+'Saisie données stocks'!N115+'Saisie données stocks'!N172</f>
        <v>750</v>
      </c>
    </row>
    <row r="295" spans="3:17" s="4" customFormat="1" ht="25.5" x14ac:dyDescent="0.2">
      <c r="C295" s="37"/>
      <c r="D295" s="98"/>
      <c r="E295" s="1672" t="str">
        <f>'Saisie données stocks'!F52</f>
        <v>LPV/r</v>
      </c>
      <c r="F295" s="1673" t="str">
        <f>'Saisie données stocks'!G52</f>
        <v>Cp coblister</v>
      </c>
      <c r="G295" s="1673" t="str">
        <f>'Saisie données stocks'!H52</f>
        <v>100/25 mg</v>
      </c>
      <c r="H295" s="1673" t="str">
        <f>'Saisie données stocks'!I52</f>
        <v>Lopinavir/ Ritonavir</v>
      </c>
      <c r="I295" s="2458" t="str">
        <f>'Saisie données stocks'!J52</f>
        <v>KALETRA, ALUVIA</v>
      </c>
      <c r="J295" s="2451">
        <f>'Saisie données stocks'!K52</f>
        <v>0</v>
      </c>
      <c r="K295" s="537">
        <f>'Saisie données stocks'!L52</f>
        <v>60</v>
      </c>
      <c r="L295" s="334"/>
      <c r="M295" s="481">
        <f>'Saisie données stocks'!N52</f>
        <v>687</v>
      </c>
      <c r="N295" s="481">
        <f>'Saisie données stocks'!$N116</f>
        <v>83</v>
      </c>
      <c r="O295" s="491">
        <f t="shared" si="42"/>
        <v>770</v>
      </c>
      <c r="P295" s="481">
        <f>'Saisie données stocks'!N173</f>
        <v>0</v>
      </c>
      <c r="Q295" s="496">
        <f>'Saisie données stocks'!N52+'Saisie données stocks'!N116+'Saisie données stocks'!N173</f>
        <v>770</v>
      </c>
    </row>
    <row r="296" spans="3:17" s="4" customFormat="1" ht="25.5" x14ac:dyDescent="0.2">
      <c r="C296" s="37"/>
      <c r="D296" s="92"/>
      <c r="E296" s="1674" t="str">
        <f>'Saisie données stocks'!F53</f>
        <v>ATV/r</v>
      </c>
      <c r="F296" s="1675" t="str">
        <f>'Saisie données stocks'!G53</f>
        <v>Cp</v>
      </c>
      <c r="G296" s="1676" t="str">
        <f>'Saisie données stocks'!H53</f>
        <v>300/100 mg</v>
      </c>
      <c r="H296" s="1678" t="str">
        <f>'Saisie données stocks'!I53</f>
        <v>Atazanavir/ Ritonavir</v>
      </c>
      <c r="I296" s="2459">
        <f>'Saisie données stocks'!J53</f>
        <v>0</v>
      </c>
      <c r="J296" s="2460">
        <f>'Saisie données stocks'!K53</f>
        <v>0</v>
      </c>
      <c r="K296" s="512">
        <f>'Saisie données stocks'!L53</f>
        <v>30</v>
      </c>
      <c r="L296" s="334"/>
      <c r="M296" s="481">
        <f>'Saisie données stocks'!N53</f>
        <v>1705</v>
      </c>
      <c r="N296" s="481">
        <f>'Saisie données stocks'!$N117</f>
        <v>0</v>
      </c>
      <c r="O296" s="491">
        <f t="shared" si="42"/>
        <v>1705</v>
      </c>
      <c r="P296" s="481">
        <f>'Saisie données stocks'!N174</f>
        <v>0</v>
      </c>
      <c r="Q296" s="496">
        <f>'Saisie données stocks'!N53+'Saisie données stocks'!N117+'Saisie données stocks'!N174</f>
        <v>1705</v>
      </c>
    </row>
    <row r="297" spans="3:17" s="4" customFormat="1" ht="25.5" x14ac:dyDescent="0.2">
      <c r="C297" s="37"/>
      <c r="D297" s="92"/>
      <c r="E297" s="1677" t="str">
        <f>'Saisie données stocks'!F54</f>
        <v>FPV</v>
      </c>
      <c r="F297" s="1678" t="str">
        <f>'Saisie données stocks'!G54</f>
        <v>Cp</v>
      </c>
      <c r="G297" s="1678" t="str">
        <f>'Saisie données stocks'!H54</f>
        <v>700 mg</v>
      </c>
      <c r="H297" s="1678" t="str">
        <f>'Saisie données stocks'!I54</f>
        <v>Fosamprenavir</v>
      </c>
      <c r="I297" s="2461" t="str">
        <f>'Saisie données stocks'!J54</f>
        <v>TELZIR</v>
      </c>
      <c r="J297" s="2462">
        <f>'Saisie données stocks'!K54</f>
        <v>0</v>
      </c>
      <c r="K297" s="1388">
        <f>'Saisie données stocks'!L54</f>
        <v>60</v>
      </c>
      <c r="L297" s="334"/>
      <c r="M297" s="481">
        <f>'Saisie données stocks'!N54</f>
        <v>0</v>
      </c>
      <c r="N297" s="481">
        <f>'Saisie données stocks'!$N118</f>
        <v>0</v>
      </c>
      <c r="O297" s="491">
        <f t="shared" si="42"/>
        <v>0</v>
      </c>
      <c r="P297" s="481">
        <f>'Saisie données stocks'!N175</f>
        <v>0</v>
      </c>
      <c r="Q297" s="496">
        <f>'Saisie données stocks'!N54+'Saisie données stocks'!N118+'Saisie données stocks'!N175</f>
        <v>0</v>
      </c>
    </row>
    <row r="298" spans="3:17" s="4" customFormat="1" x14ac:dyDescent="0.2">
      <c r="C298" s="37"/>
      <c r="D298" s="92"/>
      <c r="E298" s="1665" t="str">
        <f>'Saisie données stocks'!F55</f>
        <v>IDV</v>
      </c>
      <c r="F298" s="1666" t="str">
        <f>'Saisie données stocks'!G55</f>
        <v>Gel</v>
      </c>
      <c r="G298" s="1666" t="str">
        <f>'Saisie données stocks'!H55</f>
        <v>400 mg</v>
      </c>
      <c r="H298" s="1668" t="str">
        <f>'Saisie données stocks'!I55</f>
        <v>Indinavir</v>
      </c>
      <c r="I298" s="2463" t="str">
        <f>'Saisie données stocks'!J55</f>
        <v>CRIXIVAN</v>
      </c>
      <c r="J298" s="2450">
        <f>'Saisie données stocks'!K55</f>
        <v>0</v>
      </c>
      <c r="K298" s="117">
        <f>'Saisie données stocks'!L55</f>
        <v>180</v>
      </c>
      <c r="L298" s="334"/>
      <c r="M298" s="481">
        <f>'Saisie données stocks'!N55</f>
        <v>0</v>
      </c>
      <c r="N298" s="481">
        <f>'Saisie données stocks'!$N119</f>
        <v>0</v>
      </c>
      <c r="O298" s="491">
        <f t="shared" si="42"/>
        <v>0</v>
      </c>
      <c r="P298" s="481">
        <f>'Saisie données stocks'!N176</f>
        <v>0</v>
      </c>
      <c r="Q298" s="496">
        <f>'Saisie données stocks'!N55+'Saisie données stocks'!N119+'Saisie données stocks'!N176</f>
        <v>0</v>
      </c>
    </row>
    <row r="299" spans="3:17" s="4" customFormat="1" x14ac:dyDescent="0.2">
      <c r="C299" s="37"/>
      <c r="D299" s="92"/>
      <c r="E299" s="1665" t="str">
        <f>'Saisie données stocks'!F56</f>
        <v>DRV</v>
      </c>
      <c r="F299" s="1666" t="str">
        <f>'Saisie données stocks'!G56</f>
        <v>Cp</v>
      </c>
      <c r="G299" s="1679" t="str">
        <f>'Saisie données stocks'!H56</f>
        <v>300 mg</v>
      </c>
      <c r="H299" s="1668" t="str">
        <f>'Saisie données stocks'!I56</f>
        <v>Darunavir</v>
      </c>
      <c r="I299" s="2463" t="str">
        <f>'Saisie données stocks'!J56</f>
        <v>PREZISTA</v>
      </c>
      <c r="J299" s="2450">
        <f>'Saisie données stocks'!K56</f>
        <v>0</v>
      </c>
      <c r="K299" s="117">
        <f>'Saisie données stocks'!L56</f>
        <v>60</v>
      </c>
      <c r="L299" s="334"/>
      <c r="M299" s="481">
        <f>'Saisie données stocks'!N56</f>
        <v>0</v>
      </c>
      <c r="N299" s="481">
        <f>'Saisie données stocks'!$N120</f>
        <v>0</v>
      </c>
      <c r="O299" s="491">
        <f t="shared" si="42"/>
        <v>0</v>
      </c>
      <c r="P299" s="481">
        <f>'Saisie données stocks'!N177</f>
        <v>0</v>
      </c>
      <c r="Q299" s="496">
        <f>'Saisie données stocks'!N56+'Saisie données stocks'!N120+'Saisie données stocks'!N177</f>
        <v>0</v>
      </c>
    </row>
    <row r="300" spans="3:17" s="4" customFormat="1" x14ac:dyDescent="0.2">
      <c r="C300" s="37"/>
      <c r="D300" s="92"/>
      <c r="E300" s="1665" t="str">
        <f>'Saisie données stocks'!F57</f>
        <v>SQV</v>
      </c>
      <c r="F300" s="1666" t="str">
        <f>'Saisie données stocks'!G57</f>
        <v>Cp</v>
      </c>
      <c r="G300" s="1666" t="str">
        <f>'Saisie données stocks'!H57</f>
        <v>500 mg</v>
      </c>
      <c r="H300" s="1668" t="str">
        <f>'Saisie données stocks'!I57</f>
        <v>Saquinavir</v>
      </c>
      <c r="I300" s="2463" t="str">
        <f>'Saisie données stocks'!J57</f>
        <v>INVIRASE</v>
      </c>
      <c r="J300" s="2450">
        <f>'Saisie données stocks'!K57</f>
        <v>0</v>
      </c>
      <c r="K300" s="117">
        <f>'Saisie données stocks'!L57</f>
        <v>120</v>
      </c>
      <c r="L300" s="334"/>
      <c r="M300" s="481">
        <f>'Saisie données stocks'!N57</f>
        <v>0</v>
      </c>
      <c r="N300" s="481">
        <f>'Saisie données stocks'!$N121</f>
        <v>0</v>
      </c>
      <c r="O300" s="491">
        <f t="shared" si="42"/>
        <v>0</v>
      </c>
      <c r="P300" s="481">
        <f>'Saisie données stocks'!N178</f>
        <v>0</v>
      </c>
      <c r="Q300" s="496">
        <f>'Saisie données stocks'!N57+'Saisie données stocks'!N121+'Saisie données stocks'!N178</f>
        <v>0</v>
      </c>
    </row>
    <row r="301" spans="3:17" s="4" customFormat="1" x14ac:dyDescent="0.2">
      <c r="C301" s="100"/>
      <c r="D301" s="101"/>
      <c r="E301" s="1663" t="str">
        <f>'Saisie données stocks'!F58</f>
        <v>RTV</v>
      </c>
      <c r="F301" s="1664" t="str">
        <f>'Saisie données stocks'!G58</f>
        <v>Caps</v>
      </c>
      <c r="G301" s="1664" t="str">
        <f>'Saisie données stocks'!H58</f>
        <v>100 mg</v>
      </c>
      <c r="H301" s="2456" t="str">
        <f>'Saisie données stocks'!I58</f>
        <v>Ritonavir</v>
      </c>
      <c r="I301" s="2457" t="str">
        <f>'Saisie données stocks'!J58</f>
        <v>NORVIR</v>
      </c>
      <c r="J301" s="2449">
        <f>'Saisie données stocks'!K58</f>
        <v>0</v>
      </c>
      <c r="K301" s="116">
        <f>'Saisie données stocks'!L58</f>
        <v>84</v>
      </c>
      <c r="L301" s="333"/>
      <c r="M301" s="480">
        <f>'Saisie données stocks'!N58</f>
        <v>0</v>
      </c>
      <c r="N301" s="480">
        <f>'Saisie données stocks'!$N122</f>
        <v>0</v>
      </c>
      <c r="O301" s="490">
        <f t="shared" si="42"/>
        <v>0</v>
      </c>
      <c r="P301" s="480">
        <f>'Saisie données stocks'!N179</f>
        <v>0</v>
      </c>
      <c r="Q301" s="495">
        <f>'Saisie données stocks'!N58+'Saisie données stocks'!N122+'Saisie données stocks'!N179</f>
        <v>0</v>
      </c>
    </row>
    <row r="302" spans="3:17" s="4" customFormat="1" ht="13.5" thickBot="1" x14ac:dyDescent="0.25">
      <c r="C302" s="519"/>
      <c r="D302" s="520" t="str">
        <f>'Saisie données stocks'!$E$59</f>
        <v>Inh Integrase</v>
      </c>
      <c r="E302" s="513" t="str">
        <f>'Saisie données stocks'!F59</f>
        <v>RLT = RAL</v>
      </c>
      <c r="F302" s="514" t="str">
        <f>'Saisie données stocks'!G59</f>
        <v>Cp</v>
      </c>
      <c r="G302" s="514" t="str">
        <f>'Saisie données stocks'!H59</f>
        <v>400 mg</v>
      </c>
      <c r="H302" s="1644" t="str">
        <f>'Saisie données stocks'!I59</f>
        <v>Raltegravir</v>
      </c>
      <c r="I302" s="515" t="str">
        <f>'Saisie données stocks'!J59</f>
        <v>ISENTRESS</v>
      </c>
      <c r="J302" s="516">
        <f>'Saisie données stocks'!K59</f>
        <v>0</v>
      </c>
      <c r="K302" s="517">
        <f>'Saisie données stocks'!L59</f>
        <v>60</v>
      </c>
      <c r="L302" s="506"/>
      <c r="M302" s="529">
        <f>'Saisie données stocks'!N59</f>
        <v>0</v>
      </c>
      <c r="N302" s="529">
        <f>'Saisie données stocks'!$N123</f>
        <v>0</v>
      </c>
      <c r="O302" s="527">
        <f t="shared" si="42"/>
        <v>0</v>
      </c>
      <c r="P302" s="529">
        <f>'Saisie données stocks'!N180</f>
        <v>0</v>
      </c>
      <c r="Q302" s="528">
        <f>'Saisie données stocks'!N59+'Saisie données stocks'!N123+'Saisie données stocks'!N180</f>
        <v>0</v>
      </c>
    </row>
    <row r="303" spans="3:17" s="4" customFormat="1" ht="77.25" thickBot="1" x14ac:dyDescent="0.25">
      <c r="C303" s="530"/>
      <c r="D303" s="531"/>
      <c r="E303" s="32" t="str">
        <f>'TRAD-Calculs'!B3</f>
        <v>Composition</v>
      </c>
      <c r="F303" s="33" t="str">
        <f>'TRAD-Calculs'!B22</f>
        <v>Forme galénique</v>
      </c>
      <c r="G303" s="33" t="str">
        <f>'TRAD-Calculs'!B4</f>
        <v>Dosage</v>
      </c>
      <c r="H303" s="33" t="str">
        <f>'TRAD-Calculs'!B23</f>
        <v>DCI</v>
      </c>
      <c r="I303" s="33" t="str">
        <f>'TRAD-Calculs'!B24</f>
        <v>Nom de spécialité</v>
      </c>
      <c r="J303" s="33"/>
      <c r="K303" s="33" t="str">
        <f>'TRAD-Calculs'!B37</f>
        <v>Volume conditionnement primaire (mL)</v>
      </c>
      <c r="L303" s="34" t="str">
        <f>'TRAD-Calculs'!B41</f>
        <v>Conditionement secondaire</v>
      </c>
      <c r="M303" s="34">
        <f>'Saisie données stocks'!N60</f>
        <v>0</v>
      </c>
      <c r="N303" s="34" t="str">
        <f>'Saisie données stocks'!$N124</f>
        <v>Quantités en stock en nombre de conditionnement primaire</v>
      </c>
      <c r="O303" s="532" t="str">
        <f>'TRAD-Calculs'!B44</f>
        <v>Quantités totales en stock (nb de boites)</v>
      </c>
      <c r="P303" s="34" t="str">
        <f>'Saisie données stocks'!N181</f>
        <v>Quantités attendues en nombre de conditionnement primaire</v>
      </c>
      <c r="Q303" s="532" t="str">
        <f>'TRAD-Calculs'!B44</f>
        <v>Quantités totales en stock (nb de boites)</v>
      </c>
    </row>
    <row r="304" spans="3:17" s="4" customFormat="1" x14ac:dyDescent="0.2">
      <c r="C304" s="31" t="str">
        <f>'TRAD-Calculs'!B38</f>
        <v>Solutions buvables</v>
      </c>
      <c r="D304" s="367" t="str">
        <f>'Saisie données stocks'!$E$61</f>
        <v>INTI</v>
      </c>
      <c r="E304" s="86" t="str">
        <f>'Saisie données stocks'!F61</f>
        <v>AZT</v>
      </c>
      <c r="F304" s="87" t="str">
        <f>'Saisie données stocks'!G61</f>
        <v>Sol buv</v>
      </c>
      <c r="G304" s="87" t="str">
        <f>'Saisie données stocks'!H61</f>
        <v>10 mg/mL</v>
      </c>
      <c r="H304" s="369" t="str">
        <f>'Saisie données stocks'!I61</f>
        <v>Zidovudine</v>
      </c>
      <c r="I304" s="36" t="str">
        <f>'Saisie données stocks'!J61</f>
        <v>RETROVIR</v>
      </c>
      <c r="J304" s="36">
        <f>'Saisie données stocks'!K61</f>
        <v>0</v>
      </c>
      <c r="K304" s="113">
        <f>'Saisie données stocks'!L61</f>
        <v>240</v>
      </c>
      <c r="L304" s="113">
        <f>'Saisie données stocks'!M125</f>
        <v>1</v>
      </c>
      <c r="M304" s="113">
        <f>'Saisie données stocks'!N61</f>
        <v>0</v>
      </c>
      <c r="N304" s="113">
        <f>'Saisie données stocks'!$N125</f>
        <v>0</v>
      </c>
      <c r="O304" s="482">
        <f t="shared" si="41"/>
        <v>0</v>
      </c>
      <c r="P304" s="113">
        <f>'Saisie données stocks'!N182</f>
        <v>0</v>
      </c>
      <c r="Q304" s="497">
        <f>'Saisie données stocks'!N61+'Saisie données stocks'!N125+'Saisie données stocks'!N182</f>
        <v>0</v>
      </c>
    </row>
    <row r="305" spans="1:17" s="4" customFormat="1" x14ac:dyDescent="0.2">
      <c r="C305" s="37"/>
      <c r="D305" s="375"/>
      <c r="E305" s="88" t="str">
        <f>'Saisie données stocks'!F62</f>
        <v>D4T</v>
      </c>
      <c r="F305" s="89" t="str">
        <f>'Saisie données stocks'!G62</f>
        <v>Sol buv</v>
      </c>
      <c r="G305" s="89" t="str">
        <f>'Saisie données stocks'!H62</f>
        <v>10 mg/mL</v>
      </c>
      <c r="H305" s="377" t="str">
        <f>'Saisie données stocks'!I62</f>
        <v>Stavudine</v>
      </c>
      <c r="I305" s="39" t="str">
        <f>'Saisie données stocks'!J62</f>
        <v>ZERIT</v>
      </c>
      <c r="J305" s="39">
        <f>'Saisie données stocks'!K62</f>
        <v>0</v>
      </c>
      <c r="K305" s="114">
        <f>'Saisie données stocks'!L62</f>
        <v>240</v>
      </c>
      <c r="L305" s="114">
        <f>'Saisie données stocks'!M126</f>
        <v>1</v>
      </c>
      <c r="M305" s="114">
        <f>'Saisie données stocks'!N62</f>
        <v>0</v>
      </c>
      <c r="N305" s="114">
        <f>'Saisie données stocks'!$N126</f>
        <v>0</v>
      </c>
      <c r="O305" s="483">
        <f t="shared" si="41"/>
        <v>0</v>
      </c>
      <c r="P305" s="114">
        <f>'Saisie données stocks'!N183</f>
        <v>0</v>
      </c>
      <c r="Q305" s="493">
        <f>'Saisie données stocks'!N62+'Saisie données stocks'!N126+'Saisie données stocks'!N183</f>
        <v>0</v>
      </c>
    </row>
    <row r="306" spans="1:17" s="4" customFormat="1" x14ac:dyDescent="0.2">
      <c r="C306" s="37"/>
      <c r="D306" s="375"/>
      <c r="E306" s="90" t="str">
        <f>'Saisie données stocks'!F63</f>
        <v>3TC</v>
      </c>
      <c r="F306" s="91" t="str">
        <f>'Saisie données stocks'!G63</f>
        <v>Sol buv</v>
      </c>
      <c r="G306" s="91" t="str">
        <f>'Saisie données stocks'!H63</f>
        <v>10 mg/mL</v>
      </c>
      <c r="H306" s="1208" t="str">
        <f>'Saisie données stocks'!I63</f>
        <v>Lamivudine</v>
      </c>
      <c r="I306" s="41" t="str">
        <f>'Saisie données stocks'!J63</f>
        <v>LAMIVIR, EPIVIR</v>
      </c>
      <c r="J306" s="41">
        <f>'Saisie données stocks'!K63</f>
        <v>0</v>
      </c>
      <c r="K306" s="115">
        <f>'Saisie données stocks'!L63</f>
        <v>240</v>
      </c>
      <c r="L306" s="115">
        <f>'Saisie données stocks'!M127</f>
        <v>1</v>
      </c>
      <c r="M306" s="115">
        <f>'Saisie données stocks'!N63</f>
        <v>0</v>
      </c>
      <c r="N306" s="115">
        <f>'Saisie données stocks'!$N127</f>
        <v>0</v>
      </c>
      <c r="O306" s="484">
        <f t="shared" si="41"/>
        <v>0</v>
      </c>
      <c r="P306" s="115">
        <f>'Saisie données stocks'!N184</f>
        <v>0</v>
      </c>
      <c r="Q306" s="494">
        <f>'Saisie données stocks'!N63+'Saisie données stocks'!N127+'Saisie données stocks'!N184</f>
        <v>0</v>
      </c>
    </row>
    <row r="307" spans="1:17" s="4" customFormat="1" x14ac:dyDescent="0.2">
      <c r="C307" s="37"/>
      <c r="D307" s="407"/>
      <c r="E307" s="88" t="str">
        <f>'Saisie données stocks'!F64</f>
        <v>ABC</v>
      </c>
      <c r="F307" s="89" t="str">
        <f>'Saisie données stocks'!G64</f>
        <v>Sol buv</v>
      </c>
      <c r="G307" s="89" t="str">
        <f>'Saisie données stocks'!H64</f>
        <v>20 mg/mL</v>
      </c>
      <c r="H307" s="377" t="str">
        <f>'Saisie données stocks'!I64</f>
        <v>Abacavir</v>
      </c>
      <c r="I307" s="39" t="str">
        <f>'Saisie données stocks'!J64</f>
        <v>ZIAGEN</v>
      </c>
      <c r="J307" s="39">
        <f>'Saisie données stocks'!K64</f>
        <v>0</v>
      </c>
      <c r="K307" s="114">
        <f>'Saisie données stocks'!L64</f>
        <v>240</v>
      </c>
      <c r="L307" s="114">
        <f>'Saisie données stocks'!M128</f>
        <v>1</v>
      </c>
      <c r="M307" s="114">
        <f>'Saisie données stocks'!N64</f>
        <v>0</v>
      </c>
      <c r="N307" s="114">
        <f>'Saisie données stocks'!$N128</f>
        <v>0</v>
      </c>
      <c r="O307" s="483">
        <f t="shared" si="41"/>
        <v>0</v>
      </c>
      <c r="P307" s="114">
        <f>'Saisie données stocks'!N185</f>
        <v>0</v>
      </c>
      <c r="Q307" s="493">
        <f>'Saisie données stocks'!N64+'Saisie données stocks'!N128+'Saisie données stocks'!N185</f>
        <v>0</v>
      </c>
    </row>
    <row r="308" spans="1:17" s="4" customFormat="1" ht="25.5" x14ac:dyDescent="0.2">
      <c r="C308" s="37"/>
      <c r="D308" s="389"/>
      <c r="E308" s="102" t="str">
        <f>'Saisie données stocks'!F65</f>
        <v>DDI</v>
      </c>
      <c r="F308" s="103" t="str">
        <f>'Saisie données stocks'!G65</f>
        <v>Poudre buvable</v>
      </c>
      <c r="G308" s="103" t="str">
        <f>'Saisie données stocks'!H65</f>
        <v>2 g</v>
      </c>
      <c r="H308" s="1519" t="str">
        <f>'Saisie données stocks'!I65</f>
        <v>Didanosine</v>
      </c>
      <c r="I308" s="109" t="str">
        <f>'Saisie données stocks'!J65</f>
        <v>VIDEX</v>
      </c>
      <c r="J308" s="109">
        <f>'Saisie données stocks'!K65</f>
        <v>0</v>
      </c>
      <c r="K308" s="116">
        <f>'Saisie données stocks'!L65</f>
        <v>200</v>
      </c>
      <c r="L308" s="116">
        <f>'Saisie données stocks'!M129</f>
        <v>1</v>
      </c>
      <c r="M308" s="116">
        <f>'Saisie données stocks'!N65</f>
        <v>0</v>
      </c>
      <c r="N308" s="116">
        <f>'Saisie données stocks'!$N129</f>
        <v>0</v>
      </c>
      <c r="O308" s="485">
        <f t="shared" si="41"/>
        <v>0</v>
      </c>
      <c r="P308" s="116">
        <f>'Saisie données stocks'!N186</f>
        <v>0</v>
      </c>
      <c r="Q308" s="495">
        <f>'Saisie données stocks'!N65+'Saisie données stocks'!N129+'Saisie données stocks'!N186</f>
        <v>0</v>
      </c>
    </row>
    <row r="309" spans="1:17" s="4" customFormat="1" x14ac:dyDescent="0.2">
      <c r="C309" s="37"/>
      <c r="D309" s="375" t="str">
        <f>'Saisie données stocks'!$E$66</f>
        <v>INNTI</v>
      </c>
      <c r="E309" s="88" t="str">
        <f>'Saisie données stocks'!F66</f>
        <v>NVP</v>
      </c>
      <c r="F309" s="89" t="str">
        <f>'Saisie données stocks'!G66</f>
        <v>Sol buv</v>
      </c>
      <c r="G309" s="89" t="str">
        <f>'Saisie données stocks'!H66</f>
        <v>10 mg/mL</v>
      </c>
      <c r="H309" s="377" t="str">
        <f>'Saisie données stocks'!I66</f>
        <v>Nevirapine</v>
      </c>
      <c r="I309" s="39" t="str">
        <f>'Saisie données stocks'!J66</f>
        <v>VIRAMUNE</v>
      </c>
      <c r="J309" s="39">
        <f>'Saisie données stocks'!K66</f>
        <v>0</v>
      </c>
      <c r="K309" s="114">
        <f>'Saisie données stocks'!L66</f>
        <v>240</v>
      </c>
      <c r="L309" s="114">
        <f>'Saisie données stocks'!M130</f>
        <v>1</v>
      </c>
      <c r="M309" s="114">
        <f>'Saisie données stocks'!N66</f>
        <v>3990</v>
      </c>
      <c r="N309" s="114">
        <f>'Saisie données stocks'!$N130</f>
        <v>0</v>
      </c>
      <c r="O309" s="483">
        <f t="shared" si="41"/>
        <v>3990</v>
      </c>
      <c r="P309" s="114">
        <f>'Saisie données stocks'!N187</f>
        <v>0</v>
      </c>
      <c r="Q309" s="493">
        <f>'Saisie données stocks'!N66+'Saisie données stocks'!N130+'Saisie données stocks'!N187</f>
        <v>3990</v>
      </c>
    </row>
    <row r="310" spans="1:17" s="4" customFormat="1" x14ac:dyDescent="0.2">
      <c r="C310" s="37"/>
      <c r="D310" s="389"/>
      <c r="E310" s="102" t="str">
        <f>'Saisie données stocks'!F67</f>
        <v>EFV</v>
      </c>
      <c r="F310" s="103" t="str">
        <f>'Saisie données stocks'!G67</f>
        <v>Sol buv</v>
      </c>
      <c r="G310" s="103" t="str">
        <f>'Saisie données stocks'!H67</f>
        <v>30 mg/mL</v>
      </c>
      <c r="H310" s="1519" t="str">
        <f>'Saisie données stocks'!I67</f>
        <v>Efavirenz</v>
      </c>
      <c r="I310" s="109" t="str">
        <f>'Saisie données stocks'!J67</f>
        <v>SUSTIVA, STOCRIN</v>
      </c>
      <c r="J310" s="109">
        <f>'Saisie données stocks'!K67</f>
        <v>0</v>
      </c>
      <c r="K310" s="116">
        <f>'Saisie données stocks'!L67</f>
        <v>180</v>
      </c>
      <c r="L310" s="116">
        <f>'Saisie données stocks'!M131</f>
        <v>1</v>
      </c>
      <c r="M310" s="116">
        <f>'Saisie données stocks'!N67</f>
        <v>0</v>
      </c>
      <c r="N310" s="116">
        <f>'Saisie données stocks'!$N131</f>
        <v>0</v>
      </c>
      <c r="O310" s="485">
        <f t="shared" si="41"/>
        <v>0</v>
      </c>
      <c r="P310" s="116">
        <f>'Saisie données stocks'!N188</f>
        <v>0</v>
      </c>
      <c r="Q310" s="495">
        <f>'Saisie données stocks'!N67+'Saisie données stocks'!N131+'Saisie données stocks'!N188</f>
        <v>0</v>
      </c>
    </row>
    <row r="311" spans="1:17" s="4" customFormat="1" ht="26.25" thickBot="1" x14ac:dyDescent="0.25">
      <c r="C311" s="42"/>
      <c r="D311" s="408" t="str">
        <f>'Saisie données stocks'!$E$68</f>
        <v>IP</v>
      </c>
      <c r="E311" s="106" t="str">
        <f>'Saisie données stocks'!F68</f>
        <v>LPV/r</v>
      </c>
      <c r="F311" s="107" t="str">
        <f>'Saisie données stocks'!G68</f>
        <v>Sol buv</v>
      </c>
      <c r="G311" s="107" t="str">
        <f>'Saisie données stocks'!H68</f>
        <v>80/20 mg/mL</v>
      </c>
      <c r="H311" s="410" t="str">
        <f>'Saisie données stocks'!I68</f>
        <v>Lopinavir/Ritonavir</v>
      </c>
      <c r="I311" s="108" t="str">
        <f>'Saisie données stocks'!J68</f>
        <v>KALETRA ALUVIA</v>
      </c>
      <c r="J311" s="108">
        <f>'Saisie données stocks'!K68</f>
        <v>0</v>
      </c>
      <c r="K311" s="312">
        <f>'Saisie données stocks'!L68</f>
        <v>60</v>
      </c>
      <c r="L311" s="312">
        <f>'Saisie données stocks'!M132</f>
        <v>4</v>
      </c>
      <c r="M311" s="312">
        <f>'Saisie données stocks'!N68</f>
        <v>0</v>
      </c>
      <c r="N311" s="312">
        <f>'Saisie données stocks'!$N132</f>
        <v>0</v>
      </c>
      <c r="O311" s="486">
        <f t="shared" si="41"/>
        <v>0</v>
      </c>
      <c r="P311" s="312">
        <f>'Saisie données stocks'!N189</f>
        <v>2168</v>
      </c>
      <c r="Q311" s="498">
        <f>'Saisie données stocks'!N68+'Saisie données stocks'!N132+'Saisie données stocks'!N189</f>
        <v>2168</v>
      </c>
    </row>
    <row r="314" spans="1:17" s="358" customFormat="1" ht="15.75" thickBot="1" x14ac:dyDescent="0.25">
      <c r="A314" s="3257" t="str">
        <f>'TRAD-Calculs'!B47</f>
        <v>Etape 3 : détermination des CMM</v>
      </c>
      <c r="B314" s="3257"/>
      <c r="C314" s="3257"/>
      <c r="D314" s="3257"/>
      <c r="E314" s="3257"/>
      <c r="F314" s="3257"/>
      <c r="G314" s="3257"/>
      <c r="H314" s="3257"/>
      <c r="I314" s="3257"/>
      <c r="J314" s="3257"/>
      <c r="K314" s="3257"/>
      <c r="L314" s="3257"/>
      <c r="M314" s="3257"/>
      <c r="N314" s="3257"/>
      <c r="P314" s="356"/>
    </row>
    <row r="315" spans="1:17" ht="13.5" thickBot="1" x14ac:dyDescent="0.25"/>
    <row r="316" spans="1:17" s="358" customFormat="1" ht="64.5" thickBot="1" x14ac:dyDescent="0.25">
      <c r="C316" s="85"/>
      <c r="D316" s="120"/>
      <c r="E316" s="32" t="str">
        <f>'TRAD-Calculs'!B3</f>
        <v>Composition</v>
      </c>
      <c r="F316" s="33" t="str">
        <f>'TRAD-Calculs'!B22</f>
        <v>Forme galénique</v>
      </c>
      <c r="G316" s="33" t="str">
        <f>'TRAD-Calculs'!B4</f>
        <v>Dosage</v>
      </c>
      <c r="H316" s="33" t="str">
        <f>'TRAD-Calculs'!B23</f>
        <v>DCI</v>
      </c>
      <c r="I316" s="33" t="str">
        <f>'TRAD-Calculs'!B24</f>
        <v>Nom de spécialité</v>
      </c>
      <c r="J316" s="33" t="str">
        <f>'TRAD-Calculs'!B25</f>
        <v>Nom de générique possible</v>
      </c>
      <c r="K316" s="33" t="str">
        <f>'TRAD-Calculs'!B26</f>
        <v>Conditionnement</v>
      </c>
      <c r="L316" s="327" t="str">
        <f>'TRAD-Calculs'!B48</f>
        <v>Consommation ajustée baseline</v>
      </c>
      <c r="M316" s="553" t="str">
        <f>'TRAD-Calculs'!B49</f>
        <v>Taux</v>
      </c>
      <c r="N316" s="345" t="str">
        <f>'TRAD-Calculs'!B62</f>
        <v>Augmentation de consommation mensuelle</v>
      </c>
    </row>
    <row r="317" spans="1:17" s="358" customFormat="1" ht="39" thickBot="1" x14ac:dyDescent="0.25">
      <c r="C317" s="31" t="str">
        <f>'TRAD-Calculs'!B28</f>
        <v>Comprimés</v>
      </c>
      <c r="D317" s="97" t="str">
        <f>'Saisie données stocks'!$E$19</f>
        <v>CDF</v>
      </c>
      <c r="E317" s="86" t="str">
        <f>'Saisie données stocks'!F19</f>
        <v>AZT+3TC+NVP</v>
      </c>
      <c r="F317" s="87" t="str">
        <f>'Saisie données stocks'!G19</f>
        <v>Cp</v>
      </c>
      <c r="G317" s="87" t="str">
        <f>'Saisie données stocks'!H19</f>
        <v>300/150/200 mg</v>
      </c>
      <c r="H317" s="87" t="str">
        <f>'Saisie données stocks'!I19</f>
        <v>Zidovudine+ Lamivudine+ Nevirapine</v>
      </c>
      <c r="I317" s="36">
        <f>'Saisie données stocks'!J19</f>
        <v>0</v>
      </c>
      <c r="J317" s="35" t="str">
        <f>'Saisie données stocks'!K19</f>
        <v>DUOVIR-N, ZIDOLAM-N</v>
      </c>
      <c r="K317" s="113">
        <f>'Saisie données stocks'!L19</f>
        <v>60</v>
      </c>
      <c r="L317" s="337">
        <f>'Saisie données conso'!L16</f>
        <v>6338</v>
      </c>
      <c r="M317" s="554">
        <f>'Saisie données conso'!M16</f>
        <v>0</v>
      </c>
      <c r="N317" s="339">
        <f>L317*M317</f>
        <v>0</v>
      </c>
    </row>
    <row r="318" spans="1:17" s="358" customFormat="1" ht="51.75" thickBot="1" x14ac:dyDescent="0.25">
      <c r="C318" s="37"/>
      <c r="D318" s="98"/>
      <c r="E318" s="501" t="str">
        <f>'Saisie données stocks'!F20</f>
        <v>AZT+3TC+NVP</v>
      </c>
      <c r="F318" s="502" t="str">
        <f>'Saisie données stocks'!G20</f>
        <v>Cp</v>
      </c>
      <c r="G318" s="502" t="str">
        <f>'Saisie données stocks'!H20</f>
        <v>60/30/50 mg</v>
      </c>
      <c r="H318" s="502" t="str">
        <f>'Saisie données stocks'!I20</f>
        <v>Zidovudine+ Lamivudine+ Nevirapine</v>
      </c>
      <c r="I318" s="503">
        <f>'Saisie données stocks'!J20</f>
        <v>0</v>
      </c>
      <c r="J318" s="504" t="str">
        <f>'Saisie données stocks'!K20</f>
        <v>DUOVIR-N baby, ZIDOLAM-N baby</v>
      </c>
      <c r="K318" s="505">
        <f>'Saisie données stocks'!L20</f>
        <v>60</v>
      </c>
      <c r="L318" s="337">
        <f>'Saisie données conso'!L17</f>
        <v>546</v>
      </c>
      <c r="M318" s="554">
        <f>'Saisie données conso'!M17</f>
        <v>0</v>
      </c>
      <c r="N318" s="340">
        <f t="shared" ref="N318:N321" si="43">L318*M318</f>
        <v>0</v>
      </c>
    </row>
    <row r="319" spans="1:17" s="358" customFormat="1" ht="39" thickBot="1" x14ac:dyDescent="0.25">
      <c r="C319" s="37"/>
      <c r="D319" s="98"/>
      <c r="E319" s="88" t="str">
        <f>'Saisie données stocks'!F21</f>
        <v>AZT+3TC+ABC</v>
      </c>
      <c r="F319" s="89" t="str">
        <f>'Saisie données stocks'!G21</f>
        <v>Cp</v>
      </c>
      <c r="G319" s="89" t="str">
        <f>'Saisie données stocks'!H21</f>
        <v>300/150/300 mg</v>
      </c>
      <c r="H319" s="89" t="str">
        <f>'Saisie données stocks'!I21</f>
        <v>Zidovudine+ Lamivudine+ Abacavir</v>
      </c>
      <c r="I319" s="39" t="str">
        <f>'Saisie données stocks'!J21</f>
        <v>TRIZIVIR</v>
      </c>
      <c r="J319" s="38">
        <f>'Saisie données stocks'!K21</f>
        <v>0</v>
      </c>
      <c r="K319" s="114">
        <f>'Saisie données stocks'!L21</f>
        <v>60</v>
      </c>
      <c r="L319" s="337">
        <f>'Saisie données conso'!L18</f>
        <v>27</v>
      </c>
      <c r="M319" s="554">
        <f>'Saisie données conso'!M18</f>
        <v>0</v>
      </c>
      <c r="N319" s="340">
        <f t="shared" si="43"/>
        <v>0</v>
      </c>
    </row>
    <row r="320" spans="1:17" s="358" customFormat="1" ht="51.75" thickBot="1" x14ac:dyDescent="0.25">
      <c r="C320" s="37"/>
      <c r="D320" s="98"/>
      <c r="E320" s="88" t="str">
        <f>'Saisie données stocks'!F22</f>
        <v>AZT+3TC</v>
      </c>
      <c r="F320" s="89" t="str">
        <f>'Saisie données stocks'!G22</f>
        <v>Cp</v>
      </c>
      <c r="G320" s="89" t="str">
        <f>'Saisie données stocks'!H22</f>
        <v>300/150 mg</v>
      </c>
      <c r="H320" s="89" t="str">
        <f>'Saisie données stocks'!I22</f>
        <v>Zidovudine+ Lamivudine</v>
      </c>
      <c r="I320" s="39" t="str">
        <f>'Saisie données stocks'!J22</f>
        <v>COMBIVIR</v>
      </c>
      <c r="J320" s="38" t="str">
        <f>'Saisie données stocks'!K22</f>
        <v>LAMZID, DUOVIR, ZIDOLAM, VIRACOMB</v>
      </c>
      <c r="K320" s="114">
        <f>'Saisie données stocks'!L22</f>
        <v>60</v>
      </c>
      <c r="L320" s="337">
        <f>'Saisie données conso'!L19</f>
        <v>1267</v>
      </c>
      <c r="M320" s="554">
        <f>'Saisie données conso'!M19</f>
        <v>0</v>
      </c>
      <c r="N320" s="341">
        <f t="shared" si="43"/>
        <v>0</v>
      </c>
    </row>
    <row r="321" spans="3:14" s="358" customFormat="1" ht="51.75" thickBot="1" x14ac:dyDescent="0.25">
      <c r="C321" s="37"/>
      <c r="D321" s="98"/>
      <c r="E321" s="1656" t="str">
        <f>'Saisie données stocks'!F23</f>
        <v>AZT+3TC</v>
      </c>
      <c r="F321" s="1657" t="str">
        <f>'Saisie données stocks'!G23</f>
        <v>Cp</v>
      </c>
      <c r="G321" s="1657" t="str">
        <f>'Saisie données stocks'!H23</f>
        <v>60/30 mg</v>
      </c>
      <c r="H321" s="502" t="str">
        <f>'Saisie données stocks'!I23</f>
        <v>Zidovudine+ Lamivudine</v>
      </c>
      <c r="I321" s="503">
        <f>'Saisie données stocks'!J23</f>
        <v>0</v>
      </c>
      <c r="J321" s="504" t="str">
        <f>'Saisie données stocks'!K23</f>
        <v>DUOVIR baby, ZIDOLAM baby</v>
      </c>
      <c r="K321" s="505">
        <f>'Saisie données stocks'!L23</f>
        <v>60</v>
      </c>
      <c r="L321" s="337">
        <f>'Saisie données conso'!L20</f>
        <v>146</v>
      </c>
      <c r="M321" s="554">
        <f>'Saisie données conso'!M20</f>
        <v>0</v>
      </c>
      <c r="N321" s="341">
        <f t="shared" si="43"/>
        <v>0</v>
      </c>
    </row>
    <row r="322" spans="3:14" s="358" customFormat="1" ht="26.25" thickBot="1" x14ac:dyDescent="0.25">
      <c r="C322" s="37"/>
      <c r="D322" s="98"/>
      <c r="E322" s="1656" t="str">
        <f>'Saisie données stocks'!F24</f>
        <v>3TC+ABC</v>
      </c>
      <c r="F322" s="1657" t="str">
        <f>'Saisie données stocks'!G24</f>
        <v>Cp</v>
      </c>
      <c r="G322" s="1657" t="str">
        <f>'Saisie données stocks'!H24</f>
        <v>300/600 mg</v>
      </c>
      <c r="H322" s="502" t="str">
        <f>'Saisie données stocks'!I24</f>
        <v>Lamivudine+ Abacavir</v>
      </c>
      <c r="I322" s="503">
        <f>'Saisie données stocks'!J24</f>
        <v>0</v>
      </c>
      <c r="J322" s="504" t="str">
        <f>'Saisie données stocks'!K24</f>
        <v>KIVEXA</v>
      </c>
      <c r="K322" s="505">
        <f>'Saisie données stocks'!L24</f>
        <v>30</v>
      </c>
      <c r="L322" s="337">
        <f>'Saisie données conso'!L21</f>
        <v>56</v>
      </c>
      <c r="M322" s="554">
        <f>'Saisie données conso'!M21</f>
        <v>0</v>
      </c>
      <c r="N322" s="341">
        <f t="shared" ref="N322" si="44">L322*M322</f>
        <v>0</v>
      </c>
    </row>
    <row r="323" spans="3:14" s="358" customFormat="1" ht="26.25" thickBot="1" x14ac:dyDescent="0.25">
      <c r="C323" s="37"/>
      <c r="D323" s="98"/>
      <c r="E323" s="1656" t="str">
        <f>'Saisie données stocks'!F25</f>
        <v>3TC+ABC</v>
      </c>
      <c r="F323" s="1657" t="str">
        <f>'Saisie données stocks'!G25</f>
        <v>Cp</v>
      </c>
      <c r="G323" s="1657" t="str">
        <f>'Saisie données stocks'!H25</f>
        <v>30/60 mg</v>
      </c>
      <c r="H323" s="502" t="str">
        <f>'Saisie données stocks'!I25</f>
        <v>Lamivudine+ Abacavir</v>
      </c>
      <c r="I323" s="503">
        <f>'Saisie données stocks'!J25</f>
        <v>0</v>
      </c>
      <c r="J323" s="504">
        <f>'Saisie données stocks'!K25</f>
        <v>0</v>
      </c>
      <c r="K323" s="505">
        <f>'Saisie données stocks'!L25</f>
        <v>60</v>
      </c>
      <c r="L323" s="337">
        <f>'Saisie données conso'!L22</f>
        <v>22</v>
      </c>
      <c r="M323" s="554">
        <f>'Saisie données conso'!M22</f>
        <v>0</v>
      </c>
      <c r="N323" s="1650">
        <f t="shared" ref="N323:N357" si="45">L323*M323</f>
        <v>0</v>
      </c>
    </row>
    <row r="324" spans="3:14" s="358" customFormat="1" ht="39" thickBot="1" x14ac:dyDescent="0.25">
      <c r="C324" s="37"/>
      <c r="D324" s="98"/>
      <c r="E324" s="1660" t="str">
        <f>'Saisie données stocks'!F26</f>
        <v>D4T+3TC+NVP</v>
      </c>
      <c r="F324" s="1661" t="str">
        <f>'Saisie données stocks'!G26</f>
        <v>Cp</v>
      </c>
      <c r="G324" s="1661" t="str">
        <f>'Saisie données stocks'!H26</f>
        <v>30/150/200 mg</v>
      </c>
      <c r="H324" s="1207" t="str">
        <f>'Saisie données stocks'!I26</f>
        <v>Stavudine+ Lamivudine+ Nevirapine</v>
      </c>
      <c r="I324" s="41">
        <f>'Saisie données stocks'!J26</f>
        <v>0</v>
      </c>
      <c r="J324" s="40" t="str">
        <f>'Saisie données stocks'!K26</f>
        <v>TRIOMUNE</v>
      </c>
      <c r="K324" s="115">
        <f>'Saisie données stocks'!L26</f>
        <v>60</v>
      </c>
      <c r="L324" s="337">
        <f>'Saisie données conso'!L23</f>
        <v>0</v>
      </c>
      <c r="M324" s="554">
        <f>'Saisie données conso'!M23</f>
        <v>0</v>
      </c>
      <c r="N324" s="341">
        <f t="shared" si="45"/>
        <v>0</v>
      </c>
    </row>
    <row r="325" spans="3:14" s="358" customFormat="1" ht="39" thickBot="1" x14ac:dyDescent="0.25">
      <c r="C325" s="37"/>
      <c r="D325" s="98"/>
      <c r="E325" s="1660" t="str">
        <f>'Saisie données stocks'!F27</f>
        <v>D4T+3TC+NVP</v>
      </c>
      <c r="F325" s="1661" t="str">
        <f>'Saisie données stocks'!G27</f>
        <v>Cp</v>
      </c>
      <c r="G325" s="1661" t="str">
        <f>'Saisie données stocks'!H27</f>
        <v>6/30/50 mg</v>
      </c>
      <c r="H325" s="1207" t="str">
        <f>'Saisie données stocks'!I27</f>
        <v>Stavudine+ Lamivudine+ Nevirapine</v>
      </c>
      <c r="I325" s="40">
        <f>'Saisie données stocks'!J27</f>
        <v>0</v>
      </c>
      <c r="J325" s="40" t="str">
        <f>'Saisie données stocks'!K27</f>
        <v>TRIOMUNE baby</v>
      </c>
      <c r="K325" s="115">
        <f>'Saisie données stocks'!L27</f>
        <v>60</v>
      </c>
      <c r="L325" s="337">
        <f>'Saisie données conso'!L24</f>
        <v>100</v>
      </c>
      <c r="M325" s="554">
        <f>'Saisie données conso'!M24</f>
        <v>0</v>
      </c>
      <c r="N325" s="341">
        <f t="shared" si="45"/>
        <v>0</v>
      </c>
    </row>
    <row r="326" spans="3:14" s="358" customFormat="1" ht="26.25" thickBot="1" x14ac:dyDescent="0.25">
      <c r="C326" s="37"/>
      <c r="D326" s="98"/>
      <c r="E326" s="1660" t="str">
        <f>'Saisie données stocks'!F28</f>
        <v>D4T+3TC</v>
      </c>
      <c r="F326" s="1661" t="str">
        <f>'Saisie données stocks'!G28</f>
        <v>Cp</v>
      </c>
      <c r="G326" s="1661" t="str">
        <f>'Saisie données stocks'!H28</f>
        <v>30/150 mg</v>
      </c>
      <c r="H326" s="89" t="str">
        <f>'Saisie données stocks'!I28</f>
        <v>Stavudine+ Lamivudine</v>
      </c>
      <c r="I326" s="38">
        <f>'Saisie données stocks'!J28</f>
        <v>0</v>
      </c>
      <c r="J326" s="40" t="str">
        <f>'Saisie données stocks'!K28</f>
        <v>COVIRO, LAMIVIR-S</v>
      </c>
      <c r="K326" s="115">
        <f>'Saisie données stocks'!L28</f>
        <v>60</v>
      </c>
      <c r="L326" s="337">
        <f>'Saisie données conso'!L25</f>
        <v>45</v>
      </c>
      <c r="M326" s="554">
        <f>'Saisie données conso'!M25</f>
        <v>0</v>
      </c>
      <c r="N326" s="341">
        <f t="shared" si="45"/>
        <v>0</v>
      </c>
    </row>
    <row r="327" spans="3:14" s="358" customFormat="1" ht="39" thickBot="1" x14ac:dyDescent="0.25">
      <c r="C327" s="37"/>
      <c r="D327" s="98"/>
      <c r="E327" s="1660" t="str">
        <f>'Saisie données stocks'!F29</f>
        <v>TDF+FTC+EFV</v>
      </c>
      <c r="F327" s="1661" t="str">
        <f>'Saisie données stocks'!G29</f>
        <v>Cp</v>
      </c>
      <c r="G327" s="1661" t="str">
        <f>'Saisie données stocks'!H29</f>
        <v>300/200/600 mg</v>
      </c>
      <c r="H327" s="89" t="str">
        <f>'Saisie données stocks'!I29</f>
        <v>Tenofovir+ Emtricitabine+ Efavirenz</v>
      </c>
      <c r="I327" s="38" t="str">
        <f>'Saisie données stocks'!J29</f>
        <v>ATRIPLA</v>
      </c>
      <c r="J327" s="40">
        <f>'Saisie données stocks'!K29</f>
        <v>0</v>
      </c>
      <c r="K327" s="115">
        <f>'Saisie données stocks'!L29</f>
        <v>30</v>
      </c>
      <c r="L327" s="337">
        <f>'Saisie données conso'!L26</f>
        <v>0</v>
      </c>
      <c r="M327" s="554">
        <f>'Saisie données conso'!M26</f>
        <v>0</v>
      </c>
      <c r="N327" s="341">
        <f t="shared" si="45"/>
        <v>0</v>
      </c>
    </row>
    <row r="328" spans="3:14" s="358" customFormat="1" ht="26.25" thickBot="1" x14ac:dyDescent="0.25">
      <c r="C328" s="37"/>
      <c r="D328" s="98"/>
      <c r="E328" s="1660" t="str">
        <f>'Saisie données stocks'!F30</f>
        <v>TDF+FTC</v>
      </c>
      <c r="F328" s="1661" t="str">
        <f>'Saisie données stocks'!G30</f>
        <v>Cp</v>
      </c>
      <c r="G328" s="1661" t="str">
        <f>'Saisie données stocks'!H30</f>
        <v>300/200 mg</v>
      </c>
      <c r="H328" s="89" t="str">
        <f>'Saisie données stocks'!I30</f>
        <v>Tenofovir+ Emtricitabine</v>
      </c>
      <c r="I328" s="38" t="str">
        <f>'Saisie données stocks'!J30</f>
        <v>TRUVADA</v>
      </c>
      <c r="J328" s="40">
        <f>'Saisie données stocks'!K30</f>
        <v>0</v>
      </c>
      <c r="K328" s="115">
        <f>'Saisie données stocks'!L30</f>
        <v>30</v>
      </c>
      <c r="L328" s="337">
        <f>'Saisie données conso'!L27</f>
        <v>0</v>
      </c>
      <c r="M328" s="554">
        <f>'Saisie données conso'!M27</f>
        <v>0</v>
      </c>
      <c r="N328" s="341">
        <f t="shared" si="45"/>
        <v>0</v>
      </c>
    </row>
    <row r="329" spans="3:14" s="358" customFormat="1" ht="39" thickBot="1" x14ac:dyDescent="0.25">
      <c r="C329" s="37"/>
      <c r="D329" s="123"/>
      <c r="E329" s="1660" t="str">
        <f>'Saisie données stocks'!F31</f>
        <v>TDF+3TC+EFV</v>
      </c>
      <c r="F329" s="1661" t="str">
        <f>'Saisie données stocks'!G31</f>
        <v>Cp</v>
      </c>
      <c r="G329" s="1661" t="str">
        <f>'Saisie données stocks'!H31</f>
        <v>300/200/600 mg</v>
      </c>
      <c r="H329" s="89" t="str">
        <f>'Saisie données stocks'!I31</f>
        <v>Tenofovir+ Lamivudine+ Efavirenz</v>
      </c>
      <c r="I329" s="38" t="str">
        <f>'Saisie données stocks'!J31</f>
        <v>ATRIPLA</v>
      </c>
      <c r="J329" s="40">
        <f>'Saisie données stocks'!K31</f>
        <v>0</v>
      </c>
      <c r="K329" s="115">
        <f>'Saisie données stocks'!L31</f>
        <v>30</v>
      </c>
      <c r="L329" s="337">
        <f>'Saisie données conso'!L28</f>
        <v>1484</v>
      </c>
      <c r="M329" s="554">
        <f>'Saisie données conso'!M28</f>
        <v>0</v>
      </c>
      <c r="N329" s="341">
        <f t="shared" si="45"/>
        <v>0</v>
      </c>
    </row>
    <row r="330" spans="3:14" s="358" customFormat="1" ht="26.25" thickBot="1" x14ac:dyDescent="0.25">
      <c r="C330" s="37"/>
      <c r="D330" s="123"/>
      <c r="E330" s="1660" t="str">
        <f>'Saisie données stocks'!F32</f>
        <v>TDF+3TC</v>
      </c>
      <c r="F330" s="1661" t="str">
        <f>'Saisie données stocks'!G32</f>
        <v>Cp</v>
      </c>
      <c r="G330" s="1661" t="str">
        <f>'Saisie données stocks'!H32</f>
        <v>300/200 mg</v>
      </c>
      <c r="H330" s="89" t="str">
        <f>'Saisie données stocks'!I32</f>
        <v>Tenofovir+ Lamivudine</v>
      </c>
      <c r="I330" s="38">
        <f>'Saisie données stocks'!J32</f>
        <v>0</v>
      </c>
      <c r="J330" s="40">
        <f>'Saisie données stocks'!K32</f>
        <v>0</v>
      </c>
      <c r="K330" s="115">
        <f>'Saisie données stocks'!L32</f>
        <v>30</v>
      </c>
      <c r="L330" s="337">
        <f>'Saisie données conso'!L29</f>
        <v>104</v>
      </c>
      <c r="M330" s="554">
        <f>'Saisie données conso'!M29</f>
        <v>0</v>
      </c>
      <c r="N330" s="341">
        <f t="shared" si="45"/>
        <v>0</v>
      </c>
    </row>
    <row r="331" spans="3:14" s="358" customFormat="1" ht="51.75" thickBot="1" x14ac:dyDescent="0.25">
      <c r="C331" s="100"/>
      <c r="D331" s="101"/>
      <c r="E331" s="1663" t="str">
        <f>'Saisie données stocks'!F33</f>
        <v>[TDF+3TC]+ATV/r</v>
      </c>
      <c r="F331" s="1664" t="str">
        <f>'Saisie données stocks'!G33</f>
        <v>Cp coblister</v>
      </c>
      <c r="G331" s="1664" t="str">
        <f>'Saisie données stocks'!H33</f>
        <v>[300/300]+300/100 mg</v>
      </c>
      <c r="H331" s="1640" t="str">
        <f>'Saisie données stocks'!I33</f>
        <v>[Tenofovir+ Lamivudine]+ Atazanavir/Ritonavir</v>
      </c>
      <c r="I331" s="104">
        <f>'Saisie données stocks'!J33</f>
        <v>0</v>
      </c>
      <c r="J331" s="105">
        <f>'Saisie données stocks'!K33</f>
        <v>0</v>
      </c>
      <c r="K331" s="116">
        <f>'Saisie données stocks'!L33</f>
        <v>30</v>
      </c>
      <c r="L331" s="337">
        <f>'Saisie données conso'!L30</f>
        <v>0</v>
      </c>
      <c r="M331" s="554">
        <f>'Saisie données conso'!M30</f>
        <v>0</v>
      </c>
      <c r="N331" s="1650">
        <f t="shared" si="45"/>
        <v>0</v>
      </c>
    </row>
    <row r="332" spans="3:14" s="358" customFormat="1" ht="26.25" thickBot="1" x14ac:dyDescent="0.25">
      <c r="C332" s="37"/>
      <c r="D332" s="98" t="str">
        <f>'Saisie données stocks'!$E$34</f>
        <v>INNTI</v>
      </c>
      <c r="E332" s="1658" t="str">
        <f>'Saisie données stocks'!F34</f>
        <v>EFV</v>
      </c>
      <c r="F332" s="1659" t="str">
        <f>'Saisie données stocks'!G34</f>
        <v>Gél</v>
      </c>
      <c r="G332" s="1659" t="str">
        <f>'Saisie données stocks'!H34</f>
        <v>50 mg</v>
      </c>
      <c r="H332" s="89" t="str">
        <f>'Saisie données stocks'!I34</f>
        <v>Efavirenz</v>
      </c>
      <c r="I332" s="38" t="str">
        <f>'Saisie données stocks'!J34</f>
        <v>SUSTIVA, STOCRIN</v>
      </c>
      <c r="J332" s="38">
        <f>'Saisie données stocks'!K34</f>
        <v>0</v>
      </c>
      <c r="K332" s="114">
        <f>'Saisie données stocks'!L34</f>
        <v>30</v>
      </c>
      <c r="L332" s="337">
        <f>'Saisie données conso'!L31</f>
        <v>0</v>
      </c>
      <c r="M332" s="554">
        <f>'Saisie données conso'!M31</f>
        <v>0</v>
      </c>
      <c r="N332" s="341">
        <f t="shared" si="45"/>
        <v>0</v>
      </c>
    </row>
    <row r="333" spans="3:14" s="358" customFormat="1" ht="26.25" thickBot="1" x14ac:dyDescent="0.25">
      <c r="C333" s="37"/>
      <c r="D333" s="98"/>
      <c r="E333" s="1660" t="str">
        <f>'Saisie données stocks'!F35</f>
        <v>EFV</v>
      </c>
      <c r="F333" s="1661" t="str">
        <f>'Saisie données stocks'!G35</f>
        <v>Gél</v>
      </c>
      <c r="G333" s="1661" t="str">
        <f>'Saisie données stocks'!H35</f>
        <v>200 mg</v>
      </c>
      <c r="H333" s="89" t="str">
        <f>'Saisie données stocks'!I35</f>
        <v>Efavirenz</v>
      </c>
      <c r="I333" s="38" t="str">
        <f>'Saisie données stocks'!J35</f>
        <v>SUSTIVA, STOCRIN</v>
      </c>
      <c r="J333" s="40">
        <f>'Saisie données stocks'!K35</f>
        <v>0</v>
      </c>
      <c r="K333" s="115">
        <f>'Saisie données stocks'!L35</f>
        <v>90</v>
      </c>
      <c r="L333" s="337">
        <f>'Saisie données conso'!L32</f>
        <v>21</v>
      </c>
      <c r="M333" s="554">
        <f>'Saisie données conso'!M32</f>
        <v>0</v>
      </c>
      <c r="N333" s="341">
        <f t="shared" si="45"/>
        <v>0</v>
      </c>
    </row>
    <row r="334" spans="3:14" s="358" customFormat="1" ht="26.25" thickBot="1" x14ac:dyDescent="0.25">
      <c r="C334" s="37"/>
      <c r="D334" s="98"/>
      <c r="E334" s="1665" t="str">
        <f>'Saisie données stocks'!F36</f>
        <v>EFV</v>
      </c>
      <c r="F334" s="1666" t="str">
        <f>'Saisie données stocks'!G36</f>
        <v>Cp</v>
      </c>
      <c r="G334" s="1666" t="str">
        <f>'Saisie données stocks'!H36</f>
        <v>600 mg</v>
      </c>
      <c r="H334" s="1210" t="str">
        <f>'Saisie données stocks'!I36</f>
        <v>Efavirenz</v>
      </c>
      <c r="I334" s="38" t="str">
        <f>'Saisie données stocks'!J36</f>
        <v>SUSTIVA, STOCRIN</v>
      </c>
      <c r="J334" s="96">
        <f>'Saisie données stocks'!K36</f>
        <v>0</v>
      </c>
      <c r="K334" s="117">
        <f>'Saisie données stocks'!L36</f>
        <v>30</v>
      </c>
      <c r="L334" s="337">
        <f>'Saisie données conso'!L33</f>
        <v>1485</v>
      </c>
      <c r="M334" s="554">
        <f>'Saisie données conso'!M33</f>
        <v>0</v>
      </c>
      <c r="N334" s="341">
        <f t="shared" si="45"/>
        <v>0</v>
      </c>
    </row>
    <row r="335" spans="3:14" s="358" customFormat="1" ht="13.5" thickBot="1" x14ac:dyDescent="0.25">
      <c r="C335" s="37"/>
      <c r="D335" s="98"/>
      <c r="E335" s="1667" t="str">
        <f>'Saisie données stocks'!F37</f>
        <v>ETV</v>
      </c>
      <c r="F335" s="1668" t="str">
        <f>'Saisie données stocks'!G37</f>
        <v>Cp</v>
      </c>
      <c r="G335" s="1668" t="str">
        <f>'Saisie données stocks'!H37</f>
        <v>200 mg</v>
      </c>
      <c r="H335" s="1210" t="str">
        <f>'Saisie données stocks'!I37</f>
        <v>Etravirine</v>
      </c>
      <c r="I335" s="1212" t="str">
        <f>'Saisie données stocks'!J37</f>
        <v>INTELENCE</v>
      </c>
      <c r="J335" s="1638">
        <f>'Saisie données stocks'!K37</f>
        <v>0</v>
      </c>
      <c r="K335" s="1386">
        <f>'Saisie données stocks'!L37</f>
        <v>60</v>
      </c>
      <c r="L335" s="337">
        <f>'Saisie données conso'!L34</f>
        <v>0</v>
      </c>
      <c r="M335" s="554">
        <f>'Saisie données conso'!M34</f>
        <v>0</v>
      </c>
      <c r="N335" s="1650">
        <f t="shared" si="45"/>
        <v>0</v>
      </c>
    </row>
    <row r="336" spans="3:14" s="358" customFormat="1" ht="13.5" thickBot="1" x14ac:dyDescent="0.25">
      <c r="C336" s="37"/>
      <c r="D336" s="123"/>
      <c r="E336" s="1660" t="str">
        <f>'Saisie données stocks'!F38</f>
        <v>NVP</v>
      </c>
      <c r="F336" s="1661" t="str">
        <f>'Saisie données stocks'!G38</f>
        <v>Cp</v>
      </c>
      <c r="G336" s="1661" t="str">
        <f>'Saisie données stocks'!H38</f>
        <v>200 mg</v>
      </c>
      <c r="H336" s="89" t="str">
        <f>'Saisie données stocks'!I38</f>
        <v>Nevirapine</v>
      </c>
      <c r="I336" s="38" t="str">
        <f>'Saisie données stocks'!J38</f>
        <v>VIRAMUNE</v>
      </c>
      <c r="J336" s="40">
        <f>'Saisie données stocks'!K38</f>
        <v>0</v>
      </c>
      <c r="K336" s="115">
        <f>'Saisie données stocks'!L38</f>
        <v>60</v>
      </c>
      <c r="L336" s="337">
        <f>'Saisie données conso'!L35</f>
        <v>0</v>
      </c>
      <c r="M336" s="554">
        <f>'Saisie données conso'!M35</f>
        <v>0</v>
      </c>
      <c r="N336" s="341">
        <f t="shared" si="45"/>
        <v>0</v>
      </c>
    </row>
    <row r="337" spans="3:14" s="358" customFormat="1" ht="13.5" thickBot="1" x14ac:dyDescent="0.25">
      <c r="C337" s="100"/>
      <c r="D337" s="101"/>
      <c r="E337" s="1663" t="str">
        <f>'Saisie données stocks'!F39</f>
        <v>RPV</v>
      </c>
      <c r="F337" s="1664" t="str">
        <f>'Saisie données stocks'!G39</f>
        <v>Cp</v>
      </c>
      <c r="G337" s="1664" t="str">
        <f>'Saisie données stocks'!H39</f>
        <v>25 mg</v>
      </c>
      <c r="H337" s="1640" t="str">
        <f>'Saisie données stocks'!I39</f>
        <v>Rilpivirine</v>
      </c>
      <c r="I337" s="104" t="str">
        <f>'Saisie données stocks'!J39</f>
        <v>EDURANT</v>
      </c>
      <c r="J337" s="105">
        <f>'Saisie données stocks'!K39</f>
        <v>0</v>
      </c>
      <c r="K337" s="116">
        <f>'Saisie données stocks'!L39</f>
        <v>30</v>
      </c>
      <c r="L337" s="337">
        <f>'Saisie données conso'!L36</f>
        <v>0</v>
      </c>
      <c r="M337" s="554">
        <f>'Saisie données conso'!M36</f>
        <v>0</v>
      </c>
      <c r="N337" s="1650">
        <f t="shared" si="45"/>
        <v>0</v>
      </c>
    </row>
    <row r="338" spans="3:14" s="358" customFormat="1" ht="26.25" thickBot="1" x14ac:dyDescent="0.25">
      <c r="C338" s="37"/>
      <c r="D338" s="123" t="str">
        <f>'Saisie données stocks'!$E$40</f>
        <v>INTI</v>
      </c>
      <c r="E338" s="1660" t="str">
        <f>'Saisie données stocks'!F40</f>
        <v>ABC</v>
      </c>
      <c r="F338" s="1661" t="str">
        <f>'Saisie données stocks'!G40</f>
        <v>Cp</v>
      </c>
      <c r="G338" s="1661" t="str">
        <f>'Saisie données stocks'!H40</f>
        <v>300 mg</v>
      </c>
      <c r="H338" s="89" t="str">
        <f>'Saisie données stocks'!I40</f>
        <v>Abacavir</v>
      </c>
      <c r="I338" s="38" t="str">
        <f>'Saisie données stocks'!J40</f>
        <v>ZIAGEN</v>
      </c>
      <c r="J338" s="40" t="str">
        <f>'Saisie données stocks'!K40</f>
        <v>ABAVIR, VIROL</v>
      </c>
      <c r="K338" s="115">
        <f>'Saisie données stocks'!L40</f>
        <v>60</v>
      </c>
      <c r="L338" s="337">
        <f>'Saisie données conso'!L37</f>
        <v>2</v>
      </c>
      <c r="M338" s="554">
        <f>'Saisie données conso'!M37</f>
        <v>0</v>
      </c>
      <c r="N338" s="341">
        <f t="shared" si="45"/>
        <v>0</v>
      </c>
    </row>
    <row r="339" spans="3:14" s="358" customFormat="1" ht="13.5" thickBot="1" x14ac:dyDescent="0.25">
      <c r="C339" s="37"/>
      <c r="D339" s="98"/>
      <c r="E339" s="1658" t="str">
        <f>'Saisie données stocks'!F41</f>
        <v>ABC</v>
      </c>
      <c r="F339" s="1659" t="str">
        <f>'Saisie données stocks'!G41</f>
        <v>Cp</v>
      </c>
      <c r="G339" s="1659" t="str">
        <f>'Saisie données stocks'!H41</f>
        <v>60 mg</v>
      </c>
      <c r="H339" s="89" t="str">
        <f>'Saisie données stocks'!I41</f>
        <v>Abacavir</v>
      </c>
      <c r="I339" s="39">
        <f>'Saisie données stocks'!J41</f>
        <v>0</v>
      </c>
      <c r="J339" s="38">
        <f>'Saisie données stocks'!K41</f>
        <v>0</v>
      </c>
      <c r="K339" s="114">
        <f>'Saisie données stocks'!L41</f>
        <v>60</v>
      </c>
      <c r="L339" s="337">
        <f>'Saisie données conso'!L38</f>
        <v>0</v>
      </c>
      <c r="M339" s="554">
        <f>'Saisie données conso'!M38</f>
        <v>0</v>
      </c>
      <c r="N339" s="1650">
        <f t="shared" si="45"/>
        <v>0</v>
      </c>
    </row>
    <row r="340" spans="3:14" s="358" customFormat="1" ht="13.5" thickBot="1" x14ac:dyDescent="0.25">
      <c r="C340" s="37"/>
      <c r="D340" s="98"/>
      <c r="E340" s="1658" t="str">
        <f>'Saisie données stocks'!F42</f>
        <v>AZT</v>
      </c>
      <c r="F340" s="1659" t="str">
        <f>'Saisie données stocks'!G42</f>
        <v>Cp</v>
      </c>
      <c r="G340" s="1661" t="str">
        <f>'Saisie données stocks'!H42</f>
        <v>300 mg</v>
      </c>
      <c r="H340" s="89" t="str">
        <f>'Saisie données stocks'!I42</f>
        <v>Zidovudine</v>
      </c>
      <c r="I340" s="39" t="str">
        <f>'Saisie données stocks'!J42</f>
        <v>RETROVIR</v>
      </c>
      <c r="J340" s="38">
        <f>'Saisie données stocks'!K42</f>
        <v>0</v>
      </c>
      <c r="K340" s="114">
        <f>'Saisie données stocks'!L42</f>
        <v>60</v>
      </c>
      <c r="L340" s="337">
        <f>'Saisie données conso'!L39</f>
        <v>0</v>
      </c>
      <c r="M340" s="554">
        <f>'Saisie données conso'!M39</f>
        <v>0</v>
      </c>
      <c r="N340" s="341">
        <f t="shared" si="45"/>
        <v>0</v>
      </c>
    </row>
    <row r="341" spans="3:14" s="358" customFormat="1" ht="13.5" thickBot="1" x14ac:dyDescent="0.25">
      <c r="C341" s="37"/>
      <c r="D341" s="98"/>
      <c r="E341" s="1658" t="str">
        <f>'Saisie données stocks'!F43</f>
        <v>AZT</v>
      </c>
      <c r="F341" s="1659" t="str">
        <f>'Saisie données stocks'!G43</f>
        <v>Cp</v>
      </c>
      <c r="G341" s="1662" t="str">
        <f>'Saisie données stocks'!H43</f>
        <v>100 mg</v>
      </c>
      <c r="H341" s="89" t="str">
        <f>'Saisie données stocks'!I43</f>
        <v>Zidovudine</v>
      </c>
      <c r="I341" s="39" t="str">
        <f>'Saisie données stocks'!J43</f>
        <v>RETROVIR</v>
      </c>
      <c r="J341" s="38">
        <f>'Saisie données stocks'!K43</f>
        <v>0</v>
      </c>
      <c r="K341" s="114">
        <f>'Saisie données stocks'!L43</f>
        <v>100</v>
      </c>
      <c r="L341" s="337">
        <f>'Saisie données conso'!L40</f>
        <v>0</v>
      </c>
      <c r="M341" s="554">
        <f>'Saisie données conso'!M40</f>
        <v>0</v>
      </c>
      <c r="N341" s="341">
        <f t="shared" si="45"/>
        <v>0</v>
      </c>
    </row>
    <row r="342" spans="3:14" s="358" customFormat="1" ht="13.5" thickBot="1" x14ac:dyDescent="0.25">
      <c r="C342" s="37"/>
      <c r="D342" s="98"/>
      <c r="E342" s="1658" t="str">
        <f>'Saisie données stocks'!F44</f>
        <v>AZT</v>
      </c>
      <c r="F342" s="1659" t="str">
        <f>'Saisie données stocks'!G44</f>
        <v>Cp</v>
      </c>
      <c r="G342" s="1662" t="str">
        <f>'Saisie données stocks'!H44</f>
        <v>60 mg</v>
      </c>
      <c r="H342" s="89" t="str">
        <f>'Saisie données stocks'!I44</f>
        <v>Zidovudine</v>
      </c>
      <c r="I342" s="39">
        <f>'Saisie données stocks'!J44</f>
        <v>0</v>
      </c>
      <c r="J342" s="38">
        <f>'Saisie données stocks'!K44</f>
        <v>0</v>
      </c>
      <c r="K342" s="114">
        <f>'Saisie données stocks'!L44</f>
        <v>60</v>
      </c>
      <c r="L342" s="337">
        <f>'Saisie données conso'!L41</f>
        <v>0</v>
      </c>
      <c r="M342" s="554">
        <f>'Saisie données conso'!M41</f>
        <v>0</v>
      </c>
      <c r="N342" s="1650">
        <f t="shared" si="45"/>
        <v>0</v>
      </c>
    </row>
    <row r="343" spans="3:14" s="358" customFormat="1" ht="13.5" thickBot="1" x14ac:dyDescent="0.25">
      <c r="C343" s="37"/>
      <c r="D343" s="98"/>
      <c r="E343" s="1669" t="str">
        <f>'Saisie données stocks'!F45</f>
        <v>D4T</v>
      </c>
      <c r="F343" s="1670" t="str">
        <f>'Saisie données stocks'!G45</f>
        <v>Cp</v>
      </c>
      <c r="G343" s="1671" t="str">
        <f>'Saisie données stocks'!H45</f>
        <v>30 mg</v>
      </c>
      <c r="H343" s="377" t="str">
        <f>'Saisie données stocks'!I45</f>
        <v>Stavudine</v>
      </c>
      <c r="I343" s="378" t="str">
        <f>'Saisie données stocks'!J45</f>
        <v>ZERIT</v>
      </c>
      <c r="J343" s="379" t="str">
        <f>'Saisie données stocks'!K45</f>
        <v>STAVIR</v>
      </c>
      <c r="K343" s="114">
        <f>'Saisie données stocks'!L45</f>
        <v>60</v>
      </c>
      <c r="L343" s="337">
        <f>'Saisie données conso'!L42</f>
        <v>0</v>
      </c>
      <c r="M343" s="554">
        <f>'Saisie données conso'!M42</f>
        <v>0</v>
      </c>
      <c r="N343" s="341">
        <f t="shared" si="45"/>
        <v>0</v>
      </c>
    </row>
    <row r="344" spans="3:14" s="358" customFormat="1" ht="13.5" thickBot="1" x14ac:dyDescent="0.25">
      <c r="C344" s="37"/>
      <c r="D344" s="98"/>
      <c r="E344" s="1658" t="str">
        <f>'Saisie données stocks'!F46</f>
        <v>3TC</v>
      </c>
      <c r="F344" s="1659" t="str">
        <f>'Saisie données stocks'!G46</f>
        <v>Cp</v>
      </c>
      <c r="G344" s="1661" t="str">
        <f>'Saisie données stocks'!H46</f>
        <v>150 mg</v>
      </c>
      <c r="H344" s="89" t="str">
        <f>'Saisie données stocks'!I46</f>
        <v>Lamivudine</v>
      </c>
      <c r="I344" s="39" t="str">
        <f>'Saisie données stocks'!J46</f>
        <v>EPIVIR</v>
      </c>
      <c r="J344" s="38" t="str">
        <f>'Saisie données stocks'!K46</f>
        <v>LAMIVIR</v>
      </c>
      <c r="K344" s="114">
        <f>'Saisie données stocks'!L46</f>
        <v>60</v>
      </c>
      <c r="L344" s="337">
        <f>'Saisie données conso'!L43</f>
        <v>0</v>
      </c>
      <c r="M344" s="554">
        <f>'Saisie données conso'!M43</f>
        <v>0</v>
      </c>
      <c r="N344" s="341">
        <f t="shared" si="45"/>
        <v>0</v>
      </c>
    </row>
    <row r="345" spans="3:14" s="358" customFormat="1" ht="13.5" thickBot="1" x14ac:dyDescent="0.25">
      <c r="C345" s="37"/>
      <c r="D345" s="98"/>
      <c r="E345" s="1658" t="str">
        <f>'Saisie données stocks'!F47</f>
        <v>3TC</v>
      </c>
      <c r="F345" s="1659" t="str">
        <f>'Saisie données stocks'!G47</f>
        <v>Cp</v>
      </c>
      <c r="G345" s="1662" t="str">
        <f>'Saisie données stocks'!H47</f>
        <v>30 mg</v>
      </c>
      <c r="H345" s="89" t="str">
        <f>'Saisie données stocks'!I47</f>
        <v>Lamivudine</v>
      </c>
      <c r="I345" s="39">
        <f>'Saisie données stocks'!J47</f>
        <v>0</v>
      </c>
      <c r="J345" s="38">
        <f>'Saisie données stocks'!K47</f>
        <v>0</v>
      </c>
      <c r="K345" s="114">
        <f>'Saisie données stocks'!L47</f>
        <v>60</v>
      </c>
      <c r="L345" s="337">
        <f>'Saisie données conso'!L44</f>
        <v>0</v>
      </c>
      <c r="M345" s="554">
        <f>'Saisie données conso'!M44</f>
        <v>0</v>
      </c>
      <c r="N345" s="1650">
        <f t="shared" si="45"/>
        <v>0</v>
      </c>
    </row>
    <row r="346" spans="3:14" s="358" customFormat="1" ht="39" thickBot="1" x14ac:dyDescent="0.25">
      <c r="C346" s="37"/>
      <c r="D346" s="98"/>
      <c r="E346" s="1660" t="str">
        <f>'Saisie données stocks'!F48</f>
        <v>DDI</v>
      </c>
      <c r="F346" s="1661" t="str">
        <f>'Saisie données stocks'!G48</f>
        <v>Cp</v>
      </c>
      <c r="G346" s="1661" t="str">
        <f>'Saisie données stocks'!H48</f>
        <v>250 mg</v>
      </c>
      <c r="H346" s="1207" t="str">
        <f>'Saisie données stocks'!I48</f>
        <v>Didanosine</v>
      </c>
      <c r="I346" s="41" t="str">
        <f>'Saisie données stocks'!J48</f>
        <v>VIDEX</v>
      </c>
      <c r="J346" s="40" t="str">
        <f>'Saisie données stocks'!K48</f>
        <v>DINEX, DIVIR, DINOSIN, VIROSINE</v>
      </c>
      <c r="K346" s="115">
        <f>'Saisie données stocks'!L48</f>
        <v>30</v>
      </c>
      <c r="L346" s="337">
        <f>'Saisie données conso'!L45</f>
        <v>0</v>
      </c>
      <c r="M346" s="554">
        <f>'Saisie données conso'!M45</f>
        <v>0</v>
      </c>
      <c r="N346" s="341">
        <f t="shared" si="45"/>
        <v>0</v>
      </c>
    </row>
    <row r="347" spans="3:14" s="358" customFormat="1" ht="39" thickBot="1" x14ac:dyDescent="0.25">
      <c r="C347" s="37"/>
      <c r="D347" s="98"/>
      <c r="E347" s="1660" t="str">
        <f>'Saisie données stocks'!F49</f>
        <v>DDI</v>
      </c>
      <c r="F347" s="1661" t="str">
        <f>'Saisie données stocks'!G49</f>
        <v>Cp</v>
      </c>
      <c r="G347" s="1666" t="str">
        <f>'Saisie données stocks'!H49</f>
        <v>400 mg</v>
      </c>
      <c r="H347" s="1637" t="str">
        <f>'Saisie données stocks'!I49</f>
        <v>Didanosine</v>
      </c>
      <c r="I347" s="41" t="str">
        <f>'Saisie données stocks'!J49</f>
        <v>VIDEX</v>
      </c>
      <c r="J347" s="40" t="str">
        <f>'Saisie données stocks'!K49</f>
        <v>DINEX, DIVIR, DINOSIN, VIROSINE</v>
      </c>
      <c r="K347" s="117">
        <f>'Saisie données stocks'!L49</f>
        <v>30</v>
      </c>
      <c r="L347" s="337">
        <f>'Saisie données conso'!L46</f>
        <v>2</v>
      </c>
      <c r="M347" s="554">
        <f>'Saisie données conso'!M46</f>
        <v>0</v>
      </c>
      <c r="N347" s="341">
        <f t="shared" si="45"/>
        <v>0</v>
      </c>
    </row>
    <row r="348" spans="3:14" s="358" customFormat="1" ht="13.5" thickBot="1" x14ac:dyDescent="0.25">
      <c r="C348" s="100"/>
      <c r="D348" s="101"/>
      <c r="E348" s="1663" t="str">
        <f>'Saisie données stocks'!F50</f>
        <v>TDF</v>
      </c>
      <c r="F348" s="1664" t="str">
        <f>'Saisie données stocks'!G50</f>
        <v>Cp</v>
      </c>
      <c r="G348" s="1664" t="str">
        <f>'Saisie données stocks'!H50</f>
        <v>300 mg</v>
      </c>
      <c r="H348" s="1643" t="str">
        <f>'Saisie données stocks'!I50</f>
        <v>Tenofovir</v>
      </c>
      <c r="I348" s="109" t="str">
        <f>'Saisie données stocks'!J50</f>
        <v>VIREAD</v>
      </c>
      <c r="J348" s="105">
        <f>'Saisie données stocks'!K50</f>
        <v>0</v>
      </c>
      <c r="K348" s="116">
        <f>'Saisie données stocks'!L50</f>
        <v>30</v>
      </c>
      <c r="L348" s="337">
        <f>'Saisie données conso'!L47</f>
        <v>0</v>
      </c>
      <c r="M348" s="554">
        <f>'Saisie données conso'!M47</f>
        <v>0</v>
      </c>
      <c r="N348" s="341">
        <f t="shared" si="45"/>
        <v>0</v>
      </c>
    </row>
    <row r="349" spans="3:14" s="358" customFormat="1" ht="26.25" thickBot="1" x14ac:dyDescent="0.25">
      <c r="C349" s="37"/>
      <c r="D349" s="98" t="str">
        <f>'Saisie données stocks'!$E$51</f>
        <v>IP</v>
      </c>
      <c r="E349" s="1658" t="str">
        <f>'Saisie données stocks'!F51</f>
        <v>LPV/r</v>
      </c>
      <c r="F349" s="1659" t="str">
        <f>'Saisie données stocks'!G51</f>
        <v>Cp</v>
      </c>
      <c r="G349" s="1659" t="str">
        <f>'Saisie données stocks'!H51</f>
        <v>200/50 mg</v>
      </c>
      <c r="H349" s="89" t="str">
        <f>'Saisie données stocks'!I51</f>
        <v>Lopinavir/ Ritonavir</v>
      </c>
      <c r="I349" s="39" t="str">
        <f>'Saisie données stocks'!J51</f>
        <v>KALETRA, ALUVIA</v>
      </c>
      <c r="J349" s="38" t="str">
        <f>'Saisie données stocks'!K51</f>
        <v>RITOCOM</v>
      </c>
      <c r="K349" s="114">
        <f>'Saisie données stocks'!L51</f>
        <v>120</v>
      </c>
      <c r="L349" s="337">
        <f>'Saisie données conso'!L48</f>
        <v>106</v>
      </c>
      <c r="M349" s="554">
        <f>'Saisie données conso'!M48</f>
        <v>0</v>
      </c>
      <c r="N349" s="341">
        <f t="shared" si="45"/>
        <v>0</v>
      </c>
    </row>
    <row r="350" spans="3:14" s="358" customFormat="1" ht="26.25" thickBot="1" x14ac:dyDescent="0.25">
      <c r="C350" s="37"/>
      <c r="D350" s="98"/>
      <c r="E350" s="1672" t="str">
        <f>'Saisie données stocks'!F52</f>
        <v>LPV/r</v>
      </c>
      <c r="F350" s="1673" t="str">
        <f>'Saisie données stocks'!G52</f>
        <v>Cp coblister</v>
      </c>
      <c r="G350" s="1673" t="str">
        <f>'Saisie données stocks'!H52</f>
        <v>100/25 mg</v>
      </c>
      <c r="H350" s="1210" t="str">
        <f>'Saisie données stocks'!I52</f>
        <v>Lopinavir/ Ritonavir</v>
      </c>
      <c r="I350" s="1211" t="str">
        <f>'Saisie données stocks'!J52</f>
        <v>KALETRA, ALUVIA</v>
      </c>
      <c r="J350" s="1212">
        <f>'Saisie données stocks'!K52</f>
        <v>0</v>
      </c>
      <c r="K350" s="537">
        <f>'Saisie données stocks'!L52</f>
        <v>60</v>
      </c>
      <c r="L350" s="337">
        <f>'Saisie données conso'!L49</f>
        <v>18</v>
      </c>
      <c r="M350" s="554">
        <f>'Saisie données conso'!M49</f>
        <v>0</v>
      </c>
      <c r="N350" s="341">
        <f t="shared" si="45"/>
        <v>0</v>
      </c>
    </row>
    <row r="351" spans="3:14" s="358" customFormat="1" ht="26.25" thickBot="1" x14ac:dyDescent="0.25">
      <c r="C351" s="37"/>
      <c r="D351" s="92"/>
      <c r="E351" s="1674" t="str">
        <f>'Saisie données stocks'!F53</f>
        <v>ATV/r</v>
      </c>
      <c r="F351" s="1675" t="str">
        <f>'Saisie données stocks'!G53</f>
        <v>Cp</v>
      </c>
      <c r="G351" s="1676" t="str">
        <f>'Saisie données stocks'!H53</f>
        <v>300/100 mg</v>
      </c>
      <c r="H351" s="1625" t="str">
        <f>'Saisie données stocks'!I53</f>
        <v>Atazanavir/ Ritonavir</v>
      </c>
      <c r="I351" s="510">
        <f>'Saisie données stocks'!J53</f>
        <v>0</v>
      </c>
      <c r="J351" s="511">
        <f>'Saisie données stocks'!K53</f>
        <v>0</v>
      </c>
      <c r="K351" s="512">
        <f>'Saisie données stocks'!L53</f>
        <v>30</v>
      </c>
      <c r="L351" s="337">
        <f>'Saisie données conso'!L50</f>
        <v>0</v>
      </c>
      <c r="M351" s="554">
        <f>'Saisie données conso'!M50</f>
        <v>0</v>
      </c>
      <c r="N351" s="341">
        <f t="shared" si="45"/>
        <v>0</v>
      </c>
    </row>
    <row r="352" spans="3:14" s="358" customFormat="1" ht="26.25" thickBot="1" x14ac:dyDescent="0.25">
      <c r="C352" s="37"/>
      <c r="D352" s="92"/>
      <c r="E352" s="1677" t="str">
        <f>'Saisie données stocks'!F54</f>
        <v>FPV</v>
      </c>
      <c r="F352" s="1678" t="str">
        <f>'Saisie données stocks'!G54</f>
        <v>Cp</v>
      </c>
      <c r="G352" s="1678" t="str">
        <f>'Saisie données stocks'!H54</f>
        <v>700 mg</v>
      </c>
      <c r="H352" s="1625" t="str">
        <f>'Saisie données stocks'!I54</f>
        <v>Fosamprenavir</v>
      </c>
      <c r="I352" s="1626" t="str">
        <f>'Saisie données stocks'!J54</f>
        <v>TELZIR</v>
      </c>
      <c r="J352" s="1627">
        <f>'Saisie données stocks'!K54</f>
        <v>0</v>
      </c>
      <c r="K352" s="1388">
        <f>'Saisie données stocks'!L54</f>
        <v>60</v>
      </c>
      <c r="L352" s="337">
        <f>'Saisie données conso'!L51</f>
        <v>0</v>
      </c>
      <c r="M352" s="554">
        <f>'Saisie données conso'!M51</f>
        <v>0</v>
      </c>
      <c r="N352" s="1650">
        <f t="shared" si="45"/>
        <v>0</v>
      </c>
    </row>
    <row r="353" spans="3:14" s="358" customFormat="1" ht="13.5" thickBot="1" x14ac:dyDescent="0.25">
      <c r="C353" s="37"/>
      <c r="D353" s="92"/>
      <c r="E353" s="1665" t="str">
        <f>'Saisie données stocks'!F55</f>
        <v>IDV</v>
      </c>
      <c r="F353" s="1666" t="str">
        <f>'Saisie données stocks'!G55</f>
        <v>Gel</v>
      </c>
      <c r="G353" s="1666" t="str">
        <f>'Saisie données stocks'!H55</f>
        <v>400 mg</v>
      </c>
      <c r="H353" s="1637" t="str">
        <f>'Saisie données stocks'!I55</f>
        <v>Indinavir</v>
      </c>
      <c r="I353" s="95" t="str">
        <f>'Saisie données stocks'!J55</f>
        <v>CRIXIVAN</v>
      </c>
      <c r="J353" s="96">
        <f>'Saisie données stocks'!K55</f>
        <v>0</v>
      </c>
      <c r="K353" s="117">
        <f>'Saisie données stocks'!L55</f>
        <v>180</v>
      </c>
      <c r="L353" s="337">
        <f>'Saisie données conso'!L52</f>
        <v>0</v>
      </c>
      <c r="M353" s="554">
        <f>'Saisie données conso'!M52</f>
        <v>0</v>
      </c>
      <c r="N353" s="341">
        <f t="shared" si="45"/>
        <v>0</v>
      </c>
    </row>
    <row r="354" spans="3:14" s="358" customFormat="1" ht="13.5" thickBot="1" x14ac:dyDescent="0.25">
      <c r="C354" s="37"/>
      <c r="D354" s="92"/>
      <c r="E354" s="1665" t="str">
        <f>'Saisie données stocks'!F56</f>
        <v>DRV</v>
      </c>
      <c r="F354" s="1666" t="str">
        <f>'Saisie données stocks'!G56</f>
        <v>Cp</v>
      </c>
      <c r="G354" s="1679" t="str">
        <f>'Saisie données stocks'!H56</f>
        <v>300 mg</v>
      </c>
      <c r="H354" s="1637" t="str">
        <f>'Saisie données stocks'!I56</f>
        <v>Darunavir</v>
      </c>
      <c r="I354" s="95" t="str">
        <f>'Saisie données stocks'!J56</f>
        <v>PREZISTA</v>
      </c>
      <c r="J354" s="96">
        <f>'Saisie données stocks'!K56</f>
        <v>0</v>
      </c>
      <c r="K354" s="117">
        <f>'Saisie données stocks'!L56</f>
        <v>60</v>
      </c>
      <c r="L354" s="337">
        <f>'Saisie données conso'!L53</f>
        <v>0</v>
      </c>
      <c r="M354" s="554">
        <f>'Saisie données conso'!M53</f>
        <v>0</v>
      </c>
      <c r="N354" s="341">
        <f t="shared" si="45"/>
        <v>0</v>
      </c>
    </row>
    <row r="355" spans="3:14" s="358" customFormat="1" ht="13.5" thickBot="1" x14ac:dyDescent="0.25">
      <c r="C355" s="37"/>
      <c r="D355" s="92"/>
      <c r="E355" s="1665" t="str">
        <f>'Saisie données stocks'!F57</f>
        <v>SQV</v>
      </c>
      <c r="F355" s="1666" t="str">
        <f>'Saisie données stocks'!G57</f>
        <v>Cp</v>
      </c>
      <c r="G355" s="1666" t="str">
        <f>'Saisie données stocks'!H57</f>
        <v>500 mg</v>
      </c>
      <c r="H355" s="1637" t="str">
        <f>'Saisie données stocks'!I57</f>
        <v>Saquinavir</v>
      </c>
      <c r="I355" s="95" t="str">
        <f>'Saisie données stocks'!J57</f>
        <v>INVIRASE</v>
      </c>
      <c r="J355" s="96">
        <f>'Saisie données stocks'!K57</f>
        <v>0</v>
      </c>
      <c r="K355" s="117">
        <f>'Saisie données stocks'!L57</f>
        <v>120</v>
      </c>
      <c r="L355" s="337">
        <f>'Saisie données conso'!L54</f>
        <v>0</v>
      </c>
      <c r="M355" s="554">
        <f>'Saisie données conso'!M54</f>
        <v>0</v>
      </c>
      <c r="N355" s="341">
        <f t="shared" si="45"/>
        <v>0</v>
      </c>
    </row>
    <row r="356" spans="3:14" s="358" customFormat="1" ht="13.5" thickBot="1" x14ac:dyDescent="0.25">
      <c r="C356" s="100"/>
      <c r="D356" s="101"/>
      <c r="E356" s="1663" t="str">
        <f>'Saisie données stocks'!F58</f>
        <v>RTV</v>
      </c>
      <c r="F356" s="1664" t="str">
        <f>'Saisie données stocks'!G58</f>
        <v>Caps</v>
      </c>
      <c r="G356" s="1664" t="str">
        <f>'Saisie données stocks'!H58</f>
        <v>100 mg</v>
      </c>
      <c r="H356" s="1643" t="str">
        <f>'Saisie données stocks'!I58</f>
        <v>Ritonavir</v>
      </c>
      <c r="I356" s="109" t="str">
        <f>'Saisie données stocks'!J58</f>
        <v>NORVIR</v>
      </c>
      <c r="J356" s="105">
        <f>'Saisie données stocks'!K58</f>
        <v>0</v>
      </c>
      <c r="K356" s="116">
        <f>'Saisie données stocks'!L58</f>
        <v>84</v>
      </c>
      <c r="L356" s="337">
        <f>'Saisie données conso'!L55</f>
        <v>0</v>
      </c>
      <c r="M356" s="554">
        <f>'Saisie données conso'!M55</f>
        <v>0</v>
      </c>
      <c r="N356" s="341">
        <f t="shared" si="45"/>
        <v>0</v>
      </c>
    </row>
    <row r="357" spans="3:14" s="358" customFormat="1" ht="13.5" thickBot="1" x14ac:dyDescent="0.25">
      <c r="C357" s="519"/>
      <c r="D357" s="520" t="str">
        <f>'Saisie données stocks'!$E$59</f>
        <v>Inh Integrase</v>
      </c>
      <c r="E357" s="513" t="str">
        <f>'Saisie données stocks'!F59</f>
        <v>RLT = RAL</v>
      </c>
      <c r="F357" s="514" t="str">
        <f>'Saisie données stocks'!G59</f>
        <v>Cp</v>
      </c>
      <c r="G357" s="514" t="str">
        <f>'Saisie données stocks'!H59</f>
        <v>400 mg</v>
      </c>
      <c r="H357" s="1644" t="str">
        <f>'Saisie données stocks'!I59</f>
        <v>Raltegravir</v>
      </c>
      <c r="I357" s="515" t="str">
        <f>'Saisie données stocks'!J59</f>
        <v>ISENTRESS</v>
      </c>
      <c r="J357" s="516">
        <f>'Saisie données stocks'!K59</f>
        <v>0</v>
      </c>
      <c r="K357" s="517">
        <f>'Saisie données stocks'!L59</f>
        <v>60</v>
      </c>
      <c r="L357" s="337">
        <f>'Saisie données conso'!L56</f>
        <v>0</v>
      </c>
      <c r="M357" s="554">
        <f>'Saisie données conso'!M56</f>
        <v>0</v>
      </c>
      <c r="N357" s="341">
        <f t="shared" si="45"/>
        <v>0</v>
      </c>
    </row>
    <row r="358" spans="3:14" s="358" customFormat="1" ht="64.5" thickBot="1" x14ac:dyDescent="0.25">
      <c r="C358" s="405"/>
      <c r="D358" s="406"/>
      <c r="E358" s="364" t="str">
        <f>'TRAD-Calculs'!B3</f>
        <v>Composition</v>
      </c>
      <c r="F358" s="365" t="str">
        <f>'TRAD-Calculs'!B22</f>
        <v>Forme galénique</v>
      </c>
      <c r="G358" s="365" t="str">
        <f>'TRAD-Calculs'!B4</f>
        <v>Dosage</v>
      </c>
      <c r="H358" s="365"/>
      <c r="I358" s="365" t="str">
        <f>'TRAD-Calculs'!B24</f>
        <v>Nom de spécialité</v>
      </c>
      <c r="J358" s="365"/>
      <c r="K358" s="365" t="str">
        <f>'TRAD-Calculs'!B37</f>
        <v>Volume conditionnement primaire (mL)</v>
      </c>
      <c r="L358" s="327" t="str">
        <f>'TRAD-Calculs'!B48</f>
        <v>Consommation ajustée baseline</v>
      </c>
      <c r="M358" s="553" t="str">
        <f>'TRAD-Calculs'!B49</f>
        <v>Taux</v>
      </c>
      <c r="N358" s="345" t="str">
        <f>'TRAD-Calculs'!B50</f>
        <v>Augmentation de consommation mensuelle</v>
      </c>
    </row>
    <row r="359" spans="3:14" s="358" customFormat="1" ht="13.5" thickBot="1" x14ac:dyDescent="0.25">
      <c r="C359" s="366" t="str">
        <f>'TRAD-Calculs'!B38</f>
        <v>Solutions buvables</v>
      </c>
      <c r="D359" s="367" t="str">
        <f>'Saisie données stocks'!$E$61</f>
        <v>INTI</v>
      </c>
      <c r="E359" s="368" t="str">
        <f>'Saisie données stocks'!F61</f>
        <v>AZT</v>
      </c>
      <c r="F359" s="369" t="str">
        <f>'Saisie données stocks'!G61</f>
        <v>Sol buv</v>
      </c>
      <c r="G359" s="369" t="str">
        <f>'Saisie données stocks'!H61</f>
        <v>10 mg/mL</v>
      </c>
      <c r="H359" s="369" t="str">
        <f>'Saisie données stocks'!I61</f>
        <v>Zidovudine</v>
      </c>
      <c r="I359" s="370" t="str">
        <f>'Saisie données stocks'!J61</f>
        <v>RETROVIR</v>
      </c>
      <c r="J359" s="370">
        <f>'Saisie données stocks'!K61</f>
        <v>0</v>
      </c>
      <c r="K359" s="113">
        <f>'Saisie données stocks'!L61</f>
        <v>240</v>
      </c>
      <c r="L359" s="337">
        <f>'Saisie données conso'!L58</f>
        <v>0</v>
      </c>
      <c r="M359" s="554">
        <f>'Saisie données conso'!M58</f>
        <v>0</v>
      </c>
      <c r="N359" s="339">
        <f>L359*M359</f>
        <v>0</v>
      </c>
    </row>
    <row r="360" spans="3:14" s="358" customFormat="1" ht="13.5" thickBot="1" x14ac:dyDescent="0.25">
      <c r="C360" s="374"/>
      <c r="D360" s="375"/>
      <c r="E360" s="376" t="str">
        <f>'Saisie données stocks'!F62</f>
        <v>D4T</v>
      </c>
      <c r="F360" s="377" t="str">
        <f>'Saisie données stocks'!G62</f>
        <v>Sol buv</v>
      </c>
      <c r="G360" s="377" t="str">
        <f>'Saisie données stocks'!H62</f>
        <v>10 mg/mL</v>
      </c>
      <c r="H360" s="377" t="str">
        <f>'Saisie données stocks'!I62</f>
        <v>Stavudine</v>
      </c>
      <c r="I360" s="378" t="str">
        <f>'Saisie données stocks'!J62</f>
        <v>ZERIT</v>
      </c>
      <c r="J360" s="378">
        <f>'Saisie données stocks'!K62</f>
        <v>0</v>
      </c>
      <c r="K360" s="114">
        <f>'Saisie données stocks'!L62</f>
        <v>240</v>
      </c>
      <c r="L360" s="337">
        <f>'Saisie données conso'!L59</f>
        <v>0</v>
      </c>
      <c r="M360" s="554">
        <f>'Saisie données conso'!M59</f>
        <v>0</v>
      </c>
      <c r="N360" s="340">
        <f t="shared" ref="N360:N366" si="46">L360*M360</f>
        <v>0</v>
      </c>
    </row>
    <row r="361" spans="3:14" s="358" customFormat="1" ht="13.5" thickBot="1" x14ac:dyDescent="0.25">
      <c r="C361" s="374"/>
      <c r="D361" s="375"/>
      <c r="E361" s="382" t="str">
        <f>'Saisie données stocks'!F63</f>
        <v>3TC</v>
      </c>
      <c r="F361" s="383" t="str">
        <f>'Saisie données stocks'!G63</f>
        <v>Sol buv</v>
      </c>
      <c r="G361" s="383" t="str">
        <f>'Saisie données stocks'!H63</f>
        <v>10 mg/mL</v>
      </c>
      <c r="H361" s="1208" t="str">
        <f>'Saisie données stocks'!I63</f>
        <v>Lamivudine</v>
      </c>
      <c r="I361" s="384" t="str">
        <f>'Saisie données stocks'!J63</f>
        <v>LAMIVIR, EPIVIR</v>
      </c>
      <c r="J361" s="384">
        <f>'Saisie données stocks'!K63</f>
        <v>0</v>
      </c>
      <c r="K361" s="115">
        <f>'Saisie données stocks'!L63</f>
        <v>240</v>
      </c>
      <c r="L361" s="337">
        <f>'Saisie données conso'!L60</f>
        <v>0</v>
      </c>
      <c r="M361" s="554">
        <f>'Saisie données conso'!M60</f>
        <v>0</v>
      </c>
      <c r="N361" s="340">
        <f t="shared" si="46"/>
        <v>0</v>
      </c>
    </row>
    <row r="362" spans="3:14" s="358" customFormat="1" ht="13.5" thickBot="1" x14ac:dyDescent="0.25">
      <c r="C362" s="374"/>
      <c r="D362" s="407"/>
      <c r="E362" s="376" t="str">
        <f>'Saisie données stocks'!F64</f>
        <v>ABC</v>
      </c>
      <c r="F362" s="377" t="str">
        <f>'Saisie données stocks'!G64</f>
        <v>Sol buv</v>
      </c>
      <c r="G362" s="377" t="str">
        <f>'Saisie données stocks'!H64</f>
        <v>20 mg/mL</v>
      </c>
      <c r="H362" s="377" t="str">
        <f>'Saisie données stocks'!I64</f>
        <v>Abacavir</v>
      </c>
      <c r="I362" s="378" t="str">
        <f>'Saisie données stocks'!J64</f>
        <v>ZIAGEN</v>
      </c>
      <c r="J362" s="378">
        <f>'Saisie données stocks'!K64</f>
        <v>0</v>
      </c>
      <c r="K362" s="114">
        <f>'Saisie données stocks'!L64</f>
        <v>240</v>
      </c>
      <c r="L362" s="337">
        <f>'Saisie données conso'!L61</f>
        <v>0</v>
      </c>
      <c r="M362" s="554">
        <f>'Saisie données conso'!M61</f>
        <v>0</v>
      </c>
      <c r="N362" s="341">
        <f t="shared" si="46"/>
        <v>0</v>
      </c>
    </row>
    <row r="363" spans="3:14" s="358" customFormat="1" ht="26.25" thickBot="1" x14ac:dyDescent="0.25">
      <c r="C363" s="374"/>
      <c r="D363" s="389"/>
      <c r="E363" s="390" t="str">
        <f>'Saisie données stocks'!F65</f>
        <v>DDI</v>
      </c>
      <c r="F363" s="391" t="str">
        <f>'Saisie données stocks'!G65</f>
        <v>Poudre buvable</v>
      </c>
      <c r="G363" s="391" t="str">
        <f>'Saisie données stocks'!H65</f>
        <v>2 g</v>
      </c>
      <c r="H363" s="1519" t="str">
        <f>'Saisie données stocks'!I65</f>
        <v>Didanosine</v>
      </c>
      <c r="I363" s="401" t="str">
        <f>'Saisie données stocks'!J65</f>
        <v>VIDEX</v>
      </c>
      <c r="J363" s="401">
        <f>'Saisie données stocks'!K65</f>
        <v>0</v>
      </c>
      <c r="K363" s="116">
        <f>'Saisie données stocks'!L65</f>
        <v>200</v>
      </c>
      <c r="L363" s="337">
        <f>'Saisie données conso'!L62</f>
        <v>0</v>
      </c>
      <c r="M363" s="554">
        <f>'Saisie données conso'!M62</f>
        <v>0</v>
      </c>
      <c r="N363" s="341">
        <f t="shared" si="46"/>
        <v>0</v>
      </c>
    </row>
    <row r="364" spans="3:14" s="358" customFormat="1" ht="13.5" thickBot="1" x14ac:dyDescent="0.25">
      <c r="C364" s="374"/>
      <c r="D364" s="375" t="str">
        <f>'Saisie données stocks'!$E$66</f>
        <v>INNTI</v>
      </c>
      <c r="E364" s="376" t="str">
        <f>'Saisie données stocks'!F66</f>
        <v>NVP</v>
      </c>
      <c r="F364" s="377" t="str">
        <f>'Saisie données stocks'!G66</f>
        <v>Sol buv</v>
      </c>
      <c r="G364" s="377" t="str">
        <f>'Saisie données stocks'!H66</f>
        <v>10 mg/mL</v>
      </c>
      <c r="H364" s="377" t="str">
        <f>'Saisie données stocks'!I66</f>
        <v>Nevirapine</v>
      </c>
      <c r="I364" s="378" t="str">
        <f>'Saisie données stocks'!J66</f>
        <v>VIRAMUNE</v>
      </c>
      <c r="J364" s="378">
        <f>'Saisie données stocks'!K66</f>
        <v>0</v>
      </c>
      <c r="K364" s="114">
        <f>'Saisie données stocks'!L66</f>
        <v>240</v>
      </c>
      <c r="L364" s="337">
        <f>'Saisie données conso'!L63</f>
        <v>830</v>
      </c>
      <c r="M364" s="554">
        <f>'Saisie données conso'!M63</f>
        <v>0</v>
      </c>
      <c r="N364" s="341">
        <f>L364*M364</f>
        <v>0</v>
      </c>
    </row>
    <row r="365" spans="3:14" s="358" customFormat="1" ht="13.5" thickBot="1" x14ac:dyDescent="0.25">
      <c r="C365" s="374"/>
      <c r="D365" s="389"/>
      <c r="E365" s="390" t="str">
        <f>'Saisie données stocks'!F67</f>
        <v>EFV</v>
      </c>
      <c r="F365" s="391" t="str">
        <f>'Saisie données stocks'!G67</f>
        <v>Sol buv</v>
      </c>
      <c r="G365" s="391" t="str">
        <f>'Saisie données stocks'!H67</f>
        <v>30 mg/mL</v>
      </c>
      <c r="H365" s="1519" t="str">
        <f>'Saisie données stocks'!I67</f>
        <v>Efavirenz</v>
      </c>
      <c r="I365" s="401" t="str">
        <f>'Saisie données stocks'!J67</f>
        <v>SUSTIVA, STOCRIN</v>
      </c>
      <c r="J365" s="401">
        <f>'Saisie données stocks'!K67</f>
        <v>0</v>
      </c>
      <c r="K365" s="116">
        <f>'Saisie données stocks'!L67</f>
        <v>180</v>
      </c>
      <c r="L365" s="337">
        <f>'Saisie données conso'!L64</f>
        <v>0</v>
      </c>
      <c r="M365" s="554">
        <f>'Saisie données conso'!M64</f>
        <v>0</v>
      </c>
      <c r="N365" s="341">
        <f t="shared" si="46"/>
        <v>0</v>
      </c>
    </row>
    <row r="366" spans="3:14" s="358" customFormat="1" ht="26.25" thickBot="1" x14ac:dyDescent="0.25">
      <c r="C366" s="404"/>
      <c r="D366" s="408" t="str">
        <f>'Saisie données stocks'!$E$68</f>
        <v>IP</v>
      </c>
      <c r="E366" s="409" t="str">
        <f>'Saisie données stocks'!F68</f>
        <v>LPV/r</v>
      </c>
      <c r="F366" s="410" t="str">
        <f>'Saisie données stocks'!G68</f>
        <v>Sol buv</v>
      </c>
      <c r="G366" s="410" t="str">
        <f>'Saisie données stocks'!H68</f>
        <v>80/20 mg/mL</v>
      </c>
      <c r="H366" s="410" t="str">
        <f>'Saisie données stocks'!I68</f>
        <v>Lopinavir/Ritonavir</v>
      </c>
      <c r="I366" s="411" t="str">
        <f>'Saisie données stocks'!J68</f>
        <v>KALETRA ALUVIA</v>
      </c>
      <c r="J366" s="411">
        <f>'Saisie données stocks'!K68</f>
        <v>0</v>
      </c>
      <c r="K366" s="312">
        <f>'Saisie données stocks'!L68</f>
        <v>60</v>
      </c>
      <c r="L366" s="337">
        <f>'Saisie données conso'!L65</f>
        <v>61</v>
      </c>
      <c r="M366" s="554">
        <f>'Saisie données conso'!M65</f>
        <v>0</v>
      </c>
      <c r="N366" s="344">
        <f t="shared" si="46"/>
        <v>0</v>
      </c>
    </row>
    <row r="369" spans="1:16" s="358" customFormat="1" ht="15.75" thickBot="1" x14ac:dyDescent="0.25">
      <c r="A369" s="3257" t="str">
        <f>'TRAD-Calculs'!B91</f>
        <v>Etape 4 : EVALUATION des DISPONIBILITES - compilation des quantités en stocks et commande</v>
      </c>
      <c r="B369" s="3257"/>
      <c r="C369" s="3257"/>
      <c r="D369" s="3257"/>
      <c r="E369" s="3257"/>
      <c r="F369" s="3257"/>
      <c r="G369" s="3257"/>
      <c r="H369" s="3257"/>
      <c r="I369" s="3257"/>
      <c r="J369" s="3257"/>
      <c r="K369" s="3257"/>
      <c r="L369" s="3257"/>
      <c r="M369" s="3257"/>
      <c r="N369" s="3257"/>
      <c r="P369" s="356"/>
    </row>
    <row r="370" spans="1:16" ht="13.5" thickBot="1" x14ac:dyDescent="0.25"/>
    <row r="371" spans="1:16" s="358" customFormat="1" ht="90" thickBot="1" x14ac:dyDescent="0.25">
      <c r="C371" s="85"/>
      <c r="D371" s="120"/>
      <c r="E371" s="32" t="str">
        <f>'TRAD-Calculs'!$B$3</f>
        <v>Composition</v>
      </c>
      <c r="F371" s="33" t="str">
        <f>'TRAD-Calculs'!$B$22</f>
        <v>Forme galénique</v>
      </c>
      <c r="G371" s="33" t="str">
        <f>'TRAD-Calculs'!$B$4</f>
        <v>Dosage</v>
      </c>
      <c r="H371" s="33" t="str">
        <f>'TRAD-Calculs'!$B$23</f>
        <v>DCI</v>
      </c>
      <c r="I371" s="33" t="str">
        <f>'TRAD-Calculs'!$B$24</f>
        <v>Nom de spécialité</v>
      </c>
      <c r="J371" s="33" t="str">
        <f>'TRAD-Calculs'!$B$25</f>
        <v>Nom de générique possible</v>
      </c>
      <c r="K371" s="33" t="str">
        <f>'TRAD-Calculs'!$B$26</f>
        <v>Conditionnement</v>
      </c>
      <c r="L371" s="327" t="str">
        <f>'TRAD-Calculs'!$B$60</f>
        <v>Stock dispo central</v>
      </c>
      <c r="M371" s="327" t="str">
        <f>'TRAD-Calculs'!$B$61</f>
        <v>Stock dispo périphérie</v>
      </c>
      <c r="N371" s="327" t="str">
        <f>'TRAD-Calculs'!$B$54</f>
        <v>Commandes en cours</v>
      </c>
      <c r="O371" s="2487" t="str">
        <f>'TRAD-Calculs'!$B$51</f>
        <v>Total quantités disponibles à prendre en compte selon paramétrage</v>
      </c>
    </row>
    <row r="372" spans="1:16" s="358" customFormat="1" ht="39" thickBot="1" x14ac:dyDescent="0.25">
      <c r="C372" s="31" t="str">
        <f>'Saisie données stocks'!$D$19</f>
        <v>Comprimés</v>
      </c>
      <c r="D372" s="97" t="str">
        <f>'Saisie données stocks'!$E$19</f>
        <v>CDF</v>
      </c>
      <c r="E372" s="86" t="str">
        <f>'Saisie données stocks'!$F19</f>
        <v>AZT+3TC+NVP</v>
      </c>
      <c r="F372" s="87" t="str">
        <f>'Saisie données stocks'!$G19</f>
        <v>Cp</v>
      </c>
      <c r="G372" s="87" t="str">
        <f>'Saisie données stocks'!$H19</f>
        <v>300/150/200 mg</v>
      </c>
      <c r="H372" s="87" t="str">
        <f>'Saisie données stocks'!$I19</f>
        <v>Zidovudine+ Lamivudine+ Nevirapine</v>
      </c>
      <c r="I372" s="36">
        <f>'Saisie données stocks'!$J19</f>
        <v>0</v>
      </c>
      <c r="J372" s="35" t="str">
        <f>'Saisie données stocks'!$K19</f>
        <v>DUOVIR-N, ZIDOLAM-N</v>
      </c>
      <c r="K372" s="113">
        <f>'Saisie données stocks'!$L19</f>
        <v>60</v>
      </c>
      <c r="L372" s="337">
        <f>'Saisie données stocks'!N19</f>
        <v>62923</v>
      </c>
      <c r="M372" s="337">
        <f>IF('Saisie données stocks'!$M$76='TRAD-Calculs'!$B$98, 'Saisie données stocks'!N83, 0)</f>
        <v>8969</v>
      </c>
      <c r="N372" s="337">
        <f>'Saisie données stocks'!N140</f>
        <v>0</v>
      </c>
      <c r="O372" s="423">
        <f>L372+M372+N372</f>
        <v>71892</v>
      </c>
    </row>
    <row r="373" spans="1:16" s="358" customFormat="1" ht="51.75" thickBot="1" x14ac:dyDescent="0.25">
      <c r="C373" s="37"/>
      <c r="D373" s="98"/>
      <c r="E373" s="501" t="str">
        <f>'Saisie données stocks'!$F20</f>
        <v>AZT+3TC+NVP</v>
      </c>
      <c r="F373" s="502" t="str">
        <f>'Saisie données stocks'!$G20</f>
        <v>Cp</v>
      </c>
      <c r="G373" s="502" t="str">
        <f>'Saisie données stocks'!$H20</f>
        <v>60/30/50 mg</v>
      </c>
      <c r="H373" s="502" t="str">
        <f>'Saisie données stocks'!$I20</f>
        <v>Zidovudine+ Lamivudine+ Nevirapine</v>
      </c>
      <c r="I373" s="503">
        <f>'Saisie données stocks'!$J20</f>
        <v>0</v>
      </c>
      <c r="J373" s="504" t="str">
        <f>'Saisie données stocks'!$K20</f>
        <v>DUOVIR-N baby, ZIDOLAM-N baby</v>
      </c>
      <c r="K373" s="505">
        <f>'Saisie données stocks'!$L20</f>
        <v>60</v>
      </c>
      <c r="L373" s="337">
        <f>'Saisie données stocks'!N20</f>
        <v>1032</v>
      </c>
      <c r="M373" s="337">
        <f>IF('Saisie données stocks'!$M$76='TRAD-Calculs'!$B$98, 'Saisie données stocks'!N84, 0)</f>
        <v>490</v>
      </c>
      <c r="N373" s="337">
        <f>'Saisie données stocks'!N141</f>
        <v>0</v>
      </c>
      <c r="O373" s="423">
        <f t="shared" ref="O373:O412" si="47">L373+M373+N373</f>
        <v>1522</v>
      </c>
    </row>
    <row r="374" spans="1:16" s="358" customFormat="1" ht="39" thickBot="1" x14ac:dyDescent="0.25">
      <c r="C374" s="37"/>
      <c r="D374" s="98"/>
      <c r="E374" s="88" t="str">
        <f>'Saisie données stocks'!$F21</f>
        <v>AZT+3TC+ABC</v>
      </c>
      <c r="F374" s="89" t="str">
        <f>'Saisie données stocks'!$G21</f>
        <v>Cp</v>
      </c>
      <c r="G374" s="89" t="str">
        <f>'Saisie données stocks'!$H21</f>
        <v>300/150/300 mg</v>
      </c>
      <c r="H374" s="89" t="str">
        <f>'Saisie données stocks'!$I21</f>
        <v>Zidovudine+ Lamivudine+ Abacavir</v>
      </c>
      <c r="I374" s="39" t="str">
        <f>'Saisie données stocks'!$J21</f>
        <v>TRIZIVIR</v>
      </c>
      <c r="J374" s="38">
        <f>'Saisie données stocks'!$K21</f>
        <v>0</v>
      </c>
      <c r="K374" s="114">
        <f>'Saisie données stocks'!$L21</f>
        <v>60</v>
      </c>
      <c r="L374" s="337">
        <f>'Saisie données stocks'!N21</f>
        <v>666</v>
      </c>
      <c r="M374" s="337">
        <f>IF('Saisie données stocks'!$M$76='TRAD-Calculs'!$B$98, 'Saisie données stocks'!N85, 0)</f>
        <v>0</v>
      </c>
      <c r="N374" s="337">
        <f>'Saisie données stocks'!N142</f>
        <v>0</v>
      </c>
      <c r="O374" s="423">
        <f t="shared" si="47"/>
        <v>666</v>
      </c>
    </row>
    <row r="375" spans="1:16" s="358" customFormat="1" ht="51.75" thickBot="1" x14ac:dyDescent="0.25">
      <c r="C375" s="37"/>
      <c r="D375" s="98"/>
      <c r="E375" s="88" t="str">
        <f>'Saisie données stocks'!$F22</f>
        <v>AZT+3TC</v>
      </c>
      <c r="F375" s="89" t="str">
        <f>'Saisie données stocks'!$G22</f>
        <v>Cp</v>
      </c>
      <c r="G375" s="89" t="str">
        <f>'Saisie données stocks'!$H22</f>
        <v>300/150 mg</v>
      </c>
      <c r="H375" s="89" t="str">
        <f>'Saisie données stocks'!$I22</f>
        <v>Zidovudine+ Lamivudine</v>
      </c>
      <c r="I375" s="39" t="str">
        <f>'Saisie données stocks'!$J22</f>
        <v>COMBIVIR</v>
      </c>
      <c r="J375" s="38" t="str">
        <f>'Saisie données stocks'!$K22</f>
        <v>LAMZID, DUOVIR, ZIDOLAM, VIRACOMB</v>
      </c>
      <c r="K375" s="114">
        <f>'Saisie données stocks'!$L22</f>
        <v>60</v>
      </c>
      <c r="L375" s="337">
        <f>'Saisie données stocks'!N22</f>
        <v>11298</v>
      </c>
      <c r="M375" s="337">
        <f>IF('Saisie données stocks'!$M$76='TRAD-Calculs'!$B$98, 'Saisie données stocks'!N86, 0)</f>
        <v>1052</v>
      </c>
      <c r="N375" s="337">
        <f>'Saisie données stocks'!N143</f>
        <v>0</v>
      </c>
      <c r="O375" s="423">
        <f t="shared" si="47"/>
        <v>12350</v>
      </c>
    </row>
    <row r="376" spans="1:16" s="358" customFormat="1" ht="51.75" thickBot="1" x14ac:dyDescent="0.25">
      <c r="C376" s="37"/>
      <c r="D376" s="98"/>
      <c r="E376" s="1656" t="str">
        <f>'Saisie données stocks'!$F23</f>
        <v>AZT+3TC</v>
      </c>
      <c r="F376" s="1657" t="str">
        <f>'Saisie données stocks'!$G23</f>
        <v>Cp</v>
      </c>
      <c r="G376" s="1657" t="str">
        <f>'Saisie données stocks'!$H23</f>
        <v>60/30 mg</v>
      </c>
      <c r="H376" s="502" t="str">
        <f>'Saisie données stocks'!$I23</f>
        <v>Zidovudine+ Lamivudine</v>
      </c>
      <c r="I376" s="503">
        <f>'Saisie données stocks'!$J23</f>
        <v>0</v>
      </c>
      <c r="J376" s="504" t="str">
        <f>'Saisie données stocks'!$K23</f>
        <v>DUOVIR baby, ZIDOLAM baby</v>
      </c>
      <c r="K376" s="505">
        <f>'Saisie données stocks'!$L23</f>
        <v>60</v>
      </c>
      <c r="L376" s="337">
        <f>'Saisie données stocks'!N23</f>
        <v>743</v>
      </c>
      <c r="M376" s="337">
        <f>IF('Saisie données stocks'!$M$76='TRAD-Calculs'!$B$98, 'Saisie données stocks'!N87, 0)</f>
        <v>160</v>
      </c>
      <c r="N376" s="337">
        <f>'Saisie données stocks'!N144</f>
        <v>0</v>
      </c>
      <c r="O376" s="423">
        <f t="shared" si="47"/>
        <v>903</v>
      </c>
    </row>
    <row r="377" spans="1:16" s="358" customFormat="1" ht="26.25" thickBot="1" x14ac:dyDescent="0.25">
      <c r="C377" s="37"/>
      <c r="D377" s="98"/>
      <c r="E377" s="1656" t="str">
        <f>'Saisie données stocks'!$F24</f>
        <v>3TC+ABC</v>
      </c>
      <c r="F377" s="1657" t="str">
        <f>'Saisie données stocks'!$G24</f>
        <v>Cp</v>
      </c>
      <c r="G377" s="1657" t="str">
        <f>'Saisie données stocks'!$H24</f>
        <v>300/600 mg</v>
      </c>
      <c r="H377" s="502" t="str">
        <f>'Saisie données stocks'!$I24</f>
        <v>Lamivudine+ Abacavir</v>
      </c>
      <c r="I377" s="503">
        <f>'Saisie données stocks'!$J24</f>
        <v>0</v>
      </c>
      <c r="J377" s="504" t="str">
        <f>'Saisie données stocks'!$K24</f>
        <v>KIVEXA</v>
      </c>
      <c r="K377" s="505">
        <f>'Saisie données stocks'!$L24</f>
        <v>30</v>
      </c>
      <c r="L377" s="337">
        <f>'Saisie données stocks'!N24</f>
        <v>147</v>
      </c>
      <c r="M377" s="337">
        <f>IF('Saisie données stocks'!$M$76='TRAD-Calculs'!$B$98, 'Saisie données stocks'!N88, 0)</f>
        <v>40</v>
      </c>
      <c r="N377" s="337">
        <f>'Saisie données stocks'!N145</f>
        <v>305</v>
      </c>
      <c r="O377" s="423">
        <f t="shared" si="47"/>
        <v>492</v>
      </c>
    </row>
    <row r="378" spans="1:16" s="358" customFormat="1" ht="26.25" thickBot="1" x14ac:dyDescent="0.25">
      <c r="C378" s="37"/>
      <c r="D378" s="98"/>
      <c r="E378" s="1656" t="str">
        <f>'Saisie données stocks'!$F25</f>
        <v>3TC+ABC</v>
      </c>
      <c r="F378" s="1657" t="str">
        <f>'Saisie données stocks'!$G25</f>
        <v>Cp</v>
      </c>
      <c r="G378" s="1657" t="str">
        <f>'Saisie données stocks'!$H25</f>
        <v>30/60 mg</v>
      </c>
      <c r="H378" s="502" t="str">
        <f>'Saisie données stocks'!$I25</f>
        <v>Lamivudine+ Abacavir</v>
      </c>
      <c r="I378" s="503">
        <f>'Saisie données stocks'!$J25</f>
        <v>0</v>
      </c>
      <c r="J378" s="504">
        <f>'Saisie données stocks'!$K25</f>
        <v>0</v>
      </c>
      <c r="K378" s="505">
        <f>'Saisie données stocks'!$L25</f>
        <v>60</v>
      </c>
      <c r="L378" s="337">
        <f>'Saisie données stocks'!N25</f>
        <v>231</v>
      </c>
      <c r="M378" s="337">
        <f>IF('Saisie données stocks'!$M$76='TRAD-Calculs'!$B$98, 'Saisie données stocks'!N89, 0)</f>
        <v>0</v>
      </c>
      <c r="N378" s="337">
        <f>'Saisie données stocks'!N146</f>
        <v>0</v>
      </c>
      <c r="O378" s="423">
        <f t="shared" si="47"/>
        <v>231</v>
      </c>
    </row>
    <row r="379" spans="1:16" s="358" customFormat="1" ht="39" thickBot="1" x14ac:dyDescent="0.25">
      <c r="C379" s="37"/>
      <c r="D379" s="98"/>
      <c r="E379" s="1660" t="str">
        <f>'Saisie données stocks'!$F26</f>
        <v>D4T+3TC+NVP</v>
      </c>
      <c r="F379" s="1661" t="str">
        <f>'Saisie données stocks'!$G26</f>
        <v>Cp</v>
      </c>
      <c r="G379" s="1661" t="str">
        <f>'Saisie données stocks'!$H26</f>
        <v>30/150/200 mg</v>
      </c>
      <c r="H379" s="1207" t="str">
        <f>'Saisie données stocks'!$I26</f>
        <v>Stavudine+ Lamivudine+ Nevirapine</v>
      </c>
      <c r="I379" s="41">
        <f>'Saisie données stocks'!$J26</f>
        <v>0</v>
      </c>
      <c r="J379" s="40" t="str">
        <f>'Saisie données stocks'!$K26</f>
        <v>TRIOMUNE</v>
      </c>
      <c r="K379" s="115">
        <f>'Saisie données stocks'!$L26</f>
        <v>60</v>
      </c>
      <c r="L379" s="337">
        <f>'Saisie données stocks'!N26</f>
        <v>0</v>
      </c>
      <c r="M379" s="337">
        <f>IF('Saisie données stocks'!$M$76='TRAD-Calculs'!$B$98, 'Saisie données stocks'!N90, 0)</f>
        <v>0</v>
      </c>
      <c r="N379" s="337">
        <f>'Saisie données stocks'!N147</f>
        <v>0</v>
      </c>
      <c r="O379" s="423">
        <f t="shared" si="47"/>
        <v>0</v>
      </c>
    </row>
    <row r="380" spans="1:16" s="358" customFormat="1" ht="39" thickBot="1" x14ac:dyDescent="0.25">
      <c r="C380" s="37"/>
      <c r="D380" s="98"/>
      <c r="E380" s="1660" t="str">
        <f>'Saisie données stocks'!$F27</f>
        <v>D4T+3TC+NVP</v>
      </c>
      <c r="F380" s="1661" t="str">
        <f>'Saisie données stocks'!$G27</f>
        <v>Cp</v>
      </c>
      <c r="G380" s="1661" t="str">
        <f>'Saisie données stocks'!$H27</f>
        <v>6/30/50 mg</v>
      </c>
      <c r="H380" s="1207" t="str">
        <f>'Saisie données stocks'!$I27</f>
        <v>Stavudine+ Lamivudine+ Nevirapine</v>
      </c>
      <c r="I380" s="40">
        <f>'Saisie données stocks'!$J27</f>
        <v>0</v>
      </c>
      <c r="J380" s="40" t="str">
        <f>'Saisie données stocks'!$K27</f>
        <v>TRIOMUNE baby</v>
      </c>
      <c r="K380" s="115">
        <f>'Saisie données stocks'!$L27</f>
        <v>60</v>
      </c>
      <c r="L380" s="337">
        <f>'Saisie données stocks'!N27</f>
        <v>91</v>
      </c>
      <c r="M380" s="337">
        <f>IF('Saisie données stocks'!$M$76='TRAD-Calculs'!$B$98, 'Saisie données stocks'!N91, 0)</f>
        <v>30</v>
      </c>
      <c r="N380" s="337">
        <f>'Saisie données stocks'!N148</f>
        <v>0</v>
      </c>
      <c r="O380" s="423">
        <f t="shared" si="47"/>
        <v>121</v>
      </c>
    </row>
    <row r="381" spans="1:16" s="358" customFormat="1" ht="26.25" thickBot="1" x14ac:dyDescent="0.25">
      <c r="C381" s="37"/>
      <c r="D381" s="98"/>
      <c r="E381" s="1660" t="str">
        <f>'Saisie données stocks'!$F28</f>
        <v>D4T+3TC</v>
      </c>
      <c r="F381" s="1661" t="str">
        <f>'Saisie données stocks'!$G28</f>
        <v>Cp</v>
      </c>
      <c r="G381" s="1661" t="str">
        <f>'Saisie données stocks'!$H28</f>
        <v>30/150 mg</v>
      </c>
      <c r="H381" s="89" t="str">
        <f>'Saisie données stocks'!$I28</f>
        <v>Stavudine+ Lamivudine</v>
      </c>
      <c r="I381" s="38">
        <f>'Saisie données stocks'!$J28</f>
        <v>0</v>
      </c>
      <c r="J381" s="40" t="str">
        <f>'Saisie données stocks'!$K28</f>
        <v>COVIRO, LAMIVIR-S</v>
      </c>
      <c r="K381" s="115">
        <f>'Saisie données stocks'!$L28</f>
        <v>60</v>
      </c>
      <c r="L381" s="337">
        <f>'Saisie données stocks'!N28</f>
        <v>2</v>
      </c>
      <c r="M381" s="337">
        <f>IF('Saisie données stocks'!$M$76='TRAD-Calculs'!$B$98, 'Saisie données stocks'!N92, 0)</f>
        <v>14</v>
      </c>
      <c r="N381" s="337">
        <f>'Saisie données stocks'!N149</f>
        <v>0</v>
      </c>
      <c r="O381" s="423">
        <f t="shared" si="47"/>
        <v>16</v>
      </c>
    </row>
    <row r="382" spans="1:16" s="358" customFormat="1" ht="39" thickBot="1" x14ac:dyDescent="0.25">
      <c r="C382" s="37"/>
      <c r="D382" s="98"/>
      <c r="E382" s="1660" t="str">
        <f>'Saisie données stocks'!$F29</f>
        <v>TDF+FTC+EFV</v>
      </c>
      <c r="F382" s="1661" t="str">
        <f>'Saisie données stocks'!$G29</f>
        <v>Cp</v>
      </c>
      <c r="G382" s="1661" t="str">
        <f>'Saisie données stocks'!$H29</f>
        <v>300/200/600 mg</v>
      </c>
      <c r="H382" s="89" t="str">
        <f>'Saisie données stocks'!$I29</f>
        <v>Tenofovir+ Emtricitabine+ Efavirenz</v>
      </c>
      <c r="I382" s="38" t="str">
        <f>'Saisie données stocks'!$J29</f>
        <v>ATRIPLA</v>
      </c>
      <c r="J382" s="40">
        <f>'Saisie données stocks'!$K29</f>
        <v>0</v>
      </c>
      <c r="K382" s="115">
        <f>'Saisie données stocks'!$L29</f>
        <v>30</v>
      </c>
      <c r="L382" s="337">
        <f>'Saisie données stocks'!N29</f>
        <v>0</v>
      </c>
      <c r="M382" s="337">
        <f>IF('Saisie données stocks'!$M$76='TRAD-Calculs'!$B$98, 'Saisie données stocks'!N93, 0)</f>
        <v>0</v>
      </c>
      <c r="N382" s="337">
        <f>'Saisie données stocks'!N150</f>
        <v>0</v>
      </c>
      <c r="O382" s="423">
        <f t="shared" si="47"/>
        <v>0</v>
      </c>
    </row>
    <row r="383" spans="1:16" s="358" customFormat="1" ht="26.25" thickBot="1" x14ac:dyDescent="0.25">
      <c r="C383" s="37"/>
      <c r="D383" s="98"/>
      <c r="E383" s="1660" t="str">
        <f>'Saisie données stocks'!$F30</f>
        <v>TDF+FTC</v>
      </c>
      <c r="F383" s="1661" t="str">
        <f>'Saisie données stocks'!$G30</f>
        <v>Cp</v>
      </c>
      <c r="G383" s="1661" t="str">
        <f>'Saisie données stocks'!$H30</f>
        <v>300/200 mg</v>
      </c>
      <c r="H383" s="89" t="str">
        <f>'Saisie données stocks'!$I30</f>
        <v>Tenofovir+ Emtricitabine</v>
      </c>
      <c r="I383" s="38" t="str">
        <f>'Saisie données stocks'!$J30</f>
        <v>TRUVADA</v>
      </c>
      <c r="J383" s="40">
        <f>'Saisie données stocks'!$K30</f>
        <v>0</v>
      </c>
      <c r="K383" s="115">
        <f>'Saisie données stocks'!$L30</f>
        <v>30</v>
      </c>
      <c r="L383" s="337">
        <f>'Saisie données stocks'!N30</f>
        <v>0</v>
      </c>
      <c r="M383" s="337">
        <f>IF('Saisie données stocks'!$M$76='TRAD-Calculs'!$B$98, 'Saisie données stocks'!N94, 0)</f>
        <v>0</v>
      </c>
      <c r="N383" s="337">
        <f>'Saisie données stocks'!N151</f>
        <v>0</v>
      </c>
      <c r="O383" s="423">
        <f t="shared" si="47"/>
        <v>0</v>
      </c>
    </row>
    <row r="384" spans="1:16" s="358" customFormat="1" ht="39" thickBot="1" x14ac:dyDescent="0.25">
      <c r="C384" s="37"/>
      <c r="D384" s="123"/>
      <c r="E384" s="1660" t="str">
        <f>'Saisie données stocks'!$F31</f>
        <v>TDF+3TC+EFV</v>
      </c>
      <c r="F384" s="1661" t="str">
        <f>'Saisie données stocks'!$G31</f>
        <v>Cp</v>
      </c>
      <c r="G384" s="1661" t="str">
        <f>'Saisie données stocks'!$H31</f>
        <v>300/200/600 mg</v>
      </c>
      <c r="H384" s="89" t="str">
        <f>'Saisie données stocks'!$I31</f>
        <v>Tenofovir+ Lamivudine+ Efavirenz</v>
      </c>
      <c r="I384" s="38" t="str">
        <f>'Saisie données stocks'!$J31</f>
        <v>ATRIPLA</v>
      </c>
      <c r="J384" s="40">
        <f>'Saisie données stocks'!$K31</f>
        <v>0</v>
      </c>
      <c r="K384" s="115">
        <f>'Saisie données stocks'!$L31</f>
        <v>30</v>
      </c>
      <c r="L384" s="337">
        <f>'Saisie données stocks'!N31</f>
        <v>36034</v>
      </c>
      <c r="M384" s="337">
        <f>IF('Saisie données stocks'!$M$76='TRAD-Calculs'!$B$98, 'Saisie données stocks'!N95, 0)</f>
        <v>2712</v>
      </c>
      <c r="N384" s="337">
        <f>'Saisie données stocks'!N152</f>
        <v>0</v>
      </c>
      <c r="O384" s="423">
        <f t="shared" si="47"/>
        <v>38746</v>
      </c>
    </row>
    <row r="385" spans="3:15" s="358" customFormat="1" ht="26.25" thickBot="1" x14ac:dyDescent="0.25">
      <c r="C385" s="37"/>
      <c r="D385" s="123"/>
      <c r="E385" s="1660" t="str">
        <f>'Saisie données stocks'!$F32</f>
        <v>TDF+3TC</v>
      </c>
      <c r="F385" s="1661" t="str">
        <f>'Saisie données stocks'!$G32</f>
        <v>Cp</v>
      </c>
      <c r="G385" s="1661" t="str">
        <f>'Saisie données stocks'!$H32</f>
        <v>300/200 mg</v>
      </c>
      <c r="H385" s="89" t="str">
        <f>'Saisie données stocks'!$I32</f>
        <v>Tenofovir+ Lamivudine</v>
      </c>
      <c r="I385" s="38">
        <f>'Saisie données stocks'!$J32</f>
        <v>0</v>
      </c>
      <c r="J385" s="40">
        <f>'Saisie données stocks'!$K32</f>
        <v>0</v>
      </c>
      <c r="K385" s="115">
        <f>'Saisie données stocks'!$L32</f>
        <v>30</v>
      </c>
      <c r="L385" s="337">
        <f>'Saisie données stocks'!N32</f>
        <v>505</v>
      </c>
      <c r="M385" s="337">
        <f>IF('Saisie données stocks'!$M$76='TRAD-Calculs'!$B$98, 'Saisie données stocks'!N96, 0)</f>
        <v>0</v>
      </c>
      <c r="N385" s="337">
        <f>'Saisie données stocks'!N153</f>
        <v>0</v>
      </c>
      <c r="O385" s="423">
        <f t="shared" si="47"/>
        <v>505</v>
      </c>
    </row>
    <row r="386" spans="3:15" s="358" customFormat="1" ht="51.75" thickBot="1" x14ac:dyDescent="0.25">
      <c r="C386" s="100"/>
      <c r="D386" s="101"/>
      <c r="E386" s="1663" t="str">
        <f>'Saisie données stocks'!$F33</f>
        <v>[TDF+3TC]+ATV/r</v>
      </c>
      <c r="F386" s="1664" t="str">
        <f>'Saisie données stocks'!$G33</f>
        <v>Cp coblister</v>
      </c>
      <c r="G386" s="1664" t="str">
        <f>'Saisie données stocks'!$H33</f>
        <v>[300/300]+300/100 mg</v>
      </c>
      <c r="H386" s="1640" t="str">
        <f>'Saisie données stocks'!$I33</f>
        <v>[Tenofovir+ Lamivudine]+ Atazanavir/Ritonavir</v>
      </c>
      <c r="I386" s="104">
        <f>'Saisie données stocks'!$J33</f>
        <v>0</v>
      </c>
      <c r="J386" s="105">
        <f>'Saisie données stocks'!$K33</f>
        <v>0</v>
      </c>
      <c r="K386" s="116">
        <f>'Saisie données stocks'!$L33</f>
        <v>30</v>
      </c>
      <c r="L386" s="337">
        <f>'Saisie données stocks'!N33</f>
        <v>0</v>
      </c>
      <c r="M386" s="337">
        <f>IF('Saisie données stocks'!$M$76='TRAD-Calculs'!$B$98, 'Saisie données stocks'!N97, 0)</f>
        <v>0</v>
      </c>
      <c r="N386" s="337">
        <f>'Saisie données stocks'!N154</f>
        <v>0</v>
      </c>
      <c r="O386" s="423">
        <f t="shared" si="47"/>
        <v>0</v>
      </c>
    </row>
    <row r="387" spans="3:15" s="358" customFormat="1" ht="26.25" thickBot="1" x14ac:dyDescent="0.25">
      <c r="C387" s="37"/>
      <c r="D387" s="98" t="str">
        <f>'Saisie données stocks'!$E$34</f>
        <v>INNTI</v>
      </c>
      <c r="E387" s="1658" t="str">
        <f>'Saisie données stocks'!$F34</f>
        <v>EFV</v>
      </c>
      <c r="F387" s="1659" t="str">
        <f>'Saisie données stocks'!$G34</f>
        <v>Gél</v>
      </c>
      <c r="G387" s="1659" t="str">
        <f>'Saisie données stocks'!$H34</f>
        <v>50 mg</v>
      </c>
      <c r="H387" s="89" t="str">
        <f>'Saisie données stocks'!$I34</f>
        <v>Efavirenz</v>
      </c>
      <c r="I387" s="38" t="str">
        <f>'Saisie données stocks'!$J34</f>
        <v>SUSTIVA, STOCRIN</v>
      </c>
      <c r="J387" s="38">
        <f>'Saisie données stocks'!$K34</f>
        <v>0</v>
      </c>
      <c r="K387" s="114">
        <f>'Saisie données stocks'!$L34</f>
        <v>30</v>
      </c>
      <c r="L387" s="337">
        <f>'Saisie données stocks'!N34</f>
        <v>0</v>
      </c>
      <c r="M387" s="337">
        <f>IF('Saisie données stocks'!$M$76='TRAD-Calculs'!$B$98, 'Saisie données stocks'!N98, 0)</f>
        <v>0</v>
      </c>
      <c r="N387" s="337">
        <f>'Saisie données stocks'!N155</f>
        <v>0</v>
      </c>
      <c r="O387" s="423">
        <f t="shared" si="47"/>
        <v>0</v>
      </c>
    </row>
    <row r="388" spans="3:15" s="358" customFormat="1" ht="26.25" thickBot="1" x14ac:dyDescent="0.25">
      <c r="C388" s="37"/>
      <c r="D388" s="98"/>
      <c r="E388" s="1660" t="str">
        <f>'Saisie données stocks'!$F35</f>
        <v>EFV</v>
      </c>
      <c r="F388" s="1661" t="str">
        <f>'Saisie données stocks'!$G35</f>
        <v>Gél</v>
      </c>
      <c r="G388" s="1661" t="str">
        <f>'Saisie données stocks'!$H35</f>
        <v>200 mg</v>
      </c>
      <c r="H388" s="89" t="str">
        <f>'Saisie données stocks'!$I35</f>
        <v>Efavirenz</v>
      </c>
      <c r="I388" s="38" t="str">
        <f>'Saisie données stocks'!$J35</f>
        <v>SUSTIVA, STOCRIN</v>
      </c>
      <c r="J388" s="40">
        <f>'Saisie données stocks'!$K35</f>
        <v>0</v>
      </c>
      <c r="K388" s="115">
        <f>'Saisie données stocks'!$L35</f>
        <v>90</v>
      </c>
      <c r="L388" s="337">
        <f>'Saisie données stocks'!N35</f>
        <v>2</v>
      </c>
      <c r="M388" s="337">
        <f>IF('Saisie données stocks'!$M$76='TRAD-Calculs'!$B$98, 'Saisie données stocks'!N99, 0)</f>
        <v>0</v>
      </c>
      <c r="N388" s="337">
        <f>'Saisie données stocks'!N156</f>
        <v>108</v>
      </c>
      <c r="O388" s="423">
        <f t="shared" si="47"/>
        <v>110</v>
      </c>
    </row>
    <row r="389" spans="3:15" s="358" customFormat="1" ht="26.25" thickBot="1" x14ac:dyDescent="0.25">
      <c r="C389" s="37"/>
      <c r="D389" s="98"/>
      <c r="E389" s="1665" t="str">
        <f>'Saisie données stocks'!$F36</f>
        <v>EFV</v>
      </c>
      <c r="F389" s="1666" t="str">
        <f>'Saisie données stocks'!$G36</f>
        <v>Cp</v>
      </c>
      <c r="G389" s="1666" t="str">
        <f>'Saisie données stocks'!$H36</f>
        <v>600 mg</v>
      </c>
      <c r="H389" s="1210" t="str">
        <f>'Saisie données stocks'!$I36</f>
        <v>Efavirenz</v>
      </c>
      <c r="I389" s="38" t="str">
        <f>'Saisie données stocks'!$J36</f>
        <v>SUSTIVA, STOCRIN</v>
      </c>
      <c r="J389" s="96">
        <f>'Saisie données stocks'!$K36</f>
        <v>0</v>
      </c>
      <c r="K389" s="117">
        <f>'Saisie données stocks'!$L36</f>
        <v>30</v>
      </c>
      <c r="L389" s="337">
        <f>'Saisie données stocks'!N36</f>
        <v>9356</v>
      </c>
      <c r="M389" s="337">
        <f>IF('Saisie données stocks'!$M$76='TRAD-Calculs'!$B$98, 'Saisie données stocks'!N100, 0)</f>
        <v>2210</v>
      </c>
      <c r="N389" s="337">
        <f>'Saisie données stocks'!N157</f>
        <v>0</v>
      </c>
      <c r="O389" s="423">
        <f t="shared" si="47"/>
        <v>11566</v>
      </c>
    </row>
    <row r="390" spans="3:15" s="358" customFormat="1" ht="13.5" thickBot="1" x14ac:dyDescent="0.25">
      <c r="C390" s="37"/>
      <c r="D390" s="98"/>
      <c r="E390" s="1667" t="str">
        <f>'Saisie données stocks'!$F37</f>
        <v>ETV</v>
      </c>
      <c r="F390" s="1668" t="str">
        <f>'Saisie données stocks'!$G37</f>
        <v>Cp</v>
      </c>
      <c r="G390" s="1668" t="str">
        <f>'Saisie données stocks'!$H37</f>
        <v>200 mg</v>
      </c>
      <c r="H390" s="1210" t="str">
        <f>'Saisie données stocks'!$I37</f>
        <v>Etravirine</v>
      </c>
      <c r="I390" s="1212" t="str">
        <f>'Saisie données stocks'!$J37</f>
        <v>INTELENCE</v>
      </c>
      <c r="J390" s="1638">
        <f>'Saisie données stocks'!$K37</f>
        <v>0</v>
      </c>
      <c r="K390" s="1386">
        <f>'Saisie données stocks'!$L37</f>
        <v>60</v>
      </c>
      <c r="L390" s="337">
        <f>'Saisie données stocks'!N37</f>
        <v>0</v>
      </c>
      <c r="M390" s="337">
        <f>IF('Saisie données stocks'!$M$76='TRAD-Calculs'!$B$98, 'Saisie données stocks'!N101, 0)</f>
        <v>0</v>
      </c>
      <c r="N390" s="337">
        <f>'Saisie données stocks'!N158</f>
        <v>0</v>
      </c>
      <c r="O390" s="423">
        <f t="shared" si="47"/>
        <v>0</v>
      </c>
    </row>
    <row r="391" spans="3:15" s="358" customFormat="1" ht="13.5" thickBot="1" x14ac:dyDescent="0.25">
      <c r="C391" s="37"/>
      <c r="D391" s="123"/>
      <c r="E391" s="1660" t="str">
        <f>'Saisie données stocks'!$F38</f>
        <v>NVP</v>
      </c>
      <c r="F391" s="1661" t="str">
        <f>'Saisie données stocks'!$G38</f>
        <v>Cp</v>
      </c>
      <c r="G391" s="1661" t="str">
        <f>'Saisie données stocks'!$H38</f>
        <v>200 mg</v>
      </c>
      <c r="H391" s="89" t="str">
        <f>'Saisie données stocks'!$I38</f>
        <v>Nevirapine</v>
      </c>
      <c r="I391" s="38" t="str">
        <f>'Saisie données stocks'!$J38</f>
        <v>VIRAMUNE</v>
      </c>
      <c r="J391" s="40">
        <f>'Saisie données stocks'!$K38</f>
        <v>0</v>
      </c>
      <c r="K391" s="115">
        <f>'Saisie données stocks'!$L38</f>
        <v>60</v>
      </c>
      <c r="L391" s="337">
        <f>'Saisie données stocks'!N38</f>
        <v>0</v>
      </c>
      <c r="M391" s="337">
        <f>IF('Saisie données stocks'!$M$76='TRAD-Calculs'!$B$98, 'Saisie données stocks'!N102, 0)</f>
        <v>0</v>
      </c>
      <c r="N391" s="337">
        <f>'Saisie données stocks'!N159</f>
        <v>0</v>
      </c>
      <c r="O391" s="423">
        <f t="shared" si="47"/>
        <v>0</v>
      </c>
    </row>
    <row r="392" spans="3:15" s="358" customFormat="1" ht="13.5" thickBot="1" x14ac:dyDescent="0.25">
      <c r="C392" s="100"/>
      <c r="D392" s="101"/>
      <c r="E392" s="1663" t="str">
        <f>'Saisie données stocks'!$F39</f>
        <v>RPV</v>
      </c>
      <c r="F392" s="1664" t="str">
        <f>'Saisie données stocks'!$G39</f>
        <v>Cp</v>
      </c>
      <c r="G392" s="1664" t="str">
        <f>'Saisie données stocks'!$H39</f>
        <v>25 mg</v>
      </c>
      <c r="H392" s="1640" t="str">
        <f>'Saisie données stocks'!$I39</f>
        <v>Rilpivirine</v>
      </c>
      <c r="I392" s="104" t="str">
        <f>'Saisie données stocks'!$J39</f>
        <v>EDURANT</v>
      </c>
      <c r="J392" s="105">
        <f>'Saisie données stocks'!$K39</f>
        <v>0</v>
      </c>
      <c r="K392" s="116">
        <f>'Saisie données stocks'!$L39</f>
        <v>30</v>
      </c>
      <c r="L392" s="337">
        <f>'Saisie données stocks'!N39</f>
        <v>0</v>
      </c>
      <c r="M392" s="337">
        <f>IF('Saisie données stocks'!$M$76='TRAD-Calculs'!$B$98, 'Saisie données stocks'!N103, 0)</f>
        <v>0</v>
      </c>
      <c r="N392" s="337">
        <f>'Saisie données stocks'!N160</f>
        <v>0</v>
      </c>
      <c r="O392" s="423">
        <f t="shared" si="47"/>
        <v>0</v>
      </c>
    </row>
    <row r="393" spans="3:15" s="358" customFormat="1" ht="26.25" thickBot="1" x14ac:dyDescent="0.25">
      <c r="C393" s="37"/>
      <c r="D393" s="123" t="str">
        <f>'Saisie données stocks'!$E$40</f>
        <v>INTI</v>
      </c>
      <c r="E393" s="1660" t="str">
        <f>'Saisie données stocks'!$F40</f>
        <v>ABC</v>
      </c>
      <c r="F393" s="1661" t="str">
        <f>'Saisie données stocks'!$G40</f>
        <v>Cp</v>
      </c>
      <c r="G393" s="1661" t="str">
        <f>'Saisie données stocks'!$H40</f>
        <v>300 mg</v>
      </c>
      <c r="H393" s="89" t="str">
        <f>'Saisie données stocks'!$I40</f>
        <v>Abacavir</v>
      </c>
      <c r="I393" s="38" t="str">
        <f>'Saisie données stocks'!$J40</f>
        <v>ZIAGEN</v>
      </c>
      <c r="J393" s="40" t="str">
        <f>'Saisie données stocks'!$K40</f>
        <v>ABAVIR, VIROL</v>
      </c>
      <c r="K393" s="115">
        <f>'Saisie données stocks'!$L40</f>
        <v>60</v>
      </c>
      <c r="L393" s="337">
        <f>'Saisie données stocks'!N40</f>
        <v>1093</v>
      </c>
      <c r="M393" s="337">
        <f>IF('Saisie données stocks'!$M$76='TRAD-Calculs'!$B$98, 'Saisie données stocks'!N104, 0)</f>
        <v>0</v>
      </c>
      <c r="N393" s="337">
        <f>'Saisie données stocks'!N161</f>
        <v>0</v>
      </c>
      <c r="O393" s="423">
        <f t="shared" si="47"/>
        <v>1093</v>
      </c>
    </row>
    <row r="394" spans="3:15" s="358" customFormat="1" ht="13.5" thickBot="1" x14ac:dyDescent="0.25">
      <c r="C394" s="37"/>
      <c r="D394" s="98"/>
      <c r="E394" s="1658" t="str">
        <f>'Saisie données stocks'!$F41</f>
        <v>ABC</v>
      </c>
      <c r="F394" s="1659" t="str">
        <f>'Saisie données stocks'!$G41</f>
        <v>Cp</v>
      </c>
      <c r="G394" s="1659" t="str">
        <f>'Saisie données stocks'!$H41</f>
        <v>60 mg</v>
      </c>
      <c r="H394" s="89" t="str">
        <f>'Saisie données stocks'!$I41</f>
        <v>Abacavir</v>
      </c>
      <c r="I394" s="39">
        <f>'Saisie données stocks'!$J41</f>
        <v>0</v>
      </c>
      <c r="J394" s="38">
        <f>'Saisie données stocks'!$K41</f>
        <v>0</v>
      </c>
      <c r="K394" s="114">
        <f>'Saisie données stocks'!$L41</f>
        <v>60</v>
      </c>
      <c r="L394" s="337">
        <f>'Saisie données stocks'!N41</f>
        <v>0</v>
      </c>
      <c r="M394" s="337">
        <f>IF('Saisie données stocks'!$M$76='TRAD-Calculs'!$B$98, 'Saisie données stocks'!N105, 0)</f>
        <v>0</v>
      </c>
      <c r="N394" s="337">
        <f>'Saisie données stocks'!N162</f>
        <v>0</v>
      </c>
      <c r="O394" s="423">
        <f t="shared" si="47"/>
        <v>0</v>
      </c>
    </row>
    <row r="395" spans="3:15" s="358" customFormat="1" ht="13.5" thickBot="1" x14ac:dyDescent="0.25">
      <c r="C395" s="37"/>
      <c r="D395" s="98"/>
      <c r="E395" s="1658" t="str">
        <f>'Saisie données stocks'!$F42</f>
        <v>AZT</v>
      </c>
      <c r="F395" s="1659" t="str">
        <f>'Saisie données stocks'!$G42</f>
        <v>Cp</v>
      </c>
      <c r="G395" s="1661" t="str">
        <f>'Saisie données stocks'!$H42</f>
        <v>300 mg</v>
      </c>
      <c r="H395" s="89" t="str">
        <f>'Saisie données stocks'!$I42</f>
        <v>Zidovudine</v>
      </c>
      <c r="I395" s="39" t="str">
        <f>'Saisie données stocks'!$J42</f>
        <v>RETROVIR</v>
      </c>
      <c r="J395" s="38">
        <f>'Saisie données stocks'!$K42</f>
        <v>0</v>
      </c>
      <c r="K395" s="114">
        <f>'Saisie données stocks'!$L42</f>
        <v>60</v>
      </c>
      <c r="L395" s="337">
        <f>'Saisie données stocks'!N42</f>
        <v>0</v>
      </c>
      <c r="M395" s="337">
        <f>IF('Saisie données stocks'!$M$76='TRAD-Calculs'!$B$98, 'Saisie données stocks'!N106, 0)</f>
        <v>0</v>
      </c>
      <c r="N395" s="337">
        <f>'Saisie données stocks'!N163</f>
        <v>0</v>
      </c>
      <c r="O395" s="423">
        <f t="shared" si="47"/>
        <v>0</v>
      </c>
    </row>
    <row r="396" spans="3:15" s="358" customFormat="1" ht="13.5" thickBot="1" x14ac:dyDescent="0.25">
      <c r="C396" s="37"/>
      <c r="D396" s="98"/>
      <c r="E396" s="1658" t="str">
        <f>'Saisie données stocks'!$F43</f>
        <v>AZT</v>
      </c>
      <c r="F396" s="1659" t="str">
        <f>'Saisie données stocks'!$G43</f>
        <v>Cp</v>
      </c>
      <c r="G396" s="1662" t="str">
        <f>'Saisie données stocks'!$H43</f>
        <v>100 mg</v>
      </c>
      <c r="H396" s="89" t="str">
        <f>'Saisie données stocks'!$I43</f>
        <v>Zidovudine</v>
      </c>
      <c r="I396" s="39" t="str">
        <f>'Saisie données stocks'!$J43</f>
        <v>RETROVIR</v>
      </c>
      <c r="J396" s="38">
        <f>'Saisie données stocks'!$K43</f>
        <v>0</v>
      </c>
      <c r="K396" s="114">
        <f>'Saisie données stocks'!$L43</f>
        <v>100</v>
      </c>
      <c r="L396" s="337">
        <f>'Saisie données stocks'!N43</f>
        <v>0</v>
      </c>
      <c r="M396" s="337">
        <f>IF('Saisie données stocks'!$M$76='TRAD-Calculs'!$B$98, 'Saisie données stocks'!N107, 0)</f>
        <v>0</v>
      </c>
      <c r="N396" s="337">
        <f>'Saisie données stocks'!N164</f>
        <v>0</v>
      </c>
      <c r="O396" s="423">
        <f t="shared" si="47"/>
        <v>0</v>
      </c>
    </row>
    <row r="397" spans="3:15" s="358" customFormat="1" ht="13.5" thickBot="1" x14ac:dyDescent="0.25">
      <c r="C397" s="37"/>
      <c r="D397" s="98"/>
      <c r="E397" s="1658" t="str">
        <f>'Saisie données stocks'!$F44</f>
        <v>AZT</v>
      </c>
      <c r="F397" s="1659" t="str">
        <f>'Saisie données stocks'!$G44</f>
        <v>Cp</v>
      </c>
      <c r="G397" s="1662" t="str">
        <f>'Saisie données stocks'!$H44</f>
        <v>60 mg</v>
      </c>
      <c r="H397" s="89" t="str">
        <f>'Saisie données stocks'!$I44</f>
        <v>Zidovudine</v>
      </c>
      <c r="I397" s="39">
        <f>'Saisie données stocks'!$J44</f>
        <v>0</v>
      </c>
      <c r="J397" s="38">
        <f>'Saisie données stocks'!$K44</f>
        <v>0</v>
      </c>
      <c r="K397" s="114">
        <f>'Saisie données stocks'!$L44</f>
        <v>60</v>
      </c>
      <c r="L397" s="337">
        <f>'Saisie données stocks'!N44</f>
        <v>0</v>
      </c>
      <c r="M397" s="337">
        <f>IF('Saisie données stocks'!$M$76='TRAD-Calculs'!$B$98, 'Saisie données stocks'!N108, 0)</f>
        <v>0</v>
      </c>
      <c r="N397" s="337">
        <f>'Saisie données stocks'!N165</f>
        <v>0</v>
      </c>
      <c r="O397" s="423">
        <f t="shared" si="47"/>
        <v>0</v>
      </c>
    </row>
    <row r="398" spans="3:15" s="358" customFormat="1" ht="13.5" thickBot="1" x14ac:dyDescent="0.25">
      <c r="C398" s="37"/>
      <c r="D398" s="98"/>
      <c r="E398" s="1669" t="str">
        <f>'Saisie données stocks'!$F45</f>
        <v>D4T</v>
      </c>
      <c r="F398" s="1670" t="str">
        <f>'Saisie données stocks'!$G45</f>
        <v>Cp</v>
      </c>
      <c r="G398" s="1671" t="str">
        <f>'Saisie données stocks'!$H45</f>
        <v>30 mg</v>
      </c>
      <c r="H398" s="377" t="str">
        <f>'Saisie données stocks'!$I45</f>
        <v>Stavudine</v>
      </c>
      <c r="I398" s="378" t="str">
        <f>'Saisie données stocks'!$J45</f>
        <v>ZERIT</v>
      </c>
      <c r="J398" s="379" t="str">
        <f>'Saisie données stocks'!$K45</f>
        <v>STAVIR</v>
      </c>
      <c r="K398" s="114">
        <f>'Saisie données stocks'!$L45</f>
        <v>60</v>
      </c>
      <c r="L398" s="337">
        <f>'Saisie données stocks'!N45</f>
        <v>0</v>
      </c>
      <c r="M398" s="337">
        <f>IF('Saisie données stocks'!$M$76='TRAD-Calculs'!$B$98, 'Saisie données stocks'!N109, 0)</f>
        <v>0</v>
      </c>
      <c r="N398" s="337">
        <f>'Saisie données stocks'!N166</f>
        <v>0</v>
      </c>
      <c r="O398" s="423">
        <f t="shared" si="47"/>
        <v>0</v>
      </c>
    </row>
    <row r="399" spans="3:15" s="358" customFormat="1" ht="13.5" thickBot="1" x14ac:dyDescent="0.25">
      <c r="C399" s="37"/>
      <c r="D399" s="98"/>
      <c r="E399" s="1658" t="str">
        <f>'Saisie données stocks'!$F46</f>
        <v>3TC</v>
      </c>
      <c r="F399" s="1659" t="str">
        <f>'Saisie données stocks'!$G46</f>
        <v>Cp</v>
      </c>
      <c r="G399" s="1661" t="str">
        <f>'Saisie données stocks'!$H46</f>
        <v>150 mg</v>
      </c>
      <c r="H399" s="89" t="str">
        <f>'Saisie données stocks'!$I46</f>
        <v>Lamivudine</v>
      </c>
      <c r="I399" s="39" t="str">
        <f>'Saisie données stocks'!$J46</f>
        <v>EPIVIR</v>
      </c>
      <c r="J399" s="38" t="str">
        <f>'Saisie données stocks'!$K46</f>
        <v>LAMIVIR</v>
      </c>
      <c r="K399" s="114">
        <f>'Saisie données stocks'!$L46</f>
        <v>60</v>
      </c>
      <c r="L399" s="337">
        <f>'Saisie données stocks'!N46</f>
        <v>0</v>
      </c>
      <c r="M399" s="337">
        <f>IF('Saisie données stocks'!$M$76='TRAD-Calculs'!$B$98, 'Saisie données stocks'!N110, 0)</f>
        <v>0</v>
      </c>
      <c r="N399" s="337">
        <f>'Saisie données stocks'!N167</f>
        <v>0</v>
      </c>
      <c r="O399" s="423">
        <f t="shared" si="47"/>
        <v>0</v>
      </c>
    </row>
    <row r="400" spans="3:15" s="358" customFormat="1" ht="13.5" thickBot="1" x14ac:dyDescent="0.25">
      <c r="C400" s="37"/>
      <c r="D400" s="98"/>
      <c r="E400" s="1658" t="str">
        <f>'Saisie données stocks'!$F47</f>
        <v>3TC</v>
      </c>
      <c r="F400" s="1659" t="str">
        <f>'Saisie données stocks'!$G47</f>
        <v>Cp</v>
      </c>
      <c r="G400" s="1662" t="str">
        <f>'Saisie données stocks'!$H47</f>
        <v>30 mg</v>
      </c>
      <c r="H400" s="89" t="str">
        <f>'Saisie données stocks'!$I47</f>
        <v>Lamivudine</v>
      </c>
      <c r="I400" s="39">
        <f>'Saisie données stocks'!$J47</f>
        <v>0</v>
      </c>
      <c r="J400" s="38">
        <f>'Saisie données stocks'!$K47</f>
        <v>0</v>
      </c>
      <c r="K400" s="114">
        <f>'Saisie données stocks'!$L47</f>
        <v>60</v>
      </c>
      <c r="L400" s="337">
        <f>'Saisie données stocks'!N47</f>
        <v>0</v>
      </c>
      <c r="M400" s="337">
        <f>IF('Saisie données stocks'!$M$76='TRAD-Calculs'!$B$98, 'Saisie données stocks'!N111, 0)</f>
        <v>0</v>
      </c>
      <c r="N400" s="337">
        <f>'Saisie données stocks'!N168</f>
        <v>0</v>
      </c>
      <c r="O400" s="423">
        <f t="shared" si="47"/>
        <v>0</v>
      </c>
    </row>
    <row r="401" spans="3:15" s="358" customFormat="1" ht="39" thickBot="1" x14ac:dyDescent="0.25">
      <c r="C401" s="37"/>
      <c r="D401" s="98"/>
      <c r="E401" s="1660" t="str">
        <f>'Saisie données stocks'!$F48</f>
        <v>DDI</v>
      </c>
      <c r="F401" s="1661" t="str">
        <f>'Saisie données stocks'!$G48</f>
        <v>Cp</v>
      </c>
      <c r="G401" s="1661" t="str">
        <f>'Saisie données stocks'!$H48</f>
        <v>250 mg</v>
      </c>
      <c r="H401" s="1207" t="str">
        <f>'Saisie données stocks'!$I48</f>
        <v>Didanosine</v>
      </c>
      <c r="I401" s="41" t="str">
        <f>'Saisie données stocks'!$J48</f>
        <v>VIDEX</v>
      </c>
      <c r="J401" s="40" t="str">
        <f>'Saisie données stocks'!$K48</f>
        <v>DINEX, DIVIR, DINOSIN, VIROSINE</v>
      </c>
      <c r="K401" s="115">
        <f>'Saisie données stocks'!$L48</f>
        <v>30</v>
      </c>
      <c r="L401" s="337">
        <f>'Saisie données stocks'!N48</f>
        <v>0</v>
      </c>
      <c r="M401" s="337">
        <f>IF('Saisie données stocks'!$M$76='TRAD-Calculs'!$B$98, 'Saisie données stocks'!N112, 0)</f>
        <v>0</v>
      </c>
      <c r="N401" s="337">
        <f>'Saisie données stocks'!N169</f>
        <v>0</v>
      </c>
      <c r="O401" s="423">
        <f t="shared" si="47"/>
        <v>0</v>
      </c>
    </row>
    <row r="402" spans="3:15" s="358" customFormat="1" ht="39" thickBot="1" x14ac:dyDescent="0.25">
      <c r="C402" s="37"/>
      <c r="D402" s="98"/>
      <c r="E402" s="1660" t="str">
        <f>'Saisie données stocks'!$F49</f>
        <v>DDI</v>
      </c>
      <c r="F402" s="1661" t="str">
        <f>'Saisie données stocks'!$G49</f>
        <v>Cp</v>
      </c>
      <c r="G402" s="1666" t="str">
        <f>'Saisie données stocks'!$H49</f>
        <v>400 mg</v>
      </c>
      <c r="H402" s="1637" t="str">
        <f>'Saisie données stocks'!$I49</f>
        <v>Didanosine</v>
      </c>
      <c r="I402" s="41" t="str">
        <f>'Saisie données stocks'!$J49</f>
        <v>VIDEX</v>
      </c>
      <c r="J402" s="40" t="str">
        <f>'Saisie données stocks'!$K49</f>
        <v>DINEX, DIVIR, DINOSIN, VIROSINE</v>
      </c>
      <c r="K402" s="117">
        <f>'Saisie données stocks'!$L49</f>
        <v>30</v>
      </c>
      <c r="L402" s="337">
        <f>'Saisie données stocks'!N49</f>
        <v>956</v>
      </c>
      <c r="M402" s="337">
        <f>IF('Saisie données stocks'!$M$76='TRAD-Calculs'!$B$98, 'Saisie données stocks'!N113, 0)</f>
        <v>0</v>
      </c>
      <c r="N402" s="337">
        <f>'Saisie données stocks'!N170</f>
        <v>0</v>
      </c>
      <c r="O402" s="423">
        <f t="shared" si="47"/>
        <v>956</v>
      </c>
    </row>
    <row r="403" spans="3:15" s="358" customFormat="1" ht="13.5" thickBot="1" x14ac:dyDescent="0.25">
      <c r="C403" s="100"/>
      <c r="D403" s="101"/>
      <c r="E403" s="1663" t="str">
        <f>'Saisie données stocks'!$F50</f>
        <v>TDF</v>
      </c>
      <c r="F403" s="1664" t="str">
        <f>'Saisie données stocks'!$G50</f>
        <v>Cp</v>
      </c>
      <c r="G403" s="1664" t="str">
        <f>'Saisie données stocks'!$H50</f>
        <v>300 mg</v>
      </c>
      <c r="H403" s="1643" t="str">
        <f>'Saisie données stocks'!$I50</f>
        <v>Tenofovir</v>
      </c>
      <c r="I403" s="109" t="str">
        <f>'Saisie données stocks'!$J50</f>
        <v>VIREAD</v>
      </c>
      <c r="J403" s="105">
        <f>'Saisie données stocks'!$K50</f>
        <v>0</v>
      </c>
      <c r="K403" s="116">
        <f>'Saisie données stocks'!$L50</f>
        <v>30</v>
      </c>
      <c r="L403" s="337">
        <f>'Saisie données stocks'!N50</f>
        <v>0</v>
      </c>
      <c r="M403" s="337">
        <f>IF('Saisie données stocks'!$M$76='TRAD-Calculs'!$B$98, 'Saisie données stocks'!N114, 0)</f>
        <v>0</v>
      </c>
      <c r="N403" s="337">
        <f>'Saisie données stocks'!N171</f>
        <v>0</v>
      </c>
      <c r="O403" s="423">
        <f t="shared" si="47"/>
        <v>0</v>
      </c>
    </row>
    <row r="404" spans="3:15" s="358" customFormat="1" ht="26.25" thickBot="1" x14ac:dyDescent="0.25">
      <c r="C404" s="37"/>
      <c r="D404" s="98" t="str">
        <f>'Saisie données stocks'!$E$51</f>
        <v>IP</v>
      </c>
      <c r="E404" s="1658" t="str">
        <f>'Saisie données stocks'!$F51</f>
        <v>LPV/r</v>
      </c>
      <c r="F404" s="1659" t="str">
        <f>'Saisie données stocks'!$G51</f>
        <v>Cp</v>
      </c>
      <c r="G404" s="1659" t="str">
        <f>'Saisie données stocks'!$H51</f>
        <v>200/50 mg</v>
      </c>
      <c r="H404" s="89" t="str">
        <f>'Saisie données stocks'!$I51</f>
        <v>Lopinavir/ Ritonavir</v>
      </c>
      <c r="I404" s="39" t="str">
        <f>'Saisie données stocks'!$J51</f>
        <v>KALETRA, ALUVIA</v>
      </c>
      <c r="J404" s="38" t="str">
        <f>'Saisie données stocks'!$K51</f>
        <v>RITOCOM</v>
      </c>
      <c r="K404" s="114">
        <f>'Saisie données stocks'!$L51</f>
        <v>120</v>
      </c>
      <c r="L404" s="337">
        <f>'Saisie données stocks'!N51</f>
        <v>750</v>
      </c>
      <c r="M404" s="337">
        <f>IF('Saisie données stocks'!$M$76='TRAD-Calculs'!$B$98, 'Saisie données stocks'!N115, 0)</f>
        <v>0</v>
      </c>
      <c r="N404" s="337">
        <f>'Saisie données stocks'!N172</f>
        <v>0</v>
      </c>
      <c r="O404" s="423">
        <f t="shared" si="47"/>
        <v>750</v>
      </c>
    </row>
    <row r="405" spans="3:15" s="358" customFormat="1" ht="26.25" thickBot="1" x14ac:dyDescent="0.25">
      <c r="C405" s="37"/>
      <c r="D405" s="98"/>
      <c r="E405" s="1672" t="str">
        <f>'Saisie données stocks'!$F52</f>
        <v>LPV/r</v>
      </c>
      <c r="F405" s="1673" t="str">
        <f>'Saisie données stocks'!$G52</f>
        <v>Cp coblister</v>
      </c>
      <c r="G405" s="1673" t="str">
        <f>'Saisie données stocks'!$H52</f>
        <v>100/25 mg</v>
      </c>
      <c r="H405" s="1210" t="str">
        <f>'Saisie données stocks'!$I52</f>
        <v>Lopinavir/ Ritonavir</v>
      </c>
      <c r="I405" s="1211" t="str">
        <f>'Saisie données stocks'!$J52</f>
        <v>KALETRA, ALUVIA</v>
      </c>
      <c r="J405" s="1212">
        <f>'Saisie données stocks'!$K52</f>
        <v>0</v>
      </c>
      <c r="K405" s="537">
        <f>'Saisie données stocks'!$L52</f>
        <v>60</v>
      </c>
      <c r="L405" s="337">
        <f>'Saisie données stocks'!N52</f>
        <v>687</v>
      </c>
      <c r="M405" s="337">
        <f>IF('Saisie données stocks'!$M$76='TRAD-Calculs'!$B$98, 'Saisie données stocks'!N116, 0)</f>
        <v>83</v>
      </c>
      <c r="N405" s="337">
        <f>'Saisie données stocks'!N173</f>
        <v>0</v>
      </c>
      <c r="O405" s="423">
        <f t="shared" si="47"/>
        <v>770</v>
      </c>
    </row>
    <row r="406" spans="3:15" s="358" customFormat="1" ht="26.25" thickBot="1" x14ac:dyDescent="0.25">
      <c r="C406" s="37"/>
      <c r="D406" s="92"/>
      <c r="E406" s="1674" t="str">
        <f>'Saisie données stocks'!$F53</f>
        <v>ATV/r</v>
      </c>
      <c r="F406" s="1675" t="str">
        <f>'Saisie données stocks'!$G53</f>
        <v>Cp</v>
      </c>
      <c r="G406" s="1676" t="str">
        <f>'Saisie données stocks'!$H53</f>
        <v>300/100 mg</v>
      </c>
      <c r="H406" s="1625" t="str">
        <f>'Saisie données stocks'!$I53</f>
        <v>Atazanavir/ Ritonavir</v>
      </c>
      <c r="I406" s="510">
        <f>'Saisie données stocks'!$J53</f>
        <v>0</v>
      </c>
      <c r="J406" s="511">
        <f>'Saisie données stocks'!$K53</f>
        <v>0</v>
      </c>
      <c r="K406" s="512">
        <f>'Saisie données stocks'!$L53</f>
        <v>30</v>
      </c>
      <c r="L406" s="337">
        <f>'Saisie données stocks'!N53</f>
        <v>1705</v>
      </c>
      <c r="M406" s="337">
        <f>IF('Saisie données stocks'!$M$76='TRAD-Calculs'!$B$98, 'Saisie données stocks'!N117, 0)</f>
        <v>0</v>
      </c>
      <c r="N406" s="337">
        <f>'Saisie données stocks'!N174</f>
        <v>0</v>
      </c>
      <c r="O406" s="423">
        <f t="shared" si="47"/>
        <v>1705</v>
      </c>
    </row>
    <row r="407" spans="3:15" s="358" customFormat="1" ht="26.25" thickBot="1" x14ac:dyDescent="0.25">
      <c r="C407" s="37"/>
      <c r="D407" s="92"/>
      <c r="E407" s="1677" t="str">
        <f>'Saisie données stocks'!$F54</f>
        <v>FPV</v>
      </c>
      <c r="F407" s="1678" t="str">
        <f>'Saisie données stocks'!$G54</f>
        <v>Cp</v>
      </c>
      <c r="G407" s="1678" t="str">
        <f>'Saisie données stocks'!$H54</f>
        <v>700 mg</v>
      </c>
      <c r="H407" s="1625" t="str">
        <f>'Saisie données stocks'!$I54</f>
        <v>Fosamprenavir</v>
      </c>
      <c r="I407" s="1626" t="str">
        <f>'Saisie données stocks'!$J54</f>
        <v>TELZIR</v>
      </c>
      <c r="J407" s="1627">
        <f>'Saisie données stocks'!$K54</f>
        <v>0</v>
      </c>
      <c r="K407" s="1388">
        <f>'Saisie données stocks'!$L54</f>
        <v>60</v>
      </c>
      <c r="L407" s="337">
        <f>'Saisie données stocks'!N54</f>
        <v>0</v>
      </c>
      <c r="M407" s="337">
        <f>IF('Saisie données stocks'!$M$76='TRAD-Calculs'!$B$98, 'Saisie données stocks'!N118, 0)</f>
        <v>0</v>
      </c>
      <c r="N407" s="337">
        <f>'Saisie données stocks'!N175</f>
        <v>0</v>
      </c>
      <c r="O407" s="423">
        <f t="shared" si="47"/>
        <v>0</v>
      </c>
    </row>
    <row r="408" spans="3:15" s="358" customFormat="1" ht="13.5" thickBot="1" x14ac:dyDescent="0.25">
      <c r="C408" s="37"/>
      <c r="D408" s="92"/>
      <c r="E408" s="1665" t="str">
        <f>'Saisie données stocks'!$F55</f>
        <v>IDV</v>
      </c>
      <c r="F408" s="1666" t="str">
        <f>'Saisie données stocks'!$G55</f>
        <v>Gel</v>
      </c>
      <c r="G408" s="1666" t="str">
        <f>'Saisie données stocks'!$H55</f>
        <v>400 mg</v>
      </c>
      <c r="H408" s="1637" t="str">
        <f>'Saisie données stocks'!$I55</f>
        <v>Indinavir</v>
      </c>
      <c r="I408" s="95" t="str">
        <f>'Saisie données stocks'!$J55</f>
        <v>CRIXIVAN</v>
      </c>
      <c r="J408" s="96">
        <f>'Saisie données stocks'!$K55</f>
        <v>0</v>
      </c>
      <c r="K408" s="117">
        <f>'Saisie données stocks'!$L55</f>
        <v>180</v>
      </c>
      <c r="L408" s="337">
        <f>'Saisie données stocks'!N55</f>
        <v>0</v>
      </c>
      <c r="M408" s="337">
        <f>IF('Saisie données stocks'!$M$76='TRAD-Calculs'!$B$98, 'Saisie données stocks'!N119, 0)</f>
        <v>0</v>
      </c>
      <c r="N408" s="337">
        <f>'Saisie données stocks'!N176</f>
        <v>0</v>
      </c>
      <c r="O408" s="423">
        <f t="shared" si="47"/>
        <v>0</v>
      </c>
    </row>
    <row r="409" spans="3:15" s="358" customFormat="1" ht="13.5" thickBot="1" x14ac:dyDescent="0.25">
      <c r="C409" s="37"/>
      <c r="D409" s="92"/>
      <c r="E409" s="1665" t="str">
        <f>'Saisie données stocks'!$F56</f>
        <v>DRV</v>
      </c>
      <c r="F409" s="1666" t="str">
        <f>'Saisie données stocks'!$G56</f>
        <v>Cp</v>
      </c>
      <c r="G409" s="1679" t="str">
        <f>'Saisie données stocks'!$H56</f>
        <v>300 mg</v>
      </c>
      <c r="H409" s="1637" t="str">
        <f>'Saisie données stocks'!$I56</f>
        <v>Darunavir</v>
      </c>
      <c r="I409" s="95" t="str">
        <f>'Saisie données stocks'!$J56</f>
        <v>PREZISTA</v>
      </c>
      <c r="J409" s="96">
        <f>'Saisie données stocks'!$K56</f>
        <v>0</v>
      </c>
      <c r="K409" s="117">
        <f>'Saisie données stocks'!$L56</f>
        <v>60</v>
      </c>
      <c r="L409" s="337">
        <f>'Saisie données stocks'!N56</f>
        <v>0</v>
      </c>
      <c r="M409" s="337">
        <f>IF('Saisie données stocks'!$M$76='TRAD-Calculs'!$B$98, 'Saisie données stocks'!N120, 0)</f>
        <v>0</v>
      </c>
      <c r="N409" s="337">
        <f>'Saisie données stocks'!N177</f>
        <v>0</v>
      </c>
      <c r="O409" s="423">
        <f t="shared" si="47"/>
        <v>0</v>
      </c>
    </row>
    <row r="410" spans="3:15" s="358" customFormat="1" ht="13.5" thickBot="1" x14ac:dyDescent="0.25">
      <c r="C410" s="37"/>
      <c r="D410" s="92"/>
      <c r="E410" s="1665" t="str">
        <f>'Saisie données stocks'!$F57</f>
        <v>SQV</v>
      </c>
      <c r="F410" s="1666" t="str">
        <f>'Saisie données stocks'!$G57</f>
        <v>Cp</v>
      </c>
      <c r="G410" s="1666" t="str">
        <f>'Saisie données stocks'!$H57</f>
        <v>500 mg</v>
      </c>
      <c r="H410" s="1637" t="str">
        <f>'Saisie données stocks'!$I57</f>
        <v>Saquinavir</v>
      </c>
      <c r="I410" s="95" t="str">
        <f>'Saisie données stocks'!$J57</f>
        <v>INVIRASE</v>
      </c>
      <c r="J410" s="96">
        <f>'Saisie données stocks'!$K57</f>
        <v>0</v>
      </c>
      <c r="K410" s="117">
        <f>'Saisie données stocks'!$L57</f>
        <v>120</v>
      </c>
      <c r="L410" s="337">
        <f>'Saisie données stocks'!N57</f>
        <v>0</v>
      </c>
      <c r="M410" s="337">
        <f>IF('Saisie données stocks'!$M$76='TRAD-Calculs'!$B$98, 'Saisie données stocks'!N121, 0)</f>
        <v>0</v>
      </c>
      <c r="N410" s="337">
        <f>'Saisie données stocks'!N178</f>
        <v>0</v>
      </c>
      <c r="O410" s="423">
        <f t="shared" si="47"/>
        <v>0</v>
      </c>
    </row>
    <row r="411" spans="3:15" s="358" customFormat="1" ht="13.5" thickBot="1" x14ac:dyDescent="0.25">
      <c r="C411" s="100"/>
      <c r="D411" s="101"/>
      <c r="E411" s="1663" t="str">
        <f>'Saisie données stocks'!$F58</f>
        <v>RTV</v>
      </c>
      <c r="F411" s="1664" t="str">
        <f>'Saisie données stocks'!$G58</f>
        <v>Caps</v>
      </c>
      <c r="G411" s="1664" t="str">
        <f>'Saisie données stocks'!$H58</f>
        <v>100 mg</v>
      </c>
      <c r="H411" s="1643" t="str">
        <f>'Saisie données stocks'!$I58</f>
        <v>Ritonavir</v>
      </c>
      <c r="I411" s="109" t="str">
        <f>'Saisie données stocks'!$J58</f>
        <v>NORVIR</v>
      </c>
      <c r="J411" s="105">
        <f>'Saisie données stocks'!$K58</f>
        <v>0</v>
      </c>
      <c r="K411" s="116">
        <f>'Saisie données stocks'!$L58</f>
        <v>84</v>
      </c>
      <c r="L411" s="337">
        <f>'Saisie données stocks'!N58</f>
        <v>0</v>
      </c>
      <c r="M411" s="337">
        <f>IF('Saisie données stocks'!$M$76='TRAD-Calculs'!$B$98, 'Saisie données stocks'!N122, 0)</f>
        <v>0</v>
      </c>
      <c r="N411" s="337">
        <f>'Saisie données stocks'!N179</f>
        <v>0</v>
      </c>
      <c r="O411" s="423">
        <f t="shared" si="47"/>
        <v>0</v>
      </c>
    </row>
    <row r="412" spans="3:15" s="358" customFormat="1" ht="13.5" thickBot="1" x14ac:dyDescent="0.25">
      <c r="C412" s="519"/>
      <c r="D412" s="520" t="str">
        <f>'Saisie données stocks'!$E$59</f>
        <v>Inh Integrase</v>
      </c>
      <c r="E412" s="513" t="str">
        <f>'Saisie données stocks'!$F59</f>
        <v>RLT = RAL</v>
      </c>
      <c r="F412" s="514" t="str">
        <f>'Saisie données stocks'!$G59</f>
        <v>Cp</v>
      </c>
      <c r="G412" s="514" t="str">
        <f>'Saisie données stocks'!$H59</f>
        <v>400 mg</v>
      </c>
      <c r="H412" s="1644" t="str">
        <f>'Saisie données stocks'!$I59</f>
        <v>Raltegravir</v>
      </c>
      <c r="I412" s="515" t="str">
        <f>'Saisie données stocks'!$J59</f>
        <v>ISENTRESS</v>
      </c>
      <c r="J412" s="516">
        <f>'Saisie données stocks'!$K59</f>
        <v>0</v>
      </c>
      <c r="K412" s="517">
        <f>'Saisie données stocks'!$L59</f>
        <v>60</v>
      </c>
      <c r="L412" s="337">
        <f>'Saisie données stocks'!N59</f>
        <v>0</v>
      </c>
      <c r="M412" s="337">
        <f>IF('Saisie données stocks'!$M$76='TRAD-Calculs'!$B$98, 'Saisie données stocks'!N123, 0)</f>
        <v>0</v>
      </c>
      <c r="N412" s="337">
        <f>'Saisie données stocks'!N180</f>
        <v>0</v>
      </c>
      <c r="O412" s="423">
        <f t="shared" si="47"/>
        <v>0</v>
      </c>
    </row>
    <row r="413" spans="3:15" s="358" customFormat="1" ht="39" thickBot="1" x14ac:dyDescent="0.25">
      <c r="C413" s="405"/>
      <c r="D413" s="406"/>
      <c r="E413" s="364" t="str">
        <f>'TRAD-Calculs'!$B$3</f>
        <v>Composition</v>
      </c>
      <c r="F413" s="365" t="str">
        <f>'TRAD-Calculs'!$B$22</f>
        <v>Forme galénique</v>
      </c>
      <c r="G413" s="365" t="str">
        <f>'TRAD-Calculs'!$B$4</f>
        <v>Dosage</v>
      </c>
      <c r="H413" s="365" t="str">
        <f>'TRAD-Calculs'!$B$23</f>
        <v>DCI</v>
      </c>
      <c r="I413" s="365" t="str">
        <f>'TRAD-Calculs'!$B$24</f>
        <v>Nom de spécialité</v>
      </c>
      <c r="J413" s="365" t="str">
        <f>'TRAD-Calculs'!$B$25</f>
        <v>Nom de générique possible</v>
      </c>
      <c r="K413" s="365" t="str">
        <f>'TRAD-Calculs'!$B$26</f>
        <v>Conditionnement</v>
      </c>
      <c r="L413" s="327" t="str">
        <f>'TRAD-Calculs'!$B$60</f>
        <v>Stock dispo central</v>
      </c>
      <c r="M413" s="327" t="str">
        <f>'TRAD-Calculs'!$B$61</f>
        <v>Stock dispo périphérie</v>
      </c>
      <c r="N413" s="327" t="str">
        <f>'TRAD-Calculs'!$B$54</f>
        <v>Commandes en cours</v>
      </c>
      <c r="O413" s="2487"/>
    </row>
    <row r="414" spans="3:15" s="358" customFormat="1" ht="13.5" thickBot="1" x14ac:dyDescent="0.25">
      <c r="C414" s="366" t="str">
        <f>'TRAD-Calculs'!B38</f>
        <v>Solutions buvables</v>
      </c>
      <c r="D414" s="367" t="str">
        <f>'Saisie données stocks'!$E$61</f>
        <v>INTI</v>
      </c>
      <c r="E414" s="368" t="str">
        <f>'Saisie données stocks'!$F61</f>
        <v>AZT</v>
      </c>
      <c r="F414" s="369" t="str">
        <f>'Saisie données stocks'!$G61</f>
        <v>Sol buv</v>
      </c>
      <c r="G414" s="369" t="str">
        <f>'Saisie données stocks'!$H61</f>
        <v>10 mg/mL</v>
      </c>
      <c r="H414" s="369" t="str">
        <f>'Saisie données stocks'!$I61</f>
        <v>Zidovudine</v>
      </c>
      <c r="I414" s="370" t="str">
        <f>'Saisie données stocks'!$J61</f>
        <v>RETROVIR</v>
      </c>
      <c r="J414" s="370">
        <f>'Saisie données stocks'!$K61</f>
        <v>0</v>
      </c>
      <c r="K414" s="113">
        <f>'Saisie données stocks'!$L61</f>
        <v>240</v>
      </c>
      <c r="L414" s="337">
        <f>'Saisie données stocks'!N61</f>
        <v>0</v>
      </c>
      <c r="M414" s="337">
        <f>IF('Saisie données stocks'!$M$76='TRAD-Calculs'!$B$98, 'Saisie données stocks'!N125, 0)</f>
        <v>0</v>
      </c>
      <c r="N414" s="337">
        <f>'Saisie données stocks'!N182</f>
        <v>0</v>
      </c>
      <c r="O414" s="423">
        <f t="shared" ref="O414:O421" si="48">L414+M414+N414</f>
        <v>0</v>
      </c>
    </row>
    <row r="415" spans="3:15" s="358" customFormat="1" ht="13.5" thickBot="1" x14ac:dyDescent="0.25">
      <c r="C415" s="374"/>
      <c r="D415" s="375"/>
      <c r="E415" s="376" t="str">
        <f>'Saisie données stocks'!$F62</f>
        <v>D4T</v>
      </c>
      <c r="F415" s="377" t="str">
        <f>'Saisie données stocks'!$G62</f>
        <v>Sol buv</v>
      </c>
      <c r="G415" s="377" t="str">
        <f>'Saisie données stocks'!$H62</f>
        <v>10 mg/mL</v>
      </c>
      <c r="H415" s="377" t="str">
        <f>'Saisie données stocks'!$I62</f>
        <v>Stavudine</v>
      </c>
      <c r="I415" s="378" t="str">
        <f>'Saisie données stocks'!$J62</f>
        <v>ZERIT</v>
      </c>
      <c r="J415" s="378">
        <f>'Saisie données stocks'!$K62</f>
        <v>0</v>
      </c>
      <c r="K415" s="114">
        <f>'Saisie données stocks'!$L62</f>
        <v>240</v>
      </c>
      <c r="L415" s="337">
        <f>'Saisie données stocks'!N62</f>
        <v>0</v>
      </c>
      <c r="M415" s="337">
        <f>IF('Saisie données stocks'!$M$76='TRAD-Calculs'!$B$98, 'Saisie données stocks'!N126, 0)</f>
        <v>0</v>
      </c>
      <c r="N415" s="337">
        <f>'Saisie données stocks'!N183</f>
        <v>0</v>
      </c>
      <c r="O415" s="423">
        <f t="shared" si="48"/>
        <v>0</v>
      </c>
    </row>
    <row r="416" spans="3:15" s="358" customFormat="1" ht="13.5" thickBot="1" x14ac:dyDescent="0.25">
      <c r="C416" s="374"/>
      <c r="D416" s="375"/>
      <c r="E416" s="382" t="str">
        <f>'Saisie données stocks'!$F63</f>
        <v>3TC</v>
      </c>
      <c r="F416" s="383" t="str">
        <f>'Saisie données stocks'!$G63</f>
        <v>Sol buv</v>
      </c>
      <c r="G416" s="383" t="str">
        <f>'Saisie données stocks'!$H63</f>
        <v>10 mg/mL</v>
      </c>
      <c r="H416" s="1208" t="str">
        <f>'Saisie données stocks'!$I63</f>
        <v>Lamivudine</v>
      </c>
      <c r="I416" s="384" t="str">
        <f>'Saisie données stocks'!$J63</f>
        <v>LAMIVIR, EPIVIR</v>
      </c>
      <c r="J416" s="384">
        <f>'Saisie données stocks'!$K63</f>
        <v>0</v>
      </c>
      <c r="K416" s="115">
        <f>'Saisie données stocks'!$L63</f>
        <v>240</v>
      </c>
      <c r="L416" s="337">
        <f>'Saisie données stocks'!N63</f>
        <v>0</v>
      </c>
      <c r="M416" s="337">
        <f>IF('Saisie données stocks'!$M$76='TRAD-Calculs'!$B$98, 'Saisie données stocks'!N127, 0)</f>
        <v>0</v>
      </c>
      <c r="N416" s="337">
        <f>'Saisie données stocks'!N184</f>
        <v>0</v>
      </c>
      <c r="O416" s="423">
        <f t="shared" si="48"/>
        <v>0</v>
      </c>
    </row>
    <row r="417" spans="1:17" s="358" customFormat="1" ht="13.5" thickBot="1" x14ac:dyDescent="0.25">
      <c r="C417" s="374"/>
      <c r="D417" s="407"/>
      <c r="E417" s="376" t="str">
        <f>'Saisie données stocks'!$F64</f>
        <v>ABC</v>
      </c>
      <c r="F417" s="377" t="str">
        <f>'Saisie données stocks'!$G64</f>
        <v>Sol buv</v>
      </c>
      <c r="G417" s="377" t="str">
        <f>'Saisie données stocks'!$H64</f>
        <v>20 mg/mL</v>
      </c>
      <c r="H417" s="377" t="str">
        <f>'Saisie données stocks'!$I64</f>
        <v>Abacavir</v>
      </c>
      <c r="I417" s="378" t="str">
        <f>'Saisie données stocks'!$J64</f>
        <v>ZIAGEN</v>
      </c>
      <c r="J417" s="378">
        <f>'Saisie données stocks'!$K64</f>
        <v>0</v>
      </c>
      <c r="K417" s="114">
        <f>'Saisie données stocks'!$L64</f>
        <v>240</v>
      </c>
      <c r="L417" s="337">
        <f>'Saisie données stocks'!N64</f>
        <v>0</v>
      </c>
      <c r="M417" s="337">
        <f>IF('Saisie données stocks'!$M$76='TRAD-Calculs'!$B$98, 'Saisie données stocks'!N128, 0)</f>
        <v>0</v>
      </c>
      <c r="N417" s="337">
        <f>'Saisie données stocks'!N185</f>
        <v>0</v>
      </c>
      <c r="O417" s="423">
        <f t="shared" si="48"/>
        <v>0</v>
      </c>
    </row>
    <row r="418" spans="1:17" s="358" customFormat="1" ht="26.25" thickBot="1" x14ac:dyDescent="0.25">
      <c r="C418" s="374"/>
      <c r="D418" s="389"/>
      <c r="E418" s="390" t="str">
        <f>'Saisie données stocks'!$F65</f>
        <v>DDI</v>
      </c>
      <c r="F418" s="391" t="str">
        <f>'Saisie données stocks'!$G65</f>
        <v>Poudre buvable</v>
      </c>
      <c r="G418" s="391" t="str">
        <f>'Saisie données stocks'!$H65</f>
        <v>2 g</v>
      </c>
      <c r="H418" s="1519" t="str">
        <f>'Saisie données stocks'!$I65</f>
        <v>Didanosine</v>
      </c>
      <c r="I418" s="401" t="str">
        <f>'Saisie données stocks'!$J65</f>
        <v>VIDEX</v>
      </c>
      <c r="J418" s="401">
        <f>'Saisie données stocks'!$K65</f>
        <v>0</v>
      </c>
      <c r="K418" s="116">
        <f>'Saisie données stocks'!$L65</f>
        <v>200</v>
      </c>
      <c r="L418" s="337">
        <f>'Saisie données stocks'!N65</f>
        <v>0</v>
      </c>
      <c r="M418" s="337">
        <f>IF('Saisie données stocks'!$M$76='TRAD-Calculs'!$B$98, 'Saisie données stocks'!N129, 0)</f>
        <v>0</v>
      </c>
      <c r="N418" s="337">
        <f>'Saisie données stocks'!N186</f>
        <v>0</v>
      </c>
      <c r="O418" s="423">
        <f t="shared" si="48"/>
        <v>0</v>
      </c>
    </row>
    <row r="419" spans="1:17" s="358" customFormat="1" ht="13.5" thickBot="1" x14ac:dyDescent="0.25">
      <c r="C419" s="374"/>
      <c r="D419" s="375" t="str">
        <f>'Saisie données stocks'!$E$66</f>
        <v>INNTI</v>
      </c>
      <c r="E419" s="376" t="str">
        <f>'Saisie données stocks'!$F66</f>
        <v>NVP</v>
      </c>
      <c r="F419" s="377" t="str">
        <f>'Saisie données stocks'!$G66</f>
        <v>Sol buv</v>
      </c>
      <c r="G419" s="377" t="str">
        <f>'Saisie données stocks'!$H66</f>
        <v>10 mg/mL</v>
      </c>
      <c r="H419" s="377" t="str">
        <f>'Saisie données stocks'!$I66</f>
        <v>Nevirapine</v>
      </c>
      <c r="I419" s="378" t="str">
        <f>'Saisie données stocks'!$J66</f>
        <v>VIRAMUNE</v>
      </c>
      <c r="J419" s="378">
        <f>'Saisie données stocks'!$K66</f>
        <v>0</v>
      </c>
      <c r="K419" s="114">
        <f>'Saisie données stocks'!$L66</f>
        <v>240</v>
      </c>
      <c r="L419" s="337">
        <f>'Saisie données stocks'!N66</f>
        <v>3990</v>
      </c>
      <c r="M419" s="337">
        <f>IF('Saisie données stocks'!$M$76='TRAD-Calculs'!$B$98, 'Saisie données stocks'!N130, 0)</f>
        <v>0</v>
      </c>
      <c r="N419" s="337">
        <f>'Saisie données stocks'!N187</f>
        <v>0</v>
      </c>
      <c r="O419" s="423">
        <f t="shared" si="48"/>
        <v>3990</v>
      </c>
    </row>
    <row r="420" spans="1:17" s="358" customFormat="1" ht="13.5" thickBot="1" x14ac:dyDescent="0.25">
      <c r="C420" s="374"/>
      <c r="D420" s="389"/>
      <c r="E420" s="390" t="str">
        <f>'Saisie données stocks'!$F67</f>
        <v>EFV</v>
      </c>
      <c r="F420" s="391" t="str">
        <f>'Saisie données stocks'!$G67</f>
        <v>Sol buv</v>
      </c>
      <c r="G420" s="391" t="str">
        <f>'Saisie données stocks'!$H67</f>
        <v>30 mg/mL</v>
      </c>
      <c r="H420" s="1519" t="str">
        <f>'Saisie données stocks'!$I67</f>
        <v>Efavirenz</v>
      </c>
      <c r="I420" s="401" t="str">
        <f>'Saisie données stocks'!$J67</f>
        <v>SUSTIVA, STOCRIN</v>
      </c>
      <c r="J420" s="401">
        <f>'Saisie données stocks'!$K67</f>
        <v>0</v>
      </c>
      <c r="K420" s="116">
        <f>'Saisie données stocks'!$L67</f>
        <v>180</v>
      </c>
      <c r="L420" s="337">
        <f>'Saisie données stocks'!N67</f>
        <v>0</v>
      </c>
      <c r="M420" s="337">
        <f>IF('Saisie données stocks'!$M$76='TRAD-Calculs'!$B$98, 'Saisie données stocks'!N131, 0)</f>
        <v>0</v>
      </c>
      <c r="N420" s="337">
        <f>'Saisie données stocks'!N188</f>
        <v>0</v>
      </c>
      <c r="O420" s="423">
        <f t="shared" si="48"/>
        <v>0</v>
      </c>
    </row>
    <row r="421" spans="1:17" s="358" customFormat="1" ht="26.25" thickBot="1" x14ac:dyDescent="0.25">
      <c r="C421" s="404"/>
      <c r="D421" s="408" t="str">
        <f>'Saisie données stocks'!$E$68</f>
        <v>IP</v>
      </c>
      <c r="E421" s="409" t="str">
        <f>'Saisie données stocks'!$F68</f>
        <v>LPV/r</v>
      </c>
      <c r="F421" s="410" t="str">
        <f>'Saisie données stocks'!$G68</f>
        <v>Sol buv</v>
      </c>
      <c r="G421" s="410" t="str">
        <f>'Saisie données stocks'!$H68</f>
        <v>80/20 mg/mL</v>
      </c>
      <c r="H421" s="410" t="str">
        <f>'Saisie données stocks'!$I68</f>
        <v>Lopinavir/Ritonavir</v>
      </c>
      <c r="I421" s="411" t="str">
        <f>'Saisie données stocks'!$J68</f>
        <v>KALETRA ALUVIA</v>
      </c>
      <c r="J421" s="411">
        <f>'Saisie données stocks'!$K68</f>
        <v>0</v>
      </c>
      <c r="K421" s="312">
        <f>'Saisie données stocks'!$L68</f>
        <v>60</v>
      </c>
      <c r="L421" s="337">
        <f>'Saisie données stocks'!N68</f>
        <v>0</v>
      </c>
      <c r="M421" s="337">
        <f>IF('Saisie données stocks'!$M$76='TRAD-Calculs'!$B$98, 'Saisie données stocks'!N132, 0)</f>
        <v>0</v>
      </c>
      <c r="N421" s="337">
        <f>'Saisie données stocks'!N189</f>
        <v>2168</v>
      </c>
      <c r="O421" s="423">
        <f t="shared" si="48"/>
        <v>2168</v>
      </c>
    </row>
    <row r="422" spans="1:17" customFormat="1" x14ac:dyDescent="0.2"/>
    <row r="423" spans="1:17" customFormat="1" x14ac:dyDescent="0.2"/>
    <row r="424" spans="1:17" s="358" customFormat="1" ht="15.75" thickBot="1" x14ac:dyDescent="0.25">
      <c r="A424" s="3257" t="str">
        <f>'TRAD-Calculs'!B91</f>
        <v>Etape 4 : EVALUATION des DISPONIBILITES - compilation des quantités en stocks et commande</v>
      </c>
      <c r="B424" s="3257"/>
      <c r="C424" s="3257"/>
      <c r="D424" s="3257"/>
      <c r="E424" s="3257"/>
      <c r="F424" s="3257"/>
      <c r="G424" s="3257"/>
      <c r="H424" s="3257"/>
      <c r="I424" s="3257"/>
      <c r="J424" s="3257"/>
      <c r="K424" s="3257"/>
      <c r="L424" s="3257"/>
      <c r="M424" s="3257"/>
      <c r="N424" s="3257"/>
      <c r="P424" s="356"/>
    </row>
    <row r="426" spans="1:17" s="421" customFormat="1" x14ac:dyDescent="0.2">
      <c r="D426" s="1623" t="str">
        <f>'TRAD-Calculs'!B93</f>
        <v>pour les inclusions, le facteur multiplicateur sera donc de :</v>
      </c>
      <c r="H426" s="421" t="str">
        <f>'TRAD-Calculs'!B56</f>
        <v>Période quantifié sans période intermédiaire</v>
      </c>
      <c r="L426" s="2488">
        <f>IF(Quanti!O26="NON", Quanti!N19*(Quanti!N19+1)/2, 0)</f>
        <v>91</v>
      </c>
    </row>
    <row r="427" spans="1:17" x14ac:dyDescent="0.2">
      <c r="H427" s="421" t="str">
        <f>'TRAD-Calculs'!B57</f>
        <v>Période intermédiaire</v>
      </c>
      <c r="L427" s="2489">
        <f>IF(Quanti!O26="NON", IF(Quanti!O21="NON", Quanti!N25*(Quanti!N25+1)/2, 0), 0)</f>
        <v>0</v>
      </c>
    </row>
    <row r="428" spans="1:17" x14ac:dyDescent="0.2">
      <c r="H428" s="421" t="str">
        <f>'TRAD-Calculs'!B58</f>
        <v>Période totale Intermédiaire et quantifiée</v>
      </c>
      <c r="L428" s="2489">
        <f>IF(Quanti!O26="NON", IF(Quanti!O21="NON", (Quanti!N25+Quanti!N19)*(Quanti!N25+Quanti!N19+1)/2, 0), 0)</f>
        <v>91</v>
      </c>
    </row>
    <row r="429" spans="1:17" x14ac:dyDescent="0.2">
      <c r="H429" s="421" t="str">
        <f>'TRAD-Calculs'!B59</f>
        <v>Delta facteurs multiplicateurs / période quantifiée</v>
      </c>
      <c r="L429" s="2489">
        <f>L428-L427</f>
        <v>91</v>
      </c>
    </row>
    <row r="430" spans="1:17" ht="13.5" thickBot="1" x14ac:dyDescent="0.25"/>
    <row r="431" spans="1:17" s="358" customFormat="1" ht="90" thickBot="1" x14ac:dyDescent="0.25">
      <c r="C431" s="85"/>
      <c r="D431" s="120"/>
      <c r="E431" s="32" t="str">
        <f>'TRAD-Calculs'!$B$3</f>
        <v>Composition</v>
      </c>
      <c r="F431" s="33" t="str">
        <f>'TRAD-Calculs'!$B$22</f>
        <v>Forme galénique</v>
      </c>
      <c r="G431" s="33" t="str">
        <f>'TRAD-Calculs'!$B$4</f>
        <v>Dosage</v>
      </c>
      <c r="H431" s="33" t="str">
        <f>'TRAD-Calculs'!$B$23</f>
        <v>DCI</v>
      </c>
      <c r="I431" s="33" t="str">
        <f>'TRAD-Calculs'!$B$24</f>
        <v>Nom de spécialité</v>
      </c>
      <c r="J431" s="33" t="str">
        <f>'TRAD-Calculs'!$B$25</f>
        <v>Nom de générique possible</v>
      </c>
      <c r="K431" s="33" t="str">
        <f>'TRAD-Calculs'!$B$26</f>
        <v>Conditionnement</v>
      </c>
      <c r="L431" s="327" t="str">
        <f>'TRAD-Calculs'!$B$60</f>
        <v>Stock dispo central</v>
      </c>
      <c r="M431" s="327" t="str">
        <f>'TRAD-Calculs'!$B$61</f>
        <v>Stock dispo périphérie</v>
      </c>
      <c r="N431" s="327" t="str">
        <f>'TRAD-Calculs'!$B$54</f>
        <v>Commandes en cours</v>
      </c>
      <c r="O431" s="2487" t="str">
        <f>'TRAD-Calculs'!$B$51</f>
        <v>Total quantités disponibles à prendre en compte selon paramétrage</v>
      </c>
      <c r="P431" s="327" t="str">
        <f>'TRAD-Calculs'!$B$52</f>
        <v>Quantité consommée prévue sur la période intérmédiaire</v>
      </c>
      <c r="Q431" s="2487" t="str">
        <f>'TRAD-Calculs'!$B$53</f>
        <v>Stock prévisionnel au début de la période quantifiée</v>
      </c>
    </row>
    <row r="432" spans="1:17" s="358" customFormat="1" ht="39" thickBot="1" x14ac:dyDescent="0.25">
      <c r="C432" s="31" t="str">
        <f>'Saisie données stocks'!$D$19</f>
        <v>Comprimés</v>
      </c>
      <c r="D432" s="97" t="str">
        <f>'Saisie données stocks'!$E$19</f>
        <v>CDF</v>
      </c>
      <c r="E432" s="86" t="str">
        <f>'Saisie données stocks'!$F$19</f>
        <v>AZT+3TC+NVP</v>
      </c>
      <c r="F432" s="87" t="str">
        <f>'Saisie données stocks'!$G$19</f>
        <v>Cp</v>
      </c>
      <c r="G432" s="87" t="str">
        <f>'Saisie données stocks'!$H$19</f>
        <v>300/150/200 mg</v>
      </c>
      <c r="H432" s="87" t="str">
        <f>'Saisie données stocks'!$I$19</f>
        <v>Zidovudine+ Lamivudine+ Nevirapine</v>
      </c>
      <c r="I432" s="36">
        <f>'Saisie données stocks'!$J$19</f>
        <v>0</v>
      </c>
      <c r="J432" s="35" t="str">
        <f>'Saisie données stocks'!$K$19</f>
        <v>DUOVIR-N, ZIDOLAM-N</v>
      </c>
      <c r="K432" s="113">
        <f>'Saisie données stocks'!$L$19</f>
        <v>60</v>
      </c>
      <c r="L432" s="337">
        <f>IF(Quanti!$O$32='TRAD-Saisie données stocks'!$B$51, IF(Quanti!$O$33='TRAD-Saisie données stocks'!$B$51, IF(Quanti!$D$9="X", 'Calculs dispo Données FA'!M11, IF(Quanti!$D$10="X", 'Calculs dispo Données conso'!M13, "0")), Calculs!M262), 0)</f>
        <v>0</v>
      </c>
      <c r="M432" s="337">
        <f>IF(Quanti!$O$37='TRAD-Saisie données stocks'!$B$51, Calculs!N262, 0)</f>
        <v>8969</v>
      </c>
      <c r="N432" s="337">
        <f>IF(Quanti!$O$38='TRAD-Saisie données stocks'!$B$51, Calculs!P262, 0)</f>
        <v>0</v>
      </c>
      <c r="O432" s="423">
        <f>L432+M432+N432</f>
        <v>8969</v>
      </c>
      <c r="P432" s="337">
        <f>IF(Quanti!$O$21="NON", IF(Quanti!$D$10="X",ROUNDUP((Calculs!L317*Quanti!$N$25+Calculs!N317*Calculs!$L$427),0),IF(Quanti!$D$9="X",ROUNDUP((Calculs!O153*Quanti!$N$25+Calculs!N207*Calculs!$L$427),0),"")), 0)</f>
        <v>0</v>
      </c>
      <c r="Q432" s="423">
        <f>IF(P432&gt;O432, 0, IF(Quanti!$N$25&lt;24, O432-P432, 0))</f>
        <v>8969</v>
      </c>
    </row>
    <row r="433" spans="3:17" s="358" customFormat="1" ht="51.75" thickBot="1" x14ac:dyDescent="0.25">
      <c r="C433" s="37"/>
      <c r="D433" s="98"/>
      <c r="E433" s="501" t="str">
        <f>'Saisie données stocks'!F20</f>
        <v>AZT+3TC+NVP</v>
      </c>
      <c r="F433" s="502" t="str">
        <f>'Saisie données stocks'!G20</f>
        <v>Cp</v>
      </c>
      <c r="G433" s="502" t="str">
        <f>'Saisie données stocks'!H20</f>
        <v>60/30/50 mg</v>
      </c>
      <c r="H433" s="502" t="str">
        <f>'Saisie données stocks'!I20</f>
        <v>Zidovudine+ Lamivudine+ Nevirapine</v>
      </c>
      <c r="I433" s="503">
        <f>'Saisie données stocks'!J20</f>
        <v>0</v>
      </c>
      <c r="J433" s="504" t="str">
        <f>'Saisie données stocks'!K20</f>
        <v>DUOVIR-N baby, ZIDOLAM-N baby</v>
      </c>
      <c r="K433" s="505">
        <f>'Saisie données stocks'!L20</f>
        <v>60</v>
      </c>
      <c r="L433" s="337">
        <f>IF(Quanti!$O$32='TRAD-Saisie données stocks'!$B$51, IF(Quanti!$O$33='TRAD-Saisie données stocks'!$B$51, IF(Quanti!$D$9="X", 'Calculs dispo Données FA'!M12, IF(Quanti!$D$10="X", 'Calculs dispo Données conso'!M14, "0")), Calculs!M263), 0)</f>
        <v>0</v>
      </c>
      <c r="M433" s="337">
        <f>IF(Quanti!$O$37='TRAD-Saisie données stocks'!$B$51, Calculs!N263, 0)</f>
        <v>490</v>
      </c>
      <c r="N433" s="337">
        <f>IF(Quanti!$O$38='TRAD-Saisie données stocks'!$B$51, Calculs!P263, 0)</f>
        <v>0</v>
      </c>
      <c r="O433" s="423">
        <f t="shared" ref="O433:O481" si="49">L433+M433+N433</f>
        <v>490</v>
      </c>
      <c r="P433" s="337">
        <f>IF(Quanti!$O$21="NON", IF(Quanti!$D$10="X",ROUNDUP((Calculs!L318*Quanti!$N$25+Calculs!N318*Calculs!$L$427),0),IF(Quanti!$D$9="X",ROUNDUP((Calculs!O154*Quanti!$N$25+Calculs!N208*Calculs!$L$427),0),"")), 0)</f>
        <v>0</v>
      </c>
      <c r="Q433" s="423">
        <f>IF(P433&gt;O433, 0, IF(Quanti!$N$25&lt;24, O433-P433, 0))</f>
        <v>490</v>
      </c>
    </row>
    <row r="434" spans="3:17" s="358" customFormat="1" ht="39" thickBot="1" x14ac:dyDescent="0.25">
      <c r="C434" s="37"/>
      <c r="D434" s="98"/>
      <c r="E434" s="88" t="str">
        <f>'Saisie données stocks'!F21</f>
        <v>AZT+3TC+ABC</v>
      </c>
      <c r="F434" s="89" t="str">
        <f>'Saisie données stocks'!G21</f>
        <v>Cp</v>
      </c>
      <c r="G434" s="89" t="str">
        <f>'Saisie données stocks'!H21</f>
        <v>300/150/300 mg</v>
      </c>
      <c r="H434" s="89" t="str">
        <f>'Saisie données stocks'!I21</f>
        <v>Zidovudine+ Lamivudine+ Abacavir</v>
      </c>
      <c r="I434" s="39" t="str">
        <f>'Saisie données stocks'!J21</f>
        <v>TRIZIVIR</v>
      </c>
      <c r="J434" s="38">
        <f>'Saisie données stocks'!K21</f>
        <v>0</v>
      </c>
      <c r="K434" s="114">
        <f>'Saisie données stocks'!L21</f>
        <v>60</v>
      </c>
      <c r="L434" s="337">
        <f>IF(Quanti!$O$32='TRAD-Saisie données stocks'!$B$51, IF(Quanti!$O$33='TRAD-Saisie données stocks'!$B$51, IF(Quanti!$D$9="X", 'Calculs dispo Données FA'!M13, IF(Quanti!$D$10="X", 'Calculs dispo Données conso'!M15, "0")), Calculs!M264), 0)</f>
        <v>0</v>
      </c>
      <c r="M434" s="337">
        <f>IF(Quanti!$O$37='TRAD-Saisie données stocks'!$B$51, Calculs!N264, 0)</f>
        <v>0</v>
      </c>
      <c r="N434" s="337">
        <f>IF(Quanti!$O$38='TRAD-Saisie données stocks'!$B$51, Calculs!P264, 0)</f>
        <v>0</v>
      </c>
      <c r="O434" s="423">
        <f t="shared" si="49"/>
        <v>0</v>
      </c>
      <c r="P434" s="337">
        <f>IF(Quanti!$O$21="NON", IF(Quanti!$D$10="X",ROUNDUP((Calculs!L319*Quanti!$N$25+Calculs!N319*Calculs!$L$427),0),IF(Quanti!$D$9="X",ROUNDUP((Calculs!O155*Quanti!$N$25+Calculs!N209*Calculs!$L$427),0),"")), 0)</f>
        <v>0</v>
      </c>
      <c r="Q434" s="423">
        <f>IF(P434&gt;O434, 0, IF(Quanti!$N$25&lt;24, O434-P434, 0))</f>
        <v>0</v>
      </c>
    </row>
    <row r="435" spans="3:17" s="358" customFormat="1" ht="51.75" thickBot="1" x14ac:dyDescent="0.25">
      <c r="C435" s="37"/>
      <c r="D435" s="98"/>
      <c r="E435" s="88" t="str">
        <f>'Saisie données stocks'!F22</f>
        <v>AZT+3TC</v>
      </c>
      <c r="F435" s="89" t="str">
        <f>'Saisie données stocks'!G22</f>
        <v>Cp</v>
      </c>
      <c r="G435" s="89" t="str">
        <f>'Saisie données stocks'!H22</f>
        <v>300/150 mg</v>
      </c>
      <c r="H435" s="89" t="str">
        <f>'Saisie données stocks'!I22</f>
        <v>Zidovudine+ Lamivudine</v>
      </c>
      <c r="I435" s="39" t="str">
        <f>'Saisie données stocks'!J22</f>
        <v>COMBIVIR</v>
      </c>
      <c r="J435" s="38" t="str">
        <f>'Saisie données stocks'!K22</f>
        <v>LAMZID, DUOVIR, ZIDOLAM, VIRACOMB</v>
      </c>
      <c r="K435" s="114">
        <f>'Saisie données stocks'!L22</f>
        <v>60</v>
      </c>
      <c r="L435" s="337">
        <f>IF(Quanti!$O$32='TRAD-Saisie données stocks'!$B$51, IF(Quanti!$O$33='TRAD-Saisie données stocks'!$B$51, IF(Quanti!$D$9="X", 'Calculs dispo Données FA'!M14, IF(Quanti!$D$10="X", 'Calculs dispo Données conso'!M16, "0")), Calculs!M265), 0)</f>
        <v>0</v>
      </c>
      <c r="M435" s="337">
        <f>IF(Quanti!$O$37='TRAD-Saisie données stocks'!$B$51, Calculs!N265, 0)</f>
        <v>1052</v>
      </c>
      <c r="N435" s="337">
        <f>IF(Quanti!$O$38='TRAD-Saisie données stocks'!$B$51, Calculs!P265, 0)</f>
        <v>0</v>
      </c>
      <c r="O435" s="423">
        <f t="shared" si="49"/>
        <v>1052</v>
      </c>
      <c r="P435" s="337">
        <f>IF(Quanti!$O$21="NON", IF(Quanti!$D$10="X",ROUNDUP((Calculs!L320*Quanti!$N$25+Calculs!N320*Calculs!$L$427),0),IF(Quanti!$D$9="X",ROUNDUP((Calculs!O156*Quanti!$N$25+Calculs!N210*Calculs!$L$427),0),"")), 0)</f>
        <v>0</v>
      </c>
      <c r="Q435" s="423">
        <f>IF(P435&gt;O435, 0, IF(Quanti!$N$25&lt;24, O435-P435, 0))</f>
        <v>1052</v>
      </c>
    </row>
    <row r="436" spans="3:17" s="358" customFormat="1" ht="51.75" thickBot="1" x14ac:dyDescent="0.25">
      <c r="C436" s="37"/>
      <c r="D436" s="98"/>
      <c r="E436" s="1656" t="str">
        <f>'Saisie données stocks'!F23</f>
        <v>AZT+3TC</v>
      </c>
      <c r="F436" s="1657" t="str">
        <f>'Saisie données stocks'!G23</f>
        <v>Cp</v>
      </c>
      <c r="G436" s="1657" t="str">
        <f>'Saisie données stocks'!H23</f>
        <v>60/30 mg</v>
      </c>
      <c r="H436" s="502" t="str">
        <f>'Saisie données stocks'!I23</f>
        <v>Zidovudine+ Lamivudine</v>
      </c>
      <c r="I436" s="503">
        <f>'Saisie données stocks'!J23</f>
        <v>0</v>
      </c>
      <c r="J436" s="504" t="str">
        <f>'Saisie données stocks'!K23</f>
        <v>DUOVIR baby, ZIDOLAM baby</v>
      </c>
      <c r="K436" s="505">
        <f>'Saisie données stocks'!L23</f>
        <v>60</v>
      </c>
      <c r="L436" s="337">
        <f>IF(Quanti!$O$32='TRAD-Saisie données stocks'!$B$51, IF(Quanti!$O$33='TRAD-Saisie données stocks'!$B$51, IF(Quanti!$D$9="X", 'Calculs dispo Données FA'!M15, IF(Quanti!$D$10="X", 'Calculs dispo Données conso'!M17, "0")), Calculs!M266), 0)</f>
        <v>0</v>
      </c>
      <c r="M436" s="337">
        <f>IF(Quanti!$O$37='TRAD-Saisie données stocks'!$B$51, Calculs!N266, 0)</f>
        <v>160</v>
      </c>
      <c r="N436" s="337">
        <f>IF(Quanti!$O$38='TRAD-Saisie données stocks'!$B$51, Calculs!P266, 0)</f>
        <v>0</v>
      </c>
      <c r="O436" s="423">
        <f t="shared" si="49"/>
        <v>160</v>
      </c>
      <c r="P436" s="337">
        <f>IF(Quanti!$O$21="NON", IF(Quanti!$D$10="X",ROUNDUP((Calculs!L321*Quanti!$N$25+Calculs!N321*Calculs!$L$427),0),IF(Quanti!$D$9="X",ROUNDUP((Calculs!O157*Quanti!$N$25+Calculs!N211*Calculs!$L$427),0),"")), 0)</f>
        <v>0</v>
      </c>
      <c r="Q436" s="423">
        <f>IF(P436&gt;O436, 0, IF(Quanti!$N$25&lt;24, O436-P436, 0))</f>
        <v>160</v>
      </c>
    </row>
    <row r="437" spans="3:17" s="358" customFormat="1" ht="26.25" thickBot="1" x14ac:dyDescent="0.25">
      <c r="C437" s="37"/>
      <c r="D437" s="98"/>
      <c r="E437" s="1656" t="str">
        <f>'Saisie données stocks'!F24</f>
        <v>3TC+ABC</v>
      </c>
      <c r="F437" s="1657" t="str">
        <f>'Saisie données stocks'!G24</f>
        <v>Cp</v>
      </c>
      <c r="G437" s="1657" t="str">
        <f>'Saisie données stocks'!H24</f>
        <v>300/600 mg</v>
      </c>
      <c r="H437" s="502" t="str">
        <f>'Saisie données stocks'!I24</f>
        <v>Lamivudine+ Abacavir</v>
      </c>
      <c r="I437" s="503">
        <f>'Saisie données stocks'!J24</f>
        <v>0</v>
      </c>
      <c r="J437" s="504" t="str">
        <f>'Saisie données stocks'!K24</f>
        <v>KIVEXA</v>
      </c>
      <c r="K437" s="505">
        <f>'Saisie données stocks'!L24</f>
        <v>30</v>
      </c>
      <c r="L437" s="337">
        <f>IF(Quanti!$O$32='TRAD-Saisie données stocks'!$B$51, IF(Quanti!$O$33='TRAD-Saisie données stocks'!$B$51, IF(Quanti!$D$9="X", 'Calculs dispo Données FA'!M16, IF(Quanti!$D$10="X", 'Calculs dispo Données conso'!M18, "0")), Calculs!M267), 0)</f>
        <v>0</v>
      </c>
      <c r="M437" s="337">
        <f>IF(Quanti!$O$37='TRAD-Saisie données stocks'!$B$51, Calculs!N267, 0)</f>
        <v>40</v>
      </c>
      <c r="N437" s="337">
        <f>IF(Quanti!$O$38='TRAD-Saisie données stocks'!$B$51, Calculs!P267, 0)</f>
        <v>305</v>
      </c>
      <c r="O437" s="423">
        <f t="shared" si="49"/>
        <v>345</v>
      </c>
      <c r="P437" s="337">
        <f>IF(Quanti!$O$21="NON", IF(Quanti!$D$10="X",ROUNDUP((Calculs!L322*Quanti!$N$25+Calculs!N322*Calculs!$L$427),0),IF(Quanti!$D$9="X",ROUNDUP((Calculs!O158*Quanti!$N$25+Calculs!N212*Calculs!$L$427),0),"")), 0)</f>
        <v>0</v>
      </c>
      <c r="Q437" s="423">
        <f>IF(P437&gt;O437, 0, IF(Quanti!$N$25&lt;24, O437-P437, 0))</f>
        <v>345</v>
      </c>
    </row>
    <row r="438" spans="3:17" s="358" customFormat="1" ht="26.25" thickBot="1" x14ac:dyDescent="0.25">
      <c r="C438" s="37"/>
      <c r="D438" s="98"/>
      <c r="E438" s="1656" t="str">
        <f>'Saisie données stocks'!F25</f>
        <v>3TC+ABC</v>
      </c>
      <c r="F438" s="1657" t="str">
        <f>'Saisie données stocks'!G25</f>
        <v>Cp</v>
      </c>
      <c r="G438" s="1657" t="str">
        <f>'Saisie données stocks'!H25</f>
        <v>30/60 mg</v>
      </c>
      <c r="H438" s="502" t="str">
        <f>'Saisie données stocks'!I25</f>
        <v>Lamivudine+ Abacavir</v>
      </c>
      <c r="I438" s="503">
        <f>'Saisie données stocks'!J25</f>
        <v>0</v>
      </c>
      <c r="J438" s="504">
        <f>'Saisie données stocks'!K25</f>
        <v>0</v>
      </c>
      <c r="K438" s="505">
        <f>'Saisie données stocks'!L25</f>
        <v>60</v>
      </c>
      <c r="L438" s="337">
        <f>IF(Quanti!$O$32='TRAD-Saisie données stocks'!$B$51, IF(Quanti!$O$33='TRAD-Saisie données stocks'!$B$51, IF(Quanti!$D$9="X", 'Calculs dispo Données FA'!M17, IF(Quanti!$D$10="X", 'Calculs dispo Données conso'!M19, "0")), Calculs!M268), 0)</f>
        <v>0</v>
      </c>
      <c r="M438" s="337">
        <f>IF(Quanti!$O$37='TRAD-Saisie données stocks'!$B$51, Calculs!N268, 0)</f>
        <v>0</v>
      </c>
      <c r="N438" s="337">
        <f>IF(Quanti!$O$38='TRAD-Saisie données stocks'!$B$51, Calculs!P268, 0)</f>
        <v>0</v>
      </c>
      <c r="O438" s="423">
        <f t="shared" si="49"/>
        <v>0</v>
      </c>
      <c r="P438" s="337">
        <f>IF(Quanti!$O$21="NON", IF(Quanti!$D$10="X",ROUNDUP((Calculs!L323*Quanti!$N$25+Calculs!N323*Calculs!$L$427),0),IF(Quanti!$D$9="X",ROUNDUP((Calculs!O159*Quanti!$N$25+Calculs!N213*Calculs!$L$427),0),"")), 0)</f>
        <v>0</v>
      </c>
      <c r="Q438" s="423">
        <f>IF(P438&gt;O438, 0, IF(Quanti!$N$25&lt;24, O438-P438, 0))</f>
        <v>0</v>
      </c>
    </row>
    <row r="439" spans="3:17" s="358" customFormat="1" ht="39" thickBot="1" x14ac:dyDescent="0.25">
      <c r="C439" s="37"/>
      <c r="D439" s="98"/>
      <c r="E439" s="1660" t="str">
        <f>'Saisie données stocks'!F26</f>
        <v>D4T+3TC+NVP</v>
      </c>
      <c r="F439" s="1661" t="str">
        <f>'Saisie données stocks'!G26</f>
        <v>Cp</v>
      </c>
      <c r="G439" s="1661" t="str">
        <f>'Saisie données stocks'!H26</f>
        <v>30/150/200 mg</v>
      </c>
      <c r="H439" s="1207" t="str">
        <f>'Saisie données stocks'!I26</f>
        <v>Stavudine+ Lamivudine+ Nevirapine</v>
      </c>
      <c r="I439" s="41">
        <f>'Saisie données stocks'!J26</f>
        <v>0</v>
      </c>
      <c r="J439" s="40" t="str">
        <f>'Saisie données stocks'!K26</f>
        <v>TRIOMUNE</v>
      </c>
      <c r="K439" s="115">
        <f>'Saisie données stocks'!L26</f>
        <v>60</v>
      </c>
      <c r="L439" s="337">
        <f>IF(Quanti!$O$32='TRAD-Saisie données stocks'!$B$51, IF(Quanti!$O$33='TRAD-Saisie données stocks'!$B$51, IF(Quanti!$D$9="X", 'Calculs dispo Données FA'!M18, IF(Quanti!$D$10="X", 'Calculs dispo Données conso'!M20, "0")), Calculs!M269), 0)</f>
        <v>0</v>
      </c>
      <c r="M439" s="337">
        <f>IF(Quanti!$O$37='TRAD-Saisie données stocks'!$B$51, Calculs!N269, 0)</f>
        <v>0</v>
      </c>
      <c r="N439" s="337">
        <f>IF(Quanti!$O$38='TRAD-Saisie données stocks'!$B$51, Calculs!P269, 0)</f>
        <v>0</v>
      </c>
      <c r="O439" s="423">
        <f t="shared" si="49"/>
        <v>0</v>
      </c>
      <c r="P439" s="337">
        <f>IF(Quanti!$O$21="NON", IF(Quanti!$D$10="X",ROUNDUP((Calculs!L324*Quanti!$N$25+Calculs!N324*Calculs!$L$427),0),IF(Quanti!$D$9="X",ROUNDUP((Calculs!O160*Quanti!$N$25+Calculs!N214*Calculs!$L$427),0),"")), 0)</f>
        <v>0</v>
      </c>
      <c r="Q439" s="423">
        <f>IF(P439&gt;O439, 0, IF(Quanti!$N$25&lt;24, O439-P439, 0))</f>
        <v>0</v>
      </c>
    </row>
    <row r="440" spans="3:17" s="358" customFormat="1" ht="39" thickBot="1" x14ac:dyDescent="0.25">
      <c r="C440" s="37"/>
      <c r="D440" s="98"/>
      <c r="E440" s="1660" t="str">
        <f>'Saisie données stocks'!F27</f>
        <v>D4T+3TC+NVP</v>
      </c>
      <c r="F440" s="1661" t="str">
        <f>'Saisie données stocks'!G27</f>
        <v>Cp</v>
      </c>
      <c r="G440" s="1661" t="str">
        <f>'Saisie données stocks'!H27</f>
        <v>6/30/50 mg</v>
      </c>
      <c r="H440" s="1207" t="str">
        <f>'Saisie données stocks'!I27</f>
        <v>Stavudine+ Lamivudine+ Nevirapine</v>
      </c>
      <c r="I440" s="40">
        <f>'Saisie données stocks'!J27</f>
        <v>0</v>
      </c>
      <c r="J440" s="40" t="str">
        <f>'Saisie données stocks'!K27</f>
        <v>TRIOMUNE baby</v>
      </c>
      <c r="K440" s="115">
        <f>'Saisie données stocks'!L27</f>
        <v>60</v>
      </c>
      <c r="L440" s="337">
        <f>IF(Quanti!$O$32='TRAD-Saisie données stocks'!$B$51, IF(Quanti!$O$33='TRAD-Saisie données stocks'!$B$51, IF(Quanti!$D$9="X", 'Calculs dispo Données FA'!M19, IF(Quanti!$D$10="X", 'Calculs dispo Données conso'!M21, "0")), Calculs!M270), 0)</f>
        <v>0</v>
      </c>
      <c r="M440" s="337">
        <f>IF(Quanti!$O$37='TRAD-Saisie données stocks'!$B$51, Calculs!N270, 0)</f>
        <v>30</v>
      </c>
      <c r="N440" s="337">
        <f>IF(Quanti!$O$38='TRAD-Saisie données stocks'!$B$51, Calculs!P270, 0)</f>
        <v>0</v>
      </c>
      <c r="O440" s="423">
        <f t="shared" si="49"/>
        <v>30</v>
      </c>
      <c r="P440" s="337">
        <f>IF(Quanti!$O$21="NON", IF(Quanti!$D$10="X",ROUNDUP((Calculs!L325*Quanti!$N$25+Calculs!N325*Calculs!$L$427),0),IF(Quanti!$D$9="X",ROUNDUP((Calculs!O161*Quanti!$N$25+Calculs!N215*Calculs!$L$427),0),"")), 0)</f>
        <v>0</v>
      </c>
      <c r="Q440" s="423">
        <f>IF(P440&gt;O440, 0, IF(Quanti!$N$25&lt;24, O440-P440, 0))</f>
        <v>30</v>
      </c>
    </row>
    <row r="441" spans="3:17" s="358" customFormat="1" ht="26.25" thickBot="1" x14ac:dyDescent="0.25">
      <c r="C441" s="37"/>
      <c r="D441" s="98"/>
      <c r="E441" s="1660" t="str">
        <f>'Saisie données stocks'!F28</f>
        <v>D4T+3TC</v>
      </c>
      <c r="F441" s="1661" t="str">
        <f>'Saisie données stocks'!G28</f>
        <v>Cp</v>
      </c>
      <c r="G441" s="1661" t="str">
        <f>'Saisie données stocks'!H28</f>
        <v>30/150 mg</v>
      </c>
      <c r="H441" s="89" t="str">
        <f>'Saisie données stocks'!I28</f>
        <v>Stavudine+ Lamivudine</v>
      </c>
      <c r="I441" s="38">
        <f>'Saisie données stocks'!J28</f>
        <v>0</v>
      </c>
      <c r="J441" s="40" t="str">
        <f>'Saisie données stocks'!K28</f>
        <v>COVIRO, LAMIVIR-S</v>
      </c>
      <c r="K441" s="115">
        <f>'Saisie données stocks'!L28</f>
        <v>60</v>
      </c>
      <c r="L441" s="337">
        <f>IF(Quanti!$O$32='TRAD-Saisie données stocks'!$B$51, IF(Quanti!$O$33='TRAD-Saisie données stocks'!$B$51, IF(Quanti!$D$9="X", 'Calculs dispo Données FA'!M20, IF(Quanti!$D$10="X", 'Calculs dispo Données conso'!M22, "0")), Calculs!M271), 0)</f>
        <v>0</v>
      </c>
      <c r="M441" s="337">
        <f>IF(Quanti!$O$37='TRAD-Saisie données stocks'!$B$51, Calculs!N271, 0)</f>
        <v>14</v>
      </c>
      <c r="N441" s="337">
        <f>IF(Quanti!$O$38='TRAD-Saisie données stocks'!$B$51, Calculs!P271, 0)</f>
        <v>0</v>
      </c>
      <c r="O441" s="423">
        <f t="shared" si="49"/>
        <v>14</v>
      </c>
      <c r="P441" s="337">
        <f>IF(Quanti!$O$21="NON", IF(Quanti!$D$10="X",ROUNDUP((Calculs!L326*Quanti!$N$25+Calculs!N326*Calculs!$L$427),0),IF(Quanti!$D$9="X",ROUNDUP((Calculs!O162*Quanti!$N$25+Calculs!N216*Calculs!$L$427),0),"")), 0)</f>
        <v>0</v>
      </c>
      <c r="Q441" s="423">
        <f>IF(P441&gt;O441, 0, IF(Quanti!$N$25&lt;24, O441-P441, 0))</f>
        <v>14</v>
      </c>
    </row>
    <row r="442" spans="3:17" s="358" customFormat="1" ht="39" thickBot="1" x14ac:dyDescent="0.25">
      <c r="C442" s="37"/>
      <c r="D442" s="98"/>
      <c r="E442" s="1660" t="str">
        <f>'Saisie données stocks'!F29</f>
        <v>TDF+FTC+EFV</v>
      </c>
      <c r="F442" s="1661" t="str">
        <f>'Saisie données stocks'!G29</f>
        <v>Cp</v>
      </c>
      <c r="G442" s="1661" t="str">
        <f>'Saisie données stocks'!H29</f>
        <v>300/200/600 mg</v>
      </c>
      <c r="H442" s="89" t="str">
        <f>'Saisie données stocks'!I29</f>
        <v>Tenofovir+ Emtricitabine+ Efavirenz</v>
      </c>
      <c r="I442" s="38" t="str">
        <f>'Saisie données stocks'!J29</f>
        <v>ATRIPLA</v>
      </c>
      <c r="J442" s="40">
        <f>'Saisie données stocks'!K29</f>
        <v>0</v>
      </c>
      <c r="K442" s="115">
        <f>'Saisie données stocks'!L29</f>
        <v>30</v>
      </c>
      <c r="L442" s="337">
        <f>IF(Quanti!$O$32='TRAD-Saisie données stocks'!$B$51, IF(Quanti!$O$33='TRAD-Saisie données stocks'!$B$51, IF(Quanti!$D$9="X", 'Calculs dispo Données FA'!M21, IF(Quanti!$D$10="X", 'Calculs dispo Données conso'!M23, "0")), Calculs!M272), 0)</f>
        <v>0</v>
      </c>
      <c r="M442" s="337">
        <f>IF(Quanti!$O$37='TRAD-Saisie données stocks'!$B$51, Calculs!N272, 0)</f>
        <v>0</v>
      </c>
      <c r="N442" s="337">
        <f>IF(Quanti!$O$38='TRAD-Saisie données stocks'!$B$51, Calculs!P272, 0)</f>
        <v>0</v>
      </c>
      <c r="O442" s="423">
        <f t="shared" si="49"/>
        <v>0</v>
      </c>
      <c r="P442" s="337">
        <f>IF(Quanti!$O$21="NON", IF(Quanti!$D$10="X",ROUNDUP((Calculs!L327*Quanti!$N$25+Calculs!N327*Calculs!$L$427),0),IF(Quanti!$D$9="X",ROUNDUP((Calculs!O163*Quanti!$N$25+Calculs!N217*Calculs!$L$427),0),"")), 0)</f>
        <v>0</v>
      </c>
      <c r="Q442" s="423">
        <f>IF(P442&gt;O442, 0, IF(Quanti!$N$25&lt;24, O442-P442, 0))</f>
        <v>0</v>
      </c>
    </row>
    <row r="443" spans="3:17" s="358" customFormat="1" ht="26.25" thickBot="1" x14ac:dyDescent="0.25">
      <c r="C443" s="37"/>
      <c r="D443" s="98"/>
      <c r="E443" s="1660" t="str">
        <f>'Saisie données stocks'!F30</f>
        <v>TDF+FTC</v>
      </c>
      <c r="F443" s="1661" t="str">
        <f>'Saisie données stocks'!G30</f>
        <v>Cp</v>
      </c>
      <c r="G443" s="1661" t="str">
        <f>'Saisie données stocks'!H30</f>
        <v>300/200 mg</v>
      </c>
      <c r="H443" s="89" t="str">
        <f>'Saisie données stocks'!I30</f>
        <v>Tenofovir+ Emtricitabine</v>
      </c>
      <c r="I443" s="38" t="str">
        <f>'Saisie données stocks'!J30</f>
        <v>TRUVADA</v>
      </c>
      <c r="J443" s="40">
        <f>'Saisie données stocks'!K30</f>
        <v>0</v>
      </c>
      <c r="K443" s="115">
        <f>'Saisie données stocks'!L30</f>
        <v>30</v>
      </c>
      <c r="L443" s="337">
        <f>IF(Quanti!$O$32='TRAD-Saisie données stocks'!$B$51, IF(Quanti!$O$33='TRAD-Saisie données stocks'!$B$51, IF(Quanti!$D$9="X", 'Calculs dispo Données FA'!M22, IF(Quanti!$D$10="X", 'Calculs dispo Données conso'!M24, "0")), Calculs!M273), 0)</f>
        <v>0</v>
      </c>
      <c r="M443" s="337">
        <f>IF(Quanti!$O$37='TRAD-Saisie données stocks'!$B$51, Calculs!N273, 0)</f>
        <v>0</v>
      </c>
      <c r="N443" s="337">
        <f>IF(Quanti!$O$38='TRAD-Saisie données stocks'!$B$51, Calculs!P273, 0)</f>
        <v>0</v>
      </c>
      <c r="O443" s="423">
        <f t="shared" si="49"/>
        <v>0</v>
      </c>
      <c r="P443" s="337">
        <f>IF(Quanti!$O$21="NON", IF(Quanti!$D$10="X",ROUNDUP((Calculs!L328*Quanti!$N$25+Calculs!N328*Calculs!$L$427),0),IF(Quanti!$D$9="X",ROUNDUP((Calculs!O164*Quanti!$N$25+Calculs!N218*Calculs!$L$427),0),"")), 0)</f>
        <v>0</v>
      </c>
      <c r="Q443" s="423">
        <f>IF(P443&gt;O443, 0, IF(Quanti!$N$25&lt;24, O443-P443, 0))</f>
        <v>0</v>
      </c>
    </row>
    <row r="444" spans="3:17" s="358" customFormat="1" ht="39" thickBot="1" x14ac:dyDescent="0.25">
      <c r="C444" s="37"/>
      <c r="D444" s="123"/>
      <c r="E444" s="1660" t="str">
        <f>'Saisie données stocks'!F31</f>
        <v>TDF+3TC+EFV</v>
      </c>
      <c r="F444" s="1661" t="str">
        <f>'Saisie données stocks'!G31</f>
        <v>Cp</v>
      </c>
      <c r="G444" s="1661" t="str">
        <f>'Saisie données stocks'!H31</f>
        <v>300/200/600 mg</v>
      </c>
      <c r="H444" s="89" t="str">
        <f>'Saisie données stocks'!I31</f>
        <v>Tenofovir+ Lamivudine+ Efavirenz</v>
      </c>
      <c r="I444" s="38" t="str">
        <f>'Saisie données stocks'!J31</f>
        <v>ATRIPLA</v>
      </c>
      <c r="J444" s="40">
        <f>'Saisie données stocks'!K31</f>
        <v>0</v>
      </c>
      <c r="K444" s="115">
        <f>'Saisie données stocks'!L31</f>
        <v>30</v>
      </c>
      <c r="L444" s="337">
        <f>IF(Quanti!$O$32='TRAD-Saisie données stocks'!$B$51, IF(Quanti!$O$33='TRAD-Saisie données stocks'!$B$51, IF(Quanti!$D$9="X", 'Calculs dispo Données FA'!M23, IF(Quanti!$D$10="X", 'Calculs dispo Données conso'!M25, "0")), Calculs!M274), 0)</f>
        <v>0</v>
      </c>
      <c r="M444" s="337">
        <f>IF(Quanti!$O$37='TRAD-Saisie données stocks'!$B$51, Calculs!N274, 0)</f>
        <v>2712</v>
      </c>
      <c r="N444" s="337">
        <f>IF(Quanti!$O$38='TRAD-Saisie données stocks'!$B$51, Calculs!P274, 0)</f>
        <v>0</v>
      </c>
      <c r="O444" s="423">
        <f t="shared" si="49"/>
        <v>2712</v>
      </c>
      <c r="P444" s="337">
        <f>IF(Quanti!$O$21="NON", IF(Quanti!$D$10="X",ROUNDUP((Calculs!L329*Quanti!$N$25+Calculs!N329*Calculs!$L$427),0),IF(Quanti!$D$9="X",ROUNDUP((Calculs!O165*Quanti!$N$25+Calculs!N219*Calculs!$L$427),0),"")), 0)</f>
        <v>0</v>
      </c>
      <c r="Q444" s="423">
        <f>IF(P444&gt;O444, 0, IF(Quanti!$N$25&lt;24, O444-P444, 0))</f>
        <v>2712</v>
      </c>
    </row>
    <row r="445" spans="3:17" s="358" customFormat="1" ht="26.25" thickBot="1" x14ac:dyDescent="0.25">
      <c r="C445" s="37"/>
      <c r="D445" s="123"/>
      <c r="E445" s="1660" t="str">
        <f>'Saisie données stocks'!F32</f>
        <v>TDF+3TC</v>
      </c>
      <c r="F445" s="1661" t="str">
        <f>'Saisie données stocks'!G32</f>
        <v>Cp</v>
      </c>
      <c r="G445" s="1661" t="str">
        <f>'Saisie données stocks'!H32</f>
        <v>300/200 mg</v>
      </c>
      <c r="H445" s="89" t="str">
        <f>'Saisie données stocks'!I32</f>
        <v>Tenofovir+ Lamivudine</v>
      </c>
      <c r="I445" s="38">
        <f>'Saisie données stocks'!J32</f>
        <v>0</v>
      </c>
      <c r="J445" s="40">
        <f>'Saisie données stocks'!K32</f>
        <v>0</v>
      </c>
      <c r="K445" s="115">
        <f>'Saisie données stocks'!L32</f>
        <v>30</v>
      </c>
      <c r="L445" s="337">
        <f>IF(Quanti!$O$32='TRAD-Saisie données stocks'!$B$51, IF(Quanti!$O$33='TRAD-Saisie données stocks'!$B$51, IF(Quanti!$D$9="X", 'Calculs dispo Données FA'!M24, IF(Quanti!$D$10="X", 'Calculs dispo Données conso'!M26, "0")), Calculs!M275), 0)</f>
        <v>0</v>
      </c>
      <c r="M445" s="337">
        <f>IF(Quanti!$O$37='TRAD-Saisie données stocks'!$B$51, Calculs!N275, 0)</f>
        <v>0</v>
      </c>
      <c r="N445" s="337">
        <f>IF(Quanti!$O$38='TRAD-Saisie données stocks'!$B$51, Calculs!P275, 0)</f>
        <v>0</v>
      </c>
      <c r="O445" s="423">
        <f t="shared" si="49"/>
        <v>0</v>
      </c>
      <c r="P445" s="337">
        <f>IF(Quanti!$O$21="NON", IF(Quanti!$D$10="X",ROUNDUP((Calculs!L330*Quanti!$N$25+Calculs!N330*Calculs!$L$427),0),IF(Quanti!$D$9="X",ROUNDUP((Calculs!O166*Quanti!$N$25+Calculs!N220*Calculs!$L$427),0),"")), 0)</f>
        <v>0</v>
      </c>
      <c r="Q445" s="423">
        <f>IF(P445&gt;O445, 0, IF(Quanti!$N$25&lt;24, O445-P445, 0))</f>
        <v>0</v>
      </c>
    </row>
    <row r="446" spans="3:17" s="358" customFormat="1" ht="51.75" thickBot="1" x14ac:dyDescent="0.25">
      <c r="C446" s="100"/>
      <c r="D446" s="101"/>
      <c r="E446" s="1663" t="str">
        <f>'Saisie données stocks'!F33</f>
        <v>[TDF+3TC]+ATV/r</v>
      </c>
      <c r="F446" s="1664" t="str">
        <f>'Saisie données stocks'!G33</f>
        <v>Cp coblister</v>
      </c>
      <c r="G446" s="1664" t="str">
        <f>'Saisie données stocks'!H33</f>
        <v>[300/300]+300/100 mg</v>
      </c>
      <c r="H446" s="1640" t="str">
        <f>'Saisie données stocks'!I33</f>
        <v>[Tenofovir+ Lamivudine]+ Atazanavir/Ritonavir</v>
      </c>
      <c r="I446" s="104">
        <f>'Saisie données stocks'!J33</f>
        <v>0</v>
      </c>
      <c r="J446" s="105">
        <f>'Saisie données stocks'!K33</f>
        <v>0</v>
      </c>
      <c r="K446" s="116">
        <f>'Saisie données stocks'!L33</f>
        <v>30</v>
      </c>
      <c r="L446" s="337">
        <f>IF(Quanti!$O$32='TRAD-Saisie données stocks'!$B$51, IF(Quanti!$O$33='TRAD-Saisie données stocks'!$B$51, IF(Quanti!$D$9="X", 'Calculs dispo Données FA'!M25, IF(Quanti!$D$10="X", 'Calculs dispo Données conso'!M27, "0")), Calculs!M276), 0)</f>
        <v>0</v>
      </c>
      <c r="M446" s="337">
        <f>IF(Quanti!$O$37='TRAD-Saisie données stocks'!$B$51, Calculs!N276, 0)</f>
        <v>0</v>
      </c>
      <c r="N446" s="337">
        <f>IF(Quanti!$O$38='TRAD-Saisie données stocks'!$B$51, Calculs!P276, 0)</f>
        <v>0</v>
      </c>
      <c r="O446" s="423">
        <f t="shared" si="49"/>
        <v>0</v>
      </c>
      <c r="P446" s="337">
        <f>IF(Quanti!$O$21="NON", IF(Quanti!$D$10="X",ROUNDUP((Calculs!L331*Quanti!$N$25+Calculs!N331*Calculs!$L$427),0),IF(Quanti!$D$9="X",ROUNDUP((Calculs!O167*Quanti!$N$25+Calculs!N221*Calculs!$L$427),0),"")), 0)</f>
        <v>0</v>
      </c>
      <c r="Q446" s="423">
        <f>IF(P446&gt;O446, 0, IF(Quanti!$N$25&lt;24, O446-P446, 0))</f>
        <v>0</v>
      </c>
    </row>
    <row r="447" spans="3:17" s="358" customFormat="1" ht="26.25" thickBot="1" x14ac:dyDescent="0.25">
      <c r="C447" s="37"/>
      <c r="D447" s="98" t="str">
        <f>'Saisie données stocks'!$E$34</f>
        <v>INNTI</v>
      </c>
      <c r="E447" s="1658" t="str">
        <f>'Saisie données stocks'!F34</f>
        <v>EFV</v>
      </c>
      <c r="F447" s="1659" t="str">
        <f>'Saisie données stocks'!G34</f>
        <v>Gél</v>
      </c>
      <c r="G447" s="1659" t="str">
        <f>'Saisie données stocks'!H34</f>
        <v>50 mg</v>
      </c>
      <c r="H447" s="89" t="str">
        <f>'Saisie données stocks'!I34</f>
        <v>Efavirenz</v>
      </c>
      <c r="I447" s="38" t="str">
        <f>'Saisie données stocks'!J34</f>
        <v>SUSTIVA, STOCRIN</v>
      </c>
      <c r="J447" s="38">
        <f>'Saisie données stocks'!K34</f>
        <v>0</v>
      </c>
      <c r="K447" s="114">
        <f>'Saisie données stocks'!L34</f>
        <v>30</v>
      </c>
      <c r="L447" s="337">
        <f>IF(Quanti!$O$32='TRAD-Saisie données stocks'!$B$51, IF(Quanti!$O$33='TRAD-Saisie données stocks'!$B$51, IF(Quanti!$D$9="X", 'Calculs dispo Données FA'!M26, IF(Quanti!$D$10="X", 'Calculs dispo Données conso'!M28, "0")), Calculs!M277), 0)</f>
        <v>0</v>
      </c>
      <c r="M447" s="337">
        <f>IF(Quanti!$O$37='TRAD-Saisie données stocks'!$B$51, Calculs!N277, 0)</f>
        <v>0</v>
      </c>
      <c r="N447" s="337">
        <f>IF(Quanti!$O$38='TRAD-Saisie données stocks'!$B$51, Calculs!P277, 0)</f>
        <v>0</v>
      </c>
      <c r="O447" s="423">
        <f t="shared" si="49"/>
        <v>0</v>
      </c>
      <c r="P447" s="337">
        <f>IF(Quanti!$O$21="NON", IF(Quanti!$D$10="X",ROUNDUP((Calculs!L332*Quanti!$N$25+Calculs!N332*Calculs!$L$427),0),IF(Quanti!$D$9="X",ROUNDUP((Calculs!O168*Quanti!$N$25+Calculs!N222*Calculs!$L$427),0),"")), 0)</f>
        <v>0</v>
      </c>
      <c r="Q447" s="423">
        <f>IF(P447&gt;O447, 0, IF(Quanti!$N$25&lt;24, O447-P447, 0))</f>
        <v>0</v>
      </c>
    </row>
    <row r="448" spans="3:17" s="358" customFormat="1" ht="26.25" thickBot="1" x14ac:dyDescent="0.25">
      <c r="C448" s="37"/>
      <c r="D448" s="98"/>
      <c r="E448" s="1660" t="str">
        <f>'Saisie données stocks'!F35</f>
        <v>EFV</v>
      </c>
      <c r="F448" s="1661" t="str">
        <f>'Saisie données stocks'!G35</f>
        <v>Gél</v>
      </c>
      <c r="G448" s="1661" t="str">
        <f>'Saisie données stocks'!H35</f>
        <v>200 mg</v>
      </c>
      <c r="H448" s="89" t="str">
        <f>'Saisie données stocks'!I35</f>
        <v>Efavirenz</v>
      </c>
      <c r="I448" s="38" t="str">
        <f>'Saisie données stocks'!J35</f>
        <v>SUSTIVA, STOCRIN</v>
      </c>
      <c r="J448" s="40">
        <f>'Saisie données stocks'!K35</f>
        <v>0</v>
      </c>
      <c r="K448" s="115">
        <f>'Saisie données stocks'!L35</f>
        <v>90</v>
      </c>
      <c r="L448" s="337">
        <f>IF(Quanti!$O$32='TRAD-Saisie données stocks'!$B$51, IF(Quanti!$O$33='TRAD-Saisie données stocks'!$B$51, IF(Quanti!$D$9="X", 'Calculs dispo Données FA'!M27, IF(Quanti!$D$10="X", 'Calculs dispo Données conso'!M29, "0")), Calculs!M278), 0)</f>
        <v>0</v>
      </c>
      <c r="M448" s="337">
        <f>IF(Quanti!$O$37='TRAD-Saisie données stocks'!$B$51, Calculs!N278, 0)</f>
        <v>0</v>
      </c>
      <c r="N448" s="337">
        <f>IF(Quanti!$O$38='TRAD-Saisie données stocks'!$B$51, Calculs!P278, 0)</f>
        <v>108</v>
      </c>
      <c r="O448" s="423">
        <f t="shared" si="49"/>
        <v>108</v>
      </c>
      <c r="P448" s="337">
        <f>IF(Quanti!$O$21="NON", IF(Quanti!$D$10="X",ROUNDUP((Calculs!L333*Quanti!$N$25+Calculs!N333*Calculs!$L$427),0),IF(Quanti!$D$9="X",ROUNDUP((Calculs!O169*Quanti!$N$25+Calculs!N223*Calculs!$L$427),0),"")), 0)</f>
        <v>0</v>
      </c>
      <c r="Q448" s="423">
        <f>IF(P448&gt;O448, 0, IF(Quanti!$N$25&lt;24, O448-P448, 0))</f>
        <v>108</v>
      </c>
    </row>
    <row r="449" spans="3:17" s="358" customFormat="1" ht="26.25" thickBot="1" x14ac:dyDescent="0.25">
      <c r="C449" s="37"/>
      <c r="D449" s="98"/>
      <c r="E449" s="1665" t="str">
        <f>'Saisie données stocks'!F36</f>
        <v>EFV</v>
      </c>
      <c r="F449" s="1666" t="str">
        <f>'Saisie données stocks'!G36</f>
        <v>Cp</v>
      </c>
      <c r="G449" s="1666" t="str">
        <f>'Saisie données stocks'!H36</f>
        <v>600 mg</v>
      </c>
      <c r="H449" s="1210" t="str">
        <f>'Saisie données stocks'!I36</f>
        <v>Efavirenz</v>
      </c>
      <c r="I449" s="38" t="str">
        <f>'Saisie données stocks'!J36</f>
        <v>SUSTIVA, STOCRIN</v>
      </c>
      <c r="J449" s="96">
        <f>'Saisie données stocks'!K36</f>
        <v>0</v>
      </c>
      <c r="K449" s="117">
        <f>'Saisie données stocks'!L36</f>
        <v>30</v>
      </c>
      <c r="L449" s="337">
        <f>IF(Quanti!$O$32='TRAD-Saisie données stocks'!$B$51, IF(Quanti!$O$33='TRAD-Saisie données stocks'!$B$51, IF(Quanti!$D$9="X", 'Calculs dispo Données FA'!M28, IF(Quanti!$D$10="X", 'Calculs dispo Données conso'!M30, "0")), Calculs!M279), 0)</f>
        <v>0</v>
      </c>
      <c r="M449" s="337">
        <f>IF(Quanti!$O$37='TRAD-Saisie données stocks'!$B$51, Calculs!N279, 0)</f>
        <v>2210</v>
      </c>
      <c r="N449" s="337">
        <f>IF(Quanti!$O$38='TRAD-Saisie données stocks'!$B$51, Calculs!P279, 0)</f>
        <v>0</v>
      </c>
      <c r="O449" s="423">
        <f t="shared" si="49"/>
        <v>2210</v>
      </c>
      <c r="P449" s="337">
        <f>IF(Quanti!$O$21="NON", IF(Quanti!$D$10="X",ROUNDUP((Calculs!L334*Quanti!$N$25+Calculs!N334*Calculs!$L$427),0),IF(Quanti!$D$9="X",ROUNDUP((Calculs!O170*Quanti!$N$25+Calculs!N224*Calculs!$L$427),0),"")), 0)</f>
        <v>0</v>
      </c>
      <c r="Q449" s="423">
        <f>IF(P449&gt;O449, 0, IF(Quanti!$N$25&lt;24, O449-P449, 0))</f>
        <v>2210</v>
      </c>
    </row>
    <row r="450" spans="3:17" s="358" customFormat="1" ht="13.5" thickBot="1" x14ac:dyDescent="0.25">
      <c r="C450" s="37"/>
      <c r="D450" s="98"/>
      <c r="E450" s="1667" t="str">
        <f>'Saisie données stocks'!F37</f>
        <v>ETV</v>
      </c>
      <c r="F450" s="1668" t="str">
        <f>'Saisie données stocks'!G37</f>
        <v>Cp</v>
      </c>
      <c r="G450" s="1668" t="str">
        <f>'Saisie données stocks'!H37</f>
        <v>200 mg</v>
      </c>
      <c r="H450" s="1210" t="str">
        <f>'Saisie données stocks'!I37</f>
        <v>Etravirine</v>
      </c>
      <c r="I450" s="1212" t="str">
        <f>'Saisie données stocks'!J37</f>
        <v>INTELENCE</v>
      </c>
      <c r="J450" s="1638">
        <f>'Saisie données stocks'!K37</f>
        <v>0</v>
      </c>
      <c r="K450" s="1386">
        <f>'Saisie données stocks'!L37</f>
        <v>60</v>
      </c>
      <c r="L450" s="337">
        <f>IF(Quanti!$O$32='TRAD-Saisie données stocks'!$B$51, IF(Quanti!$O$33='TRAD-Saisie données stocks'!$B$51, IF(Quanti!$D$9="X", 'Calculs dispo Données FA'!M29, IF(Quanti!$D$10="X", 'Calculs dispo Données conso'!M31, "0")), Calculs!M280), 0)</f>
        <v>0</v>
      </c>
      <c r="M450" s="337">
        <f>IF(Quanti!$O$37='TRAD-Saisie données stocks'!$B$51, Calculs!N280, 0)</f>
        <v>0</v>
      </c>
      <c r="N450" s="337">
        <f>IF(Quanti!$O$38='TRAD-Saisie données stocks'!$B$51, Calculs!P280, 0)</f>
        <v>0</v>
      </c>
      <c r="O450" s="423">
        <f t="shared" si="49"/>
        <v>0</v>
      </c>
      <c r="P450" s="337">
        <f>IF(Quanti!$O$21="NON", IF(Quanti!$D$10="X",ROUNDUP((Calculs!L335*Quanti!$N$25+Calculs!N335*Calculs!$L$427),0),IF(Quanti!$D$9="X",ROUNDUP((Calculs!O171*Quanti!$N$25+Calculs!N225*Calculs!$L$427),0),"")), 0)</f>
        <v>0</v>
      </c>
      <c r="Q450" s="423">
        <f>IF(P450&gt;O450, 0, IF(Quanti!$N$25&lt;24, O450-P450, 0))</f>
        <v>0</v>
      </c>
    </row>
    <row r="451" spans="3:17" s="358" customFormat="1" ht="13.5" thickBot="1" x14ac:dyDescent="0.25">
      <c r="C451" s="37"/>
      <c r="D451" s="123"/>
      <c r="E451" s="1660" t="str">
        <f>'Saisie données stocks'!F38</f>
        <v>NVP</v>
      </c>
      <c r="F451" s="1661" t="str">
        <f>'Saisie données stocks'!G38</f>
        <v>Cp</v>
      </c>
      <c r="G451" s="1661" t="str">
        <f>'Saisie données stocks'!H38</f>
        <v>200 mg</v>
      </c>
      <c r="H451" s="89" t="str">
        <f>'Saisie données stocks'!I38</f>
        <v>Nevirapine</v>
      </c>
      <c r="I451" s="38" t="str">
        <f>'Saisie données stocks'!J38</f>
        <v>VIRAMUNE</v>
      </c>
      <c r="J451" s="40">
        <f>'Saisie données stocks'!K38</f>
        <v>0</v>
      </c>
      <c r="K451" s="115">
        <f>'Saisie données stocks'!L38</f>
        <v>60</v>
      </c>
      <c r="L451" s="337">
        <f>IF(Quanti!$O$32='TRAD-Saisie données stocks'!$B$51, IF(Quanti!$O$33='TRAD-Saisie données stocks'!$B$51, IF(Quanti!$D$9="X", 'Calculs dispo Données FA'!M30, IF(Quanti!$D$10="X", 'Calculs dispo Données conso'!M32, "0")), Calculs!M281), 0)</f>
        <v>0</v>
      </c>
      <c r="M451" s="337">
        <f>IF(Quanti!$O$37='TRAD-Saisie données stocks'!$B$51, Calculs!N281, 0)</f>
        <v>0</v>
      </c>
      <c r="N451" s="337">
        <f>IF(Quanti!$O$38='TRAD-Saisie données stocks'!$B$51, Calculs!P281, 0)</f>
        <v>0</v>
      </c>
      <c r="O451" s="423">
        <f t="shared" si="49"/>
        <v>0</v>
      </c>
      <c r="P451" s="337">
        <f>IF(Quanti!$O$21="NON", IF(Quanti!$D$10="X",ROUNDUP((Calculs!L336*Quanti!$N$25+Calculs!N336*Calculs!$L$427),0),IF(Quanti!$D$9="X",ROUNDUP((Calculs!O172*Quanti!$N$25+Calculs!N226*Calculs!$L$427),0),"")), 0)</f>
        <v>0</v>
      </c>
      <c r="Q451" s="423">
        <f>IF(P451&gt;O451, 0, IF(Quanti!$N$25&lt;24, O451-P451, 0))</f>
        <v>0</v>
      </c>
    </row>
    <row r="452" spans="3:17" s="358" customFormat="1" ht="13.5" thickBot="1" x14ac:dyDescent="0.25">
      <c r="C452" s="100"/>
      <c r="D452" s="101"/>
      <c r="E452" s="1663" t="str">
        <f>'Saisie données stocks'!F39</f>
        <v>RPV</v>
      </c>
      <c r="F452" s="1664" t="str">
        <f>'Saisie données stocks'!G39</f>
        <v>Cp</v>
      </c>
      <c r="G452" s="1664" t="str">
        <f>'Saisie données stocks'!H39</f>
        <v>25 mg</v>
      </c>
      <c r="H452" s="1640" t="str">
        <f>'Saisie données stocks'!I39</f>
        <v>Rilpivirine</v>
      </c>
      <c r="I452" s="104" t="str">
        <f>'Saisie données stocks'!J39</f>
        <v>EDURANT</v>
      </c>
      <c r="J452" s="105">
        <f>'Saisie données stocks'!K39</f>
        <v>0</v>
      </c>
      <c r="K452" s="116">
        <f>'Saisie données stocks'!L39</f>
        <v>30</v>
      </c>
      <c r="L452" s="337">
        <f>IF(Quanti!$O$32='TRAD-Saisie données stocks'!$B$51, IF(Quanti!$O$33='TRAD-Saisie données stocks'!$B$51, IF(Quanti!$D$9="X", 'Calculs dispo Données FA'!M31, IF(Quanti!$D$10="X", 'Calculs dispo Données conso'!M33, "0")), Calculs!M282), 0)</f>
        <v>0</v>
      </c>
      <c r="M452" s="337">
        <f>IF(Quanti!$O$37='TRAD-Saisie données stocks'!$B$51, Calculs!N282, 0)</f>
        <v>0</v>
      </c>
      <c r="N452" s="337">
        <f>IF(Quanti!$O$38='TRAD-Saisie données stocks'!$B$51, Calculs!P282, 0)</f>
        <v>0</v>
      </c>
      <c r="O452" s="423">
        <f t="shared" si="49"/>
        <v>0</v>
      </c>
      <c r="P452" s="337">
        <f>IF(Quanti!$O$21="NON", IF(Quanti!$D$10="X",ROUNDUP((Calculs!L337*Quanti!$N$25+Calculs!N337*Calculs!$L$427),0),IF(Quanti!$D$9="X",ROUNDUP((Calculs!O173*Quanti!$N$25+Calculs!N227*Calculs!$L$427),0),"")), 0)</f>
        <v>0</v>
      </c>
      <c r="Q452" s="423">
        <f>IF(P452&gt;O452, 0, IF(Quanti!$N$25&lt;24, O452-P452, 0))</f>
        <v>0</v>
      </c>
    </row>
    <row r="453" spans="3:17" s="358" customFormat="1" ht="26.25" thickBot="1" x14ac:dyDescent="0.25">
      <c r="C453" s="37"/>
      <c r="D453" s="123" t="str">
        <f>'Saisie données stocks'!$E$40</f>
        <v>INTI</v>
      </c>
      <c r="E453" s="1660" t="str">
        <f>'Saisie données stocks'!F40</f>
        <v>ABC</v>
      </c>
      <c r="F453" s="1661" t="str">
        <f>'Saisie données stocks'!G40</f>
        <v>Cp</v>
      </c>
      <c r="G453" s="1661" t="str">
        <f>'Saisie données stocks'!H40</f>
        <v>300 mg</v>
      </c>
      <c r="H453" s="89" t="str">
        <f>'Saisie données stocks'!I40</f>
        <v>Abacavir</v>
      </c>
      <c r="I453" s="38" t="str">
        <f>'Saisie données stocks'!J40</f>
        <v>ZIAGEN</v>
      </c>
      <c r="J453" s="40" t="str">
        <f>'Saisie données stocks'!K40</f>
        <v>ABAVIR, VIROL</v>
      </c>
      <c r="K453" s="115">
        <f>'Saisie données stocks'!L40</f>
        <v>60</v>
      </c>
      <c r="L453" s="337">
        <f>IF(Quanti!$O$32='TRAD-Saisie données stocks'!$B$51, IF(Quanti!$O$33='TRAD-Saisie données stocks'!$B$51, IF(Quanti!$D$9="X", 'Calculs dispo Données FA'!M32, IF(Quanti!$D$10="X", 'Calculs dispo Données conso'!M34, "0")), Calculs!M283), 0)</f>
        <v>0</v>
      </c>
      <c r="M453" s="337">
        <f>IF(Quanti!$O$37='TRAD-Saisie données stocks'!$B$51, Calculs!N283, 0)</f>
        <v>0</v>
      </c>
      <c r="N453" s="337">
        <f>IF(Quanti!$O$38='TRAD-Saisie données stocks'!$B$51, Calculs!P283, 0)</f>
        <v>0</v>
      </c>
      <c r="O453" s="423">
        <f t="shared" si="49"/>
        <v>0</v>
      </c>
      <c r="P453" s="337">
        <f>IF(Quanti!$O$21="NON", IF(Quanti!$D$10="X",ROUNDUP((Calculs!L338*Quanti!$N$25+Calculs!N338*Calculs!$L$427),0),IF(Quanti!$D$9="X",ROUNDUP((Calculs!O174*Quanti!$N$25+Calculs!N228*Calculs!$L$427),0),"")), 0)</f>
        <v>0</v>
      </c>
      <c r="Q453" s="423">
        <f>IF(P453&gt;O453, 0, IF(Quanti!$N$25&lt;24, O453-P453, 0))</f>
        <v>0</v>
      </c>
    </row>
    <row r="454" spans="3:17" s="358" customFormat="1" ht="13.5" thickBot="1" x14ac:dyDescent="0.25">
      <c r="C454" s="37"/>
      <c r="D454" s="98"/>
      <c r="E454" s="1658" t="str">
        <f>'Saisie données stocks'!F41</f>
        <v>ABC</v>
      </c>
      <c r="F454" s="1659" t="str">
        <f>'Saisie données stocks'!G41</f>
        <v>Cp</v>
      </c>
      <c r="G454" s="1659" t="str">
        <f>'Saisie données stocks'!H41</f>
        <v>60 mg</v>
      </c>
      <c r="H454" s="89" t="str">
        <f>'Saisie données stocks'!I41</f>
        <v>Abacavir</v>
      </c>
      <c r="I454" s="39">
        <f>'Saisie données stocks'!J41</f>
        <v>0</v>
      </c>
      <c r="J454" s="38">
        <f>'Saisie données stocks'!K41</f>
        <v>0</v>
      </c>
      <c r="K454" s="114">
        <f>'Saisie données stocks'!L41</f>
        <v>60</v>
      </c>
      <c r="L454" s="337">
        <f>IF(Quanti!$O$32='TRAD-Saisie données stocks'!$B$51, IF(Quanti!$O$33='TRAD-Saisie données stocks'!$B$51, IF(Quanti!$D$9="X", 'Calculs dispo Données FA'!M33, IF(Quanti!$D$10="X", 'Calculs dispo Données conso'!M35, "0")), Calculs!M284), 0)</f>
        <v>0</v>
      </c>
      <c r="M454" s="337">
        <f>IF(Quanti!$O$37='TRAD-Saisie données stocks'!$B$51, Calculs!N284, 0)</f>
        <v>0</v>
      </c>
      <c r="N454" s="337">
        <f>IF(Quanti!$O$38='TRAD-Saisie données stocks'!$B$51, Calculs!P284, 0)</f>
        <v>0</v>
      </c>
      <c r="O454" s="423">
        <f t="shared" si="49"/>
        <v>0</v>
      </c>
      <c r="P454" s="337">
        <f>IF(Quanti!$O$21="NON", IF(Quanti!$D$10="X",ROUNDUP((Calculs!L339*Quanti!$N$25+Calculs!N339*Calculs!$L$427),0),IF(Quanti!$D$9="X",ROUNDUP((Calculs!O175*Quanti!$N$25+Calculs!N229*Calculs!$L$427),0),"")), 0)</f>
        <v>0</v>
      </c>
      <c r="Q454" s="423">
        <f>IF(P454&gt;O454, 0, IF(Quanti!$N$25&lt;24, O454-P454, 0))</f>
        <v>0</v>
      </c>
    </row>
    <row r="455" spans="3:17" s="358" customFormat="1" ht="13.5" thickBot="1" x14ac:dyDescent="0.25">
      <c r="C455" s="37"/>
      <c r="D455" s="98"/>
      <c r="E455" s="1658" t="str">
        <f>'Saisie données stocks'!F42</f>
        <v>AZT</v>
      </c>
      <c r="F455" s="1659" t="str">
        <f>'Saisie données stocks'!G42</f>
        <v>Cp</v>
      </c>
      <c r="G455" s="1661" t="str">
        <f>'Saisie données stocks'!H42</f>
        <v>300 mg</v>
      </c>
      <c r="H455" s="89" t="str">
        <f>'Saisie données stocks'!I42</f>
        <v>Zidovudine</v>
      </c>
      <c r="I455" s="39" t="str">
        <f>'Saisie données stocks'!J42</f>
        <v>RETROVIR</v>
      </c>
      <c r="J455" s="38">
        <f>'Saisie données stocks'!K42</f>
        <v>0</v>
      </c>
      <c r="K455" s="114">
        <f>'Saisie données stocks'!L42</f>
        <v>60</v>
      </c>
      <c r="L455" s="337">
        <f>IF(Quanti!$O$32='TRAD-Saisie données stocks'!$B$51, IF(Quanti!$O$33='TRAD-Saisie données stocks'!$B$51, IF(Quanti!$D$9="X", 'Calculs dispo Données FA'!M34, IF(Quanti!$D$10="X", 'Calculs dispo Données conso'!M36, "0")), Calculs!M285), 0)</f>
        <v>0</v>
      </c>
      <c r="M455" s="337">
        <f>IF(Quanti!$O$37='TRAD-Saisie données stocks'!$B$51, Calculs!N285, 0)</f>
        <v>0</v>
      </c>
      <c r="N455" s="337">
        <f>IF(Quanti!$O$38='TRAD-Saisie données stocks'!$B$51, Calculs!P285, 0)</f>
        <v>0</v>
      </c>
      <c r="O455" s="423">
        <f t="shared" si="49"/>
        <v>0</v>
      </c>
      <c r="P455" s="337">
        <f>IF(Quanti!$O$21="NON", IF(Quanti!$D$10="X",ROUNDUP((Calculs!L340*Quanti!$N$25+Calculs!N340*Calculs!$L$427),0),IF(Quanti!$D$9="X",ROUNDUP((Calculs!O176*Quanti!$N$25+Calculs!N230*Calculs!$L$427),0),"")), 0)</f>
        <v>0</v>
      </c>
      <c r="Q455" s="423">
        <f>IF(P455&gt;O455, 0, IF(Quanti!$N$25&lt;24, O455-P455, 0))</f>
        <v>0</v>
      </c>
    </row>
    <row r="456" spans="3:17" s="358" customFormat="1" ht="13.5" thickBot="1" x14ac:dyDescent="0.25">
      <c r="C456" s="37"/>
      <c r="D456" s="98"/>
      <c r="E456" s="1658" t="str">
        <f>'Saisie données stocks'!F43</f>
        <v>AZT</v>
      </c>
      <c r="F456" s="1659" t="str">
        <f>'Saisie données stocks'!G43</f>
        <v>Cp</v>
      </c>
      <c r="G456" s="1662" t="str">
        <f>'Saisie données stocks'!H43</f>
        <v>100 mg</v>
      </c>
      <c r="H456" s="89" t="str">
        <f>'Saisie données stocks'!I43</f>
        <v>Zidovudine</v>
      </c>
      <c r="I456" s="39" t="str">
        <f>'Saisie données stocks'!J43</f>
        <v>RETROVIR</v>
      </c>
      <c r="J456" s="38">
        <f>'Saisie données stocks'!K43</f>
        <v>0</v>
      </c>
      <c r="K456" s="114">
        <f>'Saisie données stocks'!L43</f>
        <v>100</v>
      </c>
      <c r="L456" s="337">
        <f>IF(Quanti!$O$32='TRAD-Saisie données stocks'!$B$51, IF(Quanti!$O$33='TRAD-Saisie données stocks'!$B$51, IF(Quanti!$D$9="X", 'Calculs dispo Données FA'!M35, IF(Quanti!$D$10="X", 'Calculs dispo Données conso'!M37, "0")), Calculs!M286), 0)</f>
        <v>0</v>
      </c>
      <c r="M456" s="337">
        <f>IF(Quanti!$O$37='TRAD-Saisie données stocks'!$B$51, Calculs!N286, 0)</f>
        <v>0</v>
      </c>
      <c r="N456" s="337">
        <f>IF(Quanti!$O$38='TRAD-Saisie données stocks'!$B$51, Calculs!P286, 0)</f>
        <v>0</v>
      </c>
      <c r="O456" s="423">
        <f t="shared" si="49"/>
        <v>0</v>
      </c>
      <c r="P456" s="337">
        <f>IF(Quanti!$O$21="NON", IF(Quanti!$D$10="X",ROUNDUP((Calculs!L341*Quanti!$N$25+Calculs!N341*Calculs!$L$427),0),IF(Quanti!$D$9="X",ROUNDUP((Calculs!O177*Quanti!$N$25+Calculs!N231*Calculs!$L$427),0),"")), 0)</f>
        <v>0</v>
      </c>
      <c r="Q456" s="423">
        <f>IF(P456&gt;O456, 0, IF(Quanti!$N$25&lt;24, O456-P456, 0))</f>
        <v>0</v>
      </c>
    </row>
    <row r="457" spans="3:17" s="358" customFormat="1" ht="13.5" thickBot="1" x14ac:dyDescent="0.25">
      <c r="C457" s="37"/>
      <c r="D457" s="98"/>
      <c r="E457" s="1658" t="str">
        <f>'Saisie données stocks'!F44</f>
        <v>AZT</v>
      </c>
      <c r="F457" s="1659" t="str">
        <f>'Saisie données stocks'!G44</f>
        <v>Cp</v>
      </c>
      <c r="G457" s="1662" t="str">
        <f>'Saisie données stocks'!H44</f>
        <v>60 mg</v>
      </c>
      <c r="H457" s="89" t="str">
        <f>'Saisie données stocks'!I44</f>
        <v>Zidovudine</v>
      </c>
      <c r="I457" s="39">
        <f>'Saisie données stocks'!J44</f>
        <v>0</v>
      </c>
      <c r="J457" s="38">
        <f>'Saisie données stocks'!K44</f>
        <v>0</v>
      </c>
      <c r="K457" s="114">
        <f>'Saisie données stocks'!L44</f>
        <v>60</v>
      </c>
      <c r="L457" s="337">
        <f>IF(Quanti!$O$32='TRAD-Saisie données stocks'!$B$51, IF(Quanti!$O$33='TRAD-Saisie données stocks'!$B$51, IF(Quanti!$D$9="X", 'Calculs dispo Données FA'!M36, IF(Quanti!$D$10="X", 'Calculs dispo Données conso'!M38, "0")), Calculs!M287), 0)</f>
        <v>0</v>
      </c>
      <c r="M457" s="337">
        <f>IF(Quanti!$O$37='TRAD-Saisie données stocks'!$B$51, Calculs!N287, 0)</f>
        <v>0</v>
      </c>
      <c r="N457" s="337">
        <f>IF(Quanti!$O$38='TRAD-Saisie données stocks'!$B$51, Calculs!P287, 0)</f>
        <v>0</v>
      </c>
      <c r="O457" s="423">
        <f t="shared" si="49"/>
        <v>0</v>
      </c>
      <c r="P457" s="337">
        <f>IF(Quanti!$O$21="NON", IF(Quanti!$D$10="X",ROUNDUP((Calculs!L342*Quanti!$N$25+Calculs!N342*Calculs!$L$427),0),IF(Quanti!$D$9="X",ROUNDUP((Calculs!O178*Quanti!$N$25+Calculs!N232*Calculs!$L$427),0),"")), 0)</f>
        <v>0</v>
      </c>
      <c r="Q457" s="423">
        <f>IF(P457&gt;O457, 0, IF(Quanti!$N$25&lt;24, O457-P457, 0))</f>
        <v>0</v>
      </c>
    </row>
    <row r="458" spans="3:17" s="358" customFormat="1" ht="13.5" thickBot="1" x14ac:dyDescent="0.25">
      <c r="C458" s="37"/>
      <c r="D458" s="98"/>
      <c r="E458" s="1669" t="str">
        <f>'Saisie données stocks'!F45</f>
        <v>D4T</v>
      </c>
      <c r="F458" s="1670" t="str">
        <f>'Saisie données stocks'!G45</f>
        <v>Cp</v>
      </c>
      <c r="G458" s="1671" t="str">
        <f>'Saisie données stocks'!H45</f>
        <v>30 mg</v>
      </c>
      <c r="H458" s="377" t="str">
        <f>'Saisie données stocks'!I45</f>
        <v>Stavudine</v>
      </c>
      <c r="I458" s="378" t="str">
        <f>'Saisie données stocks'!J45</f>
        <v>ZERIT</v>
      </c>
      <c r="J458" s="379" t="str">
        <f>'Saisie données stocks'!K45</f>
        <v>STAVIR</v>
      </c>
      <c r="K458" s="114">
        <f>'Saisie données stocks'!L45</f>
        <v>60</v>
      </c>
      <c r="L458" s="337">
        <f>IF(Quanti!$O$32='TRAD-Saisie données stocks'!$B$51, IF(Quanti!$O$33='TRAD-Saisie données stocks'!$B$51, IF(Quanti!$D$9="X", 'Calculs dispo Données FA'!M37, IF(Quanti!$D$10="X", 'Calculs dispo Données conso'!M39, "0")), Calculs!M288), 0)</f>
        <v>0</v>
      </c>
      <c r="M458" s="337">
        <f>IF(Quanti!$O$37='TRAD-Saisie données stocks'!$B$51, Calculs!N288, 0)</f>
        <v>0</v>
      </c>
      <c r="N458" s="337">
        <f>IF(Quanti!$O$38='TRAD-Saisie données stocks'!$B$51, Calculs!P288, 0)</f>
        <v>0</v>
      </c>
      <c r="O458" s="423">
        <f t="shared" si="49"/>
        <v>0</v>
      </c>
      <c r="P458" s="337">
        <f>IF(Quanti!$O$21="NON", IF(Quanti!$D$10="X",ROUNDUP((Calculs!L343*Quanti!$N$25+Calculs!N343*Calculs!$L$427),0),IF(Quanti!$D$9="X",ROUNDUP((Calculs!O179*Quanti!$N$25+Calculs!N233*Calculs!$L$427),0),"")), 0)</f>
        <v>0</v>
      </c>
      <c r="Q458" s="423">
        <f>IF(P458&gt;O458, 0, IF(Quanti!$N$25&lt;24, O458-P458, 0))</f>
        <v>0</v>
      </c>
    </row>
    <row r="459" spans="3:17" s="358" customFormat="1" ht="13.5" thickBot="1" x14ac:dyDescent="0.25">
      <c r="C459" s="37"/>
      <c r="D459" s="98"/>
      <c r="E459" s="1658" t="str">
        <f>'Saisie données stocks'!F46</f>
        <v>3TC</v>
      </c>
      <c r="F459" s="1659" t="str">
        <f>'Saisie données stocks'!G46</f>
        <v>Cp</v>
      </c>
      <c r="G459" s="1661" t="str">
        <f>'Saisie données stocks'!H46</f>
        <v>150 mg</v>
      </c>
      <c r="H459" s="89" t="str">
        <f>'Saisie données stocks'!I46</f>
        <v>Lamivudine</v>
      </c>
      <c r="I459" s="39" t="str">
        <f>'Saisie données stocks'!J46</f>
        <v>EPIVIR</v>
      </c>
      <c r="J459" s="38" t="str">
        <f>'Saisie données stocks'!K46</f>
        <v>LAMIVIR</v>
      </c>
      <c r="K459" s="114">
        <f>'Saisie données stocks'!L46</f>
        <v>60</v>
      </c>
      <c r="L459" s="337">
        <f>IF(Quanti!$O$32='TRAD-Saisie données stocks'!$B$51, IF(Quanti!$O$33='TRAD-Saisie données stocks'!$B$51, IF(Quanti!$D$9="X", 'Calculs dispo Données FA'!M38, IF(Quanti!$D$10="X", 'Calculs dispo Données conso'!M40, "0")), Calculs!M289), 0)</f>
        <v>0</v>
      </c>
      <c r="M459" s="337">
        <f>IF(Quanti!$O$37='TRAD-Saisie données stocks'!$B$51, Calculs!N289, 0)</f>
        <v>0</v>
      </c>
      <c r="N459" s="337">
        <f>IF(Quanti!$O$38='TRAD-Saisie données stocks'!$B$51, Calculs!P289, 0)</f>
        <v>0</v>
      </c>
      <c r="O459" s="423">
        <f t="shared" si="49"/>
        <v>0</v>
      </c>
      <c r="P459" s="337">
        <f>IF(Quanti!$O$21="NON", IF(Quanti!$D$10="X",ROUNDUP((Calculs!L344*Quanti!$N$25+Calculs!N344*Calculs!$L$427),0),IF(Quanti!$D$9="X",ROUNDUP((Calculs!O180*Quanti!$N$25+Calculs!N234*Calculs!$L$427),0),"")), 0)</f>
        <v>0</v>
      </c>
      <c r="Q459" s="423">
        <f>IF(P459&gt;O459, 0, IF(Quanti!$N$25&lt;24, O459-P459, 0))</f>
        <v>0</v>
      </c>
    </row>
    <row r="460" spans="3:17" s="358" customFormat="1" ht="13.5" thickBot="1" x14ac:dyDescent="0.25">
      <c r="C460" s="37"/>
      <c r="D460" s="98"/>
      <c r="E460" s="1658" t="str">
        <f>'Saisie données stocks'!F47</f>
        <v>3TC</v>
      </c>
      <c r="F460" s="1659" t="str">
        <f>'Saisie données stocks'!G47</f>
        <v>Cp</v>
      </c>
      <c r="G460" s="1662" t="str">
        <f>'Saisie données stocks'!H47</f>
        <v>30 mg</v>
      </c>
      <c r="H460" s="89" t="str">
        <f>'Saisie données stocks'!I47</f>
        <v>Lamivudine</v>
      </c>
      <c r="I460" s="39">
        <f>'Saisie données stocks'!J47</f>
        <v>0</v>
      </c>
      <c r="J460" s="38">
        <f>'Saisie données stocks'!K47</f>
        <v>0</v>
      </c>
      <c r="K460" s="114">
        <f>'Saisie données stocks'!L47</f>
        <v>60</v>
      </c>
      <c r="L460" s="337">
        <f>IF(Quanti!$O$32='TRAD-Saisie données stocks'!$B$51, IF(Quanti!$O$33='TRAD-Saisie données stocks'!$B$51, IF(Quanti!$D$9="X", 'Calculs dispo Données FA'!M39, IF(Quanti!$D$10="X", 'Calculs dispo Données conso'!M41, "0")), Calculs!M290), 0)</f>
        <v>0</v>
      </c>
      <c r="M460" s="337">
        <f>IF(Quanti!$O$37='TRAD-Saisie données stocks'!$B$51, Calculs!N290, 0)</f>
        <v>0</v>
      </c>
      <c r="N460" s="337">
        <f>IF(Quanti!$O$38='TRAD-Saisie données stocks'!$B$51, Calculs!P290, 0)</f>
        <v>0</v>
      </c>
      <c r="O460" s="423">
        <f t="shared" si="49"/>
        <v>0</v>
      </c>
      <c r="P460" s="337">
        <f>IF(Quanti!$O$21="NON", IF(Quanti!$D$10="X",ROUNDUP((Calculs!L345*Quanti!$N$25+Calculs!N345*Calculs!$L$427),0),IF(Quanti!$D$9="X",ROUNDUP((Calculs!O181*Quanti!$N$25+Calculs!N235*Calculs!$L$427),0),"")), 0)</f>
        <v>0</v>
      </c>
      <c r="Q460" s="423">
        <f>IF(P460&gt;O460, 0, IF(Quanti!$N$25&lt;24, O460-P460, 0))</f>
        <v>0</v>
      </c>
    </row>
    <row r="461" spans="3:17" s="358" customFormat="1" ht="39" thickBot="1" x14ac:dyDescent="0.25">
      <c r="C461" s="37"/>
      <c r="D461" s="98"/>
      <c r="E461" s="1660" t="str">
        <f>'Saisie données stocks'!F48</f>
        <v>DDI</v>
      </c>
      <c r="F461" s="1661" t="str">
        <f>'Saisie données stocks'!G48</f>
        <v>Cp</v>
      </c>
      <c r="G461" s="1661" t="str">
        <f>'Saisie données stocks'!H48</f>
        <v>250 mg</v>
      </c>
      <c r="H461" s="1207" t="str">
        <f>'Saisie données stocks'!I48</f>
        <v>Didanosine</v>
      </c>
      <c r="I461" s="41" t="str">
        <f>'Saisie données stocks'!J48</f>
        <v>VIDEX</v>
      </c>
      <c r="J461" s="40" t="str">
        <f>'Saisie données stocks'!K48</f>
        <v>DINEX, DIVIR, DINOSIN, VIROSINE</v>
      </c>
      <c r="K461" s="115">
        <f>'Saisie données stocks'!L48</f>
        <v>30</v>
      </c>
      <c r="L461" s="337">
        <f>IF(Quanti!$O$32='TRAD-Saisie données stocks'!$B$51, IF(Quanti!$O$33='TRAD-Saisie données stocks'!$B$51, IF(Quanti!$D$9="X", 'Calculs dispo Données FA'!M40, IF(Quanti!$D$10="X", 'Calculs dispo Données conso'!M42, "0")), Calculs!M291), 0)</f>
        <v>0</v>
      </c>
      <c r="M461" s="337">
        <f>IF(Quanti!$O$37='TRAD-Saisie données stocks'!$B$51, Calculs!N291, 0)</f>
        <v>0</v>
      </c>
      <c r="N461" s="337">
        <f>IF(Quanti!$O$38='TRAD-Saisie données stocks'!$B$51, Calculs!P291, 0)</f>
        <v>0</v>
      </c>
      <c r="O461" s="423">
        <f t="shared" si="49"/>
        <v>0</v>
      </c>
      <c r="P461" s="337">
        <f>IF(Quanti!$O$21="NON", IF(Quanti!$D$10="X",ROUNDUP((Calculs!L346*Quanti!$N$25+Calculs!N346*Calculs!$L$427),0),IF(Quanti!$D$9="X",ROUNDUP((Calculs!O182*Quanti!$N$25+Calculs!N236*Calculs!$L$427),0),"")), 0)</f>
        <v>0</v>
      </c>
      <c r="Q461" s="423">
        <f>IF(P461&gt;O461, 0, IF(Quanti!$N$25&lt;24, O461-P461, 0))</f>
        <v>0</v>
      </c>
    </row>
    <row r="462" spans="3:17" s="358" customFormat="1" ht="39" thickBot="1" x14ac:dyDescent="0.25">
      <c r="C462" s="37"/>
      <c r="D462" s="98"/>
      <c r="E462" s="1660" t="str">
        <f>'Saisie données stocks'!F49</f>
        <v>DDI</v>
      </c>
      <c r="F462" s="1661" t="str">
        <f>'Saisie données stocks'!G49</f>
        <v>Cp</v>
      </c>
      <c r="G462" s="1666" t="str">
        <f>'Saisie données stocks'!H49</f>
        <v>400 mg</v>
      </c>
      <c r="H462" s="1637" t="str">
        <f>'Saisie données stocks'!I49</f>
        <v>Didanosine</v>
      </c>
      <c r="I462" s="41" t="str">
        <f>'Saisie données stocks'!J49</f>
        <v>VIDEX</v>
      </c>
      <c r="J462" s="40" t="str">
        <f>'Saisie données stocks'!K49</f>
        <v>DINEX, DIVIR, DINOSIN, VIROSINE</v>
      </c>
      <c r="K462" s="117">
        <f>'Saisie données stocks'!L49</f>
        <v>30</v>
      </c>
      <c r="L462" s="337">
        <f>IF(Quanti!$O$32='TRAD-Saisie données stocks'!$B$51, IF(Quanti!$O$33='TRAD-Saisie données stocks'!$B$51, IF(Quanti!$D$9="X", 'Calculs dispo Données FA'!M41, IF(Quanti!$D$10="X", 'Calculs dispo Données conso'!M43, "0")), Calculs!M292), 0)</f>
        <v>0</v>
      </c>
      <c r="M462" s="337">
        <f>IF(Quanti!$O$37='TRAD-Saisie données stocks'!$B$51, Calculs!N292, 0)</f>
        <v>0</v>
      </c>
      <c r="N462" s="337">
        <f>IF(Quanti!$O$38='TRAD-Saisie données stocks'!$B$51, Calculs!P292, 0)</f>
        <v>0</v>
      </c>
      <c r="O462" s="423">
        <f t="shared" si="49"/>
        <v>0</v>
      </c>
      <c r="P462" s="337">
        <f>IF(Quanti!$O$21="NON", IF(Quanti!$D$10="X",ROUNDUP((Calculs!L347*Quanti!$N$25+Calculs!N347*Calculs!$L$427),0),IF(Quanti!$D$9="X",ROUNDUP((Calculs!O183*Quanti!$N$25+Calculs!N237*Calculs!$L$427),0),"")), 0)</f>
        <v>0</v>
      </c>
      <c r="Q462" s="423">
        <f>IF(P462&gt;O462, 0, IF(Quanti!$N$25&lt;24, O462-P462, 0))</f>
        <v>0</v>
      </c>
    </row>
    <row r="463" spans="3:17" s="358" customFormat="1" ht="13.5" thickBot="1" x14ac:dyDescent="0.25">
      <c r="C463" s="100"/>
      <c r="D463" s="101"/>
      <c r="E463" s="1663" t="str">
        <f>'Saisie données stocks'!F50</f>
        <v>TDF</v>
      </c>
      <c r="F463" s="1664" t="str">
        <f>'Saisie données stocks'!G50</f>
        <v>Cp</v>
      </c>
      <c r="G463" s="1664" t="str">
        <f>'Saisie données stocks'!H50</f>
        <v>300 mg</v>
      </c>
      <c r="H463" s="1643" t="str">
        <f>'Saisie données stocks'!I50</f>
        <v>Tenofovir</v>
      </c>
      <c r="I463" s="109" t="str">
        <f>'Saisie données stocks'!J50</f>
        <v>VIREAD</v>
      </c>
      <c r="J463" s="105">
        <f>'Saisie données stocks'!K50</f>
        <v>0</v>
      </c>
      <c r="K463" s="116">
        <f>'Saisie données stocks'!L50</f>
        <v>30</v>
      </c>
      <c r="L463" s="337">
        <f>IF(Quanti!$O$32='TRAD-Saisie données stocks'!$B$51, IF(Quanti!$O$33='TRAD-Saisie données stocks'!$B$51, IF(Quanti!$D$9="X", 'Calculs dispo Données FA'!M42, IF(Quanti!$D$10="X", 'Calculs dispo Données conso'!M44, "0")), Calculs!M293), 0)</f>
        <v>0</v>
      </c>
      <c r="M463" s="337">
        <f>IF(Quanti!$O$37='TRAD-Saisie données stocks'!$B$51, Calculs!N293, 0)</f>
        <v>0</v>
      </c>
      <c r="N463" s="337">
        <f>IF(Quanti!$O$38='TRAD-Saisie données stocks'!$B$51, Calculs!P293, 0)</f>
        <v>0</v>
      </c>
      <c r="O463" s="423">
        <f t="shared" si="49"/>
        <v>0</v>
      </c>
      <c r="P463" s="337">
        <f>IF(Quanti!$O$21="NON", IF(Quanti!$D$10="X",ROUNDUP((Calculs!L348*Quanti!$N$25+Calculs!N348*Calculs!$L$427),0),IF(Quanti!$D$9="X",ROUNDUP((Calculs!O184*Quanti!$N$25+Calculs!N238*Calculs!$L$427),0),"")), 0)</f>
        <v>0</v>
      </c>
      <c r="Q463" s="423">
        <f>IF(P463&gt;O463, 0, IF(Quanti!$N$25&lt;24, O463-P463, 0))</f>
        <v>0</v>
      </c>
    </row>
    <row r="464" spans="3:17" s="358" customFormat="1" ht="26.25" thickBot="1" x14ac:dyDescent="0.25">
      <c r="C464" s="37"/>
      <c r="D464" s="98" t="str">
        <f>'Saisie données stocks'!$E$51</f>
        <v>IP</v>
      </c>
      <c r="E464" s="1658" t="str">
        <f>'Saisie données stocks'!F51</f>
        <v>LPV/r</v>
      </c>
      <c r="F464" s="1659" t="str">
        <f>'Saisie données stocks'!G51</f>
        <v>Cp</v>
      </c>
      <c r="G464" s="1659" t="str">
        <f>'Saisie données stocks'!H51</f>
        <v>200/50 mg</v>
      </c>
      <c r="H464" s="89" t="str">
        <f>'Saisie données stocks'!I51</f>
        <v>Lopinavir/ Ritonavir</v>
      </c>
      <c r="I464" s="39" t="str">
        <f>'Saisie données stocks'!J51</f>
        <v>KALETRA, ALUVIA</v>
      </c>
      <c r="J464" s="38" t="str">
        <f>'Saisie données stocks'!K51</f>
        <v>RITOCOM</v>
      </c>
      <c r="K464" s="114">
        <f>'Saisie données stocks'!L51</f>
        <v>120</v>
      </c>
      <c r="L464" s="337">
        <f>IF(Quanti!$O$32='TRAD-Saisie données stocks'!$B$51, IF(Quanti!$O$33='TRAD-Saisie données stocks'!$B$51, IF(Quanti!$D$9="X", 'Calculs dispo Données FA'!M43, IF(Quanti!$D$10="X", 'Calculs dispo Données conso'!M45, "0")), Calculs!M294), 0)</f>
        <v>0</v>
      </c>
      <c r="M464" s="337">
        <f>IF(Quanti!$O$37='TRAD-Saisie données stocks'!$B$51, Calculs!N294, 0)</f>
        <v>0</v>
      </c>
      <c r="N464" s="337">
        <f>IF(Quanti!$O$38='TRAD-Saisie données stocks'!$B$51, Calculs!P294, 0)</f>
        <v>0</v>
      </c>
      <c r="O464" s="423">
        <f t="shared" si="49"/>
        <v>0</v>
      </c>
      <c r="P464" s="337">
        <f>IF(Quanti!$O$21="NON", IF(Quanti!$D$10="X",ROUNDUP((Calculs!L349*Quanti!$N$25+Calculs!N349*Calculs!$L$427),0),IF(Quanti!$D$9="X",ROUNDUP((Calculs!O185*Quanti!$N$25+Calculs!N239*Calculs!$L$427),0),"")), 0)</f>
        <v>0</v>
      </c>
      <c r="Q464" s="423">
        <f>IF(P464&gt;O464, 0, IF(Quanti!$N$25&lt;24, O464-P464, 0))</f>
        <v>0</v>
      </c>
    </row>
    <row r="465" spans="3:17" s="358" customFormat="1" ht="26.25" thickBot="1" x14ac:dyDescent="0.25">
      <c r="C465" s="37"/>
      <c r="D465" s="98"/>
      <c r="E465" s="1672" t="str">
        <f>'Saisie données stocks'!F52</f>
        <v>LPV/r</v>
      </c>
      <c r="F465" s="1673" t="str">
        <f>'Saisie données stocks'!G52</f>
        <v>Cp coblister</v>
      </c>
      <c r="G465" s="1673" t="str">
        <f>'Saisie données stocks'!H52</f>
        <v>100/25 mg</v>
      </c>
      <c r="H465" s="1210" t="str">
        <f>'Saisie données stocks'!I52</f>
        <v>Lopinavir/ Ritonavir</v>
      </c>
      <c r="I465" s="1211" t="str">
        <f>'Saisie données stocks'!J52</f>
        <v>KALETRA, ALUVIA</v>
      </c>
      <c r="J465" s="1212">
        <f>'Saisie données stocks'!K52</f>
        <v>0</v>
      </c>
      <c r="K465" s="537">
        <f>'Saisie données stocks'!L52</f>
        <v>60</v>
      </c>
      <c r="L465" s="337">
        <f>IF(Quanti!$O$32='TRAD-Saisie données stocks'!$B$51, IF(Quanti!$O$33='TRAD-Saisie données stocks'!$B$51, IF(Quanti!$D$9="X", 'Calculs dispo Données FA'!M44, IF(Quanti!$D$10="X", 'Calculs dispo Données conso'!M46, "0")), Calculs!M295), 0)</f>
        <v>0</v>
      </c>
      <c r="M465" s="337">
        <f>IF(Quanti!$O$37='TRAD-Saisie données stocks'!$B$51, Calculs!N295, 0)</f>
        <v>83</v>
      </c>
      <c r="N465" s="337">
        <f>IF(Quanti!$O$38='TRAD-Saisie données stocks'!$B$51, Calculs!P295, 0)</f>
        <v>0</v>
      </c>
      <c r="O465" s="423">
        <f t="shared" si="49"/>
        <v>83</v>
      </c>
      <c r="P465" s="337">
        <f>IF(Quanti!$O$21="NON", IF(Quanti!$D$10="X",ROUNDUP((Calculs!L350*Quanti!$N$25+Calculs!N350*Calculs!$L$427),0),IF(Quanti!$D$9="X",ROUNDUP((Calculs!O186*Quanti!$N$25+Calculs!N240*Calculs!$L$427),0),"")), 0)</f>
        <v>0</v>
      </c>
      <c r="Q465" s="423">
        <f>IF(P465&gt;O465, 0, IF(Quanti!$N$25&lt;24, O465-P465, 0))</f>
        <v>83</v>
      </c>
    </row>
    <row r="466" spans="3:17" s="358" customFormat="1" ht="26.25" thickBot="1" x14ac:dyDescent="0.25">
      <c r="C466" s="37"/>
      <c r="D466" s="92"/>
      <c r="E466" s="1674" t="str">
        <f>'Saisie données stocks'!F53</f>
        <v>ATV/r</v>
      </c>
      <c r="F466" s="1675" t="str">
        <f>'Saisie données stocks'!G53</f>
        <v>Cp</v>
      </c>
      <c r="G466" s="1676" t="str">
        <f>'Saisie données stocks'!H53</f>
        <v>300/100 mg</v>
      </c>
      <c r="H466" s="1625" t="str">
        <f>'Saisie données stocks'!I53</f>
        <v>Atazanavir/ Ritonavir</v>
      </c>
      <c r="I466" s="510">
        <f>'Saisie données stocks'!J53</f>
        <v>0</v>
      </c>
      <c r="J466" s="511">
        <f>'Saisie données stocks'!K53</f>
        <v>0</v>
      </c>
      <c r="K466" s="512">
        <f>'Saisie données stocks'!L53</f>
        <v>30</v>
      </c>
      <c r="L466" s="337">
        <f>IF(Quanti!$O$32='TRAD-Saisie données stocks'!$B$51, IF(Quanti!$O$33='TRAD-Saisie données stocks'!$B$51, IF(Quanti!$D$9="X", 'Calculs dispo Données FA'!M45, IF(Quanti!$D$10="X", 'Calculs dispo Données conso'!M47, "0")), Calculs!M296), 0)</f>
        <v>0</v>
      </c>
      <c r="M466" s="337">
        <f>IF(Quanti!$O$37='TRAD-Saisie données stocks'!$B$51, Calculs!N296, 0)</f>
        <v>0</v>
      </c>
      <c r="N466" s="337">
        <f>IF(Quanti!$O$38='TRAD-Saisie données stocks'!$B$51, Calculs!P296, 0)</f>
        <v>0</v>
      </c>
      <c r="O466" s="423">
        <f t="shared" si="49"/>
        <v>0</v>
      </c>
      <c r="P466" s="337">
        <f>IF(Quanti!$O$21="NON", IF(Quanti!$D$10="X",ROUNDUP((Calculs!L351*Quanti!$N$25+Calculs!N351*Calculs!$L$427),0),IF(Quanti!$D$9="X",ROUNDUP((Calculs!O187*Quanti!$N$25+Calculs!N241*Calculs!$L$427),0),"")), 0)</f>
        <v>0</v>
      </c>
      <c r="Q466" s="423">
        <f>IF(P466&gt;O466, 0, IF(Quanti!$N$25&lt;24, O466-P466, 0))</f>
        <v>0</v>
      </c>
    </row>
    <row r="467" spans="3:17" s="358" customFormat="1" ht="26.25" thickBot="1" x14ac:dyDescent="0.25">
      <c r="C467" s="37"/>
      <c r="D467" s="92"/>
      <c r="E467" s="1677" t="str">
        <f>'Saisie données stocks'!F54</f>
        <v>FPV</v>
      </c>
      <c r="F467" s="1678" t="str">
        <f>'Saisie données stocks'!G54</f>
        <v>Cp</v>
      </c>
      <c r="G467" s="1678" t="str">
        <f>'Saisie données stocks'!H54</f>
        <v>700 mg</v>
      </c>
      <c r="H467" s="1625" t="str">
        <f>'Saisie données stocks'!I54</f>
        <v>Fosamprenavir</v>
      </c>
      <c r="I467" s="1626" t="str">
        <f>'Saisie données stocks'!J54</f>
        <v>TELZIR</v>
      </c>
      <c r="J467" s="1627">
        <f>'Saisie données stocks'!K54</f>
        <v>0</v>
      </c>
      <c r="K467" s="1388">
        <f>'Saisie données stocks'!L54</f>
        <v>60</v>
      </c>
      <c r="L467" s="337">
        <f>IF(Quanti!$O$32='TRAD-Saisie données stocks'!$B$51, IF(Quanti!$O$33='TRAD-Saisie données stocks'!$B$51, IF(Quanti!$D$9="X", 'Calculs dispo Données FA'!M46, IF(Quanti!$D$10="X", 'Calculs dispo Données conso'!M48, "0")), Calculs!M297), 0)</f>
        <v>0</v>
      </c>
      <c r="M467" s="337">
        <f>IF(Quanti!$O$37='TRAD-Saisie données stocks'!$B$51, Calculs!N297, 0)</f>
        <v>0</v>
      </c>
      <c r="N467" s="337">
        <f>IF(Quanti!$O$38='TRAD-Saisie données stocks'!$B$51, Calculs!P297, 0)</f>
        <v>0</v>
      </c>
      <c r="O467" s="423">
        <f t="shared" si="49"/>
        <v>0</v>
      </c>
      <c r="P467" s="337">
        <f>IF(Quanti!$O$21="NON", IF(Quanti!$D$10="X",ROUNDUP((Calculs!L352*Quanti!$N$25+Calculs!N352*Calculs!$L$427),0),IF(Quanti!$D$9="X",ROUNDUP((Calculs!O188*Quanti!$N$25+Calculs!N242*Calculs!$L$427),0),"")), 0)</f>
        <v>0</v>
      </c>
      <c r="Q467" s="423">
        <f>IF(P467&gt;O467, 0, IF(Quanti!$N$25&lt;24, O467-P467, 0))</f>
        <v>0</v>
      </c>
    </row>
    <row r="468" spans="3:17" s="358" customFormat="1" ht="13.5" thickBot="1" x14ac:dyDescent="0.25">
      <c r="C468" s="37"/>
      <c r="D468" s="92"/>
      <c r="E468" s="1665" t="str">
        <f>'Saisie données stocks'!F55</f>
        <v>IDV</v>
      </c>
      <c r="F468" s="1666" t="str">
        <f>'Saisie données stocks'!G55</f>
        <v>Gel</v>
      </c>
      <c r="G468" s="1666" t="str">
        <f>'Saisie données stocks'!H55</f>
        <v>400 mg</v>
      </c>
      <c r="H468" s="1637" t="str">
        <f>'Saisie données stocks'!I55</f>
        <v>Indinavir</v>
      </c>
      <c r="I468" s="95" t="str">
        <f>'Saisie données stocks'!J55</f>
        <v>CRIXIVAN</v>
      </c>
      <c r="J468" s="96">
        <f>'Saisie données stocks'!K55</f>
        <v>0</v>
      </c>
      <c r="K468" s="117">
        <f>'Saisie données stocks'!L55</f>
        <v>180</v>
      </c>
      <c r="L468" s="337">
        <f>IF(Quanti!$O$32='TRAD-Saisie données stocks'!$B$51, IF(Quanti!$O$33='TRAD-Saisie données stocks'!$B$51, IF(Quanti!$D$9="X", 'Calculs dispo Données FA'!M47, IF(Quanti!$D$10="X", 'Calculs dispo Données conso'!M49, "0")), Calculs!M298), 0)</f>
        <v>0</v>
      </c>
      <c r="M468" s="337">
        <f>IF(Quanti!$O$37='TRAD-Saisie données stocks'!$B$51, Calculs!N298, 0)</f>
        <v>0</v>
      </c>
      <c r="N468" s="337">
        <f>IF(Quanti!$O$38='TRAD-Saisie données stocks'!$B$51, Calculs!P298, 0)</f>
        <v>0</v>
      </c>
      <c r="O468" s="423">
        <f t="shared" si="49"/>
        <v>0</v>
      </c>
      <c r="P468" s="337">
        <f>IF(Quanti!$O$21="NON", IF(Quanti!$D$10="X",ROUNDUP((Calculs!L353*Quanti!$N$25+Calculs!N353*Calculs!$L$427),0),IF(Quanti!$D$9="X",ROUNDUP((Calculs!O189*Quanti!$N$25+Calculs!N243*Calculs!$L$427),0),"")), 0)</f>
        <v>0</v>
      </c>
      <c r="Q468" s="423">
        <f>IF(P468&gt;O468, 0, IF(Quanti!$N$25&lt;24, O468-P468, 0))</f>
        <v>0</v>
      </c>
    </row>
    <row r="469" spans="3:17" s="358" customFormat="1" ht="13.5" thickBot="1" x14ac:dyDescent="0.25">
      <c r="C469" s="37"/>
      <c r="D469" s="92"/>
      <c r="E469" s="1665" t="str">
        <f>'Saisie données stocks'!F56</f>
        <v>DRV</v>
      </c>
      <c r="F469" s="1666" t="str">
        <f>'Saisie données stocks'!G56</f>
        <v>Cp</v>
      </c>
      <c r="G469" s="1679" t="str">
        <f>'Saisie données stocks'!H56</f>
        <v>300 mg</v>
      </c>
      <c r="H469" s="1637" t="str">
        <f>'Saisie données stocks'!I56</f>
        <v>Darunavir</v>
      </c>
      <c r="I469" s="95" t="str">
        <f>'Saisie données stocks'!J56</f>
        <v>PREZISTA</v>
      </c>
      <c r="J469" s="96">
        <f>'Saisie données stocks'!K56</f>
        <v>0</v>
      </c>
      <c r="K469" s="117">
        <f>'Saisie données stocks'!L56</f>
        <v>60</v>
      </c>
      <c r="L469" s="337">
        <f>IF(Quanti!$O$32='TRAD-Saisie données stocks'!$B$51, IF(Quanti!$O$33='TRAD-Saisie données stocks'!$B$51, IF(Quanti!$D$9="X", 'Calculs dispo Données FA'!M48, IF(Quanti!$D$10="X", 'Calculs dispo Données conso'!M50, "0")), Calculs!M299), 0)</f>
        <v>0</v>
      </c>
      <c r="M469" s="337">
        <f>IF(Quanti!$O$37='TRAD-Saisie données stocks'!$B$51, Calculs!N299, 0)</f>
        <v>0</v>
      </c>
      <c r="N469" s="337">
        <f>IF(Quanti!$O$38='TRAD-Saisie données stocks'!$B$51, Calculs!P299, 0)</f>
        <v>0</v>
      </c>
      <c r="O469" s="423">
        <f t="shared" si="49"/>
        <v>0</v>
      </c>
      <c r="P469" s="337">
        <f>IF(Quanti!$O$21="NON", IF(Quanti!$D$10="X",ROUNDUP((Calculs!L354*Quanti!$N$25+Calculs!N354*Calculs!$L$427),0),IF(Quanti!$D$9="X",ROUNDUP((Calculs!O190*Quanti!$N$25+Calculs!N244*Calculs!$L$427),0),"")), 0)</f>
        <v>0</v>
      </c>
      <c r="Q469" s="423">
        <f>IF(P469&gt;O469, 0, IF(Quanti!$N$25&lt;24, O469-P469, 0))</f>
        <v>0</v>
      </c>
    </row>
    <row r="470" spans="3:17" s="358" customFormat="1" ht="13.5" thickBot="1" x14ac:dyDescent="0.25">
      <c r="C470" s="37"/>
      <c r="D470" s="92"/>
      <c r="E470" s="1665" t="str">
        <f>'Saisie données stocks'!F57</f>
        <v>SQV</v>
      </c>
      <c r="F470" s="1666" t="str">
        <f>'Saisie données stocks'!G57</f>
        <v>Cp</v>
      </c>
      <c r="G470" s="1666" t="str">
        <f>'Saisie données stocks'!H57</f>
        <v>500 mg</v>
      </c>
      <c r="H470" s="1637" t="str">
        <f>'Saisie données stocks'!I57</f>
        <v>Saquinavir</v>
      </c>
      <c r="I470" s="95" t="str">
        <f>'Saisie données stocks'!J57</f>
        <v>INVIRASE</v>
      </c>
      <c r="J470" s="96">
        <f>'Saisie données stocks'!K57</f>
        <v>0</v>
      </c>
      <c r="K470" s="117">
        <f>'Saisie données stocks'!L57</f>
        <v>120</v>
      </c>
      <c r="L470" s="337">
        <f>IF(Quanti!$O$32='TRAD-Saisie données stocks'!$B$51, IF(Quanti!$O$33='TRAD-Saisie données stocks'!$B$51, IF(Quanti!$D$9="X", 'Calculs dispo Données FA'!M49, IF(Quanti!$D$10="X", 'Calculs dispo Données conso'!M51, "0")), Calculs!M300), 0)</f>
        <v>0</v>
      </c>
      <c r="M470" s="337">
        <f>IF(Quanti!$O$37='TRAD-Saisie données stocks'!$B$51, Calculs!N300, 0)</f>
        <v>0</v>
      </c>
      <c r="N470" s="337">
        <f>IF(Quanti!$O$38='TRAD-Saisie données stocks'!$B$51, Calculs!P300, 0)</f>
        <v>0</v>
      </c>
      <c r="O470" s="423">
        <f t="shared" si="49"/>
        <v>0</v>
      </c>
      <c r="P470" s="337">
        <f>IF(Quanti!$O$21="NON", IF(Quanti!$D$10="X",ROUNDUP((Calculs!L355*Quanti!$N$25+Calculs!N355*Calculs!$L$427),0),IF(Quanti!$D$9="X",ROUNDUP((Calculs!O191*Quanti!$N$25+Calculs!N245*Calculs!$L$427),0),"")), 0)</f>
        <v>0</v>
      </c>
      <c r="Q470" s="423">
        <f>IF(P470&gt;O470, 0, IF(Quanti!$N$25&lt;24, O470-P470, 0))</f>
        <v>0</v>
      </c>
    </row>
    <row r="471" spans="3:17" s="358" customFormat="1" ht="13.5" thickBot="1" x14ac:dyDescent="0.25">
      <c r="C471" s="100"/>
      <c r="D471" s="101"/>
      <c r="E471" s="1663" t="str">
        <f>'Saisie données stocks'!F58</f>
        <v>RTV</v>
      </c>
      <c r="F471" s="1664" t="str">
        <f>'Saisie données stocks'!G58</f>
        <v>Caps</v>
      </c>
      <c r="G471" s="1664" t="str">
        <f>'Saisie données stocks'!H58</f>
        <v>100 mg</v>
      </c>
      <c r="H471" s="1643" t="str">
        <f>'Saisie données stocks'!I58</f>
        <v>Ritonavir</v>
      </c>
      <c r="I471" s="109" t="str">
        <f>'Saisie données stocks'!J58</f>
        <v>NORVIR</v>
      </c>
      <c r="J471" s="105">
        <f>'Saisie données stocks'!K58</f>
        <v>0</v>
      </c>
      <c r="K471" s="116">
        <f>'Saisie données stocks'!L58</f>
        <v>84</v>
      </c>
      <c r="L471" s="337">
        <f>IF(Quanti!$O$32='TRAD-Saisie données stocks'!$B$51, IF(Quanti!$O$33='TRAD-Saisie données stocks'!$B$51, IF(Quanti!$D$9="X", 'Calculs dispo Données FA'!M50, IF(Quanti!$D$10="X", 'Calculs dispo Données conso'!M52, "0")), Calculs!M301), 0)</f>
        <v>0</v>
      </c>
      <c r="M471" s="337">
        <f>IF(Quanti!$O$37='TRAD-Saisie données stocks'!$B$51, Calculs!N301, 0)</f>
        <v>0</v>
      </c>
      <c r="N471" s="337">
        <f>IF(Quanti!$O$38='TRAD-Saisie données stocks'!$B$51, Calculs!P301, 0)</f>
        <v>0</v>
      </c>
      <c r="O471" s="423">
        <f t="shared" si="49"/>
        <v>0</v>
      </c>
      <c r="P471" s="337">
        <f>IF(Quanti!$O$21="NON", IF(Quanti!$D$10="X",ROUNDUP((Calculs!L356*Quanti!$N$25+Calculs!N356*Calculs!$L$427),0),IF(Quanti!$D$9="X",ROUNDUP((Calculs!O192*Quanti!$N$25+Calculs!N246*Calculs!$L$427),0),"")), 0)</f>
        <v>0</v>
      </c>
      <c r="Q471" s="423">
        <f>IF(P471&gt;O471, 0, IF(Quanti!$N$25&lt;24, O471-P471, 0))</f>
        <v>0</v>
      </c>
    </row>
    <row r="472" spans="3:17" s="358" customFormat="1" ht="13.5" thickBot="1" x14ac:dyDescent="0.25">
      <c r="C472" s="519"/>
      <c r="D472" s="520" t="str">
        <f>'Saisie données stocks'!$E$59</f>
        <v>Inh Integrase</v>
      </c>
      <c r="E472" s="513" t="str">
        <f>'Saisie données stocks'!F59</f>
        <v>RLT = RAL</v>
      </c>
      <c r="F472" s="514" t="str">
        <f>'Saisie données stocks'!G59</f>
        <v>Cp</v>
      </c>
      <c r="G472" s="514" t="str">
        <f>'Saisie données stocks'!H59</f>
        <v>400 mg</v>
      </c>
      <c r="H472" s="1644" t="str">
        <f>'Saisie données stocks'!I59</f>
        <v>Raltegravir</v>
      </c>
      <c r="I472" s="515" t="str">
        <f>'Saisie données stocks'!J59</f>
        <v>ISENTRESS</v>
      </c>
      <c r="J472" s="516">
        <f>'Saisie données stocks'!K59</f>
        <v>0</v>
      </c>
      <c r="K472" s="517">
        <f>'Saisie données stocks'!L59</f>
        <v>60</v>
      </c>
      <c r="L472" s="337">
        <f>IF(Quanti!$O$32='TRAD-Saisie données stocks'!$B$51, IF(Quanti!$O$33='TRAD-Saisie données stocks'!$B$51, IF(Quanti!$D$9="X", 'Calculs dispo Données FA'!M51, IF(Quanti!$D$10="X", 'Calculs dispo Données conso'!M53, "0")), Calculs!M302), 0)</f>
        <v>0</v>
      </c>
      <c r="M472" s="337">
        <f>IF(Quanti!$O$37='TRAD-Saisie données stocks'!$B$51, Calculs!N302, 0)</f>
        <v>0</v>
      </c>
      <c r="N472" s="337">
        <f>IF(Quanti!$O$38='TRAD-Saisie données stocks'!$B$51, Calculs!P302, 0)</f>
        <v>0</v>
      </c>
      <c r="O472" s="423">
        <f t="shared" si="49"/>
        <v>0</v>
      </c>
      <c r="P472" s="337">
        <f>IF(Quanti!$O$21="NON", IF(Quanti!$D$10="X",ROUNDUP((Calculs!L357*Quanti!$N$25+Calculs!N357*Calculs!$L$427),0),IF(Quanti!$D$9="X",ROUNDUP((Calculs!O193*Quanti!$N$25+Calculs!N247*Calculs!$L$427),0),"")), 0)</f>
        <v>0</v>
      </c>
      <c r="Q472" s="423">
        <f>IF(P472&gt;O472, 0, IF(Quanti!$N$25&lt;24, O472-P472, 0))</f>
        <v>0</v>
      </c>
    </row>
    <row r="473" spans="3:17" s="358" customFormat="1" ht="77.25" thickBot="1" x14ac:dyDescent="0.25">
      <c r="C473" s="405"/>
      <c r="D473" s="406"/>
      <c r="E473" s="364" t="str">
        <f>'TRAD-Calculs'!B3</f>
        <v>Composition</v>
      </c>
      <c r="F473" s="365" t="str">
        <f>'TRAD-Calculs'!B22</f>
        <v>Forme galénique</v>
      </c>
      <c r="G473" s="365" t="str">
        <f>'TRAD-Calculs'!B4</f>
        <v>Dosage</v>
      </c>
      <c r="H473" s="365"/>
      <c r="I473" s="365" t="str">
        <f>'TRAD-Calculs'!B24</f>
        <v>Nom de spécialité</v>
      </c>
      <c r="J473" s="365"/>
      <c r="K473" s="365" t="str">
        <f>'TRAD-Calculs'!B37</f>
        <v>Volume conditionnement primaire (mL)</v>
      </c>
      <c r="L473" s="327" t="str">
        <f>'TRAD-Calculs'!B60</f>
        <v>Stock dispo central</v>
      </c>
      <c r="M473" s="327" t="str">
        <f>'TRAD-Calculs'!B61</f>
        <v>Stock dispo périphérie</v>
      </c>
      <c r="N473" s="327" t="str">
        <f>'TRAD-Calculs'!B54</f>
        <v>Commandes en cours</v>
      </c>
      <c r="O473" s="2487"/>
      <c r="P473" s="327" t="str">
        <f>'TRAD-Calculs'!B52</f>
        <v>Quantité consommée prévue sur la période intérmédiaire</v>
      </c>
      <c r="Q473" s="2487" t="str">
        <f>'TRAD-Calculs'!B62</f>
        <v>Augmentation de consommation mensuelle</v>
      </c>
    </row>
    <row r="474" spans="3:17" s="358" customFormat="1" ht="13.5" thickBot="1" x14ac:dyDescent="0.25">
      <c r="C474" s="366" t="str">
        <f>'TRAD-Calculs'!B38</f>
        <v>Solutions buvables</v>
      </c>
      <c r="D474" s="367" t="str">
        <f>'Saisie données stocks'!$E$61</f>
        <v>INTI</v>
      </c>
      <c r="E474" s="368" t="str">
        <f>'Saisie données stocks'!F61</f>
        <v>AZT</v>
      </c>
      <c r="F474" s="369" t="str">
        <f>'Saisie données stocks'!G61</f>
        <v>Sol buv</v>
      </c>
      <c r="G474" s="369" t="str">
        <f>'Saisie données stocks'!H61</f>
        <v>10 mg/mL</v>
      </c>
      <c r="H474" s="369" t="str">
        <f>'Saisie données stocks'!I61</f>
        <v>Zidovudine</v>
      </c>
      <c r="I474" s="370" t="str">
        <f>'Saisie données stocks'!J61</f>
        <v>RETROVIR</v>
      </c>
      <c r="J474" s="370">
        <f>'Saisie données stocks'!K61</f>
        <v>0</v>
      </c>
      <c r="K474" s="113">
        <f>'Saisie données stocks'!L61</f>
        <v>240</v>
      </c>
      <c r="L474" s="337">
        <f>IF(Quanti!$O$32='TRAD-Saisie données stocks'!$B$51, IF(Quanti!$O$33='TRAD-Saisie données stocks'!$B$51, IF(Quanti!$D$9="X", 'Calculs dispo Données FA'!M53, IF(Quanti!$D$10="X", 'Calculs dispo Données conso'!M55, "0")), Calculs!M304), 0)</f>
        <v>0</v>
      </c>
      <c r="M474" s="337">
        <f>IF(Quanti!$O$37='TRAD-Saisie données stocks'!$B$51, Calculs!N304, 0)</f>
        <v>0</v>
      </c>
      <c r="N474" s="337">
        <f>IF(Quanti!$O$38='TRAD-Saisie données stocks'!$B$51, Calculs!P304, 0)</f>
        <v>0</v>
      </c>
      <c r="O474" s="423">
        <f t="shared" si="49"/>
        <v>0</v>
      </c>
      <c r="P474" s="337">
        <f>IF(Quanti!$O$21="NON", IF(Quanti!$D$10="X",ROUNDUP((Calculs!L359*Quanti!$N$25+Calculs!N359*Calculs!$L$427),0),IF(Quanti!$D$9="X",ROUNDUP((Calculs!O195*Quanti!$N$25+Calculs!N249*Calculs!$L$427),0),"")), 0)</f>
        <v>0</v>
      </c>
      <c r="Q474" s="423">
        <f>IF(P474&gt;O474, 0, IF(Quanti!$N$25&lt;24, O474-P474, 0))</f>
        <v>0</v>
      </c>
    </row>
    <row r="475" spans="3:17" s="358" customFormat="1" ht="13.5" thickBot="1" x14ac:dyDescent="0.25">
      <c r="C475" s="374"/>
      <c r="D475" s="375"/>
      <c r="E475" s="376" t="str">
        <f>'Saisie données stocks'!F62</f>
        <v>D4T</v>
      </c>
      <c r="F475" s="377" t="str">
        <f>'Saisie données stocks'!G62</f>
        <v>Sol buv</v>
      </c>
      <c r="G475" s="377" t="str">
        <f>'Saisie données stocks'!H62</f>
        <v>10 mg/mL</v>
      </c>
      <c r="H475" s="377" t="str">
        <f>'Saisie données stocks'!I62</f>
        <v>Stavudine</v>
      </c>
      <c r="I475" s="378" t="str">
        <f>'Saisie données stocks'!J62</f>
        <v>ZERIT</v>
      </c>
      <c r="J475" s="378">
        <f>'Saisie données stocks'!K62</f>
        <v>0</v>
      </c>
      <c r="K475" s="114">
        <f>'Saisie données stocks'!L62</f>
        <v>240</v>
      </c>
      <c r="L475" s="337">
        <f>IF(Quanti!$O$32='TRAD-Saisie données stocks'!$B$51, IF(Quanti!$O$33='TRAD-Saisie données stocks'!$B$51, IF(Quanti!$D$9="X", 'Calculs dispo Données FA'!M54, IF(Quanti!$D$10="X", 'Calculs dispo Données conso'!M56, "0")), Calculs!M305), 0)</f>
        <v>0</v>
      </c>
      <c r="M475" s="337">
        <f>IF(Quanti!$O$37='TRAD-Saisie données stocks'!$B$51, Calculs!N305, 0)</f>
        <v>0</v>
      </c>
      <c r="N475" s="337">
        <f>IF(Quanti!$O$38='TRAD-Saisie données stocks'!$B$51, Calculs!P305, 0)</f>
        <v>0</v>
      </c>
      <c r="O475" s="423">
        <f t="shared" si="49"/>
        <v>0</v>
      </c>
      <c r="P475" s="337">
        <f>IF(Quanti!$O$21="NON", IF(Quanti!$D$10="X",ROUNDUP((Calculs!L360*Quanti!$N$25+Calculs!N360*Calculs!$L$427),0),IF(Quanti!$D$9="X",ROUNDUP((Calculs!O196*Quanti!$N$25+Calculs!N250*Calculs!$L$427),0),"")), 0)</f>
        <v>0</v>
      </c>
      <c r="Q475" s="423">
        <f>IF(P475&gt;O475, 0, IF(Quanti!$N$25&lt;24, O475-P475, 0))</f>
        <v>0</v>
      </c>
    </row>
    <row r="476" spans="3:17" s="358" customFormat="1" ht="13.5" thickBot="1" x14ac:dyDescent="0.25">
      <c r="C476" s="374"/>
      <c r="D476" s="375"/>
      <c r="E476" s="382" t="str">
        <f>'Saisie données stocks'!F63</f>
        <v>3TC</v>
      </c>
      <c r="F476" s="383" t="str">
        <f>'Saisie données stocks'!G63</f>
        <v>Sol buv</v>
      </c>
      <c r="G476" s="383" t="str">
        <f>'Saisie données stocks'!H63</f>
        <v>10 mg/mL</v>
      </c>
      <c r="H476" s="1208" t="str">
        <f>'Saisie données stocks'!I63</f>
        <v>Lamivudine</v>
      </c>
      <c r="I476" s="384" t="str">
        <f>'Saisie données stocks'!J63</f>
        <v>LAMIVIR, EPIVIR</v>
      </c>
      <c r="J476" s="384">
        <f>'Saisie données stocks'!K63</f>
        <v>0</v>
      </c>
      <c r="K476" s="115">
        <f>'Saisie données stocks'!L63</f>
        <v>240</v>
      </c>
      <c r="L476" s="337">
        <f>IF(Quanti!$O$32='TRAD-Saisie données stocks'!$B$51, IF(Quanti!$O$33='TRAD-Saisie données stocks'!$B$51, IF(Quanti!$D$9="X", 'Calculs dispo Données FA'!M55, IF(Quanti!$D$10="X", 'Calculs dispo Données conso'!M57, "0")), Calculs!M306), 0)</f>
        <v>0</v>
      </c>
      <c r="M476" s="337">
        <f>IF(Quanti!$O$37='TRAD-Saisie données stocks'!$B$51, Calculs!N306, 0)</f>
        <v>0</v>
      </c>
      <c r="N476" s="337">
        <f>IF(Quanti!$O$38='TRAD-Saisie données stocks'!$B$51, Calculs!P306, 0)</f>
        <v>0</v>
      </c>
      <c r="O476" s="423">
        <f t="shared" si="49"/>
        <v>0</v>
      </c>
      <c r="P476" s="337">
        <f>IF(Quanti!$O$21="NON", IF(Quanti!$D$10="X",ROUNDUP((Calculs!L361*Quanti!$N$25+Calculs!N361*Calculs!$L$427),0),IF(Quanti!$D$9="X",ROUNDUP((Calculs!O197*Quanti!$N$25+Calculs!N251*Calculs!$L$427),0),"")), 0)</f>
        <v>0</v>
      </c>
      <c r="Q476" s="423">
        <f>IF(P476&gt;O476, 0, IF(Quanti!$N$25&lt;24, O476-P476, 0))</f>
        <v>0</v>
      </c>
    </row>
    <row r="477" spans="3:17" s="358" customFormat="1" ht="13.5" thickBot="1" x14ac:dyDescent="0.25">
      <c r="C477" s="374"/>
      <c r="D477" s="407"/>
      <c r="E477" s="376" t="str">
        <f>'Saisie données stocks'!F64</f>
        <v>ABC</v>
      </c>
      <c r="F477" s="377" t="str">
        <f>'Saisie données stocks'!G64</f>
        <v>Sol buv</v>
      </c>
      <c r="G477" s="377" t="str">
        <f>'Saisie données stocks'!H64</f>
        <v>20 mg/mL</v>
      </c>
      <c r="H477" s="377" t="str">
        <f>'Saisie données stocks'!I64</f>
        <v>Abacavir</v>
      </c>
      <c r="I477" s="378" t="str">
        <f>'Saisie données stocks'!J64</f>
        <v>ZIAGEN</v>
      </c>
      <c r="J477" s="378">
        <f>'Saisie données stocks'!K64</f>
        <v>0</v>
      </c>
      <c r="K477" s="114">
        <f>'Saisie données stocks'!L64</f>
        <v>240</v>
      </c>
      <c r="L477" s="337">
        <f>IF(Quanti!$O$32='TRAD-Saisie données stocks'!$B$51, IF(Quanti!$O$33='TRAD-Saisie données stocks'!$B$51, IF(Quanti!$D$9="X", 'Calculs dispo Données FA'!M56, IF(Quanti!$D$10="X", 'Calculs dispo Données conso'!M58, "0")), Calculs!M307), 0)</f>
        <v>0</v>
      </c>
      <c r="M477" s="337">
        <f>IF(Quanti!$O$37='TRAD-Saisie données stocks'!$B$51, Calculs!N307, 0)</f>
        <v>0</v>
      </c>
      <c r="N477" s="337">
        <f>IF(Quanti!$O$38='TRAD-Saisie données stocks'!$B$51, Calculs!P307, 0)</f>
        <v>0</v>
      </c>
      <c r="O477" s="423">
        <f t="shared" si="49"/>
        <v>0</v>
      </c>
      <c r="P477" s="337">
        <f>IF(Quanti!$O$21="NON", IF(Quanti!$D$10="X",ROUNDUP((Calculs!L362*Quanti!$N$25+Calculs!N362*Calculs!$L$427),0),IF(Quanti!$D$9="X",ROUNDUP((Calculs!O198*Quanti!$N$25+Calculs!N252*Calculs!$L$427),0),"")), 0)</f>
        <v>0</v>
      </c>
      <c r="Q477" s="423">
        <f>IF(P477&gt;O477, 0, IF(Quanti!$N$25&lt;24, O477-P477, 0))</f>
        <v>0</v>
      </c>
    </row>
    <row r="478" spans="3:17" s="358" customFormat="1" ht="26.25" thickBot="1" x14ac:dyDescent="0.25">
      <c r="C478" s="374"/>
      <c r="D478" s="389"/>
      <c r="E478" s="390" t="str">
        <f>'Saisie données stocks'!F65</f>
        <v>DDI</v>
      </c>
      <c r="F478" s="391" t="str">
        <f>'Saisie données stocks'!G65</f>
        <v>Poudre buvable</v>
      </c>
      <c r="G478" s="391" t="str">
        <f>'Saisie données stocks'!H65</f>
        <v>2 g</v>
      </c>
      <c r="H478" s="1519" t="str">
        <f>'Saisie données stocks'!I65</f>
        <v>Didanosine</v>
      </c>
      <c r="I478" s="401" t="str">
        <f>'Saisie données stocks'!J65</f>
        <v>VIDEX</v>
      </c>
      <c r="J478" s="401">
        <f>'Saisie données stocks'!K65</f>
        <v>0</v>
      </c>
      <c r="K478" s="116">
        <f>'Saisie données stocks'!L65</f>
        <v>200</v>
      </c>
      <c r="L478" s="337">
        <f>IF(Quanti!$O$32='TRAD-Saisie données stocks'!$B$51, IF(Quanti!$O$33='TRAD-Saisie données stocks'!$B$51, IF(Quanti!$D$9="X", 'Calculs dispo Données FA'!M57, IF(Quanti!$D$10="X", 'Calculs dispo Données conso'!M59, "0")), Calculs!M308), 0)</f>
        <v>0</v>
      </c>
      <c r="M478" s="337">
        <f>IF(Quanti!$O$37='TRAD-Saisie données stocks'!$B$51, Calculs!N308, 0)</f>
        <v>0</v>
      </c>
      <c r="N478" s="337">
        <f>IF(Quanti!$O$38='TRAD-Saisie données stocks'!$B$51, Calculs!P308, 0)</f>
        <v>0</v>
      </c>
      <c r="O478" s="423">
        <f t="shared" si="49"/>
        <v>0</v>
      </c>
      <c r="P478" s="337">
        <f>IF(Quanti!$O$21="NON", IF(Quanti!$D$10="X",ROUNDUP((Calculs!L363*Quanti!$N$25+Calculs!N363*Calculs!$L$427),0),IF(Quanti!$D$9="X",ROUNDUP((Calculs!O199*Quanti!$N$25+Calculs!N253*Calculs!$L$427),0),"")), 0)</f>
        <v>0</v>
      </c>
      <c r="Q478" s="423">
        <f>IF(P478&gt;O478, 0, IF(Quanti!$N$25&lt;24, O478-P478, 0))</f>
        <v>0</v>
      </c>
    </row>
    <row r="479" spans="3:17" s="358" customFormat="1" ht="13.5" thickBot="1" x14ac:dyDescent="0.25">
      <c r="C479" s="374"/>
      <c r="D479" s="375" t="str">
        <f>'Saisie données stocks'!$E$66</f>
        <v>INNTI</v>
      </c>
      <c r="E479" s="376" t="str">
        <f>'Saisie données stocks'!F66</f>
        <v>NVP</v>
      </c>
      <c r="F479" s="377" t="str">
        <f>'Saisie données stocks'!G66</f>
        <v>Sol buv</v>
      </c>
      <c r="G479" s="377" t="str">
        <f>'Saisie données stocks'!H66</f>
        <v>10 mg/mL</v>
      </c>
      <c r="H479" s="377" t="str">
        <f>'Saisie données stocks'!I66</f>
        <v>Nevirapine</v>
      </c>
      <c r="I479" s="378" t="str">
        <f>'Saisie données stocks'!J66</f>
        <v>VIRAMUNE</v>
      </c>
      <c r="J479" s="378">
        <f>'Saisie données stocks'!K66</f>
        <v>0</v>
      </c>
      <c r="K479" s="114">
        <f>'Saisie données stocks'!L66</f>
        <v>240</v>
      </c>
      <c r="L479" s="337">
        <f>IF(Quanti!$O$32='TRAD-Saisie données stocks'!$B$51, IF(Quanti!$O$33='TRAD-Saisie données stocks'!$B$51, IF(Quanti!$D$9="X", 'Calculs dispo Données FA'!M58, IF(Quanti!$D$10="X", 'Calculs dispo Données conso'!M60, "0")), Calculs!M309), 0)</f>
        <v>0</v>
      </c>
      <c r="M479" s="337">
        <f>IF(Quanti!$O$37='TRAD-Saisie données stocks'!$B$51, Calculs!N309, 0)</f>
        <v>0</v>
      </c>
      <c r="N479" s="337">
        <f>IF(Quanti!$O$38='TRAD-Saisie données stocks'!$B$51, Calculs!P309, 0)</f>
        <v>0</v>
      </c>
      <c r="O479" s="423">
        <f t="shared" si="49"/>
        <v>0</v>
      </c>
      <c r="P479" s="337">
        <f>IF(Quanti!$O$21="NON", IF(Quanti!$D$10="X",ROUNDUP((Calculs!L364*Quanti!$N$25+Calculs!N364*Calculs!$L$427),0),IF(Quanti!$D$9="X",ROUNDUP((Calculs!O200*Quanti!$N$25+Calculs!N254*Calculs!$L$427),0),"")), 0)</f>
        <v>0</v>
      </c>
      <c r="Q479" s="423">
        <f>IF(P479&gt;O479, 0, IF(Quanti!$N$25&lt;24, O479-P479, 0))</f>
        <v>0</v>
      </c>
    </row>
    <row r="480" spans="3:17" s="358" customFormat="1" ht="13.5" thickBot="1" x14ac:dyDescent="0.25">
      <c r="C480" s="374"/>
      <c r="D480" s="389"/>
      <c r="E480" s="390" t="str">
        <f>'Saisie données stocks'!F67</f>
        <v>EFV</v>
      </c>
      <c r="F480" s="391" t="str">
        <f>'Saisie données stocks'!G67</f>
        <v>Sol buv</v>
      </c>
      <c r="G480" s="391" t="str">
        <f>'Saisie données stocks'!H67</f>
        <v>30 mg/mL</v>
      </c>
      <c r="H480" s="1519" t="str">
        <f>'Saisie données stocks'!I67</f>
        <v>Efavirenz</v>
      </c>
      <c r="I480" s="401" t="str">
        <f>'Saisie données stocks'!J67</f>
        <v>SUSTIVA, STOCRIN</v>
      </c>
      <c r="J480" s="401">
        <f>'Saisie données stocks'!K67</f>
        <v>0</v>
      </c>
      <c r="K480" s="116">
        <f>'Saisie données stocks'!L67</f>
        <v>180</v>
      </c>
      <c r="L480" s="337">
        <f>IF(Quanti!$O$32='TRAD-Saisie données stocks'!$B$51, IF(Quanti!$O$33='TRAD-Saisie données stocks'!$B$51, IF(Quanti!$D$9="X", 'Calculs dispo Données FA'!M59, IF(Quanti!$D$10="X", 'Calculs dispo Données conso'!M61, "0")), Calculs!M310), 0)</f>
        <v>0</v>
      </c>
      <c r="M480" s="337">
        <f>IF(Quanti!$O$37='TRAD-Saisie données stocks'!$B$51, Calculs!N310, 0)</f>
        <v>0</v>
      </c>
      <c r="N480" s="337">
        <f>IF(Quanti!$O$38='TRAD-Saisie données stocks'!$B$51, Calculs!P310, 0)</f>
        <v>0</v>
      </c>
      <c r="O480" s="423">
        <f t="shared" si="49"/>
        <v>0</v>
      </c>
      <c r="P480" s="337">
        <f>IF(Quanti!$O$21="NON", IF(Quanti!$D$10="X",ROUNDUP((Calculs!L365*Quanti!$N$25+Calculs!N365*Calculs!$L$427),0),IF(Quanti!$D$9="X",ROUNDUP((Calculs!O201*Quanti!$N$25+Calculs!N255*Calculs!$L$427),0),"")), 0)</f>
        <v>0</v>
      </c>
      <c r="Q480" s="423">
        <f>IF(P480&gt;O480, 0, IF(Quanti!$N$25&lt;24, O480-P480, 0))</f>
        <v>0</v>
      </c>
    </row>
    <row r="481" spans="1:17" s="358" customFormat="1" ht="26.25" thickBot="1" x14ac:dyDescent="0.25">
      <c r="C481" s="404"/>
      <c r="D481" s="408" t="str">
        <f>'Saisie données stocks'!$E$68</f>
        <v>IP</v>
      </c>
      <c r="E481" s="409" t="str">
        <f>'Saisie données stocks'!F68</f>
        <v>LPV/r</v>
      </c>
      <c r="F481" s="410" t="str">
        <f>'Saisie données stocks'!G68</f>
        <v>Sol buv</v>
      </c>
      <c r="G481" s="410" t="str">
        <f>'Saisie données stocks'!H68</f>
        <v>80/20 mg/mL</v>
      </c>
      <c r="H481" s="410" t="str">
        <f>'Saisie données stocks'!I68</f>
        <v>Lopinavir/Ritonavir</v>
      </c>
      <c r="I481" s="411" t="str">
        <f>'Saisie données stocks'!J68</f>
        <v>KALETRA ALUVIA</v>
      </c>
      <c r="J481" s="411">
        <f>'Saisie données stocks'!K68</f>
        <v>0</v>
      </c>
      <c r="K481" s="312">
        <f>'Saisie données stocks'!L68</f>
        <v>60</v>
      </c>
      <c r="L481" s="337">
        <f>IF(Quanti!$O$32='TRAD-Saisie données stocks'!$B$51, IF(Quanti!$O$33='TRAD-Saisie données stocks'!$B$51, IF(Quanti!$D$9="X", 'Calculs dispo Données FA'!M60, IF(Quanti!$D$10="X", 'Calculs dispo Données conso'!M62, "0")), Calculs!M311), 0)</f>
        <v>0</v>
      </c>
      <c r="M481" s="337">
        <f>IF(Quanti!$O$37='TRAD-Saisie données stocks'!$B$51, Calculs!N311, 0)</f>
        <v>0</v>
      </c>
      <c r="N481" s="337">
        <f>IF(Quanti!$O$38='TRAD-Saisie données stocks'!$B$51, Calculs!P311, 0)</f>
        <v>2168</v>
      </c>
      <c r="O481" s="423">
        <f t="shared" si="49"/>
        <v>2168</v>
      </c>
      <c r="P481" s="337">
        <f>IF(Quanti!$O$21="NON", IF(Quanti!$D$10="X",ROUNDUP((Calculs!L366*Quanti!$N$25+Calculs!N366*Calculs!$L$427),0),IF(Quanti!$D$9="X",ROUNDUP((Calculs!O202*Quanti!$N$25+Calculs!N256*Calculs!$L$427),0),"")), 0)</f>
        <v>0</v>
      </c>
      <c r="Q481" s="423">
        <f>IF(P481&gt;O481, 0, IF(Quanti!$N$25&lt;24, O481-P481, 0))</f>
        <v>2168</v>
      </c>
    </row>
    <row r="484" spans="1:17" s="358" customFormat="1" ht="15.75" thickBot="1" x14ac:dyDescent="0.25">
      <c r="A484" s="3256" t="str">
        <f>'TRAD-Calculs'!B63</f>
        <v>Divers : Données sources pour représentation graphique</v>
      </c>
      <c r="B484" s="3257"/>
      <c r="C484" s="3257"/>
      <c r="D484" s="3257"/>
      <c r="E484" s="3257"/>
      <c r="F484" s="3257"/>
      <c r="G484" s="3257"/>
      <c r="H484" s="3257"/>
      <c r="I484" s="3257"/>
      <c r="J484" s="3257"/>
      <c r="K484" s="3257"/>
      <c r="L484" s="3257"/>
      <c r="M484" s="3257"/>
      <c r="N484" s="3257"/>
      <c r="P484" s="356"/>
    </row>
    <row r="486" spans="1:17" x14ac:dyDescent="0.2">
      <c r="C486" s="356" t="str">
        <f>'TRAD-Calculs'!B65</f>
        <v>Période SS</v>
      </c>
      <c r="D486" s="356" t="str">
        <f>CONCATENATE(Paramétrage!D29, " ", 'TRAD-Calculs dispo Données FA'!$B$87)</f>
        <v>3 mois</v>
      </c>
    </row>
    <row r="487" spans="1:17" ht="13.5" thickBot="1" x14ac:dyDescent="0.25">
      <c r="C487" s="356" t="str">
        <f>'TRAD-Calculs'!B66</f>
        <v>Données suivi de file active</v>
      </c>
    </row>
    <row r="488" spans="1:17" ht="13.5" thickBot="1" x14ac:dyDescent="0.25">
      <c r="C488" s="356" t="str">
        <f>'TRAD-Calculs'!B67</f>
        <v>Données de consommation</v>
      </c>
      <c r="F488" s="844" t="str">
        <f>'TRAD-Calculs'!B64</f>
        <v xml:space="preserve">Dans cette version, les paramètres retenus sont : </v>
      </c>
      <c r="G488" s="845"/>
      <c r="H488" s="845"/>
      <c r="I488" s="845"/>
      <c r="J488" s="847" t="str">
        <f>IF('Saisie données conso'!L11="X", Calculs!C488, IF('Saisie données conso'!L12="X", C489, "Conso/distri mais NR"))</f>
        <v>Données de consommation</v>
      </c>
      <c r="K488" s="845"/>
      <c r="L488" s="846"/>
    </row>
    <row r="489" spans="1:17" x14ac:dyDescent="0.2">
      <c r="C489" s="2535" t="str">
        <f>'TRAD-Calculs'!B68</f>
        <v>Données de distribution</v>
      </c>
    </row>
    <row r="490" spans="1:17" x14ac:dyDescent="0.2">
      <c r="C490" s="356" t="str">
        <f>'TRAD-Calculs'!B69</f>
        <v>Compilation de données de FA &amp; de Conso</v>
      </c>
      <c r="F490" s="356" t="str">
        <f>IF('Saisie données conso'!L13="X", Calculs!C490, "")</f>
        <v/>
      </c>
    </row>
    <row r="491" spans="1:17" ht="13.5" thickBot="1" x14ac:dyDescent="0.25"/>
    <row r="492" spans="1:17" ht="13.5" thickBot="1" x14ac:dyDescent="0.25">
      <c r="C492" s="3226" t="str">
        <f>'TRAD-Calculs'!B70</f>
        <v>Stocks disponibles</v>
      </c>
      <c r="D492" s="3227"/>
      <c r="E492" s="3227"/>
      <c r="F492" s="3227"/>
      <c r="G492" s="3228"/>
    </row>
    <row r="493" spans="1:17" ht="13.5" thickBot="1" x14ac:dyDescent="0.25">
      <c r="D493" s="1050" t="str">
        <f>'TRAD-Calculs'!B71</f>
        <v>Adaptation de l'indicateur de données de stocks dispo</v>
      </c>
    </row>
    <row r="494" spans="1:17" ht="13.5" thickBot="1" x14ac:dyDescent="0.25">
      <c r="D494" s="1548" t="str">
        <f>IF('Saisie données stocks'!L76='TRAD-Saisie données stocks'!$B$51, 'TRAD-Calculs'!$B$94, "")</f>
        <v/>
      </c>
    </row>
    <row r="496" spans="1:17" x14ac:dyDescent="0.2">
      <c r="D496" s="1546" t="str">
        <f>IF('Saisie données conso'!I77="X", 'TRAD-Calculs'!$B$95, "")</f>
        <v>Attention, le nombre de patients mentionné ici est estimé à partir de la consommation.</v>
      </c>
      <c r="E496" s="1545"/>
      <c r="F496" s="1545"/>
      <c r="G496" s="1545"/>
      <c r="H496" s="1545"/>
      <c r="I496" s="1545"/>
      <c r="J496" s="1545"/>
      <c r="K496" s="1545"/>
    </row>
    <row r="497" spans="3:7" ht="13.5" thickBot="1" x14ac:dyDescent="0.25"/>
    <row r="498" spans="3:7" ht="13.5" thickBot="1" x14ac:dyDescent="0.25">
      <c r="C498" s="3226" t="str">
        <f>'TRAD-Calculs'!B72</f>
        <v>Dates de péremption</v>
      </c>
      <c r="D498" s="3227"/>
      <c r="E498" s="3227"/>
      <c r="F498" s="3227"/>
      <c r="G498" s="3228"/>
    </row>
    <row r="499" spans="3:7" x14ac:dyDescent="0.2">
      <c r="E499" s="356" t="str">
        <f>'TRAD-Calculs'!B73</f>
        <v>Zone 1</v>
      </c>
      <c r="F499" s="2355" t="str">
        <f>IF('Saisie données stocks'!$O$10='TRAD-Saisie données stocks'!$B$51, IF(COUNTIF('Saisie données stocks'!P19:P33, 'TRAD-Saisie données stocks'!$B$69)=0, D504, IF(E513=E514, D509, F506)), D509)</f>
        <v>Prises en compte</v>
      </c>
    </row>
    <row r="500" spans="3:7" x14ac:dyDescent="0.2">
      <c r="E500" s="356" t="str">
        <f>'TRAD-Calculs'!B74</f>
        <v>Zone 2</v>
      </c>
      <c r="F500" s="2356" t="str">
        <f>IF('Saisie données stocks'!$O$10='TRAD-Saisie données stocks'!$B$51, IF(COUNTIF('Saisie données stocks'!P34:P59, 'TRAD-Saisie données stocks'!$B$69)=0, D504, IF(E515=E516, D509, F507)), D509)</f>
        <v>Prises en compte</v>
      </c>
    </row>
    <row r="501" spans="3:7" ht="13.5" thickBot="1" x14ac:dyDescent="0.25">
      <c r="E501" s="356" t="str">
        <f>'TRAD-Calculs'!B75</f>
        <v>Zone 3</v>
      </c>
      <c r="F501" s="2357" t="str">
        <f>IF('Saisie données stocks'!$O$10='TRAD-Saisie données stocks'!$B$51, IF(COUNTIF('Saisie données stocks'!P60:P68, 'TRAD-Saisie données stocks'!$B$69)=0, D504, IF(E517=E518, D509, F508)), D509)</f>
        <v>Prises en compte</v>
      </c>
    </row>
    <row r="502" spans="3:7" x14ac:dyDescent="0.2">
      <c r="E502" s="2429" t="str">
        <f>'TRAD-Calculs'!B76</f>
        <v>Global</v>
      </c>
      <c r="F502" s="2428" t="str">
        <f>IF(AND(F499='TRAD-Calculs'!B78, F500='TRAD-Calculs'!B78, F501='TRAD-Calculs'!B78), D504, 'TRAD-Calculs'!$B$77)</f>
        <v>Prises en compte</v>
      </c>
    </row>
    <row r="504" spans="3:7" x14ac:dyDescent="0.2">
      <c r="D504" s="356" t="str">
        <f>'TRAD-Calculs'!B78</f>
        <v>Prises en compte</v>
      </c>
    </row>
    <row r="505" spans="3:7" x14ac:dyDescent="0.2">
      <c r="D505" s="356" t="str">
        <f>'TRAD-Calculs'!B79</f>
        <v>Partiellement prises en compte</v>
      </c>
    </row>
    <row r="506" spans="3:7" x14ac:dyDescent="0.2">
      <c r="E506" s="607" t="str">
        <f>'TRAD-Calculs'!B73</f>
        <v>Zone 1</v>
      </c>
      <c r="F506" s="1049" t="str">
        <f>CONCATENATE('TRAD-Calculs'!$B$96," (", E513-E514, " ", 'TRAD-Calculs'!$B$97, "/",  E513, ")" )</f>
        <v>Partiellement prises en compte (11 Produits/11)</v>
      </c>
    </row>
    <row r="507" spans="3:7" x14ac:dyDescent="0.2">
      <c r="E507" s="607" t="str">
        <f>'TRAD-Calculs'!B74</f>
        <v>Zone 2</v>
      </c>
      <c r="F507" s="1049" t="str">
        <f>CONCATENATE('TRAD-Calculs'!$B$96, " (", E515-E516, " ",  'TRAD-Calculs'!$B$97, " /", E515, ")")</f>
        <v>Partiellement prises en compte (7 Produits /7)</v>
      </c>
    </row>
    <row r="508" spans="3:7" x14ac:dyDescent="0.2">
      <c r="E508" s="607" t="str">
        <f>'TRAD-Calculs'!B75</f>
        <v>Zone 3</v>
      </c>
      <c r="F508" s="1049" t="str">
        <f>CONCATENATE('TRAD-Calculs'!$B$96, " (", E517-E518, " ",  'TRAD-Calculs'!$B$97, "/", E517, ")")</f>
        <v>Partiellement prises en compte (1 Produits/1)</v>
      </c>
    </row>
    <row r="509" spans="3:7" x14ac:dyDescent="0.2">
      <c r="D509" s="356" t="str">
        <f>'TRAD-Calculs'!B80</f>
        <v>Non prises en compte</v>
      </c>
    </row>
    <row r="511" spans="3:7" x14ac:dyDescent="0.2">
      <c r="D511" s="356" t="str">
        <f>IF(COUNTIF('Saisie données stocks'!P19:P68,"ATTENTION")&gt;0, F506, "")</f>
        <v/>
      </c>
    </row>
    <row r="513" spans="4:6" x14ac:dyDescent="0.2">
      <c r="D513" s="356" t="str">
        <f>'TRAD-Calculs'!B73</f>
        <v>Zone 1</v>
      </c>
      <c r="E513" s="2240">
        <f>COUNTIF('Saisie données stocks'!N19:N33,"&gt;0")</f>
        <v>11</v>
      </c>
      <c r="F513" s="1049" t="str">
        <f>'TRAD-Calculs'!B81</f>
        <v>produits en stocks</v>
      </c>
    </row>
    <row r="514" spans="4:6" x14ac:dyDescent="0.2">
      <c r="E514" s="2136">
        <f>COUNTIF('Saisie données stocks'!P19:P33, 'TRAD-Saisie données stocks'!$B$69)</f>
        <v>0</v>
      </c>
      <c r="F514" s="1049" t="str">
        <f>'TRAD-Calculs'!B82</f>
        <v>produits dont la date de péremption n'est pas renseignée</v>
      </c>
    </row>
    <row r="515" spans="4:6" x14ac:dyDescent="0.2">
      <c r="D515" s="356" t="str">
        <f>'TRAD-Calculs'!B74</f>
        <v>Zone 2</v>
      </c>
      <c r="E515" s="356">
        <f>COUNTIF('Saisie données stocks'!N34:N59,"&gt;0")</f>
        <v>7</v>
      </c>
      <c r="F515" s="1049" t="str">
        <f>'TRAD-Calculs'!B81</f>
        <v>produits en stocks</v>
      </c>
    </row>
    <row r="516" spans="4:6" x14ac:dyDescent="0.2">
      <c r="E516" s="356">
        <f>COUNTIF('Saisie données stocks'!P34:P59, 'TRAD-Saisie données stocks'!$B$69)</f>
        <v>0</v>
      </c>
      <c r="F516" s="1049" t="str">
        <f>'TRAD-Calculs'!B82</f>
        <v>produits dont la date de péremption n'est pas renseignée</v>
      </c>
    </row>
    <row r="517" spans="4:6" x14ac:dyDescent="0.2">
      <c r="D517" s="356" t="str">
        <f>'TRAD-Calculs'!B75</f>
        <v>Zone 3</v>
      </c>
      <c r="E517" s="356">
        <f>COUNTIF('Saisie données stocks'!N61:N68,"&gt;0")</f>
        <v>1</v>
      </c>
      <c r="F517" s="1049" t="str">
        <f>'TRAD-Calculs'!B81</f>
        <v>produits en stocks</v>
      </c>
    </row>
    <row r="518" spans="4:6" x14ac:dyDescent="0.2">
      <c r="E518" s="356">
        <f>COUNTIF('Saisie données stocks'!P61:P68, 'TRAD-Saisie données stocks'!$B$69)</f>
        <v>0</v>
      </c>
      <c r="F518" s="1049" t="str">
        <f>'TRAD-Calculs'!B82</f>
        <v>produits dont la date de péremption n'est pas renseignée</v>
      </c>
    </row>
    <row r="519" spans="4:6" x14ac:dyDescent="0.2">
      <c r="D519" s="1049" t="str">
        <f>'TRAD-Calculs'!B76</f>
        <v>Global</v>
      </c>
    </row>
  </sheetData>
  <sheetProtection password="D0E7" sheet="1" objects="1" scenarios="1" selectLockedCells="1"/>
  <mergeCells count="9">
    <mergeCell ref="C498:G498"/>
    <mergeCell ref="C492:G492"/>
    <mergeCell ref="A484:N484"/>
    <mergeCell ref="C7:C92"/>
    <mergeCell ref="A148:N148"/>
    <mergeCell ref="A259:N259"/>
    <mergeCell ref="A314:N314"/>
    <mergeCell ref="A424:N424"/>
    <mergeCell ref="A369:N36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0"/>
  </sheetPr>
  <dimension ref="B1:T99"/>
  <sheetViews>
    <sheetView topLeftCell="A85" workbookViewId="0">
      <selection activeCell="D93" sqref="D93"/>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20" s="2586" customFormat="1" x14ac:dyDescent="0.2">
      <c r="B1" s="2586" t="s">
        <v>865</v>
      </c>
      <c r="D1" s="2586" t="s">
        <v>866</v>
      </c>
      <c r="F1" s="2586" t="s">
        <v>867</v>
      </c>
    </row>
    <row r="2" spans="2:20" x14ac:dyDescent="0.2">
      <c r="B2" s="2586" t="str">
        <f>IF(Présentation!$E$2="Français",'TRAD-Calculs'!D2,IF(Présentation!$E$2="Anglais",'TRAD-Calculs'!F2,""))</f>
        <v>Formes solides (cp/gél/caps)</v>
      </c>
      <c r="D2" s="2587" t="s">
        <v>473</v>
      </c>
      <c r="E2" s="2553"/>
      <c r="F2" s="2587" t="s">
        <v>1237</v>
      </c>
      <c r="G2" s="2553"/>
      <c r="H2" s="2553"/>
      <c r="I2" s="2553"/>
      <c r="J2" s="2553"/>
      <c r="K2" s="2553"/>
      <c r="L2" s="2553"/>
      <c r="M2" s="2553"/>
      <c r="N2" s="2553"/>
      <c r="O2" s="2553"/>
      <c r="P2" s="2553"/>
      <c r="Q2" s="2553"/>
      <c r="R2" s="2553"/>
      <c r="S2" s="2553"/>
      <c r="T2" s="2553"/>
    </row>
    <row r="3" spans="2:20" x14ac:dyDescent="0.2">
      <c r="B3" s="2586" t="str">
        <f>IF(Présentation!$E$2="Français",'TRAD-Calculs'!D3,IF(Présentation!$E$2="Anglais",'TRAD-Calculs'!F3,""))</f>
        <v>Composition</v>
      </c>
      <c r="D3" s="2587" t="s">
        <v>12</v>
      </c>
      <c r="E3" s="2553"/>
      <c r="F3" s="2587" t="s">
        <v>12</v>
      </c>
      <c r="G3" s="2553"/>
      <c r="H3" s="2553"/>
      <c r="I3" s="2553"/>
      <c r="J3" s="2553"/>
      <c r="K3" s="2553"/>
      <c r="L3" s="2553"/>
      <c r="M3" s="2553"/>
      <c r="N3" s="2553"/>
      <c r="O3" s="2553"/>
      <c r="P3" s="2553"/>
      <c r="Q3" s="2553"/>
      <c r="R3" s="2553"/>
      <c r="S3" s="2553"/>
      <c r="T3" s="2553"/>
    </row>
    <row r="4" spans="2:20" x14ac:dyDescent="0.2">
      <c r="B4" s="2586" t="str">
        <f>IF(Présentation!$E$2="Français",'TRAD-Calculs'!D4,IF(Présentation!$E$2="Anglais",'TRAD-Calculs'!F4,""))</f>
        <v>Dosage</v>
      </c>
      <c r="D4" s="2587" t="s">
        <v>14</v>
      </c>
      <c r="E4" s="2553"/>
      <c r="F4" s="2587" t="s">
        <v>981</v>
      </c>
      <c r="G4" s="2553"/>
      <c r="H4" s="2553"/>
      <c r="I4" s="2553"/>
      <c r="J4" s="2553"/>
      <c r="K4" s="2553"/>
      <c r="L4" s="2553"/>
      <c r="M4" s="2553"/>
      <c r="N4" s="2553"/>
      <c r="O4" s="2553"/>
      <c r="P4" s="2553"/>
      <c r="Q4" s="2553"/>
      <c r="R4" s="2553"/>
      <c r="S4" s="2553"/>
      <c r="T4" s="2553"/>
    </row>
    <row r="5" spans="2:20" x14ac:dyDescent="0.2">
      <c r="B5" s="2586" t="str">
        <f>IF(Présentation!$E$2="Français",'TRAD-Calculs'!D5,IF(Présentation!$E$2="Anglais",'TRAD-Calculs'!F5,""))</f>
        <v>Posologies (nb de cp / jour)</v>
      </c>
      <c r="D5" s="2587" t="s">
        <v>479</v>
      </c>
      <c r="E5" s="2553"/>
      <c r="F5" s="2587" t="s">
        <v>1238</v>
      </c>
      <c r="G5" s="2553"/>
      <c r="H5" s="2553"/>
      <c r="I5" s="2553"/>
      <c r="J5" s="2553"/>
      <c r="K5" s="2553"/>
      <c r="L5" s="2553"/>
      <c r="M5" s="2553"/>
      <c r="N5" s="2553"/>
      <c r="O5" s="2553"/>
      <c r="P5" s="2553"/>
      <c r="Q5" s="2553"/>
      <c r="R5" s="2553"/>
      <c r="S5" s="2553"/>
      <c r="T5" s="2553"/>
    </row>
    <row r="6" spans="2:20" x14ac:dyDescent="0.2">
      <c r="B6" s="2586" t="str">
        <f>IF(Présentation!$E$2="Français",'TRAD-Calculs'!D6,IF(Présentation!$E$2="Anglais",'TRAD-Calculs'!F6,""))</f>
        <v>Conditionnement</v>
      </c>
      <c r="D6" s="2587" t="s">
        <v>96</v>
      </c>
      <c r="E6" s="2553"/>
      <c r="F6" s="2587" t="s">
        <v>986</v>
      </c>
      <c r="G6" s="2553"/>
      <c r="H6" s="2553"/>
      <c r="I6" s="2553"/>
      <c r="J6" s="2553"/>
      <c r="K6" s="2553"/>
      <c r="L6" s="2553"/>
      <c r="M6" s="2553"/>
      <c r="N6" s="2553"/>
      <c r="O6" s="2553"/>
      <c r="P6" s="2553"/>
      <c r="Q6" s="2553"/>
      <c r="R6" s="2553"/>
      <c r="S6" s="2553"/>
      <c r="T6" s="2553"/>
    </row>
    <row r="7" spans="2:20" x14ac:dyDescent="0.2">
      <c r="B7" s="2586" t="str">
        <f>IF(Présentation!$E$2="Français",'TRAD-Calculs'!D7,IF(Présentation!$E$2="Anglais",'TRAD-Calculs'!F7,""))</f>
        <v>Premières lignes</v>
      </c>
      <c r="D7" s="2559" t="s">
        <v>0</v>
      </c>
      <c r="E7" s="2553"/>
      <c r="F7" s="2587" t="s">
        <v>1056</v>
      </c>
      <c r="G7" s="2553"/>
      <c r="H7" s="2553"/>
      <c r="I7" s="2553"/>
      <c r="J7" s="2553"/>
      <c r="K7" s="2553"/>
      <c r="L7" s="2553"/>
      <c r="M7" s="2553"/>
      <c r="N7" s="2553"/>
      <c r="O7" s="2553"/>
      <c r="P7" s="2553"/>
      <c r="Q7" s="2553"/>
      <c r="R7" s="2553"/>
      <c r="S7" s="2553"/>
      <c r="T7" s="2553"/>
    </row>
    <row r="8" spans="2:20" x14ac:dyDescent="0.2">
      <c r="B8" s="2586" t="str">
        <f>IF(Présentation!$E$2="Français",'TRAD-Calculs'!D8,IF(Présentation!$E$2="Anglais",'TRAD-Calculs'!F8,""))</f>
        <v>Nombre de patients suivis</v>
      </c>
      <c r="D8" s="2559" t="s">
        <v>486</v>
      </c>
      <c r="E8" s="2553"/>
      <c r="F8" s="2587" t="s">
        <v>1239</v>
      </c>
      <c r="G8" s="2553"/>
      <c r="H8" s="2553"/>
      <c r="I8" s="2553"/>
      <c r="J8" s="2553"/>
      <c r="K8" s="2553"/>
      <c r="L8" s="2553"/>
      <c r="M8" s="2553"/>
      <c r="N8" s="2553"/>
      <c r="O8" s="2553"/>
      <c r="P8" s="2553"/>
      <c r="Q8" s="2553"/>
      <c r="R8" s="2553"/>
      <c r="S8" s="2553"/>
      <c r="T8" s="2553"/>
    </row>
    <row r="9" spans="2:20" x14ac:dyDescent="0.2">
      <c r="B9" s="2586" t="str">
        <f>IF(Présentation!$E$2="Français",'TRAD-Calculs'!D9,IF(Présentation!$E$2="Anglais",'TRAD-Calculs'!F9,""))</f>
        <v>Nombre de patients initiés</v>
      </c>
      <c r="D9" s="2559" t="s">
        <v>487</v>
      </c>
      <c r="E9" s="2553"/>
      <c r="F9" s="2587" t="s">
        <v>1240</v>
      </c>
      <c r="G9" s="2553"/>
      <c r="H9" s="2553"/>
      <c r="I9" s="2553"/>
      <c r="J9" s="2553"/>
      <c r="K9" s="2553"/>
      <c r="L9" s="2553"/>
      <c r="M9" s="2553"/>
      <c r="N9" s="2553"/>
      <c r="O9" s="2553"/>
      <c r="P9" s="2553"/>
      <c r="Q9" s="2553"/>
      <c r="R9" s="2553"/>
      <c r="S9" s="2553"/>
      <c r="T9" s="2553"/>
    </row>
    <row r="10" spans="2:20" x14ac:dyDescent="0.2">
      <c r="B10" s="2586" t="str">
        <f>IF(Présentation!$E$2="Français",'TRAD-Calculs'!D10,IF(Présentation!$E$2="Anglais",'TRAD-Calculs'!F10,""))</f>
        <v>Nombre de patients switchés</v>
      </c>
      <c r="D10" s="2559" t="s">
        <v>488</v>
      </c>
      <c r="E10" s="2553"/>
      <c r="F10" s="2587" t="s">
        <v>1245</v>
      </c>
      <c r="G10" s="2553"/>
      <c r="H10" s="2553"/>
      <c r="I10" s="2553"/>
      <c r="J10" s="2553"/>
      <c r="K10" s="2553"/>
      <c r="L10" s="2553"/>
      <c r="M10" s="2553"/>
      <c r="N10" s="2553"/>
      <c r="O10" s="2553"/>
      <c r="P10" s="2553"/>
      <c r="Q10" s="2553"/>
      <c r="R10" s="2553"/>
      <c r="S10" s="2553"/>
      <c r="T10" s="2553"/>
    </row>
    <row r="11" spans="2:20" ht="103.5" x14ac:dyDescent="0.2">
      <c r="B11" s="2586" t="str">
        <f>IF(Présentation!$E$2="Français",'TRAD-Calculs'!D11,IF(Présentation!$E$2="Anglais",'TRAD-Calculs'!F11,""))</f>
        <v>Schéma thérapeutique</v>
      </c>
      <c r="D11" s="2644" t="s">
        <v>8</v>
      </c>
      <c r="E11" s="2553"/>
      <c r="F11" s="2587" t="s">
        <v>1723</v>
      </c>
      <c r="G11" s="2553"/>
      <c r="H11" s="2553"/>
      <c r="I11" s="2553"/>
      <c r="J11" s="2553"/>
      <c r="K11" s="2553"/>
      <c r="L11" s="2553"/>
      <c r="M11" s="2553"/>
      <c r="N11" s="2553"/>
      <c r="O11" s="2553"/>
      <c r="P11" s="2553"/>
      <c r="Q11" s="2553"/>
      <c r="R11" s="2553"/>
      <c r="S11" s="2553"/>
      <c r="T11" s="2553"/>
    </row>
    <row r="12" spans="2:20" x14ac:dyDescent="0.2">
      <c r="B12" s="2586" t="str">
        <f>IF(Présentation!$E$2="Français",'TRAD-Calculs'!D12,IF(Présentation!$E$2="Anglais",'TRAD-Calculs'!F12,""))</f>
        <v>Deuxièmes lignes</v>
      </c>
      <c r="D12" s="2559" t="s">
        <v>6</v>
      </c>
      <c r="E12" s="2553"/>
      <c r="F12" s="2587" t="s">
        <v>1057</v>
      </c>
      <c r="G12" s="2553"/>
      <c r="H12" s="2553"/>
      <c r="I12" s="2553"/>
      <c r="J12" s="2553"/>
      <c r="K12" s="2553"/>
      <c r="L12" s="2553"/>
      <c r="M12" s="2553"/>
      <c r="N12" s="2553"/>
      <c r="O12" s="2553"/>
      <c r="P12" s="2553"/>
      <c r="Q12" s="2553"/>
      <c r="R12" s="2553"/>
      <c r="S12" s="2553"/>
      <c r="T12" s="2553"/>
    </row>
    <row r="13" spans="2:20" x14ac:dyDescent="0.2">
      <c r="B13" s="2586" t="str">
        <f>IF(Présentation!$E$2="Français",'TRAD-Calculs'!D13,IF(Présentation!$E$2="Anglais",'TRAD-Calculs'!F13,""))</f>
        <v>Lignes alternatives</v>
      </c>
      <c r="D13" s="2559" t="s">
        <v>10</v>
      </c>
      <c r="E13" s="2553"/>
      <c r="F13" s="2587" t="s">
        <v>1058</v>
      </c>
      <c r="G13" s="2553"/>
      <c r="H13" s="2553"/>
      <c r="I13" s="2553"/>
      <c r="J13" s="2553"/>
      <c r="K13" s="2553"/>
      <c r="L13" s="2553"/>
      <c r="M13" s="2553"/>
      <c r="N13" s="2553"/>
      <c r="O13" s="2553"/>
      <c r="P13" s="2553"/>
      <c r="Q13" s="2553"/>
      <c r="R13" s="2553"/>
      <c r="S13" s="2553"/>
      <c r="T13" s="2553"/>
    </row>
    <row r="14" spans="2:20" x14ac:dyDescent="0.2">
      <c r="B14" s="2586" t="str">
        <f>IF(Présentation!$E$2="Français",'TRAD-Calculs'!D14,IF(Présentation!$E$2="Anglais",'TRAD-Calculs'!F14,""))</f>
        <v>Troisièmes lignes</v>
      </c>
      <c r="D14" s="2559" t="s">
        <v>435</v>
      </c>
      <c r="E14" s="2553"/>
      <c r="F14" s="2587" t="s">
        <v>1241</v>
      </c>
      <c r="G14" s="2553"/>
      <c r="H14" s="2553"/>
      <c r="I14" s="2553"/>
      <c r="J14" s="2553"/>
      <c r="K14" s="2553"/>
      <c r="L14" s="2553"/>
      <c r="M14" s="2553"/>
      <c r="N14" s="2553"/>
      <c r="O14" s="2553"/>
      <c r="P14" s="2553"/>
      <c r="Q14" s="2553"/>
      <c r="R14" s="2553"/>
      <c r="S14" s="2553"/>
      <c r="T14" s="2553"/>
    </row>
    <row r="15" spans="2:20" ht="25.5" x14ac:dyDescent="0.2">
      <c r="B15" s="2586" t="str">
        <f>IF(Présentation!$E$2="Français",'TRAD-Calculs'!D15,IF(Présentation!$E$2="Anglais",'TRAD-Calculs'!F15,""))</f>
        <v>Nombre de patients suivis prenant le produit / mois</v>
      </c>
      <c r="D15" s="2560" t="s">
        <v>1227</v>
      </c>
      <c r="E15" s="2553"/>
      <c r="F15" s="2587" t="s">
        <v>1242</v>
      </c>
      <c r="G15" s="2553"/>
      <c r="H15" s="2553"/>
      <c r="I15" s="2553"/>
      <c r="J15" s="2553"/>
      <c r="K15" s="2553"/>
      <c r="L15" s="2553"/>
      <c r="M15" s="2553"/>
      <c r="N15" s="2553"/>
      <c r="O15" s="2553"/>
      <c r="P15" s="2553"/>
      <c r="Q15" s="2553"/>
      <c r="R15" s="2553"/>
      <c r="S15" s="2553"/>
      <c r="T15" s="2553"/>
    </row>
    <row r="16" spans="2:20" ht="25.5" x14ac:dyDescent="0.2">
      <c r="B16" s="2586" t="str">
        <f>IF(Présentation!$E$2="Français",'TRAD-Calculs'!D16,IF(Présentation!$E$2="Anglais",'TRAD-Calculs'!F16,""))</f>
        <v>Nombre de patients initiés prenant le produit / mois</v>
      </c>
      <c r="D16" s="2560" t="s">
        <v>1228</v>
      </c>
      <c r="E16" s="2553"/>
      <c r="F16" s="2587" t="s">
        <v>1243</v>
      </c>
      <c r="G16" s="2553"/>
      <c r="H16" s="2553"/>
      <c r="I16" s="2553"/>
      <c r="J16" s="2553"/>
      <c r="K16" s="2553"/>
      <c r="L16" s="2553"/>
      <c r="M16" s="2553"/>
      <c r="N16" s="2553"/>
      <c r="O16" s="2553"/>
      <c r="P16" s="2553"/>
      <c r="Q16" s="2553"/>
      <c r="R16" s="2553"/>
      <c r="S16" s="2553"/>
      <c r="T16" s="2553"/>
    </row>
    <row r="17" spans="2:20" ht="25.5" x14ac:dyDescent="0.2">
      <c r="B17" s="2586" t="str">
        <f>IF(Présentation!$E$2="Français",'TRAD-Calculs'!D17,IF(Présentation!$E$2="Anglais",'TRAD-Calculs'!F17,""))</f>
        <v>Nombre de patients initiés ou switchés prenant le produit / mois</v>
      </c>
      <c r="D17" s="2560" t="s">
        <v>1291</v>
      </c>
      <c r="E17" s="2553"/>
      <c r="F17" s="2587" t="s">
        <v>1292</v>
      </c>
      <c r="G17" s="2553"/>
      <c r="H17" s="2553"/>
      <c r="I17" s="2553"/>
      <c r="J17" s="2553"/>
      <c r="K17" s="2553"/>
      <c r="L17" s="2553"/>
      <c r="M17" s="2553"/>
      <c r="N17" s="2553"/>
      <c r="O17" s="2553"/>
      <c r="P17" s="2553"/>
      <c r="Q17" s="2553"/>
      <c r="R17" s="2553"/>
      <c r="S17" s="2553"/>
      <c r="T17" s="2553"/>
    </row>
    <row r="18" spans="2:20" ht="25.5" x14ac:dyDescent="0.2">
      <c r="B18" s="2586" t="str">
        <f>IF(Présentation!$E$2="Français",'TRAD-Calculs'!D18,IF(Présentation!$E$2="Anglais",'TRAD-Calculs'!F18,""))</f>
        <v>Nombre de nouveaux patients switchés prenant le produit / mois</v>
      </c>
      <c r="D18" s="2560" t="s">
        <v>1229</v>
      </c>
      <c r="E18" s="2553"/>
      <c r="F18" s="2587" t="s">
        <v>1293</v>
      </c>
      <c r="G18" s="2553"/>
      <c r="H18" s="2553"/>
      <c r="I18" s="2553"/>
      <c r="J18" s="2553"/>
      <c r="K18" s="2553"/>
      <c r="L18" s="2553"/>
      <c r="M18" s="2553"/>
      <c r="N18" s="2553"/>
      <c r="O18" s="2553"/>
      <c r="P18" s="2553"/>
      <c r="Q18" s="2553"/>
      <c r="R18" s="2553"/>
      <c r="S18" s="2553"/>
      <c r="T18" s="2553"/>
    </row>
    <row r="19" spans="2:20" ht="25.5" x14ac:dyDescent="0.2">
      <c r="B19" s="2586" t="str">
        <f>IF(Présentation!$E$2="Français",'TRAD-Calculs'!D19,IF(Présentation!$E$2="Anglais",'TRAD-Calculs'!F19,""))</f>
        <v>TOTAL nb de cdt / mois / produits suivis</v>
      </c>
      <c r="D19" s="2560" t="s">
        <v>1246</v>
      </c>
      <c r="E19" s="2553"/>
      <c r="F19" s="2587" t="s">
        <v>1247</v>
      </c>
      <c r="G19" s="2553"/>
      <c r="H19" s="2553"/>
      <c r="I19" s="2553"/>
      <c r="J19" s="2553"/>
      <c r="K19" s="2553"/>
      <c r="L19" s="2553"/>
      <c r="M19" s="2553"/>
      <c r="N19" s="2553"/>
      <c r="O19" s="2553"/>
      <c r="P19" s="2553"/>
      <c r="Q19" s="2553"/>
      <c r="R19" s="2553"/>
      <c r="S19" s="2553"/>
      <c r="T19" s="2553"/>
    </row>
    <row r="20" spans="2:20" ht="25.5" x14ac:dyDescent="0.2">
      <c r="B20" s="2586" t="str">
        <f>IF(Présentation!$E$2="Français",'TRAD-Calculs'!D20,IF(Présentation!$E$2="Anglais",'TRAD-Calculs'!F20,""))</f>
        <v xml:space="preserve">TOTAL nb de cdt / mois / produit  initiés </v>
      </c>
      <c r="D20" s="2560" t="s">
        <v>1230</v>
      </c>
      <c r="E20" s="2553"/>
      <c r="F20" s="2587" t="s">
        <v>1248</v>
      </c>
      <c r="G20" s="2553"/>
      <c r="H20" s="2553"/>
      <c r="I20" s="2553"/>
      <c r="J20" s="2553"/>
      <c r="K20" s="2553"/>
      <c r="L20" s="2553"/>
      <c r="M20" s="2553"/>
      <c r="N20" s="2553"/>
      <c r="O20" s="2553"/>
      <c r="P20" s="2553"/>
      <c r="Q20" s="2553"/>
      <c r="R20" s="2553"/>
      <c r="S20" s="2553"/>
      <c r="T20" s="2553"/>
    </row>
    <row r="21" spans="2:20" ht="25.5" x14ac:dyDescent="0.2">
      <c r="B21" s="2586" t="str">
        <f>IF(Présentation!$E$2="Français",'TRAD-Calculs'!D21,IF(Présentation!$E$2="Anglais",'TRAD-Calculs'!F21,""))</f>
        <v>TOTAL nb de cdt / mois / produit switchés</v>
      </c>
      <c r="D21" s="2560" t="s">
        <v>1231</v>
      </c>
      <c r="E21" s="2553"/>
      <c r="F21" s="2587" t="s">
        <v>1286</v>
      </c>
      <c r="G21" s="2553"/>
      <c r="H21" s="2553"/>
      <c r="I21" s="2553"/>
      <c r="J21" s="2553"/>
      <c r="K21" s="2553"/>
      <c r="L21" s="2553"/>
      <c r="M21" s="2553"/>
      <c r="N21" s="2553"/>
      <c r="O21" s="2553"/>
      <c r="P21" s="2553"/>
      <c r="Q21" s="2553"/>
      <c r="R21" s="2553"/>
      <c r="S21" s="2553"/>
      <c r="T21" s="2553"/>
    </row>
    <row r="22" spans="2:20" x14ac:dyDescent="0.2">
      <c r="B22" s="2586" t="str">
        <f>IF(Présentation!$E$2="Français",'TRAD-Calculs'!D22,IF(Présentation!$E$2="Anglais",'TRAD-Calculs'!F22,""))</f>
        <v>Forme galénique</v>
      </c>
      <c r="D22" s="2587" t="s">
        <v>13</v>
      </c>
      <c r="E22" s="2553"/>
      <c r="F22" s="2587" t="s">
        <v>980</v>
      </c>
      <c r="G22" s="2553"/>
      <c r="H22" s="2553"/>
      <c r="I22" s="2553"/>
      <c r="J22" s="2553"/>
      <c r="K22" s="2553"/>
      <c r="L22" s="2553"/>
      <c r="M22" s="2553"/>
      <c r="N22" s="2553"/>
      <c r="O22" s="2553"/>
      <c r="P22" s="2553"/>
      <c r="Q22" s="2553"/>
      <c r="R22" s="2553"/>
      <c r="S22" s="2553"/>
      <c r="T22" s="2553"/>
    </row>
    <row r="23" spans="2:20" x14ac:dyDescent="0.2">
      <c r="B23" s="2586" t="str">
        <f>IF(Présentation!$E$2="Français",'TRAD-Calculs'!D23,IF(Présentation!$E$2="Anglais",'TRAD-Calculs'!F23,""))</f>
        <v>DCI</v>
      </c>
      <c r="D23" s="2587" t="s">
        <v>318</v>
      </c>
      <c r="E23" s="2553"/>
      <c r="F23" s="2587" t="s">
        <v>982</v>
      </c>
      <c r="G23" s="2553"/>
      <c r="H23" s="2553"/>
      <c r="I23" s="2553"/>
      <c r="J23" s="2553"/>
      <c r="K23" s="2553"/>
      <c r="L23" s="2553"/>
      <c r="M23" s="2553"/>
      <c r="N23" s="2553"/>
      <c r="O23" s="2553"/>
      <c r="P23" s="2553"/>
      <c r="Q23" s="2553"/>
      <c r="R23" s="2553"/>
      <c r="S23" s="2553"/>
      <c r="T23" s="2553"/>
    </row>
    <row r="24" spans="2:20" x14ac:dyDescent="0.2">
      <c r="B24" s="2586" t="str">
        <f>IF(Présentation!$E$2="Français",'TRAD-Calculs'!D24,IF(Présentation!$E$2="Anglais",'TRAD-Calculs'!F24,""))</f>
        <v>Nom de spécialité</v>
      </c>
      <c r="D24" s="2587" t="s">
        <v>75</v>
      </c>
      <c r="E24" s="2553"/>
      <c r="F24" s="2587" t="s">
        <v>1249</v>
      </c>
      <c r="G24" s="2553"/>
      <c r="H24" s="2553"/>
      <c r="I24" s="2553"/>
      <c r="J24" s="2553"/>
      <c r="K24" s="2553"/>
      <c r="L24" s="2553"/>
      <c r="M24" s="2553"/>
      <c r="N24" s="2553"/>
      <c r="O24" s="2553"/>
      <c r="P24" s="2553"/>
      <c r="Q24" s="2553"/>
      <c r="R24" s="2553"/>
      <c r="S24" s="2553"/>
      <c r="T24" s="2553"/>
    </row>
    <row r="25" spans="2:20" x14ac:dyDescent="0.2">
      <c r="B25" s="2586" t="str">
        <f>IF(Présentation!$E$2="Français",'TRAD-Calculs'!D25,IF(Présentation!$E$2="Anglais",'TRAD-Calculs'!F25,""))</f>
        <v>Nom de générique possible</v>
      </c>
      <c r="D25" s="2587" t="s">
        <v>95</v>
      </c>
      <c r="E25" s="2553"/>
      <c r="F25" s="2587" t="s">
        <v>1250</v>
      </c>
      <c r="G25" s="2553"/>
      <c r="H25" s="2553"/>
      <c r="I25" s="2553"/>
      <c r="J25" s="2553"/>
      <c r="K25" s="2553"/>
      <c r="L25" s="2553"/>
      <c r="M25" s="2553"/>
      <c r="N25" s="2553"/>
      <c r="O25" s="2553"/>
      <c r="P25" s="2553"/>
      <c r="Q25" s="2553"/>
      <c r="R25" s="2553"/>
      <c r="S25" s="2553"/>
      <c r="T25" s="2553"/>
    </row>
    <row r="26" spans="2:20" x14ac:dyDescent="0.2">
      <c r="B26" s="2586" t="str">
        <f>IF(Présentation!$E$2="Français",'TRAD-Calculs'!D26,IF(Présentation!$E$2="Anglais",'TRAD-Calculs'!F26,""))</f>
        <v>Conditionnement</v>
      </c>
      <c r="D26" s="2587" t="s">
        <v>96</v>
      </c>
      <c r="E26" s="2553"/>
      <c r="F26" s="2587" t="s">
        <v>986</v>
      </c>
      <c r="G26" s="2553"/>
      <c r="H26" s="2553"/>
      <c r="I26" s="2553"/>
      <c r="J26" s="2553"/>
      <c r="K26" s="2553"/>
      <c r="L26" s="2553"/>
      <c r="M26" s="2553"/>
      <c r="N26" s="2553"/>
      <c r="O26" s="2553"/>
      <c r="P26" s="2553"/>
      <c r="Q26" s="2553"/>
      <c r="R26" s="2553"/>
      <c r="S26" s="2553"/>
      <c r="T26" s="2553"/>
    </row>
    <row r="27" spans="2:20" x14ac:dyDescent="0.2">
      <c r="B27" s="2586" t="str">
        <f>IF(Présentation!$E$2="Français",'TRAD-Calculs'!D27,IF(Présentation!$E$2="Anglais",'TRAD-Calculs'!F27,""))</f>
        <v>Posologies</v>
      </c>
      <c r="D27" s="2587" t="s">
        <v>162</v>
      </c>
      <c r="E27" s="2553"/>
      <c r="F27" s="2587" t="s">
        <v>1244</v>
      </c>
      <c r="G27" s="2553"/>
      <c r="H27" s="2553"/>
      <c r="I27" s="2553"/>
      <c r="J27" s="2553"/>
      <c r="K27" s="2553"/>
      <c r="L27" s="2553"/>
      <c r="M27" s="2553"/>
      <c r="N27" s="2553"/>
      <c r="O27" s="2553"/>
      <c r="P27" s="2553"/>
      <c r="Q27" s="2553"/>
      <c r="R27" s="2553"/>
      <c r="S27" s="2553"/>
      <c r="T27" s="2553"/>
    </row>
    <row r="28" spans="2:20" x14ac:dyDescent="0.2">
      <c r="B28" s="2586" t="str">
        <f>IF(Présentation!$E$2="Français",'TRAD-Calculs'!D28,IF(Présentation!$E$2="Anglais",'TRAD-Calculs'!F28,""))</f>
        <v>Comprimés</v>
      </c>
      <c r="D28" s="2587" t="s">
        <v>97</v>
      </c>
      <c r="E28" s="2553"/>
      <c r="F28" s="2587" t="s">
        <v>1007</v>
      </c>
      <c r="G28" s="2553"/>
      <c r="H28" s="2553"/>
      <c r="I28" s="2553"/>
      <c r="J28" s="2553"/>
      <c r="K28" s="2553"/>
      <c r="L28" s="2553"/>
      <c r="M28" s="2553"/>
      <c r="N28" s="2553"/>
      <c r="O28" s="2553"/>
      <c r="P28" s="2553"/>
      <c r="Q28" s="2553"/>
      <c r="R28" s="2553"/>
      <c r="S28" s="2553"/>
      <c r="T28" s="2553"/>
    </row>
    <row r="29" spans="2:20" x14ac:dyDescent="0.2">
      <c r="B29" s="2586" t="str">
        <f>IF(Présentation!$E$2="Français",'TRAD-Calculs'!D29,IF(Présentation!$E$2="Anglais",'TRAD-Calculs'!F29,""))</f>
        <v>Note</v>
      </c>
      <c r="D29" s="2553" t="s">
        <v>490</v>
      </c>
      <c r="E29" s="2553"/>
      <c r="F29" s="2587" t="s">
        <v>490</v>
      </c>
      <c r="G29" s="2553"/>
      <c r="H29" s="2553"/>
      <c r="I29" s="2553"/>
      <c r="J29" s="2553"/>
      <c r="K29" s="2553"/>
      <c r="L29" s="2553"/>
      <c r="M29" s="2553"/>
      <c r="N29" s="2553"/>
      <c r="O29" s="2553"/>
      <c r="P29" s="2553"/>
      <c r="Q29" s="2553"/>
      <c r="R29" s="2553"/>
      <c r="S29" s="2553"/>
      <c r="T29" s="2553"/>
    </row>
    <row r="30" spans="2:20" ht="51" x14ac:dyDescent="0.2">
      <c r="B30" s="2586" t="str">
        <f>IF(Présentation!$E$2="Français",'TRAD-Calculs'!D30,IF(Présentation!$E$2="Anglais",'TRAD-Calculs'!F30,""))</f>
        <v>Les cases en gris claire correspondent aux cases incluant des calculs liés à l'addition de quantités relatives à des posologies différentes</v>
      </c>
      <c r="D30" s="2553" t="s">
        <v>491</v>
      </c>
      <c r="E30" s="2553"/>
      <c r="F30" s="2587" t="s">
        <v>1728</v>
      </c>
      <c r="G30" s="2553"/>
      <c r="H30" s="2553"/>
      <c r="I30" s="2553"/>
      <c r="J30" s="2553"/>
      <c r="K30" s="2553"/>
      <c r="L30" s="2553"/>
      <c r="M30" s="2553"/>
      <c r="N30" s="2553"/>
      <c r="O30" s="2553"/>
      <c r="P30" s="2553"/>
      <c r="Q30" s="2553"/>
      <c r="R30" s="2553"/>
      <c r="S30" s="2553"/>
      <c r="T30" s="2553"/>
    </row>
    <row r="31" spans="2:20" ht="38.25" x14ac:dyDescent="0.2">
      <c r="B31" s="2586" t="str">
        <f>IF(Présentation!$E$2="Français",'TRAD-Calculs'!D31,IF(Présentation!$E$2="Anglais",'TRAD-Calculs'!F31,""))</f>
        <v>Etape 1 : détermination du nombre mensuel de patients nécessitant les traitements</v>
      </c>
      <c r="D31" s="2554" t="s">
        <v>1235</v>
      </c>
      <c r="E31" s="2556"/>
      <c r="F31" s="2587" t="s">
        <v>1724</v>
      </c>
      <c r="G31" s="2556"/>
      <c r="H31" s="2556"/>
      <c r="I31" s="2556"/>
      <c r="J31" s="2556"/>
      <c r="K31" s="2556"/>
      <c r="L31" s="2556"/>
      <c r="M31" s="2556"/>
      <c r="N31" s="2556"/>
      <c r="O31" s="2556"/>
      <c r="P31" s="2556"/>
      <c r="Q31" s="2556"/>
      <c r="R31" s="2553"/>
      <c r="S31" s="2553"/>
      <c r="T31" s="2553"/>
    </row>
    <row r="32" spans="2:20" x14ac:dyDescent="0.2">
      <c r="B32" s="2586" t="str">
        <f>IF(Présentation!$E$2="Français",'TRAD-Calculs'!D32,IF(Présentation!$E$2="Anglais",'TRAD-Calculs'!F32,""))</f>
        <v>A. Pour les patients déjà sous traitement</v>
      </c>
      <c r="D32" s="2556" t="s">
        <v>136</v>
      </c>
      <c r="E32" s="2553"/>
      <c r="F32" s="2587" t="s">
        <v>1813</v>
      </c>
      <c r="G32" s="2556"/>
      <c r="H32" s="2556"/>
      <c r="I32" s="2556"/>
      <c r="J32" s="2556"/>
      <c r="K32" s="2556"/>
      <c r="L32" s="2556"/>
      <c r="M32" s="2556"/>
      <c r="N32" s="2556"/>
      <c r="O32" s="2556"/>
      <c r="P32" s="2556"/>
      <c r="Q32" s="2556"/>
      <c r="R32" s="2556"/>
      <c r="S32" s="2553"/>
      <c r="T32" s="2553"/>
    </row>
    <row r="33" spans="2:20" ht="25.5" x14ac:dyDescent="0.2">
      <c r="B33" s="2586" t="str">
        <f>IF(Présentation!$E$2="Français",'TRAD-Calculs'!D33,IF(Présentation!$E$2="Anglais",'TRAD-Calculs'!F33,""))</f>
        <v>Nombre de boites pour les adultes pour 1 mois</v>
      </c>
      <c r="D33" s="2561" t="s">
        <v>1232</v>
      </c>
      <c r="E33" s="2556"/>
      <c r="F33" s="2587" t="s">
        <v>1814</v>
      </c>
      <c r="G33" s="2556"/>
      <c r="H33" s="2556"/>
      <c r="I33" s="2556"/>
      <c r="J33" s="2556"/>
      <c r="K33" s="2556"/>
      <c r="L33" s="2556"/>
      <c r="M33" s="2556"/>
      <c r="N33" s="2556"/>
      <c r="O33" s="2556"/>
      <c r="P33" s="2556"/>
      <c r="Q33" s="2556"/>
      <c r="R33" s="2556"/>
      <c r="S33" s="2553"/>
      <c r="T33" s="2553"/>
    </row>
    <row r="34" spans="2:20" ht="25.5" x14ac:dyDescent="0.2">
      <c r="B34" s="2586" t="str">
        <f>IF(Présentation!$E$2="Français",'TRAD-Calculs'!D34,IF(Présentation!$E$2="Anglais",'TRAD-Calculs'!F34,""))</f>
        <v>Nombre de boites pour les enfants pour 1 mois</v>
      </c>
      <c r="D34" s="2561" t="s">
        <v>1233</v>
      </c>
      <c r="E34" s="2556"/>
      <c r="F34" s="2587" t="s">
        <v>1815</v>
      </c>
      <c r="G34" s="2553"/>
      <c r="H34" s="2562"/>
      <c r="I34" s="2562"/>
      <c r="J34" s="2562"/>
      <c r="K34" s="2562"/>
      <c r="L34" s="2562"/>
      <c r="M34" s="2562"/>
      <c r="N34" s="2562"/>
      <c r="O34" s="2553"/>
      <c r="P34" s="2553"/>
      <c r="Q34" s="2553"/>
      <c r="R34" s="2553"/>
      <c r="S34" s="2553"/>
      <c r="T34" s="2553"/>
    </row>
    <row r="35" spans="2:20" x14ac:dyDescent="0.2">
      <c r="B35" s="2586" t="str">
        <f>IF(Présentation!$E$2="Français",'TRAD-Calculs'!D35,IF(Présentation!$E$2="Anglais",'TRAD-Calculs'!F35,""))</f>
        <v>Besoins PTME pour 1 mois</v>
      </c>
      <c r="D35" s="2561" t="s">
        <v>1234</v>
      </c>
      <c r="E35" s="2553"/>
      <c r="F35" s="2587" t="s">
        <v>1257</v>
      </c>
      <c r="G35" s="2553"/>
      <c r="H35" s="2553"/>
      <c r="I35" s="2553"/>
      <c r="J35" s="2553"/>
      <c r="K35" s="2553"/>
      <c r="L35" s="2553"/>
      <c r="M35" s="2553"/>
      <c r="N35" s="2553"/>
      <c r="O35" s="2553"/>
      <c r="P35" s="2553"/>
      <c r="Q35" s="2553"/>
      <c r="R35" s="2553"/>
      <c r="S35" s="2553"/>
      <c r="T35" s="2553"/>
    </row>
    <row r="36" spans="2:20" x14ac:dyDescent="0.2">
      <c r="B36" s="2586" t="str">
        <f>IF(Présentation!$E$2="Français",'TRAD-Calculs'!D36,IF(Présentation!$E$2="Anglais",'TRAD-Calculs'!F36,""))</f>
        <v>Total des besoins pour 1 mois</v>
      </c>
      <c r="D36" s="2561" t="s">
        <v>181</v>
      </c>
      <c r="E36" s="2553"/>
      <c r="F36" s="2587" t="s">
        <v>1258</v>
      </c>
      <c r="G36" s="2553"/>
      <c r="H36" s="2553"/>
      <c r="I36" s="2553"/>
      <c r="J36" s="2553"/>
      <c r="K36" s="2553"/>
      <c r="L36" s="2553"/>
      <c r="M36" s="2553"/>
      <c r="N36" s="2553"/>
      <c r="O36" s="2553"/>
      <c r="P36" s="2553"/>
      <c r="Q36" s="2553"/>
      <c r="R36" s="2553"/>
      <c r="S36" s="2553"/>
      <c r="T36" s="2553"/>
    </row>
    <row r="37" spans="2:20" x14ac:dyDescent="0.2">
      <c r="B37" s="2586" t="str">
        <f>IF(Présentation!$E$2="Français",'TRAD-Calculs'!D37,IF(Présentation!$E$2="Anglais",'TRAD-Calculs'!F37,""))</f>
        <v>Volume conditionnement primaire (mL)</v>
      </c>
      <c r="D37" s="2556" t="s">
        <v>76</v>
      </c>
      <c r="E37" s="2561"/>
      <c r="F37" s="2587" t="s">
        <v>1173</v>
      </c>
      <c r="G37" s="2561"/>
      <c r="H37" s="2561"/>
      <c r="I37" s="2553"/>
      <c r="J37" s="2553"/>
      <c r="K37" s="2553"/>
      <c r="L37" s="2553"/>
      <c r="M37" s="2553"/>
      <c r="N37" s="2553"/>
      <c r="O37" s="2553"/>
      <c r="P37" s="2553"/>
      <c r="Q37" s="2553"/>
      <c r="R37" s="2553"/>
      <c r="S37" s="2553"/>
      <c r="T37" s="2553"/>
    </row>
    <row r="38" spans="2:20" x14ac:dyDescent="0.2">
      <c r="B38" s="2586" t="str">
        <f>IF(Présentation!$E$2="Français",'TRAD-Calculs'!D38,IF(Présentation!$E$2="Anglais",'TRAD-Calculs'!F38,""))</f>
        <v>Solutions buvables</v>
      </c>
      <c r="D38" s="2556" t="s">
        <v>78</v>
      </c>
      <c r="E38" s="2553"/>
      <c r="F38" s="2587" t="s">
        <v>1251</v>
      </c>
      <c r="G38" s="2553"/>
      <c r="H38" s="2553"/>
      <c r="I38" s="2553"/>
      <c r="J38" s="2553"/>
      <c r="K38" s="2553"/>
      <c r="L38" s="2553"/>
      <c r="M38" s="2553"/>
      <c r="N38" s="2553"/>
      <c r="O38" s="2553"/>
      <c r="P38" s="2553"/>
      <c r="Q38" s="2553"/>
      <c r="R38" s="2553"/>
      <c r="S38" s="2553"/>
      <c r="T38" s="2553"/>
    </row>
    <row r="39" spans="2:20" ht="25.5" x14ac:dyDescent="0.2">
      <c r="B39" s="2586" t="str">
        <f>IF(Présentation!$E$2="Français",'TRAD-Calculs'!D39,IF(Présentation!$E$2="Anglais",'TRAD-Calculs'!F39,""))</f>
        <v>B. Pour les initiations &amp; changements de lignes</v>
      </c>
      <c r="D39" s="2556" t="s">
        <v>274</v>
      </c>
      <c r="E39" s="2553"/>
      <c r="F39" s="2587" t="s">
        <v>1252</v>
      </c>
      <c r="G39" s="2553"/>
      <c r="H39" s="2553"/>
      <c r="I39" s="2553"/>
      <c r="J39" s="2553"/>
      <c r="K39" s="2553"/>
      <c r="L39" s="2553"/>
      <c r="M39" s="2553"/>
      <c r="N39" s="2553"/>
      <c r="O39" s="2553"/>
      <c r="P39" s="2553"/>
      <c r="Q39" s="2553"/>
      <c r="R39" s="2553"/>
      <c r="S39" s="2553"/>
      <c r="T39" s="2553"/>
    </row>
    <row r="40" spans="2:20" x14ac:dyDescent="0.2">
      <c r="B40" s="2586" t="str">
        <f>IF(Présentation!$E$2="Français",'TRAD-Calculs'!D40,IF(Présentation!$E$2="Anglais",'TRAD-Calculs'!F40,""))</f>
        <v>Conditionnement</v>
      </c>
      <c r="D40" s="2562" t="s">
        <v>96</v>
      </c>
      <c r="E40" s="2553"/>
      <c r="F40" s="2587" t="s">
        <v>986</v>
      </c>
      <c r="G40" s="2553"/>
      <c r="H40" s="2553"/>
      <c r="I40" s="2553"/>
      <c r="J40" s="2553"/>
      <c r="K40" s="2553"/>
      <c r="L40" s="2553"/>
      <c r="M40" s="2553"/>
      <c r="N40" s="2553"/>
      <c r="O40" s="2553"/>
      <c r="P40" s="2553"/>
      <c r="Q40" s="2553"/>
      <c r="R40" s="2553"/>
      <c r="S40" s="2553"/>
      <c r="T40" s="2553"/>
    </row>
    <row r="41" spans="2:20" x14ac:dyDescent="0.2">
      <c r="B41" s="2586" t="str">
        <f>IF(Présentation!$E$2="Français",'TRAD-Calculs'!D41,IF(Présentation!$E$2="Anglais",'TRAD-Calculs'!F41,""))</f>
        <v>Conditionement secondaire</v>
      </c>
      <c r="D41" s="2562" t="s">
        <v>77</v>
      </c>
      <c r="E41" s="2553"/>
      <c r="F41" s="2587" t="s">
        <v>1259</v>
      </c>
      <c r="G41" s="2553"/>
      <c r="H41" s="2553"/>
      <c r="I41" s="2553"/>
      <c r="J41" s="2553"/>
      <c r="K41" s="2553"/>
      <c r="L41" s="2553"/>
      <c r="M41" s="2553"/>
      <c r="N41" s="2553"/>
      <c r="O41" s="2553"/>
      <c r="P41" s="2553"/>
      <c r="Q41" s="2553"/>
      <c r="R41" s="2553"/>
      <c r="S41" s="2553"/>
      <c r="T41" s="2553"/>
    </row>
    <row r="42" spans="2:20" ht="25.5" x14ac:dyDescent="0.2">
      <c r="B42" s="2586" t="str">
        <f>IF(Présentation!$E$2="Français",'TRAD-Calculs'!D42,IF(Présentation!$E$2="Anglais",'TRAD-Calculs'!F42,""))</f>
        <v>Qtés en stock au niveau central (nb boites)</v>
      </c>
      <c r="D42" s="2562" t="s">
        <v>246</v>
      </c>
      <c r="E42" s="2553"/>
      <c r="F42" s="2587" t="s">
        <v>1253</v>
      </c>
      <c r="G42" s="2553"/>
      <c r="H42" s="2553"/>
      <c r="I42" s="2553"/>
      <c r="J42" s="2553"/>
      <c r="K42" s="2553"/>
      <c r="L42" s="2553"/>
      <c r="M42" s="2553"/>
      <c r="N42" s="2553"/>
      <c r="O42" s="2553"/>
      <c r="P42" s="2553"/>
      <c r="Q42" s="2553"/>
      <c r="R42" s="2553"/>
      <c r="S42" s="2553"/>
      <c r="T42" s="2553"/>
    </row>
    <row r="43" spans="2:20" ht="25.5" x14ac:dyDescent="0.2">
      <c r="B43" s="2586" t="str">
        <f>IF(Présentation!$E$2="Français",'TRAD-Calculs'!D43,IF(Présentation!$E$2="Anglais",'TRAD-Calculs'!F43,""))</f>
        <v>Qtés en stock périphériques (nb de boites)</v>
      </c>
      <c r="D43" s="2562" t="s">
        <v>247</v>
      </c>
      <c r="E43" s="2553"/>
      <c r="F43" s="2587" t="s">
        <v>1778</v>
      </c>
      <c r="G43" s="2553"/>
      <c r="H43" s="2553"/>
      <c r="I43" s="2553"/>
      <c r="J43" s="2553"/>
      <c r="K43" s="2553"/>
      <c r="L43" s="2553"/>
      <c r="M43" s="2553"/>
      <c r="N43" s="2553"/>
      <c r="O43" s="2553"/>
      <c r="P43" s="2553"/>
      <c r="Q43" s="2553"/>
      <c r="R43" s="2553"/>
      <c r="S43" s="2553"/>
      <c r="T43" s="2553"/>
    </row>
    <row r="44" spans="2:20" x14ac:dyDescent="0.2">
      <c r="B44" s="2586" t="str">
        <f>IF(Présentation!$E$2="Français",'TRAD-Calculs'!D44,IF(Présentation!$E$2="Anglais",'TRAD-Calculs'!F44,""))</f>
        <v>Quantités totales en stock (nb de boites)</v>
      </c>
      <c r="D44" s="2553" t="s">
        <v>249</v>
      </c>
      <c r="E44" s="2553"/>
      <c r="F44" s="2587" t="s">
        <v>1254</v>
      </c>
      <c r="G44" s="2553"/>
      <c r="H44" s="2553"/>
      <c r="I44" s="2553"/>
      <c r="J44" s="2553"/>
      <c r="K44" s="2553"/>
      <c r="L44" s="2553"/>
      <c r="M44" s="2553"/>
      <c r="N44" s="2553"/>
      <c r="O44" s="2553"/>
      <c r="P44" s="2553"/>
      <c r="Q44" s="2553"/>
      <c r="R44" s="2553"/>
      <c r="S44" s="2553"/>
      <c r="T44" s="2553"/>
    </row>
    <row r="45" spans="2:20" ht="25.5" x14ac:dyDescent="0.2">
      <c r="B45" s="2586" t="str">
        <f>IF(Présentation!$E$2="Français",'TRAD-Calculs'!D45,IF(Présentation!$E$2="Anglais",'TRAD-Calculs'!F45,""))</f>
        <v>Commandes attendues à court termes (nb de boites)</v>
      </c>
      <c r="D45" s="2562" t="s">
        <v>248</v>
      </c>
      <c r="E45" s="2553"/>
      <c r="F45" s="2587" t="s">
        <v>1255</v>
      </c>
      <c r="G45" s="2553"/>
      <c r="H45" s="2553"/>
      <c r="I45" s="2553"/>
      <c r="J45" s="2553"/>
      <c r="K45" s="2553"/>
      <c r="L45" s="2553"/>
      <c r="M45" s="2553"/>
      <c r="N45" s="2553"/>
      <c r="O45" s="2553"/>
      <c r="P45" s="2553"/>
      <c r="Q45" s="2553"/>
      <c r="R45" s="2553"/>
      <c r="S45" s="2553"/>
      <c r="T45" s="2553"/>
    </row>
    <row r="46" spans="2:20" ht="25.5" x14ac:dyDescent="0.2">
      <c r="B46" s="2586" t="str">
        <f>IF(Présentation!$E$2="Français",'TRAD-Calculs'!D46,IF(Présentation!$E$2="Anglais",'TRAD-Calculs'!F46,""))</f>
        <v>Quantités totales en stock après réception (nb de boites)</v>
      </c>
      <c r="D46" s="2553" t="s">
        <v>521</v>
      </c>
      <c r="E46" s="2553"/>
      <c r="F46" s="2587" t="s">
        <v>1256</v>
      </c>
      <c r="G46" s="2553"/>
      <c r="H46" s="2553"/>
      <c r="I46" s="2553"/>
      <c r="J46" s="2553"/>
      <c r="K46" s="2553"/>
      <c r="L46" s="2553"/>
      <c r="M46" s="2553"/>
      <c r="N46" s="2553"/>
      <c r="O46" s="2553"/>
      <c r="P46" s="2553"/>
      <c r="Q46" s="2553"/>
      <c r="R46" s="2553"/>
      <c r="S46" s="2553"/>
      <c r="T46" s="2553"/>
    </row>
    <row r="47" spans="2:20" x14ac:dyDescent="0.2">
      <c r="B47" s="2586" t="str">
        <f>IF(Présentation!$E$2="Français",'TRAD-Calculs'!D47,IF(Présentation!$E$2="Anglais",'TRAD-Calculs'!F47,""))</f>
        <v>Etape 3 : détermination des CMM</v>
      </c>
      <c r="D47" s="2556" t="s">
        <v>1236</v>
      </c>
      <c r="E47" s="2556"/>
      <c r="F47" s="2587" t="s">
        <v>1725</v>
      </c>
      <c r="G47" s="2556"/>
      <c r="H47" s="2556"/>
      <c r="I47" s="2556"/>
      <c r="J47" s="2556"/>
      <c r="K47" s="2556"/>
      <c r="L47" s="2556"/>
      <c r="M47" s="2556"/>
      <c r="N47" s="2556"/>
      <c r="O47" s="2556"/>
      <c r="P47" s="2556"/>
      <c r="Q47" s="2556"/>
      <c r="R47" s="2553"/>
      <c r="S47" s="2553"/>
      <c r="T47" s="2553"/>
    </row>
    <row r="48" spans="2:20" x14ac:dyDescent="0.2">
      <c r="B48" s="2586" t="str">
        <f>IF(Présentation!$E$2="Français",'TRAD-Calculs'!D48,IF(Présentation!$E$2="Anglais",'TRAD-Calculs'!F48,""))</f>
        <v>Consommation ajustée baseline</v>
      </c>
      <c r="D48" s="2556" t="s">
        <v>446</v>
      </c>
      <c r="E48" s="2553"/>
      <c r="F48" s="2587" t="s">
        <v>1260</v>
      </c>
      <c r="G48" s="2553"/>
      <c r="H48" s="2553"/>
      <c r="I48" s="2553"/>
      <c r="J48" s="2553"/>
      <c r="K48" s="2553"/>
      <c r="L48" s="2553"/>
      <c r="M48" s="2553"/>
      <c r="N48" s="2553"/>
      <c r="O48" s="2553"/>
      <c r="P48" s="2553"/>
      <c r="Q48" s="2553"/>
      <c r="R48" s="2553"/>
      <c r="S48" s="2553"/>
      <c r="T48" s="2553"/>
    </row>
    <row r="49" spans="2:20" x14ac:dyDescent="0.2">
      <c r="B49" s="2586" t="str">
        <f>IF(Présentation!$E$2="Français",'TRAD-Calculs'!D49,IF(Présentation!$E$2="Anglais",'TRAD-Calculs'!F49,""))</f>
        <v>Taux</v>
      </c>
      <c r="D49" s="2561" t="s">
        <v>271</v>
      </c>
      <c r="E49" s="2553"/>
      <c r="F49" s="2587" t="s">
        <v>1261</v>
      </c>
      <c r="G49" s="2553"/>
      <c r="H49" s="2553"/>
      <c r="I49" s="2553"/>
      <c r="J49" s="2553"/>
      <c r="K49" s="2553"/>
      <c r="L49" s="2553"/>
      <c r="M49" s="2553"/>
      <c r="N49" s="2553"/>
      <c r="O49" s="2553"/>
      <c r="P49" s="2553"/>
      <c r="Q49" s="2553"/>
      <c r="R49" s="2553"/>
      <c r="S49" s="2553"/>
      <c r="T49" s="2553"/>
    </row>
    <row r="50" spans="2:20" ht="25.5" x14ac:dyDescent="0.2">
      <c r="B50" s="2586" t="str">
        <f>IF(Présentation!$E$2="Français",'TRAD-Calculs'!D50,IF(Présentation!$E$2="Anglais",'TRAD-Calculs'!F50,""))</f>
        <v>Augmentation de consommation mensuelle</v>
      </c>
      <c r="D50" s="2561" t="s">
        <v>273</v>
      </c>
      <c r="E50" s="2553"/>
      <c r="F50" s="2587" t="s">
        <v>1262</v>
      </c>
      <c r="G50" s="2553"/>
      <c r="H50" s="2553"/>
      <c r="I50" s="2553"/>
      <c r="J50" s="2553"/>
      <c r="K50" s="2553"/>
      <c r="L50" s="2553"/>
      <c r="M50" s="2553"/>
      <c r="N50" s="2553"/>
      <c r="O50" s="2553"/>
      <c r="P50" s="2553"/>
      <c r="Q50" s="2553"/>
      <c r="R50" s="2553"/>
      <c r="S50" s="2553"/>
      <c r="T50" s="2553"/>
    </row>
    <row r="51" spans="2:20" ht="25.5" x14ac:dyDescent="0.2">
      <c r="B51" s="2586" t="str">
        <f>IF(Présentation!$E$2="Français",'TRAD-Calculs'!D51,IF(Présentation!$E$2="Anglais",'TRAD-Calculs'!F51,""))</f>
        <v>Total quantités disponibles à prendre en compte selon paramétrage</v>
      </c>
      <c r="D51" s="2588" t="s">
        <v>849</v>
      </c>
      <c r="E51" s="2553"/>
      <c r="F51" s="2587" t="s">
        <v>1263</v>
      </c>
      <c r="G51" s="2553"/>
      <c r="H51" s="2553"/>
      <c r="I51" s="2553"/>
      <c r="J51" s="2553"/>
      <c r="K51" s="2553"/>
      <c r="L51" s="2553"/>
      <c r="M51" s="2553"/>
      <c r="N51" s="2553"/>
      <c r="O51" s="2553"/>
      <c r="P51" s="2553"/>
      <c r="Q51" s="2553"/>
      <c r="R51" s="2553"/>
      <c r="S51" s="2553"/>
      <c r="T51" s="2553"/>
    </row>
    <row r="52" spans="2:20" ht="25.5" x14ac:dyDescent="0.2">
      <c r="B52" s="2586" t="str">
        <f>IF(Présentation!$E$2="Français",'TRAD-Calculs'!D52,IF(Présentation!$E$2="Anglais",'TRAD-Calculs'!F52,""))</f>
        <v>Quantité consommée prévue sur la période intérmédiaire</v>
      </c>
      <c r="D52" s="2556" t="s">
        <v>826</v>
      </c>
      <c r="E52" s="2553"/>
      <c r="F52" s="2587" t="s">
        <v>1264</v>
      </c>
      <c r="G52" s="2553"/>
      <c r="H52" s="2553"/>
      <c r="I52" s="2553"/>
      <c r="J52" s="2553"/>
      <c r="K52" s="2553"/>
      <c r="L52" s="2553"/>
      <c r="M52" s="2553"/>
      <c r="N52" s="2553"/>
      <c r="O52" s="2553"/>
      <c r="P52" s="2553"/>
      <c r="Q52" s="2553"/>
      <c r="R52" s="2553"/>
      <c r="S52" s="2553"/>
      <c r="T52" s="2553"/>
    </row>
    <row r="53" spans="2:20" ht="25.5" x14ac:dyDescent="0.2">
      <c r="B53" s="2586" t="str">
        <f>IF(Présentation!$E$2="Français",'TRAD-Calculs'!D53,IF(Présentation!$E$2="Anglais",'TRAD-Calculs'!F53,""))</f>
        <v>Stock prévisionnel au début de la période quantifiée</v>
      </c>
      <c r="D53" s="2588" t="s">
        <v>825</v>
      </c>
      <c r="E53" s="2553"/>
      <c r="F53" s="2587" t="s">
        <v>1265</v>
      </c>
      <c r="G53" s="2553"/>
      <c r="H53" s="2553"/>
      <c r="I53" s="2553"/>
      <c r="J53" s="2553"/>
      <c r="K53" s="2553"/>
      <c r="L53" s="2553"/>
      <c r="M53" s="2553"/>
      <c r="N53" s="2553"/>
      <c r="O53" s="2553"/>
      <c r="P53" s="2553"/>
      <c r="Q53" s="2553"/>
      <c r="R53" s="2553"/>
      <c r="S53" s="2553"/>
      <c r="T53" s="2553"/>
    </row>
    <row r="54" spans="2:20" x14ac:dyDescent="0.2">
      <c r="B54" s="2586" t="str">
        <f>IF(Présentation!$E$2="Français",'TRAD-Calculs'!D54,IF(Présentation!$E$2="Anglais",'TRAD-Calculs'!F54,""))</f>
        <v>Commandes en cours</v>
      </c>
      <c r="D54" s="2556" t="s">
        <v>848</v>
      </c>
      <c r="E54" s="2553"/>
      <c r="F54" s="2587" t="s">
        <v>1266</v>
      </c>
      <c r="G54" s="2553"/>
      <c r="H54" s="2553"/>
      <c r="I54" s="2553"/>
      <c r="J54" s="2553"/>
      <c r="K54" s="2553"/>
      <c r="L54" s="2553"/>
      <c r="M54" s="2553"/>
      <c r="N54" s="2553"/>
      <c r="O54" s="2553"/>
      <c r="P54" s="2553"/>
      <c r="Q54" s="2553"/>
      <c r="R54" s="2553"/>
      <c r="S54" s="2553"/>
      <c r="T54" s="2553"/>
    </row>
    <row r="55" spans="2:20" ht="25.5" x14ac:dyDescent="0.2">
      <c r="B55" s="2586" t="str">
        <f>IF(Présentation!$E$2="Français",'TRAD-Calculs'!D55,IF(Présentation!$E$2="Anglais",'TRAD-Calculs'!F55,""))</f>
        <v>pour les inclusions, le facteur multiplicateur sera donc de :</v>
      </c>
      <c r="D55" s="2561" t="s">
        <v>546</v>
      </c>
      <c r="E55" s="2553"/>
      <c r="F55" s="2587" t="s">
        <v>1269</v>
      </c>
      <c r="G55" s="2561"/>
      <c r="H55" s="2561"/>
      <c r="I55" s="2553"/>
      <c r="J55" s="2561"/>
      <c r="K55" s="2561"/>
      <c r="L55" s="2561"/>
      <c r="M55" s="2553"/>
      <c r="N55" s="2553"/>
      <c r="O55" s="2553"/>
      <c r="P55" s="2553"/>
      <c r="Q55" s="2553"/>
      <c r="R55" s="2553"/>
      <c r="S55" s="2553"/>
      <c r="T55" s="2553"/>
    </row>
    <row r="56" spans="2:20" ht="25.5" x14ac:dyDescent="0.2">
      <c r="B56" s="2586" t="str">
        <f>IF(Présentation!$E$2="Français",'TRAD-Calculs'!D56,IF(Présentation!$E$2="Anglais",'TRAD-Calculs'!F56,""))</f>
        <v>Période quantifié sans période intermédiaire</v>
      </c>
      <c r="D56" s="2561" t="s">
        <v>822</v>
      </c>
      <c r="E56" s="2561"/>
      <c r="F56" s="2587" t="s">
        <v>1267</v>
      </c>
      <c r="G56" s="2561"/>
      <c r="H56" s="2561"/>
      <c r="I56" s="2553"/>
      <c r="J56" s="2561"/>
      <c r="K56" s="2561"/>
      <c r="L56" s="2561"/>
      <c r="M56" s="2553"/>
      <c r="N56" s="2553"/>
      <c r="O56" s="2553"/>
      <c r="P56" s="2553"/>
      <c r="Q56" s="2553"/>
      <c r="R56" s="2553"/>
      <c r="S56" s="2553"/>
      <c r="T56" s="2553"/>
    </row>
    <row r="57" spans="2:20" x14ac:dyDescent="0.2">
      <c r="B57" s="2586" t="str">
        <f>IF(Présentation!$E$2="Français",'TRAD-Calculs'!D57,IF(Présentation!$E$2="Anglais",'TRAD-Calculs'!F57,""))</f>
        <v>Période intermédiaire</v>
      </c>
      <c r="D57" s="2561" t="s">
        <v>823</v>
      </c>
      <c r="E57" s="2561"/>
      <c r="F57" s="2587" t="s">
        <v>1268</v>
      </c>
      <c r="G57" s="2561"/>
      <c r="H57" s="2561"/>
      <c r="I57" s="2553"/>
      <c r="J57" s="2561"/>
      <c r="K57" s="2561"/>
      <c r="L57" s="2561"/>
      <c r="M57" s="2553"/>
      <c r="N57" s="2553"/>
      <c r="O57" s="2553"/>
      <c r="P57" s="2553"/>
      <c r="Q57" s="2553"/>
      <c r="R57" s="2553"/>
      <c r="S57" s="2553"/>
      <c r="T57" s="2553"/>
    </row>
    <row r="58" spans="2:20" ht="25.5" x14ac:dyDescent="0.2">
      <c r="B58" s="2586" t="str">
        <f>IF(Présentation!$E$2="Français",'TRAD-Calculs'!D58,IF(Présentation!$E$2="Anglais",'TRAD-Calculs'!F58,""))</f>
        <v>Période totale Intermédiaire et quantifiée</v>
      </c>
      <c r="D58" s="2561" t="s">
        <v>824</v>
      </c>
      <c r="E58" s="2561"/>
      <c r="F58" s="2587" t="s">
        <v>1280</v>
      </c>
      <c r="G58" s="2561"/>
      <c r="H58" s="2561"/>
      <c r="I58" s="2553"/>
      <c r="J58" s="2561"/>
      <c r="K58" s="2561"/>
      <c r="L58" s="2561"/>
      <c r="M58" s="2553"/>
      <c r="N58" s="2553"/>
      <c r="O58" s="2553"/>
      <c r="P58" s="2553"/>
      <c r="Q58" s="2553"/>
      <c r="R58" s="2553"/>
      <c r="S58" s="2553"/>
      <c r="T58" s="2553"/>
    </row>
    <row r="59" spans="2:20" ht="25.5" x14ac:dyDescent="0.2">
      <c r="B59" s="2586" t="str">
        <f>IF(Présentation!$E$2="Français",'TRAD-Calculs'!D59,IF(Présentation!$E$2="Anglais",'TRAD-Calculs'!F59,""))</f>
        <v>Delta facteurs multiplicateurs / période quantifiée</v>
      </c>
      <c r="D59" s="2561" t="s">
        <v>831</v>
      </c>
      <c r="E59" s="2553"/>
      <c r="F59" s="2587" t="s">
        <v>1281</v>
      </c>
      <c r="G59" s="2553"/>
      <c r="H59" s="2553"/>
      <c r="I59" s="2553"/>
      <c r="J59" s="2553"/>
      <c r="K59" s="2553"/>
      <c r="L59" s="2553"/>
      <c r="M59" s="2553"/>
      <c r="N59" s="2553"/>
      <c r="O59" s="2553"/>
      <c r="P59" s="2553"/>
      <c r="Q59" s="2553"/>
      <c r="R59" s="2553"/>
      <c r="S59" s="2553"/>
      <c r="T59" s="2553"/>
    </row>
    <row r="60" spans="2:20" x14ac:dyDescent="0.2">
      <c r="B60" s="2586" t="str">
        <f>IF(Présentation!$E$2="Français",'TRAD-Calculs'!D60,IF(Présentation!$E$2="Anglais",'TRAD-Calculs'!F60,""))</f>
        <v>Stock dispo central</v>
      </c>
      <c r="D60" s="2556" t="s">
        <v>844</v>
      </c>
      <c r="E60" s="2553"/>
      <c r="F60" s="2587" t="s">
        <v>1270</v>
      </c>
      <c r="G60" s="2553"/>
      <c r="H60" s="2553"/>
      <c r="I60" s="2553"/>
      <c r="J60" s="2553"/>
      <c r="K60" s="2553"/>
      <c r="L60" s="2553"/>
      <c r="M60" s="2553"/>
      <c r="N60" s="2553"/>
      <c r="O60" s="2553"/>
      <c r="P60" s="2553"/>
      <c r="Q60" s="2553"/>
      <c r="R60" s="2553"/>
      <c r="S60" s="2553"/>
      <c r="T60" s="2553"/>
    </row>
    <row r="61" spans="2:20" x14ac:dyDescent="0.2">
      <c r="B61" s="2586" t="str">
        <f>IF(Présentation!$E$2="Français",'TRAD-Calculs'!D61,IF(Présentation!$E$2="Anglais",'TRAD-Calculs'!F61,""))</f>
        <v>Stock dispo périphérie</v>
      </c>
      <c r="D61" s="2556" t="s">
        <v>845</v>
      </c>
      <c r="E61" s="2553"/>
      <c r="F61" s="2587" t="s">
        <v>1774</v>
      </c>
      <c r="G61" s="2553"/>
      <c r="H61" s="2553"/>
      <c r="I61" s="2553"/>
      <c r="J61" s="2553"/>
      <c r="K61" s="2553"/>
      <c r="L61" s="2553"/>
      <c r="M61" s="2553"/>
      <c r="N61" s="2553"/>
      <c r="O61" s="2553"/>
      <c r="P61" s="2553"/>
      <c r="Q61" s="2553"/>
      <c r="R61" s="2553"/>
      <c r="S61" s="2553"/>
      <c r="T61" s="2553"/>
    </row>
    <row r="62" spans="2:20" ht="25.5" x14ac:dyDescent="0.2">
      <c r="B62" s="2586" t="str">
        <f>IF(Présentation!$E$2="Français",'TRAD-Calculs'!D62,IF(Présentation!$E$2="Anglais",'TRAD-Calculs'!F62,""))</f>
        <v>Augmentation de consommation mensuelle</v>
      </c>
      <c r="D62" s="2588" t="s">
        <v>273</v>
      </c>
      <c r="E62" s="2553"/>
      <c r="F62" s="2587" t="s">
        <v>1282</v>
      </c>
      <c r="G62" s="2553"/>
      <c r="H62" s="2553"/>
      <c r="I62" s="2553"/>
      <c r="J62" s="2553"/>
      <c r="K62" s="2553"/>
      <c r="L62" s="2553"/>
      <c r="M62" s="2553"/>
      <c r="N62" s="2553"/>
      <c r="O62" s="2553"/>
      <c r="P62" s="2553"/>
      <c r="Q62" s="2553"/>
      <c r="R62" s="2553"/>
      <c r="S62" s="2553"/>
      <c r="T62" s="2553"/>
    </row>
    <row r="63" spans="2:20" ht="25.5" x14ac:dyDescent="0.2">
      <c r="B63" s="2586" t="str">
        <f>IF(Présentation!$E$2="Français",'TRAD-Calculs'!D63,IF(Présentation!$E$2="Anglais",'TRAD-Calculs'!F63,""))</f>
        <v>Divers : Données sources pour représentation graphique</v>
      </c>
      <c r="D63" s="2554" t="s">
        <v>447</v>
      </c>
      <c r="E63" s="2554"/>
      <c r="F63" s="2587" t="s">
        <v>1283</v>
      </c>
      <c r="G63" s="2554"/>
      <c r="H63" s="2554"/>
      <c r="I63" s="2554"/>
      <c r="J63" s="2554"/>
      <c r="K63" s="2554"/>
      <c r="L63" s="2554"/>
      <c r="M63" s="2554"/>
      <c r="N63" s="2554"/>
      <c r="O63" s="2554"/>
      <c r="P63" s="2554"/>
      <c r="Q63" s="2554"/>
      <c r="R63" s="2553"/>
      <c r="S63" s="2553"/>
      <c r="T63" s="2553"/>
    </row>
    <row r="64" spans="2:20" ht="25.5" x14ac:dyDescent="0.2">
      <c r="B64" s="2586" t="str">
        <f>IF(Présentation!$E$2="Français",'TRAD-Calculs'!D64,IF(Présentation!$E$2="Anglais",'TRAD-Calculs'!F64,""))</f>
        <v xml:space="preserve">Dans cette version, les paramètres retenus sont : </v>
      </c>
      <c r="D64" s="2561" t="s">
        <v>456</v>
      </c>
      <c r="E64" s="2561"/>
      <c r="F64" s="2587" t="s">
        <v>1271</v>
      </c>
      <c r="G64" s="2561"/>
      <c r="H64" s="2561"/>
      <c r="I64" s="2561"/>
      <c r="J64" s="2561"/>
      <c r="K64" s="2561"/>
      <c r="L64" s="2561"/>
      <c r="M64" s="2561"/>
      <c r="N64" s="2561"/>
      <c r="O64" s="2561"/>
      <c r="P64" s="2561"/>
      <c r="Q64" s="2561"/>
      <c r="R64" s="2553"/>
      <c r="S64" s="2553"/>
      <c r="T64" s="2553"/>
    </row>
    <row r="65" spans="2:20" x14ac:dyDescent="0.2">
      <c r="B65" s="2586" t="str">
        <f>IF(Présentation!$E$2="Français",'TRAD-Calculs'!D65,IF(Présentation!$E$2="Anglais",'TRAD-Calculs'!F65,""))</f>
        <v>Période SS</v>
      </c>
      <c r="D65" s="2561" t="s">
        <v>288</v>
      </c>
      <c r="E65" s="2561"/>
      <c r="F65" s="2587" t="s">
        <v>1729</v>
      </c>
      <c r="G65" s="2561"/>
      <c r="H65" s="2561"/>
      <c r="I65" s="2561"/>
      <c r="J65" s="2561"/>
      <c r="K65" s="2561"/>
      <c r="L65" s="2561"/>
      <c r="M65" s="2561"/>
      <c r="N65" s="2561"/>
      <c r="O65" s="2561"/>
      <c r="P65" s="2561"/>
      <c r="Q65" s="2561"/>
      <c r="R65" s="2553"/>
      <c r="S65" s="2553"/>
      <c r="T65" s="2553"/>
    </row>
    <row r="66" spans="2:20" x14ac:dyDescent="0.2">
      <c r="B66" s="2586" t="str">
        <f>IF(Présentation!$E$2="Français",'TRAD-Calculs'!D66,IF(Présentation!$E$2="Anglais",'TRAD-Calculs'!F66,""))</f>
        <v>Données suivi de file active</v>
      </c>
      <c r="D66" s="2561" t="s">
        <v>291</v>
      </c>
      <c r="E66" s="2561"/>
      <c r="F66" s="2587" t="s">
        <v>1730</v>
      </c>
      <c r="G66" s="2561"/>
      <c r="H66" s="2561"/>
      <c r="I66" s="2561"/>
      <c r="J66" s="2561"/>
      <c r="K66" s="2561"/>
      <c r="L66" s="2561"/>
      <c r="M66" s="2561"/>
      <c r="N66" s="2561"/>
      <c r="O66" s="2561"/>
      <c r="P66" s="2561"/>
      <c r="Q66" s="2561"/>
      <c r="R66" s="2553"/>
      <c r="S66" s="2553"/>
      <c r="T66" s="2553"/>
    </row>
    <row r="67" spans="2:20" x14ac:dyDescent="0.2">
      <c r="B67" s="2586" t="str">
        <f>IF(Présentation!$E$2="Français",'TRAD-Calculs'!D67,IF(Présentation!$E$2="Anglais",'TRAD-Calculs'!F67,""))</f>
        <v>Données de consommation</v>
      </c>
      <c r="D67" s="2561" t="s">
        <v>292</v>
      </c>
      <c r="E67" s="2561"/>
      <c r="F67" s="2587" t="s">
        <v>1272</v>
      </c>
      <c r="G67" s="2561"/>
      <c r="H67" s="2561"/>
      <c r="I67" s="2553"/>
      <c r="J67" s="2561"/>
      <c r="K67" s="2561"/>
      <c r="L67" s="2561"/>
      <c r="M67" s="2561"/>
      <c r="N67" s="2561"/>
      <c r="O67" s="2561"/>
      <c r="P67" s="2561"/>
      <c r="Q67" s="2561"/>
      <c r="R67" s="2553"/>
      <c r="S67" s="2553"/>
      <c r="T67" s="2553"/>
    </row>
    <row r="68" spans="2:20" x14ac:dyDescent="0.2">
      <c r="B68" s="2586" t="str">
        <f>IF(Présentation!$E$2="Français",'TRAD-Calculs'!D68,IF(Présentation!$E$2="Anglais",'TRAD-Calculs'!F68,""))</f>
        <v>Données de distribution</v>
      </c>
      <c r="D68" s="2561" t="s">
        <v>293</v>
      </c>
      <c r="E68" s="2561"/>
      <c r="F68" s="2587" t="s">
        <v>1284</v>
      </c>
      <c r="G68" s="2561"/>
      <c r="H68" s="2561"/>
      <c r="I68" s="2561"/>
      <c r="J68" s="2561"/>
      <c r="K68" s="2561"/>
      <c r="L68" s="2561"/>
      <c r="M68" s="2561"/>
      <c r="N68" s="2561"/>
      <c r="O68" s="2561"/>
      <c r="P68" s="2561"/>
      <c r="Q68" s="2561"/>
      <c r="R68" s="2553"/>
      <c r="S68" s="2553"/>
      <c r="T68" s="2553"/>
    </row>
    <row r="69" spans="2:20" ht="25.5" x14ac:dyDescent="0.2">
      <c r="B69" s="2586" t="str">
        <f>IF(Présentation!$E$2="Français",'TRAD-Calculs'!D69,IF(Présentation!$E$2="Anglais",'TRAD-Calculs'!F69,""))</f>
        <v>Compilation de données de FA &amp; de Conso</v>
      </c>
      <c r="D69" s="2561" t="s">
        <v>299</v>
      </c>
      <c r="E69" s="2561"/>
      <c r="F69" s="2587" t="s">
        <v>1273</v>
      </c>
      <c r="G69" s="2561"/>
      <c r="H69" s="2561"/>
      <c r="I69" s="2561"/>
      <c r="J69" s="2561"/>
      <c r="K69" s="2561"/>
      <c r="L69" s="2561"/>
      <c r="M69" s="2561"/>
      <c r="N69" s="2561"/>
      <c r="O69" s="2561"/>
      <c r="P69" s="2561"/>
      <c r="Q69" s="2561"/>
      <c r="R69" s="2553"/>
      <c r="S69" s="2553"/>
      <c r="T69" s="2553"/>
    </row>
    <row r="70" spans="2:20" x14ac:dyDescent="0.2">
      <c r="B70" s="2586" t="str">
        <f>IF(Présentation!$E$2="Français",'TRAD-Calculs'!D70,IF(Présentation!$E$2="Anglais",'TRAD-Calculs'!F70,""))</f>
        <v>Stocks disponibles</v>
      </c>
      <c r="D70" s="2626" t="s">
        <v>493</v>
      </c>
      <c r="E70" s="2626"/>
      <c r="F70" s="2587" t="s">
        <v>1731</v>
      </c>
      <c r="G70" s="2626"/>
      <c r="H70" s="2626"/>
      <c r="I70" s="2561"/>
      <c r="J70" s="2561"/>
      <c r="K70" s="2561"/>
      <c r="L70" s="2561"/>
      <c r="M70" s="2561"/>
      <c r="N70" s="2561"/>
      <c r="O70" s="2561"/>
      <c r="P70" s="2561"/>
      <c r="Q70" s="2561"/>
      <c r="R70" s="2553"/>
      <c r="S70" s="2553"/>
      <c r="T70" s="2553"/>
    </row>
    <row r="71" spans="2:20" ht="25.5" x14ac:dyDescent="0.2">
      <c r="B71" s="2586" t="str">
        <f>IF(Présentation!$E$2="Français",'TRAD-Calculs'!D71,IF(Présentation!$E$2="Anglais",'TRAD-Calculs'!F71,""))</f>
        <v>Adaptation de l'indicateur de données de stocks dispo</v>
      </c>
      <c r="D71" s="2561" t="s">
        <v>588</v>
      </c>
      <c r="E71" s="2561"/>
      <c r="F71" s="2587" t="s">
        <v>1285</v>
      </c>
      <c r="G71" s="2553"/>
      <c r="H71" s="2553"/>
      <c r="I71" s="2553"/>
      <c r="J71" s="2553"/>
      <c r="K71" s="2561"/>
      <c r="L71" s="2561"/>
      <c r="M71" s="2561"/>
      <c r="N71" s="2561"/>
      <c r="O71" s="2561"/>
      <c r="P71" s="2561"/>
      <c r="Q71" s="2561"/>
      <c r="R71" s="2553"/>
      <c r="S71" s="2553"/>
      <c r="T71" s="2553"/>
    </row>
    <row r="72" spans="2:20" x14ac:dyDescent="0.2">
      <c r="B72" s="2586" t="str">
        <f>IF(Présentation!$E$2="Français",'TRAD-Calculs'!D72,IF(Présentation!$E$2="Anglais",'TRAD-Calculs'!F72,""))</f>
        <v>Dates de péremption</v>
      </c>
      <c r="D72" s="2645" t="s">
        <v>738</v>
      </c>
      <c r="E72" s="2626"/>
      <c r="F72" s="2587" t="s">
        <v>1274</v>
      </c>
      <c r="G72" s="2626"/>
      <c r="H72" s="2626"/>
      <c r="I72" s="2561"/>
      <c r="J72" s="2561"/>
      <c r="K72" s="2561"/>
      <c r="L72" s="2561"/>
      <c r="M72" s="2561"/>
      <c r="N72" s="2561"/>
      <c r="O72" s="2561"/>
      <c r="P72" s="2561"/>
      <c r="Q72" s="2561"/>
      <c r="R72" s="2553"/>
      <c r="S72" s="2553"/>
      <c r="T72" s="2553"/>
    </row>
    <row r="73" spans="2:20" x14ac:dyDescent="0.2">
      <c r="B73" s="2586" t="str">
        <f>IF(Présentation!$E$2="Français",'TRAD-Calculs'!D73,IF(Présentation!$E$2="Anglais",'TRAD-Calculs'!F73,""))</f>
        <v>Zone 1</v>
      </c>
      <c r="D73" s="2561" t="s">
        <v>765</v>
      </c>
      <c r="E73" s="2561"/>
      <c r="F73" s="2587" t="s">
        <v>1732</v>
      </c>
      <c r="G73" s="2561"/>
      <c r="H73" s="2561"/>
      <c r="I73" s="2561"/>
      <c r="J73" s="2561"/>
      <c r="K73" s="2561"/>
      <c r="L73" s="2561"/>
      <c r="M73" s="2561"/>
      <c r="N73" s="2561"/>
      <c r="O73" s="2561"/>
      <c r="P73" s="2561"/>
      <c r="Q73" s="2561"/>
      <c r="R73" s="2553"/>
      <c r="S73" s="2553"/>
      <c r="T73" s="2553"/>
    </row>
    <row r="74" spans="2:20" x14ac:dyDescent="0.2">
      <c r="B74" s="2586" t="str">
        <f>IF(Présentation!$E$2="Français",'TRAD-Calculs'!D74,IF(Présentation!$E$2="Anglais",'TRAD-Calculs'!F74,""))</f>
        <v>Zone 2</v>
      </c>
      <c r="D74" s="2561" t="s">
        <v>766</v>
      </c>
      <c r="E74" s="2561"/>
      <c r="F74" s="2587" t="s">
        <v>1733</v>
      </c>
      <c r="G74" s="2553"/>
      <c r="H74" s="2553"/>
      <c r="I74" s="2553"/>
      <c r="J74" s="2553"/>
      <c r="K74" s="2561"/>
      <c r="L74" s="2561"/>
      <c r="M74" s="2561"/>
      <c r="N74" s="2561"/>
      <c r="O74" s="2561"/>
      <c r="P74" s="2561"/>
      <c r="Q74" s="2561"/>
      <c r="R74" s="2553"/>
      <c r="S74" s="2553"/>
      <c r="T74" s="2553"/>
    </row>
    <row r="75" spans="2:20" x14ac:dyDescent="0.2">
      <c r="B75" s="2586" t="str">
        <f>IF(Présentation!$E$2="Français",'TRAD-Calculs'!D75,IF(Présentation!$E$2="Anglais",'TRAD-Calculs'!F75,""))</f>
        <v>Zone 3</v>
      </c>
      <c r="D75" s="2561" t="s">
        <v>767</v>
      </c>
      <c r="E75" s="2561"/>
      <c r="F75" s="2587" t="s">
        <v>1734</v>
      </c>
      <c r="G75" s="2561"/>
      <c r="H75" s="2553"/>
      <c r="I75" s="2561"/>
      <c r="J75" s="2561"/>
      <c r="K75" s="2561"/>
      <c r="L75" s="2561"/>
      <c r="M75" s="2561"/>
      <c r="N75" s="2561"/>
      <c r="O75" s="2561"/>
      <c r="P75" s="2561"/>
      <c r="Q75" s="2561"/>
      <c r="R75" s="2553"/>
      <c r="S75" s="2553"/>
      <c r="T75" s="2553"/>
    </row>
    <row r="76" spans="2:20" x14ac:dyDescent="0.2">
      <c r="B76" s="2586" t="str">
        <f>IF(Présentation!$E$2="Français",'TRAD-Calculs'!D76,IF(Présentation!$E$2="Anglais",'TRAD-Calculs'!F76,""))</f>
        <v>Global</v>
      </c>
      <c r="D76" s="2561" t="s">
        <v>786</v>
      </c>
      <c r="E76" s="2561"/>
      <c r="F76" s="2587" t="s">
        <v>1735</v>
      </c>
      <c r="G76" s="2561"/>
      <c r="H76" s="2553"/>
      <c r="I76" s="2561"/>
      <c r="J76" s="2561"/>
      <c r="K76" s="2561"/>
      <c r="L76" s="2561"/>
      <c r="M76" s="2561"/>
      <c r="N76" s="2561"/>
      <c r="O76" s="2561"/>
      <c r="P76" s="2561"/>
      <c r="Q76" s="2561"/>
      <c r="R76" s="2553"/>
      <c r="S76" s="2553"/>
      <c r="T76" s="2553"/>
    </row>
    <row r="77" spans="2:20" ht="25.5" x14ac:dyDescent="0.2">
      <c r="B77" s="2586" t="str">
        <f>IF(Présentation!$E$2="Français",'TRAD-Calculs'!D77,IF(Présentation!$E$2="Anglais",'TRAD-Calculs'!F77,""))</f>
        <v>Les dates de péremption sont partiellement prises en compte</v>
      </c>
      <c r="D77" s="2561" t="str">
        <f>IF(AND(I75="Prises en compte", I76="Prises en compte", I77="Prises en compte"), D78, "Les dates de péremption sont partiellement prises en compte")</f>
        <v>Les dates de péremption sont partiellement prises en compte</v>
      </c>
      <c r="E77" s="2561"/>
      <c r="F77" s="2587" t="s">
        <v>1727</v>
      </c>
      <c r="G77" s="2561"/>
      <c r="H77" s="2553"/>
      <c r="I77" s="2561"/>
      <c r="J77" s="2561"/>
      <c r="K77" s="2561"/>
      <c r="L77" s="2561"/>
      <c r="M77" s="2561"/>
      <c r="N77" s="2561"/>
      <c r="O77" s="2561"/>
      <c r="P77" s="2561"/>
      <c r="Q77" s="2561"/>
      <c r="R77" s="2553"/>
      <c r="S77" s="2553"/>
      <c r="T77" s="2553"/>
    </row>
    <row r="78" spans="2:20" x14ac:dyDescent="0.2">
      <c r="B78" s="2586" t="str">
        <f>IF(Présentation!$E$2="Français",'TRAD-Calculs'!D78,IF(Présentation!$E$2="Anglais",'TRAD-Calculs'!F78,""))</f>
        <v>Prises en compte</v>
      </c>
      <c r="D78" s="2561" t="s">
        <v>739</v>
      </c>
      <c r="E78" s="2561"/>
      <c r="F78" s="2587" t="s">
        <v>1275</v>
      </c>
      <c r="G78" s="2561"/>
      <c r="H78" s="2553"/>
      <c r="I78" s="2553"/>
      <c r="J78" s="2561"/>
      <c r="K78" s="2561"/>
      <c r="L78" s="2561"/>
      <c r="M78" s="2561"/>
      <c r="N78" s="2561"/>
      <c r="O78" s="2561"/>
      <c r="P78" s="2561"/>
      <c r="Q78" s="2561"/>
      <c r="R78" s="2553"/>
      <c r="S78" s="2553"/>
      <c r="T78" s="2553"/>
    </row>
    <row r="79" spans="2:20" x14ac:dyDescent="0.2">
      <c r="B79" s="2586" t="str">
        <f>IF(Présentation!$E$2="Français",'TRAD-Calculs'!D79,IF(Présentation!$E$2="Anglais",'TRAD-Calculs'!F79,""))</f>
        <v>Partiellement prises en compte</v>
      </c>
      <c r="D79" s="2561" t="s">
        <v>768</v>
      </c>
      <c r="E79" s="2561"/>
      <c r="F79" s="2587" t="s">
        <v>1276</v>
      </c>
      <c r="G79" s="2561"/>
      <c r="H79" s="2561"/>
      <c r="I79" s="2561"/>
      <c r="J79" s="2561"/>
      <c r="K79" s="2561"/>
      <c r="L79" s="2561"/>
      <c r="M79" s="2561"/>
      <c r="N79" s="2561"/>
      <c r="O79" s="2561"/>
      <c r="P79" s="2561"/>
      <c r="Q79" s="2561"/>
      <c r="R79" s="2553"/>
      <c r="S79" s="2553"/>
      <c r="T79" s="2553"/>
    </row>
    <row r="80" spans="2:20" x14ac:dyDescent="0.2">
      <c r="B80" s="2586" t="str">
        <f>IF(Présentation!$E$2="Français",'TRAD-Calculs'!D80,IF(Présentation!$E$2="Anglais",'TRAD-Calculs'!F80,""))</f>
        <v>Non prises en compte</v>
      </c>
      <c r="D80" s="2561" t="s">
        <v>740</v>
      </c>
      <c r="E80" s="2561"/>
      <c r="F80" s="2587" t="s">
        <v>1277</v>
      </c>
      <c r="G80" s="2553"/>
      <c r="H80" s="2561"/>
      <c r="I80" s="2561"/>
      <c r="J80" s="2561"/>
      <c r="K80" s="2561"/>
      <c r="L80" s="2561"/>
      <c r="M80" s="2561"/>
      <c r="N80" s="2561"/>
      <c r="O80" s="2561"/>
      <c r="P80" s="2561"/>
      <c r="Q80" s="2561"/>
      <c r="R80" s="2553"/>
      <c r="S80" s="2553"/>
      <c r="T80" s="2553"/>
    </row>
    <row r="81" spans="2:20" x14ac:dyDescent="0.2">
      <c r="B81" s="2586" t="str">
        <f>IF(Présentation!$E$2="Français",'TRAD-Calculs'!D81,IF(Présentation!$E$2="Anglais",'TRAD-Calculs'!F81,""))</f>
        <v>produits en stocks</v>
      </c>
      <c r="D81" s="2561" t="s">
        <v>744</v>
      </c>
      <c r="E81" s="2561"/>
      <c r="F81" s="2587" t="s">
        <v>1278</v>
      </c>
      <c r="G81" s="2553"/>
      <c r="H81" s="2561"/>
      <c r="I81" s="2561"/>
      <c r="J81" s="2561"/>
      <c r="K81" s="2561"/>
      <c r="L81" s="2561"/>
      <c r="M81" s="2561"/>
      <c r="N81" s="2561"/>
      <c r="O81" s="2561"/>
      <c r="P81" s="2561"/>
      <c r="Q81" s="2561"/>
      <c r="R81" s="2553"/>
      <c r="S81" s="2553"/>
      <c r="T81" s="2553"/>
    </row>
    <row r="82" spans="2:20" ht="25.5" x14ac:dyDescent="0.2">
      <c r="B82" s="2586" t="str">
        <f>IF(Présentation!$E$2="Français",'TRAD-Calculs'!D82,IF(Présentation!$E$2="Anglais",'TRAD-Calculs'!F82,""))</f>
        <v>produits dont la date de péremption n'est pas renseignée</v>
      </c>
      <c r="D82" s="2561" t="s">
        <v>745</v>
      </c>
      <c r="E82" s="2561"/>
      <c r="F82" s="2587" t="s">
        <v>1279</v>
      </c>
      <c r="G82" s="2561"/>
      <c r="H82" s="2561"/>
      <c r="I82" s="2561"/>
      <c r="J82" s="2561"/>
      <c r="K82" s="2561"/>
      <c r="L82" s="2561"/>
      <c r="M82" s="2561"/>
      <c r="N82" s="2561"/>
      <c r="O82" s="2561"/>
      <c r="P82" s="2561"/>
      <c r="Q82" s="2561"/>
      <c r="R82" s="2553"/>
      <c r="S82" s="2553"/>
      <c r="T82" s="2553"/>
    </row>
    <row r="83" spans="2:20" x14ac:dyDescent="0.2">
      <c r="B83" s="2586" t="str">
        <f>IF(Présentation!$E$2="Français",'TRAD-Calculs'!D83,IF(Présentation!$E$2="Anglais",'TRAD-Calculs'!F83,""))</f>
        <v>Global</v>
      </c>
      <c r="D83" s="2561" t="s">
        <v>786</v>
      </c>
      <c r="E83" s="2561"/>
      <c r="F83" s="2587" t="s">
        <v>1735</v>
      </c>
      <c r="G83" s="2561"/>
      <c r="H83" s="2561"/>
      <c r="I83" s="2561"/>
      <c r="J83" s="2561"/>
      <c r="K83" s="2561"/>
      <c r="L83" s="2561"/>
      <c r="M83" s="2561"/>
      <c r="N83" s="2561"/>
      <c r="O83" s="2561"/>
      <c r="P83" s="2561"/>
      <c r="Q83" s="2561"/>
      <c r="R83" s="2553"/>
      <c r="S83" s="2553"/>
      <c r="T83" s="2553"/>
    </row>
    <row r="84" spans="2:20" x14ac:dyDescent="0.2">
      <c r="B84" s="2586" t="str">
        <f>IF(Présentation!$E$2="Français",'TRAD-Calculs'!D84,IF(Présentation!$E$2="Anglais",'TRAD-Calculs'!F84,""))</f>
        <v>DONNEES Nombre de patients</v>
      </c>
      <c r="D84" s="2561" t="s">
        <v>587</v>
      </c>
      <c r="E84" s="2646"/>
      <c r="F84" s="2587" t="s">
        <v>1287</v>
      </c>
      <c r="G84" s="2646"/>
      <c r="H84" s="2646"/>
      <c r="I84" s="2646"/>
      <c r="J84" s="2646"/>
      <c r="K84" s="2646"/>
      <c r="L84" s="2554"/>
      <c r="M84" s="2561"/>
      <c r="N84" s="2561"/>
      <c r="O84" s="2561"/>
      <c r="P84" s="2561"/>
      <c r="Q84" s="2561"/>
      <c r="R84" s="2553"/>
      <c r="S84" s="2553"/>
      <c r="T84" s="2553"/>
    </row>
    <row r="85" spans="2:20" x14ac:dyDescent="0.2">
      <c r="B85" s="2586" t="str">
        <f>IF(Présentation!$E$2="Français",'TRAD-Calculs'!D85,IF(Présentation!$E$2="Anglais",'TRAD-Calculs'!F85,""))</f>
        <v>Avec données de PEC</v>
      </c>
      <c r="D85" s="2561" t="s">
        <v>585</v>
      </c>
      <c r="E85" s="2646"/>
      <c r="F85" s="2587" t="s">
        <v>1740</v>
      </c>
      <c r="G85" s="2646"/>
      <c r="I85" s="2646"/>
      <c r="J85" s="2646"/>
      <c r="L85" s="2554"/>
      <c r="M85" s="2561"/>
      <c r="N85" s="2561"/>
      <c r="O85" s="2561"/>
      <c r="P85" s="2561"/>
      <c r="Q85" s="2561"/>
      <c r="R85" s="2553"/>
      <c r="S85" s="2553"/>
      <c r="T85" s="2553"/>
    </row>
    <row r="86" spans="2:20" x14ac:dyDescent="0.2">
      <c r="B86" s="2586" t="str">
        <f>IF(Présentation!$E$2="Français",'TRAD-Calculs'!D86,IF(Présentation!$E$2="Anglais",'TRAD-Calculs'!F86,""))</f>
        <v>Avec extrapolation consommations</v>
      </c>
      <c r="D86" s="2561" t="s">
        <v>586</v>
      </c>
      <c r="E86" s="2561"/>
      <c r="F86" s="2561" t="s">
        <v>1288</v>
      </c>
      <c r="G86" s="2561"/>
      <c r="H86" s="2647"/>
      <c r="I86" s="2553"/>
      <c r="J86" s="2561"/>
      <c r="K86" s="2561"/>
      <c r="L86" s="2561"/>
      <c r="M86" s="2561"/>
      <c r="N86" s="2561"/>
      <c r="O86" s="2561"/>
      <c r="P86" s="2561"/>
      <c r="Q86" s="2561"/>
      <c r="R86" s="2553"/>
      <c r="S86" s="2553"/>
      <c r="T86" s="2553"/>
    </row>
    <row r="87" spans="2:20" x14ac:dyDescent="0.2">
      <c r="B87" s="2586" t="str">
        <f>IF(Présentation!$E$2="Français",'TRAD-Calculs'!D87,IF(Présentation!$E$2="Anglais",'TRAD-Calculs'!F87,""))</f>
        <v>Représentation visuelle</v>
      </c>
      <c r="D87" s="2561" t="s">
        <v>584</v>
      </c>
      <c r="E87" s="2561"/>
      <c r="F87" s="2561" t="s">
        <v>1289</v>
      </c>
      <c r="G87" s="2561"/>
      <c r="H87" s="2561"/>
      <c r="I87" s="2553"/>
      <c r="J87" s="2561"/>
      <c r="K87" s="2561"/>
      <c r="L87" s="2561"/>
      <c r="M87" s="2561"/>
      <c r="N87" s="2561"/>
      <c r="O87" s="2561"/>
      <c r="P87" s="2561"/>
      <c r="Q87" s="2561"/>
      <c r="R87" s="2553"/>
      <c r="S87" s="2553"/>
      <c r="T87" s="2553"/>
    </row>
    <row r="88" spans="2:20" ht="25.5" x14ac:dyDescent="0.2">
      <c r="B88" s="2586" t="str">
        <f>IF(Présentation!$E$2="Français",'TRAD-Calculs'!D88,IF(Présentation!$E$2="Anglais",'TRAD-Calculs'!F88,""))</f>
        <v>Estimation Nb d'enfant concerné HORS PTME</v>
      </c>
      <c r="D88" s="2561" t="s">
        <v>442</v>
      </c>
      <c r="E88" s="2555"/>
      <c r="F88" s="2561" t="s">
        <v>1290</v>
      </c>
      <c r="G88" s="2555"/>
      <c r="H88" s="2555"/>
      <c r="J88" s="2555"/>
      <c r="K88" s="2555"/>
      <c r="L88" s="2555"/>
      <c r="M88" s="2555"/>
      <c r="N88" s="2555"/>
      <c r="O88" s="2555"/>
      <c r="P88" s="2555"/>
      <c r="Q88" s="2555"/>
    </row>
    <row r="89" spans="2:20" x14ac:dyDescent="0.2">
      <c r="B89" s="2586" t="str">
        <f>IF(Présentation!$E$2="Français",'TRAD-Calculs'!D89,IF(Présentation!$E$2="Anglais",'TRAD-Calculs'!F89,""))</f>
        <v>Estimation Nb d'enfant concerné</v>
      </c>
      <c r="D89" s="2561" t="s">
        <v>441</v>
      </c>
      <c r="E89" s="2555"/>
      <c r="F89" s="2561" t="s">
        <v>1294</v>
      </c>
      <c r="G89" s="2555"/>
      <c r="H89" s="2555"/>
      <c r="J89" s="2555"/>
      <c r="K89" s="2555"/>
      <c r="L89" s="2555"/>
      <c r="M89" s="2555"/>
      <c r="N89" s="2555"/>
      <c r="O89" s="2555"/>
      <c r="P89" s="2555"/>
      <c r="Q89" s="2555"/>
    </row>
    <row r="90" spans="2:20" ht="51" x14ac:dyDescent="0.2">
      <c r="B90" s="2586" t="str">
        <f>IF(Présentation!$E$2="Français",'TRAD-Calculs'!D90,IF(Présentation!$E$2="Anglais",'TRAD-Calculs'!F90,""))</f>
        <v>Etape 2 : détermination du stock disponible total (stock central + stock périphérique + commandes à prévoir à court terme)</v>
      </c>
      <c r="D90" s="2561" t="s">
        <v>1295</v>
      </c>
      <c r="E90" s="2561"/>
      <c r="F90" s="2561" t="s">
        <v>1726</v>
      </c>
      <c r="G90" s="2561"/>
      <c r="H90" s="2561"/>
      <c r="I90" s="2561"/>
      <c r="J90" s="2561"/>
      <c r="K90" s="2561"/>
      <c r="L90" s="2561"/>
      <c r="M90" s="2561"/>
      <c r="N90" s="2561"/>
      <c r="O90" s="2561"/>
      <c r="P90" s="2561"/>
      <c r="Q90" s="2561"/>
    </row>
    <row r="91" spans="2:20" ht="38.25" x14ac:dyDescent="0.2">
      <c r="B91" s="2586" t="str">
        <f>IF(Présentation!$E$2="Français",'TRAD-Calculs'!D91,IF(Présentation!$E$2="Anglais",'TRAD-Calculs'!F91,""))</f>
        <v>Etape 4 : EVALUATION des DISPONIBILITES - compilation des quantités en stocks et commande</v>
      </c>
      <c r="D91" s="2561" t="s">
        <v>1935</v>
      </c>
      <c r="E91" s="2555"/>
      <c r="F91" s="2561" t="s">
        <v>1936</v>
      </c>
      <c r="H91" s="2555"/>
      <c r="I91" s="2555"/>
      <c r="J91" s="2555"/>
      <c r="K91" s="2555"/>
      <c r="L91" s="2555"/>
      <c r="M91" s="2555"/>
      <c r="N91" s="2555"/>
      <c r="O91" s="2555"/>
      <c r="P91" s="2555"/>
      <c r="Q91" s="2555"/>
    </row>
    <row r="92" spans="2:20" ht="25.5" x14ac:dyDescent="0.2">
      <c r="B92" s="2586" t="str">
        <f>IF(Présentation!$E$2="Français",'TRAD-Calculs'!D92,IF(Présentation!$E$2="Anglais",'TRAD-Calculs'!F92,""))</f>
        <v>Etape 5 : QUANTIFICATION - compilation des quantités en stocks et commande</v>
      </c>
      <c r="D92" s="2561" t="s">
        <v>1938</v>
      </c>
      <c r="E92" s="2555"/>
      <c r="F92" s="2561" t="s">
        <v>1937</v>
      </c>
      <c r="H92" s="2555"/>
      <c r="I92" s="2555"/>
      <c r="J92" s="2555"/>
      <c r="K92" s="2555"/>
      <c r="L92" s="2555"/>
      <c r="M92" s="2555"/>
      <c r="N92" s="2555"/>
      <c r="O92" s="2555"/>
      <c r="P92" s="2555"/>
      <c r="Q92" s="2555"/>
    </row>
    <row r="93" spans="2:20" ht="25.5" x14ac:dyDescent="0.2">
      <c r="B93" s="2586" t="str">
        <f>IF(Présentation!$E$2="Français",'TRAD-Calculs'!D93,IF(Présentation!$E$2="Anglais",'TRAD-Calculs'!F93,""))</f>
        <v>pour les inclusions, le facteur multiplicateur sera donc de :</v>
      </c>
      <c r="D93" s="2561" t="s">
        <v>546</v>
      </c>
      <c r="E93" s="2555"/>
      <c r="F93" s="2561" t="s">
        <v>1816</v>
      </c>
      <c r="G93" s="2555"/>
      <c r="H93" s="2555"/>
      <c r="I93" s="2555"/>
      <c r="J93" s="2555"/>
      <c r="K93" s="2555"/>
      <c r="L93" s="2555"/>
      <c r="M93" s="2555"/>
      <c r="N93" s="2555"/>
      <c r="O93" s="2555"/>
      <c r="P93" s="2555"/>
      <c r="Q93" s="2555"/>
    </row>
    <row r="94" spans="2:20" x14ac:dyDescent="0.2">
      <c r="B94" s="2586" t="str">
        <f>IF(Présentation!$E$2="Français",'TRAD-Calculs'!D94,IF(Présentation!$E$2="Anglais",'TRAD-Calculs'!F94,""))</f>
        <v>&amp; périphériques</v>
      </c>
      <c r="D94" s="2561" t="s">
        <v>1777</v>
      </c>
      <c r="F94" s="2561" t="s">
        <v>1779</v>
      </c>
    </row>
    <row r="95" spans="2:20" ht="38.25" x14ac:dyDescent="0.2">
      <c r="B95" s="2586" t="str">
        <f>IF(Présentation!$E$2="Français",'TRAD-Calculs'!D95,IF(Présentation!$E$2="Anglais",'TRAD-Calculs'!F95,""))</f>
        <v>Attention, le nombre de patients mentionné ici est estimé à partir de la consommation.</v>
      </c>
      <c r="D95" s="2561" t="s">
        <v>1782</v>
      </c>
      <c r="F95" s="2561" t="s">
        <v>1783</v>
      </c>
    </row>
    <row r="96" spans="2:20" x14ac:dyDescent="0.2">
      <c r="B96" s="2586" t="str">
        <f>IF(Présentation!$E$2="Français",'TRAD-Calculs'!D96,IF(Présentation!$E$2="Anglais",'TRAD-Calculs'!F96,""))</f>
        <v>Partiellement prises en compte</v>
      </c>
      <c r="D96" s="2561" t="s">
        <v>768</v>
      </c>
      <c r="F96" s="2587" t="s">
        <v>1276</v>
      </c>
    </row>
    <row r="97" spans="2:6" x14ac:dyDescent="0.2">
      <c r="B97" s="2586" t="str">
        <f>IF(Présentation!$E$2="Français",'TRAD-Calculs'!D97,IF(Présentation!$E$2="Anglais",'TRAD-Calculs'!F97,""))</f>
        <v>Produits</v>
      </c>
      <c r="D97" s="2561" t="s">
        <v>1784</v>
      </c>
      <c r="F97" s="2587" t="s">
        <v>1785</v>
      </c>
    </row>
    <row r="98" spans="2:6" x14ac:dyDescent="0.2">
      <c r="B98" s="2586" t="str">
        <f>IF(Présentation!$E$2="Français",'TRAD-Calculs'!D98,IF(Présentation!$E$2="Anglais",'TRAD-Calculs'!F98,""))</f>
        <v>OUI</v>
      </c>
      <c r="D98" s="2561" t="s">
        <v>769</v>
      </c>
      <c r="F98" s="2587" t="s">
        <v>1016</v>
      </c>
    </row>
    <row r="99" spans="2:6" x14ac:dyDescent="0.2">
      <c r="B99" s="2586" t="str">
        <f>IF(Présentation!$E$2="Français",'TRAD-Calculs'!D99,IF(Présentation!$E$2="Anglais",'TRAD-Calculs'!F99,""))</f>
        <v>NON</v>
      </c>
      <c r="D99" s="2561" t="s">
        <v>547</v>
      </c>
      <c r="F99" s="2587" t="s">
        <v>1017</v>
      </c>
    </row>
  </sheetData>
  <sheetProtection password="D0E7"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993366"/>
  </sheetPr>
  <dimension ref="A1:AH541"/>
  <sheetViews>
    <sheetView showGridLines="0" topLeftCell="A515" workbookViewId="0">
      <selection activeCell="F533" sqref="F533"/>
    </sheetView>
  </sheetViews>
  <sheetFormatPr defaultColWidth="11.42578125" defaultRowHeight="12.75" x14ac:dyDescent="0.2"/>
  <cols>
    <col min="1" max="1" width="13" style="174" customWidth="1"/>
    <col min="2" max="2" width="17.140625" style="146" customWidth="1"/>
    <col min="3" max="3" width="17" style="146" customWidth="1"/>
    <col min="4" max="4" width="18.42578125" style="146" customWidth="1"/>
    <col min="5" max="7" width="11.5703125" style="146" bestFit="1" customWidth="1"/>
    <col min="8" max="8" width="12" style="146" customWidth="1"/>
    <col min="9" max="9" width="11.5703125" style="146" bestFit="1" customWidth="1"/>
    <col min="10" max="10" width="13.140625" style="146" customWidth="1"/>
    <col min="11" max="11" width="11.7109375" style="146" bestFit="1" customWidth="1"/>
    <col min="12" max="13" width="11.5703125" style="146" bestFit="1" customWidth="1"/>
    <col min="14" max="14" width="18" style="146" customWidth="1"/>
    <col min="15" max="15" width="11.5703125" style="146" bestFit="1" customWidth="1"/>
    <col min="16" max="19" width="11.7109375" style="146" bestFit="1" customWidth="1"/>
    <col min="20" max="20" width="12.7109375" style="146" bestFit="1" customWidth="1"/>
    <col min="21" max="22" width="11.7109375" style="146" bestFit="1" customWidth="1"/>
    <col min="23" max="23" width="11.5703125" style="146" bestFit="1" customWidth="1"/>
    <col min="24" max="16384" width="11.42578125" style="146"/>
  </cols>
  <sheetData>
    <row r="1" spans="1:13" ht="13.5" thickBot="1" x14ac:dyDescent="0.25"/>
    <row r="2" spans="1:13" ht="15.75" thickBot="1" x14ac:dyDescent="0.3">
      <c r="B2" s="2314" t="str">
        <f>'TRAD-Calculs pédiatriques'!B3</f>
        <v>Durée d'un mois</v>
      </c>
      <c r="C2" s="2315">
        <f>365/12</f>
        <v>30.416666666666668</v>
      </c>
    </row>
    <row r="4" spans="1:13" s="131" customFormat="1" ht="15.75" thickBot="1" x14ac:dyDescent="0.25">
      <c r="A4" s="3260" t="str">
        <f>'TRAD-Calculs pédiatriques'!B4</f>
        <v>Pour les enfants déjà pris en charge : estimation de la répartition par lignes thérapeutiques en début de période quantifiée</v>
      </c>
      <c r="B4" s="3260"/>
      <c r="C4" s="3260"/>
      <c r="D4" s="3260"/>
      <c r="E4" s="3260"/>
      <c r="F4" s="3260"/>
      <c r="G4" s="3260"/>
      <c r="H4" s="3260"/>
      <c r="I4" s="3260"/>
      <c r="J4" s="3260"/>
      <c r="K4" s="3260"/>
      <c r="L4" s="3260"/>
      <c r="M4" s="130"/>
    </row>
    <row r="5" spans="1:13" s="132" customFormat="1" ht="13.5" thickBot="1" x14ac:dyDescent="0.25"/>
    <row r="6" spans="1:13" s="132" customFormat="1" ht="39" thickBot="1" x14ac:dyDescent="0.25">
      <c r="B6" s="782" t="str">
        <f>'TRAD-Calculs pédiatriques'!B5</f>
        <v>Schéma thérapeutique</v>
      </c>
      <c r="C6" s="782" t="str">
        <f>'TRAD-Calculs pédiatriques'!B6</f>
        <v>Nb de patients prévus au début de la période</v>
      </c>
      <c r="D6" s="782" t="s">
        <v>66</v>
      </c>
      <c r="E6" s="782"/>
    </row>
    <row r="7" spans="1:13" s="132" customFormat="1" ht="13.5" thickBot="1" x14ac:dyDescent="0.25">
      <c r="B7" s="3231" t="str">
        <f>'TRAD-Calculs pédiatriques'!B7</f>
        <v>Premières lignes</v>
      </c>
      <c r="C7" s="3231"/>
      <c r="D7" s="3231"/>
      <c r="E7" s="3231"/>
    </row>
    <row r="8" spans="1:13" s="132" customFormat="1" x14ac:dyDescent="0.2">
      <c r="B8" s="1064" t="str">
        <f>'Saisie données file act.'!D371</f>
        <v>ABC+3TC+LPV/r</v>
      </c>
      <c r="C8" s="1065">
        <f>'Saisie données file act.'!E371</f>
        <v>0</v>
      </c>
      <c r="D8" s="1066" t="e">
        <f>'Saisie données file act.'!F371</f>
        <v>#DIV/0!</v>
      </c>
      <c r="E8" s="1067">
        <f t="shared" ref="E8:E13" si="0">C8</f>
        <v>0</v>
      </c>
    </row>
    <row r="9" spans="1:13" s="132" customFormat="1" x14ac:dyDescent="0.2">
      <c r="B9" s="1064" t="str">
        <f>'Saisie données file act.'!D372</f>
        <v>ABC+3TC+EFV</v>
      </c>
      <c r="C9" s="784">
        <f>'Saisie données file act.'!E372</f>
        <v>0</v>
      </c>
      <c r="D9" s="785" t="e">
        <f>'Saisie données file act.'!F372</f>
        <v>#DIV/0!</v>
      </c>
      <c r="E9" s="786">
        <f t="shared" si="0"/>
        <v>0</v>
      </c>
    </row>
    <row r="10" spans="1:13" s="132" customFormat="1" x14ac:dyDescent="0.2">
      <c r="B10" s="1064" t="str">
        <f>'Saisie données file act.'!D373</f>
        <v>ABC+3TC+AZT</v>
      </c>
      <c r="C10" s="784">
        <f>'Saisie données file act.'!E373</f>
        <v>0</v>
      </c>
      <c r="D10" s="785" t="e">
        <f>'Saisie données file act.'!F373</f>
        <v>#DIV/0!</v>
      </c>
      <c r="E10" s="786">
        <f t="shared" si="0"/>
        <v>0</v>
      </c>
    </row>
    <row r="11" spans="1:13" s="132" customFormat="1" x14ac:dyDescent="0.2">
      <c r="B11" s="1064">
        <f>'Saisie données file act.'!D374</f>
        <v>0</v>
      </c>
      <c r="C11" s="784">
        <f>'Saisie données file act.'!E374</f>
        <v>0</v>
      </c>
      <c r="D11" s="785" t="e">
        <f>'Saisie données file act.'!F374</f>
        <v>#DIV/0!</v>
      </c>
      <c r="E11" s="786">
        <f t="shared" si="0"/>
        <v>0</v>
      </c>
    </row>
    <row r="12" spans="1:13" s="132" customFormat="1" x14ac:dyDescent="0.2">
      <c r="B12" s="1064">
        <f>'Saisie données file act.'!D375</f>
        <v>0</v>
      </c>
      <c r="C12" s="784">
        <f>'Saisie données file act.'!E375</f>
        <v>0</v>
      </c>
      <c r="D12" s="785" t="e">
        <f>'Saisie données file act.'!F376</f>
        <v>#DIV/0!</v>
      </c>
      <c r="E12" s="786">
        <f t="shared" si="0"/>
        <v>0</v>
      </c>
    </row>
    <row r="13" spans="1:13" s="132" customFormat="1" ht="13.5" thickBot="1" x14ac:dyDescent="0.25">
      <c r="B13" s="787">
        <f>'Saisie données file act.'!D376</f>
        <v>0</v>
      </c>
      <c r="C13" s="784">
        <f>'Saisie données file act.'!E376</f>
        <v>0</v>
      </c>
      <c r="D13" s="785">
        <f>'Saisie données file act.'!F377</f>
        <v>0</v>
      </c>
      <c r="E13" s="786">
        <f t="shared" si="0"/>
        <v>0</v>
      </c>
    </row>
    <row r="14" spans="1:13" s="132" customFormat="1" ht="13.5" thickBot="1" x14ac:dyDescent="0.25">
      <c r="B14" s="3231" t="str">
        <f>'TRAD-Calculs pédiatriques'!B8</f>
        <v>Deuxièmes lignes</v>
      </c>
      <c r="C14" s="3231"/>
      <c r="D14" s="3231"/>
      <c r="E14" s="3231"/>
    </row>
    <row r="15" spans="1:13" s="132" customFormat="1" x14ac:dyDescent="0.2">
      <c r="B15" s="783" t="str">
        <f>'Saisie données file act.'!D378</f>
        <v>AZT+3TC+LPV/r</v>
      </c>
      <c r="C15" s="784">
        <f>'Saisie données file act.'!E378</f>
        <v>0</v>
      </c>
      <c r="D15" s="785" t="e">
        <f>'Saisie données file act.'!F378</f>
        <v>#DIV/0!</v>
      </c>
      <c r="E15" s="786">
        <f>C15</f>
        <v>0</v>
      </c>
    </row>
    <row r="16" spans="1:13" s="132" customFormat="1" x14ac:dyDescent="0.2">
      <c r="B16" s="783">
        <f>'Saisie données file act.'!D379</f>
        <v>0</v>
      </c>
      <c r="C16" s="784">
        <f>'Saisie données file act.'!E379</f>
        <v>0</v>
      </c>
      <c r="D16" s="785">
        <f>'Saisie données file act.'!F383</f>
        <v>0</v>
      </c>
      <c r="E16" s="786">
        <f>C16</f>
        <v>0</v>
      </c>
    </row>
    <row r="17" spans="1:5" s="132" customFormat="1" x14ac:dyDescent="0.2">
      <c r="B17" s="783">
        <f>'Saisie données file act.'!D380</f>
        <v>0</v>
      </c>
      <c r="C17" s="784">
        <f>'Saisie données file act.'!E380</f>
        <v>0</v>
      </c>
      <c r="D17" s="785" t="e">
        <f>'Saisie données file act.'!F379</f>
        <v>#DIV/0!</v>
      </c>
      <c r="E17" s="786">
        <f>C17</f>
        <v>0</v>
      </c>
    </row>
    <row r="18" spans="1:5" s="132" customFormat="1" x14ac:dyDescent="0.2">
      <c r="B18" s="783">
        <f>'Saisie données file act.'!D381</f>
        <v>0</v>
      </c>
      <c r="C18" s="784">
        <f>'Saisie données file act.'!E381</f>
        <v>0</v>
      </c>
      <c r="D18" s="785" t="e">
        <f>'Saisie données file act.'!F380</f>
        <v>#DIV/0!</v>
      </c>
      <c r="E18" s="786">
        <f>C18</f>
        <v>0</v>
      </c>
    </row>
    <row r="19" spans="1:5" s="132" customFormat="1" ht="13.5" thickBot="1" x14ac:dyDescent="0.25">
      <c r="B19" s="783">
        <f>'Saisie données file act.'!D382</f>
        <v>0</v>
      </c>
      <c r="C19" s="784">
        <f>'Saisie données file act.'!E382</f>
        <v>0</v>
      </c>
      <c r="D19" s="785" t="e">
        <f>'Saisie données file act.'!F381</f>
        <v>#DIV/0!</v>
      </c>
      <c r="E19" s="786">
        <f>C19</f>
        <v>0</v>
      </c>
    </row>
    <row r="20" spans="1:5" s="132" customFormat="1" ht="13.5" thickBot="1" x14ac:dyDescent="0.25">
      <c r="B20" s="3231" t="str">
        <f>'TRAD-Calculs pédiatriques'!B9</f>
        <v>Lignes alternatives</v>
      </c>
      <c r="C20" s="3231"/>
      <c r="D20" s="3231"/>
      <c r="E20" s="3231"/>
    </row>
    <row r="21" spans="1:5" s="132" customFormat="1" x14ac:dyDescent="0.2">
      <c r="B21" s="783">
        <f>'Saisie données file act.'!D384</f>
        <v>0</v>
      </c>
      <c r="C21" s="784">
        <f>'Saisie données file act.'!E384</f>
        <v>0</v>
      </c>
      <c r="D21" s="785" t="e">
        <f>'Saisie données file act.'!F382</f>
        <v>#DIV/0!</v>
      </c>
      <c r="E21" s="786">
        <f t="shared" ref="E21:E29" si="1">C21</f>
        <v>0</v>
      </c>
    </row>
    <row r="22" spans="1:5" s="132" customFormat="1" x14ac:dyDescent="0.2">
      <c r="B22" s="783">
        <f>'Saisie données file act.'!D385</f>
        <v>0</v>
      </c>
      <c r="C22" s="784">
        <f>'Saisie données file act.'!E385</f>
        <v>0</v>
      </c>
      <c r="D22" s="785" t="e">
        <f>'Saisie données file act.'!F384</f>
        <v>#DIV/0!</v>
      </c>
      <c r="E22" s="786">
        <f t="shared" si="1"/>
        <v>0</v>
      </c>
    </row>
    <row r="23" spans="1:5" s="132" customFormat="1" x14ac:dyDescent="0.2">
      <c r="B23" s="783">
        <f>'Saisie données file act.'!D386</f>
        <v>0</v>
      </c>
      <c r="C23" s="784">
        <f>'Saisie données file act.'!E386</f>
        <v>0</v>
      </c>
      <c r="D23" s="785" t="e">
        <f>'Saisie données file act.'!F385</f>
        <v>#DIV/0!</v>
      </c>
      <c r="E23" s="786">
        <f t="shared" si="1"/>
        <v>0</v>
      </c>
    </row>
    <row r="24" spans="1:5" s="132" customFormat="1" x14ac:dyDescent="0.2">
      <c r="B24" s="783">
        <f>'Saisie données file act.'!D387</f>
        <v>0</v>
      </c>
      <c r="C24" s="784">
        <f>'Saisie données file act.'!E387</f>
        <v>0</v>
      </c>
      <c r="D24" s="785" t="e">
        <f>'Saisie données file act.'!F386</f>
        <v>#DIV/0!</v>
      </c>
      <c r="E24" s="786">
        <f t="shared" si="1"/>
        <v>0</v>
      </c>
    </row>
    <row r="25" spans="1:5" s="132" customFormat="1" x14ac:dyDescent="0.2">
      <c r="B25" s="783">
        <f>'Saisie données file act.'!D388</f>
        <v>0</v>
      </c>
      <c r="C25" s="784">
        <f>'Saisie données file act.'!E388</f>
        <v>0</v>
      </c>
      <c r="D25" s="785" t="e">
        <f>'Saisie données file act.'!F387</f>
        <v>#DIV/0!</v>
      </c>
      <c r="E25" s="786">
        <f t="shared" si="1"/>
        <v>0</v>
      </c>
    </row>
    <row r="26" spans="1:5" s="132" customFormat="1" x14ac:dyDescent="0.2">
      <c r="B26" s="783">
        <f>'Saisie données file act.'!D389</f>
        <v>0</v>
      </c>
      <c r="C26" s="784">
        <f>'Saisie données file act.'!E389</f>
        <v>0</v>
      </c>
      <c r="D26" s="785" t="e">
        <f>'Saisie données file act.'!F388</f>
        <v>#DIV/0!</v>
      </c>
      <c r="E26" s="786">
        <f t="shared" si="1"/>
        <v>0</v>
      </c>
    </row>
    <row r="27" spans="1:5" s="132" customFormat="1" x14ac:dyDescent="0.2">
      <c r="B27" s="783">
        <f>'Saisie données file act.'!D390</f>
        <v>0</v>
      </c>
      <c r="C27" s="784">
        <f>'Saisie données file act.'!E390</f>
        <v>0</v>
      </c>
      <c r="D27" s="785" t="e">
        <f>'Saisie données file act.'!F389</f>
        <v>#DIV/0!</v>
      </c>
      <c r="E27" s="786">
        <f t="shared" si="1"/>
        <v>0</v>
      </c>
    </row>
    <row r="28" spans="1:5" s="132" customFormat="1" x14ac:dyDescent="0.2">
      <c r="B28" s="783">
        <f>'Saisie données file act.'!D391</f>
        <v>0</v>
      </c>
      <c r="C28" s="784">
        <f>'Saisie données file act.'!E391</f>
        <v>0</v>
      </c>
      <c r="D28" s="785" t="e">
        <f>'Saisie données file act.'!F390</f>
        <v>#DIV/0!</v>
      </c>
      <c r="E28" s="786">
        <f t="shared" si="1"/>
        <v>0</v>
      </c>
    </row>
    <row r="29" spans="1:5" s="132" customFormat="1" ht="13.5" thickBot="1" x14ac:dyDescent="0.25">
      <c r="B29" s="788">
        <f>'Saisie données file act.'!D392</f>
        <v>0</v>
      </c>
      <c r="C29" s="789">
        <f>'Saisie données file act.'!E392</f>
        <v>0</v>
      </c>
      <c r="D29" s="790" t="e">
        <f>'Saisie données file act.'!F391</f>
        <v>#DIV/0!</v>
      </c>
      <c r="E29" s="791">
        <f t="shared" si="1"/>
        <v>0</v>
      </c>
    </row>
    <row r="30" spans="1:5" s="132" customFormat="1" ht="14.25" thickTop="1" thickBot="1" x14ac:dyDescent="0.25">
      <c r="A30" s="134"/>
      <c r="B30" s="792" t="s">
        <v>5</v>
      </c>
      <c r="C30" s="792">
        <f>SUM(C8:C29)</f>
        <v>0</v>
      </c>
      <c r="D30" s="793"/>
      <c r="E30" s="792">
        <f>SUM(E8:E29)</f>
        <v>0</v>
      </c>
    </row>
    <row r="31" spans="1:5" s="132" customFormat="1" x14ac:dyDescent="0.2"/>
    <row r="32" spans="1:5" s="132" customFormat="1" x14ac:dyDescent="0.2"/>
    <row r="33" spans="1:16" s="131" customFormat="1" ht="15.75" thickBot="1" x14ac:dyDescent="0.25">
      <c r="A33" s="3260" t="str">
        <f>'TRAD-Calculs pédiatriques'!B10</f>
        <v>Evolution de la file active pédiatrique sous traitement à prévoir sur la période</v>
      </c>
      <c r="B33" s="3260"/>
      <c r="C33" s="3260"/>
      <c r="D33" s="3260"/>
      <c r="E33" s="3260"/>
      <c r="F33" s="3260"/>
      <c r="G33" s="3260"/>
      <c r="H33" s="3260"/>
      <c r="I33" s="3260"/>
      <c r="J33" s="3260"/>
      <c r="K33" s="3260"/>
      <c r="L33" s="3260"/>
      <c r="M33" s="130"/>
      <c r="N33" s="130"/>
      <c r="O33" s="130"/>
      <c r="P33" s="130"/>
    </row>
    <row r="35" spans="1:16" s="131" customFormat="1" ht="14.25" x14ac:dyDescent="0.2">
      <c r="B35" s="3278" t="str">
        <f>'TRAD-Calculs pédiatriques'!B11</f>
        <v>Répartition des inclusions attendues</v>
      </c>
      <c r="C35" s="3278"/>
      <c r="D35" s="3278"/>
      <c r="E35" s="3278"/>
      <c r="F35" s="3278"/>
      <c r="G35" s="3279"/>
      <c r="H35" s="3279"/>
      <c r="I35" s="3279"/>
      <c r="J35" s="3279"/>
      <c r="K35" s="3279"/>
      <c r="L35" s="136"/>
      <c r="M35" s="137"/>
      <c r="N35" s="130"/>
      <c r="O35" s="130"/>
      <c r="P35" s="130"/>
    </row>
    <row r="36" spans="1:16" s="132" customFormat="1" ht="13.5" thickBot="1" x14ac:dyDescent="0.25">
      <c r="A36" s="134"/>
    </row>
    <row r="37" spans="1:16" s="132" customFormat="1" ht="77.25" thickBot="1" x14ac:dyDescent="0.25">
      <c r="A37" s="134"/>
      <c r="B37" s="798" t="str">
        <f>'TRAD-Calculs pédiatriques'!B12</f>
        <v>Inclusions</v>
      </c>
      <c r="C37" s="798" t="s">
        <v>66</v>
      </c>
      <c r="D37" s="794" t="str">
        <f>'TRAD-Calculs pédiatriques'!B13</f>
        <v>Nb de patients mensuels</v>
      </c>
      <c r="E37" s="794" t="str">
        <f>'TRAD-Calculs pédiatriques'!B14</f>
        <v>Nb de patients total sur la période définie pour 1 mois</v>
      </c>
    </row>
    <row r="38" spans="1:16" s="132" customFormat="1" ht="13.5" thickBot="1" x14ac:dyDescent="0.25">
      <c r="A38" s="134"/>
      <c r="B38" s="3231" t="str">
        <f>'TRAD-Calculs pédiatriques'!B7</f>
        <v>Premières lignes</v>
      </c>
      <c r="C38" s="3231"/>
      <c r="D38" s="3231"/>
      <c r="E38" s="3231"/>
    </row>
    <row r="39" spans="1:16" s="132" customFormat="1" x14ac:dyDescent="0.2">
      <c r="A39" s="134"/>
      <c r="B39" s="799" t="str">
        <f>'Saisie données file act.'!D371</f>
        <v>ABC+3TC+LPV/r</v>
      </c>
      <c r="C39" s="1070">
        <f>'Saisie données file act.'!E414</f>
        <v>0</v>
      </c>
      <c r="D39" s="1071">
        <f>'Saisie données file act.'!F414</f>
        <v>0</v>
      </c>
      <c r="E39" s="1072">
        <f t="shared" ref="E39:E44" si="2">D39</f>
        <v>0</v>
      </c>
    </row>
    <row r="40" spans="1:16" s="132" customFormat="1" x14ac:dyDescent="0.2">
      <c r="A40" s="134"/>
      <c r="B40" s="800" t="str">
        <f>'Saisie données file act.'!D372</f>
        <v>ABC+3TC+EFV</v>
      </c>
      <c r="C40" s="1073">
        <f>'Saisie données file act.'!E415</f>
        <v>0</v>
      </c>
      <c r="D40" s="1074">
        <f>'Saisie données file act.'!F415</f>
        <v>0</v>
      </c>
      <c r="E40" s="805">
        <f t="shared" si="2"/>
        <v>0</v>
      </c>
    </row>
    <row r="41" spans="1:16" s="132" customFormat="1" x14ac:dyDescent="0.2">
      <c r="A41" s="134"/>
      <c r="B41" s="800" t="str">
        <f>'Saisie données file act.'!D373</f>
        <v>ABC+3TC+AZT</v>
      </c>
      <c r="C41" s="1073">
        <f>'Saisie données file act.'!E416</f>
        <v>0</v>
      </c>
      <c r="D41" s="1074">
        <f>'Saisie données file act.'!F416</f>
        <v>0</v>
      </c>
      <c r="E41" s="805">
        <f t="shared" si="2"/>
        <v>0</v>
      </c>
    </row>
    <row r="42" spans="1:16" s="132" customFormat="1" x14ac:dyDescent="0.2">
      <c r="A42" s="134"/>
      <c r="B42" s="800">
        <f>'Saisie données file act.'!D374</f>
        <v>0</v>
      </c>
      <c r="C42" s="1073">
        <f>'Saisie données file act.'!E417</f>
        <v>0</v>
      </c>
      <c r="D42" s="1074">
        <f>'Saisie données file act.'!F417</f>
        <v>0</v>
      </c>
      <c r="E42" s="805">
        <f t="shared" si="2"/>
        <v>0</v>
      </c>
    </row>
    <row r="43" spans="1:16" s="132" customFormat="1" x14ac:dyDescent="0.2">
      <c r="A43" s="134"/>
      <c r="B43" s="801">
        <f>'Saisie données file act.'!D375</f>
        <v>0</v>
      </c>
      <c r="C43" s="1075">
        <f>'Saisie données file act.'!E418</f>
        <v>0</v>
      </c>
      <c r="D43" s="1076">
        <f>'Saisie données file act.'!F418</f>
        <v>0</v>
      </c>
      <c r="E43" s="1077">
        <f t="shared" si="2"/>
        <v>0</v>
      </c>
    </row>
    <row r="44" spans="1:16" s="132" customFormat="1" ht="13.5" thickBot="1" x14ac:dyDescent="0.25">
      <c r="A44" s="134"/>
      <c r="B44" s="1068">
        <f>'Saisie données file act.'!D376</f>
        <v>0</v>
      </c>
      <c r="C44" s="1078">
        <f>'Saisie données file act.'!E419</f>
        <v>0</v>
      </c>
      <c r="D44" s="1079">
        <f>'Saisie données file act.'!F419</f>
        <v>0</v>
      </c>
      <c r="E44" s="1080">
        <f t="shared" si="2"/>
        <v>0</v>
      </c>
    </row>
    <row r="45" spans="1:16" s="132" customFormat="1" ht="13.5" thickBot="1" x14ac:dyDescent="0.25">
      <c r="A45" s="134"/>
      <c r="B45" s="1061" t="str">
        <f>'TRAD-Calculs pédiatriques'!B9</f>
        <v>Lignes alternatives</v>
      </c>
      <c r="C45" s="1061"/>
      <c r="D45" s="1061"/>
      <c r="E45" s="1061"/>
    </row>
    <row r="46" spans="1:16" s="132" customFormat="1" x14ac:dyDescent="0.2">
      <c r="A46" s="134"/>
      <c r="B46" s="799">
        <f>'Saisie données file act.'!D384</f>
        <v>0</v>
      </c>
      <c r="C46" s="1070">
        <f>'Saisie données file act.'!E421</f>
        <v>0</v>
      </c>
      <c r="D46" s="1071">
        <f>'Saisie données file act.'!F421</f>
        <v>0</v>
      </c>
      <c r="E46" s="1072">
        <f>D46</f>
        <v>0</v>
      </c>
    </row>
    <row r="47" spans="1:16" s="132" customFormat="1" x14ac:dyDescent="0.2">
      <c r="A47" s="134"/>
      <c r="B47" s="800">
        <f>'Saisie données file act.'!D385</f>
        <v>0</v>
      </c>
      <c r="C47" s="1073">
        <f>'Saisie données file act.'!E422</f>
        <v>0</v>
      </c>
      <c r="D47" s="1074">
        <f>'Saisie données file act.'!F422</f>
        <v>0</v>
      </c>
      <c r="E47" s="805">
        <f>D47</f>
        <v>0</v>
      </c>
    </row>
    <row r="48" spans="1:16" s="132" customFormat="1" x14ac:dyDescent="0.2">
      <c r="A48" s="134"/>
      <c r="B48" s="800">
        <f>'Saisie données file act.'!D386</f>
        <v>0</v>
      </c>
      <c r="C48" s="1073">
        <f>'Saisie données file act.'!E423</f>
        <v>0</v>
      </c>
      <c r="D48" s="1074">
        <f>'Saisie données file act.'!F423</f>
        <v>0</v>
      </c>
      <c r="E48" s="805">
        <f t="shared" ref="E48:E50" si="3">D48</f>
        <v>0</v>
      </c>
    </row>
    <row r="49" spans="1:5" s="132" customFormat="1" x14ac:dyDescent="0.2">
      <c r="A49" s="134"/>
      <c r="B49" s="801">
        <f>'Saisie données file act.'!D387</f>
        <v>0</v>
      </c>
      <c r="C49" s="1075">
        <f>'Saisie données file act.'!E424</f>
        <v>0</v>
      </c>
      <c r="D49" s="1076">
        <f>'Saisie données file act.'!F424</f>
        <v>0</v>
      </c>
      <c r="E49" s="1077">
        <f t="shared" si="3"/>
        <v>0</v>
      </c>
    </row>
    <row r="50" spans="1:5" s="132" customFormat="1" ht="13.5" thickBot="1" x14ac:dyDescent="0.25">
      <c r="A50" s="134"/>
      <c r="B50" s="1068">
        <f>'Saisie données file act.'!D388</f>
        <v>0</v>
      </c>
      <c r="C50" s="1078">
        <f>'Saisie données file act.'!E425</f>
        <v>0</v>
      </c>
      <c r="D50" s="1079">
        <f>'Saisie données file act.'!F425</f>
        <v>0</v>
      </c>
      <c r="E50" s="1080">
        <f t="shared" si="3"/>
        <v>0</v>
      </c>
    </row>
    <row r="51" spans="1:5" s="132" customFormat="1" ht="14.25" customHeight="1" thickTop="1" thickBot="1" x14ac:dyDescent="0.25">
      <c r="A51" s="134"/>
      <c r="B51" s="802" t="s">
        <v>5</v>
      </c>
      <c r="C51" s="802"/>
      <c r="D51" s="1081">
        <f>'Saisie données file act.'!$F$426</f>
        <v>0</v>
      </c>
      <c r="E51" s="1081">
        <f>SUM(E39:E47)</f>
        <v>0</v>
      </c>
    </row>
    <row r="52" spans="1:5" s="132" customFormat="1" ht="13.5" customHeight="1" x14ac:dyDescent="0.2">
      <c r="A52" s="134"/>
    </row>
    <row r="53" spans="1:5" s="132" customFormat="1" ht="13.5" thickBot="1" x14ac:dyDescent="0.25">
      <c r="A53" s="134"/>
    </row>
    <row r="54" spans="1:5" s="132" customFormat="1" ht="39" thickBot="1" x14ac:dyDescent="0.25">
      <c r="B54" s="803"/>
      <c r="C54" s="804" t="str">
        <f>'TRAD-Calculs pédiatriques'!B15</f>
        <v>TOTAL 
Nb de patients</v>
      </c>
      <c r="D54" s="804" t="str">
        <f>'TRAD-Calculs pédiatriques'!B16</f>
        <v>Total 
patients-mois sur la période</v>
      </c>
    </row>
    <row r="55" spans="1:5" s="132" customFormat="1" ht="13.5" thickBot="1" x14ac:dyDescent="0.25">
      <c r="B55" s="1061" t="str">
        <f>'TRAD-Calculs pédiatriques'!B7</f>
        <v>Premières lignes</v>
      </c>
      <c r="C55" s="1061"/>
      <c r="D55" s="1061"/>
    </row>
    <row r="56" spans="1:5" s="132" customFormat="1" x14ac:dyDescent="0.2">
      <c r="B56" s="795" t="str">
        <f>'Saisie données file act.'!D371</f>
        <v>ABC+3TC+LPV/r</v>
      </c>
      <c r="C56" s="805">
        <f>D39</f>
        <v>0</v>
      </c>
      <c r="D56" s="806">
        <f t="shared" ref="D56:D61" si="4">C56</f>
        <v>0</v>
      </c>
    </row>
    <row r="57" spans="1:5" s="132" customFormat="1" x14ac:dyDescent="0.2">
      <c r="B57" s="796" t="str">
        <f>'Saisie données file act.'!D372</f>
        <v>ABC+3TC+EFV</v>
      </c>
      <c r="C57" s="805">
        <f t="shared" ref="C57:C61" si="5">D40</f>
        <v>0</v>
      </c>
      <c r="D57" s="806">
        <f t="shared" si="4"/>
        <v>0</v>
      </c>
    </row>
    <row r="58" spans="1:5" s="132" customFormat="1" x14ac:dyDescent="0.2">
      <c r="B58" s="797" t="str">
        <f>'Saisie données file act.'!D373</f>
        <v>ABC+3TC+AZT</v>
      </c>
      <c r="C58" s="805">
        <f t="shared" si="5"/>
        <v>0</v>
      </c>
      <c r="D58" s="806">
        <f t="shared" si="4"/>
        <v>0</v>
      </c>
    </row>
    <row r="59" spans="1:5" s="132" customFormat="1" x14ac:dyDescent="0.2">
      <c r="B59" s="1082">
        <f>'Saisie données file act.'!D374</f>
        <v>0</v>
      </c>
      <c r="C59" s="805">
        <f t="shared" si="5"/>
        <v>0</v>
      </c>
      <c r="D59" s="806">
        <f t="shared" si="4"/>
        <v>0</v>
      </c>
    </row>
    <row r="60" spans="1:5" s="132" customFormat="1" x14ac:dyDescent="0.2">
      <c r="B60" s="797">
        <f>'Saisie données file act.'!D375</f>
        <v>0</v>
      </c>
      <c r="C60" s="805">
        <f t="shared" si="5"/>
        <v>0</v>
      </c>
      <c r="D60" s="806">
        <f t="shared" si="4"/>
        <v>0</v>
      </c>
    </row>
    <row r="61" spans="1:5" s="132" customFormat="1" ht="13.5" thickBot="1" x14ac:dyDescent="0.25">
      <c r="B61" s="1069">
        <f>'Saisie données file act.'!D376</f>
        <v>0</v>
      </c>
      <c r="C61" s="1080">
        <f t="shared" si="5"/>
        <v>0</v>
      </c>
      <c r="D61" s="809">
        <f t="shared" si="4"/>
        <v>0</v>
      </c>
    </row>
    <row r="62" spans="1:5" s="132" customFormat="1" ht="13.5" thickBot="1" x14ac:dyDescent="0.25">
      <c r="B62" s="1061" t="str">
        <f>'TRAD-Calculs pédiatriques'!B9</f>
        <v>Lignes alternatives</v>
      </c>
      <c r="C62" s="1061"/>
      <c r="D62" s="1061"/>
    </row>
    <row r="63" spans="1:5" s="132" customFormat="1" x14ac:dyDescent="0.2">
      <c r="B63" s="795">
        <f>'Saisie données file act.'!D384</f>
        <v>0</v>
      </c>
      <c r="C63" s="805">
        <f>D46</f>
        <v>0</v>
      </c>
      <c r="D63" s="806">
        <f>C63</f>
        <v>0</v>
      </c>
    </row>
    <row r="64" spans="1:5" s="132" customFormat="1" x14ac:dyDescent="0.2">
      <c r="B64" s="797">
        <f>'Saisie données file act.'!D385</f>
        <v>0</v>
      </c>
      <c r="C64" s="805">
        <f>D47</f>
        <v>0</v>
      </c>
      <c r="D64" s="806">
        <f>C64</f>
        <v>0</v>
      </c>
    </row>
    <row r="65" spans="2:17" s="132" customFormat="1" x14ac:dyDescent="0.2">
      <c r="B65" s="797">
        <f>'Saisie données file act.'!D386</f>
        <v>0</v>
      </c>
      <c r="C65" s="805">
        <f t="shared" ref="C65:C67" si="6">D48</f>
        <v>0</v>
      </c>
      <c r="D65" s="806">
        <f t="shared" ref="D65:D67" si="7">C65</f>
        <v>0</v>
      </c>
    </row>
    <row r="66" spans="2:17" s="132" customFormat="1" x14ac:dyDescent="0.2">
      <c r="B66" s="797">
        <f>'Saisie données file act.'!D387</f>
        <v>0</v>
      </c>
      <c r="C66" s="805">
        <f t="shared" si="6"/>
        <v>0</v>
      </c>
      <c r="D66" s="806">
        <f t="shared" si="7"/>
        <v>0</v>
      </c>
    </row>
    <row r="67" spans="2:17" s="132" customFormat="1" ht="13.5" thickBot="1" x14ac:dyDescent="0.25">
      <c r="B67" s="807">
        <f>'Saisie données file act.'!D382</f>
        <v>0</v>
      </c>
      <c r="C67" s="808">
        <f t="shared" si="6"/>
        <v>0</v>
      </c>
      <c r="D67" s="809">
        <f t="shared" si="7"/>
        <v>0</v>
      </c>
    </row>
    <row r="68" spans="2:17" s="132" customFormat="1" ht="14.25" thickTop="1" thickBot="1" x14ac:dyDescent="0.25">
      <c r="B68" s="810" t="s">
        <v>149</v>
      </c>
      <c r="C68" s="811">
        <f>SUM(C56:C64)</f>
        <v>0</v>
      </c>
      <c r="D68" s="802"/>
    </row>
    <row r="69" spans="2:17" s="140" customFormat="1" x14ac:dyDescent="0.2">
      <c r="B69" s="812" t="str">
        <f>'TRAD-Calculs pédiatriques'!B19</f>
        <v>nb de mois de traitement</v>
      </c>
      <c r="C69" s="813"/>
      <c r="D69" s="814"/>
      <c r="E69" s="815"/>
      <c r="F69" s="815"/>
    </row>
    <row r="70" spans="2:17" s="132" customFormat="1" x14ac:dyDescent="0.2">
      <c r="P70" s="140"/>
    </row>
    <row r="71" spans="2:17" s="132" customFormat="1" x14ac:dyDescent="0.2">
      <c r="Q71" s="140"/>
    </row>
    <row r="72" spans="2:17" s="131" customFormat="1" ht="14.25" x14ac:dyDescent="0.2">
      <c r="B72" s="3261" t="str">
        <f>'TRAD-Calculs pédiatriques'!B20</f>
        <v>Répartition des passages en 2ème ligne</v>
      </c>
      <c r="C72" s="3261"/>
      <c r="D72" s="3261"/>
      <c r="E72" s="3261"/>
      <c r="F72" s="3261"/>
      <c r="G72" s="3264"/>
      <c r="H72" s="3264"/>
      <c r="I72" s="3264"/>
      <c r="J72" s="3264"/>
      <c r="K72" s="3264"/>
      <c r="L72" s="3264"/>
      <c r="M72" s="3264"/>
      <c r="Q72" s="141"/>
    </row>
    <row r="73" spans="2:17" s="132" customFormat="1" x14ac:dyDescent="0.2">
      <c r="Q73" s="140"/>
    </row>
    <row r="74" spans="2:17" s="132" customFormat="1" x14ac:dyDescent="0.2">
      <c r="B74" s="134" t="str">
        <f>'TRAD-Calculs pédiatriques'!B21</f>
        <v>Taux de passage en 2ème ligne mensuel</v>
      </c>
      <c r="C74" s="134"/>
      <c r="D74" s="202">
        <f>'Saisie données file act.'!$G$433</f>
        <v>0</v>
      </c>
      <c r="E74" s="134"/>
      <c r="F74" s="134" t="str">
        <f>'TRAD-Calculs pédiatriques'!B22</f>
        <v>Nb de patients concernés</v>
      </c>
      <c r="G74" s="134"/>
      <c r="H74" s="134"/>
      <c r="I74" s="134">
        <f>'Saisie données file act.'!$E$437</f>
        <v>0</v>
      </c>
    </row>
    <row r="75" spans="2:17" s="132" customFormat="1" x14ac:dyDescent="0.2">
      <c r="B75" s="134"/>
      <c r="C75" s="134"/>
      <c r="D75" s="142"/>
      <c r="E75" s="134"/>
      <c r="F75" s="134"/>
      <c r="G75" s="134"/>
      <c r="H75" s="143"/>
      <c r="J75" s="134"/>
      <c r="L75" s="144"/>
    </row>
    <row r="76" spans="2:17" s="132" customFormat="1" ht="13.5" thickBot="1" x14ac:dyDescent="0.25"/>
    <row r="77" spans="2:17" s="132" customFormat="1" ht="51.75" thickBot="1" x14ac:dyDescent="0.25">
      <c r="B77" s="138" t="str">
        <f>'TRAD-Calculs pédiatriques'!B23</f>
        <v>2èmes lignes</v>
      </c>
      <c r="C77" s="138" t="s">
        <v>66</v>
      </c>
      <c r="D77" s="138" t="str">
        <f>'TRAD-Calculs pédiatriques'!B24</f>
        <v>par mois</v>
      </c>
      <c r="E77" s="139" t="str">
        <f>'TRAD-Calculs pédiatriques'!B25</f>
        <v>TOTAL nb de patients</v>
      </c>
      <c r="F77" s="139" t="str">
        <f>'TRAD-Calculs pédiatriques'!B26</f>
        <v>Nb de patients-mois sur la période</v>
      </c>
    </row>
    <row r="78" spans="2:17" s="132" customFormat="1" ht="13.5" thickBot="1" x14ac:dyDescent="0.25">
      <c r="B78" s="3230" t="s">
        <v>6</v>
      </c>
      <c r="C78" s="3231"/>
      <c r="D78" s="3232"/>
      <c r="E78" s="1083"/>
      <c r="F78" s="1083"/>
    </row>
    <row r="79" spans="2:17" s="132" customFormat="1" ht="13.5" thickBot="1" x14ac:dyDescent="0.25">
      <c r="B79" s="3054" t="str">
        <f>B15</f>
        <v>AZT+3TC+LPV/r</v>
      </c>
      <c r="C79" s="145" t="e">
        <f>'Saisie données file act.'!F457</f>
        <v>#DIV/0!</v>
      </c>
      <c r="D79" s="201">
        <f>'Saisie données file act.'!E457</f>
        <v>0</v>
      </c>
      <c r="E79" s="203">
        <f>D79</f>
        <v>0</v>
      </c>
      <c r="F79" s="204">
        <f>D79</f>
        <v>0</v>
      </c>
    </row>
    <row r="80" spans="2:17" s="132" customFormat="1" ht="13.5" thickTop="1" x14ac:dyDescent="0.2">
      <c r="B80" s="1087">
        <f t="shared" ref="B80:B83" si="8">B16</f>
        <v>0</v>
      </c>
      <c r="C80" s="1088" t="e">
        <f>'Saisie données file act.'!F458</f>
        <v>#DIV/0!</v>
      </c>
      <c r="D80" s="1089">
        <f>'Saisie données file act.'!E458</f>
        <v>0</v>
      </c>
      <c r="E80" s="1090">
        <f>D80</f>
        <v>0</v>
      </c>
      <c r="F80" s="1091">
        <f>D80</f>
        <v>0</v>
      </c>
    </row>
    <row r="81" spans="2:17" s="132" customFormat="1" x14ac:dyDescent="0.2">
      <c r="B81" s="1087">
        <f t="shared" si="8"/>
        <v>0</v>
      </c>
      <c r="C81" s="1088" t="e">
        <f>'Saisie données file act.'!F459</f>
        <v>#DIV/0!</v>
      </c>
      <c r="D81" s="1089">
        <f>'Saisie données file act.'!E459</f>
        <v>0</v>
      </c>
      <c r="E81" s="1090">
        <f>D81</f>
        <v>0</v>
      </c>
      <c r="F81" s="1091">
        <f>D81</f>
        <v>0</v>
      </c>
    </row>
    <row r="82" spans="2:17" s="132" customFormat="1" x14ac:dyDescent="0.2">
      <c r="B82" s="1087">
        <f t="shared" si="8"/>
        <v>0</v>
      </c>
      <c r="C82" s="1088" t="e">
        <f>'Saisie données file act.'!F460</f>
        <v>#DIV/0!</v>
      </c>
      <c r="D82" s="1089">
        <f>'Saisie données file act.'!E460</f>
        <v>0</v>
      </c>
      <c r="E82" s="1090">
        <f>D82</f>
        <v>0</v>
      </c>
      <c r="F82" s="1091">
        <f>D82</f>
        <v>0</v>
      </c>
    </row>
    <row r="83" spans="2:17" s="132" customFormat="1" ht="13.5" thickBot="1" x14ac:dyDescent="0.25">
      <c r="B83" s="1087">
        <f t="shared" si="8"/>
        <v>0</v>
      </c>
      <c r="C83" s="145" t="e">
        <f>'Saisie données file act.'!F461</f>
        <v>#DIV/0!</v>
      </c>
      <c r="D83" s="201">
        <f>'Saisie données file act.'!E461</f>
        <v>0</v>
      </c>
      <c r="E83" s="203">
        <f>D83</f>
        <v>0</v>
      </c>
      <c r="F83" s="204">
        <f>D83</f>
        <v>0</v>
      </c>
    </row>
    <row r="84" spans="2:17" s="132" customFormat="1" ht="13.5" thickTop="1" x14ac:dyDescent="0.2">
      <c r="B84" s="3220" t="str">
        <f>'TRAD-Calculs pédiatriques'!B9</f>
        <v>Lignes alternatives</v>
      </c>
      <c r="C84" s="3277"/>
      <c r="D84" s="3277"/>
      <c r="E84" s="3277"/>
      <c r="F84" s="3277"/>
    </row>
    <row r="85" spans="2:17" s="132" customFormat="1" x14ac:dyDescent="0.2">
      <c r="B85" s="1087">
        <f>B21</f>
        <v>0</v>
      </c>
      <c r="C85" s="1088" t="e">
        <f>'Saisie données file act.'!F463</f>
        <v>#DIV/0!</v>
      </c>
      <c r="D85" s="1089">
        <f>'Saisie données file act.'!E463</f>
        <v>0</v>
      </c>
      <c r="E85" s="1090">
        <f t="shared" ref="E85:E93" si="9">D85</f>
        <v>0</v>
      </c>
      <c r="F85" s="1091">
        <f t="shared" ref="F85:F93" si="10">D85</f>
        <v>0</v>
      </c>
    </row>
    <row r="86" spans="2:17" s="132" customFormat="1" x14ac:dyDescent="0.2">
      <c r="B86" s="1087">
        <f t="shared" ref="B86:B93" si="11">B22</f>
        <v>0</v>
      </c>
      <c r="C86" s="1088" t="e">
        <f>'Saisie données file act.'!F464</f>
        <v>#DIV/0!</v>
      </c>
      <c r="D86" s="1089">
        <f>'Saisie données file act.'!E464</f>
        <v>0</v>
      </c>
      <c r="E86" s="1090">
        <f t="shared" si="9"/>
        <v>0</v>
      </c>
      <c r="F86" s="1091">
        <f t="shared" si="10"/>
        <v>0</v>
      </c>
    </row>
    <row r="87" spans="2:17" s="132" customFormat="1" x14ac:dyDescent="0.2">
      <c r="B87" s="1087">
        <f t="shared" si="11"/>
        <v>0</v>
      </c>
      <c r="C87" s="1088" t="e">
        <f>'Saisie données file act.'!F465</f>
        <v>#DIV/0!</v>
      </c>
      <c r="D87" s="1089">
        <f>'Saisie données file act.'!E465</f>
        <v>0</v>
      </c>
      <c r="E87" s="1090">
        <f t="shared" si="9"/>
        <v>0</v>
      </c>
      <c r="F87" s="1091">
        <f t="shared" si="10"/>
        <v>0</v>
      </c>
    </row>
    <row r="88" spans="2:17" s="132" customFormat="1" x14ac:dyDescent="0.2">
      <c r="B88" s="1087">
        <f t="shared" si="11"/>
        <v>0</v>
      </c>
      <c r="C88" s="1088" t="e">
        <f>'Saisie données file act.'!F466</f>
        <v>#DIV/0!</v>
      </c>
      <c r="D88" s="1089">
        <f>'Saisie données file act.'!E466</f>
        <v>0</v>
      </c>
      <c r="E88" s="1090">
        <f t="shared" si="9"/>
        <v>0</v>
      </c>
      <c r="F88" s="1091">
        <f t="shared" si="10"/>
        <v>0</v>
      </c>
    </row>
    <row r="89" spans="2:17" s="132" customFormat="1" x14ac:dyDescent="0.2">
      <c r="B89" s="1087">
        <f t="shared" si="11"/>
        <v>0</v>
      </c>
      <c r="C89" s="1088" t="e">
        <f>'Saisie données file act.'!F467</f>
        <v>#DIV/0!</v>
      </c>
      <c r="D89" s="1089">
        <f>'Saisie données file act.'!E467</f>
        <v>0</v>
      </c>
      <c r="E89" s="1090">
        <f t="shared" si="9"/>
        <v>0</v>
      </c>
      <c r="F89" s="1091">
        <f t="shared" si="10"/>
        <v>0</v>
      </c>
    </row>
    <row r="90" spans="2:17" s="132" customFormat="1" x14ac:dyDescent="0.2">
      <c r="B90" s="1087">
        <f t="shared" si="11"/>
        <v>0</v>
      </c>
      <c r="C90" s="1088" t="e">
        <f>'Saisie données file act.'!F468</f>
        <v>#DIV/0!</v>
      </c>
      <c r="D90" s="1089">
        <f>'Saisie données file act.'!E468</f>
        <v>0</v>
      </c>
      <c r="E90" s="1090">
        <f t="shared" si="9"/>
        <v>0</v>
      </c>
      <c r="F90" s="1091">
        <f t="shared" si="10"/>
        <v>0</v>
      </c>
    </row>
    <row r="91" spans="2:17" s="132" customFormat="1" x14ac:dyDescent="0.2">
      <c r="B91" s="1087">
        <f t="shared" si="11"/>
        <v>0</v>
      </c>
      <c r="C91" s="1088" t="e">
        <f>'Saisie données file act.'!F469</f>
        <v>#DIV/0!</v>
      </c>
      <c r="D91" s="1089">
        <f>'Saisie données file act.'!E469</f>
        <v>0</v>
      </c>
      <c r="E91" s="1090">
        <f t="shared" si="9"/>
        <v>0</v>
      </c>
      <c r="F91" s="1091">
        <f t="shared" si="10"/>
        <v>0</v>
      </c>
    </row>
    <row r="92" spans="2:17" s="132" customFormat="1" x14ac:dyDescent="0.2">
      <c r="B92" s="1087">
        <f t="shared" si="11"/>
        <v>0</v>
      </c>
      <c r="C92" s="1088" t="e">
        <f>'Saisie données file act.'!F470</f>
        <v>#DIV/0!</v>
      </c>
      <c r="D92" s="1089">
        <f>'Saisie données file act.'!E470</f>
        <v>0</v>
      </c>
      <c r="E92" s="1090">
        <f t="shared" si="9"/>
        <v>0</v>
      </c>
      <c r="F92" s="1091">
        <f t="shared" si="10"/>
        <v>0</v>
      </c>
    </row>
    <row r="93" spans="2:17" s="132" customFormat="1" ht="13.5" thickBot="1" x14ac:dyDescent="0.25">
      <c r="B93" s="1087">
        <f t="shared" si="11"/>
        <v>0</v>
      </c>
      <c r="C93" s="1092" t="e">
        <f>'Saisie données file act.'!F471</f>
        <v>#DIV/0!</v>
      </c>
      <c r="D93" s="1093">
        <f>'Saisie données file act.'!E471</f>
        <v>0</v>
      </c>
      <c r="E93" s="1094">
        <f t="shared" si="9"/>
        <v>0</v>
      </c>
      <c r="F93" s="1095">
        <f t="shared" si="10"/>
        <v>0</v>
      </c>
    </row>
    <row r="94" spans="2:17" s="132" customFormat="1" ht="13.5" thickTop="1" x14ac:dyDescent="0.2">
      <c r="B94" s="1084" t="s">
        <v>5</v>
      </c>
      <c r="C94" s="1084"/>
      <c r="D94" s="1085">
        <f>SUM(D79:D79)</f>
        <v>0</v>
      </c>
      <c r="E94" s="1086">
        <f>SUM(E79:E79)</f>
        <v>0</v>
      </c>
      <c r="F94" s="1084">
        <f>SUM(F79:F79)</f>
        <v>0</v>
      </c>
    </row>
    <row r="95" spans="2:17" s="132" customFormat="1" x14ac:dyDescent="0.2">
      <c r="Q95" s="140"/>
    </row>
    <row r="96" spans="2:17" s="132" customFormat="1" x14ac:dyDescent="0.2">
      <c r="Q96" s="140"/>
    </row>
    <row r="97" spans="1:17" ht="15.75" thickBot="1" x14ac:dyDescent="0.25">
      <c r="A97" s="3260" t="str">
        <f>'TRAD-Calculs pédiatriques'!B27</f>
        <v>Répartition de la FA sous traitement en nb de patients - mois / poids / schéma</v>
      </c>
      <c r="B97" s="3260"/>
      <c r="C97" s="3260"/>
      <c r="D97" s="3260"/>
      <c r="E97" s="3260"/>
      <c r="F97" s="3260"/>
      <c r="G97" s="3260"/>
      <c r="H97" s="3260"/>
      <c r="I97" s="3260"/>
      <c r="J97" s="3260"/>
      <c r="K97" s="3260"/>
      <c r="L97" s="3260"/>
      <c r="M97" s="3260"/>
      <c r="N97" s="3260"/>
    </row>
    <row r="98" spans="1:17" s="132" customFormat="1" ht="13.5" thickBot="1" x14ac:dyDescent="0.25">
      <c r="Q98" s="140"/>
    </row>
    <row r="99" spans="1:17" s="132" customFormat="1" ht="13.5" thickBot="1" x14ac:dyDescent="0.25">
      <c r="B99" s="138" t="str">
        <f>'TRAD-Calculs pédiatriques'!B28</f>
        <v>Poids (kg)</v>
      </c>
      <c r="C99" s="139" t="str">
        <f>'Saisie données file act.'!E398</f>
        <v>3 - 9,9</v>
      </c>
      <c r="D99" s="139" t="str">
        <f>'Saisie données file act.'!F398</f>
        <v>10 - 13,9</v>
      </c>
      <c r="E99" s="139" t="str">
        <f>'Saisie données file act.'!G398</f>
        <v>15 - 19,9</v>
      </c>
      <c r="F99" s="139" t="str">
        <f>'Saisie données file act.'!H398</f>
        <v>20 - 24,9</v>
      </c>
      <c r="Q99" s="140"/>
    </row>
    <row r="100" spans="1:17" s="132" customFormat="1" ht="13.5" thickBot="1" x14ac:dyDescent="0.25">
      <c r="B100" s="147" t="str">
        <f>'TRAD-Calculs pédiatriques'!B29</f>
        <v>Pourcentage</v>
      </c>
      <c r="C100" s="148">
        <f>'Saisie données file act.'!E399</f>
        <v>0</v>
      </c>
      <c r="D100" s="148">
        <f>'Saisie données file act.'!F399</f>
        <v>0</v>
      </c>
      <c r="E100" s="196">
        <f>'Saisie données file act.'!G399</f>
        <v>0</v>
      </c>
      <c r="F100" s="196">
        <f>'Saisie données file act.'!H399</f>
        <v>0</v>
      </c>
      <c r="Q100" s="140"/>
    </row>
    <row r="101" spans="1:17" s="132" customFormat="1" x14ac:dyDescent="0.2">
      <c r="Q101" s="140"/>
    </row>
    <row r="102" spans="1:17" s="131" customFormat="1" ht="14.25" x14ac:dyDescent="0.2">
      <c r="B102" s="3261" t="str">
        <f>'TRAD-Calculs pédiatriques'!B30</f>
        <v>Enfants déjà sous traitement</v>
      </c>
      <c r="C102" s="3261"/>
      <c r="D102" s="3261"/>
      <c r="E102" s="3261"/>
      <c r="F102" s="3261"/>
      <c r="G102" s="3264"/>
      <c r="H102" s="3264"/>
      <c r="I102" s="3264"/>
      <c r="J102" s="3264"/>
      <c r="K102" s="3264"/>
      <c r="L102" s="3264"/>
      <c r="M102" s="3264"/>
      <c r="Q102" s="141"/>
    </row>
    <row r="103" spans="1:17" s="132" customFormat="1" x14ac:dyDescent="0.2">
      <c r="C103" s="149"/>
      <c r="D103" s="149"/>
      <c r="E103" s="149"/>
      <c r="F103" s="149"/>
      <c r="G103" s="149"/>
      <c r="H103" s="149"/>
      <c r="I103" s="149"/>
      <c r="Q103" s="140"/>
    </row>
    <row r="104" spans="1:17" s="132" customFormat="1" ht="13.5" thickBot="1" x14ac:dyDescent="0.25">
      <c r="C104" s="3262" t="str">
        <f>'TRAD-Calculs pédiatriques'!B31</f>
        <v>Nb de patients -mois</v>
      </c>
      <c r="D104" s="3262"/>
      <c r="E104" s="3263"/>
      <c r="F104" s="3262" t="str">
        <f>'TRAD-Calculs pédiatriques'!B32</f>
        <v>Répartition des patients mois / tranches de poids</v>
      </c>
      <c r="G104" s="3262"/>
      <c r="H104" s="3262"/>
      <c r="I104" s="3262"/>
      <c r="Q104" s="140"/>
    </row>
    <row r="105" spans="1:17" s="132" customFormat="1" ht="51.75" thickBot="1" x14ac:dyDescent="0.25">
      <c r="B105" s="133" t="str">
        <f>'TRAD-Calculs pédiatriques'!B5</f>
        <v>Schéma thérapeutique</v>
      </c>
      <c r="C105" s="133" t="str">
        <f>'TRAD-Calculs pédiatriques'!B33</f>
        <v>Nb de patients-mois pour les Enfants présents au début de l'année</v>
      </c>
      <c r="D105" s="197" t="str">
        <f>'TRAD-Calculs pédiatriques'!B34</f>
        <v>Inclusions et passages en 2ème lignes</v>
      </c>
      <c r="E105" s="150" t="str">
        <f>'TRAD-Calculs pédiatriques'!B35</f>
        <v>Total nb de patients -mois sur la période</v>
      </c>
      <c r="F105" s="139" t="s">
        <v>53</v>
      </c>
      <c r="G105" s="139" t="s">
        <v>55</v>
      </c>
      <c r="H105" s="139" t="s">
        <v>57</v>
      </c>
      <c r="I105" s="139" t="s">
        <v>59</v>
      </c>
      <c r="N105" s="140"/>
    </row>
    <row r="106" spans="1:17" s="132" customFormat="1" ht="13.5" thickBot="1" x14ac:dyDescent="0.25">
      <c r="B106" s="1061" t="str">
        <f>'TRAD-Calculs pédiatriques'!B7</f>
        <v>Premières lignes</v>
      </c>
      <c r="C106" s="1061"/>
      <c r="D106" s="1061"/>
      <c r="E106" s="1061"/>
      <c r="F106" s="1101"/>
      <c r="G106" s="1101"/>
      <c r="H106" s="1101"/>
      <c r="I106" s="1101"/>
      <c r="N106" s="140"/>
    </row>
    <row r="107" spans="1:17" s="132" customFormat="1" x14ac:dyDescent="0.2">
      <c r="B107" s="816" t="str">
        <f>'Saisie données file act.'!D371</f>
        <v>ABC+3TC+LPV/r</v>
      </c>
      <c r="C107" s="205">
        <f t="shared" ref="C107:C112" si="12">C8</f>
        <v>0</v>
      </c>
      <c r="D107" s="198"/>
      <c r="E107" s="208">
        <f t="shared" ref="E107:E112" si="13">SUM(C107:D107)</f>
        <v>0</v>
      </c>
      <c r="F107" s="209">
        <f>C$100*$E107</f>
        <v>0</v>
      </c>
      <c r="G107" s="209">
        <f>D$100*$E107</f>
        <v>0</v>
      </c>
      <c r="H107" s="209">
        <f>E$100*$E107</f>
        <v>0</v>
      </c>
      <c r="I107" s="209">
        <f>F$100*$E107</f>
        <v>0</v>
      </c>
      <c r="N107" s="140"/>
    </row>
    <row r="108" spans="1:17" s="132" customFormat="1" x14ac:dyDescent="0.2">
      <c r="B108" s="1096" t="str">
        <f>'Saisie données file act.'!D372</f>
        <v>ABC+3TC+EFV</v>
      </c>
      <c r="C108" s="1097">
        <f t="shared" si="12"/>
        <v>0</v>
      </c>
      <c r="D108" s="1098"/>
      <c r="E108" s="224">
        <f t="shared" si="13"/>
        <v>0</v>
      </c>
      <c r="F108" s="1099">
        <f t="shared" ref="F108:F109" si="14">C$100*$E108</f>
        <v>0</v>
      </c>
      <c r="G108" s="1099">
        <f t="shared" ref="G108:G109" si="15">D$100*$E108</f>
        <v>0</v>
      </c>
      <c r="H108" s="1099">
        <f t="shared" ref="H108:H109" si="16">E$100*$E108</f>
        <v>0</v>
      </c>
      <c r="I108" s="1099">
        <f t="shared" ref="I108:I109" si="17">F$100*$E108</f>
        <v>0</v>
      </c>
      <c r="N108" s="140"/>
    </row>
    <row r="109" spans="1:17" s="132" customFormat="1" x14ac:dyDescent="0.2">
      <c r="B109" s="817" t="str">
        <f>'Saisie données file act.'!D373</f>
        <v>ABC+3TC+AZT</v>
      </c>
      <c r="C109" s="206">
        <f t="shared" si="12"/>
        <v>0</v>
      </c>
      <c r="D109" s="199"/>
      <c r="E109" s="210">
        <f t="shared" si="13"/>
        <v>0</v>
      </c>
      <c r="F109" s="1099">
        <f t="shared" si="14"/>
        <v>0</v>
      </c>
      <c r="G109" s="1099">
        <f t="shared" si="15"/>
        <v>0</v>
      </c>
      <c r="H109" s="1099">
        <f t="shared" si="16"/>
        <v>0</v>
      </c>
      <c r="I109" s="1099">
        <f t="shared" si="17"/>
        <v>0</v>
      </c>
      <c r="N109" s="140"/>
    </row>
    <row r="110" spans="1:17" s="132" customFormat="1" x14ac:dyDescent="0.2">
      <c r="B110" s="817">
        <f>'Saisie données file act.'!D374</f>
        <v>0</v>
      </c>
      <c r="C110" s="206">
        <f t="shared" si="12"/>
        <v>0</v>
      </c>
      <c r="D110" s="199"/>
      <c r="E110" s="210">
        <f t="shared" si="13"/>
        <v>0</v>
      </c>
      <c r="F110" s="1099">
        <f t="shared" ref="F110" si="18">C$100*$E110</f>
        <v>0</v>
      </c>
      <c r="G110" s="1099">
        <f t="shared" ref="G110" si="19">D$100*$E110</f>
        <v>0</v>
      </c>
      <c r="H110" s="1099">
        <f t="shared" ref="H110" si="20">E$100*$E110</f>
        <v>0</v>
      </c>
      <c r="I110" s="1099">
        <f t="shared" ref="I110" si="21">F$100*$E110</f>
        <v>0</v>
      </c>
      <c r="N110" s="140"/>
    </row>
    <row r="111" spans="1:17" s="132" customFormat="1" x14ac:dyDescent="0.2">
      <c r="B111" s="1096">
        <f>'Saisie données file act.'!D375</f>
        <v>0</v>
      </c>
      <c r="C111" s="1097">
        <f t="shared" si="12"/>
        <v>0</v>
      </c>
      <c r="D111" s="1098"/>
      <c r="E111" s="224">
        <f t="shared" si="13"/>
        <v>0</v>
      </c>
      <c r="F111" s="1099">
        <f t="shared" ref="F111:I112" si="22">C$100*$E111</f>
        <v>0</v>
      </c>
      <c r="G111" s="1099">
        <f t="shared" si="22"/>
        <v>0</v>
      </c>
      <c r="H111" s="1099">
        <f t="shared" si="22"/>
        <v>0</v>
      </c>
      <c r="I111" s="1099">
        <f t="shared" si="22"/>
        <v>0</v>
      </c>
      <c r="N111" s="140"/>
    </row>
    <row r="112" spans="1:17" s="132" customFormat="1" ht="13.5" thickBot="1" x14ac:dyDescent="0.25">
      <c r="B112" s="818">
        <f>'Saisie données file act.'!D376</f>
        <v>0</v>
      </c>
      <c r="C112" s="207">
        <f t="shared" si="12"/>
        <v>0</v>
      </c>
      <c r="D112" s="200"/>
      <c r="E112" s="212">
        <f t="shared" si="13"/>
        <v>0</v>
      </c>
      <c r="F112" s="213">
        <f t="shared" si="22"/>
        <v>0</v>
      </c>
      <c r="G112" s="213">
        <f t="shared" si="22"/>
        <v>0</v>
      </c>
      <c r="H112" s="213">
        <f t="shared" si="22"/>
        <v>0</v>
      </c>
      <c r="I112" s="213">
        <f t="shared" si="22"/>
        <v>0</v>
      </c>
      <c r="N112" s="140"/>
    </row>
    <row r="113" spans="2:14" s="132" customFormat="1" ht="13.5" thickBot="1" x14ac:dyDescent="0.25">
      <c r="B113" s="1061" t="str">
        <f>'TRAD-Calculs pédiatriques'!B8</f>
        <v>Deuxièmes lignes</v>
      </c>
      <c r="C113" s="1061"/>
      <c r="D113" s="1061"/>
      <c r="E113" s="1061"/>
      <c r="F113" s="1101"/>
      <c r="G113" s="1101"/>
      <c r="H113" s="1101"/>
      <c r="I113" s="1101"/>
      <c r="N113" s="140"/>
    </row>
    <row r="114" spans="2:14" s="132" customFormat="1" x14ac:dyDescent="0.2">
      <c r="B114" s="816" t="str">
        <f>'Saisie données file act.'!D378</f>
        <v>AZT+3TC+LPV/r</v>
      </c>
      <c r="C114" s="205">
        <f>C15</f>
        <v>0</v>
      </c>
      <c r="D114" s="198"/>
      <c r="E114" s="208">
        <f>SUM(C114:D114)</f>
        <v>0</v>
      </c>
      <c r="F114" s="209">
        <f>C$100*$E114</f>
        <v>0</v>
      </c>
      <c r="G114" s="209">
        <f>D$100*$E114</f>
        <v>0</v>
      </c>
      <c r="H114" s="209">
        <f>E$100*$E114</f>
        <v>0</v>
      </c>
      <c r="I114" s="209">
        <f>F$100*$E114</f>
        <v>0</v>
      </c>
      <c r="N114" s="140"/>
    </row>
    <row r="115" spans="2:14" s="132" customFormat="1" x14ac:dyDescent="0.2">
      <c r="B115" s="1096">
        <f>'Saisie données file act.'!D379</f>
        <v>0</v>
      </c>
      <c r="C115" s="1097">
        <f>C16</f>
        <v>0</v>
      </c>
      <c r="D115" s="1098"/>
      <c r="E115" s="224">
        <f>SUM(C115:D115)</f>
        <v>0</v>
      </c>
      <c r="F115" s="3053">
        <f t="shared" ref="F115:F117" si="23">C$100*$E115</f>
        <v>0</v>
      </c>
      <c r="G115" s="211">
        <f t="shared" ref="G115:G117" si="24">D$100*$E115</f>
        <v>0</v>
      </c>
      <c r="H115" s="211">
        <f t="shared" ref="H115:H117" si="25">E$100*$E115</f>
        <v>0</v>
      </c>
      <c r="I115" s="211">
        <f t="shared" ref="I115:I117" si="26">F$100*$E115</f>
        <v>0</v>
      </c>
      <c r="N115" s="140"/>
    </row>
    <row r="116" spans="2:14" s="132" customFormat="1" x14ac:dyDescent="0.2">
      <c r="B116" s="817">
        <f>'Saisie données file act.'!D380</f>
        <v>0</v>
      </c>
      <c r="C116" s="206">
        <f>C17</f>
        <v>0</v>
      </c>
      <c r="D116" s="199"/>
      <c r="E116" s="210">
        <f>SUM(C116:D116)</f>
        <v>0</v>
      </c>
      <c r="F116" s="3053">
        <f t="shared" si="23"/>
        <v>0</v>
      </c>
      <c r="G116" s="211">
        <f t="shared" si="24"/>
        <v>0</v>
      </c>
      <c r="H116" s="211">
        <f t="shared" si="25"/>
        <v>0</v>
      </c>
      <c r="I116" s="211">
        <f t="shared" si="26"/>
        <v>0</v>
      </c>
      <c r="N116" s="140"/>
    </row>
    <row r="117" spans="2:14" s="132" customFormat="1" x14ac:dyDescent="0.2">
      <c r="B117" s="817">
        <f>'Saisie données file act.'!D381</f>
        <v>0</v>
      </c>
      <c r="C117" s="206">
        <f>C18</f>
        <v>0</v>
      </c>
      <c r="D117" s="199"/>
      <c r="E117" s="210">
        <f>SUM(C117:D117)</f>
        <v>0</v>
      </c>
      <c r="F117" s="3053">
        <f t="shared" si="23"/>
        <v>0</v>
      </c>
      <c r="G117" s="211">
        <f t="shared" si="24"/>
        <v>0</v>
      </c>
      <c r="H117" s="211">
        <f t="shared" si="25"/>
        <v>0</v>
      </c>
      <c r="I117" s="211">
        <f t="shared" si="26"/>
        <v>0</v>
      </c>
      <c r="N117" s="140"/>
    </row>
    <row r="118" spans="2:14" s="132" customFormat="1" ht="13.5" thickBot="1" x14ac:dyDescent="0.25">
      <c r="B118" s="817">
        <f>'Saisie données file act.'!D382</f>
        <v>0</v>
      </c>
      <c r="C118" s="206">
        <f>C19</f>
        <v>0</v>
      </c>
      <c r="D118" s="199"/>
      <c r="E118" s="210">
        <f>SUM(C118:D118)</f>
        <v>0</v>
      </c>
      <c r="F118" s="211">
        <f>C$100*$E118</f>
        <v>0</v>
      </c>
      <c r="G118" s="211">
        <f>D$100*$E118</f>
        <v>0</v>
      </c>
      <c r="H118" s="211">
        <f>E$100*$E118</f>
        <v>0</v>
      </c>
      <c r="I118" s="211">
        <f>F$100*$E118</f>
        <v>0</v>
      </c>
      <c r="N118" s="140"/>
    </row>
    <row r="119" spans="2:14" s="132" customFormat="1" ht="13.5" thickBot="1" x14ac:dyDescent="0.25">
      <c r="B119" s="1061" t="str">
        <f>'TRAD-Calculs pédiatriques'!B9</f>
        <v>Lignes alternatives</v>
      </c>
      <c r="C119" s="1061"/>
      <c r="D119" s="1061"/>
      <c r="E119" s="1061"/>
      <c r="F119" s="1101"/>
      <c r="G119" s="1101"/>
      <c r="H119" s="1101"/>
      <c r="I119" s="1101"/>
      <c r="N119" s="140"/>
    </row>
    <row r="120" spans="2:14" s="132" customFormat="1" x14ac:dyDescent="0.2">
      <c r="B120" s="817">
        <f>'Saisie données file act.'!D384</f>
        <v>0</v>
      </c>
      <c r="C120" s="206">
        <f t="shared" ref="C120:C128" si="27">C21</f>
        <v>0</v>
      </c>
      <c r="D120" s="199"/>
      <c r="E120" s="210">
        <f t="shared" ref="E120:E128" si="28">SUM(C120:D120)</f>
        <v>0</v>
      </c>
      <c r="F120" s="209">
        <f t="shared" ref="F120:I120" si="29">C$100*$E120</f>
        <v>0</v>
      </c>
      <c r="G120" s="209">
        <f t="shared" si="29"/>
        <v>0</v>
      </c>
      <c r="H120" s="209">
        <f t="shared" si="29"/>
        <v>0</v>
      </c>
      <c r="I120" s="209">
        <f t="shared" si="29"/>
        <v>0</v>
      </c>
      <c r="N120" s="140"/>
    </row>
    <row r="121" spans="2:14" s="132" customFormat="1" x14ac:dyDescent="0.2">
      <c r="B121" s="817">
        <f>'Saisie données file act.'!D385</f>
        <v>0</v>
      </c>
      <c r="C121" s="206">
        <f t="shared" si="27"/>
        <v>0</v>
      </c>
      <c r="D121" s="199"/>
      <c r="E121" s="210">
        <f t="shared" si="28"/>
        <v>0</v>
      </c>
      <c r="F121" s="211">
        <f t="shared" ref="F121:F126" si="30">C$100*$E121</f>
        <v>0</v>
      </c>
      <c r="G121" s="211">
        <f t="shared" ref="G121:G126" si="31">D$100*$E121</f>
        <v>0</v>
      </c>
      <c r="H121" s="211">
        <f t="shared" ref="H121:H126" si="32">E$100*$E121</f>
        <v>0</v>
      </c>
      <c r="I121" s="211">
        <f t="shared" ref="I121:I126" si="33">F$100*$E121</f>
        <v>0</v>
      </c>
      <c r="N121" s="140"/>
    </row>
    <row r="122" spans="2:14" s="132" customFormat="1" x14ac:dyDescent="0.2">
      <c r="B122" s="817">
        <f>'Saisie données file act.'!D386</f>
        <v>0</v>
      </c>
      <c r="C122" s="206">
        <f t="shared" si="27"/>
        <v>0</v>
      </c>
      <c r="D122" s="199"/>
      <c r="E122" s="210">
        <f t="shared" si="28"/>
        <v>0</v>
      </c>
      <c r="F122" s="211">
        <f t="shared" si="30"/>
        <v>0</v>
      </c>
      <c r="G122" s="211">
        <f t="shared" si="31"/>
        <v>0</v>
      </c>
      <c r="H122" s="211">
        <f t="shared" si="32"/>
        <v>0</v>
      </c>
      <c r="I122" s="211">
        <f t="shared" si="33"/>
        <v>0</v>
      </c>
      <c r="N122" s="140"/>
    </row>
    <row r="123" spans="2:14" s="132" customFormat="1" x14ac:dyDescent="0.2">
      <c r="B123" s="817">
        <f>'Saisie données file act.'!D387</f>
        <v>0</v>
      </c>
      <c r="C123" s="206">
        <f t="shared" si="27"/>
        <v>0</v>
      </c>
      <c r="D123" s="199"/>
      <c r="E123" s="210">
        <f t="shared" si="28"/>
        <v>0</v>
      </c>
      <c r="F123" s="3053">
        <f t="shared" si="30"/>
        <v>0</v>
      </c>
      <c r="G123" s="211">
        <f t="shared" si="31"/>
        <v>0</v>
      </c>
      <c r="H123" s="211">
        <f t="shared" si="32"/>
        <v>0</v>
      </c>
      <c r="I123" s="211">
        <f t="shared" si="33"/>
        <v>0</v>
      </c>
      <c r="N123" s="140"/>
    </row>
    <row r="124" spans="2:14" s="132" customFormat="1" x14ac:dyDescent="0.2">
      <c r="B124" s="817">
        <f>'Saisie données file act.'!D388</f>
        <v>0</v>
      </c>
      <c r="C124" s="206">
        <f t="shared" si="27"/>
        <v>0</v>
      </c>
      <c r="D124" s="199"/>
      <c r="E124" s="210">
        <f t="shared" si="28"/>
        <v>0</v>
      </c>
      <c r="F124" s="3053">
        <f t="shared" si="30"/>
        <v>0</v>
      </c>
      <c r="G124" s="211">
        <f t="shared" si="31"/>
        <v>0</v>
      </c>
      <c r="H124" s="211">
        <f t="shared" si="32"/>
        <v>0</v>
      </c>
      <c r="I124" s="211">
        <f t="shared" si="33"/>
        <v>0</v>
      </c>
      <c r="N124" s="140"/>
    </row>
    <row r="125" spans="2:14" s="132" customFormat="1" x14ac:dyDescent="0.2">
      <c r="B125" s="817">
        <f>'Saisie données file act.'!D389</f>
        <v>0</v>
      </c>
      <c r="C125" s="206">
        <f t="shared" si="27"/>
        <v>0</v>
      </c>
      <c r="D125" s="199"/>
      <c r="E125" s="210">
        <f t="shared" si="28"/>
        <v>0</v>
      </c>
      <c r="F125" s="3053">
        <f t="shared" si="30"/>
        <v>0</v>
      </c>
      <c r="G125" s="211">
        <f t="shared" si="31"/>
        <v>0</v>
      </c>
      <c r="H125" s="211">
        <f t="shared" si="32"/>
        <v>0</v>
      </c>
      <c r="I125" s="211">
        <f t="shared" si="33"/>
        <v>0</v>
      </c>
      <c r="N125" s="140"/>
    </row>
    <row r="126" spans="2:14" s="132" customFormat="1" x14ac:dyDescent="0.2">
      <c r="B126" s="817">
        <f>'Saisie données file act.'!D390</f>
        <v>0</v>
      </c>
      <c r="C126" s="206">
        <f t="shared" si="27"/>
        <v>0</v>
      </c>
      <c r="D126" s="199"/>
      <c r="E126" s="210">
        <f t="shared" si="28"/>
        <v>0</v>
      </c>
      <c r="F126" s="3053">
        <f t="shared" si="30"/>
        <v>0</v>
      </c>
      <c r="G126" s="211">
        <f t="shared" si="31"/>
        <v>0</v>
      </c>
      <c r="H126" s="211">
        <f t="shared" si="32"/>
        <v>0</v>
      </c>
      <c r="I126" s="211">
        <f t="shared" si="33"/>
        <v>0</v>
      </c>
      <c r="N126" s="140"/>
    </row>
    <row r="127" spans="2:14" s="132" customFormat="1" x14ac:dyDescent="0.2">
      <c r="B127" s="817">
        <f>'Saisie données file act.'!D391</f>
        <v>0</v>
      </c>
      <c r="C127" s="206">
        <f t="shared" si="27"/>
        <v>0</v>
      </c>
      <c r="D127" s="199"/>
      <c r="E127" s="210">
        <f t="shared" si="28"/>
        <v>0</v>
      </c>
      <c r="F127" s="211">
        <f t="shared" ref="F127:I128" si="34">C$100*$E127</f>
        <v>0</v>
      </c>
      <c r="G127" s="211">
        <f t="shared" si="34"/>
        <v>0</v>
      </c>
      <c r="H127" s="211">
        <f t="shared" si="34"/>
        <v>0</v>
      </c>
      <c r="I127" s="211">
        <f t="shared" si="34"/>
        <v>0</v>
      </c>
      <c r="N127" s="140"/>
    </row>
    <row r="128" spans="2:14" s="132" customFormat="1" x14ac:dyDescent="0.2">
      <c r="B128" s="818">
        <f>'Saisie données file act.'!D392</f>
        <v>0</v>
      </c>
      <c r="C128" s="207">
        <f t="shared" si="27"/>
        <v>0</v>
      </c>
      <c r="D128" s="200"/>
      <c r="E128" s="212">
        <f t="shared" si="28"/>
        <v>0</v>
      </c>
      <c r="F128" s="213">
        <f t="shared" si="34"/>
        <v>0</v>
      </c>
      <c r="G128" s="213">
        <f t="shared" si="34"/>
        <v>0</v>
      </c>
      <c r="H128" s="213">
        <f t="shared" si="34"/>
        <v>0</v>
      </c>
      <c r="I128" s="213">
        <f t="shared" si="34"/>
        <v>0</v>
      </c>
      <c r="N128" s="140"/>
    </row>
    <row r="129" spans="2:17" s="132" customFormat="1" x14ac:dyDescent="0.2">
      <c r="O129" s="140"/>
    </row>
    <row r="130" spans="2:17" customFormat="1" x14ac:dyDescent="0.2"/>
    <row r="131" spans="2:17" s="131" customFormat="1" ht="14.25" x14ac:dyDescent="0.2">
      <c r="B131" s="3261" t="str">
        <f>'TRAD-Calculs pédiatriques'!B36</f>
        <v>Nouvelles inclusions &amp; passages en 2ème ligne</v>
      </c>
      <c r="C131" s="3261"/>
      <c r="D131" s="3261"/>
      <c r="E131" s="3261"/>
      <c r="F131" s="3261"/>
      <c r="G131" s="3264"/>
      <c r="H131" s="3264"/>
      <c r="I131" s="3264"/>
      <c r="J131" s="3264"/>
      <c r="K131" s="3264"/>
      <c r="L131" s="3264"/>
      <c r="M131" s="3264"/>
      <c r="Q131" s="141"/>
    </row>
    <row r="132" spans="2:17" customFormat="1" x14ac:dyDescent="0.2"/>
    <row r="133" spans="2:17" customFormat="1" ht="13.5" thickBot="1" x14ac:dyDescent="0.25">
      <c r="B133" s="132"/>
      <c r="C133" s="3262" t="str">
        <f>'TRAD-Calculs pédiatriques'!B37</f>
        <v>Nb de patients -mois</v>
      </c>
      <c r="D133" s="3262"/>
      <c r="E133" s="3263"/>
      <c r="F133" s="3262" t="str">
        <f>'TRAD-Calculs pédiatriques'!B38</f>
        <v>Répartition des patients mois / tranches de poids</v>
      </c>
      <c r="G133" s="3262"/>
      <c r="H133" s="3262"/>
      <c r="I133" s="3262"/>
    </row>
    <row r="134" spans="2:17" customFormat="1" ht="51.75" thickBot="1" x14ac:dyDescent="0.25">
      <c r="B134" s="1024" t="str">
        <f>'TRAD-Calculs pédiatriques'!B5</f>
        <v>Schéma thérapeutique</v>
      </c>
      <c r="C134" s="1024" t="str">
        <f>'TRAD-Calculs pédiatriques'!B33</f>
        <v>Nb de patients-mois pour les Enfants présents au début de l'année</v>
      </c>
      <c r="D134" s="197" t="str">
        <f>'TRAD-Calculs pédiatriques'!B34</f>
        <v>Inclusions et passages en 2ème lignes</v>
      </c>
      <c r="E134" s="150" t="str">
        <f>'TRAD-Calculs pédiatriques'!B35</f>
        <v>Total nb de patients -mois sur la période</v>
      </c>
      <c r="F134" s="139" t="s">
        <v>53</v>
      </c>
      <c r="G134" s="139" t="s">
        <v>55</v>
      </c>
      <c r="H134" s="139" t="s">
        <v>57</v>
      </c>
      <c r="I134" s="139" t="s">
        <v>59</v>
      </c>
    </row>
    <row r="135" spans="2:17" customFormat="1" ht="13.5" thickBot="1" x14ac:dyDescent="0.25">
      <c r="B135" s="1061" t="str">
        <f>'TRAD-Calculs pédiatriques'!B7</f>
        <v>Premières lignes</v>
      </c>
      <c r="C135" s="1061"/>
      <c r="D135" s="1061"/>
      <c r="E135" s="1061"/>
      <c r="F135" s="1101"/>
      <c r="G135" s="1101"/>
      <c r="H135" s="1101"/>
      <c r="I135" s="1101"/>
    </row>
    <row r="136" spans="2:17" customFormat="1" x14ac:dyDescent="0.2">
      <c r="B136" s="816" t="str">
        <f>'Saisie données file act.'!D371</f>
        <v>ABC+3TC+LPV/r</v>
      </c>
      <c r="C136" s="205"/>
      <c r="D136" s="1102">
        <f>D56</f>
        <v>0</v>
      </c>
      <c r="E136" s="208">
        <f t="shared" ref="E136:E141" si="35">SUM(C136:D136)</f>
        <v>0</v>
      </c>
      <c r="F136" s="1177">
        <f>C$100*$E136</f>
        <v>0</v>
      </c>
      <c r="G136" s="1177">
        <f>D$100*$E136</f>
        <v>0</v>
      </c>
      <c r="H136" s="1177">
        <f>E$100*$E136</f>
        <v>0</v>
      </c>
      <c r="I136" s="1177">
        <f>F$100*$E136</f>
        <v>0</v>
      </c>
    </row>
    <row r="137" spans="2:17" customFormat="1" x14ac:dyDescent="0.2">
      <c r="B137" s="1096" t="str">
        <f>'Saisie données file act.'!D372</f>
        <v>ABC+3TC+EFV</v>
      </c>
      <c r="C137" s="1097"/>
      <c r="D137" s="1103">
        <f t="shared" ref="D137:D141" si="36">D57</f>
        <v>0</v>
      </c>
      <c r="E137" s="224">
        <f t="shared" si="35"/>
        <v>0</v>
      </c>
      <c r="F137" s="3053">
        <f t="shared" ref="F137:F141" si="37">C$100*$E137</f>
        <v>0</v>
      </c>
      <c r="G137" s="3053">
        <f t="shared" ref="G137:G141" si="38">D$100*$E137</f>
        <v>0</v>
      </c>
      <c r="H137" s="3053">
        <f t="shared" ref="H137:H141" si="39">E$100*$E137</f>
        <v>0</v>
      </c>
      <c r="I137" s="3053">
        <f t="shared" ref="I137:I141" si="40">F$100*$E137</f>
        <v>0</v>
      </c>
    </row>
    <row r="138" spans="2:17" customFormat="1" x14ac:dyDescent="0.2">
      <c r="B138" s="817" t="str">
        <f>'Saisie données file act.'!D373</f>
        <v>ABC+3TC+AZT</v>
      </c>
      <c r="C138" s="206"/>
      <c r="D138" s="1104">
        <f t="shared" si="36"/>
        <v>0</v>
      </c>
      <c r="E138" s="210">
        <f t="shared" si="35"/>
        <v>0</v>
      </c>
      <c r="F138" s="3053">
        <f t="shared" si="37"/>
        <v>0</v>
      </c>
      <c r="G138" s="3053">
        <f t="shared" si="38"/>
        <v>0</v>
      </c>
      <c r="H138" s="3053">
        <f t="shared" si="39"/>
        <v>0</v>
      </c>
      <c r="I138" s="3053">
        <f t="shared" si="40"/>
        <v>0</v>
      </c>
    </row>
    <row r="139" spans="2:17" customFormat="1" x14ac:dyDescent="0.2">
      <c r="B139" s="817">
        <f>'Saisie données file act.'!D374</f>
        <v>0</v>
      </c>
      <c r="C139" s="206"/>
      <c r="D139" s="1104">
        <f t="shared" si="36"/>
        <v>0</v>
      </c>
      <c r="E139" s="210">
        <f t="shared" si="35"/>
        <v>0</v>
      </c>
      <c r="F139" s="3053">
        <f t="shared" si="37"/>
        <v>0</v>
      </c>
      <c r="G139" s="3053">
        <f t="shared" si="38"/>
        <v>0</v>
      </c>
      <c r="H139" s="3053">
        <f t="shared" si="39"/>
        <v>0</v>
      </c>
      <c r="I139" s="3053">
        <f t="shared" si="40"/>
        <v>0</v>
      </c>
    </row>
    <row r="140" spans="2:17" customFormat="1" x14ac:dyDescent="0.2">
      <c r="B140" s="1096">
        <f>'Saisie données file act.'!D375</f>
        <v>0</v>
      </c>
      <c r="C140" s="1097"/>
      <c r="D140" s="1103">
        <f t="shared" si="36"/>
        <v>0</v>
      </c>
      <c r="E140" s="224">
        <f t="shared" si="35"/>
        <v>0</v>
      </c>
      <c r="F140" s="1179">
        <f t="shared" si="37"/>
        <v>0</v>
      </c>
      <c r="G140" s="1179">
        <f t="shared" si="38"/>
        <v>0</v>
      </c>
      <c r="H140" s="1179">
        <f t="shared" si="39"/>
        <v>0</v>
      </c>
      <c r="I140" s="1179">
        <f t="shared" si="40"/>
        <v>0</v>
      </c>
    </row>
    <row r="141" spans="2:17" customFormat="1" ht="13.5" thickBot="1" x14ac:dyDescent="0.25">
      <c r="B141" s="818">
        <f>'Saisie données file act.'!D376</f>
        <v>0</v>
      </c>
      <c r="C141" s="207"/>
      <c r="D141" s="1105">
        <f t="shared" si="36"/>
        <v>0</v>
      </c>
      <c r="E141" s="212">
        <f t="shared" si="35"/>
        <v>0</v>
      </c>
      <c r="F141" s="1179">
        <f t="shared" si="37"/>
        <v>0</v>
      </c>
      <c r="G141" s="1179">
        <f t="shared" si="38"/>
        <v>0</v>
      </c>
      <c r="H141" s="1179">
        <f t="shared" si="39"/>
        <v>0</v>
      </c>
      <c r="I141" s="1179">
        <f t="shared" si="40"/>
        <v>0</v>
      </c>
    </row>
    <row r="142" spans="2:17" customFormat="1" ht="13.5" thickBot="1" x14ac:dyDescent="0.25">
      <c r="B142" s="1061" t="str">
        <f>'Saisie données file act.'!D377</f>
        <v>Deuxièmes lignes</v>
      </c>
      <c r="C142" s="1061"/>
      <c r="D142" s="1106"/>
      <c r="E142" s="1061"/>
      <c r="F142" s="1101"/>
      <c r="G142" s="1101"/>
      <c r="H142" s="1101"/>
      <c r="I142" s="1101"/>
    </row>
    <row r="143" spans="2:17" customFormat="1" x14ac:dyDescent="0.2">
      <c r="B143" s="816" t="str">
        <f>'Saisie données file act.'!D378</f>
        <v>AZT+3TC+LPV/r</v>
      </c>
      <c r="C143" s="205"/>
      <c r="D143" s="1102">
        <f>F79</f>
        <v>0</v>
      </c>
      <c r="E143" s="208">
        <f>SUM(C143:D143)</f>
        <v>0</v>
      </c>
      <c r="F143" s="1177">
        <f t="shared" ref="F143:I143" si="41">C$100*$E143</f>
        <v>0</v>
      </c>
      <c r="G143" s="1177">
        <f t="shared" si="41"/>
        <v>0</v>
      </c>
      <c r="H143" s="1177">
        <f t="shared" si="41"/>
        <v>0</v>
      </c>
      <c r="I143" s="1177">
        <f t="shared" si="41"/>
        <v>0</v>
      </c>
    </row>
    <row r="144" spans="2:17" customFormat="1" x14ac:dyDescent="0.2">
      <c r="B144" s="1096">
        <f>'Saisie données file act.'!D379</f>
        <v>0</v>
      </c>
      <c r="C144" s="1097"/>
      <c r="D144" s="1103">
        <f>F80</f>
        <v>0</v>
      </c>
      <c r="E144" s="224">
        <f>SUM(C144:D144)</f>
        <v>0</v>
      </c>
      <c r="F144" s="3053">
        <f t="shared" ref="F144:F147" si="42">C$100*$E144</f>
        <v>0</v>
      </c>
      <c r="G144" s="3053">
        <f t="shared" ref="G144:G147" si="43">D$100*$E144</f>
        <v>0</v>
      </c>
      <c r="H144" s="3053">
        <f t="shared" ref="H144:H147" si="44">E$100*$E144</f>
        <v>0</v>
      </c>
      <c r="I144" s="3053">
        <f t="shared" ref="I144:I147" si="45">F$100*$E144</f>
        <v>0</v>
      </c>
    </row>
    <row r="145" spans="1:14" customFormat="1" x14ac:dyDescent="0.2">
      <c r="B145" s="817">
        <f>'Saisie données file act.'!D380</f>
        <v>0</v>
      </c>
      <c r="C145" s="206"/>
      <c r="D145" s="1104">
        <f>F81</f>
        <v>0</v>
      </c>
      <c r="E145" s="210">
        <f>SUM(C145:D145)</f>
        <v>0</v>
      </c>
      <c r="F145" s="3053">
        <f t="shared" si="42"/>
        <v>0</v>
      </c>
      <c r="G145" s="3053">
        <f t="shared" si="43"/>
        <v>0</v>
      </c>
      <c r="H145" s="3053">
        <f t="shared" si="44"/>
        <v>0</v>
      </c>
      <c r="I145" s="3053">
        <f t="shared" si="45"/>
        <v>0</v>
      </c>
    </row>
    <row r="146" spans="1:14" customFormat="1" x14ac:dyDescent="0.2">
      <c r="B146" s="817">
        <f>'Saisie données file act.'!D381</f>
        <v>0</v>
      </c>
      <c r="C146" s="206"/>
      <c r="D146" s="1104">
        <f>F82</f>
        <v>0</v>
      </c>
      <c r="E146" s="210">
        <f>SUM(C146:D146)</f>
        <v>0</v>
      </c>
      <c r="F146" s="3053">
        <f t="shared" si="42"/>
        <v>0</v>
      </c>
      <c r="G146" s="3053">
        <f t="shared" si="43"/>
        <v>0</v>
      </c>
      <c r="H146" s="3053">
        <f t="shared" si="44"/>
        <v>0</v>
      </c>
      <c r="I146" s="3053">
        <f t="shared" si="45"/>
        <v>0</v>
      </c>
    </row>
    <row r="147" spans="1:14" customFormat="1" ht="13.5" thickBot="1" x14ac:dyDescent="0.25">
      <c r="B147" s="817">
        <f>'Saisie données file act.'!D382</f>
        <v>0</v>
      </c>
      <c r="C147" s="206"/>
      <c r="D147" s="1104">
        <f>F83</f>
        <v>0</v>
      </c>
      <c r="E147" s="210">
        <f>SUM(C147:D147)</f>
        <v>0</v>
      </c>
      <c r="F147" s="211">
        <f t="shared" si="42"/>
        <v>0</v>
      </c>
      <c r="G147" s="211">
        <f t="shared" si="43"/>
        <v>0</v>
      </c>
      <c r="H147" s="211">
        <f t="shared" si="44"/>
        <v>0</v>
      </c>
      <c r="I147" s="211">
        <f t="shared" si="45"/>
        <v>0</v>
      </c>
    </row>
    <row r="148" spans="1:14" customFormat="1" ht="13.5" thickBot="1" x14ac:dyDescent="0.25">
      <c r="B148" s="1061" t="str">
        <f>'Saisie données file act.'!D383</f>
        <v>Lignes alternatives</v>
      </c>
      <c r="C148" s="1061"/>
      <c r="D148" s="1106"/>
      <c r="E148" s="1061"/>
      <c r="F148" s="1101"/>
      <c r="G148" s="1101"/>
      <c r="H148" s="1101"/>
      <c r="I148" s="1101"/>
    </row>
    <row r="149" spans="1:14" customFormat="1" x14ac:dyDescent="0.2">
      <c r="B149" s="817">
        <f>'Saisie données file act.'!D384</f>
        <v>0</v>
      </c>
      <c r="C149" s="206"/>
      <c r="D149" s="1107">
        <f>D63+F85</f>
        <v>0</v>
      </c>
      <c r="E149" s="210">
        <f t="shared" ref="E149:E157" si="46">SUM(C149:D149)</f>
        <v>0</v>
      </c>
      <c r="F149" s="211">
        <f t="shared" ref="F149:I151" si="47">C$100*$E149</f>
        <v>0</v>
      </c>
      <c r="G149" s="211">
        <f t="shared" si="47"/>
        <v>0</v>
      </c>
      <c r="H149" s="211">
        <f t="shared" si="47"/>
        <v>0</v>
      </c>
      <c r="I149" s="211">
        <f t="shared" si="47"/>
        <v>0</v>
      </c>
    </row>
    <row r="150" spans="1:14" customFormat="1" x14ac:dyDescent="0.2">
      <c r="B150" s="817">
        <f>'Saisie données file act.'!D385</f>
        <v>0</v>
      </c>
      <c r="C150" s="206"/>
      <c r="D150" s="1107">
        <f>D64+F86</f>
        <v>0</v>
      </c>
      <c r="E150" s="210">
        <f t="shared" si="46"/>
        <v>0</v>
      </c>
      <c r="F150" s="211">
        <f t="shared" si="47"/>
        <v>0</v>
      </c>
      <c r="G150" s="211">
        <f t="shared" si="47"/>
        <v>0</v>
      </c>
      <c r="H150" s="211">
        <f t="shared" si="47"/>
        <v>0</v>
      </c>
      <c r="I150" s="211">
        <f t="shared" si="47"/>
        <v>0</v>
      </c>
    </row>
    <row r="151" spans="1:14" customFormat="1" x14ac:dyDescent="0.2">
      <c r="B151" s="817">
        <f>'Saisie données file act.'!D386</f>
        <v>0</v>
      </c>
      <c r="C151" s="206"/>
      <c r="D151" s="1104">
        <f t="shared" ref="D151:D157" si="48">F87</f>
        <v>0</v>
      </c>
      <c r="E151" s="210">
        <f t="shared" si="46"/>
        <v>0</v>
      </c>
      <c r="F151" s="211">
        <f t="shared" si="47"/>
        <v>0</v>
      </c>
      <c r="G151" s="211">
        <f t="shared" si="47"/>
        <v>0</v>
      </c>
      <c r="H151" s="211">
        <f t="shared" si="47"/>
        <v>0</v>
      </c>
      <c r="I151" s="211">
        <f t="shared" si="47"/>
        <v>0</v>
      </c>
    </row>
    <row r="152" spans="1:14" customFormat="1" x14ac:dyDescent="0.2">
      <c r="B152" s="817">
        <f>'Saisie données file act.'!D387</f>
        <v>0</v>
      </c>
      <c r="C152" s="206"/>
      <c r="D152" s="1104">
        <f t="shared" si="48"/>
        <v>0</v>
      </c>
      <c r="E152" s="210">
        <f t="shared" si="46"/>
        <v>0</v>
      </c>
      <c r="F152" s="211">
        <f t="shared" ref="F152:F155" si="49">C$100*$E152</f>
        <v>0</v>
      </c>
      <c r="G152" s="211">
        <f t="shared" ref="G152:G155" si="50">D$100*$E152</f>
        <v>0</v>
      </c>
      <c r="H152" s="211">
        <f t="shared" ref="H152:H155" si="51">E$100*$E152</f>
        <v>0</v>
      </c>
      <c r="I152" s="211">
        <f t="shared" ref="I152:I155" si="52">F$100*$E152</f>
        <v>0</v>
      </c>
    </row>
    <row r="153" spans="1:14" customFormat="1" x14ac:dyDescent="0.2">
      <c r="B153" s="817">
        <f>'Saisie données file act.'!D388</f>
        <v>0</v>
      </c>
      <c r="C153" s="206"/>
      <c r="D153" s="1104">
        <f t="shared" si="48"/>
        <v>0</v>
      </c>
      <c r="E153" s="210">
        <f t="shared" si="46"/>
        <v>0</v>
      </c>
      <c r="F153" s="211">
        <f t="shared" si="49"/>
        <v>0</v>
      </c>
      <c r="G153" s="211">
        <f t="shared" si="50"/>
        <v>0</v>
      </c>
      <c r="H153" s="211">
        <f t="shared" si="51"/>
        <v>0</v>
      </c>
      <c r="I153" s="211">
        <f t="shared" si="52"/>
        <v>0</v>
      </c>
    </row>
    <row r="154" spans="1:14" customFormat="1" x14ac:dyDescent="0.2">
      <c r="B154" s="817">
        <f>'Saisie données file act.'!D389</f>
        <v>0</v>
      </c>
      <c r="C154" s="206"/>
      <c r="D154" s="1104">
        <f t="shared" si="48"/>
        <v>0</v>
      </c>
      <c r="E154" s="210">
        <f t="shared" si="46"/>
        <v>0</v>
      </c>
      <c r="F154" s="211">
        <f t="shared" si="49"/>
        <v>0</v>
      </c>
      <c r="G154" s="211">
        <f t="shared" si="50"/>
        <v>0</v>
      </c>
      <c r="H154" s="211">
        <f t="shared" si="51"/>
        <v>0</v>
      </c>
      <c r="I154" s="211">
        <f t="shared" si="52"/>
        <v>0</v>
      </c>
    </row>
    <row r="155" spans="1:14" customFormat="1" x14ac:dyDescent="0.2">
      <c r="B155" s="817">
        <f>'Saisie données file act.'!D390</f>
        <v>0</v>
      </c>
      <c r="C155" s="206"/>
      <c r="D155" s="1104">
        <f t="shared" si="48"/>
        <v>0</v>
      </c>
      <c r="E155" s="210">
        <f t="shared" si="46"/>
        <v>0</v>
      </c>
      <c r="F155" s="211">
        <f t="shared" si="49"/>
        <v>0</v>
      </c>
      <c r="G155" s="211">
        <f t="shared" si="50"/>
        <v>0</v>
      </c>
      <c r="H155" s="211">
        <f t="shared" si="51"/>
        <v>0</v>
      </c>
      <c r="I155" s="211">
        <f t="shared" si="52"/>
        <v>0</v>
      </c>
    </row>
    <row r="156" spans="1:14" customFormat="1" x14ac:dyDescent="0.2">
      <c r="B156" s="817">
        <f>'Saisie données file act.'!D391</f>
        <v>0</v>
      </c>
      <c r="C156" s="206"/>
      <c r="D156" s="1104">
        <f t="shared" si="48"/>
        <v>0</v>
      </c>
      <c r="E156" s="210">
        <f t="shared" si="46"/>
        <v>0</v>
      </c>
      <c r="F156" s="211">
        <f t="shared" ref="F156:I157" si="53">C$100*$E156</f>
        <v>0</v>
      </c>
      <c r="G156" s="211">
        <f t="shared" si="53"/>
        <v>0</v>
      </c>
      <c r="H156" s="211">
        <f t="shared" si="53"/>
        <v>0</v>
      </c>
      <c r="I156" s="211">
        <f t="shared" si="53"/>
        <v>0</v>
      </c>
    </row>
    <row r="157" spans="1:14" customFormat="1" x14ac:dyDescent="0.2">
      <c r="B157" s="818">
        <f>'Saisie données file act.'!D392</f>
        <v>0</v>
      </c>
      <c r="C157" s="207"/>
      <c r="D157" s="1105">
        <f t="shared" si="48"/>
        <v>0</v>
      </c>
      <c r="E157" s="212">
        <f t="shared" si="46"/>
        <v>0</v>
      </c>
      <c r="F157" s="213">
        <f t="shared" si="53"/>
        <v>0</v>
      </c>
      <c r="G157" s="213">
        <f t="shared" si="53"/>
        <v>0</v>
      </c>
      <c r="H157" s="213">
        <f t="shared" si="53"/>
        <v>0</v>
      </c>
      <c r="I157" s="213">
        <f t="shared" si="53"/>
        <v>0</v>
      </c>
    </row>
    <row r="158" spans="1:14" customFormat="1" x14ac:dyDescent="0.2">
      <c r="B158" s="1100"/>
    </row>
    <row r="159" spans="1:14" s="132" customFormat="1" x14ac:dyDescent="0.2">
      <c r="A159" s="134"/>
    </row>
    <row r="160" spans="1:14" ht="15.75" thickBot="1" x14ac:dyDescent="0.25">
      <c r="A160" s="3260" t="str">
        <f>'TRAD-Calculs pédiatriques'!B39</f>
        <v>Calculs des quantités</v>
      </c>
      <c r="B160" s="3260"/>
      <c r="C160" s="3260"/>
      <c r="D160" s="3260"/>
      <c r="E160" s="3260"/>
      <c r="F160" s="3260"/>
      <c r="G160" s="3260"/>
      <c r="H160" s="3260"/>
      <c r="I160" s="3260"/>
      <c r="J160" s="3260"/>
      <c r="K160" s="3260"/>
      <c r="L160" s="3260"/>
      <c r="M160" s="3260"/>
      <c r="N160" s="3260"/>
    </row>
    <row r="162" spans="1:17" customFormat="1" ht="13.5" thickBot="1" x14ac:dyDescent="0.25"/>
    <row r="163" spans="1:17" s="131" customFormat="1" ht="15" thickBot="1" x14ac:dyDescent="0.25">
      <c r="B163" s="3265" t="str">
        <f>'TRAD-Calculs pédiatriques'!B40</f>
        <v>Initiation NVP</v>
      </c>
      <c r="C163" s="3266"/>
      <c r="D163" s="3266"/>
      <c r="E163" s="3266"/>
      <c r="F163" s="3267"/>
      <c r="G163" s="3268"/>
      <c r="H163" s="3268"/>
      <c r="I163" s="3268"/>
      <c r="J163" s="3268"/>
      <c r="K163" s="3268"/>
      <c r="L163" s="3268"/>
      <c r="M163" s="3268"/>
      <c r="Q163" s="141"/>
    </row>
    <row r="164" spans="1:17" s="132" customFormat="1" x14ac:dyDescent="0.2">
      <c r="A164" s="134"/>
      <c r="F164" s="160"/>
      <c r="G164" s="160"/>
    </row>
    <row r="165" spans="1:17" s="132" customFormat="1" x14ac:dyDescent="0.2">
      <c r="A165" s="134"/>
      <c r="C165" s="3060"/>
      <c r="D165" s="3061" t="s">
        <v>1944</v>
      </c>
      <c r="F165" s="160"/>
      <c r="G165" s="160"/>
    </row>
    <row r="166" spans="1:17" s="132" customFormat="1" x14ac:dyDescent="0.2">
      <c r="A166" s="134"/>
      <c r="C166" s="3060" t="s">
        <v>1</v>
      </c>
      <c r="D166" s="3060">
        <f>SUMIF(B39:B50, C166, E39:E50)</f>
        <v>0</v>
      </c>
      <c r="F166" s="160"/>
      <c r="G166" s="160"/>
    </row>
    <row r="167" spans="1:17" s="132" customFormat="1" x14ac:dyDescent="0.2">
      <c r="A167" s="134"/>
      <c r="C167" s="3060" t="s">
        <v>2</v>
      </c>
      <c r="D167" s="3060">
        <f>SUMIF(B39:B50, C167, E39:E50)</f>
        <v>0</v>
      </c>
      <c r="F167" s="160"/>
      <c r="G167" s="160"/>
    </row>
    <row r="168" spans="1:17" s="132" customFormat="1" x14ac:dyDescent="0.2">
      <c r="A168" s="134"/>
      <c r="F168" s="160"/>
      <c r="G168" s="160"/>
    </row>
    <row r="169" spans="1:17" s="132" customFormat="1" ht="13.5" thickBot="1" x14ac:dyDescent="0.25">
      <c r="A169" s="134"/>
      <c r="F169" s="160"/>
      <c r="G169" s="160"/>
    </row>
    <row r="170" spans="1:17" s="1889" customFormat="1" ht="64.5" thickBot="1" x14ac:dyDescent="0.25">
      <c r="A170" s="2381"/>
      <c r="E170" s="2089"/>
      <c r="F170" s="2090" t="str">
        <f>'TRAD-Calculs pédiatriques'!B41</f>
        <v>Qté / enfant</v>
      </c>
      <c r="G170" s="2382" t="str">
        <f>'TRAD-Calculs pédiatriques'!B42</f>
        <v>Nb total de flacon pour les nouveaux enfants de l'année</v>
      </c>
    </row>
    <row r="171" spans="1:17" s="421" customFormat="1" x14ac:dyDescent="0.2">
      <c r="A171" s="420"/>
      <c r="C171" s="421" t="str">
        <f>'TRAD-Calculs pédiatriques'!B43</f>
        <v>15 premiers jours</v>
      </c>
      <c r="E171" s="2091" t="s">
        <v>82</v>
      </c>
      <c r="F171" s="2383" t="s">
        <v>780</v>
      </c>
      <c r="G171" s="2384">
        <f>IF(OR('Saisie données file act.'!$H$498="X", 'Saisie données file act.'!$H$499="X"), D167, 0)</f>
        <v>0</v>
      </c>
    </row>
    <row r="172" spans="1:17" s="421" customFormat="1" x14ac:dyDescent="0.2">
      <c r="A172" s="420"/>
      <c r="E172" s="2096" t="s">
        <v>32</v>
      </c>
      <c r="F172" s="2385" t="s">
        <v>780</v>
      </c>
      <c r="G172" s="2386">
        <f>IF('Saisie données file act.'!$H$497="X", D166, 0)</f>
        <v>0</v>
      </c>
    </row>
    <row r="173" spans="1:17" s="421" customFormat="1" x14ac:dyDescent="0.2">
      <c r="A173" s="420"/>
      <c r="B173" s="420"/>
      <c r="E173" s="2096" t="s">
        <v>34</v>
      </c>
      <c r="F173" s="2385" t="s">
        <v>780</v>
      </c>
      <c r="G173" s="2386">
        <f>IF('Saisie données file act.'!$H$497="X", D166, 0)+IF(OR('Saisie données file act.'!$H$498="X", 'Saisie données file act.'!$H$499="X"), D167, 0)</f>
        <v>0</v>
      </c>
    </row>
    <row r="174" spans="1:17" s="421" customFormat="1" ht="13.5" thickBot="1" x14ac:dyDescent="0.25">
      <c r="A174" s="420"/>
      <c r="B174" s="420"/>
      <c r="E174" s="2109" t="s">
        <v>29</v>
      </c>
      <c r="F174" s="2387" t="s">
        <v>780</v>
      </c>
      <c r="G174" s="2388">
        <f>IF(OR('Saisie données file act.'!$H$496="X", 'Saisie données file act.'!$H$497="X"), D166, 0)+IF('Saisie données file act.'!$H$499="X", D167, 0)</f>
        <v>0</v>
      </c>
    </row>
    <row r="175" spans="1:17" s="421" customFormat="1" x14ac:dyDescent="0.2">
      <c r="A175" s="420"/>
      <c r="B175" s="420"/>
      <c r="E175" s="2096" t="s">
        <v>2</v>
      </c>
      <c r="F175" s="2385" t="s">
        <v>781</v>
      </c>
      <c r="G175" s="2386">
        <f>IF('Saisie données file act.'!$H$498="X", D167*0.25, 0)</f>
        <v>0</v>
      </c>
    </row>
    <row r="176" spans="1:17" s="421" customFormat="1" x14ac:dyDescent="0.2">
      <c r="A176" s="420"/>
      <c r="B176" s="420"/>
      <c r="E176" s="2096" t="s">
        <v>1</v>
      </c>
      <c r="F176" s="2385" t="s">
        <v>781</v>
      </c>
      <c r="G176" s="2386">
        <f>IF('Saisie données file act.'!$H$495="X", D166*0.25, 0)</f>
        <v>0</v>
      </c>
    </row>
    <row r="177" spans="1:9" s="421" customFormat="1" ht="13.5" thickBot="1" x14ac:dyDescent="0.25">
      <c r="A177" s="420"/>
      <c r="B177" s="420"/>
      <c r="E177" s="2109" t="s">
        <v>18</v>
      </c>
      <c r="F177" s="2387" t="s">
        <v>781</v>
      </c>
      <c r="G177" s="2388">
        <f>IF('Saisie données file act.'!$H$495="X", D166*0.25, 0)+IF('Saisie données file act.'!$H$496="X", D166*0.5, 0)</f>
        <v>0</v>
      </c>
    </row>
    <row r="178" spans="1:9" customFormat="1" ht="13.5" thickBot="1" x14ac:dyDescent="0.25"/>
    <row r="179" spans="1:9" s="132" customFormat="1" ht="64.5" thickBot="1" x14ac:dyDescent="0.25">
      <c r="A179" s="134"/>
      <c r="C179" s="151" t="str">
        <f>'TRAD-Calculs pédiatriques'!B44</f>
        <v>Composition</v>
      </c>
      <c r="D179" s="152" t="str">
        <f>'TRAD-Calculs pédiatriques'!B45</f>
        <v>Forme galénique</v>
      </c>
      <c r="E179" s="152" t="str">
        <f>'TRAD-Calculs pédiatriques'!B46</f>
        <v>Dosage</v>
      </c>
      <c r="F179" s="152" t="str">
        <f>'TRAD-Calculs pédiatriques'!B47</f>
        <v>Nom de spécialité</v>
      </c>
      <c r="G179" s="152" t="str">
        <f>'TRAD-Calculs pédiatriques'!B48</f>
        <v>Volume conditionnement primaire (mL)</v>
      </c>
      <c r="H179" s="152" t="str">
        <f>'TRAD-Calculs pédiatriques'!B49</f>
        <v>Conditionement secondaire</v>
      </c>
      <c r="I179" s="161" t="str">
        <f>'TRAD-Calculs pédiatriques'!B50</f>
        <v>Qtés de patients - mois</v>
      </c>
    </row>
    <row r="180" spans="1:9" s="132" customFormat="1" x14ac:dyDescent="0.2">
      <c r="A180" s="134"/>
      <c r="C180" s="154" t="s">
        <v>32</v>
      </c>
      <c r="D180" s="162" t="str">
        <f>'TRAD-Calculs pédiatriques'!B53</f>
        <v>sol buv</v>
      </c>
      <c r="E180" s="162" t="s">
        <v>80</v>
      </c>
      <c r="F180" s="155" t="s">
        <v>81</v>
      </c>
      <c r="G180" s="2094">
        <f>'Saisie données stocks'!$L$61</f>
        <v>240</v>
      </c>
      <c r="H180" s="155">
        <f>'Saisie données stocks'!M61</f>
        <v>1</v>
      </c>
      <c r="I180" s="163"/>
    </row>
    <row r="181" spans="1:9" s="132" customFormat="1" x14ac:dyDescent="0.2">
      <c r="A181" s="134"/>
      <c r="C181" s="156" t="s">
        <v>82</v>
      </c>
      <c r="D181" s="164" t="str">
        <f>'TRAD-Calculs pédiatriques'!B53</f>
        <v>sol buv</v>
      </c>
      <c r="E181" s="164" t="s">
        <v>80</v>
      </c>
      <c r="F181" s="157"/>
      <c r="G181" s="2099">
        <f>'Saisie données stocks'!$L$62</f>
        <v>240</v>
      </c>
      <c r="H181" s="157">
        <f>'Saisie données stocks'!M62</f>
        <v>1</v>
      </c>
      <c r="I181" s="165"/>
    </row>
    <row r="182" spans="1:9" s="132" customFormat="1" x14ac:dyDescent="0.2">
      <c r="A182" s="134"/>
      <c r="C182" s="166" t="s">
        <v>34</v>
      </c>
      <c r="D182" s="167" t="str">
        <f>'TRAD-Calculs pédiatriques'!B53</f>
        <v>sol buv</v>
      </c>
      <c r="E182" s="167" t="s">
        <v>80</v>
      </c>
      <c r="F182" s="168" t="s">
        <v>84</v>
      </c>
      <c r="G182" s="2104">
        <f>'Saisie données stocks'!$L$63</f>
        <v>240</v>
      </c>
      <c r="H182" s="168">
        <f>'Saisie données stocks'!M63</f>
        <v>1</v>
      </c>
      <c r="I182" s="169"/>
    </row>
    <row r="183" spans="1:9" s="132" customFormat="1" x14ac:dyDescent="0.2">
      <c r="A183" s="134"/>
      <c r="C183" s="166" t="s">
        <v>36</v>
      </c>
      <c r="D183" s="167" t="str">
        <f>'TRAD-Calculs pédiatriques'!B53</f>
        <v>sol buv</v>
      </c>
      <c r="E183" s="167" t="s">
        <v>80</v>
      </c>
      <c r="F183" s="168" t="s">
        <v>85</v>
      </c>
      <c r="G183" s="2104">
        <f>'Saisie données stocks'!$L$64</f>
        <v>240</v>
      </c>
      <c r="H183" s="168">
        <f>'Saisie données stocks'!M64</f>
        <v>1</v>
      </c>
      <c r="I183" s="169"/>
    </row>
    <row r="184" spans="1:9" s="132" customFormat="1" x14ac:dyDescent="0.2">
      <c r="A184" s="134"/>
      <c r="C184" s="166" t="s">
        <v>37</v>
      </c>
      <c r="D184" s="167" t="str">
        <f>'TRAD-Calculs pédiatriques'!B53</f>
        <v>sol buv</v>
      </c>
      <c r="E184" s="167" t="s">
        <v>86</v>
      </c>
      <c r="F184" s="168" t="s">
        <v>87</v>
      </c>
      <c r="G184" s="2104">
        <f>'Saisie données stocks'!$L$65</f>
        <v>200</v>
      </c>
      <c r="H184" s="168">
        <f>'Saisie données stocks'!M65</f>
        <v>1</v>
      </c>
      <c r="I184" s="169"/>
    </row>
    <row r="185" spans="1:9" s="132" customFormat="1" x14ac:dyDescent="0.2">
      <c r="A185" s="134"/>
      <c r="C185" s="166" t="s">
        <v>29</v>
      </c>
      <c r="D185" s="167" t="str">
        <f>'TRAD-Calculs pédiatriques'!B53</f>
        <v>sol buv</v>
      </c>
      <c r="E185" s="167" t="s">
        <v>88</v>
      </c>
      <c r="F185" s="168" t="s">
        <v>89</v>
      </c>
      <c r="G185" s="2104">
        <f>'Saisie données stocks'!$L$66</f>
        <v>240</v>
      </c>
      <c r="H185" s="168">
        <f>'Saisie données stocks'!M66</f>
        <v>1</v>
      </c>
      <c r="I185" s="169"/>
    </row>
    <row r="186" spans="1:9" s="132" customFormat="1" x14ac:dyDescent="0.2">
      <c r="A186" s="134"/>
      <c r="C186" s="166" t="s">
        <v>27</v>
      </c>
      <c r="D186" s="167" t="str">
        <f>'TRAD-Calculs pédiatriques'!B54</f>
        <v>pdre buv</v>
      </c>
      <c r="E186" s="167" t="s">
        <v>91</v>
      </c>
      <c r="F186" s="168" t="s">
        <v>92</v>
      </c>
      <c r="G186" s="2108">
        <f>'Saisie données stocks'!$L$67</f>
        <v>180</v>
      </c>
      <c r="H186" s="168">
        <f>'Saisie données stocks'!M67</f>
        <v>1</v>
      </c>
      <c r="I186" s="169"/>
    </row>
    <row r="187" spans="1:9" s="132" customFormat="1" ht="13.5" thickBot="1" x14ac:dyDescent="0.25">
      <c r="A187" s="134"/>
      <c r="C187" s="158" t="s">
        <v>42</v>
      </c>
      <c r="D187" s="170" t="str">
        <f>'TRAD-Calculs pédiatriques'!B53</f>
        <v>sol buv</v>
      </c>
      <c r="E187" s="170" t="s">
        <v>93</v>
      </c>
      <c r="F187" s="159" t="s">
        <v>94</v>
      </c>
      <c r="G187" s="2112">
        <f>'Saisie données stocks'!$L$68</f>
        <v>60</v>
      </c>
      <c r="H187" s="159">
        <f>'Saisie données stocks'!M68</f>
        <v>4</v>
      </c>
      <c r="I187" s="171"/>
    </row>
    <row r="188" spans="1:9" s="132" customFormat="1" ht="13.5" thickBot="1" x14ac:dyDescent="0.25">
      <c r="A188" s="134"/>
      <c r="B188" s="172"/>
      <c r="C188" s="173"/>
      <c r="D188" s="173"/>
      <c r="E188" s="172"/>
      <c r="F188" s="172"/>
      <c r="G188" s="172"/>
      <c r="H188" s="172"/>
    </row>
    <row r="189" spans="1:9" ht="13.5" thickBot="1" x14ac:dyDescent="0.25">
      <c r="B189" s="3269" t="str">
        <f>'TRAD-Calculs pédiatriques'!B51</f>
        <v>Si enfant de 6 - 7 kg (pris en compte pour la tranche 3 - 9,9 kg)</v>
      </c>
      <c r="C189" s="3270"/>
      <c r="D189" s="3270"/>
      <c r="E189" s="3270"/>
      <c r="F189" s="3270"/>
      <c r="G189" s="3270"/>
      <c r="H189" s="3271"/>
    </row>
    <row r="190" spans="1:9" s="132" customFormat="1" ht="13.5" thickBot="1" x14ac:dyDescent="0.25">
      <c r="A190" s="134"/>
      <c r="B190" s="175"/>
      <c r="C190" s="173"/>
      <c r="D190" s="173"/>
      <c r="E190" s="172"/>
      <c r="F190" s="172"/>
      <c r="G190" s="172"/>
      <c r="H190" s="172"/>
    </row>
    <row r="191" spans="1:9" s="132" customFormat="1" ht="39" thickBot="1" x14ac:dyDescent="0.25">
      <c r="A191" s="134"/>
      <c r="C191" s="151"/>
      <c r="D191" s="152" t="str">
        <f>'TRAD-Calculs pédiatriques'!B55</f>
        <v>volume (mL) / jour</v>
      </c>
      <c r="E191" s="152" t="str">
        <f>'TRAD-Calculs pédiatriques'!B56</f>
        <v>volume (mL) / mois</v>
      </c>
      <c r="F191" s="152" t="str">
        <f>'TRAD-Calculs pédiatriques'!B57</f>
        <v>volume flacon (mL)</v>
      </c>
      <c r="G191" s="152" t="str">
        <f>'TRAD-Calculs pédiatriques'!B58</f>
        <v>nb de flacons / mois</v>
      </c>
      <c r="H191" s="152" t="str">
        <f>'TRAD-Calculs pédiatriques'!B59</f>
        <v>nb de flacons / mois arrondi</v>
      </c>
      <c r="I191" s="152" t="str">
        <f>'TRAD-Calculs pédiatriques'!B60</f>
        <v>reste (mL)</v>
      </c>
    </row>
    <row r="192" spans="1:9" s="132" customFormat="1" x14ac:dyDescent="0.2">
      <c r="A192" s="134"/>
      <c r="C192" s="176" t="s">
        <v>32</v>
      </c>
      <c r="D192" s="2307">
        <f>'Saisie données file act.'!E631</f>
        <v>18</v>
      </c>
      <c r="E192" s="177">
        <f>D192*(365/12)</f>
        <v>547.5</v>
      </c>
      <c r="F192" s="2094">
        <f>'Saisie données stocks'!$L$61</f>
        <v>240</v>
      </c>
      <c r="G192" s="178">
        <f t="shared" ref="G192:G199" si="54">E192/F192</f>
        <v>2.28125</v>
      </c>
      <c r="H192" s="178">
        <f t="shared" ref="H192:H199" si="55">ROUNDUP(E192/F192, 0)</f>
        <v>3</v>
      </c>
      <c r="I192" s="178">
        <f t="shared" ref="I192:I199" si="56">H192*F192-E192</f>
        <v>172.5</v>
      </c>
    </row>
    <row r="193" spans="1:10" s="132" customFormat="1" x14ac:dyDescent="0.2">
      <c r="A193" s="134"/>
      <c r="C193" s="819" t="s">
        <v>82</v>
      </c>
      <c r="D193" s="2308">
        <f>'Saisie données file act.'!E632</f>
        <v>14</v>
      </c>
      <c r="E193" s="820">
        <f t="shared" ref="E193:E199" si="57">D193*30</f>
        <v>420</v>
      </c>
      <c r="F193" s="2099">
        <f>'Saisie données stocks'!$L$62</f>
        <v>240</v>
      </c>
      <c r="G193" s="821">
        <f t="shared" si="54"/>
        <v>1.75</v>
      </c>
      <c r="H193" s="821">
        <f t="shared" si="55"/>
        <v>2</v>
      </c>
      <c r="I193" s="821">
        <f t="shared" si="56"/>
        <v>60</v>
      </c>
    </row>
    <row r="194" spans="1:10" s="132" customFormat="1" x14ac:dyDescent="0.2">
      <c r="A194" s="134"/>
      <c r="C194" s="176" t="s">
        <v>34</v>
      </c>
      <c r="D194" s="2307">
        <f>'Saisie données file act.'!E633</f>
        <v>8</v>
      </c>
      <c r="E194" s="177">
        <f t="shared" si="57"/>
        <v>240</v>
      </c>
      <c r="F194" s="2104">
        <f>'Saisie données stocks'!$L$63</f>
        <v>240</v>
      </c>
      <c r="G194" s="178">
        <f t="shared" si="54"/>
        <v>1</v>
      </c>
      <c r="H194" s="178">
        <f t="shared" si="55"/>
        <v>1</v>
      </c>
      <c r="I194" s="178">
        <f t="shared" si="56"/>
        <v>0</v>
      </c>
    </row>
    <row r="195" spans="1:10" s="132" customFormat="1" x14ac:dyDescent="0.2">
      <c r="A195" s="134"/>
      <c r="C195" s="179" t="s">
        <v>36</v>
      </c>
      <c r="D195" s="2309">
        <f>'Saisie données file act.'!E634</f>
        <v>6</v>
      </c>
      <c r="E195" s="180">
        <f t="shared" si="57"/>
        <v>180</v>
      </c>
      <c r="F195" s="2104">
        <f>'Saisie données stocks'!$L$64</f>
        <v>240</v>
      </c>
      <c r="G195" s="181">
        <f t="shared" si="54"/>
        <v>0.75</v>
      </c>
      <c r="H195" s="181">
        <f t="shared" si="55"/>
        <v>1</v>
      </c>
      <c r="I195" s="181">
        <f t="shared" si="56"/>
        <v>60</v>
      </c>
    </row>
    <row r="196" spans="1:10" s="132" customFormat="1" x14ac:dyDescent="0.2">
      <c r="A196" s="134"/>
      <c r="C196" s="179" t="s">
        <v>37</v>
      </c>
      <c r="D196" s="2309">
        <f>'Saisie données file act.'!E635</f>
        <v>10</v>
      </c>
      <c r="E196" s="180">
        <f t="shared" si="57"/>
        <v>300</v>
      </c>
      <c r="F196" s="2104">
        <f>'Saisie données stocks'!$L$65</f>
        <v>200</v>
      </c>
      <c r="G196" s="181">
        <f t="shared" si="54"/>
        <v>1.5</v>
      </c>
      <c r="H196" s="181">
        <f t="shared" si="55"/>
        <v>2</v>
      </c>
      <c r="I196" s="181">
        <f t="shared" si="56"/>
        <v>100</v>
      </c>
    </row>
    <row r="197" spans="1:10" s="132" customFormat="1" x14ac:dyDescent="0.2">
      <c r="A197" s="134"/>
      <c r="C197" s="179" t="s">
        <v>29</v>
      </c>
      <c r="D197" s="2309">
        <f>'Saisie données file act.'!E636</f>
        <v>14</v>
      </c>
      <c r="E197" s="180">
        <f t="shared" si="57"/>
        <v>420</v>
      </c>
      <c r="F197" s="2104">
        <f>'Saisie données stocks'!$L$66</f>
        <v>240</v>
      </c>
      <c r="G197" s="181">
        <f t="shared" si="54"/>
        <v>1.75</v>
      </c>
      <c r="H197" s="181">
        <f t="shared" si="55"/>
        <v>2</v>
      </c>
      <c r="I197" s="181">
        <f t="shared" si="56"/>
        <v>60</v>
      </c>
    </row>
    <row r="198" spans="1:10" s="132" customFormat="1" x14ac:dyDescent="0.2">
      <c r="A198" s="134"/>
      <c r="C198" s="176" t="s">
        <v>27</v>
      </c>
      <c r="D198" s="2307">
        <f>'Saisie données file act.'!E637</f>
        <v>0</v>
      </c>
      <c r="E198" s="177">
        <f t="shared" si="57"/>
        <v>0</v>
      </c>
      <c r="F198" s="2108">
        <f>'Saisie données stocks'!$L$67</f>
        <v>180</v>
      </c>
      <c r="G198" s="182">
        <f t="shared" si="54"/>
        <v>0</v>
      </c>
      <c r="H198" s="182">
        <f t="shared" si="55"/>
        <v>0</v>
      </c>
      <c r="I198" s="182">
        <f t="shared" si="56"/>
        <v>0</v>
      </c>
    </row>
    <row r="199" spans="1:10" s="132" customFormat="1" ht="13.5" thickBot="1" x14ac:dyDescent="0.25">
      <c r="A199" s="134"/>
      <c r="C199" s="183" t="s">
        <v>42</v>
      </c>
      <c r="D199" s="2310">
        <f>'Saisie données file act.'!E638</f>
        <v>3</v>
      </c>
      <c r="E199" s="184">
        <f t="shared" si="57"/>
        <v>90</v>
      </c>
      <c r="F199" s="2112">
        <f>'Saisie données stocks'!$L$68</f>
        <v>60</v>
      </c>
      <c r="G199" s="185">
        <f t="shared" si="54"/>
        <v>1.5</v>
      </c>
      <c r="H199" s="185">
        <f t="shared" si="55"/>
        <v>2</v>
      </c>
      <c r="I199" s="185">
        <f t="shared" si="56"/>
        <v>30</v>
      </c>
    </row>
    <row r="200" spans="1:10" s="132" customFormat="1" x14ac:dyDescent="0.2">
      <c r="A200" s="134"/>
      <c r="B200" s="172"/>
      <c r="C200" s="173"/>
      <c r="D200" s="173"/>
      <c r="E200" s="172"/>
      <c r="F200" s="172"/>
      <c r="G200" s="172"/>
      <c r="H200" s="172"/>
    </row>
    <row r="201" spans="1:10" s="132" customFormat="1" ht="13.5" thickBot="1" x14ac:dyDescent="0.25">
      <c r="A201" s="134"/>
      <c r="B201" s="172"/>
      <c r="C201" s="173"/>
      <c r="D201" s="173"/>
      <c r="E201" s="172"/>
      <c r="F201" s="172"/>
      <c r="G201" s="172"/>
      <c r="H201" s="172"/>
    </row>
    <row r="202" spans="1:10" ht="13.5" thickBot="1" x14ac:dyDescent="0.25">
      <c r="B202" s="3269" t="str">
        <f>'TRAD-Calculs pédiatriques'!B52</f>
        <v>Si enfant de 12 - 14 kg (pris en compte pour la tranche 10 - 14,9 kg)</v>
      </c>
      <c r="C202" s="3270"/>
      <c r="D202" s="3270"/>
      <c r="E202" s="3270"/>
      <c r="F202" s="3270"/>
      <c r="G202" s="3270"/>
      <c r="H202" s="3271"/>
    </row>
    <row r="203" spans="1:10" s="132" customFormat="1" ht="13.5" thickBot="1" x14ac:dyDescent="0.25">
      <c r="A203" s="134"/>
      <c r="B203" s="172"/>
      <c r="C203" s="173"/>
      <c r="D203" s="173"/>
      <c r="E203" s="172"/>
      <c r="F203" s="172"/>
      <c r="G203" s="172"/>
      <c r="H203" s="172"/>
    </row>
    <row r="204" spans="1:10" s="132" customFormat="1" ht="39" thickBot="1" x14ac:dyDescent="0.25">
      <c r="A204" s="134"/>
      <c r="C204" s="151"/>
      <c r="D204" s="152" t="str">
        <f>'TRAD-Calculs pédiatriques'!B55</f>
        <v>volume (mL) / jour</v>
      </c>
      <c r="E204" s="152" t="str">
        <f>'TRAD-Calculs pédiatriques'!B56</f>
        <v>volume (mL) / mois</v>
      </c>
      <c r="F204" s="152" t="str">
        <f>'TRAD-Calculs pédiatriques'!B57</f>
        <v>volume flacon (mL)</v>
      </c>
      <c r="G204" s="152" t="str">
        <f>'TRAD-Calculs pédiatriques'!B58</f>
        <v>nb de flacons / mois</v>
      </c>
      <c r="H204" s="152" t="str">
        <f>'TRAD-Calculs pédiatriques'!B59</f>
        <v>nb de flacons / mois arrondi</v>
      </c>
      <c r="I204" s="152" t="str">
        <f>'TRAD-Calculs pédiatriques'!B60</f>
        <v>reste (mL)</v>
      </c>
      <c r="J204" s="153"/>
    </row>
    <row r="205" spans="1:10" s="132" customFormat="1" x14ac:dyDescent="0.2">
      <c r="A205" s="134"/>
      <c r="C205" s="176" t="s">
        <v>32</v>
      </c>
      <c r="D205" s="2307">
        <f>'Saisie données file act.'!E646</f>
        <v>24</v>
      </c>
      <c r="E205" s="177">
        <f t="shared" ref="E205:E212" si="58">D205*30</f>
        <v>720</v>
      </c>
      <c r="F205" s="2094">
        <f>'Saisie données stocks'!$L$61</f>
        <v>240</v>
      </c>
      <c r="G205" s="178">
        <f>E205/F205</f>
        <v>3</v>
      </c>
      <c r="H205" s="178">
        <f t="shared" ref="H205:H212" si="59">ROUNDUP(E205/F205, 0)</f>
        <v>3</v>
      </c>
      <c r="I205" s="178">
        <f t="shared" ref="I205:I212" si="60">H205*F205-E205</f>
        <v>0</v>
      </c>
      <c r="J205" s="186" t="str">
        <f>'TRAD-Calculs pédiatriques'!B112</f>
        <v>11 flacons / 4 mois</v>
      </c>
    </row>
    <row r="206" spans="1:10" s="132" customFormat="1" x14ac:dyDescent="0.2">
      <c r="A206" s="134"/>
      <c r="C206" s="819" t="s">
        <v>82</v>
      </c>
      <c r="D206" s="2308">
        <f>'Saisie données file act.'!E647</f>
        <v>24</v>
      </c>
      <c r="E206" s="820">
        <f t="shared" si="58"/>
        <v>720</v>
      </c>
      <c r="F206" s="2099">
        <f>'Saisie données stocks'!$L$62</f>
        <v>240</v>
      </c>
      <c r="G206" s="821">
        <f t="shared" ref="G206" si="61">E206/F206</f>
        <v>3</v>
      </c>
      <c r="H206" s="821">
        <f t="shared" si="59"/>
        <v>3</v>
      </c>
      <c r="I206" s="821">
        <f t="shared" si="60"/>
        <v>0</v>
      </c>
      <c r="J206" s="822" t="str">
        <f>'TRAD-Calculs pédiatriques'!B112</f>
        <v>11 flacons / 4 mois</v>
      </c>
    </row>
    <row r="207" spans="1:10" s="132" customFormat="1" x14ac:dyDescent="0.2">
      <c r="A207" s="134"/>
      <c r="C207" s="176" t="s">
        <v>34</v>
      </c>
      <c r="D207" s="2307">
        <f>'Saisie données file act.'!E648</f>
        <v>12</v>
      </c>
      <c r="E207" s="177">
        <f t="shared" si="58"/>
        <v>360</v>
      </c>
      <c r="F207" s="2104">
        <f>'Saisie données stocks'!$L$63</f>
        <v>240</v>
      </c>
      <c r="G207" s="178">
        <f t="shared" ref="G207:G212" si="62">E207/F207</f>
        <v>1.5</v>
      </c>
      <c r="H207" s="178">
        <f t="shared" si="59"/>
        <v>2</v>
      </c>
      <c r="I207" s="178">
        <f t="shared" si="60"/>
        <v>120</v>
      </c>
      <c r="J207" s="2531" t="str">
        <f>'TRAD-Calculs pédiatriques'!B113</f>
        <v>3 flacons / 2 mois</v>
      </c>
    </row>
    <row r="208" spans="1:10" s="132" customFormat="1" x14ac:dyDescent="0.2">
      <c r="A208" s="134"/>
      <c r="C208" s="179" t="s">
        <v>36</v>
      </c>
      <c r="D208" s="2309">
        <f>'Saisie données file act.'!E649</f>
        <v>12</v>
      </c>
      <c r="E208" s="180">
        <f t="shared" si="58"/>
        <v>360</v>
      </c>
      <c r="F208" s="2104">
        <f>'Saisie données stocks'!$L$64</f>
        <v>240</v>
      </c>
      <c r="G208" s="181">
        <f t="shared" si="62"/>
        <v>1.5</v>
      </c>
      <c r="H208" s="181">
        <f t="shared" si="59"/>
        <v>2</v>
      </c>
      <c r="I208" s="181">
        <f t="shared" si="60"/>
        <v>120</v>
      </c>
      <c r="J208" s="187" t="str">
        <f>'TRAD-Calculs pédiatriques'!B112</f>
        <v>11 flacons / 4 mois</v>
      </c>
    </row>
    <row r="209" spans="1:10" s="132" customFormat="1" x14ac:dyDescent="0.2">
      <c r="A209" s="134"/>
      <c r="C209" s="179" t="s">
        <v>37</v>
      </c>
      <c r="D209" s="2309">
        <f>'Saisie données file act.'!E650</f>
        <v>14</v>
      </c>
      <c r="E209" s="180">
        <f t="shared" si="58"/>
        <v>420</v>
      </c>
      <c r="F209" s="2104">
        <f>'Saisie données stocks'!$L$65</f>
        <v>200</v>
      </c>
      <c r="G209" s="181">
        <f t="shared" si="62"/>
        <v>2.1</v>
      </c>
      <c r="H209" s="181">
        <f t="shared" si="59"/>
        <v>3</v>
      </c>
      <c r="I209" s="181">
        <f t="shared" si="60"/>
        <v>180</v>
      </c>
      <c r="J209" s="187" t="str">
        <f>'TRAD-Calculs pédiatriques'!B112</f>
        <v>11 flacons / 4 mois</v>
      </c>
    </row>
    <row r="210" spans="1:10" s="132" customFormat="1" x14ac:dyDescent="0.2">
      <c r="A210" s="134"/>
      <c r="C210" s="179" t="s">
        <v>29</v>
      </c>
      <c r="D210" s="2309">
        <f>'Saisie données file act.'!E651</f>
        <v>20</v>
      </c>
      <c r="E210" s="180">
        <f t="shared" si="58"/>
        <v>600</v>
      </c>
      <c r="F210" s="2104">
        <f>'Saisie données stocks'!$L$66</f>
        <v>240</v>
      </c>
      <c r="G210" s="181">
        <f t="shared" si="62"/>
        <v>2.5</v>
      </c>
      <c r="H210" s="181">
        <f t="shared" si="59"/>
        <v>3</v>
      </c>
      <c r="I210" s="181">
        <f t="shared" si="60"/>
        <v>120</v>
      </c>
      <c r="J210" s="187" t="str">
        <f>'TRAD-Calculs pédiatriques'!B113</f>
        <v>3 flacons / 2 mois</v>
      </c>
    </row>
    <row r="211" spans="1:10" s="132" customFormat="1" x14ac:dyDescent="0.2">
      <c r="A211" s="134"/>
      <c r="C211" s="176" t="s">
        <v>27</v>
      </c>
      <c r="D211" s="2307">
        <f>'Saisie données file act.'!E652</f>
        <v>7</v>
      </c>
      <c r="E211" s="177">
        <f t="shared" si="58"/>
        <v>210</v>
      </c>
      <c r="F211" s="2108">
        <f>'Saisie données stocks'!$L$67</f>
        <v>180</v>
      </c>
      <c r="G211" s="182">
        <f t="shared" si="62"/>
        <v>1.1666666666666667</v>
      </c>
      <c r="H211" s="182">
        <f t="shared" si="59"/>
        <v>2</v>
      </c>
      <c r="I211" s="182">
        <f t="shared" si="60"/>
        <v>150</v>
      </c>
      <c r="J211" s="188" t="str">
        <f>'TRAD-Calculs pédiatriques'!B115</f>
        <v>21 boites / 10 mois</v>
      </c>
    </row>
    <row r="212" spans="1:10" s="132" customFormat="1" ht="13.5" thickBot="1" x14ac:dyDescent="0.25">
      <c r="A212" s="134"/>
      <c r="C212" s="183" t="s">
        <v>42</v>
      </c>
      <c r="D212" s="2310">
        <f>'Saisie données file act.'!E653</f>
        <v>4</v>
      </c>
      <c r="E212" s="184">
        <f t="shared" si="58"/>
        <v>120</v>
      </c>
      <c r="F212" s="2112">
        <f>'Saisie données stocks'!$L$68</f>
        <v>60</v>
      </c>
      <c r="G212" s="185">
        <f t="shared" si="62"/>
        <v>2</v>
      </c>
      <c r="H212" s="185">
        <f t="shared" si="59"/>
        <v>2</v>
      </c>
      <c r="I212" s="185">
        <f t="shared" si="60"/>
        <v>0</v>
      </c>
      <c r="J212" s="189"/>
    </row>
    <row r="213" spans="1:10" s="132" customFormat="1" x14ac:dyDescent="0.2">
      <c r="A213" s="134"/>
      <c r="C213" s="172"/>
      <c r="D213" s="173"/>
      <c r="E213" s="173"/>
      <c r="F213" s="172"/>
      <c r="G213" s="172"/>
      <c r="H213" s="172"/>
      <c r="I213" s="172"/>
    </row>
    <row r="214" spans="1:10" s="132" customFormat="1" ht="13.5" thickBot="1" x14ac:dyDescent="0.25">
      <c r="A214" s="134"/>
    </row>
    <row r="215" spans="1:10" ht="13.5" thickBot="1" x14ac:dyDescent="0.25">
      <c r="B215" s="3269" t="str">
        <f>'TRAD-Calculs pédiatriques'!B61</f>
        <v>Si enfant de 15 - 20 kg (pris en compte pour la tranche 15 - 20 kg)</v>
      </c>
      <c r="C215" s="3270"/>
      <c r="D215" s="3270"/>
      <c r="E215" s="3270"/>
      <c r="F215" s="3270"/>
      <c r="G215" s="3270"/>
      <c r="H215" s="3271"/>
    </row>
    <row r="216" spans="1:10" s="132" customFormat="1" ht="13.5" thickBot="1" x14ac:dyDescent="0.25">
      <c r="A216" s="134"/>
      <c r="B216" s="172"/>
      <c r="C216" s="173"/>
      <c r="D216" s="173"/>
      <c r="E216" s="172"/>
      <c r="F216" s="172"/>
      <c r="G216" s="172"/>
      <c r="H216" s="172"/>
    </row>
    <row r="217" spans="1:10" s="132" customFormat="1" ht="39" thickBot="1" x14ac:dyDescent="0.25">
      <c r="A217" s="134"/>
      <c r="C217" s="151"/>
      <c r="D217" s="152" t="str">
        <f>'TRAD-Calculs pédiatriques'!B55</f>
        <v>volume (mL) / jour</v>
      </c>
      <c r="E217" s="152" t="str">
        <f>'TRAD-Calculs pédiatriques'!B56</f>
        <v>volume (mL) / mois</v>
      </c>
      <c r="F217" s="152" t="str">
        <f>'TRAD-Calculs pédiatriques'!B57</f>
        <v>volume flacon (mL)</v>
      </c>
      <c r="G217" s="152" t="str">
        <f>'TRAD-Calculs pédiatriques'!B58</f>
        <v>nb de flacons / mois</v>
      </c>
      <c r="H217" s="152" t="str">
        <f>'TRAD-Calculs pédiatriques'!B59</f>
        <v>nb de flacons / mois arrondi</v>
      </c>
      <c r="I217" s="152" t="str">
        <f>'TRAD-Calculs pédiatriques'!B60</f>
        <v>reste (mL)</v>
      </c>
      <c r="J217" s="153"/>
    </row>
    <row r="218" spans="1:10" s="132" customFormat="1" x14ac:dyDescent="0.2">
      <c r="A218" s="134"/>
      <c r="C218" s="176" t="s">
        <v>32</v>
      </c>
      <c r="D218" s="2307">
        <f>'Saisie données file act.'!E659</f>
        <v>30</v>
      </c>
      <c r="E218" s="177">
        <f t="shared" ref="E218:E225" si="63">D218*30</f>
        <v>900</v>
      </c>
      <c r="F218" s="2094">
        <f>'Saisie données stocks'!$L$61</f>
        <v>240</v>
      </c>
      <c r="G218" s="178">
        <f>E218/F218</f>
        <v>3.75</v>
      </c>
      <c r="H218" s="178">
        <f t="shared" ref="H218:H225" si="64">ROUNDUP(E218/F218, 0)</f>
        <v>4</v>
      </c>
      <c r="I218" s="178">
        <f t="shared" ref="I218:I225" si="65">H218*F218-E218</f>
        <v>60</v>
      </c>
      <c r="J218" s="186" t="str">
        <f>'TRAD-Calculs pédiatriques'!B112</f>
        <v>11 flacons / 4 mois</v>
      </c>
    </row>
    <row r="219" spans="1:10" s="132" customFormat="1" x14ac:dyDescent="0.2">
      <c r="A219" s="134"/>
      <c r="C219" s="819" t="s">
        <v>82</v>
      </c>
      <c r="D219" s="2308">
        <f>'Saisie données file act.'!E660</f>
        <v>30</v>
      </c>
      <c r="E219" s="820">
        <f t="shared" si="63"/>
        <v>900</v>
      </c>
      <c r="F219" s="2099">
        <f>'Saisie données stocks'!$L$62</f>
        <v>240</v>
      </c>
      <c r="G219" s="821">
        <f t="shared" ref="G219:G225" si="66">E219/F219</f>
        <v>3.75</v>
      </c>
      <c r="H219" s="821">
        <f t="shared" si="64"/>
        <v>4</v>
      </c>
      <c r="I219" s="821">
        <f t="shared" si="65"/>
        <v>60</v>
      </c>
      <c r="J219" s="822" t="str">
        <f>'TRAD-Calculs pédiatriques'!B112</f>
        <v>11 flacons / 4 mois</v>
      </c>
    </row>
    <row r="220" spans="1:10" s="132" customFormat="1" x14ac:dyDescent="0.2">
      <c r="A220" s="134"/>
      <c r="C220" s="176" t="s">
        <v>34</v>
      </c>
      <c r="D220" s="2307">
        <f>'Saisie données file act.'!E661</f>
        <v>15</v>
      </c>
      <c r="E220" s="177">
        <f t="shared" si="63"/>
        <v>450</v>
      </c>
      <c r="F220" s="2104">
        <f>'Saisie données stocks'!$L$63</f>
        <v>240</v>
      </c>
      <c r="G220" s="178">
        <f t="shared" si="66"/>
        <v>1.875</v>
      </c>
      <c r="H220" s="178">
        <f t="shared" si="64"/>
        <v>2</v>
      </c>
      <c r="I220" s="178">
        <f t="shared" si="65"/>
        <v>30</v>
      </c>
      <c r="J220" s="2531" t="str">
        <f>'TRAD-Calculs pédiatriques'!B113</f>
        <v>3 flacons / 2 mois</v>
      </c>
    </row>
    <row r="221" spans="1:10" s="132" customFormat="1" x14ac:dyDescent="0.2">
      <c r="A221" s="134"/>
      <c r="C221" s="179" t="s">
        <v>36</v>
      </c>
      <c r="D221" s="2309">
        <f>'Saisie données file act.'!E662</f>
        <v>15</v>
      </c>
      <c r="E221" s="180">
        <f t="shared" si="63"/>
        <v>450</v>
      </c>
      <c r="F221" s="2104">
        <f>'Saisie données stocks'!$L$64</f>
        <v>240</v>
      </c>
      <c r="G221" s="181">
        <f t="shared" si="66"/>
        <v>1.875</v>
      </c>
      <c r="H221" s="181">
        <f t="shared" si="64"/>
        <v>2</v>
      </c>
      <c r="I221" s="181">
        <f t="shared" si="65"/>
        <v>30</v>
      </c>
      <c r="J221" s="187" t="str">
        <f>'TRAD-Calculs pédiatriques'!B112</f>
        <v>11 flacons / 4 mois</v>
      </c>
    </row>
    <row r="222" spans="1:10" s="132" customFormat="1" x14ac:dyDescent="0.2">
      <c r="A222" s="134"/>
      <c r="C222" s="179" t="s">
        <v>37</v>
      </c>
      <c r="D222" s="2309">
        <f>'Saisie données file act.'!E663</f>
        <v>20</v>
      </c>
      <c r="E222" s="180">
        <f t="shared" si="63"/>
        <v>600</v>
      </c>
      <c r="F222" s="2104">
        <f>'Saisie données stocks'!$L$65</f>
        <v>200</v>
      </c>
      <c r="G222" s="181">
        <f t="shared" si="66"/>
        <v>3</v>
      </c>
      <c r="H222" s="181">
        <f t="shared" si="64"/>
        <v>3</v>
      </c>
      <c r="I222" s="181">
        <f t="shared" si="65"/>
        <v>0</v>
      </c>
      <c r="J222" s="187" t="str">
        <f>'TRAD-Calculs pédiatriques'!B112</f>
        <v>11 flacons / 4 mois</v>
      </c>
    </row>
    <row r="223" spans="1:10" s="132" customFormat="1" x14ac:dyDescent="0.2">
      <c r="A223" s="134"/>
      <c r="C223" s="179" t="s">
        <v>29</v>
      </c>
      <c r="D223" s="2309">
        <f>'Saisie données file act.'!E664</f>
        <v>24</v>
      </c>
      <c r="E223" s="180">
        <f t="shared" si="63"/>
        <v>720</v>
      </c>
      <c r="F223" s="2104">
        <f>'Saisie données stocks'!$L$66</f>
        <v>240</v>
      </c>
      <c r="G223" s="181">
        <f t="shared" si="66"/>
        <v>3</v>
      </c>
      <c r="H223" s="181">
        <f t="shared" si="64"/>
        <v>3</v>
      </c>
      <c r="I223" s="181">
        <f t="shared" si="65"/>
        <v>0</v>
      </c>
      <c r="J223" s="187" t="str">
        <f>'TRAD-Calculs pédiatriques'!B113</f>
        <v>3 flacons / 2 mois</v>
      </c>
    </row>
    <row r="224" spans="1:10" s="132" customFormat="1" x14ac:dyDescent="0.2">
      <c r="A224" s="134"/>
      <c r="C224" s="176" t="s">
        <v>27</v>
      </c>
      <c r="D224" s="2307">
        <f>'Saisie données file act.'!E665</f>
        <v>13</v>
      </c>
      <c r="E224" s="177">
        <f t="shared" si="63"/>
        <v>390</v>
      </c>
      <c r="F224" s="2108">
        <f>'Saisie données stocks'!$L$67</f>
        <v>180</v>
      </c>
      <c r="G224" s="182">
        <f t="shared" si="66"/>
        <v>2.1666666666666665</v>
      </c>
      <c r="H224" s="182">
        <f t="shared" si="64"/>
        <v>3</v>
      </c>
      <c r="I224" s="182">
        <f t="shared" si="65"/>
        <v>150</v>
      </c>
      <c r="J224" s="188" t="str">
        <f>'TRAD-Calculs pédiatriques'!B115</f>
        <v>21 boites / 10 mois</v>
      </c>
    </row>
    <row r="225" spans="1:17" s="132" customFormat="1" ht="13.5" thickBot="1" x14ac:dyDescent="0.25">
      <c r="A225" s="134"/>
      <c r="C225" s="183" t="s">
        <v>42</v>
      </c>
      <c r="D225" s="2310">
        <f>'Saisie données file act.'!E666</f>
        <v>5</v>
      </c>
      <c r="E225" s="184">
        <f t="shared" si="63"/>
        <v>150</v>
      </c>
      <c r="F225" s="2112">
        <f>'Saisie données stocks'!$L$68</f>
        <v>60</v>
      </c>
      <c r="G225" s="185">
        <f t="shared" si="66"/>
        <v>2.5</v>
      </c>
      <c r="H225" s="185">
        <f t="shared" si="64"/>
        <v>3</v>
      </c>
      <c r="I225" s="185">
        <f t="shared" si="65"/>
        <v>30</v>
      </c>
      <c r="J225" s="189"/>
    </row>
    <row r="226" spans="1:17" s="132" customFormat="1" x14ac:dyDescent="0.2">
      <c r="A226" s="134"/>
      <c r="C226" s="172"/>
      <c r="D226" s="173"/>
      <c r="E226" s="173"/>
      <c r="F226" s="172"/>
      <c r="G226" s="172"/>
      <c r="H226" s="172"/>
      <c r="I226" s="172"/>
    </row>
    <row r="227" spans="1:17" s="132" customFormat="1" x14ac:dyDescent="0.2">
      <c r="A227" s="134"/>
    </row>
    <row r="228" spans="1:17" s="131" customFormat="1" ht="14.25" x14ac:dyDescent="0.2">
      <c r="B228" s="1164" t="str">
        <f>'TRAD-Calculs pédiatriques'!B62</f>
        <v>Pour les comprimés (en nombre de conditionnements / patient / mois)</v>
      </c>
      <c r="C228" s="1164"/>
      <c r="D228" s="1164"/>
      <c r="E228" s="1164"/>
      <c r="F228" s="1164"/>
      <c r="G228" s="1165"/>
      <c r="H228" s="1165"/>
      <c r="I228" s="1165"/>
      <c r="J228" s="1165"/>
      <c r="K228" s="1165"/>
      <c r="L228" s="1165"/>
      <c r="M228" s="1165"/>
      <c r="Q228" s="141"/>
    </row>
    <row r="229" spans="1:17" s="132" customFormat="1" x14ac:dyDescent="0.2">
      <c r="A229" s="134"/>
    </row>
    <row r="230" spans="1:17" s="132" customFormat="1" ht="13.5" thickBot="1" x14ac:dyDescent="0.25">
      <c r="A230" s="134"/>
      <c r="D230" s="3262" t="str">
        <f>'TRAD-Calculs pédiatriques'!B64</f>
        <v>Poids envisagés</v>
      </c>
      <c r="E230" s="3262"/>
      <c r="F230" s="3262"/>
      <c r="G230" s="3262"/>
    </row>
    <row r="231" spans="1:17" s="132" customFormat="1" ht="13.5" thickBot="1" x14ac:dyDescent="0.25">
      <c r="A231" s="134"/>
      <c r="C231" s="151" t="str">
        <f>'TRAD-Calculs pédiatriques'!B63</f>
        <v>Formes adultes</v>
      </c>
      <c r="E231" s="139" t="s">
        <v>53</v>
      </c>
      <c r="F231" s="139" t="s">
        <v>55</v>
      </c>
      <c r="G231" s="139" t="s">
        <v>57</v>
      </c>
      <c r="H231" s="823" t="s">
        <v>59</v>
      </c>
    </row>
    <row r="232" spans="1:17" s="132" customFormat="1" ht="13.5" customHeight="1" x14ac:dyDescent="0.2">
      <c r="A232" s="134"/>
      <c r="C232" s="3275" t="s">
        <v>175</v>
      </c>
      <c r="D232" s="3276"/>
      <c r="E232" s="3276"/>
      <c r="F232" s="3276"/>
      <c r="G232" s="3276"/>
      <c r="H232" s="3276"/>
    </row>
    <row r="233" spans="1:17" s="132" customFormat="1" ht="13.5" customHeight="1" x14ac:dyDescent="0.2">
      <c r="A233" s="134"/>
      <c r="C233" s="2119" t="str">
        <f>'TRAD-Calculs pédiatriques'!B66</f>
        <v>AZT+3TC+NVP adulte</v>
      </c>
      <c r="D233" s="2289" t="s">
        <v>17</v>
      </c>
      <c r="E233" s="2316">
        <f>'Saisie données file act.'!F674</f>
        <v>0</v>
      </c>
      <c r="F233" s="2316">
        <f>'Saisie données file act.'!G674</f>
        <v>0</v>
      </c>
      <c r="G233" s="2316">
        <f>'Saisie données file act.'!H674</f>
        <v>1</v>
      </c>
      <c r="H233" s="2317">
        <f>'Saisie données file act.'!I674</f>
        <v>1</v>
      </c>
    </row>
    <row r="234" spans="1:17" s="132" customFormat="1" x14ac:dyDescent="0.2">
      <c r="A234" s="134"/>
      <c r="C234" s="2532" t="str">
        <f>'TRAD-Calculs pédiatriques'!B67</f>
        <v>AZT+3TC+NVP bébé</v>
      </c>
      <c r="D234" s="2290" t="s">
        <v>258</v>
      </c>
      <c r="E234" s="2316">
        <f>'Saisie données file act.'!F675</f>
        <v>1.5</v>
      </c>
      <c r="F234" s="2316">
        <f>'Saisie données file act.'!G675</f>
        <v>2</v>
      </c>
      <c r="G234" s="2316">
        <f>'Saisie données file act.'!H675</f>
        <v>2.5</v>
      </c>
      <c r="H234" s="2317">
        <f>'Saisie données file act.'!I675</f>
        <v>3</v>
      </c>
    </row>
    <row r="235" spans="1:17" s="132" customFormat="1" x14ac:dyDescent="0.2">
      <c r="A235" s="134"/>
      <c r="C235" s="2532" t="str">
        <f>'TRAD-Calculs pédiatriques'!B68</f>
        <v>AZT+3TC adulte</v>
      </c>
      <c r="D235" s="2289" t="s">
        <v>19</v>
      </c>
      <c r="E235" s="2316">
        <f>'Saisie données file act.'!F676</f>
        <v>0</v>
      </c>
      <c r="F235" s="2316">
        <f>'Saisie données file act.'!G676</f>
        <v>0</v>
      </c>
      <c r="G235" s="2316">
        <f>'Saisie données file act.'!H676</f>
        <v>1</v>
      </c>
      <c r="H235" s="2317">
        <f>'Saisie données file act.'!I676</f>
        <v>1</v>
      </c>
    </row>
    <row r="236" spans="1:17" s="132" customFormat="1" x14ac:dyDescent="0.2">
      <c r="A236" s="134"/>
      <c r="C236" s="2532" t="str">
        <f>'TRAD-Calculs pédiatriques'!B69</f>
        <v>AZT+3TC bébé</v>
      </c>
      <c r="D236" s="2289" t="s">
        <v>260</v>
      </c>
      <c r="E236" s="2316">
        <f>'Saisie données file act.'!F677</f>
        <v>1.5</v>
      </c>
      <c r="F236" s="2316">
        <f>'Saisie données file act.'!G677</f>
        <v>2</v>
      </c>
      <c r="G236" s="2316">
        <f>'Saisie données file act.'!H677</f>
        <v>2.5</v>
      </c>
      <c r="H236" s="2317">
        <f>'Saisie données file act.'!I677</f>
        <v>3</v>
      </c>
    </row>
    <row r="237" spans="1:17" s="132" customFormat="1" x14ac:dyDescent="0.2">
      <c r="A237" s="134"/>
      <c r="C237" s="2532" t="str">
        <f>'TRAD-Calculs pédiatriques'!B70</f>
        <v>D4T+3TC+NVP adulte</v>
      </c>
      <c r="D237" s="2290" t="s">
        <v>21</v>
      </c>
      <c r="E237" s="2316">
        <f>'Saisie données file act.'!F678</f>
        <v>0</v>
      </c>
      <c r="F237" s="2316">
        <f>'Saisie données file act.'!G678</f>
        <v>0</v>
      </c>
      <c r="G237" s="2316">
        <f>'Saisie données file act.'!H678</f>
        <v>1</v>
      </c>
      <c r="H237" s="2317">
        <f>'Saisie données file act.'!I678</f>
        <v>1</v>
      </c>
    </row>
    <row r="238" spans="1:17" s="132" customFormat="1" x14ac:dyDescent="0.2">
      <c r="A238" s="134"/>
      <c r="C238" s="2532" t="str">
        <f>'TRAD-Calculs pédiatriques'!B71</f>
        <v>D4T+3TC+NVP bébé</v>
      </c>
      <c r="D238" s="2291" t="s">
        <v>102</v>
      </c>
      <c r="E238" s="2316">
        <f>'Saisie données file act.'!F679</f>
        <v>1.5</v>
      </c>
      <c r="F238" s="2316">
        <f>'Saisie données file act.'!G679</f>
        <v>2</v>
      </c>
      <c r="G238" s="2316">
        <f>'Saisie données file act.'!H679</f>
        <v>2.5</v>
      </c>
      <c r="H238" s="2317">
        <f>'Saisie données file act.'!I679</f>
        <v>3</v>
      </c>
    </row>
    <row r="239" spans="1:17" s="132" customFormat="1" x14ac:dyDescent="0.2">
      <c r="A239" s="134"/>
      <c r="C239" s="2532" t="str">
        <f>'TRAD-Calculs pédiatriques'!B72</f>
        <v>D4T+3TC adulte</v>
      </c>
      <c r="D239" s="2292" t="s">
        <v>23</v>
      </c>
      <c r="E239" s="2316">
        <f>'Saisie données file act.'!F680</f>
        <v>0</v>
      </c>
      <c r="F239" s="2316">
        <f>'Saisie données file act.'!G680</f>
        <v>0</v>
      </c>
      <c r="G239" s="2316">
        <f>'Saisie données file act.'!H680</f>
        <v>1</v>
      </c>
      <c r="H239" s="2317">
        <f>'Saisie données file act.'!I680</f>
        <v>1</v>
      </c>
    </row>
    <row r="240" spans="1:17" s="132" customFormat="1" x14ac:dyDescent="0.2">
      <c r="A240" s="134"/>
      <c r="C240" s="2532" t="str">
        <f>'TRAD-Calculs pédiatriques'!B73</f>
        <v>AZT+3TC+ABC adulte</v>
      </c>
      <c r="D240" s="2289" t="s">
        <v>137</v>
      </c>
      <c r="E240" s="2316">
        <f>'Saisie données file act.'!F681</f>
        <v>0</v>
      </c>
      <c r="F240" s="2316">
        <f>'Saisie données file act.'!G681</f>
        <v>0</v>
      </c>
      <c r="G240" s="2316">
        <f>'Saisie données file act.'!H681</f>
        <v>1</v>
      </c>
      <c r="H240" s="2317">
        <f>'Saisie données file act.'!I681</f>
        <v>1</v>
      </c>
    </row>
    <row r="241" spans="1:17" s="132" customFormat="1" x14ac:dyDescent="0.2">
      <c r="A241" s="134"/>
      <c r="C241" s="2119" t="s">
        <v>596</v>
      </c>
      <c r="D241" s="2289" t="s">
        <v>728</v>
      </c>
      <c r="E241" s="2316">
        <f>'Saisie données file act.'!F683</f>
        <v>0</v>
      </c>
      <c r="F241" s="2316">
        <f>'Saisie données file act.'!G683</f>
        <v>0</v>
      </c>
      <c r="G241" s="2316">
        <f>'Saisie données file act.'!H683</f>
        <v>1</v>
      </c>
      <c r="H241" s="2317">
        <f>'Saisie données file act.'!I683</f>
        <v>1</v>
      </c>
    </row>
    <row r="242" spans="1:17" s="132" customFormat="1" x14ac:dyDescent="0.2">
      <c r="A242" s="134"/>
      <c r="C242" s="2119" t="str">
        <f>'TRAD-Calculs pédiatriques'!B74</f>
        <v>ABC+3TC bébé</v>
      </c>
      <c r="D242" s="2289" t="s">
        <v>727</v>
      </c>
      <c r="E242" s="2316">
        <f>'Saisie données file act.'!F684</f>
        <v>1.5</v>
      </c>
      <c r="F242" s="2316">
        <f>'Saisie données file act.'!G684</f>
        <v>2</v>
      </c>
      <c r="G242" s="2316">
        <f>'Saisie données file act.'!H684</f>
        <v>2.5</v>
      </c>
      <c r="H242" s="2317">
        <f>'Saisie données file act.'!I684</f>
        <v>3</v>
      </c>
    </row>
    <row r="243" spans="1:17" s="132" customFormat="1" x14ac:dyDescent="0.2">
      <c r="A243" s="134"/>
      <c r="C243" s="2119" t="s">
        <v>508</v>
      </c>
      <c r="D243" s="2289" t="s">
        <v>35</v>
      </c>
      <c r="E243" s="2316">
        <f>'Saisie données file act.'!F685</f>
        <v>0</v>
      </c>
      <c r="F243" s="2316">
        <f>'Saisie données file act.'!G685</f>
        <v>0</v>
      </c>
      <c r="G243" s="2316">
        <f>'Saisie données file act.'!H685</f>
        <v>0.5</v>
      </c>
      <c r="H243" s="2317">
        <f>'Saisie données file act.'!I685</f>
        <v>1</v>
      </c>
    </row>
    <row r="244" spans="1:17" s="132" customFormat="1" x14ac:dyDescent="0.2">
      <c r="A244" s="134"/>
      <c r="C244" s="2119" t="str">
        <f>'TRAD-Calculs pédiatriques'!B75</f>
        <v>ABC adulte</v>
      </c>
      <c r="D244" s="2289" t="s">
        <v>33</v>
      </c>
      <c r="E244" s="2316">
        <f>'Saisie données file act.'!F686</f>
        <v>0</v>
      </c>
      <c r="F244" s="2316">
        <f>'Saisie données file act.'!G686</f>
        <v>0</v>
      </c>
      <c r="G244" s="2316">
        <f>'Saisie données file act.'!H686</f>
        <v>0.5</v>
      </c>
      <c r="H244" s="2317">
        <f>'Saisie données file act.'!I686</f>
        <v>1</v>
      </c>
    </row>
    <row r="245" spans="1:17" s="132" customFormat="1" x14ac:dyDescent="0.2">
      <c r="A245" s="134"/>
      <c r="C245" s="2532" t="str">
        <f>'TRAD-Calculs pédiatriques'!B76</f>
        <v>ABC bébé</v>
      </c>
      <c r="D245" s="2289" t="s">
        <v>611</v>
      </c>
      <c r="E245" s="2316">
        <f>'Saisie données file act.'!F687</f>
        <v>1.5</v>
      </c>
      <c r="F245" s="2316">
        <f>'Saisie données file act.'!G687</f>
        <v>2</v>
      </c>
      <c r="G245" s="2316">
        <f>'Saisie données file act.'!H687</f>
        <v>2.5</v>
      </c>
      <c r="H245" s="2317">
        <f>'Saisie données file act.'!I687</f>
        <v>3</v>
      </c>
    </row>
    <row r="246" spans="1:17" s="132" customFormat="1" x14ac:dyDescent="0.2">
      <c r="A246" s="134"/>
      <c r="C246" s="2119" t="s">
        <v>758</v>
      </c>
      <c r="D246" s="2289" t="s">
        <v>46</v>
      </c>
      <c r="E246" s="2316">
        <f>'Saisie données file act.'!F688</f>
        <v>0.6</v>
      </c>
      <c r="F246" s="2316">
        <f>'Saisie données file act.'!G688</f>
        <v>0.6</v>
      </c>
      <c r="G246" s="2316">
        <f>'Saisie données file act.'!H688</f>
        <v>0.9</v>
      </c>
      <c r="H246" s="2317">
        <f>'Saisie données file act.'!I688</f>
        <v>1.2</v>
      </c>
    </row>
    <row r="247" spans="1:17" s="132" customFormat="1" x14ac:dyDescent="0.2">
      <c r="A247" s="134"/>
      <c r="C247" s="2119" t="str">
        <f>'TRAD-Calculs pédiatriques'!B77</f>
        <v>AZT bébé</v>
      </c>
      <c r="D247" s="2289" t="s">
        <v>611</v>
      </c>
      <c r="E247" s="2316">
        <f>'Saisie données file act.'!F689</f>
        <v>1.5</v>
      </c>
      <c r="F247" s="2316">
        <f>'Saisie données file act.'!G689</f>
        <v>2</v>
      </c>
      <c r="G247" s="2316">
        <f>'Saisie données file act.'!H689</f>
        <v>2.5</v>
      </c>
      <c r="H247" s="2317">
        <f>'Saisie données file act.'!I689</f>
        <v>3</v>
      </c>
    </row>
    <row r="248" spans="1:17" s="132" customFormat="1" x14ac:dyDescent="0.2">
      <c r="A248" s="134"/>
      <c r="C248" s="2119" t="s">
        <v>734</v>
      </c>
      <c r="D248" s="2289" t="s">
        <v>38</v>
      </c>
      <c r="E248" s="2316">
        <f>'Saisie données file act.'!F690</f>
        <v>0</v>
      </c>
      <c r="F248" s="2316">
        <f>'Saisie données file act.'!G690</f>
        <v>0</v>
      </c>
      <c r="G248" s="2316">
        <f>'Saisie données file act.'!H690</f>
        <v>0</v>
      </c>
      <c r="H248" s="2317">
        <f>'Saisie données file act.'!I690</f>
        <v>1</v>
      </c>
    </row>
    <row r="249" spans="1:17" s="132" customFormat="1" x14ac:dyDescent="0.2">
      <c r="A249" s="134"/>
      <c r="C249" s="2122" t="str">
        <f>'TRAD-Calculs pédiatriques'!B78</f>
        <v>NVP cp</v>
      </c>
      <c r="D249" s="2293" t="s">
        <v>30</v>
      </c>
      <c r="E249" s="2316">
        <f>'Saisie données file act.'!F691</f>
        <v>0</v>
      </c>
      <c r="F249" s="2318">
        <f>'Saisie données file act.'!G691</f>
        <v>0</v>
      </c>
      <c r="G249" s="2318">
        <f>'Saisie données file act.'!H691</f>
        <v>0.75</v>
      </c>
      <c r="H249" s="2319">
        <f>'Saisie données file act.'!I691</f>
        <v>1</v>
      </c>
    </row>
    <row r="250" spans="1:17" s="132" customFormat="1" x14ac:dyDescent="0.2">
      <c r="A250" s="134"/>
      <c r="C250" s="2122" t="s">
        <v>736</v>
      </c>
      <c r="D250" s="2293" t="s">
        <v>30</v>
      </c>
      <c r="E250" s="2318">
        <f>'Saisie données file act.'!F692</f>
        <v>0</v>
      </c>
      <c r="F250" s="2318">
        <f>'Saisie données file act.'!G692</f>
        <v>1</v>
      </c>
      <c r="G250" s="2318">
        <f>'Saisie données file act.'!H692</f>
        <v>1.5</v>
      </c>
      <c r="H250" s="2319">
        <f>'Saisie données file act.'!I692</f>
        <v>1.5</v>
      </c>
    </row>
    <row r="251" spans="1:17" s="132" customFormat="1" x14ac:dyDescent="0.2">
      <c r="A251" s="134"/>
      <c r="C251" s="2122" t="s">
        <v>756</v>
      </c>
      <c r="D251" s="2293" t="s">
        <v>105</v>
      </c>
      <c r="E251" s="2318">
        <f>'Saisie données file act.'!F693</f>
        <v>0</v>
      </c>
      <c r="F251" s="2318">
        <f>'Saisie données file act.'!G693</f>
        <v>4</v>
      </c>
      <c r="G251" s="2318">
        <f>'Saisie données file act.'!H693</f>
        <v>6</v>
      </c>
      <c r="H251" s="2319">
        <f>'Saisie données file act.'!I693</f>
        <v>8</v>
      </c>
    </row>
    <row r="252" spans="1:17" s="132" customFormat="1" x14ac:dyDescent="0.2">
      <c r="A252" s="134"/>
      <c r="C252" s="2119" t="str">
        <f>'TRAD-Calculs pédiatriques'!B79</f>
        <v>LPV/r adulte</v>
      </c>
      <c r="D252" s="2289" t="s">
        <v>43</v>
      </c>
      <c r="E252" s="2316">
        <f>'Saisie données file act.'!F694</f>
        <v>0</v>
      </c>
      <c r="F252" s="2316">
        <f>'Saisie données file act.'!G694</f>
        <v>0</v>
      </c>
      <c r="G252" s="2316">
        <f>'Saisie données file act.'!H694</f>
        <v>0.5</v>
      </c>
      <c r="H252" s="2317">
        <f>'Saisie données file act.'!I694</f>
        <v>0.5</v>
      </c>
    </row>
    <row r="253" spans="1:17" s="132" customFormat="1" ht="13.5" thickBot="1" x14ac:dyDescent="0.25">
      <c r="A253" s="134"/>
      <c r="C253" s="2532" t="str">
        <f>'TRAD-Calculs pédiatriques'!B80</f>
        <v>LPV/r bébé</v>
      </c>
      <c r="D253" s="2294" t="s">
        <v>496</v>
      </c>
      <c r="E253" s="2320">
        <f>'Saisie données file act.'!F695</f>
        <v>0</v>
      </c>
      <c r="F253" s="2320">
        <f>'Saisie données file act.'!G695</f>
        <v>1.5</v>
      </c>
      <c r="G253" s="2320">
        <f>'Saisie données file act.'!H695</f>
        <v>2</v>
      </c>
      <c r="H253" s="2321">
        <f>'Saisie données file act.'!I695</f>
        <v>2</v>
      </c>
    </row>
    <row r="254" spans="1:17" s="132" customFormat="1" x14ac:dyDescent="0.2">
      <c r="A254" s="134"/>
    </row>
    <row r="255" spans="1:17" s="132" customFormat="1" x14ac:dyDescent="0.2">
      <c r="A255" s="134"/>
    </row>
    <row r="256" spans="1:17" s="131" customFormat="1" ht="14.25" x14ac:dyDescent="0.2">
      <c r="B256" s="2130" t="str">
        <f>'TRAD-Calculs pédiatriques'!B81</f>
        <v>Compilation données poso pédia</v>
      </c>
      <c r="C256" s="1128"/>
      <c r="D256" s="1128"/>
      <c r="E256" s="1128"/>
      <c r="F256" s="1128"/>
      <c r="G256" s="1129"/>
      <c r="H256" s="1129"/>
      <c r="I256" s="1129"/>
      <c r="J256" s="1129"/>
      <c r="K256" s="1129"/>
      <c r="L256" s="1129"/>
      <c r="M256" s="1129"/>
      <c r="Q256" s="141"/>
    </row>
    <row r="257" spans="1:9" s="132" customFormat="1" x14ac:dyDescent="0.2">
      <c r="A257" s="134"/>
    </row>
    <row r="258" spans="1:9" s="132" customFormat="1" ht="13.5" thickBot="1" x14ac:dyDescent="0.25">
      <c r="A258" s="134"/>
      <c r="F258" s="3262" t="str">
        <f>'TRAD-Calculs pédiatriques'!B64</f>
        <v>Poids envisagés</v>
      </c>
      <c r="G258" s="3262"/>
      <c r="H258" s="3262"/>
      <c r="I258" s="3262"/>
    </row>
    <row r="259" spans="1:9" s="132" customFormat="1" ht="13.5" thickBot="1" x14ac:dyDescent="0.25">
      <c r="A259" s="134"/>
      <c r="E259" s="151"/>
      <c r="F259" s="139" t="s">
        <v>53</v>
      </c>
      <c r="G259" s="139" t="s">
        <v>55</v>
      </c>
      <c r="H259" s="139" t="s">
        <v>57</v>
      </c>
      <c r="I259" s="823" t="s">
        <v>59</v>
      </c>
    </row>
    <row r="260" spans="1:9" s="132" customFormat="1" ht="13.5" customHeight="1" thickBot="1" x14ac:dyDescent="0.25">
      <c r="A260" s="134"/>
      <c r="D260" s="3275" t="str">
        <f>'TRAD-Calculs pédiatriques'!B65</f>
        <v>Nb de boites / mois / patient</v>
      </c>
      <c r="E260" s="3276"/>
      <c r="F260" s="3276"/>
      <c r="G260" s="3276"/>
      <c r="H260" s="3276"/>
      <c r="I260" s="3276"/>
    </row>
    <row r="261" spans="1:9" s="132" customFormat="1" x14ac:dyDescent="0.2">
      <c r="A261" s="134"/>
      <c r="C261" s="2322" t="str">
        <f>'TRAD-Calculs pédiatriques'!B53</f>
        <v>sol buv</v>
      </c>
      <c r="D261" s="2329" t="s">
        <v>32</v>
      </c>
      <c r="E261" s="2330" t="s">
        <v>80</v>
      </c>
      <c r="F261" s="2331">
        <f t="shared" ref="F261:F268" si="67">G192</f>
        <v>2.28125</v>
      </c>
      <c r="G261" s="2332">
        <f t="shared" ref="G261:G268" si="68">G205</f>
        <v>3</v>
      </c>
      <c r="H261" s="2331">
        <f t="shared" ref="H261:H268" si="69">G218</f>
        <v>3.75</v>
      </c>
      <c r="I261" s="2333"/>
    </row>
    <row r="262" spans="1:9" s="132" customFormat="1" x14ac:dyDescent="0.2">
      <c r="A262" s="134"/>
      <c r="C262" s="2327"/>
      <c r="D262" s="781" t="s">
        <v>82</v>
      </c>
      <c r="E262" s="2291" t="s">
        <v>80</v>
      </c>
      <c r="F262" s="2312">
        <f t="shared" si="67"/>
        <v>1.75</v>
      </c>
      <c r="G262" s="2312">
        <f t="shared" si="68"/>
        <v>3</v>
      </c>
      <c r="H262" s="2312">
        <f t="shared" si="69"/>
        <v>3.75</v>
      </c>
      <c r="I262" s="1133"/>
    </row>
    <row r="263" spans="1:9" s="132" customFormat="1" x14ac:dyDescent="0.2">
      <c r="A263" s="134"/>
      <c r="C263" s="2327"/>
      <c r="D263" s="780" t="s">
        <v>34</v>
      </c>
      <c r="E263" s="2292" t="s">
        <v>80</v>
      </c>
      <c r="F263" s="2311">
        <f t="shared" si="67"/>
        <v>1</v>
      </c>
      <c r="G263" s="2312">
        <f t="shared" si="68"/>
        <v>1.5</v>
      </c>
      <c r="H263" s="2311">
        <f t="shared" si="69"/>
        <v>1.875</v>
      </c>
      <c r="I263" s="1169"/>
    </row>
    <row r="264" spans="1:9" s="132" customFormat="1" x14ac:dyDescent="0.2">
      <c r="A264" s="134"/>
      <c r="C264" s="2327"/>
      <c r="D264" s="780" t="s">
        <v>36</v>
      </c>
      <c r="E264" s="2289" t="s">
        <v>80</v>
      </c>
      <c r="F264" s="2311">
        <f t="shared" si="67"/>
        <v>0.75</v>
      </c>
      <c r="G264" s="2312">
        <f t="shared" si="68"/>
        <v>1.5</v>
      </c>
      <c r="H264" s="2311">
        <f t="shared" si="69"/>
        <v>1.875</v>
      </c>
      <c r="I264" s="1169"/>
    </row>
    <row r="265" spans="1:9" s="132" customFormat="1" x14ac:dyDescent="0.2">
      <c r="A265" s="134"/>
      <c r="C265" s="2327"/>
      <c r="D265" s="780" t="s">
        <v>37</v>
      </c>
      <c r="E265" s="2289" t="s">
        <v>86</v>
      </c>
      <c r="F265" s="2311">
        <f t="shared" si="67"/>
        <v>1.5</v>
      </c>
      <c r="G265" s="2312">
        <f t="shared" si="68"/>
        <v>2.1</v>
      </c>
      <c r="H265" s="2311">
        <f t="shared" si="69"/>
        <v>3</v>
      </c>
      <c r="I265" s="1169"/>
    </row>
    <row r="266" spans="1:9" s="132" customFormat="1" x14ac:dyDescent="0.2">
      <c r="A266" s="134"/>
      <c r="C266" s="2327"/>
      <c r="D266" s="780" t="s">
        <v>29</v>
      </c>
      <c r="E266" s="2289" t="s">
        <v>88</v>
      </c>
      <c r="F266" s="2311">
        <f t="shared" si="67"/>
        <v>1.75</v>
      </c>
      <c r="G266" s="2312">
        <f t="shared" si="68"/>
        <v>2.5</v>
      </c>
      <c r="H266" s="2311">
        <f t="shared" si="69"/>
        <v>3</v>
      </c>
      <c r="I266" s="1169"/>
    </row>
    <row r="267" spans="1:9" s="132" customFormat="1" x14ac:dyDescent="0.2">
      <c r="A267" s="134"/>
      <c r="C267" s="2327"/>
      <c r="D267" s="780" t="s">
        <v>27</v>
      </c>
      <c r="E267" s="2289" t="s">
        <v>91</v>
      </c>
      <c r="F267" s="2313">
        <f t="shared" si="67"/>
        <v>0</v>
      </c>
      <c r="G267" s="2312">
        <f t="shared" si="68"/>
        <v>1.1666666666666667</v>
      </c>
      <c r="H267" s="2311">
        <f t="shared" si="69"/>
        <v>2.1666666666666665</v>
      </c>
      <c r="I267" s="1169"/>
    </row>
    <row r="268" spans="1:9" s="132" customFormat="1" ht="13.5" thickBot="1" x14ac:dyDescent="0.25">
      <c r="A268" s="134"/>
      <c r="C268" s="2328"/>
      <c r="D268" s="2334" t="s">
        <v>42</v>
      </c>
      <c r="E268" s="2294" t="s">
        <v>93</v>
      </c>
      <c r="F268" s="2335">
        <f t="shared" si="67"/>
        <v>1.5</v>
      </c>
      <c r="G268" s="2335">
        <f t="shared" si="68"/>
        <v>2</v>
      </c>
      <c r="H268" s="2335">
        <f t="shared" si="69"/>
        <v>2.5</v>
      </c>
      <c r="I268" s="1170"/>
    </row>
    <row r="269" spans="1:9" s="132" customFormat="1" ht="13.5" thickBot="1" x14ac:dyDescent="0.25">
      <c r="A269" s="134"/>
      <c r="C269" s="2322" t="str">
        <f>'TRAD-Calculs pédiatriques'!B82</f>
        <v>Cp</v>
      </c>
      <c r="D269" s="2323" t="str">
        <f>'TRAD-Calculs pédiatriques'!B66</f>
        <v>AZT+3TC+NVP adulte</v>
      </c>
      <c r="E269" s="2324" t="s">
        <v>17</v>
      </c>
      <c r="F269" s="2325">
        <f t="shared" ref="F269:I289" si="70">E233</f>
        <v>0</v>
      </c>
      <c r="G269" s="2325">
        <f t="shared" si="70"/>
        <v>0</v>
      </c>
      <c r="H269" s="2325">
        <f t="shared" si="70"/>
        <v>1</v>
      </c>
      <c r="I269" s="2326">
        <f t="shared" si="70"/>
        <v>1</v>
      </c>
    </row>
    <row r="270" spans="1:9" s="132" customFormat="1" ht="13.5" thickBot="1" x14ac:dyDescent="0.25">
      <c r="A270" s="134"/>
      <c r="C270" s="2327"/>
      <c r="D270" s="2323" t="str">
        <f>'TRAD-Calculs pédiatriques'!B67</f>
        <v>AZT+3TC+NVP bébé</v>
      </c>
      <c r="E270" s="2290" t="s">
        <v>258</v>
      </c>
      <c r="F270" s="2316">
        <f t="shared" si="70"/>
        <v>1.5</v>
      </c>
      <c r="G270" s="2316">
        <f t="shared" si="70"/>
        <v>2</v>
      </c>
      <c r="H270" s="2316">
        <f t="shared" si="70"/>
        <v>2.5</v>
      </c>
      <c r="I270" s="2317">
        <f t="shared" si="70"/>
        <v>3</v>
      </c>
    </row>
    <row r="271" spans="1:9" s="132" customFormat="1" ht="13.5" thickBot="1" x14ac:dyDescent="0.25">
      <c r="A271" s="134"/>
      <c r="C271" s="2327"/>
      <c r="D271" s="2323" t="str">
        <f>'TRAD-Calculs pédiatriques'!B68</f>
        <v>AZT+3TC adulte</v>
      </c>
      <c r="E271" s="2289" t="s">
        <v>19</v>
      </c>
      <c r="F271" s="2316">
        <f t="shared" si="70"/>
        <v>0</v>
      </c>
      <c r="G271" s="2316">
        <f t="shared" si="70"/>
        <v>0</v>
      </c>
      <c r="H271" s="2316">
        <f t="shared" si="70"/>
        <v>1</v>
      </c>
      <c r="I271" s="2317">
        <f t="shared" si="70"/>
        <v>1</v>
      </c>
    </row>
    <row r="272" spans="1:9" s="132" customFormat="1" ht="13.5" thickBot="1" x14ac:dyDescent="0.25">
      <c r="A272" s="134"/>
      <c r="C272" s="2327"/>
      <c r="D272" s="2323" t="str">
        <f>'TRAD-Calculs pédiatriques'!B69</f>
        <v>AZT+3TC bébé</v>
      </c>
      <c r="E272" s="2289" t="s">
        <v>260</v>
      </c>
      <c r="F272" s="2316">
        <f t="shared" si="70"/>
        <v>1.5</v>
      </c>
      <c r="G272" s="2316">
        <f t="shared" si="70"/>
        <v>2</v>
      </c>
      <c r="H272" s="2316">
        <f t="shared" si="70"/>
        <v>2.5</v>
      </c>
      <c r="I272" s="2317">
        <f t="shared" si="70"/>
        <v>3</v>
      </c>
    </row>
    <row r="273" spans="1:9" s="132" customFormat="1" ht="13.5" thickBot="1" x14ac:dyDescent="0.25">
      <c r="A273" s="134"/>
      <c r="C273" s="2327"/>
      <c r="D273" s="2323" t="str">
        <f>'TRAD-Calculs pédiatriques'!B70</f>
        <v>D4T+3TC+NVP adulte</v>
      </c>
      <c r="E273" s="2290" t="s">
        <v>21</v>
      </c>
      <c r="F273" s="2316">
        <f t="shared" si="70"/>
        <v>0</v>
      </c>
      <c r="G273" s="2316">
        <f t="shared" si="70"/>
        <v>0</v>
      </c>
      <c r="H273" s="2316">
        <f t="shared" si="70"/>
        <v>1</v>
      </c>
      <c r="I273" s="2317">
        <f t="shared" si="70"/>
        <v>1</v>
      </c>
    </row>
    <row r="274" spans="1:9" s="132" customFormat="1" ht="13.5" thickBot="1" x14ac:dyDescent="0.25">
      <c r="A274" s="134"/>
      <c r="C274" s="2327"/>
      <c r="D274" s="2323" t="str">
        <f>'TRAD-Calculs pédiatriques'!B71</f>
        <v>D4T+3TC+NVP bébé</v>
      </c>
      <c r="E274" s="2291" t="s">
        <v>102</v>
      </c>
      <c r="F274" s="2316">
        <f t="shared" si="70"/>
        <v>1.5</v>
      </c>
      <c r="G274" s="2316">
        <f t="shared" si="70"/>
        <v>2</v>
      </c>
      <c r="H274" s="2316">
        <f t="shared" si="70"/>
        <v>2.5</v>
      </c>
      <c r="I274" s="2317">
        <f t="shared" si="70"/>
        <v>3</v>
      </c>
    </row>
    <row r="275" spans="1:9" s="132" customFormat="1" ht="13.5" thickBot="1" x14ac:dyDescent="0.25">
      <c r="A275" s="134"/>
      <c r="C275" s="2327"/>
      <c r="D275" s="2323" t="str">
        <f>'TRAD-Calculs pédiatriques'!B72</f>
        <v>D4T+3TC adulte</v>
      </c>
      <c r="E275" s="2292" t="s">
        <v>23</v>
      </c>
      <c r="F275" s="2316">
        <f t="shared" si="70"/>
        <v>0</v>
      </c>
      <c r="G275" s="2316">
        <f t="shared" si="70"/>
        <v>0</v>
      </c>
      <c r="H275" s="2316">
        <f t="shared" si="70"/>
        <v>1</v>
      </c>
      <c r="I275" s="2317">
        <f t="shared" si="70"/>
        <v>1</v>
      </c>
    </row>
    <row r="276" spans="1:9" s="132" customFormat="1" x14ac:dyDescent="0.2">
      <c r="A276" s="134"/>
      <c r="C276" s="2327"/>
      <c r="D276" s="2323" t="str">
        <f>'TRAD-Calculs pédiatriques'!B73</f>
        <v>AZT+3TC+ABC adulte</v>
      </c>
      <c r="E276" s="2289" t="s">
        <v>137</v>
      </c>
      <c r="F276" s="2316">
        <f t="shared" si="70"/>
        <v>0</v>
      </c>
      <c r="G276" s="2316">
        <f t="shared" si="70"/>
        <v>0</v>
      </c>
      <c r="H276" s="2316">
        <f t="shared" si="70"/>
        <v>1</v>
      </c>
      <c r="I276" s="2317">
        <f t="shared" si="70"/>
        <v>1</v>
      </c>
    </row>
    <row r="277" spans="1:9" s="132" customFormat="1" x14ac:dyDescent="0.2">
      <c r="A277" s="134"/>
      <c r="C277" s="2327"/>
      <c r="D277" s="2119" t="s">
        <v>596</v>
      </c>
      <c r="E277" s="2289" t="s">
        <v>728</v>
      </c>
      <c r="F277" s="2316">
        <f t="shared" si="70"/>
        <v>0</v>
      </c>
      <c r="G277" s="2316">
        <f t="shared" si="70"/>
        <v>0</v>
      </c>
      <c r="H277" s="2316">
        <f t="shared" si="70"/>
        <v>1</v>
      </c>
      <c r="I277" s="2317">
        <f t="shared" si="70"/>
        <v>1</v>
      </c>
    </row>
    <row r="278" spans="1:9" s="132" customFormat="1" x14ac:dyDescent="0.2">
      <c r="A278" s="134"/>
      <c r="C278" s="2327"/>
      <c r="D278" s="2119" t="str">
        <f>'TRAD-Calculs pédiatriques'!B74</f>
        <v>ABC+3TC bébé</v>
      </c>
      <c r="E278" s="2289" t="s">
        <v>727</v>
      </c>
      <c r="F278" s="2316">
        <f t="shared" si="70"/>
        <v>1.5</v>
      </c>
      <c r="G278" s="2316">
        <f t="shared" si="70"/>
        <v>2</v>
      </c>
      <c r="H278" s="2316">
        <f t="shared" si="70"/>
        <v>2.5</v>
      </c>
      <c r="I278" s="2317">
        <f t="shared" si="70"/>
        <v>3</v>
      </c>
    </row>
    <row r="279" spans="1:9" s="132" customFormat="1" x14ac:dyDescent="0.2">
      <c r="A279" s="134"/>
      <c r="C279" s="2327"/>
      <c r="D279" s="2119" t="s">
        <v>508</v>
      </c>
      <c r="E279" s="2289" t="s">
        <v>35</v>
      </c>
      <c r="F279" s="2316">
        <f t="shared" si="70"/>
        <v>0</v>
      </c>
      <c r="G279" s="2316">
        <f t="shared" si="70"/>
        <v>0</v>
      </c>
      <c r="H279" s="2316">
        <f t="shared" si="70"/>
        <v>0.5</v>
      </c>
      <c r="I279" s="2317">
        <f t="shared" si="70"/>
        <v>1</v>
      </c>
    </row>
    <row r="280" spans="1:9" s="132" customFormat="1" x14ac:dyDescent="0.2">
      <c r="A280" s="134"/>
      <c r="C280" s="2327"/>
      <c r="D280" s="2119" t="str">
        <f>'TRAD-Calculs pédiatriques'!B75</f>
        <v>ABC adulte</v>
      </c>
      <c r="E280" s="2289" t="s">
        <v>33</v>
      </c>
      <c r="F280" s="2316">
        <f t="shared" si="70"/>
        <v>0</v>
      </c>
      <c r="G280" s="2316">
        <f t="shared" si="70"/>
        <v>0</v>
      </c>
      <c r="H280" s="2316">
        <f t="shared" si="70"/>
        <v>0.5</v>
      </c>
      <c r="I280" s="2317">
        <f t="shared" si="70"/>
        <v>1</v>
      </c>
    </row>
    <row r="281" spans="1:9" s="132" customFormat="1" x14ac:dyDescent="0.2">
      <c r="A281" s="134"/>
      <c r="C281" s="2327"/>
      <c r="D281" s="2532" t="str">
        <f>'TRAD-Calculs pédiatriques'!B76</f>
        <v>ABC bébé</v>
      </c>
      <c r="E281" s="2289" t="s">
        <v>611</v>
      </c>
      <c r="F281" s="2316">
        <f t="shared" si="70"/>
        <v>1.5</v>
      </c>
      <c r="G281" s="2316">
        <f t="shared" si="70"/>
        <v>2</v>
      </c>
      <c r="H281" s="2316">
        <f t="shared" si="70"/>
        <v>2.5</v>
      </c>
      <c r="I281" s="2317">
        <f t="shared" si="70"/>
        <v>3</v>
      </c>
    </row>
    <row r="282" spans="1:9" s="132" customFormat="1" x14ac:dyDescent="0.2">
      <c r="A282" s="134"/>
      <c r="C282" s="2327"/>
      <c r="D282" s="2119" t="s">
        <v>758</v>
      </c>
      <c r="E282" s="2289" t="s">
        <v>46</v>
      </c>
      <c r="F282" s="2316">
        <f t="shared" si="70"/>
        <v>0.6</v>
      </c>
      <c r="G282" s="2316">
        <f t="shared" si="70"/>
        <v>0.6</v>
      </c>
      <c r="H282" s="2316">
        <f t="shared" si="70"/>
        <v>0.9</v>
      </c>
      <c r="I282" s="2317">
        <f t="shared" si="70"/>
        <v>1.2</v>
      </c>
    </row>
    <row r="283" spans="1:9" s="132" customFormat="1" x14ac:dyDescent="0.2">
      <c r="A283" s="134"/>
      <c r="C283" s="2327"/>
      <c r="D283" s="2119" t="str">
        <f>'TRAD-Calculs pédiatriques'!B77</f>
        <v>AZT bébé</v>
      </c>
      <c r="E283" s="2289" t="s">
        <v>611</v>
      </c>
      <c r="F283" s="2316">
        <f t="shared" si="70"/>
        <v>1.5</v>
      </c>
      <c r="G283" s="2316">
        <f t="shared" si="70"/>
        <v>2</v>
      </c>
      <c r="H283" s="2316">
        <f t="shared" si="70"/>
        <v>2.5</v>
      </c>
      <c r="I283" s="2317">
        <f t="shared" si="70"/>
        <v>3</v>
      </c>
    </row>
    <row r="284" spans="1:9" s="132" customFormat="1" x14ac:dyDescent="0.2">
      <c r="A284" s="134"/>
      <c r="C284" s="2327"/>
      <c r="D284" s="2119" t="s">
        <v>734</v>
      </c>
      <c r="E284" s="2289" t="s">
        <v>38</v>
      </c>
      <c r="F284" s="2316">
        <f t="shared" si="70"/>
        <v>0</v>
      </c>
      <c r="G284" s="2316">
        <f t="shared" si="70"/>
        <v>0</v>
      </c>
      <c r="H284" s="2316">
        <f t="shared" si="70"/>
        <v>0</v>
      </c>
      <c r="I284" s="2317">
        <f t="shared" si="70"/>
        <v>1</v>
      </c>
    </row>
    <row r="285" spans="1:9" s="132" customFormat="1" x14ac:dyDescent="0.2">
      <c r="A285" s="134"/>
      <c r="C285" s="2327"/>
      <c r="D285" s="2122" t="str">
        <f>'TRAD-Calculs pédiatriques'!B78</f>
        <v>NVP cp</v>
      </c>
      <c r="E285" s="2293" t="s">
        <v>30</v>
      </c>
      <c r="F285" s="2316">
        <f t="shared" si="70"/>
        <v>0</v>
      </c>
      <c r="G285" s="2318">
        <f t="shared" si="70"/>
        <v>0</v>
      </c>
      <c r="H285" s="2318">
        <f t="shared" si="70"/>
        <v>0.75</v>
      </c>
      <c r="I285" s="2319">
        <f t="shared" si="70"/>
        <v>1</v>
      </c>
    </row>
    <row r="286" spans="1:9" s="132" customFormat="1" x14ac:dyDescent="0.2">
      <c r="A286" s="134"/>
      <c r="C286" s="2327"/>
      <c r="D286" s="2122" t="s">
        <v>736</v>
      </c>
      <c r="E286" s="2293" t="s">
        <v>30</v>
      </c>
      <c r="F286" s="2318">
        <f t="shared" si="70"/>
        <v>0</v>
      </c>
      <c r="G286" s="2318">
        <f t="shared" si="70"/>
        <v>1</v>
      </c>
      <c r="H286" s="2318">
        <f t="shared" si="70"/>
        <v>1.5</v>
      </c>
      <c r="I286" s="2319">
        <f t="shared" si="70"/>
        <v>1.5</v>
      </c>
    </row>
    <row r="287" spans="1:9" s="132" customFormat="1" x14ac:dyDescent="0.2">
      <c r="A287" s="134"/>
      <c r="C287" s="2327"/>
      <c r="D287" s="2122" t="s">
        <v>756</v>
      </c>
      <c r="E287" s="2293" t="s">
        <v>105</v>
      </c>
      <c r="F287" s="2318">
        <f t="shared" si="70"/>
        <v>0</v>
      </c>
      <c r="G287" s="2318">
        <f t="shared" si="70"/>
        <v>4</v>
      </c>
      <c r="H287" s="2318">
        <f t="shared" si="70"/>
        <v>6</v>
      </c>
      <c r="I287" s="2319">
        <f t="shared" si="70"/>
        <v>8</v>
      </c>
    </row>
    <row r="288" spans="1:9" s="132" customFormat="1" x14ac:dyDescent="0.2">
      <c r="A288" s="134"/>
      <c r="C288" s="2327"/>
      <c r="D288" s="2119" t="str">
        <f>'TRAD-Calculs pédiatriques'!B79</f>
        <v>LPV/r adulte</v>
      </c>
      <c r="E288" s="2289" t="s">
        <v>43</v>
      </c>
      <c r="F288" s="2316">
        <f t="shared" si="70"/>
        <v>0</v>
      </c>
      <c r="G288" s="2316">
        <f t="shared" si="70"/>
        <v>0</v>
      </c>
      <c r="H288" s="2316">
        <f t="shared" si="70"/>
        <v>0.5</v>
      </c>
      <c r="I288" s="2317">
        <f t="shared" si="70"/>
        <v>0.5</v>
      </c>
    </row>
    <row r="289" spans="1:34" s="132" customFormat="1" ht="13.5" thickBot="1" x14ac:dyDescent="0.25">
      <c r="A289" s="134"/>
      <c r="C289" s="2328"/>
      <c r="D289" s="2532" t="str">
        <f>'TRAD-Calculs pédiatriques'!B80</f>
        <v>LPV/r bébé</v>
      </c>
      <c r="E289" s="2294" t="s">
        <v>496</v>
      </c>
      <c r="F289" s="2320">
        <f t="shared" si="70"/>
        <v>0</v>
      </c>
      <c r="G289" s="2320">
        <f t="shared" si="70"/>
        <v>1.5</v>
      </c>
      <c r="H289" s="2320">
        <f t="shared" si="70"/>
        <v>2</v>
      </c>
      <c r="I289" s="2321">
        <f t="shared" si="70"/>
        <v>2</v>
      </c>
    </row>
    <row r="290" spans="1:34" s="132" customFormat="1" x14ac:dyDescent="0.2">
      <c r="A290" s="134"/>
      <c r="C290" s="134"/>
      <c r="F290" s="190"/>
      <c r="G290" s="190"/>
    </row>
    <row r="292" spans="1:34" s="131" customFormat="1" ht="15.75" thickBot="1" x14ac:dyDescent="0.25">
      <c r="A292" s="1131" t="str">
        <f>'TRAD-Calculs pédiatriques'!B83</f>
        <v>Sélection des produits &amp; détails des calculs</v>
      </c>
      <c r="B292" s="1043"/>
      <c r="C292" s="1043"/>
      <c r="D292" s="1043"/>
      <c r="E292" s="1043"/>
      <c r="F292" s="1043"/>
      <c r="G292" s="1043"/>
      <c r="H292" s="1043"/>
      <c r="I292" s="1043"/>
      <c r="J292" s="1043"/>
      <c r="K292" s="1043"/>
      <c r="L292" s="1043"/>
    </row>
    <row r="293" spans="1:34" s="132" customFormat="1" ht="13.5" thickBot="1" x14ac:dyDescent="0.25">
      <c r="A293" s="134"/>
    </row>
    <row r="294" spans="1:34" ht="13.5" thickBot="1" x14ac:dyDescent="0.25">
      <c r="B294" s="1168" t="str">
        <f>'TRAD-Calculs pédiatriques'!B84</f>
        <v>Tranche 3 - 9,9 kg</v>
      </c>
      <c r="C294" s="1162"/>
      <c r="D294" s="1166"/>
      <c r="E294" s="1166"/>
      <c r="F294" s="1166"/>
      <c r="G294" s="1167"/>
      <c r="I294" s="1166"/>
      <c r="J294" s="1166"/>
    </row>
    <row r="295" spans="1:34" ht="13.5" thickBot="1" x14ac:dyDescent="0.25">
      <c r="D295" s="1172"/>
      <c r="E295" s="1173"/>
      <c r="F295" s="1173"/>
      <c r="G295" s="1173"/>
      <c r="H295" s="1162"/>
      <c r="I295" s="1173"/>
      <c r="J295" s="1173"/>
      <c r="K295" s="1162"/>
      <c r="L295" s="191"/>
      <c r="M295" s="1162"/>
      <c r="N295" s="1162"/>
      <c r="O295" s="1162"/>
      <c r="P295" s="1162"/>
      <c r="Q295" s="1162"/>
      <c r="R295" s="1162"/>
      <c r="S295" s="1162"/>
      <c r="T295" s="1162"/>
      <c r="U295" s="1162"/>
      <c r="V295" s="1162"/>
      <c r="W295" s="1162"/>
      <c r="X295" s="1162"/>
      <c r="Y295" s="1162"/>
      <c r="Z295" s="1163"/>
    </row>
    <row r="296" spans="1:34" ht="13.5" thickBot="1" x14ac:dyDescent="0.25">
      <c r="C296" s="2266"/>
      <c r="D296" s="2267" t="str">
        <f>'TRAD-Calculs pédiatriques'!B53</f>
        <v>sol buv</v>
      </c>
      <c r="E296" s="2127"/>
      <c r="F296" s="2127"/>
      <c r="G296" s="2127"/>
      <c r="H296" s="2263"/>
      <c r="I296" s="2127"/>
      <c r="J296" s="2127"/>
      <c r="K296" s="2263"/>
      <c r="L296" s="2250" t="str">
        <f>'TRAD-Calculs pédiatriques'!B102</f>
        <v>Comprimés</v>
      </c>
      <c r="M296" s="2268"/>
      <c r="N296" s="2269"/>
      <c r="O296" s="2269"/>
      <c r="Q296" s="2268"/>
      <c r="R296" s="2268"/>
      <c r="S296" s="2268"/>
      <c r="T296" s="2268"/>
      <c r="U296" s="2268"/>
      <c r="V296" s="2269"/>
      <c r="W296" s="2269"/>
      <c r="X296" s="2269"/>
      <c r="Y296" s="2269"/>
      <c r="Z296" s="2269"/>
      <c r="AA296" s="2269"/>
      <c r="AB296" s="2269"/>
      <c r="AC296" s="2269"/>
      <c r="AD296" s="2269"/>
      <c r="AF296" s="2269"/>
    </row>
    <row r="297" spans="1:34" s="1123" customFormat="1" ht="38.25" x14ac:dyDescent="0.2">
      <c r="A297" s="1122"/>
      <c r="C297" s="2274" t="str">
        <f>'TRAD-Calculs pédiatriques'!B85</f>
        <v>Nb de boites / mois pour l'ensemble des patients</v>
      </c>
      <c r="D297" s="2275" t="s">
        <v>32</v>
      </c>
      <c r="E297" s="2275" t="s">
        <v>82</v>
      </c>
      <c r="F297" s="2275" t="s">
        <v>34</v>
      </c>
      <c r="G297" s="2275" t="s">
        <v>36</v>
      </c>
      <c r="H297" s="2275" t="s">
        <v>37</v>
      </c>
      <c r="I297" s="2275" t="s">
        <v>29</v>
      </c>
      <c r="J297" s="2275" t="s">
        <v>27</v>
      </c>
      <c r="K297" s="2276" t="s">
        <v>42</v>
      </c>
      <c r="L297" s="2277" t="s">
        <v>1</v>
      </c>
      <c r="M297" s="2276" t="str">
        <f>'TRAD-Calculs pédiatriques'!B67</f>
        <v>AZT+3TC+NVP bébé</v>
      </c>
      <c r="N297" s="2276" t="s">
        <v>18</v>
      </c>
      <c r="O297" s="2276" t="str">
        <f>'TRAD-Calculs pédiatriques'!B69</f>
        <v>AZT+3TC bébé</v>
      </c>
      <c r="P297" s="2276" t="s">
        <v>2</v>
      </c>
      <c r="Q297" s="2277" t="str">
        <f>'TRAD-Calculs pédiatriques'!B71</f>
        <v>D4T+3TC+NVP bébé</v>
      </c>
      <c r="R297" s="2276" t="s">
        <v>22</v>
      </c>
      <c r="S297" s="2276" t="s">
        <v>3</v>
      </c>
      <c r="T297" s="2276" t="s">
        <v>596</v>
      </c>
      <c r="U297" s="2276" t="str">
        <f>'TRAD-Calculs pédiatriques'!B74</f>
        <v>ABC+3TC bébé</v>
      </c>
      <c r="V297" s="2276" t="s">
        <v>34</v>
      </c>
      <c r="W297" s="2276" t="s">
        <v>36</v>
      </c>
      <c r="X297" s="2276" t="str">
        <f>'TRAD-Calculs pédiatriques'!B76</f>
        <v>ABC bébé</v>
      </c>
      <c r="Y297" s="2276" t="s">
        <v>32</v>
      </c>
      <c r="Z297" s="2276" t="str">
        <f>'TRAD-Calculs pédiatriques'!B77</f>
        <v>AZT bébé</v>
      </c>
      <c r="AA297" s="2276" t="s">
        <v>37</v>
      </c>
      <c r="AB297" s="2276" t="s">
        <v>29</v>
      </c>
      <c r="AC297" s="2276" t="s">
        <v>27</v>
      </c>
      <c r="AD297" s="2276" t="s">
        <v>27</v>
      </c>
      <c r="AE297" s="2278" t="s">
        <v>42</v>
      </c>
      <c r="AF297" s="2278" t="str">
        <f>'TRAD-Calculs pédiatriques'!B80</f>
        <v>LPV/r bébé</v>
      </c>
    </row>
    <row r="298" spans="1:34" s="1123" customFormat="1" ht="26.25" thickBot="1" x14ac:dyDescent="0.25">
      <c r="A298" s="1122"/>
      <c r="C298" s="1109" t="str">
        <f>'TRAD-Calculs pédiatriques'!B46</f>
        <v>Dosage</v>
      </c>
      <c r="D298" s="1124" t="s">
        <v>80</v>
      </c>
      <c r="E298" s="1125" t="s">
        <v>80</v>
      </c>
      <c r="F298" s="1125" t="s">
        <v>80</v>
      </c>
      <c r="G298" s="1125" t="s">
        <v>88</v>
      </c>
      <c r="H298" s="1125" t="s">
        <v>91</v>
      </c>
      <c r="I298" s="1125" t="s">
        <v>80</v>
      </c>
      <c r="J298" s="1125" t="s">
        <v>86</v>
      </c>
      <c r="K298" s="1124" t="s">
        <v>93</v>
      </c>
      <c r="L298" s="1182" t="s">
        <v>17</v>
      </c>
      <c r="M298" s="1124" t="s">
        <v>258</v>
      </c>
      <c r="N298" s="1124" t="s">
        <v>19</v>
      </c>
      <c r="O298" s="1124" t="s">
        <v>260</v>
      </c>
      <c r="P298" s="1124" t="s">
        <v>21</v>
      </c>
      <c r="Q298" s="1182" t="s">
        <v>102</v>
      </c>
      <c r="R298" s="1124" t="s">
        <v>23</v>
      </c>
      <c r="S298" s="1124" t="s">
        <v>137</v>
      </c>
      <c r="T298" s="1124" t="s">
        <v>728</v>
      </c>
      <c r="U298" s="1124" t="s">
        <v>260</v>
      </c>
      <c r="V298" s="1124" t="s">
        <v>35</v>
      </c>
      <c r="W298" s="1124" t="s">
        <v>33</v>
      </c>
      <c r="X298" s="1124" t="s">
        <v>611</v>
      </c>
      <c r="Y298" s="1124" t="s">
        <v>46</v>
      </c>
      <c r="Z298" s="1124" t="s">
        <v>611</v>
      </c>
      <c r="AA298" s="1124" t="s">
        <v>38</v>
      </c>
      <c r="AB298" s="1124" t="s">
        <v>30</v>
      </c>
      <c r="AC298" s="1124" t="s">
        <v>30</v>
      </c>
      <c r="AD298" s="1124" t="s">
        <v>105</v>
      </c>
      <c r="AE298" s="1126" t="s">
        <v>43</v>
      </c>
      <c r="AF298" s="1126" t="s">
        <v>496</v>
      </c>
      <c r="AG298" s="1117" t="str">
        <f>'TRAD-Calculs pédiatriques'!B87</f>
        <v>Patients suivis</v>
      </c>
      <c r="AH298" s="1117" t="str">
        <f>'TRAD-Calculs pédiatriques'!B88</f>
        <v>Patients initiés</v>
      </c>
    </row>
    <row r="299" spans="1:34" s="2280" customFormat="1" ht="26.25" thickBot="1" x14ac:dyDescent="0.25">
      <c r="A299" s="2279"/>
      <c r="C299" s="2281" t="str">
        <f>'TRAD-Calculs pédiatriques'!B86</f>
        <v>Nb de cdt/mois pour la tranche</v>
      </c>
      <c r="D299" s="2282">
        <f t="array" ref="D299:AF299">TRANSPOSE(F261:F289)</f>
        <v>2.28125</v>
      </c>
      <c r="E299" s="2282">
        <v>1.75</v>
      </c>
      <c r="F299" s="2282">
        <v>1</v>
      </c>
      <c r="G299" s="2282">
        <v>0.75</v>
      </c>
      <c r="H299" s="2282">
        <v>1.5</v>
      </c>
      <c r="I299" s="2282">
        <v>1.75</v>
      </c>
      <c r="J299" s="2282">
        <v>0</v>
      </c>
      <c r="K299" s="2283">
        <v>1.5</v>
      </c>
      <c r="L299" s="2284">
        <v>0</v>
      </c>
      <c r="M299" s="2283">
        <v>1.5</v>
      </c>
      <c r="N299" s="2283">
        <v>0</v>
      </c>
      <c r="O299" s="2283">
        <v>1.5</v>
      </c>
      <c r="P299" s="2283">
        <v>0</v>
      </c>
      <c r="Q299" s="2284">
        <v>1.5</v>
      </c>
      <c r="R299" s="2283">
        <v>0</v>
      </c>
      <c r="S299" s="2283">
        <v>0</v>
      </c>
      <c r="T299" s="2283">
        <v>0</v>
      </c>
      <c r="U299" s="2283">
        <v>1.5</v>
      </c>
      <c r="V299" s="2283">
        <v>0</v>
      </c>
      <c r="W299" s="2283">
        <v>0</v>
      </c>
      <c r="X299" s="2283">
        <v>1.5</v>
      </c>
      <c r="Y299" s="2283">
        <v>0.6</v>
      </c>
      <c r="Z299" s="2283">
        <v>1.5</v>
      </c>
      <c r="AA299" s="2283">
        <v>0</v>
      </c>
      <c r="AB299" s="2283">
        <v>0</v>
      </c>
      <c r="AC299" s="2283">
        <v>0</v>
      </c>
      <c r="AD299" s="2283">
        <v>0</v>
      </c>
      <c r="AE299" s="2285">
        <v>0</v>
      </c>
      <c r="AF299" s="2285">
        <v>0</v>
      </c>
      <c r="AG299" s="2131" t="s">
        <v>53</v>
      </c>
    </row>
    <row r="300" spans="1:34" ht="26.25" thickBot="1" x14ac:dyDescent="0.25">
      <c r="B300" s="1109" t="str">
        <f>'TRAD-Calculs pédiatriques'!B5</f>
        <v>Schéma thérapeutique</v>
      </c>
      <c r="C300" s="2270" t="str">
        <f>'TRAD-Calculs pédiatriques'!B7</f>
        <v>Premières lignes</v>
      </c>
      <c r="D300" s="2271"/>
      <c r="E300" s="2271"/>
      <c r="F300" s="2271"/>
      <c r="G300" s="2271"/>
      <c r="H300" s="2271"/>
      <c r="I300" s="2271"/>
      <c r="J300" s="2271"/>
      <c r="K300" s="2271"/>
      <c r="L300" s="2272"/>
      <c r="M300" s="2271"/>
      <c r="N300" s="2271"/>
      <c r="O300" s="2271"/>
      <c r="P300" s="2271"/>
      <c r="Q300" s="2272"/>
      <c r="R300" s="2271"/>
      <c r="S300" s="2271"/>
      <c r="T300" s="2271"/>
      <c r="U300" s="2271"/>
      <c r="V300" s="2271"/>
      <c r="W300" s="2271"/>
      <c r="X300" s="2271"/>
      <c r="Y300" s="2271"/>
      <c r="Z300" s="2271"/>
      <c r="AA300" s="2271"/>
      <c r="AB300" s="2271"/>
      <c r="AC300" s="2271"/>
      <c r="AD300" s="2271"/>
      <c r="AE300" s="2273"/>
      <c r="AF300" s="2271"/>
      <c r="AG300" s="1101"/>
      <c r="AH300" s="1143"/>
    </row>
    <row r="301" spans="1:34" x14ac:dyDescent="0.2">
      <c r="C301" s="1115" t="str">
        <f>'Saisie données file act.'!D508</f>
        <v>ABC+3TC+LPV/r</v>
      </c>
      <c r="D301" s="2298">
        <f>'Saisie données file act.'!E508</f>
        <v>0</v>
      </c>
      <c r="E301" s="2298">
        <f>'Saisie données file act.'!F508</f>
        <v>0</v>
      </c>
      <c r="F301" s="2298">
        <f>'Saisie données file act.'!G508</f>
        <v>0</v>
      </c>
      <c r="G301" s="2298">
        <f>'Saisie données file act.'!H508</f>
        <v>0</v>
      </c>
      <c r="H301" s="2298">
        <f>'Saisie données file act.'!I508</f>
        <v>0</v>
      </c>
      <c r="I301" s="2298">
        <f>'Saisie données file act.'!J508</f>
        <v>0</v>
      </c>
      <c r="J301" s="2298">
        <f>'Saisie données file act.'!K508</f>
        <v>0</v>
      </c>
      <c r="K301" s="2298">
        <f>'Saisie données file act.'!L508</f>
        <v>0</v>
      </c>
      <c r="L301" s="2299">
        <f>'Saisie données file act.'!M508</f>
        <v>0</v>
      </c>
      <c r="M301" s="2298">
        <f>'Saisie données file act.'!N508</f>
        <v>0</v>
      </c>
      <c r="N301" s="2298">
        <f>'Saisie données file act.'!O508</f>
        <v>0</v>
      </c>
      <c r="O301" s="2298">
        <f>'Saisie données file act.'!P508</f>
        <v>0</v>
      </c>
      <c r="P301" s="2298">
        <f>'Saisie données file act.'!Q508</f>
        <v>0</v>
      </c>
      <c r="Q301" s="2299">
        <f>'Saisie données file act.'!R508</f>
        <v>0</v>
      </c>
      <c r="R301" s="2298">
        <f>'Saisie données file act.'!S508</f>
        <v>0</v>
      </c>
      <c r="S301" s="2298">
        <f>'Saisie données file act.'!T508</f>
        <v>0</v>
      </c>
      <c r="T301" s="2298">
        <f>'Saisie données file act.'!U508</f>
        <v>0</v>
      </c>
      <c r="U301" s="2298">
        <f>'Saisie données file act.'!V508</f>
        <v>0</v>
      </c>
      <c r="V301" s="2298">
        <f>'Saisie données file act.'!W508</f>
        <v>0</v>
      </c>
      <c r="W301" s="2298">
        <f>'Saisie données file act.'!X508</f>
        <v>0</v>
      </c>
      <c r="X301" s="2298">
        <f>'Saisie données file act.'!Y508</f>
        <v>0</v>
      </c>
      <c r="Y301" s="2298">
        <f>'Saisie données file act.'!Z508</f>
        <v>0</v>
      </c>
      <c r="Z301" s="2298">
        <f>'Saisie données file act.'!AA508</f>
        <v>0</v>
      </c>
      <c r="AA301" s="2298">
        <f>'Saisie données file act.'!AB508</f>
        <v>0</v>
      </c>
      <c r="AB301" s="2298">
        <f>'Saisie données file act.'!AC508</f>
        <v>0</v>
      </c>
      <c r="AC301" s="2298">
        <f>'Saisie données file act.'!AD508</f>
        <v>0</v>
      </c>
      <c r="AD301" s="2298">
        <f>'Saisie données file act.'!AE508</f>
        <v>0</v>
      </c>
      <c r="AE301" s="2300">
        <f>'Saisie données file act.'!AF508</f>
        <v>0</v>
      </c>
      <c r="AF301" s="2298">
        <f>'Saisie données file act.'!AG508</f>
        <v>0</v>
      </c>
      <c r="AG301" s="209">
        <f t="shared" ref="AG301:AG306" si="71">F107</f>
        <v>0</v>
      </c>
      <c r="AH301" s="1145">
        <f t="shared" ref="AH301:AH306" si="72">F136</f>
        <v>0</v>
      </c>
    </row>
    <row r="302" spans="1:34" x14ac:dyDescent="0.2">
      <c r="C302" s="1115" t="str">
        <f>'Saisie données file act.'!D509</f>
        <v>ABC+3TC+EFV</v>
      </c>
      <c r="D302" s="2298">
        <f>'Saisie données file act.'!E509</f>
        <v>0</v>
      </c>
      <c r="E302" s="2298">
        <f>'Saisie données file act.'!F509</f>
        <v>0</v>
      </c>
      <c r="F302" s="2298">
        <f>'Saisie données file act.'!G509</f>
        <v>0</v>
      </c>
      <c r="G302" s="2298">
        <f>'Saisie données file act.'!H509</f>
        <v>0</v>
      </c>
      <c r="H302" s="2298">
        <f>'Saisie données file act.'!I509</f>
        <v>0</v>
      </c>
      <c r="I302" s="2298">
        <f>'Saisie données file act.'!J509</f>
        <v>0</v>
      </c>
      <c r="J302" s="2298">
        <f>'Saisie données file act.'!K509</f>
        <v>0</v>
      </c>
      <c r="K302" s="2298">
        <f>'Saisie données file act.'!L509</f>
        <v>0</v>
      </c>
      <c r="L302" s="2299">
        <f>'Saisie données file act.'!M509</f>
        <v>0</v>
      </c>
      <c r="M302" s="2298">
        <f>'Saisie données file act.'!N509</f>
        <v>0</v>
      </c>
      <c r="N302" s="2298">
        <f>'Saisie données file act.'!O509</f>
        <v>0</v>
      </c>
      <c r="O302" s="2298">
        <f>'Saisie données file act.'!P509</f>
        <v>0</v>
      </c>
      <c r="P302" s="2298">
        <f>'Saisie données file act.'!Q509</f>
        <v>0</v>
      </c>
      <c r="Q302" s="2299">
        <f>'Saisie données file act.'!R509</f>
        <v>0</v>
      </c>
      <c r="R302" s="2298">
        <f>'Saisie données file act.'!S509</f>
        <v>0</v>
      </c>
      <c r="S302" s="2298">
        <f>'Saisie données file act.'!T509</f>
        <v>0</v>
      </c>
      <c r="T302" s="2298">
        <f>'Saisie données file act.'!U509</f>
        <v>0</v>
      </c>
      <c r="U302" s="2298">
        <f>'Saisie données file act.'!V509</f>
        <v>0</v>
      </c>
      <c r="V302" s="2298">
        <f>'Saisie données file act.'!W509</f>
        <v>0</v>
      </c>
      <c r="W302" s="2298">
        <f>'Saisie données file act.'!X509</f>
        <v>0</v>
      </c>
      <c r="X302" s="2298">
        <f>'Saisie données file act.'!Y509</f>
        <v>0</v>
      </c>
      <c r="Y302" s="2298">
        <f>'Saisie données file act.'!Z509</f>
        <v>0</v>
      </c>
      <c r="Z302" s="2298">
        <f>'Saisie données file act.'!AA509</f>
        <v>0</v>
      </c>
      <c r="AA302" s="2298">
        <f>'Saisie données file act.'!AB509</f>
        <v>0</v>
      </c>
      <c r="AB302" s="2298">
        <f>'Saisie données file act.'!AC509</f>
        <v>0</v>
      </c>
      <c r="AC302" s="2298">
        <f>'Saisie données file act.'!AD509</f>
        <v>0</v>
      </c>
      <c r="AD302" s="2298">
        <f>'Saisie données file act.'!AE509</f>
        <v>0</v>
      </c>
      <c r="AE302" s="2300">
        <f>'Saisie données file act.'!AF509</f>
        <v>0</v>
      </c>
      <c r="AF302" s="2298">
        <f>'Saisie données file act.'!AG509</f>
        <v>0</v>
      </c>
      <c r="AG302" s="1188">
        <f t="shared" si="71"/>
        <v>0</v>
      </c>
      <c r="AH302" s="1146">
        <f t="shared" si="72"/>
        <v>0</v>
      </c>
    </row>
    <row r="303" spans="1:34" x14ac:dyDescent="0.2">
      <c r="C303" s="1115" t="str">
        <f>'Saisie données file act.'!D510</f>
        <v>ABC+3TC+AZT</v>
      </c>
      <c r="D303" s="2298">
        <f>'Saisie données file act.'!E510</f>
        <v>0</v>
      </c>
      <c r="E303" s="2298">
        <f>'Saisie données file act.'!F510</f>
        <v>0</v>
      </c>
      <c r="F303" s="2298">
        <f>'Saisie données file act.'!G510</f>
        <v>0</v>
      </c>
      <c r="G303" s="2298">
        <f>'Saisie données file act.'!H510</f>
        <v>0</v>
      </c>
      <c r="H303" s="2298">
        <f>'Saisie données file act.'!I510</f>
        <v>0</v>
      </c>
      <c r="I303" s="2298">
        <f>'Saisie données file act.'!J510</f>
        <v>0</v>
      </c>
      <c r="J303" s="2298">
        <f>'Saisie données file act.'!K510</f>
        <v>0</v>
      </c>
      <c r="K303" s="2298">
        <f>'Saisie données file act.'!L510</f>
        <v>0</v>
      </c>
      <c r="L303" s="2299">
        <f>'Saisie données file act.'!M510</f>
        <v>0</v>
      </c>
      <c r="M303" s="2298">
        <f>'Saisie données file act.'!N510</f>
        <v>0</v>
      </c>
      <c r="N303" s="2298">
        <f>'Saisie données file act.'!O510</f>
        <v>0</v>
      </c>
      <c r="O303" s="2298">
        <f>'Saisie données file act.'!P510</f>
        <v>0</v>
      </c>
      <c r="P303" s="2298">
        <f>'Saisie données file act.'!Q510</f>
        <v>0</v>
      </c>
      <c r="Q303" s="2299">
        <f>'Saisie données file act.'!R510</f>
        <v>0</v>
      </c>
      <c r="R303" s="2298">
        <f>'Saisie données file act.'!S510</f>
        <v>0</v>
      </c>
      <c r="S303" s="2298">
        <f>'Saisie données file act.'!T510</f>
        <v>0</v>
      </c>
      <c r="T303" s="2298">
        <f>'Saisie données file act.'!U510</f>
        <v>0</v>
      </c>
      <c r="U303" s="2298">
        <f>'Saisie données file act.'!V510</f>
        <v>0</v>
      </c>
      <c r="V303" s="2298">
        <f>'Saisie données file act.'!W510</f>
        <v>0</v>
      </c>
      <c r="W303" s="2298">
        <f>'Saisie données file act.'!X510</f>
        <v>0</v>
      </c>
      <c r="X303" s="2298">
        <f>'Saisie données file act.'!Y510</f>
        <v>0</v>
      </c>
      <c r="Y303" s="2298">
        <f>'Saisie données file act.'!Z510</f>
        <v>0</v>
      </c>
      <c r="Z303" s="2298">
        <f>'Saisie données file act.'!AA510</f>
        <v>0</v>
      </c>
      <c r="AA303" s="2298">
        <f>'Saisie données file act.'!AB510</f>
        <v>0</v>
      </c>
      <c r="AB303" s="2298">
        <f>'Saisie données file act.'!AC510</f>
        <v>0</v>
      </c>
      <c r="AC303" s="2298">
        <f>'Saisie données file act.'!AD510</f>
        <v>0</v>
      </c>
      <c r="AD303" s="2298">
        <f>'Saisie données file act.'!AE510</f>
        <v>0</v>
      </c>
      <c r="AE303" s="2300">
        <f>'Saisie données file act.'!AF510</f>
        <v>0</v>
      </c>
      <c r="AF303" s="2298">
        <f>'Saisie données file act.'!AG510</f>
        <v>0</v>
      </c>
      <c r="AG303" s="1189">
        <f t="shared" si="71"/>
        <v>0</v>
      </c>
      <c r="AH303" s="1147">
        <f t="shared" si="72"/>
        <v>0</v>
      </c>
    </row>
    <row r="304" spans="1:34" x14ac:dyDescent="0.2">
      <c r="C304" s="1115">
        <f>'Saisie données file act.'!D511</f>
        <v>0</v>
      </c>
      <c r="D304" s="2298">
        <f>'Saisie données file act.'!E511</f>
        <v>0</v>
      </c>
      <c r="E304" s="2298">
        <f>'Saisie données file act.'!F511</f>
        <v>0</v>
      </c>
      <c r="F304" s="2298">
        <f>'Saisie données file act.'!G511</f>
        <v>0</v>
      </c>
      <c r="G304" s="2298">
        <f>'Saisie données file act.'!H511</f>
        <v>0</v>
      </c>
      <c r="H304" s="2298">
        <f>'Saisie données file act.'!I511</f>
        <v>0</v>
      </c>
      <c r="I304" s="2298">
        <f>'Saisie données file act.'!J511</f>
        <v>0</v>
      </c>
      <c r="J304" s="2298">
        <f>'Saisie données file act.'!K511</f>
        <v>0</v>
      </c>
      <c r="K304" s="2298">
        <f>'Saisie données file act.'!L511</f>
        <v>0</v>
      </c>
      <c r="L304" s="2299">
        <f>'Saisie données file act.'!M511</f>
        <v>0</v>
      </c>
      <c r="M304" s="2298">
        <f>'Saisie données file act.'!N511</f>
        <v>0</v>
      </c>
      <c r="N304" s="2298">
        <f>'Saisie données file act.'!O511</f>
        <v>0</v>
      </c>
      <c r="O304" s="2298">
        <f>'Saisie données file act.'!P511</f>
        <v>0</v>
      </c>
      <c r="P304" s="2298">
        <f>'Saisie données file act.'!Q511</f>
        <v>0</v>
      </c>
      <c r="Q304" s="2299">
        <f>'Saisie données file act.'!R511</f>
        <v>0</v>
      </c>
      <c r="R304" s="2298">
        <f>'Saisie données file act.'!S511</f>
        <v>0</v>
      </c>
      <c r="S304" s="2298">
        <f>'Saisie données file act.'!T511</f>
        <v>0</v>
      </c>
      <c r="T304" s="2298">
        <f>'Saisie données file act.'!U511</f>
        <v>0</v>
      </c>
      <c r="U304" s="2298">
        <f>'Saisie données file act.'!V511</f>
        <v>0</v>
      </c>
      <c r="V304" s="2298">
        <f>'Saisie données file act.'!W511</f>
        <v>0</v>
      </c>
      <c r="W304" s="2298">
        <f>'Saisie données file act.'!X511</f>
        <v>0</v>
      </c>
      <c r="X304" s="2298">
        <f>'Saisie données file act.'!Y511</f>
        <v>0</v>
      </c>
      <c r="Y304" s="2298">
        <f>'Saisie données file act.'!Z511</f>
        <v>0</v>
      </c>
      <c r="Z304" s="2298">
        <f>'Saisie données file act.'!AA511</f>
        <v>0</v>
      </c>
      <c r="AA304" s="2298">
        <f>'Saisie données file act.'!AB511</f>
        <v>0</v>
      </c>
      <c r="AB304" s="2298">
        <f>'Saisie données file act.'!AC511</f>
        <v>0</v>
      </c>
      <c r="AC304" s="2298">
        <f>'Saisie données file act.'!AD511</f>
        <v>0</v>
      </c>
      <c r="AD304" s="2298">
        <f>'Saisie données file act.'!AE511</f>
        <v>0</v>
      </c>
      <c r="AE304" s="2300">
        <f>'Saisie données file act.'!AF511</f>
        <v>0</v>
      </c>
      <c r="AF304" s="2298">
        <f>'Saisie données file act.'!AG511</f>
        <v>0</v>
      </c>
      <c r="AG304" s="1188">
        <f t="shared" si="71"/>
        <v>0</v>
      </c>
      <c r="AH304" s="1146">
        <f t="shared" si="72"/>
        <v>0</v>
      </c>
    </row>
    <row r="305" spans="3:34" x14ac:dyDescent="0.2">
      <c r="C305" s="1115">
        <f>'Saisie données file act.'!D512</f>
        <v>0</v>
      </c>
      <c r="D305" s="2298">
        <f>'Saisie données file act.'!E512</f>
        <v>0</v>
      </c>
      <c r="E305" s="2298">
        <f>'Saisie données file act.'!F512</f>
        <v>0</v>
      </c>
      <c r="F305" s="2298">
        <f>'Saisie données file act.'!G512</f>
        <v>0</v>
      </c>
      <c r="G305" s="2298">
        <f>'Saisie données file act.'!H512</f>
        <v>0</v>
      </c>
      <c r="H305" s="2298">
        <f>'Saisie données file act.'!I512</f>
        <v>0</v>
      </c>
      <c r="I305" s="2298">
        <f>'Saisie données file act.'!J512</f>
        <v>0</v>
      </c>
      <c r="J305" s="2298">
        <f>'Saisie données file act.'!K512</f>
        <v>0</v>
      </c>
      <c r="K305" s="2298">
        <f>'Saisie données file act.'!L512</f>
        <v>0</v>
      </c>
      <c r="L305" s="2299">
        <f>'Saisie données file act.'!M512</f>
        <v>0</v>
      </c>
      <c r="M305" s="2298">
        <f>'Saisie données file act.'!N512</f>
        <v>0</v>
      </c>
      <c r="N305" s="2298">
        <f>'Saisie données file act.'!O512</f>
        <v>0</v>
      </c>
      <c r="O305" s="2298">
        <f>'Saisie données file act.'!P512</f>
        <v>0</v>
      </c>
      <c r="P305" s="2298">
        <f>'Saisie données file act.'!Q512</f>
        <v>0</v>
      </c>
      <c r="Q305" s="2299">
        <f>'Saisie données file act.'!R512</f>
        <v>0</v>
      </c>
      <c r="R305" s="2298">
        <f>'Saisie données file act.'!S512</f>
        <v>0</v>
      </c>
      <c r="S305" s="2298">
        <f>'Saisie données file act.'!T512</f>
        <v>0</v>
      </c>
      <c r="T305" s="2298">
        <f>'Saisie données file act.'!U512</f>
        <v>0</v>
      </c>
      <c r="U305" s="2298">
        <f>'Saisie données file act.'!V512</f>
        <v>0</v>
      </c>
      <c r="V305" s="2298">
        <f>'Saisie données file act.'!W512</f>
        <v>0</v>
      </c>
      <c r="W305" s="2298">
        <f>'Saisie données file act.'!X512</f>
        <v>0</v>
      </c>
      <c r="X305" s="2298">
        <f>'Saisie données file act.'!Y512</f>
        <v>0</v>
      </c>
      <c r="Y305" s="2298">
        <f>'Saisie données file act.'!Z512</f>
        <v>0</v>
      </c>
      <c r="Z305" s="2298">
        <f>'Saisie données file act.'!AA512</f>
        <v>0</v>
      </c>
      <c r="AA305" s="2298">
        <f>'Saisie données file act.'!AB512</f>
        <v>0</v>
      </c>
      <c r="AB305" s="2298">
        <f>'Saisie données file act.'!AC512</f>
        <v>0</v>
      </c>
      <c r="AC305" s="2298">
        <f>'Saisie données file act.'!AD512</f>
        <v>0</v>
      </c>
      <c r="AD305" s="2298">
        <f>'Saisie données file act.'!AE512</f>
        <v>0</v>
      </c>
      <c r="AE305" s="2300">
        <f>'Saisie données file act.'!AF512</f>
        <v>0</v>
      </c>
      <c r="AF305" s="2298">
        <f>'Saisie données file act.'!AG512</f>
        <v>0</v>
      </c>
      <c r="AG305" s="1099">
        <f t="shared" si="71"/>
        <v>0</v>
      </c>
      <c r="AH305" s="1148">
        <f t="shared" si="72"/>
        <v>0</v>
      </c>
    </row>
    <row r="306" spans="3:34" ht="13.5" thickBot="1" x14ac:dyDescent="0.25">
      <c r="C306" s="1110">
        <f>'Saisie données file act.'!D513</f>
        <v>0</v>
      </c>
      <c r="D306" s="2298">
        <f>'Saisie données file act.'!E513</f>
        <v>0</v>
      </c>
      <c r="E306" s="2298">
        <f>'Saisie données file act.'!F513</f>
        <v>0</v>
      </c>
      <c r="F306" s="2298">
        <f>'Saisie données file act.'!G513</f>
        <v>0</v>
      </c>
      <c r="G306" s="2298">
        <f>'Saisie données file act.'!H513</f>
        <v>0</v>
      </c>
      <c r="H306" s="2298">
        <f>'Saisie données file act.'!I513</f>
        <v>0</v>
      </c>
      <c r="I306" s="2298">
        <f>'Saisie données file act.'!J513</f>
        <v>0</v>
      </c>
      <c r="J306" s="2298">
        <f>'Saisie données file act.'!K513</f>
        <v>0</v>
      </c>
      <c r="K306" s="2298">
        <f>'Saisie données file act.'!L513</f>
        <v>0</v>
      </c>
      <c r="L306" s="2299">
        <f>'Saisie données file act.'!M513</f>
        <v>0</v>
      </c>
      <c r="M306" s="2298">
        <f>'Saisie données file act.'!N513</f>
        <v>0</v>
      </c>
      <c r="N306" s="2298">
        <f>'Saisie données file act.'!O513</f>
        <v>0</v>
      </c>
      <c r="O306" s="2298">
        <f>'Saisie données file act.'!P513</f>
        <v>0</v>
      </c>
      <c r="P306" s="2298">
        <f>'Saisie données file act.'!Q513</f>
        <v>0</v>
      </c>
      <c r="Q306" s="2299">
        <f>'Saisie données file act.'!R513</f>
        <v>0</v>
      </c>
      <c r="R306" s="2298">
        <f>'Saisie données file act.'!S513</f>
        <v>0</v>
      </c>
      <c r="S306" s="2298">
        <f>'Saisie données file act.'!T513</f>
        <v>0</v>
      </c>
      <c r="T306" s="2298">
        <f>'Saisie données file act.'!U513</f>
        <v>0</v>
      </c>
      <c r="U306" s="2298">
        <f>'Saisie données file act.'!V513</f>
        <v>0</v>
      </c>
      <c r="V306" s="2298">
        <f>'Saisie données file act.'!W513</f>
        <v>0</v>
      </c>
      <c r="W306" s="2298">
        <f>'Saisie données file act.'!X513</f>
        <v>0</v>
      </c>
      <c r="X306" s="2298">
        <f>'Saisie données file act.'!Y513</f>
        <v>0</v>
      </c>
      <c r="Y306" s="2298">
        <f>'Saisie données file act.'!Z513</f>
        <v>0</v>
      </c>
      <c r="Z306" s="2298">
        <f>'Saisie données file act.'!AA513</f>
        <v>0</v>
      </c>
      <c r="AA306" s="2298">
        <f>'Saisie données file act.'!AB513</f>
        <v>0</v>
      </c>
      <c r="AB306" s="2298">
        <f>'Saisie données file act.'!AC513</f>
        <v>0</v>
      </c>
      <c r="AC306" s="2298">
        <f>'Saisie données file act.'!AD513</f>
        <v>0</v>
      </c>
      <c r="AD306" s="2298">
        <f>'Saisie données file act.'!AE513</f>
        <v>0</v>
      </c>
      <c r="AE306" s="2300">
        <f>'Saisie données file act.'!AF513</f>
        <v>0</v>
      </c>
      <c r="AF306" s="2298">
        <f>'Saisie données file act.'!AG513</f>
        <v>0</v>
      </c>
      <c r="AG306" s="1190">
        <f t="shared" si="71"/>
        <v>0</v>
      </c>
      <c r="AH306" s="1149">
        <f t="shared" si="72"/>
        <v>0</v>
      </c>
    </row>
    <row r="307" spans="3:34" ht="13.5" thickBot="1" x14ac:dyDescent="0.25">
      <c r="C307" s="1114" t="str">
        <f>'TRAD-Calculs pédiatriques'!B8</f>
        <v>Deuxièmes lignes</v>
      </c>
      <c r="D307" s="2301">
        <f>'Saisie données file act.'!E514</f>
        <v>0</v>
      </c>
      <c r="E307" s="2301">
        <f>'Saisie données file act.'!F514</f>
        <v>0</v>
      </c>
      <c r="F307" s="2301">
        <f>'Saisie données file act.'!G514</f>
        <v>0</v>
      </c>
      <c r="G307" s="2301">
        <f>'Saisie données file act.'!H514</f>
        <v>0</v>
      </c>
      <c r="H307" s="2301">
        <f>'Saisie données file act.'!I514</f>
        <v>0</v>
      </c>
      <c r="I307" s="2301">
        <f>'Saisie données file act.'!J514</f>
        <v>0</v>
      </c>
      <c r="J307" s="2301">
        <f>'Saisie données file act.'!K514</f>
        <v>0</v>
      </c>
      <c r="K307" s="2301">
        <f>'Saisie données file act.'!L514</f>
        <v>0</v>
      </c>
      <c r="L307" s="2302">
        <f>'Saisie données file act.'!M514</f>
        <v>0</v>
      </c>
      <c r="M307" s="2301">
        <f>'Saisie données file act.'!N514</f>
        <v>0</v>
      </c>
      <c r="N307" s="2301">
        <f>'Saisie données file act.'!O514</f>
        <v>0</v>
      </c>
      <c r="O307" s="2301">
        <f>'Saisie données file act.'!P514</f>
        <v>0</v>
      </c>
      <c r="P307" s="2301">
        <f>'Saisie données file act.'!Q514</f>
        <v>0</v>
      </c>
      <c r="Q307" s="2302">
        <f>'Saisie données file act.'!R514</f>
        <v>0</v>
      </c>
      <c r="R307" s="2301">
        <f>'Saisie données file act.'!S514</f>
        <v>0</v>
      </c>
      <c r="S307" s="2301">
        <f>'Saisie données file act.'!T514</f>
        <v>0</v>
      </c>
      <c r="T307" s="2301">
        <f>'Saisie données file act.'!U514</f>
        <v>0</v>
      </c>
      <c r="U307" s="2301">
        <f>'Saisie données file act.'!V514</f>
        <v>0</v>
      </c>
      <c r="V307" s="2301">
        <f>'Saisie données file act.'!W514</f>
        <v>0</v>
      </c>
      <c r="W307" s="2301">
        <f>'Saisie données file act.'!X514</f>
        <v>0</v>
      </c>
      <c r="X307" s="2301">
        <f>'Saisie données file act.'!Y514</f>
        <v>0</v>
      </c>
      <c r="Y307" s="2301">
        <f>'Saisie données file act.'!Z514</f>
        <v>0</v>
      </c>
      <c r="Z307" s="2301">
        <f>'Saisie données file act.'!AA514</f>
        <v>0</v>
      </c>
      <c r="AA307" s="2301">
        <f>'Saisie données file act.'!AB514</f>
        <v>0</v>
      </c>
      <c r="AB307" s="2301">
        <f>'Saisie données file act.'!AC514</f>
        <v>0</v>
      </c>
      <c r="AC307" s="2301">
        <f>'Saisie données file act.'!AD514</f>
        <v>0</v>
      </c>
      <c r="AD307" s="2301">
        <f>'Saisie données file act.'!AE514</f>
        <v>0</v>
      </c>
      <c r="AE307" s="2303">
        <f>'Saisie données file act.'!AF514</f>
        <v>0</v>
      </c>
      <c r="AF307" s="2301">
        <f>'Saisie données file act.'!AG514</f>
        <v>0</v>
      </c>
      <c r="AG307" s="1101"/>
      <c r="AH307" s="1143"/>
    </row>
    <row r="308" spans="3:34" ht="13.5" thickBot="1" x14ac:dyDescent="0.25">
      <c r="C308" s="1110" t="str">
        <f>'Saisie données file act.'!D515</f>
        <v>AZT+3TC+LPV/r</v>
      </c>
      <c r="D308" s="2298">
        <f>'Saisie données file act.'!E515</f>
        <v>0</v>
      </c>
      <c r="E308" s="2298">
        <f>'Saisie données file act.'!F515</f>
        <v>0</v>
      </c>
      <c r="F308" s="2298">
        <f>'Saisie données file act.'!G515</f>
        <v>0</v>
      </c>
      <c r="G308" s="2298">
        <f>'Saisie données file act.'!H515</f>
        <v>0</v>
      </c>
      <c r="H308" s="2298">
        <f>'Saisie données file act.'!I515</f>
        <v>0</v>
      </c>
      <c r="I308" s="2298">
        <f>'Saisie données file act.'!J515</f>
        <v>0</v>
      </c>
      <c r="J308" s="2298">
        <f>'Saisie données file act.'!K515</f>
        <v>0</v>
      </c>
      <c r="K308" s="2298">
        <f>'Saisie données file act.'!L515</f>
        <v>0</v>
      </c>
      <c r="L308" s="2299">
        <f>'Saisie données file act.'!M515</f>
        <v>0</v>
      </c>
      <c r="M308" s="2298">
        <f>'Saisie données file act.'!N515</f>
        <v>0</v>
      </c>
      <c r="N308" s="2298">
        <f>'Saisie données file act.'!O515</f>
        <v>0</v>
      </c>
      <c r="O308" s="2298">
        <f>'Saisie données file act.'!P515</f>
        <v>0</v>
      </c>
      <c r="P308" s="2298">
        <f>'Saisie données file act.'!Q515</f>
        <v>0</v>
      </c>
      <c r="Q308" s="2299">
        <f>'Saisie données file act.'!R515</f>
        <v>0</v>
      </c>
      <c r="R308" s="2298">
        <f>'Saisie données file act.'!S515</f>
        <v>0</v>
      </c>
      <c r="S308" s="2298">
        <f>'Saisie données file act.'!T515</f>
        <v>0</v>
      </c>
      <c r="T308" s="2298">
        <f>'Saisie données file act.'!U515</f>
        <v>0</v>
      </c>
      <c r="U308" s="2298">
        <f>'Saisie données file act.'!V515</f>
        <v>0</v>
      </c>
      <c r="V308" s="2298">
        <f>'Saisie données file act.'!W515</f>
        <v>0</v>
      </c>
      <c r="W308" s="2298">
        <f>'Saisie données file act.'!X515</f>
        <v>0</v>
      </c>
      <c r="X308" s="2298">
        <f>'Saisie données file act.'!Y515</f>
        <v>0</v>
      </c>
      <c r="Y308" s="2298">
        <f>'Saisie données file act.'!Z515</f>
        <v>0</v>
      </c>
      <c r="Z308" s="2298">
        <f>'Saisie données file act.'!AA515</f>
        <v>0</v>
      </c>
      <c r="AA308" s="2298">
        <f>'Saisie données file act.'!AB515</f>
        <v>0</v>
      </c>
      <c r="AB308" s="2298">
        <f>'Saisie données file act.'!AC515</f>
        <v>0</v>
      </c>
      <c r="AC308" s="2298">
        <f>'Saisie données file act.'!AD515</f>
        <v>0</v>
      </c>
      <c r="AD308" s="2298">
        <f>'Saisie données file act.'!AE515</f>
        <v>0</v>
      </c>
      <c r="AE308" s="2300">
        <f>'Saisie données file act.'!AF515</f>
        <v>0</v>
      </c>
      <c r="AF308" s="2298">
        <f>'Saisie données file act.'!AG515</f>
        <v>0</v>
      </c>
      <c r="AG308" s="209">
        <f>F114</f>
        <v>0</v>
      </c>
      <c r="AH308" s="1145">
        <f>F143</f>
        <v>0</v>
      </c>
    </row>
    <row r="309" spans="3:34" x14ac:dyDescent="0.2">
      <c r="C309" s="1110">
        <f>'Saisie données file act.'!D516</f>
        <v>0</v>
      </c>
      <c r="D309" s="2298">
        <f>'Saisie données file act.'!E516</f>
        <v>0</v>
      </c>
      <c r="E309" s="2298">
        <f>'Saisie données file act.'!F516</f>
        <v>0</v>
      </c>
      <c r="F309" s="2298">
        <f>'Saisie données file act.'!G516</f>
        <v>0</v>
      </c>
      <c r="G309" s="2298">
        <f>'Saisie données file act.'!H516</f>
        <v>0</v>
      </c>
      <c r="H309" s="2298">
        <f>'Saisie données file act.'!I516</f>
        <v>0</v>
      </c>
      <c r="I309" s="2298">
        <f>'Saisie données file act.'!J516</f>
        <v>0</v>
      </c>
      <c r="J309" s="2298">
        <f>'Saisie données file act.'!K516</f>
        <v>0</v>
      </c>
      <c r="K309" s="2298">
        <f>'Saisie données file act.'!L516</f>
        <v>0</v>
      </c>
      <c r="L309" s="2299">
        <f>'Saisie données file act.'!M516</f>
        <v>0</v>
      </c>
      <c r="M309" s="2298">
        <f>'Saisie données file act.'!N516</f>
        <v>0</v>
      </c>
      <c r="N309" s="2298">
        <f>'Saisie données file act.'!O516</f>
        <v>0</v>
      </c>
      <c r="O309" s="2298">
        <f>'Saisie données file act.'!P516</f>
        <v>0</v>
      </c>
      <c r="P309" s="2298">
        <f>'Saisie données file act.'!Q516</f>
        <v>0</v>
      </c>
      <c r="Q309" s="2299">
        <f>'Saisie données file act.'!R516</f>
        <v>0</v>
      </c>
      <c r="R309" s="2298">
        <f>'Saisie données file act.'!S516</f>
        <v>0</v>
      </c>
      <c r="S309" s="2298">
        <f>'Saisie données file act.'!T516</f>
        <v>0</v>
      </c>
      <c r="T309" s="2298">
        <f>'Saisie données file act.'!U516</f>
        <v>0</v>
      </c>
      <c r="U309" s="2298">
        <f>'Saisie données file act.'!V516</f>
        <v>0</v>
      </c>
      <c r="V309" s="2298">
        <f>'Saisie données file act.'!W516</f>
        <v>0</v>
      </c>
      <c r="W309" s="2298">
        <f>'Saisie données file act.'!X516</f>
        <v>0</v>
      </c>
      <c r="X309" s="2298">
        <f>'Saisie données file act.'!Y516</f>
        <v>0</v>
      </c>
      <c r="Y309" s="2298">
        <f>'Saisie données file act.'!Z516</f>
        <v>0</v>
      </c>
      <c r="Z309" s="2298">
        <f>'Saisie données file act.'!AA516</f>
        <v>0</v>
      </c>
      <c r="AA309" s="2298">
        <f>'Saisie données file act.'!AB516</f>
        <v>0</v>
      </c>
      <c r="AB309" s="2298">
        <f>'Saisie données file act.'!AC516</f>
        <v>0</v>
      </c>
      <c r="AC309" s="2298">
        <f>'Saisie données file act.'!AD516</f>
        <v>0</v>
      </c>
      <c r="AD309" s="2298">
        <f>'Saisie données file act.'!AE516</f>
        <v>0</v>
      </c>
      <c r="AE309" s="2300">
        <f>'Saisie données file act.'!AF516</f>
        <v>0</v>
      </c>
      <c r="AF309" s="2298">
        <f>'Saisie données file act.'!AG516</f>
        <v>0</v>
      </c>
      <c r="AG309" s="209">
        <f>F115</f>
        <v>0</v>
      </c>
      <c r="AH309" s="1145">
        <f>F144</f>
        <v>0</v>
      </c>
    </row>
    <row r="310" spans="3:34" x14ac:dyDescent="0.2">
      <c r="C310" s="1110">
        <f>'Saisie données file act.'!D517</f>
        <v>0</v>
      </c>
      <c r="D310" s="2298">
        <f>'Saisie données file act.'!E517</f>
        <v>0</v>
      </c>
      <c r="E310" s="2298">
        <f>'Saisie données file act.'!F517</f>
        <v>0</v>
      </c>
      <c r="F310" s="2298">
        <f>'Saisie données file act.'!G517</f>
        <v>0</v>
      </c>
      <c r="G310" s="2298">
        <f>'Saisie données file act.'!H517</f>
        <v>0</v>
      </c>
      <c r="H310" s="2298">
        <f>'Saisie données file act.'!I517</f>
        <v>0</v>
      </c>
      <c r="I310" s="2298">
        <f>'Saisie données file act.'!J517</f>
        <v>0</v>
      </c>
      <c r="J310" s="2298">
        <f>'Saisie données file act.'!K517</f>
        <v>0</v>
      </c>
      <c r="K310" s="2298">
        <f>'Saisie données file act.'!L517</f>
        <v>0</v>
      </c>
      <c r="L310" s="2299">
        <f>'Saisie données file act.'!M517</f>
        <v>0</v>
      </c>
      <c r="M310" s="2298">
        <f>'Saisie données file act.'!N517</f>
        <v>0</v>
      </c>
      <c r="N310" s="2298">
        <f>'Saisie données file act.'!O517</f>
        <v>0</v>
      </c>
      <c r="O310" s="2298">
        <f>'Saisie données file act.'!P517</f>
        <v>0</v>
      </c>
      <c r="P310" s="2298">
        <f>'Saisie données file act.'!Q517</f>
        <v>0</v>
      </c>
      <c r="Q310" s="2299">
        <f>'Saisie données file act.'!R517</f>
        <v>0</v>
      </c>
      <c r="R310" s="2298">
        <f>'Saisie données file act.'!S517</f>
        <v>0</v>
      </c>
      <c r="S310" s="2298">
        <f>'Saisie données file act.'!T517</f>
        <v>0</v>
      </c>
      <c r="T310" s="2298">
        <f>'Saisie données file act.'!U517</f>
        <v>0</v>
      </c>
      <c r="U310" s="2298">
        <f>'Saisie données file act.'!V517</f>
        <v>0</v>
      </c>
      <c r="V310" s="2298">
        <f>'Saisie données file act.'!W517</f>
        <v>0</v>
      </c>
      <c r="W310" s="2298">
        <f>'Saisie données file act.'!X517</f>
        <v>0</v>
      </c>
      <c r="X310" s="2298">
        <f>'Saisie données file act.'!Y517</f>
        <v>0</v>
      </c>
      <c r="Y310" s="2298">
        <f>'Saisie données file act.'!Z517</f>
        <v>0</v>
      </c>
      <c r="Z310" s="2298">
        <f>'Saisie données file act.'!AA517</f>
        <v>0</v>
      </c>
      <c r="AA310" s="2298">
        <f>'Saisie données file act.'!AB517</f>
        <v>0</v>
      </c>
      <c r="AB310" s="2298">
        <f>'Saisie données file act.'!AC517</f>
        <v>0</v>
      </c>
      <c r="AC310" s="2298">
        <f>'Saisie données file act.'!AD517</f>
        <v>0</v>
      </c>
      <c r="AD310" s="2298">
        <f>'Saisie données file act.'!AE517</f>
        <v>0</v>
      </c>
      <c r="AE310" s="2300">
        <f>'Saisie données file act.'!AF517</f>
        <v>0</v>
      </c>
      <c r="AF310" s="2298">
        <f>'Saisie données file act.'!AG517</f>
        <v>0</v>
      </c>
      <c r="AG310" s="1188">
        <f>F116</f>
        <v>0</v>
      </c>
      <c r="AH310" s="1146">
        <f>F145</f>
        <v>0</v>
      </c>
    </row>
    <row r="311" spans="3:34" x14ac:dyDescent="0.2">
      <c r="C311" s="1110">
        <f>'Saisie données file act.'!D518</f>
        <v>0</v>
      </c>
      <c r="D311" s="2298">
        <f>'Saisie données file act.'!E518</f>
        <v>0</v>
      </c>
      <c r="E311" s="2298">
        <f>'Saisie données file act.'!F518</f>
        <v>0</v>
      </c>
      <c r="F311" s="2298">
        <f>'Saisie données file act.'!G518</f>
        <v>0</v>
      </c>
      <c r="G311" s="2298">
        <f>'Saisie données file act.'!H518</f>
        <v>0</v>
      </c>
      <c r="H311" s="2298">
        <f>'Saisie données file act.'!I518</f>
        <v>0</v>
      </c>
      <c r="I311" s="2298">
        <f>'Saisie données file act.'!J518</f>
        <v>0</v>
      </c>
      <c r="J311" s="2298">
        <f>'Saisie données file act.'!K518</f>
        <v>0</v>
      </c>
      <c r="K311" s="2298">
        <f>'Saisie données file act.'!L518</f>
        <v>0</v>
      </c>
      <c r="L311" s="2299">
        <f>'Saisie données file act.'!M518</f>
        <v>0</v>
      </c>
      <c r="M311" s="2298">
        <f>'Saisie données file act.'!N518</f>
        <v>0</v>
      </c>
      <c r="N311" s="2298">
        <f>'Saisie données file act.'!O518</f>
        <v>0</v>
      </c>
      <c r="O311" s="2298">
        <f>'Saisie données file act.'!P518</f>
        <v>0</v>
      </c>
      <c r="P311" s="2298">
        <f>'Saisie données file act.'!Q518</f>
        <v>0</v>
      </c>
      <c r="Q311" s="2299">
        <f>'Saisie données file act.'!R518</f>
        <v>0</v>
      </c>
      <c r="R311" s="2298">
        <f>'Saisie données file act.'!S518</f>
        <v>0</v>
      </c>
      <c r="S311" s="2298">
        <f>'Saisie données file act.'!T518</f>
        <v>0</v>
      </c>
      <c r="T311" s="2298">
        <f>'Saisie données file act.'!U518</f>
        <v>0</v>
      </c>
      <c r="U311" s="2298">
        <f>'Saisie données file act.'!V518</f>
        <v>0</v>
      </c>
      <c r="V311" s="2298">
        <f>'Saisie données file act.'!W518</f>
        <v>0</v>
      </c>
      <c r="W311" s="2298">
        <f>'Saisie données file act.'!X518</f>
        <v>0</v>
      </c>
      <c r="X311" s="2298">
        <f>'Saisie données file act.'!Y518</f>
        <v>0</v>
      </c>
      <c r="Y311" s="2298">
        <f>'Saisie données file act.'!Z518</f>
        <v>0</v>
      </c>
      <c r="Z311" s="2298">
        <f>'Saisie données file act.'!AA518</f>
        <v>0</v>
      </c>
      <c r="AA311" s="2298">
        <f>'Saisie données file act.'!AB518</f>
        <v>0</v>
      </c>
      <c r="AB311" s="2298">
        <f>'Saisie données file act.'!AC518</f>
        <v>0</v>
      </c>
      <c r="AC311" s="2298">
        <f>'Saisie données file act.'!AD518</f>
        <v>0</v>
      </c>
      <c r="AD311" s="2298">
        <f>'Saisie données file act.'!AE518</f>
        <v>0</v>
      </c>
      <c r="AE311" s="2300">
        <f>'Saisie données file act.'!AF518</f>
        <v>0</v>
      </c>
      <c r="AF311" s="2298">
        <f>'Saisie données file act.'!AG518</f>
        <v>0</v>
      </c>
      <c r="AG311" s="1188">
        <f>F117</f>
        <v>0</v>
      </c>
      <c r="AH311" s="1146">
        <f>F146</f>
        <v>0</v>
      </c>
    </row>
    <row r="312" spans="3:34" ht="13.5" thickBot="1" x14ac:dyDescent="0.25">
      <c r="C312" s="1110">
        <f>'Saisie données file act.'!D519</f>
        <v>0</v>
      </c>
      <c r="D312" s="2298">
        <f>'Saisie données file act.'!E519</f>
        <v>0</v>
      </c>
      <c r="E312" s="2298">
        <f>'Saisie données file act.'!F519</f>
        <v>0</v>
      </c>
      <c r="F312" s="2298">
        <f>'Saisie données file act.'!G519</f>
        <v>0</v>
      </c>
      <c r="G312" s="2298">
        <f>'Saisie données file act.'!H519</f>
        <v>0</v>
      </c>
      <c r="H312" s="2298">
        <f>'Saisie données file act.'!I519</f>
        <v>0</v>
      </c>
      <c r="I312" s="2298">
        <f>'Saisie données file act.'!J519</f>
        <v>0</v>
      </c>
      <c r="J312" s="2298">
        <f>'Saisie données file act.'!K519</f>
        <v>0</v>
      </c>
      <c r="K312" s="2298">
        <f>'Saisie données file act.'!L519</f>
        <v>0</v>
      </c>
      <c r="L312" s="2299">
        <f>'Saisie données file act.'!M519</f>
        <v>0</v>
      </c>
      <c r="M312" s="2298">
        <f>'Saisie données file act.'!N519</f>
        <v>0</v>
      </c>
      <c r="N312" s="2298">
        <f>'Saisie données file act.'!O519</f>
        <v>0</v>
      </c>
      <c r="O312" s="2298">
        <f>'Saisie données file act.'!P519</f>
        <v>0</v>
      </c>
      <c r="P312" s="2298">
        <f>'Saisie données file act.'!Q519</f>
        <v>0</v>
      </c>
      <c r="Q312" s="2299">
        <f>'Saisie données file act.'!R519</f>
        <v>0</v>
      </c>
      <c r="R312" s="2298">
        <f>'Saisie données file act.'!S519</f>
        <v>0</v>
      </c>
      <c r="S312" s="2298">
        <f>'Saisie données file act.'!T519</f>
        <v>0</v>
      </c>
      <c r="T312" s="2298">
        <f>'Saisie données file act.'!U519</f>
        <v>0</v>
      </c>
      <c r="U312" s="2298">
        <f>'Saisie données file act.'!V519</f>
        <v>0</v>
      </c>
      <c r="V312" s="2298">
        <f>'Saisie données file act.'!W519</f>
        <v>0</v>
      </c>
      <c r="W312" s="2298">
        <f>'Saisie données file act.'!X519</f>
        <v>0</v>
      </c>
      <c r="X312" s="2298">
        <f>'Saisie données file act.'!Y519</f>
        <v>0</v>
      </c>
      <c r="Y312" s="2298">
        <f>'Saisie données file act.'!Z519</f>
        <v>0</v>
      </c>
      <c r="Z312" s="2298">
        <f>'Saisie données file act.'!AA519</f>
        <v>0</v>
      </c>
      <c r="AA312" s="2298">
        <f>'Saisie données file act.'!AB519</f>
        <v>0</v>
      </c>
      <c r="AB312" s="2298">
        <f>'Saisie données file act.'!AC519</f>
        <v>0</v>
      </c>
      <c r="AC312" s="2298">
        <f>'Saisie données file act.'!AD519</f>
        <v>0</v>
      </c>
      <c r="AD312" s="2298">
        <f>'Saisie données file act.'!AE519</f>
        <v>0</v>
      </c>
      <c r="AE312" s="2300">
        <f>'Saisie données file act.'!AF519</f>
        <v>0</v>
      </c>
      <c r="AF312" s="2298">
        <f>'Saisie données file act.'!AG519</f>
        <v>0</v>
      </c>
      <c r="AG312" s="1189">
        <f>F118</f>
        <v>0</v>
      </c>
      <c r="AH312" s="1147">
        <f>F147</f>
        <v>0</v>
      </c>
    </row>
    <row r="313" spans="3:34" x14ac:dyDescent="0.2">
      <c r="C313" s="1114" t="str">
        <f>'TRAD-Calculs pédiatriques'!B9</f>
        <v>Lignes alternatives</v>
      </c>
      <c r="D313" s="2301">
        <f>'Saisie données file act.'!E520</f>
        <v>0</v>
      </c>
      <c r="E313" s="2301">
        <f>'Saisie données file act.'!F520</f>
        <v>0</v>
      </c>
      <c r="F313" s="2301">
        <f>'Saisie données file act.'!G520</f>
        <v>0</v>
      </c>
      <c r="G313" s="2301">
        <f>'Saisie données file act.'!H520</f>
        <v>0</v>
      </c>
      <c r="H313" s="2301">
        <f>'Saisie données file act.'!I520</f>
        <v>0</v>
      </c>
      <c r="I313" s="2301">
        <f>'Saisie données file act.'!J520</f>
        <v>0</v>
      </c>
      <c r="J313" s="2301">
        <f>'Saisie données file act.'!K520</f>
        <v>0</v>
      </c>
      <c r="K313" s="2301">
        <f>'Saisie données file act.'!L520</f>
        <v>0</v>
      </c>
      <c r="L313" s="2302">
        <f>'Saisie données file act.'!M520</f>
        <v>0</v>
      </c>
      <c r="M313" s="2301">
        <f>'Saisie données file act.'!N520</f>
        <v>0</v>
      </c>
      <c r="N313" s="2301">
        <f>'Saisie données file act.'!O520</f>
        <v>0</v>
      </c>
      <c r="O313" s="2301">
        <f>'Saisie données file act.'!P520</f>
        <v>0</v>
      </c>
      <c r="P313" s="2301">
        <f>'Saisie données file act.'!Q520</f>
        <v>0</v>
      </c>
      <c r="Q313" s="2302">
        <f>'Saisie données file act.'!R520</f>
        <v>0</v>
      </c>
      <c r="R313" s="2301">
        <f>'Saisie données file act.'!S520</f>
        <v>0</v>
      </c>
      <c r="S313" s="2301">
        <f>'Saisie données file act.'!T520</f>
        <v>0</v>
      </c>
      <c r="T313" s="2301">
        <f>'Saisie données file act.'!U520</f>
        <v>0</v>
      </c>
      <c r="U313" s="2301">
        <f>'Saisie données file act.'!V520</f>
        <v>0</v>
      </c>
      <c r="V313" s="2301">
        <f>'Saisie données file act.'!W520</f>
        <v>0</v>
      </c>
      <c r="W313" s="2301">
        <f>'Saisie données file act.'!X520</f>
        <v>0</v>
      </c>
      <c r="X313" s="2301">
        <f>'Saisie données file act.'!Y520</f>
        <v>0</v>
      </c>
      <c r="Y313" s="2301">
        <f>'Saisie données file act.'!Z520</f>
        <v>0</v>
      </c>
      <c r="Z313" s="2301">
        <f>'Saisie données file act.'!AA520</f>
        <v>0</v>
      </c>
      <c r="AA313" s="2301">
        <f>'Saisie données file act.'!AB520</f>
        <v>0</v>
      </c>
      <c r="AB313" s="2301">
        <f>'Saisie données file act.'!AC520</f>
        <v>0</v>
      </c>
      <c r="AC313" s="2301">
        <f>'Saisie données file act.'!AD520</f>
        <v>0</v>
      </c>
      <c r="AD313" s="2301">
        <f>'Saisie données file act.'!AE520</f>
        <v>0</v>
      </c>
      <c r="AE313" s="2303">
        <f>'Saisie données file act.'!AF520</f>
        <v>0</v>
      </c>
      <c r="AF313" s="2301">
        <f>'Saisie données file act.'!AG520</f>
        <v>0</v>
      </c>
      <c r="AG313" s="1101"/>
      <c r="AH313" s="1143"/>
    </row>
    <row r="314" spans="3:34" x14ac:dyDescent="0.2">
      <c r="C314" s="1110">
        <f>'Saisie données file act.'!D521</f>
        <v>0</v>
      </c>
      <c r="D314" s="2298">
        <f>'Saisie données file act.'!E521</f>
        <v>0</v>
      </c>
      <c r="E314" s="2298">
        <f>'Saisie données file act.'!F521</f>
        <v>0</v>
      </c>
      <c r="F314" s="2298">
        <f>'Saisie données file act.'!G521</f>
        <v>0</v>
      </c>
      <c r="G314" s="2298">
        <f>'Saisie données file act.'!H521</f>
        <v>0</v>
      </c>
      <c r="H314" s="2298">
        <f>'Saisie données file act.'!I521</f>
        <v>0</v>
      </c>
      <c r="I314" s="2298">
        <f>'Saisie données file act.'!J521</f>
        <v>0</v>
      </c>
      <c r="J314" s="2298">
        <f>'Saisie données file act.'!K521</f>
        <v>0</v>
      </c>
      <c r="K314" s="2298">
        <f>'Saisie données file act.'!L521</f>
        <v>0</v>
      </c>
      <c r="L314" s="2299">
        <f>'Saisie données file act.'!M521</f>
        <v>0</v>
      </c>
      <c r="M314" s="2298">
        <f>'Saisie données file act.'!N521</f>
        <v>0</v>
      </c>
      <c r="N314" s="2298">
        <f>'Saisie données file act.'!O521</f>
        <v>0</v>
      </c>
      <c r="O314" s="2298">
        <f>'Saisie données file act.'!P521</f>
        <v>0</v>
      </c>
      <c r="P314" s="2298">
        <f>'Saisie données file act.'!Q521</f>
        <v>0</v>
      </c>
      <c r="Q314" s="2299">
        <f>'Saisie données file act.'!R521</f>
        <v>0</v>
      </c>
      <c r="R314" s="2298">
        <f>'Saisie données file act.'!S521</f>
        <v>0</v>
      </c>
      <c r="S314" s="2298">
        <f>'Saisie données file act.'!T521</f>
        <v>0</v>
      </c>
      <c r="T314" s="2298">
        <f>'Saisie données file act.'!U521</f>
        <v>0</v>
      </c>
      <c r="U314" s="2298">
        <f>'Saisie données file act.'!V521</f>
        <v>0</v>
      </c>
      <c r="V314" s="2298">
        <f>'Saisie données file act.'!W521</f>
        <v>0</v>
      </c>
      <c r="W314" s="2298">
        <f>'Saisie données file act.'!X521</f>
        <v>0</v>
      </c>
      <c r="X314" s="2298">
        <f>'Saisie données file act.'!Y521</f>
        <v>0</v>
      </c>
      <c r="Y314" s="2298">
        <f>'Saisie données file act.'!Z521</f>
        <v>0</v>
      </c>
      <c r="Z314" s="2298">
        <f>'Saisie données file act.'!AA521</f>
        <v>0</v>
      </c>
      <c r="AA314" s="2298">
        <f>'Saisie données file act.'!AB521</f>
        <v>0</v>
      </c>
      <c r="AB314" s="2298">
        <f>'Saisie données file act.'!AC521</f>
        <v>0</v>
      </c>
      <c r="AC314" s="2298">
        <f>'Saisie données file act.'!AD521</f>
        <v>0</v>
      </c>
      <c r="AD314" s="2298">
        <f>'Saisie données file act.'!AE521</f>
        <v>0</v>
      </c>
      <c r="AE314" s="2300">
        <f>'Saisie données file act.'!AF521</f>
        <v>0</v>
      </c>
      <c r="AF314" s="2298">
        <f>'Saisie données file act.'!AG521</f>
        <v>0</v>
      </c>
      <c r="AG314" s="1189">
        <f t="shared" ref="AG314:AG322" si="73">F120</f>
        <v>0</v>
      </c>
      <c r="AH314" s="1147">
        <f t="shared" ref="AH314:AH322" si="74">F149</f>
        <v>0</v>
      </c>
    </row>
    <row r="315" spans="3:34" x14ac:dyDescent="0.2">
      <c r="C315" s="1110">
        <f>'Saisie données file act.'!D522</f>
        <v>0</v>
      </c>
      <c r="D315" s="2298">
        <f>'Saisie données file act.'!E522</f>
        <v>0</v>
      </c>
      <c r="E315" s="2298">
        <f>'Saisie données file act.'!F522</f>
        <v>0</v>
      </c>
      <c r="F315" s="2298">
        <f>'Saisie données file act.'!G522</f>
        <v>0</v>
      </c>
      <c r="G315" s="2298">
        <f>'Saisie données file act.'!H522</f>
        <v>0</v>
      </c>
      <c r="H315" s="2298">
        <f>'Saisie données file act.'!I522</f>
        <v>0</v>
      </c>
      <c r="I315" s="2298">
        <f>'Saisie données file act.'!J522</f>
        <v>0</v>
      </c>
      <c r="J315" s="2298">
        <f>'Saisie données file act.'!K522</f>
        <v>0</v>
      </c>
      <c r="K315" s="2298">
        <f>'Saisie données file act.'!L522</f>
        <v>0</v>
      </c>
      <c r="L315" s="2299">
        <f>'Saisie données file act.'!M522</f>
        <v>0</v>
      </c>
      <c r="M315" s="2298">
        <f>'Saisie données file act.'!N522</f>
        <v>0</v>
      </c>
      <c r="N315" s="2298">
        <f>'Saisie données file act.'!O522</f>
        <v>0</v>
      </c>
      <c r="O315" s="2298">
        <f>'Saisie données file act.'!P522</f>
        <v>0</v>
      </c>
      <c r="P315" s="2298">
        <f>'Saisie données file act.'!Q522</f>
        <v>0</v>
      </c>
      <c r="Q315" s="2299">
        <f>'Saisie données file act.'!R522</f>
        <v>0</v>
      </c>
      <c r="R315" s="2298">
        <f>'Saisie données file act.'!S522</f>
        <v>0</v>
      </c>
      <c r="S315" s="2298">
        <f>'Saisie données file act.'!T522</f>
        <v>0</v>
      </c>
      <c r="T315" s="2298">
        <f>'Saisie données file act.'!U522</f>
        <v>0</v>
      </c>
      <c r="U315" s="2298">
        <f>'Saisie données file act.'!V522</f>
        <v>0</v>
      </c>
      <c r="V315" s="2298">
        <f>'Saisie données file act.'!W522</f>
        <v>0</v>
      </c>
      <c r="W315" s="2298">
        <f>'Saisie données file act.'!X522</f>
        <v>0</v>
      </c>
      <c r="X315" s="2298">
        <f>'Saisie données file act.'!Y522</f>
        <v>0</v>
      </c>
      <c r="Y315" s="2298">
        <f>'Saisie données file act.'!Z522</f>
        <v>0</v>
      </c>
      <c r="Z315" s="2298">
        <f>'Saisie données file act.'!AA522</f>
        <v>0</v>
      </c>
      <c r="AA315" s="2298">
        <f>'Saisie données file act.'!AB522</f>
        <v>0</v>
      </c>
      <c r="AB315" s="2298">
        <f>'Saisie données file act.'!AC522</f>
        <v>0</v>
      </c>
      <c r="AC315" s="2298">
        <f>'Saisie données file act.'!AD522</f>
        <v>0</v>
      </c>
      <c r="AD315" s="2298">
        <f>'Saisie données file act.'!AE522</f>
        <v>0</v>
      </c>
      <c r="AE315" s="2300">
        <f>'Saisie données file act.'!AF522</f>
        <v>0</v>
      </c>
      <c r="AF315" s="2298">
        <f>'Saisie données file act.'!AG522</f>
        <v>0</v>
      </c>
      <c r="AG315" s="1189">
        <f t="shared" si="73"/>
        <v>0</v>
      </c>
      <c r="AH315" s="1147">
        <f t="shared" si="74"/>
        <v>0</v>
      </c>
    </row>
    <row r="316" spans="3:34" x14ac:dyDescent="0.2">
      <c r="C316" s="1110">
        <f>'Saisie données file act.'!D523</f>
        <v>0</v>
      </c>
      <c r="D316" s="2298">
        <f>'Saisie données file act.'!E523</f>
        <v>0</v>
      </c>
      <c r="E316" s="2298">
        <f>'Saisie données file act.'!F523</f>
        <v>0</v>
      </c>
      <c r="F316" s="2298">
        <f>'Saisie données file act.'!G523</f>
        <v>0</v>
      </c>
      <c r="G316" s="2298">
        <f>'Saisie données file act.'!H523</f>
        <v>0</v>
      </c>
      <c r="H316" s="2298">
        <f>'Saisie données file act.'!I523</f>
        <v>0</v>
      </c>
      <c r="I316" s="2298">
        <f>'Saisie données file act.'!J523</f>
        <v>0</v>
      </c>
      <c r="J316" s="2298">
        <f>'Saisie données file act.'!K523</f>
        <v>0</v>
      </c>
      <c r="K316" s="2298">
        <f>'Saisie données file act.'!L523</f>
        <v>0</v>
      </c>
      <c r="L316" s="2299">
        <f>'Saisie données file act.'!M523</f>
        <v>0</v>
      </c>
      <c r="M316" s="2298">
        <f>'Saisie données file act.'!N523</f>
        <v>0</v>
      </c>
      <c r="N316" s="2298">
        <f>'Saisie données file act.'!O523</f>
        <v>0</v>
      </c>
      <c r="O316" s="2298">
        <f>'Saisie données file act.'!P523</f>
        <v>0</v>
      </c>
      <c r="P316" s="2298">
        <f>'Saisie données file act.'!Q523</f>
        <v>0</v>
      </c>
      <c r="Q316" s="2299">
        <f>'Saisie données file act.'!R523</f>
        <v>0</v>
      </c>
      <c r="R316" s="2298">
        <f>'Saisie données file act.'!S523</f>
        <v>0</v>
      </c>
      <c r="S316" s="2298">
        <f>'Saisie données file act.'!T523</f>
        <v>0</v>
      </c>
      <c r="T316" s="2298">
        <f>'Saisie données file act.'!U523</f>
        <v>0</v>
      </c>
      <c r="U316" s="2298">
        <f>'Saisie données file act.'!V523</f>
        <v>0</v>
      </c>
      <c r="V316" s="2298">
        <f>'Saisie données file act.'!W523</f>
        <v>0</v>
      </c>
      <c r="W316" s="2298">
        <f>'Saisie données file act.'!X523</f>
        <v>0</v>
      </c>
      <c r="X316" s="2298">
        <f>'Saisie données file act.'!Y523</f>
        <v>0</v>
      </c>
      <c r="Y316" s="2298">
        <f>'Saisie données file act.'!Z523</f>
        <v>0</v>
      </c>
      <c r="Z316" s="2298">
        <f>'Saisie données file act.'!AA523</f>
        <v>0</v>
      </c>
      <c r="AA316" s="2298">
        <f>'Saisie données file act.'!AB523</f>
        <v>0</v>
      </c>
      <c r="AB316" s="2298">
        <f>'Saisie données file act.'!AC523</f>
        <v>0</v>
      </c>
      <c r="AC316" s="2298">
        <f>'Saisie données file act.'!AD523</f>
        <v>0</v>
      </c>
      <c r="AD316" s="2298">
        <f>'Saisie données file act.'!AE523</f>
        <v>0</v>
      </c>
      <c r="AE316" s="2300">
        <f>'Saisie données file act.'!AF523</f>
        <v>0</v>
      </c>
      <c r="AF316" s="2298">
        <f>'Saisie données file act.'!AG523</f>
        <v>0</v>
      </c>
      <c r="AG316" s="1189">
        <f t="shared" si="73"/>
        <v>0</v>
      </c>
      <c r="AH316" s="1147">
        <f t="shared" si="74"/>
        <v>0</v>
      </c>
    </row>
    <row r="317" spans="3:34" x14ac:dyDescent="0.2">
      <c r="C317" s="1110">
        <f>'Saisie données file act.'!D524</f>
        <v>0</v>
      </c>
      <c r="D317" s="2298">
        <f>'Saisie données file act.'!E524</f>
        <v>0</v>
      </c>
      <c r="E317" s="2298">
        <f>'Saisie données file act.'!F524</f>
        <v>0</v>
      </c>
      <c r="F317" s="2298">
        <f>'Saisie données file act.'!G524</f>
        <v>0</v>
      </c>
      <c r="G317" s="2298">
        <f>'Saisie données file act.'!H524</f>
        <v>0</v>
      </c>
      <c r="H317" s="2298">
        <f>'Saisie données file act.'!I524</f>
        <v>0</v>
      </c>
      <c r="I317" s="2298">
        <f>'Saisie données file act.'!J524</f>
        <v>0</v>
      </c>
      <c r="J317" s="2298">
        <f>'Saisie données file act.'!K524</f>
        <v>0</v>
      </c>
      <c r="K317" s="2298">
        <f>'Saisie données file act.'!L524</f>
        <v>0</v>
      </c>
      <c r="L317" s="2299">
        <f>'Saisie données file act.'!M524</f>
        <v>0</v>
      </c>
      <c r="M317" s="2298">
        <f>'Saisie données file act.'!N524</f>
        <v>0</v>
      </c>
      <c r="N317" s="2298">
        <f>'Saisie données file act.'!O524</f>
        <v>0</v>
      </c>
      <c r="O317" s="2298">
        <f>'Saisie données file act.'!P524</f>
        <v>0</v>
      </c>
      <c r="P317" s="2298">
        <f>'Saisie données file act.'!Q524</f>
        <v>0</v>
      </c>
      <c r="Q317" s="2299">
        <f>'Saisie données file act.'!R524</f>
        <v>0</v>
      </c>
      <c r="R317" s="2298">
        <f>'Saisie données file act.'!S524</f>
        <v>0</v>
      </c>
      <c r="S317" s="2298">
        <f>'Saisie données file act.'!T524</f>
        <v>0</v>
      </c>
      <c r="T317" s="2298">
        <f>'Saisie données file act.'!U524</f>
        <v>0</v>
      </c>
      <c r="U317" s="2298">
        <f>'Saisie données file act.'!V524</f>
        <v>0</v>
      </c>
      <c r="V317" s="2298">
        <f>'Saisie données file act.'!W524</f>
        <v>0</v>
      </c>
      <c r="W317" s="2298">
        <f>'Saisie données file act.'!X524</f>
        <v>0</v>
      </c>
      <c r="X317" s="2298">
        <f>'Saisie données file act.'!Y524</f>
        <v>0</v>
      </c>
      <c r="Y317" s="2298">
        <f>'Saisie données file act.'!Z524</f>
        <v>0</v>
      </c>
      <c r="Z317" s="2298">
        <f>'Saisie données file act.'!AA524</f>
        <v>0</v>
      </c>
      <c r="AA317" s="2298">
        <f>'Saisie données file act.'!AB524</f>
        <v>0</v>
      </c>
      <c r="AB317" s="2298">
        <f>'Saisie données file act.'!AC524</f>
        <v>0</v>
      </c>
      <c r="AC317" s="2298">
        <f>'Saisie données file act.'!AD524</f>
        <v>0</v>
      </c>
      <c r="AD317" s="2298">
        <f>'Saisie données file act.'!AE524</f>
        <v>0</v>
      </c>
      <c r="AE317" s="2300">
        <f>'Saisie données file act.'!AF524</f>
        <v>0</v>
      </c>
      <c r="AF317" s="2298">
        <f>'Saisie données file act.'!AG524</f>
        <v>0</v>
      </c>
      <c r="AG317" s="1188">
        <f t="shared" si="73"/>
        <v>0</v>
      </c>
      <c r="AH317" s="1146">
        <f t="shared" si="74"/>
        <v>0</v>
      </c>
    </row>
    <row r="318" spans="3:34" x14ac:dyDescent="0.2">
      <c r="C318" s="1110">
        <f>'Saisie données file act.'!D525</f>
        <v>0</v>
      </c>
      <c r="D318" s="2298">
        <f>'Saisie données file act.'!E525</f>
        <v>0</v>
      </c>
      <c r="E318" s="2298">
        <f>'Saisie données file act.'!F525</f>
        <v>0</v>
      </c>
      <c r="F318" s="2298">
        <f>'Saisie données file act.'!G525</f>
        <v>0</v>
      </c>
      <c r="G318" s="2298">
        <f>'Saisie données file act.'!H525</f>
        <v>0</v>
      </c>
      <c r="H318" s="2298">
        <f>'Saisie données file act.'!I525</f>
        <v>0</v>
      </c>
      <c r="I318" s="2298">
        <f>'Saisie données file act.'!J525</f>
        <v>0</v>
      </c>
      <c r="J318" s="2298">
        <f>'Saisie données file act.'!K525</f>
        <v>0</v>
      </c>
      <c r="K318" s="2298">
        <f>'Saisie données file act.'!L525</f>
        <v>0</v>
      </c>
      <c r="L318" s="2299">
        <f>'Saisie données file act.'!M525</f>
        <v>0</v>
      </c>
      <c r="M318" s="2298">
        <f>'Saisie données file act.'!N525</f>
        <v>0</v>
      </c>
      <c r="N318" s="2298">
        <f>'Saisie données file act.'!O525</f>
        <v>0</v>
      </c>
      <c r="O318" s="2298">
        <f>'Saisie données file act.'!P525</f>
        <v>0</v>
      </c>
      <c r="P318" s="2298">
        <f>'Saisie données file act.'!Q525</f>
        <v>0</v>
      </c>
      <c r="Q318" s="2299">
        <f>'Saisie données file act.'!R525</f>
        <v>0</v>
      </c>
      <c r="R318" s="2298">
        <f>'Saisie données file act.'!S525</f>
        <v>0</v>
      </c>
      <c r="S318" s="2298">
        <f>'Saisie données file act.'!T525</f>
        <v>0</v>
      </c>
      <c r="T318" s="2298">
        <f>'Saisie données file act.'!U525</f>
        <v>0</v>
      </c>
      <c r="U318" s="2298">
        <f>'Saisie données file act.'!V525</f>
        <v>0</v>
      </c>
      <c r="V318" s="2298">
        <f>'Saisie données file act.'!W525</f>
        <v>0</v>
      </c>
      <c r="W318" s="2298">
        <f>'Saisie données file act.'!X525</f>
        <v>0</v>
      </c>
      <c r="X318" s="2298">
        <f>'Saisie données file act.'!Y525</f>
        <v>0</v>
      </c>
      <c r="Y318" s="2298">
        <f>'Saisie données file act.'!Z525</f>
        <v>0</v>
      </c>
      <c r="Z318" s="2298">
        <f>'Saisie données file act.'!AA525</f>
        <v>0</v>
      </c>
      <c r="AA318" s="2298">
        <f>'Saisie données file act.'!AB525</f>
        <v>0</v>
      </c>
      <c r="AB318" s="2298">
        <f>'Saisie données file act.'!AC525</f>
        <v>0</v>
      </c>
      <c r="AC318" s="2298">
        <f>'Saisie données file act.'!AD525</f>
        <v>0</v>
      </c>
      <c r="AD318" s="2298">
        <f>'Saisie données file act.'!AE525</f>
        <v>0</v>
      </c>
      <c r="AE318" s="2300">
        <f>'Saisie données file act.'!AF525</f>
        <v>0</v>
      </c>
      <c r="AF318" s="2298">
        <f>'Saisie données file act.'!AG525</f>
        <v>0</v>
      </c>
      <c r="AG318" s="1189">
        <f t="shared" si="73"/>
        <v>0</v>
      </c>
      <c r="AH318" s="1147">
        <f t="shared" si="74"/>
        <v>0</v>
      </c>
    </row>
    <row r="319" spans="3:34" x14ac:dyDescent="0.2">
      <c r="C319" s="1110">
        <f>'Saisie données file act.'!D526</f>
        <v>0</v>
      </c>
      <c r="D319" s="2298">
        <f>'Saisie données file act.'!E526</f>
        <v>0</v>
      </c>
      <c r="E319" s="2298">
        <f>'Saisie données file act.'!F526</f>
        <v>0</v>
      </c>
      <c r="F319" s="2298">
        <f>'Saisie données file act.'!G526</f>
        <v>0</v>
      </c>
      <c r="G319" s="2298">
        <f>'Saisie données file act.'!H526</f>
        <v>0</v>
      </c>
      <c r="H319" s="2298">
        <f>'Saisie données file act.'!I526</f>
        <v>0</v>
      </c>
      <c r="I319" s="2298">
        <f>'Saisie données file act.'!J526</f>
        <v>0</v>
      </c>
      <c r="J319" s="2298">
        <f>'Saisie données file act.'!K526</f>
        <v>0</v>
      </c>
      <c r="K319" s="2298">
        <f>'Saisie données file act.'!L526</f>
        <v>0</v>
      </c>
      <c r="L319" s="2299">
        <f>'Saisie données file act.'!M526</f>
        <v>0</v>
      </c>
      <c r="M319" s="2298">
        <f>'Saisie données file act.'!N526</f>
        <v>0</v>
      </c>
      <c r="N319" s="2298">
        <f>'Saisie données file act.'!O526</f>
        <v>0</v>
      </c>
      <c r="O319" s="2298">
        <f>'Saisie données file act.'!P526</f>
        <v>0</v>
      </c>
      <c r="P319" s="2298">
        <f>'Saisie données file act.'!Q526</f>
        <v>0</v>
      </c>
      <c r="Q319" s="2299">
        <f>'Saisie données file act.'!R526</f>
        <v>0</v>
      </c>
      <c r="R319" s="2298">
        <f>'Saisie données file act.'!S526</f>
        <v>0</v>
      </c>
      <c r="S319" s="2298">
        <f>'Saisie données file act.'!T526</f>
        <v>0</v>
      </c>
      <c r="T319" s="2298">
        <f>'Saisie données file act.'!U526</f>
        <v>0</v>
      </c>
      <c r="U319" s="2298">
        <f>'Saisie données file act.'!V526</f>
        <v>0</v>
      </c>
      <c r="V319" s="2298">
        <f>'Saisie données file act.'!W526</f>
        <v>0</v>
      </c>
      <c r="W319" s="2298">
        <f>'Saisie données file act.'!X526</f>
        <v>0</v>
      </c>
      <c r="X319" s="2298">
        <f>'Saisie données file act.'!Y526</f>
        <v>0</v>
      </c>
      <c r="Y319" s="2298">
        <f>'Saisie données file act.'!Z526</f>
        <v>0</v>
      </c>
      <c r="Z319" s="2298">
        <f>'Saisie données file act.'!AA526</f>
        <v>0</v>
      </c>
      <c r="AA319" s="2298">
        <f>'Saisie données file act.'!AB526</f>
        <v>0</v>
      </c>
      <c r="AB319" s="2298">
        <f>'Saisie données file act.'!AC526</f>
        <v>0</v>
      </c>
      <c r="AC319" s="2298">
        <f>'Saisie données file act.'!AD526</f>
        <v>0</v>
      </c>
      <c r="AD319" s="2298">
        <f>'Saisie données file act.'!AE526</f>
        <v>0</v>
      </c>
      <c r="AE319" s="2300">
        <f>'Saisie données file act.'!AF526</f>
        <v>0</v>
      </c>
      <c r="AF319" s="2298">
        <f>'Saisie données file act.'!AG526</f>
        <v>0</v>
      </c>
      <c r="AG319" s="1189">
        <f t="shared" si="73"/>
        <v>0</v>
      </c>
      <c r="AH319" s="1147">
        <f t="shared" si="74"/>
        <v>0</v>
      </c>
    </row>
    <row r="320" spans="3:34" x14ac:dyDescent="0.2">
      <c r="C320" s="1110">
        <f>'Saisie données file act.'!D527</f>
        <v>0</v>
      </c>
      <c r="D320" s="2298">
        <f>'Saisie données file act.'!E527</f>
        <v>0</v>
      </c>
      <c r="E320" s="2298">
        <f>'Saisie données file act.'!F527</f>
        <v>0</v>
      </c>
      <c r="F320" s="2298">
        <f>'Saisie données file act.'!G527</f>
        <v>0</v>
      </c>
      <c r="G320" s="2298">
        <f>'Saisie données file act.'!H527</f>
        <v>0</v>
      </c>
      <c r="H320" s="2298">
        <f>'Saisie données file act.'!I527</f>
        <v>0</v>
      </c>
      <c r="I320" s="2298">
        <f>'Saisie données file act.'!J527</f>
        <v>0</v>
      </c>
      <c r="J320" s="2298">
        <f>'Saisie données file act.'!K527</f>
        <v>0</v>
      </c>
      <c r="K320" s="2298">
        <f>'Saisie données file act.'!L527</f>
        <v>0</v>
      </c>
      <c r="L320" s="2299">
        <f>'Saisie données file act.'!M527</f>
        <v>0</v>
      </c>
      <c r="M320" s="2298">
        <f>'Saisie données file act.'!N527</f>
        <v>0</v>
      </c>
      <c r="N320" s="2298">
        <f>'Saisie données file act.'!O527</f>
        <v>0</v>
      </c>
      <c r="O320" s="2298">
        <f>'Saisie données file act.'!P527</f>
        <v>0</v>
      </c>
      <c r="P320" s="2298">
        <f>'Saisie données file act.'!Q527</f>
        <v>0</v>
      </c>
      <c r="Q320" s="2299">
        <f>'Saisie données file act.'!R527</f>
        <v>0</v>
      </c>
      <c r="R320" s="2298">
        <f>'Saisie données file act.'!S527</f>
        <v>0</v>
      </c>
      <c r="S320" s="2298">
        <f>'Saisie données file act.'!T527</f>
        <v>0</v>
      </c>
      <c r="T320" s="2298">
        <f>'Saisie données file act.'!U527</f>
        <v>0</v>
      </c>
      <c r="U320" s="2298">
        <f>'Saisie données file act.'!V527</f>
        <v>0</v>
      </c>
      <c r="V320" s="2298">
        <f>'Saisie données file act.'!W527</f>
        <v>0</v>
      </c>
      <c r="W320" s="2298">
        <f>'Saisie données file act.'!X527</f>
        <v>0</v>
      </c>
      <c r="X320" s="2298">
        <f>'Saisie données file act.'!Y527</f>
        <v>0</v>
      </c>
      <c r="Y320" s="2298">
        <f>'Saisie données file act.'!Z527</f>
        <v>0</v>
      </c>
      <c r="Z320" s="2298">
        <f>'Saisie données file act.'!AA527</f>
        <v>0</v>
      </c>
      <c r="AA320" s="2298">
        <f>'Saisie données file act.'!AB527</f>
        <v>0</v>
      </c>
      <c r="AB320" s="2298">
        <f>'Saisie données file act.'!AC527</f>
        <v>0</v>
      </c>
      <c r="AC320" s="2298">
        <f>'Saisie données file act.'!AD527</f>
        <v>0</v>
      </c>
      <c r="AD320" s="2298">
        <f>'Saisie données file act.'!AE527</f>
        <v>0</v>
      </c>
      <c r="AE320" s="2300">
        <f>'Saisie données file act.'!AF527</f>
        <v>0</v>
      </c>
      <c r="AF320" s="2298">
        <f>'Saisie données file act.'!AG527</f>
        <v>0</v>
      </c>
      <c r="AG320" s="1188">
        <f t="shared" si="73"/>
        <v>0</v>
      </c>
      <c r="AH320" s="1146">
        <f t="shared" si="74"/>
        <v>0</v>
      </c>
    </row>
    <row r="321" spans="1:34" x14ac:dyDescent="0.2">
      <c r="C321" s="1110">
        <f>'Saisie données file act.'!D528</f>
        <v>0</v>
      </c>
      <c r="D321" s="2298">
        <f>'Saisie données file act.'!E528</f>
        <v>0</v>
      </c>
      <c r="E321" s="2298">
        <f>'Saisie données file act.'!F528</f>
        <v>0</v>
      </c>
      <c r="F321" s="2298">
        <f>'Saisie données file act.'!G528</f>
        <v>0</v>
      </c>
      <c r="G321" s="2298">
        <f>'Saisie données file act.'!H528</f>
        <v>0</v>
      </c>
      <c r="H321" s="2298">
        <f>'Saisie données file act.'!I528</f>
        <v>0</v>
      </c>
      <c r="I321" s="2298">
        <f>'Saisie données file act.'!J528</f>
        <v>0</v>
      </c>
      <c r="J321" s="2298">
        <f>'Saisie données file act.'!K528</f>
        <v>0</v>
      </c>
      <c r="K321" s="2298">
        <f>'Saisie données file act.'!L528</f>
        <v>0</v>
      </c>
      <c r="L321" s="2299">
        <f>'Saisie données file act.'!M528</f>
        <v>0</v>
      </c>
      <c r="M321" s="2298">
        <f>'Saisie données file act.'!N528</f>
        <v>0</v>
      </c>
      <c r="N321" s="2298">
        <f>'Saisie données file act.'!O528</f>
        <v>0</v>
      </c>
      <c r="O321" s="2298">
        <f>'Saisie données file act.'!P528</f>
        <v>0</v>
      </c>
      <c r="P321" s="2298">
        <f>'Saisie données file act.'!Q528</f>
        <v>0</v>
      </c>
      <c r="Q321" s="2299">
        <f>'Saisie données file act.'!R528</f>
        <v>0</v>
      </c>
      <c r="R321" s="2298">
        <f>'Saisie données file act.'!S528</f>
        <v>0</v>
      </c>
      <c r="S321" s="2298">
        <f>'Saisie données file act.'!T528</f>
        <v>0</v>
      </c>
      <c r="T321" s="2298">
        <f>'Saisie données file act.'!U528</f>
        <v>0</v>
      </c>
      <c r="U321" s="2298">
        <f>'Saisie données file act.'!V528</f>
        <v>0</v>
      </c>
      <c r="V321" s="2298">
        <f>'Saisie données file act.'!W528</f>
        <v>0</v>
      </c>
      <c r="W321" s="2298">
        <f>'Saisie données file act.'!X528</f>
        <v>0</v>
      </c>
      <c r="X321" s="2298">
        <f>'Saisie données file act.'!Y528</f>
        <v>0</v>
      </c>
      <c r="Y321" s="2298">
        <f>'Saisie données file act.'!Z528</f>
        <v>0</v>
      </c>
      <c r="Z321" s="2298">
        <f>'Saisie données file act.'!AA528</f>
        <v>0</v>
      </c>
      <c r="AA321" s="2298">
        <f>'Saisie données file act.'!AB528</f>
        <v>0</v>
      </c>
      <c r="AB321" s="2298">
        <f>'Saisie données file act.'!AC528</f>
        <v>0</v>
      </c>
      <c r="AC321" s="2298">
        <f>'Saisie données file act.'!AD528</f>
        <v>0</v>
      </c>
      <c r="AD321" s="2298">
        <f>'Saisie données file act.'!AE528</f>
        <v>0</v>
      </c>
      <c r="AE321" s="2300">
        <f>'Saisie données file act.'!AF528</f>
        <v>0</v>
      </c>
      <c r="AF321" s="2298">
        <f>'Saisie données file act.'!AG528</f>
        <v>0</v>
      </c>
      <c r="AG321" s="1189">
        <f t="shared" si="73"/>
        <v>0</v>
      </c>
      <c r="AH321" s="1147">
        <f t="shared" si="74"/>
        <v>0</v>
      </c>
    </row>
    <row r="322" spans="1:34" ht="13.5" thickBot="1" x14ac:dyDescent="0.25">
      <c r="C322" s="1111" t="s">
        <v>495</v>
      </c>
      <c r="D322" s="2304">
        <f>'Saisie données file act.'!E529</f>
        <v>0</v>
      </c>
      <c r="E322" s="2304">
        <f>'Saisie données file act.'!F529</f>
        <v>0</v>
      </c>
      <c r="F322" s="2304">
        <f>'Saisie données file act.'!G529</f>
        <v>0</v>
      </c>
      <c r="G322" s="2304">
        <f>'Saisie données file act.'!H529</f>
        <v>0</v>
      </c>
      <c r="H322" s="2304">
        <f>'Saisie données file act.'!I529</f>
        <v>0</v>
      </c>
      <c r="I322" s="2304">
        <f>'Saisie données file act.'!J529</f>
        <v>0</v>
      </c>
      <c r="J322" s="2304">
        <f>'Saisie données file act.'!K529</f>
        <v>0</v>
      </c>
      <c r="K322" s="2304">
        <f>'Saisie données file act.'!L529</f>
        <v>0</v>
      </c>
      <c r="L322" s="2305">
        <f>'Saisie données file act.'!M529</f>
        <v>0</v>
      </c>
      <c r="M322" s="2304">
        <f>'Saisie données file act.'!N529</f>
        <v>0</v>
      </c>
      <c r="N322" s="2304">
        <f>'Saisie données file act.'!O529</f>
        <v>0</v>
      </c>
      <c r="O322" s="2304">
        <f>'Saisie données file act.'!P529</f>
        <v>0</v>
      </c>
      <c r="P322" s="2304">
        <f>'Saisie données file act.'!Q529</f>
        <v>0</v>
      </c>
      <c r="Q322" s="2305">
        <f>'Saisie données file act.'!R529</f>
        <v>0</v>
      </c>
      <c r="R322" s="2304">
        <f>'Saisie données file act.'!S529</f>
        <v>0</v>
      </c>
      <c r="S322" s="2304">
        <f>'Saisie données file act.'!T529</f>
        <v>0</v>
      </c>
      <c r="T322" s="2304">
        <f>'Saisie données file act.'!U529</f>
        <v>0</v>
      </c>
      <c r="U322" s="2304">
        <f>'Saisie données file act.'!V529</f>
        <v>0</v>
      </c>
      <c r="V322" s="2304">
        <f>'Saisie données file act.'!W529</f>
        <v>0</v>
      </c>
      <c r="W322" s="2304">
        <f>'Saisie données file act.'!X529</f>
        <v>0</v>
      </c>
      <c r="X322" s="2304">
        <f>'Saisie données file act.'!Y529</f>
        <v>0</v>
      </c>
      <c r="Y322" s="2304">
        <f>'Saisie données file act.'!Z529</f>
        <v>0</v>
      </c>
      <c r="Z322" s="2304">
        <f>'Saisie données file act.'!AA529</f>
        <v>0</v>
      </c>
      <c r="AA322" s="2304">
        <f>'Saisie données file act.'!AB529</f>
        <v>0</v>
      </c>
      <c r="AB322" s="2304">
        <f>'Saisie données file act.'!AC529</f>
        <v>0</v>
      </c>
      <c r="AC322" s="2304">
        <f>'Saisie données file act.'!AD529</f>
        <v>0</v>
      </c>
      <c r="AD322" s="2304">
        <f>'Saisie données file act.'!AE529</f>
        <v>0</v>
      </c>
      <c r="AE322" s="2306">
        <f>'Saisie données file act.'!AF529</f>
        <v>0</v>
      </c>
      <c r="AF322" s="2304">
        <f>'Saisie données file act.'!AG529</f>
        <v>0</v>
      </c>
      <c r="AG322" s="1191">
        <f t="shared" si="73"/>
        <v>0</v>
      </c>
      <c r="AH322" s="1150">
        <f t="shared" si="74"/>
        <v>0</v>
      </c>
    </row>
    <row r="323" spans="1:34" s="1119" customFormat="1" ht="39" thickBot="1" x14ac:dyDescent="0.25">
      <c r="A323" s="1118"/>
      <c r="C323" s="1120" t="str">
        <f>'TRAD-Calculs pédiatriques'!B89</f>
        <v>Nb de patients-mois / produit - SUIVIS</v>
      </c>
      <c r="D323" s="1134">
        <f t="shared" ref="D323:AF323" si="75">SUMIF(D300:D322, "X", $AG300:$AG322)</f>
        <v>0</v>
      </c>
      <c r="E323" s="1134">
        <f t="shared" si="75"/>
        <v>0</v>
      </c>
      <c r="F323" s="1134">
        <f t="shared" si="75"/>
        <v>0</v>
      </c>
      <c r="G323" s="1134">
        <f t="shared" si="75"/>
        <v>0</v>
      </c>
      <c r="H323" s="1134">
        <f t="shared" si="75"/>
        <v>0</v>
      </c>
      <c r="I323" s="1134">
        <f t="shared" si="75"/>
        <v>0</v>
      </c>
      <c r="J323" s="1134">
        <f t="shared" si="75"/>
        <v>0</v>
      </c>
      <c r="K323" s="1134">
        <f t="shared" si="75"/>
        <v>0</v>
      </c>
      <c r="L323" s="1134">
        <f t="shared" si="75"/>
        <v>0</v>
      </c>
      <c r="M323" s="1134">
        <f t="shared" si="75"/>
        <v>0</v>
      </c>
      <c r="N323" s="1134">
        <f t="shared" si="75"/>
        <v>0</v>
      </c>
      <c r="O323" s="1134">
        <f t="shared" si="75"/>
        <v>0</v>
      </c>
      <c r="P323" s="1134">
        <f t="shared" si="75"/>
        <v>0</v>
      </c>
      <c r="Q323" s="1134">
        <f t="shared" si="75"/>
        <v>0</v>
      </c>
      <c r="R323" s="1134">
        <f t="shared" si="75"/>
        <v>0</v>
      </c>
      <c r="S323" s="1134">
        <f t="shared" si="75"/>
        <v>0</v>
      </c>
      <c r="T323" s="1134">
        <f t="shared" si="75"/>
        <v>0</v>
      </c>
      <c r="U323" s="1134">
        <f t="shared" si="75"/>
        <v>0</v>
      </c>
      <c r="V323" s="1134">
        <f t="shared" si="75"/>
        <v>0</v>
      </c>
      <c r="W323" s="1134">
        <f t="shared" si="75"/>
        <v>0</v>
      </c>
      <c r="X323" s="1134">
        <f t="shared" si="75"/>
        <v>0</v>
      </c>
      <c r="Y323" s="1134">
        <f t="shared" si="75"/>
        <v>0</v>
      </c>
      <c r="Z323" s="1134">
        <f t="shared" si="75"/>
        <v>0</v>
      </c>
      <c r="AA323" s="1134">
        <f t="shared" si="75"/>
        <v>0</v>
      </c>
      <c r="AB323" s="1134">
        <f t="shared" si="75"/>
        <v>0</v>
      </c>
      <c r="AC323" s="1134">
        <f t="shared" si="75"/>
        <v>0</v>
      </c>
      <c r="AD323" s="1134">
        <f t="shared" si="75"/>
        <v>0</v>
      </c>
      <c r="AE323" s="1134">
        <f t="shared" si="75"/>
        <v>0</v>
      </c>
      <c r="AF323" s="1134">
        <f t="shared" si="75"/>
        <v>0</v>
      </c>
    </row>
    <row r="324" spans="1:34" s="1119" customFormat="1" ht="38.25" x14ac:dyDescent="0.2">
      <c r="A324" s="1118"/>
      <c r="C324" s="1120" t="str">
        <f>'TRAD-Calculs pédiatriques'!B90</f>
        <v>Nb de patients-mois / produit - NOUVEAUX</v>
      </c>
      <c r="D324" s="1136">
        <f t="shared" ref="D324:AF324" si="76">SUMIF(D300:D322, "X", $AH300:$AH322)</f>
        <v>0</v>
      </c>
      <c r="E324" s="1136">
        <f t="shared" si="76"/>
        <v>0</v>
      </c>
      <c r="F324" s="1136">
        <f t="shared" si="76"/>
        <v>0</v>
      </c>
      <c r="G324" s="1136">
        <f t="shared" si="76"/>
        <v>0</v>
      </c>
      <c r="H324" s="1136">
        <f t="shared" si="76"/>
        <v>0</v>
      </c>
      <c r="I324" s="1136">
        <f t="shared" si="76"/>
        <v>0</v>
      </c>
      <c r="J324" s="1136">
        <f t="shared" si="76"/>
        <v>0</v>
      </c>
      <c r="K324" s="1136">
        <f t="shared" si="76"/>
        <v>0</v>
      </c>
      <c r="L324" s="1136">
        <f t="shared" si="76"/>
        <v>0</v>
      </c>
      <c r="M324" s="1136">
        <f t="shared" si="76"/>
        <v>0</v>
      </c>
      <c r="N324" s="1136">
        <f t="shared" si="76"/>
        <v>0</v>
      </c>
      <c r="O324" s="1136">
        <f t="shared" si="76"/>
        <v>0</v>
      </c>
      <c r="P324" s="1136">
        <f t="shared" si="76"/>
        <v>0</v>
      </c>
      <c r="Q324" s="1136">
        <f t="shared" si="76"/>
        <v>0</v>
      </c>
      <c r="R324" s="1136">
        <f t="shared" si="76"/>
        <v>0</v>
      </c>
      <c r="S324" s="1136">
        <f t="shared" si="76"/>
        <v>0</v>
      </c>
      <c r="T324" s="1136">
        <f t="shared" si="76"/>
        <v>0</v>
      </c>
      <c r="U324" s="1136">
        <f t="shared" si="76"/>
        <v>0</v>
      </c>
      <c r="V324" s="1136">
        <f t="shared" si="76"/>
        <v>0</v>
      </c>
      <c r="W324" s="1136">
        <f t="shared" si="76"/>
        <v>0</v>
      </c>
      <c r="X324" s="1136">
        <f t="shared" si="76"/>
        <v>0</v>
      </c>
      <c r="Y324" s="1136">
        <f t="shared" si="76"/>
        <v>0</v>
      </c>
      <c r="Z324" s="1136">
        <f t="shared" si="76"/>
        <v>0</v>
      </c>
      <c r="AA324" s="1136">
        <f t="shared" si="76"/>
        <v>0</v>
      </c>
      <c r="AB324" s="1136">
        <f t="shared" si="76"/>
        <v>0</v>
      </c>
      <c r="AC324" s="1136">
        <f t="shared" si="76"/>
        <v>0</v>
      </c>
      <c r="AD324" s="1136">
        <f t="shared" si="76"/>
        <v>0</v>
      </c>
      <c r="AE324" s="1136">
        <f t="shared" si="76"/>
        <v>0</v>
      </c>
      <c r="AF324" s="1136">
        <f t="shared" si="76"/>
        <v>0</v>
      </c>
    </row>
    <row r="325" spans="1:34" s="1119" customFormat="1" x14ac:dyDescent="0.2">
      <c r="A325" s="1118"/>
      <c r="C325" s="1121" t="str">
        <f>'TRAD-Calculs pédiatriques'!B91</f>
        <v>Nb de cdt pr SUIVIS</v>
      </c>
      <c r="D325" s="1138">
        <f t="shared" ref="D325:AF325" si="77">D323*D299</f>
        <v>0</v>
      </c>
      <c r="E325" s="1138">
        <f t="shared" si="77"/>
        <v>0</v>
      </c>
      <c r="F325" s="1138">
        <f t="shared" si="77"/>
        <v>0</v>
      </c>
      <c r="G325" s="1138">
        <f t="shared" si="77"/>
        <v>0</v>
      </c>
      <c r="H325" s="1138">
        <f t="shared" si="77"/>
        <v>0</v>
      </c>
      <c r="I325" s="1138">
        <f t="shared" si="77"/>
        <v>0</v>
      </c>
      <c r="J325" s="1138">
        <f t="shared" si="77"/>
        <v>0</v>
      </c>
      <c r="K325" s="1138">
        <f t="shared" si="77"/>
        <v>0</v>
      </c>
      <c r="L325" s="1138">
        <f t="shared" si="77"/>
        <v>0</v>
      </c>
      <c r="M325" s="1138">
        <f t="shared" si="77"/>
        <v>0</v>
      </c>
      <c r="N325" s="1138">
        <f t="shared" si="77"/>
        <v>0</v>
      </c>
      <c r="O325" s="1138">
        <f t="shared" si="77"/>
        <v>0</v>
      </c>
      <c r="P325" s="1138">
        <f t="shared" si="77"/>
        <v>0</v>
      </c>
      <c r="Q325" s="1138">
        <f t="shared" si="77"/>
        <v>0</v>
      </c>
      <c r="R325" s="1138">
        <f t="shared" si="77"/>
        <v>0</v>
      </c>
      <c r="S325" s="1138">
        <f t="shared" si="77"/>
        <v>0</v>
      </c>
      <c r="T325" s="1138">
        <f t="shared" si="77"/>
        <v>0</v>
      </c>
      <c r="U325" s="1138">
        <f t="shared" si="77"/>
        <v>0</v>
      </c>
      <c r="V325" s="1138">
        <f t="shared" si="77"/>
        <v>0</v>
      </c>
      <c r="W325" s="1138">
        <f t="shared" si="77"/>
        <v>0</v>
      </c>
      <c r="X325" s="1138">
        <f t="shared" si="77"/>
        <v>0</v>
      </c>
      <c r="Y325" s="1138">
        <f t="shared" si="77"/>
        <v>0</v>
      </c>
      <c r="Z325" s="1138">
        <f t="shared" si="77"/>
        <v>0</v>
      </c>
      <c r="AA325" s="1138">
        <f t="shared" si="77"/>
        <v>0</v>
      </c>
      <c r="AB325" s="1138">
        <f t="shared" si="77"/>
        <v>0</v>
      </c>
      <c r="AC325" s="1138">
        <f t="shared" si="77"/>
        <v>0</v>
      </c>
      <c r="AD325" s="1138">
        <f t="shared" si="77"/>
        <v>0</v>
      </c>
      <c r="AE325" s="1138">
        <f t="shared" si="77"/>
        <v>0</v>
      </c>
      <c r="AF325" s="1138">
        <f t="shared" si="77"/>
        <v>0</v>
      </c>
    </row>
    <row r="326" spans="1:34" s="1119" customFormat="1" ht="26.25" thickBot="1" x14ac:dyDescent="0.25">
      <c r="A326" s="1118"/>
      <c r="C326" s="1121" t="str">
        <f>'TRAD-Calculs pédiatriques'!B92</f>
        <v>Nb de cdt pr NOUVEAUX</v>
      </c>
      <c r="D326" s="1139">
        <f t="shared" ref="D326:AF326" si="78">D324*D299</f>
        <v>0</v>
      </c>
      <c r="E326" s="1139">
        <f t="shared" si="78"/>
        <v>0</v>
      </c>
      <c r="F326" s="1139">
        <f t="shared" si="78"/>
        <v>0</v>
      </c>
      <c r="G326" s="1139">
        <f t="shared" si="78"/>
        <v>0</v>
      </c>
      <c r="H326" s="1139">
        <f t="shared" si="78"/>
        <v>0</v>
      </c>
      <c r="I326" s="1139">
        <f t="shared" si="78"/>
        <v>0</v>
      </c>
      <c r="J326" s="1139">
        <f t="shared" si="78"/>
        <v>0</v>
      </c>
      <c r="K326" s="1139">
        <f t="shared" si="78"/>
        <v>0</v>
      </c>
      <c r="L326" s="1139">
        <f t="shared" si="78"/>
        <v>0</v>
      </c>
      <c r="M326" s="1139">
        <f t="shared" si="78"/>
        <v>0</v>
      </c>
      <c r="N326" s="1139">
        <f t="shared" si="78"/>
        <v>0</v>
      </c>
      <c r="O326" s="1139">
        <f t="shared" si="78"/>
        <v>0</v>
      </c>
      <c r="P326" s="1139">
        <f t="shared" si="78"/>
        <v>0</v>
      </c>
      <c r="Q326" s="1139">
        <f t="shared" si="78"/>
        <v>0</v>
      </c>
      <c r="R326" s="1139">
        <f t="shared" si="78"/>
        <v>0</v>
      </c>
      <c r="S326" s="1139">
        <f t="shared" si="78"/>
        <v>0</v>
      </c>
      <c r="T326" s="1139">
        <f t="shared" si="78"/>
        <v>0</v>
      </c>
      <c r="U326" s="1139">
        <f t="shared" si="78"/>
        <v>0</v>
      </c>
      <c r="V326" s="1139">
        <f t="shared" si="78"/>
        <v>0</v>
      </c>
      <c r="W326" s="1139">
        <f t="shared" si="78"/>
        <v>0</v>
      </c>
      <c r="X326" s="1139">
        <f t="shared" si="78"/>
        <v>0</v>
      </c>
      <c r="Y326" s="1139">
        <f t="shared" si="78"/>
        <v>0</v>
      </c>
      <c r="Z326" s="1139">
        <f t="shared" si="78"/>
        <v>0</v>
      </c>
      <c r="AA326" s="1139">
        <f t="shared" si="78"/>
        <v>0</v>
      </c>
      <c r="AB326" s="1139">
        <f t="shared" si="78"/>
        <v>0</v>
      </c>
      <c r="AC326" s="1139">
        <f t="shared" si="78"/>
        <v>0</v>
      </c>
      <c r="AD326" s="1139">
        <f t="shared" si="78"/>
        <v>0</v>
      </c>
      <c r="AE326" s="1139">
        <f t="shared" si="78"/>
        <v>0</v>
      </c>
      <c r="AF326" s="1139">
        <f t="shared" si="78"/>
        <v>0</v>
      </c>
    </row>
    <row r="328" spans="1:34" ht="13.5" thickBot="1" x14ac:dyDescent="0.25"/>
    <row r="329" spans="1:34" ht="13.5" thickBot="1" x14ac:dyDescent="0.25">
      <c r="B329" s="1168" t="str">
        <f>'TRAD-Calculs pédiatriques'!B93</f>
        <v>Tranche 10 - 14,9 kg</v>
      </c>
      <c r="C329" s="1162"/>
      <c r="D329" s="1166"/>
      <c r="E329" s="1166"/>
      <c r="F329" s="1166"/>
      <c r="G329" s="1167"/>
      <c r="I329" s="1166"/>
      <c r="J329" s="1166"/>
    </row>
    <row r="330" spans="1:34" ht="13.5" thickBot="1" x14ac:dyDescent="0.25">
      <c r="D330" s="1172"/>
      <c r="E330" s="1173"/>
      <c r="F330" s="1173"/>
      <c r="G330" s="1173"/>
      <c r="H330" s="1162"/>
      <c r="I330" s="1173"/>
      <c r="J330" s="1173"/>
      <c r="K330" s="1162"/>
      <c r="L330" s="191"/>
      <c r="M330" s="1162"/>
      <c r="N330" s="1162"/>
      <c r="O330" s="1162"/>
      <c r="P330" s="1162"/>
      <c r="Q330" s="191"/>
      <c r="R330" s="1162"/>
      <c r="S330" s="1162"/>
      <c r="T330" s="1162"/>
      <c r="U330" s="1162"/>
      <c r="V330" s="1162"/>
      <c r="W330" s="1162"/>
      <c r="X330" s="1162"/>
      <c r="Y330" s="1162"/>
      <c r="Z330" s="1162"/>
      <c r="AA330" s="1162"/>
      <c r="AB330" s="1162"/>
      <c r="AC330" s="1162"/>
      <c r="AD330" s="1162"/>
      <c r="AE330" s="1163"/>
      <c r="AF330" s="1162"/>
    </row>
    <row r="331" spans="1:34" x14ac:dyDescent="0.2">
      <c r="C331" s="1108"/>
      <c r="D331" s="1193" t="str">
        <f>'TRAD-Calculs pédiatriques'!B53</f>
        <v>sol buv</v>
      </c>
      <c r="E331" s="1194"/>
      <c r="F331" s="1194"/>
      <c r="G331" s="1194"/>
      <c r="H331" s="1194"/>
      <c r="I331" s="1194"/>
      <c r="J331" s="1194"/>
      <c r="K331" s="1195"/>
      <c r="L331" s="1193"/>
      <c r="M331" s="1195"/>
      <c r="N331" s="1196"/>
      <c r="O331" s="1196"/>
      <c r="P331" s="1195"/>
      <c r="Q331" s="1193" t="str">
        <f>'TRAD-Calculs pédiatriques'!B102</f>
        <v>Comprimés</v>
      </c>
      <c r="R331" s="1195"/>
      <c r="S331" s="2265"/>
      <c r="T331" s="2265"/>
      <c r="U331" s="2265"/>
      <c r="V331" s="1196"/>
      <c r="W331" s="1196"/>
      <c r="X331" s="2264"/>
      <c r="Y331" s="1196"/>
      <c r="Z331" s="2264"/>
      <c r="AA331" s="1196"/>
      <c r="AB331" s="1196"/>
      <c r="AC331" s="1196"/>
      <c r="AD331" s="1196"/>
      <c r="AE331" s="1197"/>
      <c r="AF331" s="1196"/>
    </row>
    <row r="332" spans="1:34" s="1123" customFormat="1" ht="38.25" x14ac:dyDescent="0.2">
      <c r="A332" s="1122"/>
      <c r="C332" s="1109" t="str">
        <f>'TRAD-Calculs pédiatriques'!B85</f>
        <v>Nb de boites / mois pour l'ensemble des patients</v>
      </c>
      <c r="D332" s="1125" t="s">
        <v>32</v>
      </c>
      <c r="E332" s="1125" t="s">
        <v>82</v>
      </c>
      <c r="F332" s="1125" t="s">
        <v>34</v>
      </c>
      <c r="G332" s="1125" t="s">
        <v>36</v>
      </c>
      <c r="H332" s="1125" t="s">
        <v>37</v>
      </c>
      <c r="I332" s="1125" t="s">
        <v>29</v>
      </c>
      <c r="J332" s="1125" t="s">
        <v>27</v>
      </c>
      <c r="K332" s="1124" t="s">
        <v>42</v>
      </c>
      <c r="L332" s="1182" t="s">
        <v>1</v>
      </c>
      <c r="M332" s="1124" t="str">
        <f>'TRAD-Calculs pédiatriques'!B67</f>
        <v>AZT+3TC+NVP bébé</v>
      </c>
      <c r="N332" s="1124" t="s">
        <v>18</v>
      </c>
      <c r="O332" s="1124" t="str">
        <f>'TRAD-Calculs pédiatriques'!B69</f>
        <v>AZT+3TC bébé</v>
      </c>
      <c r="P332" s="1124" t="s">
        <v>2</v>
      </c>
      <c r="Q332" s="1182" t="str">
        <f>'TRAD-Calculs pédiatriques'!B71</f>
        <v>D4T+3TC+NVP bébé</v>
      </c>
      <c r="R332" s="1124" t="s">
        <v>22</v>
      </c>
      <c r="S332" s="1124" t="s">
        <v>3</v>
      </c>
      <c r="T332" s="1124" t="s">
        <v>596</v>
      </c>
      <c r="U332" s="1124" t="str">
        <f>'TRAD-Calculs pédiatriques'!B74</f>
        <v>ABC+3TC bébé</v>
      </c>
      <c r="V332" s="1124" t="s">
        <v>34</v>
      </c>
      <c r="W332" s="1124" t="s">
        <v>36</v>
      </c>
      <c r="X332" s="1124" t="str">
        <f>'TRAD-Calculs pédiatriques'!B76</f>
        <v>ABC bébé</v>
      </c>
      <c r="Y332" s="1124" t="s">
        <v>32</v>
      </c>
      <c r="Z332" s="1124" t="str">
        <f>'TRAD-Calculs pédiatriques'!B77</f>
        <v>AZT bébé</v>
      </c>
      <c r="AA332" s="1124" t="s">
        <v>37</v>
      </c>
      <c r="AB332" s="1124" t="s">
        <v>29</v>
      </c>
      <c r="AC332" s="1124" t="s">
        <v>27</v>
      </c>
      <c r="AD332" s="1124" t="s">
        <v>27</v>
      </c>
      <c r="AE332" s="1126" t="s">
        <v>42</v>
      </c>
      <c r="AF332" s="1124" t="str">
        <f>'TRAD-Calculs pédiatriques'!B80</f>
        <v>LPV/r bébé</v>
      </c>
    </row>
    <row r="333" spans="1:34" s="1123" customFormat="1" ht="64.5" thickBot="1" x14ac:dyDescent="0.25">
      <c r="A333" s="1122"/>
      <c r="C333" s="1109" t="str">
        <f>'TRAD-Calculs pédiatriques'!B46</f>
        <v>Dosage</v>
      </c>
      <c r="D333" s="1124" t="s">
        <v>80</v>
      </c>
      <c r="E333" s="1125" t="s">
        <v>80</v>
      </c>
      <c r="F333" s="1125" t="s">
        <v>80</v>
      </c>
      <c r="G333" s="1125" t="s">
        <v>88</v>
      </c>
      <c r="H333" s="1125" t="s">
        <v>91</v>
      </c>
      <c r="I333" s="1125" t="s">
        <v>80</v>
      </c>
      <c r="J333" s="1125" t="s">
        <v>86</v>
      </c>
      <c r="K333" s="1124" t="s">
        <v>93</v>
      </c>
      <c r="L333" s="1182" t="s">
        <v>17</v>
      </c>
      <c r="M333" s="1124" t="s">
        <v>258</v>
      </c>
      <c r="N333" s="1124" t="s">
        <v>19</v>
      </c>
      <c r="O333" s="1124" t="s">
        <v>260</v>
      </c>
      <c r="P333" s="1124" t="s">
        <v>21</v>
      </c>
      <c r="Q333" s="1182" t="s">
        <v>102</v>
      </c>
      <c r="R333" s="1124" t="s">
        <v>23</v>
      </c>
      <c r="S333" s="1124" t="s">
        <v>137</v>
      </c>
      <c r="T333" s="1124" t="s">
        <v>728</v>
      </c>
      <c r="U333" s="1124" t="s">
        <v>260</v>
      </c>
      <c r="V333" s="1124" t="s">
        <v>35</v>
      </c>
      <c r="W333" s="1124" t="s">
        <v>33</v>
      </c>
      <c r="X333" s="1124" t="s">
        <v>611</v>
      </c>
      <c r="Y333" s="1124" t="s">
        <v>46</v>
      </c>
      <c r="Z333" s="1124" t="s">
        <v>611</v>
      </c>
      <c r="AA333" s="1124" t="s">
        <v>38</v>
      </c>
      <c r="AB333" s="1124" t="s">
        <v>30</v>
      </c>
      <c r="AC333" s="1124" t="s">
        <v>30</v>
      </c>
      <c r="AD333" s="1124" t="s">
        <v>105</v>
      </c>
      <c r="AE333" s="1126" t="s">
        <v>43</v>
      </c>
      <c r="AF333" s="1124" t="s">
        <v>496</v>
      </c>
      <c r="AG333" s="1127" t="str">
        <f>'TRAD-Calculs pédiatriques'!B38</f>
        <v>Répartition des patients mois / tranches de poids</v>
      </c>
    </row>
    <row r="334" spans="1:34" s="132" customFormat="1" ht="26.25" thickBot="1" x14ac:dyDescent="0.25">
      <c r="A334" s="134"/>
      <c r="C334" s="1220" t="str">
        <f>'TRAD-Calculs pédiatriques'!B86</f>
        <v>Nb de cdt/mois pour la tranche</v>
      </c>
      <c r="D334" s="2282">
        <f t="array" ref="D334:AF334">TRANSPOSE(G261:G289)</f>
        <v>3</v>
      </c>
      <c r="E334" s="2282">
        <v>3</v>
      </c>
      <c r="F334" s="2282">
        <v>1.5</v>
      </c>
      <c r="G334" s="2282">
        <v>1.5</v>
      </c>
      <c r="H334" s="2282">
        <v>2.1</v>
      </c>
      <c r="I334" s="2282">
        <v>2.5</v>
      </c>
      <c r="J334" s="2282">
        <v>1.1666666666666667</v>
      </c>
      <c r="K334" s="2283">
        <v>2</v>
      </c>
      <c r="L334" s="2284">
        <v>0</v>
      </c>
      <c r="M334" s="2283">
        <v>2</v>
      </c>
      <c r="N334" s="2283">
        <v>0</v>
      </c>
      <c r="O334" s="2283">
        <v>2</v>
      </c>
      <c r="P334" s="2283">
        <v>0</v>
      </c>
      <c r="Q334" s="2284">
        <v>2</v>
      </c>
      <c r="R334" s="2283">
        <v>0</v>
      </c>
      <c r="S334" s="2283">
        <v>0</v>
      </c>
      <c r="T334" s="2283">
        <v>0</v>
      </c>
      <c r="U334" s="2283">
        <v>2</v>
      </c>
      <c r="V334" s="2283">
        <v>0</v>
      </c>
      <c r="W334" s="2283">
        <v>0</v>
      </c>
      <c r="X334" s="2283">
        <v>2</v>
      </c>
      <c r="Y334" s="2283">
        <v>0.6</v>
      </c>
      <c r="Z334" s="2283">
        <v>2</v>
      </c>
      <c r="AA334" s="2283">
        <v>0</v>
      </c>
      <c r="AB334" s="2283">
        <v>0</v>
      </c>
      <c r="AC334" s="2283">
        <v>1</v>
      </c>
      <c r="AD334" s="2283">
        <v>4</v>
      </c>
      <c r="AE334" s="2285">
        <v>0</v>
      </c>
      <c r="AF334" s="2285">
        <v>1.5</v>
      </c>
      <c r="AG334" s="139" t="s">
        <v>506</v>
      </c>
    </row>
    <row r="335" spans="1:34" ht="26.25" thickBot="1" x14ac:dyDescent="0.25">
      <c r="B335" s="1109" t="str">
        <f>'TRAD-Calculs pédiatriques'!B5</f>
        <v>Schéma thérapeutique</v>
      </c>
      <c r="C335" s="1114" t="str">
        <f>'TRAD-Calculs pédiatriques'!B7</f>
        <v>Premières lignes</v>
      </c>
      <c r="D335" s="1112"/>
      <c r="E335" s="1112"/>
      <c r="F335" s="1112"/>
      <c r="G335" s="1112"/>
      <c r="H335" s="1112"/>
      <c r="I335" s="1112"/>
      <c r="J335" s="1112"/>
      <c r="K335" s="1112"/>
      <c r="L335" s="1183"/>
      <c r="M335" s="1112"/>
      <c r="N335" s="1112"/>
      <c r="O335" s="1112"/>
      <c r="P335" s="1112"/>
      <c r="Q335" s="1183"/>
      <c r="R335" s="1112"/>
      <c r="S335" s="1112"/>
      <c r="T335" s="1112"/>
      <c r="U335" s="1112"/>
      <c r="V335" s="1112"/>
      <c r="W335" s="1112"/>
      <c r="X335" s="1112"/>
      <c r="Y335" s="1112"/>
      <c r="Z335" s="1112"/>
      <c r="AA335" s="1112"/>
      <c r="AB335" s="1112"/>
      <c r="AC335" s="1112"/>
      <c r="AD335" s="1112"/>
      <c r="AE335" s="1113"/>
      <c r="AF335" s="1112"/>
      <c r="AG335" s="1142"/>
      <c r="AH335" s="1143"/>
    </row>
    <row r="336" spans="1:34" x14ac:dyDescent="0.2">
      <c r="C336" s="1115" t="str">
        <f>'Saisie données file act.'!D538</f>
        <v>ABC+3TC+LPV/r</v>
      </c>
      <c r="D336" s="2298">
        <f>'Saisie données file act.'!E538</f>
        <v>0</v>
      </c>
      <c r="E336" s="2298">
        <f>'Saisie données file act.'!F538</f>
        <v>0</v>
      </c>
      <c r="F336" s="2298">
        <f>'Saisie données file act.'!G538</f>
        <v>0</v>
      </c>
      <c r="G336" s="2298">
        <f>'Saisie données file act.'!H538</f>
        <v>0</v>
      </c>
      <c r="H336" s="2298">
        <f>'Saisie données file act.'!I538</f>
        <v>0</v>
      </c>
      <c r="I336" s="2298">
        <f>'Saisie données file act.'!J538</f>
        <v>0</v>
      </c>
      <c r="J336" s="2298">
        <f>'Saisie données file act.'!K538</f>
        <v>0</v>
      </c>
      <c r="K336" s="2298">
        <f>'Saisie données file act.'!L538</f>
        <v>0</v>
      </c>
      <c r="L336" s="2299">
        <f>'Saisie données file act.'!M538</f>
        <v>0</v>
      </c>
      <c r="M336" s="2298">
        <f>'Saisie données file act.'!N538</f>
        <v>0</v>
      </c>
      <c r="N336" s="2298">
        <f>'Saisie données file act.'!O538</f>
        <v>0</v>
      </c>
      <c r="O336" s="2298">
        <f>'Saisie données file act.'!P538</f>
        <v>0</v>
      </c>
      <c r="P336" s="2298">
        <f>'Saisie données file act.'!Q538</f>
        <v>0</v>
      </c>
      <c r="Q336" s="2299">
        <f>'Saisie données file act.'!R538</f>
        <v>0</v>
      </c>
      <c r="R336" s="2298">
        <f>'Saisie données file act.'!S538</f>
        <v>0</v>
      </c>
      <c r="S336" s="2298">
        <f>'Saisie données file act.'!T538</f>
        <v>0</v>
      </c>
      <c r="T336" s="2298">
        <f>'Saisie données file act.'!U538</f>
        <v>0</v>
      </c>
      <c r="U336" s="2298">
        <f>'Saisie données file act.'!V538</f>
        <v>0</v>
      </c>
      <c r="V336" s="2298">
        <f>'Saisie données file act.'!W538</f>
        <v>0</v>
      </c>
      <c r="W336" s="2298">
        <f>'Saisie données file act.'!X538</f>
        <v>0</v>
      </c>
      <c r="X336" s="2298">
        <f>'Saisie données file act.'!Y538</f>
        <v>0</v>
      </c>
      <c r="Y336" s="2298">
        <f>'Saisie données file act.'!Z538</f>
        <v>0</v>
      </c>
      <c r="Z336" s="2298">
        <f>'Saisie données file act.'!AA538</f>
        <v>0</v>
      </c>
      <c r="AA336" s="2298">
        <f>'Saisie données file act.'!AB538</f>
        <v>0</v>
      </c>
      <c r="AB336" s="2298">
        <f>'Saisie données file act.'!AC538</f>
        <v>0</v>
      </c>
      <c r="AC336" s="2298">
        <f>'Saisie données file act.'!AD538</f>
        <v>0</v>
      </c>
      <c r="AD336" s="2298">
        <f>'Saisie données file act.'!AE538</f>
        <v>0</v>
      </c>
      <c r="AE336" s="2300">
        <f>'Saisie données file act.'!AF538</f>
        <v>0</v>
      </c>
      <c r="AF336" s="2298">
        <f>'Saisie données file act.'!AG538</f>
        <v>0</v>
      </c>
      <c r="AG336" s="1151">
        <f t="shared" ref="AG336:AG341" si="79">G107</f>
        <v>0</v>
      </c>
      <c r="AH336" s="1152">
        <f t="shared" ref="AH336:AH341" si="80">G136</f>
        <v>0</v>
      </c>
    </row>
    <row r="337" spans="3:34" x14ac:dyDescent="0.2">
      <c r="C337" s="1115" t="str">
        <f>'Saisie données file act.'!D539</f>
        <v>ABC+3TC+EFV</v>
      </c>
      <c r="D337" s="2298">
        <f>'Saisie données file act.'!E539</f>
        <v>0</v>
      </c>
      <c r="E337" s="2298">
        <f>'Saisie données file act.'!F539</f>
        <v>0</v>
      </c>
      <c r="F337" s="2298">
        <f>'Saisie données file act.'!G539</f>
        <v>0</v>
      </c>
      <c r="G337" s="2298">
        <f>'Saisie données file act.'!H539</f>
        <v>0</v>
      </c>
      <c r="H337" s="2298">
        <f>'Saisie données file act.'!I539</f>
        <v>0</v>
      </c>
      <c r="I337" s="2298">
        <f>'Saisie données file act.'!J539</f>
        <v>0</v>
      </c>
      <c r="J337" s="2298">
        <f>'Saisie données file act.'!K539</f>
        <v>0</v>
      </c>
      <c r="K337" s="2298">
        <f>'Saisie données file act.'!L539</f>
        <v>0</v>
      </c>
      <c r="L337" s="2299">
        <f>'Saisie données file act.'!M539</f>
        <v>0</v>
      </c>
      <c r="M337" s="2298">
        <f>'Saisie données file act.'!N539</f>
        <v>0</v>
      </c>
      <c r="N337" s="2298">
        <f>'Saisie données file act.'!O539</f>
        <v>0</v>
      </c>
      <c r="O337" s="2298">
        <f>'Saisie données file act.'!P539</f>
        <v>0</v>
      </c>
      <c r="P337" s="2298">
        <f>'Saisie données file act.'!Q539</f>
        <v>0</v>
      </c>
      <c r="Q337" s="2299">
        <f>'Saisie données file act.'!R539</f>
        <v>0</v>
      </c>
      <c r="R337" s="2298">
        <f>'Saisie données file act.'!S539</f>
        <v>0</v>
      </c>
      <c r="S337" s="2298">
        <f>'Saisie données file act.'!T539</f>
        <v>0</v>
      </c>
      <c r="T337" s="2298">
        <f>'Saisie données file act.'!U539</f>
        <v>0</v>
      </c>
      <c r="U337" s="2298">
        <f>'Saisie données file act.'!V539</f>
        <v>0</v>
      </c>
      <c r="V337" s="2298">
        <f>'Saisie données file act.'!W539</f>
        <v>0</v>
      </c>
      <c r="W337" s="2298">
        <f>'Saisie données file act.'!X539</f>
        <v>0</v>
      </c>
      <c r="X337" s="2298">
        <f>'Saisie données file act.'!Y539</f>
        <v>0</v>
      </c>
      <c r="Y337" s="2298">
        <f>'Saisie données file act.'!Z539</f>
        <v>0</v>
      </c>
      <c r="Z337" s="2298">
        <f>'Saisie données file act.'!AA539</f>
        <v>0</v>
      </c>
      <c r="AA337" s="2298">
        <f>'Saisie données file act.'!AB539</f>
        <v>0</v>
      </c>
      <c r="AB337" s="2298">
        <f>'Saisie données file act.'!AC539</f>
        <v>0</v>
      </c>
      <c r="AC337" s="2298">
        <f>'Saisie données file act.'!AD539</f>
        <v>0</v>
      </c>
      <c r="AD337" s="2298">
        <f>'Saisie données file act.'!AE539</f>
        <v>0</v>
      </c>
      <c r="AE337" s="2300">
        <f>'Saisie données file act.'!AF539</f>
        <v>0</v>
      </c>
      <c r="AF337" s="2298">
        <f>'Saisie données file act.'!AG539</f>
        <v>0</v>
      </c>
      <c r="AG337" s="1153">
        <f t="shared" si="79"/>
        <v>0</v>
      </c>
      <c r="AH337" s="1154">
        <f t="shared" si="80"/>
        <v>0</v>
      </c>
    </row>
    <row r="338" spans="3:34" x14ac:dyDescent="0.2">
      <c r="C338" s="1115" t="str">
        <f>'Saisie données file act.'!D540</f>
        <v>ABC+3TC+AZT</v>
      </c>
      <c r="D338" s="2298">
        <f>'Saisie données file act.'!E540</f>
        <v>0</v>
      </c>
      <c r="E338" s="2298">
        <f>'Saisie données file act.'!F540</f>
        <v>0</v>
      </c>
      <c r="F338" s="2298">
        <f>'Saisie données file act.'!G540</f>
        <v>0</v>
      </c>
      <c r="G338" s="2298">
        <f>'Saisie données file act.'!H540</f>
        <v>0</v>
      </c>
      <c r="H338" s="2298">
        <f>'Saisie données file act.'!I540</f>
        <v>0</v>
      </c>
      <c r="I338" s="2298">
        <f>'Saisie données file act.'!J540</f>
        <v>0</v>
      </c>
      <c r="J338" s="2298">
        <f>'Saisie données file act.'!K540</f>
        <v>0</v>
      </c>
      <c r="K338" s="2298">
        <f>'Saisie données file act.'!L540</f>
        <v>0</v>
      </c>
      <c r="L338" s="2299">
        <f>'Saisie données file act.'!M540</f>
        <v>0</v>
      </c>
      <c r="M338" s="2298">
        <f>'Saisie données file act.'!N540</f>
        <v>0</v>
      </c>
      <c r="N338" s="2298">
        <f>'Saisie données file act.'!O540</f>
        <v>0</v>
      </c>
      <c r="O338" s="2298">
        <f>'Saisie données file act.'!P540</f>
        <v>0</v>
      </c>
      <c r="P338" s="2298">
        <f>'Saisie données file act.'!Q540</f>
        <v>0</v>
      </c>
      <c r="Q338" s="2299">
        <f>'Saisie données file act.'!R540</f>
        <v>0</v>
      </c>
      <c r="R338" s="2298">
        <f>'Saisie données file act.'!S540</f>
        <v>0</v>
      </c>
      <c r="S338" s="2298">
        <f>'Saisie données file act.'!T540</f>
        <v>0</v>
      </c>
      <c r="T338" s="2298">
        <f>'Saisie données file act.'!U540</f>
        <v>0</v>
      </c>
      <c r="U338" s="2298">
        <f>'Saisie données file act.'!V540</f>
        <v>0</v>
      </c>
      <c r="V338" s="2298">
        <f>'Saisie données file act.'!W540</f>
        <v>0</v>
      </c>
      <c r="W338" s="2298">
        <f>'Saisie données file act.'!X540</f>
        <v>0</v>
      </c>
      <c r="X338" s="2298">
        <f>'Saisie données file act.'!Y540</f>
        <v>0</v>
      </c>
      <c r="Y338" s="2298">
        <f>'Saisie données file act.'!Z540</f>
        <v>0</v>
      </c>
      <c r="Z338" s="2298">
        <f>'Saisie données file act.'!AA540</f>
        <v>0</v>
      </c>
      <c r="AA338" s="2298">
        <f>'Saisie données file act.'!AB540</f>
        <v>0</v>
      </c>
      <c r="AB338" s="2298">
        <f>'Saisie données file act.'!AC540</f>
        <v>0</v>
      </c>
      <c r="AC338" s="2298">
        <f>'Saisie données file act.'!AD540</f>
        <v>0</v>
      </c>
      <c r="AD338" s="2298">
        <f>'Saisie données file act.'!AE540</f>
        <v>0</v>
      </c>
      <c r="AE338" s="2300">
        <f>'Saisie données file act.'!AF540</f>
        <v>0</v>
      </c>
      <c r="AF338" s="2298">
        <f>'Saisie données file act.'!AG540</f>
        <v>0</v>
      </c>
      <c r="AG338" s="1153">
        <f t="shared" si="79"/>
        <v>0</v>
      </c>
      <c r="AH338" s="1154">
        <f t="shared" si="80"/>
        <v>0</v>
      </c>
    </row>
    <row r="339" spans="3:34" x14ac:dyDescent="0.2">
      <c r="C339" s="1115">
        <f>'Saisie données file act.'!D541</f>
        <v>0</v>
      </c>
      <c r="D339" s="2298">
        <f>'Saisie données file act.'!E541</f>
        <v>0</v>
      </c>
      <c r="E339" s="2298">
        <f>'Saisie données file act.'!F541</f>
        <v>0</v>
      </c>
      <c r="F339" s="2298">
        <f>'Saisie données file act.'!G541</f>
        <v>0</v>
      </c>
      <c r="G339" s="2298">
        <f>'Saisie données file act.'!H541</f>
        <v>0</v>
      </c>
      <c r="H339" s="2298">
        <f>'Saisie données file act.'!I541</f>
        <v>0</v>
      </c>
      <c r="I339" s="2298">
        <f>'Saisie données file act.'!J541</f>
        <v>0</v>
      </c>
      <c r="J339" s="2298">
        <f>'Saisie données file act.'!K541</f>
        <v>0</v>
      </c>
      <c r="K339" s="2298">
        <f>'Saisie données file act.'!L541</f>
        <v>0</v>
      </c>
      <c r="L339" s="2299">
        <f>'Saisie données file act.'!M541</f>
        <v>0</v>
      </c>
      <c r="M339" s="2298">
        <f>'Saisie données file act.'!N541</f>
        <v>0</v>
      </c>
      <c r="N339" s="2298">
        <f>'Saisie données file act.'!O541</f>
        <v>0</v>
      </c>
      <c r="O339" s="2298">
        <f>'Saisie données file act.'!P541</f>
        <v>0</v>
      </c>
      <c r="P339" s="2298">
        <f>'Saisie données file act.'!Q541</f>
        <v>0</v>
      </c>
      <c r="Q339" s="2299">
        <f>'Saisie données file act.'!R541</f>
        <v>0</v>
      </c>
      <c r="R339" s="2298">
        <f>'Saisie données file act.'!S541</f>
        <v>0</v>
      </c>
      <c r="S339" s="2298">
        <f>'Saisie données file act.'!T541</f>
        <v>0</v>
      </c>
      <c r="T339" s="2298">
        <f>'Saisie données file act.'!U541</f>
        <v>0</v>
      </c>
      <c r="U339" s="2298">
        <f>'Saisie données file act.'!V541</f>
        <v>0</v>
      </c>
      <c r="V339" s="2298">
        <f>'Saisie données file act.'!W541</f>
        <v>0</v>
      </c>
      <c r="W339" s="2298">
        <f>'Saisie données file act.'!X541</f>
        <v>0</v>
      </c>
      <c r="X339" s="2298">
        <f>'Saisie données file act.'!Y541</f>
        <v>0</v>
      </c>
      <c r="Y339" s="2298">
        <f>'Saisie données file act.'!Z541</f>
        <v>0</v>
      </c>
      <c r="Z339" s="2298">
        <f>'Saisie données file act.'!AA541</f>
        <v>0</v>
      </c>
      <c r="AA339" s="2298">
        <f>'Saisie données file act.'!AB541</f>
        <v>0</v>
      </c>
      <c r="AB339" s="2298">
        <f>'Saisie données file act.'!AC541</f>
        <v>0</v>
      </c>
      <c r="AC339" s="2298">
        <f>'Saisie données file act.'!AD541</f>
        <v>0</v>
      </c>
      <c r="AD339" s="2298">
        <f>'Saisie données file act.'!AE541</f>
        <v>0</v>
      </c>
      <c r="AE339" s="2300">
        <f>'Saisie données file act.'!AF541</f>
        <v>0</v>
      </c>
      <c r="AF339" s="2298">
        <f>'Saisie données file act.'!AG541</f>
        <v>0</v>
      </c>
      <c r="AG339" s="1153">
        <f t="shared" si="79"/>
        <v>0</v>
      </c>
      <c r="AH339" s="1154">
        <f t="shared" si="80"/>
        <v>0</v>
      </c>
    </row>
    <row r="340" spans="3:34" x14ac:dyDescent="0.2">
      <c r="C340" s="1115">
        <f>'Saisie données file act.'!D542</f>
        <v>0</v>
      </c>
      <c r="D340" s="2298">
        <f>'Saisie données file act.'!E542</f>
        <v>0</v>
      </c>
      <c r="E340" s="2298">
        <f>'Saisie données file act.'!F542</f>
        <v>0</v>
      </c>
      <c r="F340" s="2298">
        <f>'Saisie données file act.'!G542</f>
        <v>0</v>
      </c>
      <c r="G340" s="2298">
        <f>'Saisie données file act.'!H542</f>
        <v>0</v>
      </c>
      <c r="H340" s="2298">
        <f>'Saisie données file act.'!I542</f>
        <v>0</v>
      </c>
      <c r="I340" s="2298">
        <f>'Saisie données file act.'!J542</f>
        <v>0</v>
      </c>
      <c r="J340" s="2298">
        <f>'Saisie données file act.'!K542</f>
        <v>0</v>
      </c>
      <c r="K340" s="2298">
        <f>'Saisie données file act.'!L542</f>
        <v>0</v>
      </c>
      <c r="L340" s="2299">
        <f>'Saisie données file act.'!M542</f>
        <v>0</v>
      </c>
      <c r="M340" s="2298">
        <f>'Saisie données file act.'!N542</f>
        <v>0</v>
      </c>
      <c r="N340" s="2298">
        <f>'Saisie données file act.'!O542</f>
        <v>0</v>
      </c>
      <c r="O340" s="2298">
        <f>'Saisie données file act.'!P542</f>
        <v>0</v>
      </c>
      <c r="P340" s="2298">
        <f>'Saisie données file act.'!Q542</f>
        <v>0</v>
      </c>
      <c r="Q340" s="2299">
        <f>'Saisie données file act.'!R542</f>
        <v>0</v>
      </c>
      <c r="R340" s="2298">
        <f>'Saisie données file act.'!S542</f>
        <v>0</v>
      </c>
      <c r="S340" s="2298">
        <f>'Saisie données file act.'!T542</f>
        <v>0</v>
      </c>
      <c r="T340" s="2298">
        <f>'Saisie données file act.'!U542</f>
        <v>0</v>
      </c>
      <c r="U340" s="2298">
        <f>'Saisie données file act.'!V542</f>
        <v>0</v>
      </c>
      <c r="V340" s="2298">
        <f>'Saisie données file act.'!W542</f>
        <v>0</v>
      </c>
      <c r="W340" s="2298">
        <f>'Saisie données file act.'!X542</f>
        <v>0</v>
      </c>
      <c r="X340" s="2298">
        <f>'Saisie données file act.'!Y542</f>
        <v>0</v>
      </c>
      <c r="Y340" s="2298">
        <f>'Saisie données file act.'!Z542</f>
        <v>0</v>
      </c>
      <c r="Z340" s="2298">
        <f>'Saisie données file act.'!AA542</f>
        <v>0</v>
      </c>
      <c r="AA340" s="2298">
        <f>'Saisie données file act.'!AB542</f>
        <v>0</v>
      </c>
      <c r="AB340" s="2298">
        <f>'Saisie données file act.'!AC542</f>
        <v>0</v>
      </c>
      <c r="AC340" s="2298">
        <f>'Saisie données file act.'!AD542</f>
        <v>0</v>
      </c>
      <c r="AD340" s="2298">
        <f>'Saisie données file act.'!AE542</f>
        <v>0</v>
      </c>
      <c r="AE340" s="2300">
        <f>'Saisie données file act.'!AF542</f>
        <v>0</v>
      </c>
      <c r="AF340" s="2298">
        <f>'Saisie données file act.'!AG542</f>
        <v>0</v>
      </c>
      <c r="AG340" s="1155">
        <f t="shared" si="79"/>
        <v>0</v>
      </c>
      <c r="AH340" s="1156">
        <f t="shared" si="80"/>
        <v>0</v>
      </c>
    </row>
    <row r="341" spans="3:34" ht="13.5" thickBot="1" x14ac:dyDescent="0.25">
      <c r="C341" s="1115">
        <f>'Saisie données file act.'!D543</f>
        <v>0</v>
      </c>
      <c r="D341" s="2298">
        <f>'Saisie données file act.'!E543</f>
        <v>0</v>
      </c>
      <c r="E341" s="2298">
        <f>'Saisie données file act.'!F543</f>
        <v>0</v>
      </c>
      <c r="F341" s="2298">
        <f>'Saisie données file act.'!G543</f>
        <v>0</v>
      </c>
      <c r="G341" s="2298">
        <f>'Saisie données file act.'!H543</f>
        <v>0</v>
      </c>
      <c r="H341" s="2298">
        <f>'Saisie données file act.'!I543</f>
        <v>0</v>
      </c>
      <c r="I341" s="2298">
        <f>'Saisie données file act.'!J543</f>
        <v>0</v>
      </c>
      <c r="J341" s="2298">
        <f>'Saisie données file act.'!K543</f>
        <v>0</v>
      </c>
      <c r="K341" s="2298">
        <f>'Saisie données file act.'!L543</f>
        <v>0</v>
      </c>
      <c r="L341" s="2299">
        <f>'Saisie données file act.'!M543</f>
        <v>0</v>
      </c>
      <c r="M341" s="2298">
        <f>'Saisie données file act.'!N543</f>
        <v>0</v>
      </c>
      <c r="N341" s="2298">
        <f>'Saisie données file act.'!O543</f>
        <v>0</v>
      </c>
      <c r="O341" s="2298">
        <f>'Saisie données file act.'!P543</f>
        <v>0</v>
      </c>
      <c r="P341" s="2298">
        <f>'Saisie données file act.'!Q543</f>
        <v>0</v>
      </c>
      <c r="Q341" s="2299">
        <f>'Saisie données file act.'!R543</f>
        <v>0</v>
      </c>
      <c r="R341" s="2298">
        <f>'Saisie données file act.'!S543</f>
        <v>0</v>
      </c>
      <c r="S341" s="2298">
        <f>'Saisie données file act.'!T543</f>
        <v>0</v>
      </c>
      <c r="T341" s="2298">
        <f>'Saisie données file act.'!U543</f>
        <v>0</v>
      </c>
      <c r="U341" s="2298">
        <f>'Saisie données file act.'!V543</f>
        <v>0</v>
      </c>
      <c r="V341" s="2298">
        <f>'Saisie données file act.'!W543</f>
        <v>0</v>
      </c>
      <c r="W341" s="2298">
        <f>'Saisie données file act.'!X543</f>
        <v>0</v>
      </c>
      <c r="X341" s="2298">
        <f>'Saisie données file act.'!Y543</f>
        <v>0</v>
      </c>
      <c r="Y341" s="2298">
        <f>'Saisie données file act.'!Z543</f>
        <v>0</v>
      </c>
      <c r="Z341" s="2298">
        <f>'Saisie données file act.'!AA543</f>
        <v>0</v>
      </c>
      <c r="AA341" s="2298">
        <f>'Saisie données file act.'!AB543</f>
        <v>0</v>
      </c>
      <c r="AB341" s="2298">
        <f>'Saisie données file act.'!AC543</f>
        <v>0</v>
      </c>
      <c r="AC341" s="2298">
        <f>'Saisie données file act.'!AD543</f>
        <v>0</v>
      </c>
      <c r="AD341" s="2298">
        <f>'Saisie données file act.'!AE543</f>
        <v>0</v>
      </c>
      <c r="AE341" s="2300">
        <f>'Saisie données file act.'!AF543</f>
        <v>0</v>
      </c>
      <c r="AF341" s="2298">
        <f>'Saisie données file act.'!AG543</f>
        <v>0</v>
      </c>
      <c r="AG341" s="1157">
        <f t="shared" si="79"/>
        <v>0</v>
      </c>
      <c r="AH341" s="1158">
        <f t="shared" si="80"/>
        <v>0</v>
      </c>
    </row>
    <row r="342" spans="3:34" ht="13.5" thickBot="1" x14ac:dyDescent="0.25">
      <c r="C342" s="1114" t="str">
        <f>'Saisie données file act.'!D544</f>
        <v>Deuxièmes lignes</v>
      </c>
      <c r="D342" s="2301">
        <f>'Saisie données file act.'!E544</f>
        <v>0</v>
      </c>
      <c r="E342" s="2301">
        <f>'Saisie données file act.'!F544</f>
        <v>0</v>
      </c>
      <c r="F342" s="2301">
        <f>'Saisie données file act.'!G544</f>
        <v>0</v>
      </c>
      <c r="G342" s="2301">
        <f>'Saisie données file act.'!H544</f>
        <v>0</v>
      </c>
      <c r="H342" s="2301">
        <f>'Saisie données file act.'!I544</f>
        <v>0</v>
      </c>
      <c r="I342" s="2301">
        <f>'Saisie données file act.'!J544</f>
        <v>0</v>
      </c>
      <c r="J342" s="2301">
        <f>'Saisie données file act.'!K544</f>
        <v>0</v>
      </c>
      <c r="K342" s="2301">
        <f>'Saisie données file act.'!L544</f>
        <v>0</v>
      </c>
      <c r="L342" s="2302">
        <f>'Saisie données file act.'!M544</f>
        <v>0</v>
      </c>
      <c r="M342" s="2301">
        <f>'Saisie données file act.'!N544</f>
        <v>0</v>
      </c>
      <c r="N342" s="2301">
        <f>'Saisie données file act.'!O544</f>
        <v>0</v>
      </c>
      <c r="O342" s="2301">
        <f>'Saisie données file act.'!P544</f>
        <v>0</v>
      </c>
      <c r="P342" s="2301">
        <f>'Saisie données file act.'!Q544</f>
        <v>0</v>
      </c>
      <c r="Q342" s="2302">
        <f>'Saisie données file act.'!R544</f>
        <v>0</v>
      </c>
      <c r="R342" s="2301">
        <f>'Saisie données file act.'!S544</f>
        <v>0</v>
      </c>
      <c r="S342" s="2301">
        <f>'Saisie données file act.'!T544</f>
        <v>0</v>
      </c>
      <c r="T342" s="2301">
        <f>'Saisie données file act.'!U544</f>
        <v>0</v>
      </c>
      <c r="U342" s="2301">
        <f>'Saisie données file act.'!V544</f>
        <v>0</v>
      </c>
      <c r="V342" s="2301">
        <f>'Saisie données file act.'!W544</f>
        <v>0</v>
      </c>
      <c r="W342" s="2301">
        <f>'Saisie données file act.'!X544</f>
        <v>0</v>
      </c>
      <c r="X342" s="2301">
        <f>'Saisie données file act.'!Y544</f>
        <v>0</v>
      </c>
      <c r="Y342" s="2301">
        <f>'Saisie données file act.'!Z544</f>
        <v>0</v>
      </c>
      <c r="Z342" s="2301">
        <f>'Saisie données file act.'!AA544</f>
        <v>0</v>
      </c>
      <c r="AA342" s="2301">
        <f>'Saisie données file act.'!AB544</f>
        <v>0</v>
      </c>
      <c r="AB342" s="2301">
        <f>'Saisie données file act.'!AC544</f>
        <v>0</v>
      </c>
      <c r="AC342" s="2301">
        <f>'Saisie données file act.'!AD544</f>
        <v>0</v>
      </c>
      <c r="AD342" s="2301">
        <f>'Saisie données file act.'!AE544</f>
        <v>0</v>
      </c>
      <c r="AE342" s="2303">
        <f>'Saisie données file act.'!AF544</f>
        <v>0</v>
      </c>
      <c r="AF342" s="2301">
        <f>'Saisie données file act.'!AG544</f>
        <v>0</v>
      </c>
      <c r="AG342" s="1142"/>
      <c r="AH342" s="1143"/>
    </row>
    <row r="343" spans="3:34" ht="13.5" thickBot="1" x14ac:dyDescent="0.25">
      <c r="C343" s="1110" t="str">
        <f>'Saisie données file act.'!D545</f>
        <v>AZT+3TC+LPV/r</v>
      </c>
      <c r="D343" s="2298">
        <f>'Saisie données file act.'!E545</f>
        <v>0</v>
      </c>
      <c r="E343" s="2298">
        <f>'Saisie données file act.'!F545</f>
        <v>0</v>
      </c>
      <c r="F343" s="2298">
        <f>'Saisie données file act.'!G545</f>
        <v>0</v>
      </c>
      <c r="G343" s="2298">
        <f>'Saisie données file act.'!H545</f>
        <v>0</v>
      </c>
      <c r="H343" s="2298">
        <f>'Saisie données file act.'!I545</f>
        <v>0</v>
      </c>
      <c r="I343" s="2298">
        <f>'Saisie données file act.'!J545</f>
        <v>0</v>
      </c>
      <c r="J343" s="2298">
        <f>'Saisie données file act.'!K545</f>
        <v>0</v>
      </c>
      <c r="K343" s="2298">
        <f>'Saisie données file act.'!L545</f>
        <v>0</v>
      </c>
      <c r="L343" s="2299">
        <f>'Saisie données file act.'!M545</f>
        <v>0</v>
      </c>
      <c r="M343" s="2298">
        <f>'Saisie données file act.'!N545</f>
        <v>0</v>
      </c>
      <c r="N343" s="2298">
        <f>'Saisie données file act.'!O545</f>
        <v>0</v>
      </c>
      <c r="O343" s="2298">
        <f>'Saisie données file act.'!P545</f>
        <v>0</v>
      </c>
      <c r="P343" s="2298">
        <f>'Saisie données file act.'!Q545</f>
        <v>0</v>
      </c>
      <c r="Q343" s="2299">
        <f>'Saisie données file act.'!R545</f>
        <v>0</v>
      </c>
      <c r="R343" s="2298">
        <f>'Saisie données file act.'!S545</f>
        <v>0</v>
      </c>
      <c r="S343" s="2298">
        <f>'Saisie données file act.'!T545</f>
        <v>0</v>
      </c>
      <c r="T343" s="2298">
        <f>'Saisie données file act.'!U545</f>
        <v>0</v>
      </c>
      <c r="U343" s="2298">
        <f>'Saisie données file act.'!V545</f>
        <v>0</v>
      </c>
      <c r="V343" s="2298">
        <f>'Saisie données file act.'!W545</f>
        <v>0</v>
      </c>
      <c r="W343" s="2298">
        <f>'Saisie données file act.'!X545</f>
        <v>0</v>
      </c>
      <c r="X343" s="2298">
        <f>'Saisie données file act.'!Y545</f>
        <v>0</v>
      </c>
      <c r="Y343" s="2298">
        <f>'Saisie données file act.'!Z545</f>
        <v>0</v>
      </c>
      <c r="Z343" s="2298">
        <f>'Saisie données file act.'!AA545</f>
        <v>0</v>
      </c>
      <c r="AA343" s="2298">
        <f>'Saisie données file act.'!AB545</f>
        <v>0</v>
      </c>
      <c r="AB343" s="2298">
        <f>'Saisie données file act.'!AC545</f>
        <v>0</v>
      </c>
      <c r="AC343" s="2298">
        <f>'Saisie données file act.'!AD545</f>
        <v>0</v>
      </c>
      <c r="AD343" s="2298">
        <f>'Saisie données file act.'!AE545</f>
        <v>0</v>
      </c>
      <c r="AE343" s="2300">
        <f>'Saisie données file act.'!AF545</f>
        <v>0</v>
      </c>
      <c r="AF343" s="2298">
        <f>'Saisie données file act.'!AG545</f>
        <v>0</v>
      </c>
      <c r="AG343" s="1144">
        <f>G114</f>
        <v>0</v>
      </c>
      <c r="AH343" s="1145">
        <f>G143</f>
        <v>0</v>
      </c>
    </row>
    <row r="344" spans="3:34" x14ac:dyDescent="0.2">
      <c r="C344" s="1115">
        <f>'Saisie données file act.'!D546</f>
        <v>0</v>
      </c>
      <c r="D344" s="2298">
        <f>'Saisie données file act.'!E546</f>
        <v>0</v>
      </c>
      <c r="E344" s="2298">
        <f>'Saisie données file act.'!F546</f>
        <v>0</v>
      </c>
      <c r="F344" s="2298">
        <f>'Saisie données file act.'!G546</f>
        <v>0</v>
      </c>
      <c r="G344" s="2298">
        <f>'Saisie données file act.'!H546</f>
        <v>0</v>
      </c>
      <c r="H344" s="2298">
        <f>'Saisie données file act.'!I546</f>
        <v>0</v>
      </c>
      <c r="I344" s="2298">
        <f>'Saisie données file act.'!J546</f>
        <v>0</v>
      </c>
      <c r="J344" s="2298">
        <f>'Saisie données file act.'!K546</f>
        <v>0</v>
      </c>
      <c r="K344" s="2298">
        <f>'Saisie données file act.'!L546</f>
        <v>0</v>
      </c>
      <c r="L344" s="2299">
        <f>'Saisie données file act.'!M546</f>
        <v>0</v>
      </c>
      <c r="M344" s="2298">
        <f>'Saisie données file act.'!N546</f>
        <v>0</v>
      </c>
      <c r="N344" s="2298">
        <f>'Saisie données file act.'!O546</f>
        <v>0</v>
      </c>
      <c r="O344" s="2298">
        <f>'Saisie données file act.'!P546</f>
        <v>0</v>
      </c>
      <c r="P344" s="2298">
        <f>'Saisie données file act.'!Q546</f>
        <v>0</v>
      </c>
      <c r="Q344" s="2299">
        <f>'Saisie données file act.'!R546</f>
        <v>0</v>
      </c>
      <c r="R344" s="2298">
        <f>'Saisie données file act.'!S546</f>
        <v>0</v>
      </c>
      <c r="S344" s="2298">
        <f>'Saisie données file act.'!T546</f>
        <v>0</v>
      </c>
      <c r="T344" s="2298">
        <f>'Saisie données file act.'!U546</f>
        <v>0</v>
      </c>
      <c r="U344" s="2298">
        <f>'Saisie données file act.'!V546</f>
        <v>0</v>
      </c>
      <c r="V344" s="2298">
        <f>'Saisie données file act.'!W546</f>
        <v>0</v>
      </c>
      <c r="W344" s="2298">
        <f>'Saisie données file act.'!X546</f>
        <v>0</v>
      </c>
      <c r="X344" s="2298">
        <f>'Saisie données file act.'!Y546</f>
        <v>0</v>
      </c>
      <c r="Y344" s="2298">
        <f>'Saisie données file act.'!Z546</f>
        <v>0</v>
      </c>
      <c r="Z344" s="2298">
        <f>'Saisie données file act.'!AA546</f>
        <v>0</v>
      </c>
      <c r="AA344" s="2298">
        <f>'Saisie données file act.'!AB546</f>
        <v>0</v>
      </c>
      <c r="AB344" s="2298">
        <f>'Saisie données file act.'!AC546</f>
        <v>0</v>
      </c>
      <c r="AC344" s="2298">
        <f>'Saisie données file act.'!AD546</f>
        <v>0</v>
      </c>
      <c r="AD344" s="2298">
        <f>'Saisie données file act.'!AE546</f>
        <v>0</v>
      </c>
      <c r="AE344" s="2300">
        <f>'Saisie données file act.'!AF546</f>
        <v>0</v>
      </c>
      <c r="AF344" s="2298">
        <f>'Saisie données file act.'!AG546</f>
        <v>0</v>
      </c>
      <c r="AG344" s="1151">
        <f>G115</f>
        <v>0</v>
      </c>
      <c r="AH344" s="1152">
        <f>G144</f>
        <v>0</v>
      </c>
    </row>
    <row r="345" spans="3:34" x14ac:dyDescent="0.2">
      <c r="C345" s="1115">
        <f>'Saisie données file act.'!D547</f>
        <v>0</v>
      </c>
      <c r="D345" s="2298">
        <f>'Saisie données file act.'!E547</f>
        <v>0</v>
      </c>
      <c r="E345" s="2298">
        <f>'Saisie données file act.'!F547</f>
        <v>0</v>
      </c>
      <c r="F345" s="2298">
        <f>'Saisie données file act.'!G547</f>
        <v>0</v>
      </c>
      <c r="G345" s="2298">
        <f>'Saisie données file act.'!H547</f>
        <v>0</v>
      </c>
      <c r="H345" s="2298">
        <f>'Saisie données file act.'!I547</f>
        <v>0</v>
      </c>
      <c r="I345" s="2298">
        <f>'Saisie données file act.'!J547</f>
        <v>0</v>
      </c>
      <c r="J345" s="2298">
        <f>'Saisie données file act.'!K547</f>
        <v>0</v>
      </c>
      <c r="K345" s="2298">
        <f>'Saisie données file act.'!L547</f>
        <v>0</v>
      </c>
      <c r="L345" s="2299">
        <f>'Saisie données file act.'!M547</f>
        <v>0</v>
      </c>
      <c r="M345" s="2298">
        <f>'Saisie données file act.'!N547</f>
        <v>0</v>
      </c>
      <c r="N345" s="2298">
        <f>'Saisie données file act.'!O547</f>
        <v>0</v>
      </c>
      <c r="O345" s="2298">
        <f>'Saisie données file act.'!P547</f>
        <v>0</v>
      </c>
      <c r="P345" s="2298">
        <f>'Saisie données file act.'!Q547</f>
        <v>0</v>
      </c>
      <c r="Q345" s="2299">
        <f>'Saisie données file act.'!R547</f>
        <v>0</v>
      </c>
      <c r="R345" s="2298">
        <f>'Saisie données file act.'!S547</f>
        <v>0</v>
      </c>
      <c r="S345" s="2298">
        <f>'Saisie données file act.'!T547</f>
        <v>0</v>
      </c>
      <c r="T345" s="2298">
        <f>'Saisie données file act.'!U547</f>
        <v>0</v>
      </c>
      <c r="U345" s="2298">
        <f>'Saisie données file act.'!V547</f>
        <v>0</v>
      </c>
      <c r="V345" s="2298">
        <f>'Saisie données file act.'!W547</f>
        <v>0</v>
      </c>
      <c r="W345" s="2298">
        <f>'Saisie données file act.'!X547</f>
        <v>0</v>
      </c>
      <c r="X345" s="2298">
        <f>'Saisie données file act.'!Y547</f>
        <v>0</v>
      </c>
      <c r="Y345" s="2298">
        <f>'Saisie données file act.'!Z547</f>
        <v>0</v>
      </c>
      <c r="Z345" s="2298">
        <f>'Saisie données file act.'!AA547</f>
        <v>0</v>
      </c>
      <c r="AA345" s="2298">
        <f>'Saisie données file act.'!AB547</f>
        <v>0</v>
      </c>
      <c r="AB345" s="2298">
        <f>'Saisie données file act.'!AC547</f>
        <v>0</v>
      </c>
      <c r="AC345" s="2298">
        <f>'Saisie données file act.'!AD547</f>
        <v>0</v>
      </c>
      <c r="AD345" s="2298">
        <f>'Saisie données file act.'!AE547</f>
        <v>0</v>
      </c>
      <c r="AE345" s="2300">
        <f>'Saisie données file act.'!AF547</f>
        <v>0</v>
      </c>
      <c r="AF345" s="2298">
        <f>'Saisie données file act.'!AG547</f>
        <v>0</v>
      </c>
      <c r="AG345" s="1153">
        <f>G116</f>
        <v>0</v>
      </c>
      <c r="AH345" s="1154">
        <f>G145</f>
        <v>0</v>
      </c>
    </row>
    <row r="346" spans="3:34" x14ac:dyDescent="0.2">
      <c r="C346" s="1115">
        <f>'Saisie données file act.'!D548</f>
        <v>0</v>
      </c>
      <c r="D346" s="2298">
        <f>'Saisie données file act.'!E548</f>
        <v>0</v>
      </c>
      <c r="E346" s="2298">
        <f>'Saisie données file act.'!F548</f>
        <v>0</v>
      </c>
      <c r="F346" s="2298">
        <f>'Saisie données file act.'!G548</f>
        <v>0</v>
      </c>
      <c r="G346" s="2298">
        <f>'Saisie données file act.'!H548</f>
        <v>0</v>
      </c>
      <c r="H346" s="2298">
        <f>'Saisie données file act.'!I548</f>
        <v>0</v>
      </c>
      <c r="I346" s="2298">
        <f>'Saisie données file act.'!J548</f>
        <v>0</v>
      </c>
      <c r="J346" s="2298">
        <f>'Saisie données file act.'!K548</f>
        <v>0</v>
      </c>
      <c r="K346" s="2298">
        <f>'Saisie données file act.'!L548</f>
        <v>0</v>
      </c>
      <c r="L346" s="2299">
        <f>'Saisie données file act.'!M548</f>
        <v>0</v>
      </c>
      <c r="M346" s="2298">
        <f>'Saisie données file act.'!N548</f>
        <v>0</v>
      </c>
      <c r="N346" s="2298">
        <f>'Saisie données file act.'!O548</f>
        <v>0</v>
      </c>
      <c r="O346" s="2298">
        <f>'Saisie données file act.'!P548</f>
        <v>0</v>
      </c>
      <c r="P346" s="2298">
        <f>'Saisie données file act.'!Q548</f>
        <v>0</v>
      </c>
      <c r="Q346" s="2299">
        <f>'Saisie données file act.'!R548</f>
        <v>0</v>
      </c>
      <c r="R346" s="2298">
        <f>'Saisie données file act.'!S548</f>
        <v>0</v>
      </c>
      <c r="S346" s="2298">
        <f>'Saisie données file act.'!T548</f>
        <v>0</v>
      </c>
      <c r="T346" s="2298">
        <f>'Saisie données file act.'!U548</f>
        <v>0</v>
      </c>
      <c r="U346" s="2298">
        <f>'Saisie données file act.'!V548</f>
        <v>0</v>
      </c>
      <c r="V346" s="2298">
        <f>'Saisie données file act.'!W548</f>
        <v>0</v>
      </c>
      <c r="W346" s="2298">
        <f>'Saisie données file act.'!X548</f>
        <v>0</v>
      </c>
      <c r="X346" s="2298">
        <f>'Saisie données file act.'!Y548</f>
        <v>0</v>
      </c>
      <c r="Y346" s="2298">
        <f>'Saisie données file act.'!Z548</f>
        <v>0</v>
      </c>
      <c r="Z346" s="2298">
        <f>'Saisie données file act.'!AA548</f>
        <v>0</v>
      </c>
      <c r="AA346" s="2298">
        <f>'Saisie données file act.'!AB548</f>
        <v>0</v>
      </c>
      <c r="AB346" s="2298">
        <f>'Saisie données file act.'!AC548</f>
        <v>0</v>
      </c>
      <c r="AC346" s="2298">
        <f>'Saisie données file act.'!AD548</f>
        <v>0</v>
      </c>
      <c r="AD346" s="2298">
        <f>'Saisie données file act.'!AE548</f>
        <v>0</v>
      </c>
      <c r="AE346" s="2300">
        <f>'Saisie données file act.'!AF548</f>
        <v>0</v>
      </c>
      <c r="AF346" s="2298">
        <f>'Saisie données file act.'!AG548</f>
        <v>0</v>
      </c>
      <c r="AG346" s="1153">
        <f>G117</f>
        <v>0</v>
      </c>
      <c r="AH346" s="1154">
        <f>G146</f>
        <v>0</v>
      </c>
    </row>
    <row r="347" spans="3:34" ht="13.5" thickBot="1" x14ac:dyDescent="0.25">
      <c r="C347" s="1115">
        <f>'Saisie données file act.'!D549</f>
        <v>0</v>
      </c>
      <c r="D347" s="2298">
        <f>'Saisie données file act.'!E549</f>
        <v>0</v>
      </c>
      <c r="E347" s="2298">
        <f>'Saisie données file act.'!F549</f>
        <v>0</v>
      </c>
      <c r="F347" s="2298">
        <f>'Saisie données file act.'!G549</f>
        <v>0</v>
      </c>
      <c r="G347" s="2298">
        <f>'Saisie données file act.'!H549</f>
        <v>0</v>
      </c>
      <c r="H347" s="2298">
        <f>'Saisie données file act.'!I549</f>
        <v>0</v>
      </c>
      <c r="I347" s="2298">
        <f>'Saisie données file act.'!J549</f>
        <v>0</v>
      </c>
      <c r="J347" s="2298">
        <f>'Saisie données file act.'!K549</f>
        <v>0</v>
      </c>
      <c r="K347" s="2298">
        <f>'Saisie données file act.'!L549</f>
        <v>0</v>
      </c>
      <c r="L347" s="2299">
        <f>'Saisie données file act.'!M549</f>
        <v>0</v>
      </c>
      <c r="M347" s="2298">
        <f>'Saisie données file act.'!N549</f>
        <v>0</v>
      </c>
      <c r="N347" s="2298">
        <f>'Saisie données file act.'!O549</f>
        <v>0</v>
      </c>
      <c r="O347" s="2298">
        <f>'Saisie données file act.'!P549</f>
        <v>0</v>
      </c>
      <c r="P347" s="2298">
        <f>'Saisie données file act.'!Q549</f>
        <v>0</v>
      </c>
      <c r="Q347" s="2299">
        <f>'Saisie données file act.'!R549</f>
        <v>0</v>
      </c>
      <c r="R347" s="2298">
        <f>'Saisie données file act.'!S549</f>
        <v>0</v>
      </c>
      <c r="S347" s="2298">
        <f>'Saisie données file act.'!T549</f>
        <v>0</v>
      </c>
      <c r="T347" s="2298">
        <f>'Saisie données file act.'!U549</f>
        <v>0</v>
      </c>
      <c r="U347" s="2298">
        <f>'Saisie données file act.'!V549</f>
        <v>0</v>
      </c>
      <c r="V347" s="2298">
        <f>'Saisie données file act.'!W549</f>
        <v>0</v>
      </c>
      <c r="W347" s="2298">
        <f>'Saisie données file act.'!X549</f>
        <v>0</v>
      </c>
      <c r="X347" s="2298">
        <f>'Saisie données file act.'!Y549</f>
        <v>0</v>
      </c>
      <c r="Y347" s="2298">
        <f>'Saisie données file act.'!Z549</f>
        <v>0</v>
      </c>
      <c r="Z347" s="2298">
        <f>'Saisie données file act.'!AA549</f>
        <v>0</v>
      </c>
      <c r="AA347" s="2298">
        <f>'Saisie données file act.'!AB549</f>
        <v>0</v>
      </c>
      <c r="AB347" s="2298">
        <f>'Saisie données file act.'!AC549</f>
        <v>0</v>
      </c>
      <c r="AC347" s="2298">
        <f>'Saisie données file act.'!AD549</f>
        <v>0</v>
      </c>
      <c r="AD347" s="2298">
        <f>'Saisie données file act.'!AE549</f>
        <v>0</v>
      </c>
      <c r="AE347" s="2300">
        <f>'Saisie données file act.'!AF549</f>
        <v>0</v>
      </c>
      <c r="AF347" s="2298">
        <f>'Saisie données file act.'!AG549</f>
        <v>0</v>
      </c>
      <c r="AG347" s="1153">
        <f>G118</f>
        <v>0</v>
      </c>
      <c r="AH347" s="1154">
        <f>G147</f>
        <v>0</v>
      </c>
    </row>
    <row r="348" spans="3:34" x14ac:dyDescent="0.2">
      <c r="C348" s="1114" t="str">
        <f>'Saisie données file act.'!D550</f>
        <v>Lignes alternatives</v>
      </c>
      <c r="D348" s="2301">
        <f>'Saisie données file act.'!E550</f>
        <v>0</v>
      </c>
      <c r="E348" s="2301">
        <f>'Saisie données file act.'!F550</f>
        <v>0</v>
      </c>
      <c r="F348" s="2301">
        <f>'Saisie données file act.'!G550</f>
        <v>0</v>
      </c>
      <c r="G348" s="2301">
        <f>'Saisie données file act.'!H550</f>
        <v>0</v>
      </c>
      <c r="H348" s="2301">
        <f>'Saisie données file act.'!I550</f>
        <v>0</v>
      </c>
      <c r="I348" s="2301">
        <f>'Saisie données file act.'!J550</f>
        <v>0</v>
      </c>
      <c r="J348" s="2301">
        <f>'Saisie données file act.'!K550</f>
        <v>0</v>
      </c>
      <c r="K348" s="2301">
        <f>'Saisie données file act.'!L550</f>
        <v>0</v>
      </c>
      <c r="L348" s="2302">
        <f>'Saisie données file act.'!M550</f>
        <v>0</v>
      </c>
      <c r="M348" s="2301">
        <f>'Saisie données file act.'!N550</f>
        <v>0</v>
      </c>
      <c r="N348" s="2301">
        <f>'Saisie données file act.'!O550</f>
        <v>0</v>
      </c>
      <c r="O348" s="2301">
        <f>'Saisie données file act.'!P550</f>
        <v>0</v>
      </c>
      <c r="P348" s="2301">
        <f>'Saisie données file act.'!Q550</f>
        <v>0</v>
      </c>
      <c r="Q348" s="2302">
        <f>'Saisie données file act.'!R550</f>
        <v>0</v>
      </c>
      <c r="R348" s="2301">
        <f>'Saisie données file act.'!S550</f>
        <v>0</v>
      </c>
      <c r="S348" s="2301">
        <f>'Saisie données file act.'!T550</f>
        <v>0</v>
      </c>
      <c r="T348" s="2301">
        <f>'Saisie données file act.'!U550</f>
        <v>0</v>
      </c>
      <c r="U348" s="2301">
        <f>'Saisie données file act.'!V550</f>
        <v>0</v>
      </c>
      <c r="V348" s="2301">
        <f>'Saisie données file act.'!W550</f>
        <v>0</v>
      </c>
      <c r="W348" s="2301">
        <f>'Saisie données file act.'!X550</f>
        <v>0</v>
      </c>
      <c r="X348" s="2301">
        <f>'Saisie données file act.'!Y550</f>
        <v>0</v>
      </c>
      <c r="Y348" s="2301">
        <f>'Saisie données file act.'!Z550</f>
        <v>0</v>
      </c>
      <c r="Z348" s="2301">
        <f>'Saisie données file act.'!AA550</f>
        <v>0</v>
      </c>
      <c r="AA348" s="2301">
        <f>'Saisie données file act.'!AB550</f>
        <v>0</v>
      </c>
      <c r="AB348" s="2301">
        <f>'Saisie données file act.'!AC550</f>
        <v>0</v>
      </c>
      <c r="AC348" s="2301">
        <f>'Saisie données file act.'!AD550</f>
        <v>0</v>
      </c>
      <c r="AD348" s="2301">
        <f>'Saisie données file act.'!AE550</f>
        <v>0</v>
      </c>
      <c r="AE348" s="2303">
        <f>'Saisie données file act.'!AF550</f>
        <v>0</v>
      </c>
      <c r="AF348" s="2301">
        <f>'Saisie données file act.'!AG550</f>
        <v>0</v>
      </c>
      <c r="AG348" s="1142"/>
      <c r="AH348" s="1143"/>
    </row>
    <row r="349" spans="3:34" x14ac:dyDescent="0.2">
      <c r="C349" s="1115">
        <f>'Saisie données file act.'!D551</f>
        <v>0</v>
      </c>
      <c r="D349" s="2298">
        <f>'Saisie données file act.'!E551</f>
        <v>0</v>
      </c>
      <c r="E349" s="2298">
        <f>'Saisie données file act.'!F551</f>
        <v>0</v>
      </c>
      <c r="F349" s="2298">
        <f>'Saisie données file act.'!G551</f>
        <v>0</v>
      </c>
      <c r="G349" s="2298">
        <f>'Saisie données file act.'!H551</f>
        <v>0</v>
      </c>
      <c r="H349" s="2298">
        <f>'Saisie données file act.'!I551</f>
        <v>0</v>
      </c>
      <c r="I349" s="2298">
        <f>'Saisie données file act.'!J551</f>
        <v>0</v>
      </c>
      <c r="J349" s="2298">
        <f>'Saisie données file act.'!K551</f>
        <v>0</v>
      </c>
      <c r="K349" s="2298">
        <f>'Saisie données file act.'!L551</f>
        <v>0</v>
      </c>
      <c r="L349" s="2299">
        <f>'Saisie données file act.'!M551</f>
        <v>0</v>
      </c>
      <c r="M349" s="2298">
        <f>'Saisie données file act.'!N551</f>
        <v>0</v>
      </c>
      <c r="N349" s="2298">
        <f>'Saisie données file act.'!O551</f>
        <v>0</v>
      </c>
      <c r="O349" s="2298">
        <f>'Saisie données file act.'!P551</f>
        <v>0</v>
      </c>
      <c r="P349" s="2298">
        <f>'Saisie données file act.'!Q551</f>
        <v>0</v>
      </c>
      <c r="Q349" s="2299">
        <f>'Saisie données file act.'!R551</f>
        <v>0</v>
      </c>
      <c r="R349" s="2298">
        <f>'Saisie données file act.'!S551</f>
        <v>0</v>
      </c>
      <c r="S349" s="2298">
        <f>'Saisie données file act.'!T551</f>
        <v>0</v>
      </c>
      <c r="T349" s="2298">
        <f>'Saisie données file act.'!U551</f>
        <v>0</v>
      </c>
      <c r="U349" s="2298">
        <f>'Saisie données file act.'!V551</f>
        <v>0</v>
      </c>
      <c r="V349" s="2298">
        <f>'Saisie données file act.'!W551</f>
        <v>0</v>
      </c>
      <c r="W349" s="2298">
        <f>'Saisie données file act.'!X551</f>
        <v>0</v>
      </c>
      <c r="X349" s="2298">
        <f>'Saisie données file act.'!Y551</f>
        <v>0</v>
      </c>
      <c r="Y349" s="2298">
        <f>'Saisie données file act.'!Z551</f>
        <v>0</v>
      </c>
      <c r="Z349" s="2298">
        <f>'Saisie données file act.'!AA551</f>
        <v>0</v>
      </c>
      <c r="AA349" s="2298">
        <f>'Saisie données file act.'!AB551</f>
        <v>0</v>
      </c>
      <c r="AB349" s="2298">
        <f>'Saisie données file act.'!AC551</f>
        <v>0</v>
      </c>
      <c r="AC349" s="2298">
        <f>'Saisie données file act.'!AD551</f>
        <v>0</v>
      </c>
      <c r="AD349" s="2298">
        <f>'Saisie données file act.'!AE551</f>
        <v>0</v>
      </c>
      <c r="AE349" s="2300">
        <f>'Saisie données file act.'!AF551</f>
        <v>0</v>
      </c>
      <c r="AF349" s="2298">
        <f>'Saisie données file act.'!AG551</f>
        <v>0</v>
      </c>
      <c r="AG349" s="1153">
        <f t="shared" ref="AG349:AG357" si="81">G120</f>
        <v>0</v>
      </c>
      <c r="AH349" s="1154">
        <f t="shared" ref="AH349:AH357" si="82">G149</f>
        <v>0</v>
      </c>
    </row>
    <row r="350" spans="3:34" x14ac:dyDescent="0.2">
      <c r="C350" s="1115">
        <f>'Saisie données file act.'!D552</f>
        <v>0</v>
      </c>
      <c r="D350" s="2298">
        <f>'Saisie données file act.'!E552</f>
        <v>0</v>
      </c>
      <c r="E350" s="2298">
        <f>'Saisie données file act.'!F552</f>
        <v>0</v>
      </c>
      <c r="F350" s="2298">
        <f>'Saisie données file act.'!G552</f>
        <v>0</v>
      </c>
      <c r="G350" s="2298">
        <f>'Saisie données file act.'!H552</f>
        <v>0</v>
      </c>
      <c r="H350" s="2298">
        <f>'Saisie données file act.'!I552</f>
        <v>0</v>
      </c>
      <c r="I350" s="2298">
        <f>'Saisie données file act.'!J552</f>
        <v>0</v>
      </c>
      <c r="J350" s="2298">
        <f>'Saisie données file act.'!K552</f>
        <v>0</v>
      </c>
      <c r="K350" s="2298">
        <f>'Saisie données file act.'!L552</f>
        <v>0</v>
      </c>
      <c r="L350" s="2299">
        <f>'Saisie données file act.'!M552</f>
        <v>0</v>
      </c>
      <c r="M350" s="2298">
        <f>'Saisie données file act.'!N552</f>
        <v>0</v>
      </c>
      <c r="N350" s="2298">
        <f>'Saisie données file act.'!O552</f>
        <v>0</v>
      </c>
      <c r="O350" s="2298">
        <f>'Saisie données file act.'!P552</f>
        <v>0</v>
      </c>
      <c r="P350" s="2298">
        <f>'Saisie données file act.'!Q552</f>
        <v>0</v>
      </c>
      <c r="Q350" s="2299">
        <f>'Saisie données file act.'!R552</f>
        <v>0</v>
      </c>
      <c r="R350" s="2298">
        <f>'Saisie données file act.'!S552</f>
        <v>0</v>
      </c>
      <c r="S350" s="2298">
        <f>'Saisie données file act.'!T552</f>
        <v>0</v>
      </c>
      <c r="T350" s="2298">
        <f>'Saisie données file act.'!U552</f>
        <v>0</v>
      </c>
      <c r="U350" s="2298">
        <f>'Saisie données file act.'!V552</f>
        <v>0</v>
      </c>
      <c r="V350" s="2298">
        <f>'Saisie données file act.'!W552</f>
        <v>0</v>
      </c>
      <c r="W350" s="2298">
        <f>'Saisie données file act.'!X552</f>
        <v>0</v>
      </c>
      <c r="X350" s="2298">
        <f>'Saisie données file act.'!Y552</f>
        <v>0</v>
      </c>
      <c r="Y350" s="2298">
        <f>'Saisie données file act.'!Z552</f>
        <v>0</v>
      </c>
      <c r="Z350" s="2298">
        <f>'Saisie données file act.'!AA552</f>
        <v>0</v>
      </c>
      <c r="AA350" s="2298">
        <f>'Saisie données file act.'!AB552</f>
        <v>0</v>
      </c>
      <c r="AB350" s="2298">
        <f>'Saisie données file act.'!AC552</f>
        <v>0</v>
      </c>
      <c r="AC350" s="2298">
        <f>'Saisie données file act.'!AD552</f>
        <v>0</v>
      </c>
      <c r="AD350" s="2298">
        <f>'Saisie données file act.'!AE552</f>
        <v>0</v>
      </c>
      <c r="AE350" s="2300">
        <f>'Saisie données file act.'!AF552</f>
        <v>0</v>
      </c>
      <c r="AF350" s="2298">
        <f>'Saisie données file act.'!AG552</f>
        <v>0</v>
      </c>
      <c r="AG350" s="1153">
        <f t="shared" si="81"/>
        <v>0</v>
      </c>
      <c r="AH350" s="1154">
        <f t="shared" si="82"/>
        <v>0</v>
      </c>
    </row>
    <row r="351" spans="3:34" x14ac:dyDescent="0.2">
      <c r="C351" s="1115">
        <f>'Saisie données file act.'!D553</f>
        <v>0</v>
      </c>
      <c r="D351" s="2298">
        <f>'Saisie données file act.'!E553</f>
        <v>0</v>
      </c>
      <c r="E351" s="2298">
        <f>'Saisie données file act.'!F553</f>
        <v>0</v>
      </c>
      <c r="F351" s="2298">
        <f>'Saisie données file act.'!G553</f>
        <v>0</v>
      </c>
      <c r="G351" s="2298">
        <f>'Saisie données file act.'!H553</f>
        <v>0</v>
      </c>
      <c r="H351" s="2298">
        <f>'Saisie données file act.'!I553</f>
        <v>0</v>
      </c>
      <c r="I351" s="2298">
        <f>'Saisie données file act.'!J553</f>
        <v>0</v>
      </c>
      <c r="J351" s="2298">
        <f>'Saisie données file act.'!K553</f>
        <v>0</v>
      </c>
      <c r="K351" s="2298">
        <f>'Saisie données file act.'!L553</f>
        <v>0</v>
      </c>
      <c r="L351" s="2299">
        <f>'Saisie données file act.'!M553</f>
        <v>0</v>
      </c>
      <c r="M351" s="2298">
        <f>'Saisie données file act.'!N553</f>
        <v>0</v>
      </c>
      <c r="N351" s="2298">
        <f>'Saisie données file act.'!O553</f>
        <v>0</v>
      </c>
      <c r="O351" s="2298">
        <f>'Saisie données file act.'!P553</f>
        <v>0</v>
      </c>
      <c r="P351" s="2298">
        <f>'Saisie données file act.'!Q553</f>
        <v>0</v>
      </c>
      <c r="Q351" s="2299">
        <f>'Saisie données file act.'!R553</f>
        <v>0</v>
      </c>
      <c r="R351" s="2298">
        <f>'Saisie données file act.'!S553</f>
        <v>0</v>
      </c>
      <c r="S351" s="2298">
        <f>'Saisie données file act.'!T553</f>
        <v>0</v>
      </c>
      <c r="T351" s="2298">
        <f>'Saisie données file act.'!U553</f>
        <v>0</v>
      </c>
      <c r="U351" s="2298">
        <f>'Saisie données file act.'!V553</f>
        <v>0</v>
      </c>
      <c r="V351" s="2298">
        <f>'Saisie données file act.'!W553</f>
        <v>0</v>
      </c>
      <c r="W351" s="2298">
        <f>'Saisie données file act.'!X553</f>
        <v>0</v>
      </c>
      <c r="X351" s="2298">
        <f>'Saisie données file act.'!Y553</f>
        <v>0</v>
      </c>
      <c r="Y351" s="2298">
        <f>'Saisie données file act.'!Z553</f>
        <v>0</v>
      </c>
      <c r="Z351" s="2298">
        <f>'Saisie données file act.'!AA553</f>
        <v>0</v>
      </c>
      <c r="AA351" s="2298">
        <f>'Saisie données file act.'!AB553</f>
        <v>0</v>
      </c>
      <c r="AB351" s="2298">
        <f>'Saisie données file act.'!AC553</f>
        <v>0</v>
      </c>
      <c r="AC351" s="2298">
        <f>'Saisie données file act.'!AD553</f>
        <v>0</v>
      </c>
      <c r="AD351" s="2298">
        <f>'Saisie données file act.'!AE553</f>
        <v>0</v>
      </c>
      <c r="AE351" s="2300">
        <f>'Saisie données file act.'!AF553</f>
        <v>0</v>
      </c>
      <c r="AF351" s="2298">
        <f>'Saisie données file act.'!AG553</f>
        <v>0</v>
      </c>
      <c r="AG351" s="1153">
        <f t="shared" si="81"/>
        <v>0</v>
      </c>
      <c r="AH351" s="1154">
        <f t="shared" si="82"/>
        <v>0</v>
      </c>
    </row>
    <row r="352" spans="3:34" x14ac:dyDescent="0.2">
      <c r="C352" s="1115">
        <f>'Saisie données file act.'!D554</f>
        <v>0</v>
      </c>
      <c r="D352" s="2298">
        <f>'Saisie données file act.'!E554</f>
        <v>0</v>
      </c>
      <c r="E352" s="2298">
        <f>'Saisie données file act.'!F554</f>
        <v>0</v>
      </c>
      <c r="F352" s="2298">
        <f>'Saisie données file act.'!G554</f>
        <v>0</v>
      </c>
      <c r="G352" s="2298">
        <f>'Saisie données file act.'!H554</f>
        <v>0</v>
      </c>
      <c r="H352" s="2298">
        <f>'Saisie données file act.'!I554</f>
        <v>0</v>
      </c>
      <c r="I352" s="2298">
        <f>'Saisie données file act.'!J554</f>
        <v>0</v>
      </c>
      <c r="J352" s="2298">
        <f>'Saisie données file act.'!K554</f>
        <v>0</v>
      </c>
      <c r="K352" s="2298">
        <f>'Saisie données file act.'!L554</f>
        <v>0</v>
      </c>
      <c r="L352" s="2299">
        <f>'Saisie données file act.'!M554</f>
        <v>0</v>
      </c>
      <c r="M352" s="2298">
        <f>'Saisie données file act.'!N554</f>
        <v>0</v>
      </c>
      <c r="N352" s="2298">
        <f>'Saisie données file act.'!O554</f>
        <v>0</v>
      </c>
      <c r="O352" s="2298">
        <f>'Saisie données file act.'!P554</f>
        <v>0</v>
      </c>
      <c r="P352" s="2298">
        <f>'Saisie données file act.'!Q554</f>
        <v>0</v>
      </c>
      <c r="Q352" s="2299">
        <f>'Saisie données file act.'!R554</f>
        <v>0</v>
      </c>
      <c r="R352" s="2298">
        <f>'Saisie données file act.'!S554</f>
        <v>0</v>
      </c>
      <c r="S352" s="2298">
        <f>'Saisie données file act.'!T554</f>
        <v>0</v>
      </c>
      <c r="T352" s="2298">
        <f>'Saisie données file act.'!U554</f>
        <v>0</v>
      </c>
      <c r="U352" s="2298">
        <f>'Saisie données file act.'!V554</f>
        <v>0</v>
      </c>
      <c r="V352" s="2298">
        <f>'Saisie données file act.'!W554</f>
        <v>0</v>
      </c>
      <c r="W352" s="2298">
        <f>'Saisie données file act.'!X554</f>
        <v>0</v>
      </c>
      <c r="X352" s="2298">
        <f>'Saisie données file act.'!Y554</f>
        <v>0</v>
      </c>
      <c r="Y352" s="2298">
        <f>'Saisie données file act.'!Z554</f>
        <v>0</v>
      </c>
      <c r="Z352" s="2298">
        <f>'Saisie données file act.'!AA554</f>
        <v>0</v>
      </c>
      <c r="AA352" s="2298">
        <f>'Saisie données file act.'!AB554</f>
        <v>0</v>
      </c>
      <c r="AB352" s="2298">
        <f>'Saisie données file act.'!AC554</f>
        <v>0</v>
      </c>
      <c r="AC352" s="2298">
        <f>'Saisie données file act.'!AD554</f>
        <v>0</v>
      </c>
      <c r="AD352" s="2298">
        <f>'Saisie données file act.'!AE554</f>
        <v>0</v>
      </c>
      <c r="AE352" s="2300">
        <f>'Saisie données file act.'!AF554</f>
        <v>0</v>
      </c>
      <c r="AF352" s="2298">
        <f>'Saisie données file act.'!AG554</f>
        <v>0</v>
      </c>
      <c r="AG352" s="1153">
        <f t="shared" si="81"/>
        <v>0</v>
      </c>
      <c r="AH352" s="1154">
        <f t="shared" si="82"/>
        <v>0</v>
      </c>
    </row>
    <row r="353" spans="1:34" x14ac:dyDescent="0.2">
      <c r="C353" s="1115">
        <f>'Saisie données file act.'!D555</f>
        <v>0</v>
      </c>
      <c r="D353" s="2298">
        <f>'Saisie données file act.'!E555</f>
        <v>0</v>
      </c>
      <c r="E353" s="2298">
        <f>'Saisie données file act.'!F555</f>
        <v>0</v>
      </c>
      <c r="F353" s="2298">
        <f>'Saisie données file act.'!G555</f>
        <v>0</v>
      </c>
      <c r="G353" s="2298">
        <f>'Saisie données file act.'!H555</f>
        <v>0</v>
      </c>
      <c r="H353" s="2298">
        <f>'Saisie données file act.'!I555</f>
        <v>0</v>
      </c>
      <c r="I353" s="2298">
        <f>'Saisie données file act.'!J555</f>
        <v>0</v>
      </c>
      <c r="J353" s="2298">
        <f>'Saisie données file act.'!K555</f>
        <v>0</v>
      </c>
      <c r="K353" s="2298">
        <f>'Saisie données file act.'!L555</f>
        <v>0</v>
      </c>
      <c r="L353" s="2299">
        <f>'Saisie données file act.'!M555</f>
        <v>0</v>
      </c>
      <c r="M353" s="2298">
        <f>'Saisie données file act.'!N555</f>
        <v>0</v>
      </c>
      <c r="N353" s="2298">
        <f>'Saisie données file act.'!O555</f>
        <v>0</v>
      </c>
      <c r="O353" s="2298">
        <f>'Saisie données file act.'!P555</f>
        <v>0</v>
      </c>
      <c r="P353" s="2298">
        <f>'Saisie données file act.'!Q555</f>
        <v>0</v>
      </c>
      <c r="Q353" s="2299">
        <f>'Saisie données file act.'!R555</f>
        <v>0</v>
      </c>
      <c r="R353" s="2298">
        <f>'Saisie données file act.'!S555</f>
        <v>0</v>
      </c>
      <c r="S353" s="2298">
        <f>'Saisie données file act.'!T555</f>
        <v>0</v>
      </c>
      <c r="T353" s="2298">
        <f>'Saisie données file act.'!U555</f>
        <v>0</v>
      </c>
      <c r="U353" s="2298">
        <f>'Saisie données file act.'!V555</f>
        <v>0</v>
      </c>
      <c r="V353" s="2298">
        <f>'Saisie données file act.'!W555</f>
        <v>0</v>
      </c>
      <c r="W353" s="2298">
        <f>'Saisie données file act.'!X555</f>
        <v>0</v>
      </c>
      <c r="X353" s="2298">
        <f>'Saisie données file act.'!Y555</f>
        <v>0</v>
      </c>
      <c r="Y353" s="2298">
        <f>'Saisie données file act.'!Z555</f>
        <v>0</v>
      </c>
      <c r="Z353" s="2298">
        <f>'Saisie données file act.'!AA555</f>
        <v>0</v>
      </c>
      <c r="AA353" s="2298">
        <f>'Saisie données file act.'!AB555</f>
        <v>0</v>
      </c>
      <c r="AB353" s="2298">
        <f>'Saisie données file act.'!AC555</f>
        <v>0</v>
      </c>
      <c r="AC353" s="2298">
        <f>'Saisie données file act.'!AD555</f>
        <v>0</v>
      </c>
      <c r="AD353" s="2298">
        <f>'Saisie données file act.'!AE555</f>
        <v>0</v>
      </c>
      <c r="AE353" s="2300">
        <f>'Saisie données file act.'!AF555</f>
        <v>0</v>
      </c>
      <c r="AF353" s="2298">
        <f>'Saisie données file act.'!AG555</f>
        <v>0</v>
      </c>
      <c r="AG353" s="1153">
        <f t="shared" si="81"/>
        <v>0</v>
      </c>
      <c r="AH353" s="1154">
        <f t="shared" si="82"/>
        <v>0</v>
      </c>
    </row>
    <row r="354" spans="1:34" x14ac:dyDescent="0.2">
      <c r="C354" s="1115">
        <f>'Saisie données file act.'!D556</f>
        <v>0</v>
      </c>
      <c r="D354" s="2298">
        <f>'Saisie données file act.'!E556</f>
        <v>0</v>
      </c>
      <c r="E354" s="2298">
        <f>'Saisie données file act.'!F556</f>
        <v>0</v>
      </c>
      <c r="F354" s="2298">
        <f>'Saisie données file act.'!G556</f>
        <v>0</v>
      </c>
      <c r="G354" s="2298">
        <f>'Saisie données file act.'!H556</f>
        <v>0</v>
      </c>
      <c r="H354" s="2298">
        <f>'Saisie données file act.'!I556</f>
        <v>0</v>
      </c>
      <c r="I354" s="2298">
        <f>'Saisie données file act.'!J556</f>
        <v>0</v>
      </c>
      <c r="J354" s="2298">
        <f>'Saisie données file act.'!K556</f>
        <v>0</v>
      </c>
      <c r="K354" s="2298">
        <f>'Saisie données file act.'!L556</f>
        <v>0</v>
      </c>
      <c r="L354" s="2299">
        <f>'Saisie données file act.'!M556</f>
        <v>0</v>
      </c>
      <c r="M354" s="2298">
        <f>'Saisie données file act.'!N556</f>
        <v>0</v>
      </c>
      <c r="N354" s="2298">
        <f>'Saisie données file act.'!O556</f>
        <v>0</v>
      </c>
      <c r="O354" s="2298">
        <f>'Saisie données file act.'!P556</f>
        <v>0</v>
      </c>
      <c r="P354" s="2298">
        <f>'Saisie données file act.'!Q556</f>
        <v>0</v>
      </c>
      <c r="Q354" s="2299">
        <f>'Saisie données file act.'!R556</f>
        <v>0</v>
      </c>
      <c r="R354" s="2298">
        <f>'Saisie données file act.'!S556</f>
        <v>0</v>
      </c>
      <c r="S354" s="2298">
        <f>'Saisie données file act.'!T556</f>
        <v>0</v>
      </c>
      <c r="T354" s="2298">
        <f>'Saisie données file act.'!U556</f>
        <v>0</v>
      </c>
      <c r="U354" s="2298">
        <f>'Saisie données file act.'!V556</f>
        <v>0</v>
      </c>
      <c r="V354" s="2298">
        <f>'Saisie données file act.'!W556</f>
        <v>0</v>
      </c>
      <c r="W354" s="2298">
        <f>'Saisie données file act.'!X556</f>
        <v>0</v>
      </c>
      <c r="X354" s="2298">
        <f>'Saisie données file act.'!Y556</f>
        <v>0</v>
      </c>
      <c r="Y354" s="2298">
        <f>'Saisie données file act.'!Z556</f>
        <v>0</v>
      </c>
      <c r="Z354" s="2298">
        <f>'Saisie données file act.'!AA556</f>
        <v>0</v>
      </c>
      <c r="AA354" s="2298">
        <f>'Saisie données file act.'!AB556</f>
        <v>0</v>
      </c>
      <c r="AB354" s="2298">
        <f>'Saisie données file act.'!AC556</f>
        <v>0</v>
      </c>
      <c r="AC354" s="2298">
        <f>'Saisie données file act.'!AD556</f>
        <v>0</v>
      </c>
      <c r="AD354" s="2298">
        <f>'Saisie données file act.'!AE556</f>
        <v>0</v>
      </c>
      <c r="AE354" s="2300">
        <f>'Saisie données file act.'!AF556</f>
        <v>0</v>
      </c>
      <c r="AF354" s="2298">
        <f>'Saisie données file act.'!AG556</f>
        <v>0</v>
      </c>
      <c r="AG354" s="1153">
        <f t="shared" si="81"/>
        <v>0</v>
      </c>
      <c r="AH354" s="1154">
        <f t="shared" si="82"/>
        <v>0</v>
      </c>
    </row>
    <row r="355" spans="1:34" x14ac:dyDescent="0.2">
      <c r="C355" s="1115">
        <f>'Saisie données file act.'!D557</f>
        <v>0</v>
      </c>
      <c r="D355" s="2298">
        <f>'Saisie données file act.'!E557</f>
        <v>0</v>
      </c>
      <c r="E355" s="2298">
        <f>'Saisie données file act.'!F557</f>
        <v>0</v>
      </c>
      <c r="F355" s="2298">
        <f>'Saisie données file act.'!G557</f>
        <v>0</v>
      </c>
      <c r="G355" s="2298">
        <f>'Saisie données file act.'!H557</f>
        <v>0</v>
      </c>
      <c r="H355" s="2298">
        <f>'Saisie données file act.'!I557</f>
        <v>0</v>
      </c>
      <c r="I355" s="2298">
        <f>'Saisie données file act.'!J557</f>
        <v>0</v>
      </c>
      <c r="J355" s="2298">
        <f>'Saisie données file act.'!K557</f>
        <v>0</v>
      </c>
      <c r="K355" s="2298">
        <f>'Saisie données file act.'!L557</f>
        <v>0</v>
      </c>
      <c r="L355" s="2299">
        <f>'Saisie données file act.'!M557</f>
        <v>0</v>
      </c>
      <c r="M355" s="2298">
        <f>'Saisie données file act.'!N557</f>
        <v>0</v>
      </c>
      <c r="N355" s="2298">
        <f>'Saisie données file act.'!O557</f>
        <v>0</v>
      </c>
      <c r="O355" s="2298">
        <f>'Saisie données file act.'!P557</f>
        <v>0</v>
      </c>
      <c r="P355" s="2298">
        <f>'Saisie données file act.'!Q557</f>
        <v>0</v>
      </c>
      <c r="Q355" s="2299">
        <f>'Saisie données file act.'!R557</f>
        <v>0</v>
      </c>
      <c r="R355" s="2298">
        <f>'Saisie données file act.'!S557</f>
        <v>0</v>
      </c>
      <c r="S355" s="2298">
        <f>'Saisie données file act.'!T557</f>
        <v>0</v>
      </c>
      <c r="T355" s="2298">
        <f>'Saisie données file act.'!U557</f>
        <v>0</v>
      </c>
      <c r="U355" s="2298">
        <f>'Saisie données file act.'!V557</f>
        <v>0</v>
      </c>
      <c r="V355" s="2298">
        <f>'Saisie données file act.'!W557</f>
        <v>0</v>
      </c>
      <c r="W355" s="2298">
        <f>'Saisie données file act.'!X557</f>
        <v>0</v>
      </c>
      <c r="X355" s="2298">
        <f>'Saisie données file act.'!Y557</f>
        <v>0</v>
      </c>
      <c r="Y355" s="2298">
        <f>'Saisie données file act.'!Z557</f>
        <v>0</v>
      </c>
      <c r="Z355" s="2298">
        <f>'Saisie données file act.'!AA557</f>
        <v>0</v>
      </c>
      <c r="AA355" s="2298">
        <f>'Saisie données file act.'!AB557</f>
        <v>0</v>
      </c>
      <c r="AB355" s="2298">
        <f>'Saisie données file act.'!AC557</f>
        <v>0</v>
      </c>
      <c r="AC355" s="2298">
        <f>'Saisie données file act.'!AD557</f>
        <v>0</v>
      </c>
      <c r="AD355" s="2298">
        <f>'Saisie données file act.'!AE557</f>
        <v>0</v>
      </c>
      <c r="AE355" s="2300">
        <f>'Saisie données file act.'!AF557</f>
        <v>0</v>
      </c>
      <c r="AF355" s="2298">
        <f>'Saisie données file act.'!AG557</f>
        <v>0</v>
      </c>
      <c r="AG355" s="1153">
        <f t="shared" si="81"/>
        <v>0</v>
      </c>
      <c r="AH355" s="1154">
        <f t="shared" si="82"/>
        <v>0</v>
      </c>
    </row>
    <row r="356" spans="1:34" x14ac:dyDescent="0.2">
      <c r="C356" s="1115">
        <f>'Saisie données file act.'!D558</f>
        <v>0</v>
      </c>
      <c r="D356" s="2298">
        <f>'Saisie données file act.'!E558</f>
        <v>0</v>
      </c>
      <c r="E356" s="2298">
        <f>'Saisie données file act.'!F558</f>
        <v>0</v>
      </c>
      <c r="F356" s="2298">
        <f>'Saisie données file act.'!G558</f>
        <v>0</v>
      </c>
      <c r="G356" s="2298">
        <f>'Saisie données file act.'!H558</f>
        <v>0</v>
      </c>
      <c r="H356" s="2298">
        <f>'Saisie données file act.'!I558</f>
        <v>0</v>
      </c>
      <c r="I356" s="2298">
        <f>'Saisie données file act.'!J558</f>
        <v>0</v>
      </c>
      <c r="J356" s="2298">
        <f>'Saisie données file act.'!K558</f>
        <v>0</v>
      </c>
      <c r="K356" s="2298">
        <f>'Saisie données file act.'!L558</f>
        <v>0</v>
      </c>
      <c r="L356" s="2299">
        <f>'Saisie données file act.'!M558</f>
        <v>0</v>
      </c>
      <c r="M356" s="2298">
        <f>'Saisie données file act.'!N558</f>
        <v>0</v>
      </c>
      <c r="N356" s="2298">
        <f>'Saisie données file act.'!O558</f>
        <v>0</v>
      </c>
      <c r="O356" s="2298">
        <f>'Saisie données file act.'!P558</f>
        <v>0</v>
      </c>
      <c r="P356" s="2298">
        <f>'Saisie données file act.'!Q558</f>
        <v>0</v>
      </c>
      <c r="Q356" s="2299">
        <f>'Saisie données file act.'!R558</f>
        <v>0</v>
      </c>
      <c r="R356" s="2298">
        <f>'Saisie données file act.'!S558</f>
        <v>0</v>
      </c>
      <c r="S356" s="2298">
        <f>'Saisie données file act.'!T558</f>
        <v>0</v>
      </c>
      <c r="T356" s="2298">
        <f>'Saisie données file act.'!U558</f>
        <v>0</v>
      </c>
      <c r="U356" s="2298">
        <f>'Saisie données file act.'!V558</f>
        <v>0</v>
      </c>
      <c r="V356" s="2298">
        <f>'Saisie données file act.'!W558</f>
        <v>0</v>
      </c>
      <c r="W356" s="2298">
        <f>'Saisie données file act.'!X558</f>
        <v>0</v>
      </c>
      <c r="X356" s="2298">
        <f>'Saisie données file act.'!Y558</f>
        <v>0</v>
      </c>
      <c r="Y356" s="2298">
        <f>'Saisie données file act.'!Z558</f>
        <v>0</v>
      </c>
      <c r="Z356" s="2298">
        <f>'Saisie données file act.'!AA558</f>
        <v>0</v>
      </c>
      <c r="AA356" s="2298">
        <f>'Saisie données file act.'!AB558</f>
        <v>0</v>
      </c>
      <c r="AB356" s="2298">
        <f>'Saisie données file act.'!AC558</f>
        <v>0</v>
      </c>
      <c r="AC356" s="2298">
        <f>'Saisie données file act.'!AD558</f>
        <v>0</v>
      </c>
      <c r="AD356" s="2298">
        <f>'Saisie données file act.'!AE558</f>
        <v>0</v>
      </c>
      <c r="AE356" s="2300">
        <f>'Saisie données file act.'!AF558</f>
        <v>0</v>
      </c>
      <c r="AF356" s="2298">
        <f>'Saisie données file act.'!AG558</f>
        <v>0</v>
      </c>
      <c r="AG356" s="1153">
        <f t="shared" si="81"/>
        <v>0</v>
      </c>
      <c r="AH356" s="1154">
        <f t="shared" si="82"/>
        <v>0</v>
      </c>
    </row>
    <row r="357" spans="1:34" ht="13.5" thickBot="1" x14ac:dyDescent="0.25">
      <c r="C357" s="1116">
        <f>'Saisie données file act.'!D559</f>
        <v>0</v>
      </c>
      <c r="D357" s="2304">
        <f>'Saisie données file act.'!E559</f>
        <v>0</v>
      </c>
      <c r="E357" s="2304">
        <f>'Saisie données file act.'!F559</f>
        <v>0</v>
      </c>
      <c r="F357" s="2304">
        <f>'Saisie données file act.'!G559</f>
        <v>0</v>
      </c>
      <c r="G357" s="2304">
        <f>'Saisie données file act.'!H559</f>
        <v>0</v>
      </c>
      <c r="H357" s="2304">
        <f>'Saisie données file act.'!I559</f>
        <v>0</v>
      </c>
      <c r="I357" s="2304">
        <f>'Saisie données file act.'!J559</f>
        <v>0</v>
      </c>
      <c r="J357" s="2304">
        <f>'Saisie données file act.'!K559</f>
        <v>0</v>
      </c>
      <c r="K357" s="2304">
        <f>'Saisie données file act.'!L559</f>
        <v>0</v>
      </c>
      <c r="L357" s="2305">
        <f>'Saisie données file act.'!M559</f>
        <v>0</v>
      </c>
      <c r="M357" s="2304">
        <f>'Saisie données file act.'!N559</f>
        <v>0</v>
      </c>
      <c r="N357" s="2304">
        <f>'Saisie données file act.'!O559</f>
        <v>0</v>
      </c>
      <c r="O357" s="2304">
        <f>'Saisie données file act.'!P559</f>
        <v>0</v>
      </c>
      <c r="P357" s="2304">
        <f>'Saisie données file act.'!Q559</f>
        <v>0</v>
      </c>
      <c r="Q357" s="2305">
        <f>'Saisie données file act.'!R559</f>
        <v>0</v>
      </c>
      <c r="R357" s="2304">
        <f>'Saisie données file act.'!S559</f>
        <v>0</v>
      </c>
      <c r="S357" s="2304">
        <f>'Saisie données file act.'!T559</f>
        <v>0</v>
      </c>
      <c r="T357" s="2304">
        <f>'Saisie données file act.'!U559</f>
        <v>0</v>
      </c>
      <c r="U357" s="2304">
        <f>'Saisie données file act.'!V559</f>
        <v>0</v>
      </c>
      <c r="V357" s="2304">
        <f>'Saisie données file act.'!W559</f>
        <v>0</v>
      </c>
      <c r="W357" s="2304">
        <f>'Saisie données file act.'!X559</f>
        <v>0</v>
      </c>
      <c r="X357" s="2304">
        <f>'Saisie données file act.'!Y559</f>
        <v>0</v>
      </c>
      <c r="Y357" s="2304">
        <f>'Saisie données file act.'!Z559</f>
        <v>0</v>
      </c>
      <c r="Z357" s="2304">
        <f>'Saisie données file act.'!AA559</f>
        <v>0</v>
      </c>
      <c r="AA357" s="2304">
        <f>'Saisie données file act.'!AB559</f>
        <v>0</v>
      </c>
      <c r="AB357" s="2304">
        <f>'Saisie données file act.'!AC559</f>
        <v>0</v>
      </c>
      <c r="AC357" s="2304">
        <f>'Saisie données file act.'!AD559</f>
        <v>0</v>
      </c>
      <c r="AD357" s="2304">
        <f>'Saisie données file act.'!AE559</f>
        <v>0</v>
      </c>
      <c r="AE357" s="2306">
        <f>'Saisie données file act.'!AF559</f>
        <v>0</v>
      </c>
      <c r="AF357" s="2304">
        <f>'Saisie données file act.'!AG559</f>
        <v>0</v>
      </c>
      <c r="AG357" s="1159">
        <f t="shared" si="81"/>
        <v>0</v>
      </c>
      <c r="AH357" s="1160">
        <f t="shared" si="82"/>
        <v>0</v>
      </c>
    </row>
    <row r="358" spans="1:34" s="1119" customFormat="1" ht="39" thickBot="1" x14ac:dyDescent="0.25">
      <c r="A358" s="1118"/>
      <c r="C358" s="1120" t="str">
        <f>'TRAD-Calculs pédiatriques'!B89</f>
        <v>Nb de patients-mois / produit - SUIVIS</v>
      </c>
      <c r="D358" s="1134">
        <f t="shared" ref="D358:AF358" si="83">SUMIF(D335:D357, "X", $AG335:$AG357)</f>
        <v>0</v>
      </c>
      <c r="E358" s="1134">
        <f t="shared" si="83"/>
        <v>0</v>
      </c>
      <c r="F358" s="1134">
        <f t="shared" si="83"/>
        <v>0</v>
      </c>
      <c r="G358" s="1134">
        <f t="shared" si="83"/>
        <v>0</v>
      </c>
      <c r="H358" s="1134">
        <f t="shared" si="83"/>
        <v>0</v>
      </c>
      <c r="I358" s="1134">
        <f t="shared" si="83"/>
        <v>0</v>
      </c>
      <c r="J358" s="1134">
        <f t="shared" si="83"/>
        <v>0</v>
      </c>
      <c r="K358" s="1134">
        <f t="shared" si="83"/>
        <v>0</v>
      </c>
      <c r="L358" s="1184">
        <f t="shared" si="83"/>
        <v>0</v>
      </c>
      <c r="M358" s="1134">
        <f t="shared" si="83"/>
        <v>0</v>
      </c>
      <c r="N358" s="1134">
        <f t="shared" si="83"/>
        <v>0</v>
      </c>
      <c r="O358" s="1134">
        <f t="shared" si="83"/>
        <v>0</v>
      </c>
      <c r="P358" s="1134">
        <f t="shared" si="83"/>
        <v>0</v>
      </c>
      <c r="Q358" s="1184">
        <f t="shared" si="83"/>
        <v>0</v>
      </c>
      <c r="R358" s="1134">
        <f t="shared" si="83"/>
        <v>0</v>
      </c>
      <c r="S358" s="1134">
        <f t="shared" si="83"/>
        <v>0</v>
      </c>
      <c r="T358" s="1134">
        <f t="shared" si="83"/>
        <v>0</v>
      </c>
      <c r="U358" s="1134">
        <f t="shared" si="83"/>
        <v>0</v>
      </c>
      <c r="V358" s="1134">
        <f t="shared" si="83"/>
        <v>0</v>
      </c>
      <c r="W358" s="1134">
        <f t="shared" si="83"/>
        <v>0</v>
      </c>
      <c r="X358" s="1134">
        <f t="shared" si="83"/>
        <v>0</v>
      </c>
      <c r="Y358" s="1134">
        <f t="shared" si="83"/>
        <v>0</v>
      </c>
      <c r="Z358" s="1134">
        <f t="shared" si="83"/>
        <v>0</v>
      </c>
      <c r="AA358" s="1134">
        <f t="shared" si="83"/>
        <v>0</v>
      </c>
      <c r="AB358" s="1134">
        <f t="shared" si="83"/>
        <v>0</v>
      </c>
      <c r="AC358" s="1134">
        <f t="shared" si="83"/>
        <v>0</v>
      </c>
      <c r="AD358" s="1134">
        <f t="shared" si="83"/>
        <v>0</v>
      </c>
      <c r="AE358" s="1135">
        <f t="shared" si="83"/>
        <v>0</v>
      </c>
      <c r="AF358" s="1134">
        <f t="shared" si="83"/>
        <v>0</v>
      </c>
    </row>
    <row r="359" spans="1:34" s="1119" customFormat="1" ht="38.25" x14ac:dyDescent="0.2">
      <c r="A359" s="1118"/>
      <c r="C359" s="1120" t="str">
        <f>'TRAD-Calculs pédiatriques'!B90</f>
        <v>Nb de patients-mois / produit - NOUVEAUX</v>
      </c>
      <c r="D359" s="1136">
        <f t="shared" ref="D359:AF359" si="84">SUMIF(D335:D357, "X", $AH335:$AH357)</f>
        <v>0</v>
      </c>
      <c r="E359" s="1136">
        <f t="shared" si="84"/>
        <v>0</v>
      </c>
      <c r="F359" s="1136">
        <f t="shared" si="84"/>
        <v>0</v>
      </c>
      <c r="G359" s="1136">
        <f t="shared" si="84"/>
        <v>0</v>
      </c>
      <c r="H359" s="1136">
        <f t="shared" si="84"/>
        <v>0</v>
      </c>
      <c r="I359" s="1136">
        <f t="shared" si="84"/>
        <v>0</v>
      </c>
      <c r="J359" s="1136">
        <f t="shared" si="84"/>
        <v>0</v>
      </c>
      <c r="K359" s="1136">
        <f t="shared" si="84"/>
        <v>0</v>
      </c>
      <c r="L359" s="1185">
        <f t="shared" si="84"/>
        <v>0</v>
      </c>
      <c r="M359" s="1136">
        <f t="shared" si="84"/>
        <v>0</v>
      </c>
      <c r="N359" s="1136">
        <f t="shared" si="84"/>
        <v>0</v>
      </c>
      <c r="O359" s="1136">
        <f t="shared" si="84"/>
        <v>0</v>
      </c>
      <c r="P359" s="1136">
        <f t="shared" si="84"/>
        <v>0</v>
      </c>
      <c r="Q359" s="1185">
        <f t="shared" si="84"/>
        <v>0</v>
      </c>
      <c r="R359" s="1136">
        <f t="shared" si="84"/>
        <v>0</v>
      </c>
      <c r="S359" s="1136">
        <f t="shared" si="84"/>
        <v>0</v>
      </c>
      <c r="T359" s="1136">
        <f t="shared" si="84"/>
        <v>0</v>
      </c>
      <c r="U359" s="1136">
        <f t="shared" si="84"/>
        <v>0</v>
      </c>
      <c r="V359" s="1136">
        <f t="shared" si="84"/>
        <v>0</v>
      </c>
      <c r="W359" s="1136">
        <f t="shared" si="84"/>
        <v>0</v>
      </c>
      <c r="X359" s="1136">
        <f t="shared" si="84"/>
        <v>0</v>
      </c>
      <c r="Y359" s="1136">
        <f t="shared" si="84"/>
        <v>0</v>
      </c>
      <c r="Z359" s="1136">
        <f t="shared" si="84"/>
        <v>0</v>
      </c>
      <c r="AA359" s="1136">
        <f t="shared" si="84"/>
        <v>0</v>
      </c>
      <c r="AB359" s="1136">
        <f t="shared" si="84"/>
        <v>0</v>
      </c>
      <c r="AC359" s="1136">
        <f t="shared" si="84"/>
        <v>0</v>
      </c>
      <c r="AD359" s="1136">
        <f t="shared" si="84"/>
        <v>0</v>
      </c>
      <c r="AE359" s="1137">
        <f t="shared" si="84"/>
        <v>0</v>
      </c>
      <c r="AF359" s="1136">
        <f t="shared" si="84"/>
        <v>0</v>
      </c>
    </row>
    <row r="360" spans="1:34" s="1119" customFormat="1" x14ac:dyDescent="0.2">
      <c r="A360" s="1118"/>
      <c r="C360" s="1121" t="str">
        <f>'TRAD-Calculs pédiatriques'!B91</f>
        <v>Nb de cdt pr SUIVIS</v>
      </c>
      <c r="D360" s="1138">
        <f t="shared" ref="D360:AF360" si="85">D358*D334</f>
        <v>0</v>
      </c>
      <c r="E360" s="1138">
        <f t="shared" si="85"/>
        <v>0</v>
      </c>
      <c r="F360" s="1138">
        <f t="shared" si="85"/>
        <v>0</v>
      </c>
      <c r="G360" s="1138">
        <f t="shared" si="85"/>
        <v>0</v>
      </c>
      <c r="H360" s="1138">
        <f t="shared" si="85"/>
        <v>0</v>
      </c>
      <c r="I360" s="1138">
        <f t="shared" si="85"/>
        <v>0</v>
      </c>
      <c r="J360" s="1138">
        <f t="shared" si="85"/>
        <v>0</v>
      </c>
      <c r="K360" s="1138">
        <f t="shared" si="85"/>
        <v>0</v>
      </c>
      <c r="L360" s="1186">
        <f t="shared" si="85"/>
        <v>0</v>
      </c>
      <c r="M360" s="1138">
        <f t="shared" si="85"/>
        <v>0</v>
      </c>
      <c r="N360" s="1138">
        <f t="shared" si="85"/>
        <v>0</v>
      </c>
      <c r="O360" s="1138">
        <f t="shared" si="85"/>
        <v>0</v>
      </c>
      <c r="P360" s="1138">
        <f t="shared" si="85"/>
        <v>0</v>
      </c>
      <c r="Q360" s="1186">
        <f t="shared" si="85"/>
        <v>0</v>
      </c>
      <c r="R360" s="1138">
        <f t="shared" si="85"/>
        <v>0</v>
      </c>
      <c r="S360" s="1138">
        <f t="shared" si="85"/>
        <v>0</v>
      </c>
      <c r="T360" s="1138">
        <f t="shared" si="85"/>
        <v>0</v>
      </c>
      <c r="U360" s="1138">
        <f t="shared" si="85"/>
        <v>0</v>
      </c>
      <c r="V360" s="1138">
        <f t="shared" si="85"/>
        <v>0</v>
      </c>
      <c r="W360" s="1138">
        <f t="shared" si="85"/>
        <v>0</v>
      </c>
      <c r="X360" s="1138">
        <f t="shared" si="85"/>
        <v>0</v>
      </c>
      <c r="Y360" s="1138">
        <f t="shared" si="85"/>
        <v>0</v>
      </c>
      <c r="Z360" s="1138">
        <f t="shared" si="85"/>
        <v>0</v>
      </c>
      <c r="AA360" s="1138">
        <f t="shared" si="85"/>
        <v>0</v>
      </c>
      <c r="AB360" s="1138">
        <f t="shared" si="85"/>
        <v>0</v>
      </c>
      <c r="AC360" s="1138">
        <f t="shared" si="85"/>
        <v>0</v>
      </c>
      <c r="AD360" s="1138">
        <f t="shared" si="85"/>
        <v>0</v>
      </c>
      <c r="AE360" s="1140">
        <f t="shared" si="85"/>
        <v>0</v>
      </c>
      <c r="AF360" s="1138">
        <f t="shared" si="85"/>
        <v>0</v>
      </c>
    </row>
    <row r="361" spans="1:34" s="1119" customFormat="1" ht="26.25" thickBot="1" x14ac:dyDescent="0.25">
      <c r="A361" s="1118"/>
      <c r="C361" s="1121" t="str">
        <f>'TRAD-Calculs pédiatriques'!B92</f>
        <v>Nb de cdt pr NOUVEAUX</v>
      </c>
      <c r="D361" s="1139">
        <f t="shared" ref="D361:AF361" si="86">D359*D334</f>
        <v>0</v>
      </c>
      <c r="E361" s="1139">
        <f t="shared" si="86"/>
        <v>0</v>
      </c>
      <c r="F361" s="1139">
        <f t="shared" si="86"/>
        <v>0</v>
      </c>
      <c r="G361" s="1139">
        <f t="shared" si="86"/>
        <v>0</v>
      </c>
      <c r="H361" s="1139">
        <f t="shared" si="86"/>
        <v>0</v>
      </c>
      <c r="I361" s="1139">
        <f t="shared" si="86"/>
        <v>0</v>
      </c>
      <c r="J361" s="1139">
        <f t="shared" si="86"/>
        <v>0</v>
      </c>
      <c r="K361" s="1139">
        <f t="shared" si="86"/>
        <v>0</v>
      </c>
      <c r="L361" s="1187">
        <f t="shared" si="86"/>
        <v>0</v>
      </c>
      <c r="M361" s="1139">
        <f t="shared" si="86"/>
        <v>0</v>
      </c>
      <c r="N361" s="1139">
        <f t="shared" si="86"/>
        <v>0</v>
      </c>
      <c r="O361" s="1139">
        <f t="shared" si="86"/>
        <v>0</v>
      </c>
      <c r="P361" s="1139">
        <f t="shared" si="86"/>
        <v>0</v>
      </c>
      <c r="Q361" s="1187">
        <f t="shared" si="86"/>
        <v>0</v>
      </c>
      <c r="R361" s="1139">
        <f t="shared" si="86"/>
        <v>0</v>
      </c>
      <c r="S361" s="1139">
        <f t="shared" si="86"/>
        <v>0</v>
      </c>
      <c r="T361" s="1139">
        <f t="shared" si="86"/>
        <v>0</v>
      </c>
      <c r="U361" s="1139">
        <f t="shared" si="86"/>
        <v>0</v>
      </c>
      <c r="V361" s="1139">
        <f t="shared" si="86"/>
        <v>0</v>
      </c>
      <c r="W361" s="1139">
        <f t="shared" si="86"/>
        <v>0</v>
      </c>
      <c r="X361" s="1139">
        <f t="shared" si="86"/>
        <v>0</v>
      </c>
      <c r="Y361" s="1139">
        <f t="shared" si="86"/>
        <v>0</v>
      </c>
      <c r="Z361" s="1139">
        <f t="shared" si="86"/>
        <v>0</v>
      </c>
      <c r="AA361" s="1139">
        <f t="shared" si="86"/>
        <v>0</v>
      </c>
      <c r="AB361" s="1139">
        <f t="shared" si="86"/>
        <v>0</v>
      </c>
      <c r="AC361" s="1139">
        <f t="shared" si="86"/>
        <v>0</v>
      </c>
      <c r="AD361" s="1139">
        <f t="shared" si="86"/>
        <v>0</v>
      </c>
      <c r="AE361" s="1141">
        <f t="shared" si="86"/>
        <v>0</v>
      </c>
      <c r="AF361" s="1139">
        <f t="shared" si="86"/>
        <v>0</v>
      </c>
    </row>
    <row r="363" spans="1:34" ht="13.5" thickBot="1" x14ac:dyDescent="0.25"/>
    <row r="364" spans="1:34" ht="13.5" thickBot="1" x14ac:dyDescent="0.25">
      <c r="B364" s="1168" t="str">
        <f>'TRAD-Calculs pédiatriques'!B98</f>
        <v>Tranche 15 -19,9 kg</v>
      </c>
      <c r="C364" s="1162"/>
      <c r="D364" s="1166"/>
      <c r="E364" s="1166"/>
      <c r="F364" s="1166"/>
      <c r="G364" s="1167"/>
      <c r="I364" s="1166"/>
      <c r="J364" s="1166"/>
    </row>
    <row r="365" spans="1:34" ht="13.5" thickBot="1" x14ac:dyDescent="0.25">
      <c r="D365" s="1172"/>
      <c r="E365" s="1173"/>
      <c r="F365" s="1173"/>
      <c r="G365" s="1173"/>
      <c r="H365" s="1162"/>
      <c r="I365" s="1173"/>
      <c r="J365" s="1173"/>
      <c r="K365" s="1162"/>
      <c r="L365" s="191"/>
      <c r="M365" s="1162"/>
      <c r="N365" s="1162"/>
      <c r="O365" s="1162"/>
      <c r="P365" s="1162"/>
      <c r="Q365" s="191"/>
      <c r="R365" s="1162"/>
      <c r="S365" s="1162"/>
      <c r="T365" s="1162"/>
      <c r="U365" s="1162"/>
      <c r="V365" s="1162"/>
      <c r="W365" s="1162"/>
      <c r="X365" s="1162"/>
      <c r="Y365" s="1162"/>
      <c r="Z365" s="1162"/>
      <c r="AA365" s="1162"/>
      <c r="AB365" s="1162"/>
      <c r="AC365" s="1162"/>
      <c r="AD365" s="1162"/>
      <c r="AE365" s="1163"/>
      <c r="AF365" s="1162"/>
    </row>
    <row r="366" spans="1:34" x14ac:dyDescent="0.2">
      <c r="C366" s="1108"/>
      <c r="D366" s="1193" t="str">
        <f>'TRAD-Calculs pédiatriques'!B53</f>
        <v>sol buv</v>
      </c>
      <c r="E366" s="1194"/>
      <c r="F366" s="1194"/>
      <c r="G366" s="1194"/>
      <c r="H366" s="1194"/>
      <c r="I366" s="1194"/>
      <c r="J366" s="1194"/>
      <c r="K366" s="1195"/>
      <c r="L366" s="1193"/>
      <c r="M366" s="1195"/>
      <c r="N366" s="1196"/>
      <c r="O366" s="1196"/>
      <c r="P366" s="1195"/>
      <c r="Q366" s="1193" t="str">
        <f>'TRAD-Calculs pédiatriques'!B102</f>
        <v>Comprimés</v>
      </c>
      <c r="R366" s="1195"/>
      <c r="S366" s="2265"/>
      <c r="T366" s="2265"/>
      <c r="U366" s="2265"/>
      <c r="V366" s="1196"/>
      <c r="W366" s="1196"/>
      <c r="X366" s="2264"/>
      <c r="Y366" s="1196"/>
      <c r="Z366" s="2264"/>
      <c r="AA366" s="1196"/>
      <c r="AB366" s="1196"/>
      <c r="AC366" s="1196"/>
      <c r="AD366" s="1196"/>
      <c r="AE366" s="1197"/>
      <c r="AF366" s="1196"/>
    </row>
    <row r="367" spans="1:34" s="1123" customFormat="1" ht="38.25" x14ac:dyDescent="0.2">
      <c r="A367" s="1122"/>
      <c r="C367" s="1109" t="str">
        <f>'TRAD-Calculs pédiatriques'!B85</f>
        <v>Nb de boites / mois pour l'ensemble des patients</v>
      </c>
      <c r="D367" s="1125" t="s">
        <v>32</v>
      </c>
      <c r="E367" s="1125" t="s">
        <v>82</v>
      </c>
      <c r="F367" s="1125" t="s">
        <v>34</v>
      </c>
      <c r="G367" s="1125" t="s">
        <v>36</v>
      </c>
      <c r="H367" s="1125" t="s">
        <v>37</v>
      </c>
      <c r="I367" s="1125" t="s">
        <v>29</v>
      </c>
      <c r="J367" s="1125" t="s">
        <v>27</v>
      </c>
      <c r="K367" s="1124" t="s">
        <v>42</v>
      </c>
      <c r="L367" s="1182" t="s">
        <v>1</v>
      </c>
      <c r="M367" s="1124" t="str">
        <f>'TRAD-Calculs pédiatriques'!B67</f>
        <v>AZT+3TC+NVP bébé</v>
      </c>
      <c r="N367" s="1124" t="s">
        <v>18</v>
      </c>
      <c r="O367" s="1124" t="str">
        <f>'TRAD-Calculs pédiatriques'!B69</f>
        <v>AZT+3TC bébé</v>
      </c>
      <c r="P367" s="1124" t="s">
        <v>2</v>
      </c>
      <c r="Q367" s="1182" t="str">
        <f>'TRAD-Calculs pédiatriques'!B71</f>
        <v>D4T+3TC+NVP bébé</v>
      </c>
      <c r="R367" s="1124" t="s">
        <v>22</v>
      </c>
      <c r="S367" s="1124" t="s">
        <v>3</v>
      </c>
      <c r="T367" s="1124" t="s">
        <v>596</v>
      </c>
      <c r="U367" s="1124" t="str">
        <f>'TRAD-Calculs pédiatriques'!B74</f>
        <v>ABC+3TC bébé</v>
      </c>
      <c r="V367" s="1124" t="s">
        <v>34</v>
      </c>
      <c r="W367" s="1124" t="s">
        <v>36</v>
      </c>
      <c r="X367" s="1124" t="str">
        <f>'TRAD-Calculs pédiatriques'!B76</f>
        <v>ABC bébé</v>
      </c>
      <c r="Y367" s="1124" t="s">
        <v>32</v>
      </c>
      <c r="Z367" s="1124" t="str">
        <f>'TRAD-Calculs pédiatriques'!B77</f>
        <v>AZT bébé</v>
      </c>
      <c r="AA367" s="1124" t="s">
        <v>37</v>
      </c>
      <c r="AB367" s="1124" t="s">
        <v>29</v>
      </c>
      <c r="AC367" s="1124" t="s">
        <v>27</v>
      </c>
      <c r="AD367" s="1124" t="s">
        <v>27</v>
      </c>
      <c r="AE367" s="1126" t="s">
        <v>42</v>
      </c>
      <c r="AF367" s="1124" t="str">
        <f>'TRAD-Calculs pédiatriques'!B80</f>
        <v>LPV/r bébé</v>
      </c>
    </row>
    <row r="368" spans="1:34" s="1123" customFormat="1" ht="64.5" thickBot="1" x14ac:dyDescent="0.25">
      <c r="A368" s="1122"/>
      <c r="C368" s="1109" t="str">
        <f>'TRAD-Calculs pédiatriques'!B46</f>
        <v>Dosage</v>
      </c>
      <c r="D368" s="1124" t="s">
        <v>80</v>
      </c>
      <c r="E368" s="1125" t="s">
        <v>80</v>
      </c>
      <c r="F368" s="1125" t="s">
        <v>80</v>
      </c>
      <c r="G368" s="1125" t="s">
        <v>88</v>
      </c>
      <c r="H368" s="1125" t="s">
        <v>91</v>
      </c>
      <c r="I368" s="1125" t="s">
        <v>80</v>
      </c>
      <c r="J368" s="1125" t="s">
        <v>86</v>
      </c>
      <c r="K368" s="1124" t="s">
        <v>93</v>
      </c>
      <c r="L368" s="1182" t="s">
        <v>17</v>
      </c>
      <c r="M368" s="1124" t="s">
        <v>258</v>
      </c>
      <c r="N368" s="1124" t="s">
        <v>19</v>
      </c>
      <c r="O368" s="1124" t="s">
        <v>260</v>
      </c>
      <c r="P368" s="1124" t="s">
        <v>21</v>
      </c>
      <c r="Q368" s="1182" t="s">
        <v>102</v>
      </c>
      <c r="R368" s="1124" t="s">
        <v>23</v>
      </c>
      <c r="S368" s="1124" t="s">
        <v>137</v>
      </c>
      <c r="T368" s="1124" t="s">
        <v>728</v>
      </c>
      <c r="U368" s="1124" t="s">
        <v>260</v>
      </c>
      <c r="V368" s="1124" t="s">
        <v>35</v>
      </c>
      <c r="W368" s="1124" t="s">
        <v>33</v>
      </c>
      <c r="X368" s="1124" t="s">
        <v>611</v>
      </c>
      <c r="Y368" s="1124" t="s">
        <v>46</v>
      </c>
      <c r="Z368" s="1124" t="s">
        <v>611</v>
      </c>
      <c r="AA368" s="1124" t="s">
        <v>38</v>
      </c>
      <c r="AB368" s="1124" t="s">
        <v>30</v>
      </c>
      <c r="AC368" s="1124" t="s">
        <v>30</v>
      </c>
      <c r="AD368" s="1124" t="s">
        <v>105</v>
      </c>
      <c r="AE368" s="1126" t="s">
        <v>43</v>
      </c>
      <c r="AF368" s="1124" t="s">
        <v>496</v>
      </c>
      <c r="AG368" s="1176" t="str">
        <f>'TRAD-Calculs pédiatriques'!B32</f>
        <v>Répartition des patients mois / tranches de poids</v>
      </c>
    </row>
    <row r="369" spans="2:34" ht="26.25" thickBot="1" x14ac:dyDescent="0.25">
      <c r="C369" s="1220" t="str">
        <f>'TRAD-Calculs pédiatriques'!B86</f>
        <v>Nb de cdt/mois pour la tranche</v>
      </c>
      <c r="D369" s="2282">
        <f t="array" ref="D369:AF369">TRANSPOSE(H261:H289)</f>
        <v>3.75</v>
      </c>
      <c r="E369" s="2282">
        <v>3.75</v>
      </c>
      <c r="F369" s="2282">
        <v>1.875</v>
      </c>
      <c r="G369" s="2282">
        <v>1.875</v>
      </c>
      <c r="H369" s="2282">
        <v>3</v>
      </c>
      <c r="I369" s="2282">
        <v>3</v>
      </c>
      <c r="J369" s="2282">
        <v>2.1666666666666665</v>
      </c>
      <c r="K369" s="2283">
        <v>2.5</v>
      </c>
      <c r="L369" s="2284">
        <v>1</v>
      </c>
      <c r="M369" s="2283">
        <v>2.5</v>
      </c>
      <c r="N369" s="2283">
        <v>1</v>
      </c>
      <c r="O369" s="2283">
        <v>2.5</v>
      </c>
      <c r="P369" s="2283">
        <v>1</v>
      </c>
      <c r="Q369" s="2284">
        <v>2.5</v>
      </c>
      <c r="R369" s="2283">
        <v>1</v>
      </c>
      <c r="S369" s="2283">
        <v>1</v>
      </c>
      <c r="T369" s="2283">
        <v>1</v>
      </c>
      <c r="U369" s="2283">
        <v>2.5</v>
      </c>
      <c r="V369" s="2283">
        <v>0.5</v>
      </c>
      <c r="W369" s="2283">
        <v>0.5</v>
      </c>
      <c r="X369" s="2283">
        <v>2.5</v>
      </c>
      <c r="Y369" s="2283">
        <v>0.9</v>
      </c>
      <c r="Z369" s="2283">
        <v>2.5</v>
      </c>
      <c r="AA369" s="2283">
        <v>0</v>
      </c>
      <c r="AB369" s="2283">
        <v>0.75</v>
      </c>
      <c r="AC369" s="2283">
        <v>1.5</v>
      </c>
      <c r="AD369" s="2283">
        <v>6</v>
      </c>
      <c r="AE369" s="2285">
        <v>0.5</v>
      </c>
      <c r="AF369" s="2285">
        <v>2</v>
      </c>
      <c r="AG369" s="139" t="s">
        <v>505</v>
      </c>
    </row>
    <row r="370" spans="2:34" ht="26.25" thickBot="1" x14ac:dyDescent="0.25">
      <c r="B370" s="1109" t="str">
        <f>'TRAD-Calculs pédiatriques'!B5</f>
        <v>Schéma thérapeutique</v>
      </c>
      <c r="C370" s="1114" t="str">
        <f>'TRAD-Calculs pédiatriques'!B7</f>
        <v>Premières lignes</v>
      </c>
      <c r="D370" s="1112"/>
      <c r="E370" s="1112"/>
      <c r="F370" s="1112"/>
      <c r="G370" s="1112"/>
      <c r="H370" s="1112"/>
      <c r="I370" s="1112"/>
      <c r="J370" s="1112"/>
      <c r="K370" s="1112"/>
      <c r="L370" s="1183"/>
      <c r="M370" s="1112"/>
      <c r="N370" s="1112"/>
      <c r="O370" s="1112"/>
      <c r="P370" s="1112"/>
      <c r="Q370" s="1183"/>
      <c r="R370" s="1112"/>
      <c r="S370" s="1112"/>
      <c r="T370" s="1112"/>
      <c r="U370" s="1112"/>
      <c r="V370" s="1112"/>
      <c r="W370" s="1112"/>
      <c r="X370" s="1112"/>
      <c r="Y370" s="1112"/>
      <c r="Z370" s="1112"/>
      <c r="AA370" s="1112"/>
      <c r="AB370" s="1112"/>
      <c r="AC370" s="1112"/>
      <c r="AD370" s="1112"/>
      <c r="AE370" s="1113"/>
      <c r="AF370" s="1112"/>
      <c r="AG370" s="1101"/>
      <c r="AH370" s="1143"/>
    </row>
    <row r="371" spans="2:34" x14ac:dyDescent="0.2">
      <c r="C371" s="1115" t="str">
        <f>'Saisie données file act.'!D568</f>
        <v>ABC+3TC+LPV/r</v>
      </c>
      <c r="D371" s="2298">
        <f>'Saisie données file act.'!E568</f>
        <v>0</v>
      </c>
      <c r="E371" s="2298">
        <f>'Saisie données file act.'!F568</f>
        <v>0</v>
      </c>
      <c r="F371" s="2298">
        <f>'Saisie données file act.'!G568</f>
        <v>0</v>
      </c>
      <c r="G371" s="2298">
        <f>'Saisie données file act.'!H568</f>
        <v>0</v>
      </c>
      <c r="H371" s="2298">
        <f>'Saisie données file act.'!I568</f>
        <v>0</v>
      </c>
      <c r="I371" s="2298">
        <f>'Saisie données file act.'!J568</f>
        <v>0</v>
      </c>
      <c r="J371" s="2298">
        <f>'Saisie données file act.'!K568</f>
        <v>0</v>
      </c>
      <c r="K371" s="2298">
        <f>'Saisie données file act.'!L568</f>
        <v>0</v>
      </c>
      <c r="L371" s="2299">
        <f>'Saisie données file act.'!M568</f>
        <v>0</v>
      </c>
      <c r="M371" s="2298">
        <f>'Saisie données file act.'!N568</f>
        <v>0</v>
      </c>
      <c r="N371" s="2298">
        <f>'Saisie données file act.'!O568</f>
        <v>0</v>
      </c>
      <c r="O371" s="2298">
        <f>'Saisie données file act.'!P568</f>
        <v>0</v>
      </c>
      <c r="P371" s="2298">
        <f>'Saisie données file act.'!Q568</f>
        <v>0</v>
      </c>
      <c r="Q371" s="2299">
        <f>'Saisie données file act.'!R568</f>
        <v>0</v>
      </c>
      <c r="R371" s="2298">
        <f>'Saisie données file act.'!S568</f>
        <v>0</v>
      </c>
      <c r="S371" s="2298">
        <f>'Saisie données file act.'!T568</f>
        <v>0</v>
      </c>
      <c r="T371" s="2298">
        <f>'Saisie données file act.'!U568</f>
        <v>0</v>
      </c>
      <c r="U371" s="2298">
        <f>'Saisie données file act.'!V568</f>
        <v>0</v>
      </c>
      <c r="V371" s="2298">
        <f>'Saisie données file act.'!W568</f>
        <v>0</v>
      </c>
      <c r="W371" s="2298">
        <f>'Saisie données file act.'!X568</f>
        <v>0</v>
      </c>
      <c r="X371" s="2298">
        <f>'Saisie données file act.'!Y568</f>
        <v>0</v>
      </c>
      <c r="Y371" s="2298">
        <f>'Saisie données file act.'!Z568</f>
        <v>0</v>
      </c>
      <c r="Z371" s="2298">
        <f>'Saisie données file act.'!AA568</f>
        <v>0</v>
      </c>
      <c r="AA371" s="2298">
        <f>'Saisie données file act.'!AB568</f>
        <v>0</v>
      </c>
      <c r="AB371" s="2298">
        <f>'Saisie données file act.'!AC568</f>
        <v>0</v>
      </c>
      <c r="AC371" s="2298">
        <f>'Saisie données file act.'!AD568</f>
        <v>0</v>
      </c>
      <c r="AD371" s="2298">
        <f>'Saisie données file act.'!AE568</f>
        <v>0</v>
      </c>
      <c r="AE371" s="2300">
        <f>'Saisie données file act.'!AF568</f>
        <v>0</v>
      </c>
      <c r="AF371" s="2298">
        <f>'Saisie données file act.'!AG568</f>
        <v>0</v>
      </c>
      <c r="AG371" s="1177">
        <f t="shared" ref="AG371:AG376" si="87">H107</f>
        <v>0</v>
      </c>
      <c r="AH371" s="1152">
        <f t="shared" ref="AH371:AH376" si="88">H136</f>
        <v>0</v>
      </c>
    </row>
    <row r="372" spans="2:34" x14ac:dyDescent="0.2">
      <c r="C372" s="1115" t="str">
        <f>'Saisie données file act.'!D569</f>
        <v>ABC+3TC+EFV</v>
      </c>
      <c r="D372" s="2298">
        <f>'Saisie données file act.'!E569</f>
        <v>0</v>
      </c>
      <c r="E372" s="2298">
        <f>'Saisie données file act.'!F569</f>
        <v>0</v>
      </c>
      <c r="F372" s="2298">
        <f>'Saisie données file act.'!G569</f>
        <v>0</v>
      </c>
      <c r="G372" s="2298">
        <f>'Saisie données file act.'!H569</f>
        <v>0</v>
      </c>
      <c r="H372" s="2298">
        <f>'Saisie données file act.'!I569</f>
        <v>0</v>
      </c>
      <c r="I372" s="2298">
        <f>'Saisie données file act.'!J569</f>
        <v>0</v>
      </c>
      <c r="J372" s="2298">
        <f>'Saisie données file act.'!K569</f>
        <v>0</v>
      </c>
      <c r="K372" s="2298">
        <f>'Saisie données file act.'!L569</f>
        <v>0</v>
      </c>
      <c r="L372" s="2299">
        <f>'Saisie données file act.'!M569</f>
        <v>0</v>
      </c>
      <c r="M372" s="2298">
        <f>'Saisie données file act.'!N569</f>
        <v>0</v>
      </c>
      <c r="N372" s="2298">
        <f>'Saisie données file act.'!O569</f>
        <v>0</v>
      </c>
      <c r="O372" s="2298">
        <f>'Saisie données file act.'!P569</f>
        <v>0</v>
      </c>
      <c r="P372" s="2298">
        <f>'Saisie données file act.'!Q569</f>
        <v>0</v>
      </c>
      <c r="Q372" s="2299">
        <f>'Saisie données file act.'!R569</f>
        <v>0</v>
      </c>
      <c r="R372" s="2298">
        <f>'Saisie données file act.'!S569</f>
        <v>0</v>
      </c>
      <c r="S372" s="2298">
        <f>'Saisie données file act.'!T569</f>
        <v>0</v>
      </c>
      <c r="T372" s="2298">
        <f>'Saisie données file act.'!U569</f>
        <v>0</v>
      </c>
      <c r="U372" s="2298">
        <f>'Saisie données file act.'!V569</f>
        <v>0</v>
      </c>
      <c r="V372" s="2298">
        <f>'Saisie données file act.'!W569</f>
        <v>0</v>
      </c>
      <c r="W372" s="2298">
        <f>'Saisie données file act.'!X569</f>
        <v>0</v>
      </c>
      <c r="X372" s="2298">
        <f>'Saisie données file act.'!Y569</f>
        <v>0</v>
      </c>
      <c r="Y372" s="2298">
        <f>'Saisie données file act.'!Z569</f>
        <v>0</v>
      </c>
      <c r="Z372" s="2298">
        <f>'Saisie données file act.'!AA569</f>
        <v>0</v>
      </c>
      <c r="AA372" s="2298">
        <f>'Saisie données file act.'!AB569</f>
        <v>0</v>
      </c>
      <c r="AB372" s="2298">
        <f>'Saisie données file act.'!AC569</f>
        <v>0</v>
      </c>
      <c r="AC372" s="2298">
        <f>'Saisie données file act.'!AD569</f>
        <v>0</v>
      </c>
      <c r="AD372" s="2298">
        <f>'Saisie données file act.'!AE569</f>
        <v>0</v>
      </c>
      <c r="AE372" s="2300">
        <f>'Saisie données file act.'!AF569</f>
        <v>0</v>
      </c>
      <c r="AF372" s="2298">
        <f>'Saisie données file act.'!AG569</f>
        <v>0</v>
      </c>
      <c r="AG372" s="1178">
        <f t="shared" si="87"/>
        <v>0</v>
      </c>
      <c r="AH372" s="1154">
        <f t="shared" si="88"/>
        <v>0</v>
      </c>
    </row>
    <row r="373" spans="2:34" x14ac:dyDescent="0.2">
      <c r="C373" s="1115" t="str">
        <f>'Saisie données file act.'!D570</f>
        <v>ABC+3TC+AZT</v>
      </c>
      <c r="D373" s="2298">
        <f>'Saisie données file act.'!E570</f>
        <v>0</v>
      </c>
      <c r="E373" s="2298">
        <f>'Saisie données file act.'!F570</f>
        <v>0</v>
      </c>
      <c r="F373" s="2298">
        <f>'Saisie données file act.'!G570</f>
        <v>0</v>
      </c>
      <c r="G373" s="2298">
        <f>'Saisie données file act.'!H570</f>
        <v>0</v>
      </c>
      <c r="H373" s="2298">
        <f>'Saisie données file act.'!I570</f>
        <v>0</v>
      </c>
      <c r="I373" s="2298">
        <f>'Saisie données file act.'!J570</f>
        <v>0</v>
      </c>
      <c r="J373" s="2298">
        <f>'Saisie données file act.'!K570</f>
        <v>0</v>
      </c>
      <c r="K373" s="2298">
        <f>'Saisie données file act.'!L570</f>
        <v>0</v>
      </c>
      <c r="L373" s="2299">
        <f>'Saisie données file act.'!M570</f>
        <v>0</v>
      </c>
      <c r="M373" s="2298">
        <f>'Saisie données file act.'!N570</f>
        <v>0</v>
      </c>
      <c r="N373" s="2298">
        <f>'Saisie données file act.'!O570</f>
        <v>0</v>
      </c>
      <c r="O373" s="2298">
        <f>'Saisie données file act.'!P570</f>
        <v>0</v>
      </c>
      <c r="P373" s="2298">
        <f>'Saisie données file act.'!Q570</f>
        <v>0</v>
      </c>
      <c r="Q373" s="2299">
        <f>'Saisie données file act.'!R570</f>
        <v>0</v>
      </c>
      <c r="R373" s="2298">
        <f>'Saisie données file act.'!S570</f>
        <v>0</v>
      </c>
      <c r="S373" s="2298">
        <f>'Saisie données file act.'!T570</f>
        <v>0</v>
      </c>
      <c r="T373" s="2298">
        <f>'Saisie données file act.'!U570</f>
        <v>0</v>
      </c>
      <c r="U373" s="2298">
        <f>'Saisie données file act.'!V570</f>
        <v>0</v>
      </c>
      <c r="V373" s="2298">
        <f>'Saisie données file act.'!W570</f>
        <v>0</v>
      </c>
      <c r="W373" s="2298">
        <f>'Saisie données file act.'!X570</f>
        <v>0</v>
      </c>
      <c r="X373" s="2298">
        <f>'Saisie données file act.'!Y570</f>
        <v>0</v>
      </c>
      <c r="Y373" s="2298">
        <f>'Saisie données file act.'!Z570</f>
        <v>0</v>
      </c>
      <c r="Z373" s="2298">
        <f>'Saisie données file act.'!AA570</f>
        <v>0</v>
      </c>
      <c r="AA373" s="2298">
        <f>'Saisie données file act.'!AB570</f>
        <v>0</v>
      </c>
      <c r="AB373" s="2298">
        <f>'Saisie données file act.'!AC570</f>
        <v>0</v>
      </c>
      <c r="AC373" s="2298">
        <f>'Saisie données file act.'!AD570</f>
        <v>0</v>
      </c>
      <c r="AD373" s="2298">
        <f>'Saisie données file act.'!AE570</f>
        <v>0</v>
      </c>
      <c r="AE373" s="2300">
        <f>'Saisie données file act.'!AF570</f>
        <v>0</v>
      </c>
      <c r="AF373" s="2298">
        <f>'Saisie données file act.'!AG570</f>
        <v>0</v>
      </c>
      <c r="AG373" s="1178">
        <f t="shared" si="87"/>
        <v>0</v>
      </c>
      <c r="AH373" s="1154">
        <f t="shared" si="88"/>
        <v>0</v>
      </c>
    </row>
    <row r="374" spans="2:34" x14ac:dyDescent="0.2">
      <c r="C374" s="1115">
        <f>'Saisie données file act.'!D571</f>
        <v>0</v>
      </c>
      <c r="D374" s="2298">
        <f>'Saisie données file act.'!E571</f>
        <v>0</v>
      </c>
      <c r="E374" s="2298">
        <f>'Saisie données file act.'!F571</f>
        <v>0</v>
      </c>
      <c r="F374" s="2298">
        <f>'Saisie données file act.'!G571</f>
        <v>0</v>
      </c>
      <c r="G374" s="2298">
        <f>'Saisie données file act.'!H571</f>
        <v>0</v>
      </c>
      <c r="H374" s="2298">
        <f>'Saisie données file act.'!I571</f>
        <v>0</v>
      </c>
      <c r="I374" s="2298">
        <f>'Saisie données file act.'!J571</f>
        <v>0</v>
      </c>
      <c r="J374" s="2298">
        <f>'Saisie données file act.'!K571</f>
        <v>0</v>
      </c>
      <c r="K374" s="2298">
        <f>'Saisie données file act.'!L571</f>
        <v>0</v>
      </c>
      <c r="L374" s="2299">
        <f>'Saisie données file act.'!M571</f>
        <v>0</v>
      </c>
      <c r="M374" s="2298">
        <f>'Saisie données file act.'!N571</f>
        <v>0</v>
      </c>
      <c r="N374" s="2298">
        <f>'Saisie données file act.'!O571</f>
        <v>0</v>
      </c>
      <c r="O374" s="2298">
        <f>'Saisie données file act.'!P571</f>
        <v>0</v>
      </c>
      <c r="P374" s="2298">
        <f>'Saisie données file act.'!Q571</f>
        <v>0</v>
      </c>
      <c r="Q374" s="2299">
        <f>'Saisie données file act.'!R571</f>
        <v>0</v>
      </c>
      <c r="R374" s="2298">
        <f>'Saisie données file act.'!S571</f>
        <v>0</v>
      </c>
      <c r="S374" s="2298">
        <f>'Saisie données file act.'!T571</f>
        <v>0</v>
      </c>
      <c r="T374" s="2298">
        <f>'Saisie données file act.'!U571</f>
        <v>0</v>
      </c>
      <c r="U374" s="2298">
        <f>'Saisie données file act.'!V571</f>
        <v>0</v>
      </c>
      <c r="V374" s="2298">
        <f>'Saisie données file act.'!W571</f>
        <v>0</v>
      </c>
      <c r="W374" s="2298">
        <f>'Saisie données file act.'!X571</f>
        <v>0</v>
      </c>
      <c r="X374" s="2298">
        <f>'Saisie données file act.'!Y571</f>
        <v>0</v>
      </c>
      <c r="Y374" s="2298">
        <f>'Saisie données file act.'!Z571</f>
        <v>0</v>
      </c>
      <c r="Z374" s="2298">
        <f>'Saisie données file act.'!AA571</f>
        <v>0</v>
      </c>
      <c r="AA374" s="2298">
        <f>'Saisie données file act.'!AB571</f>
        <v>0</v>
      </c>
      <c r="AB374" s="2298">
        <f>'Saisie données file act.'!AC571</f>
        <v>0</v>
      </c>
      <c r="AC374" s="2298">
        <f>'Saisie données file act.'!AD571</f>
        <v>0</v>
      </c>
      <c r="AD374" s="2298">
        <f>'Saisie données file act.'!AE571</f>
        <v>0</v>
      </c>
      <c r="AE374" s="2300">
        <f>'Saisie données file act.'!AF571</f>
        <v>0</v>
      </c>
      <c r="AF374" s="2298">
        <f>'Saisie données file act.'!AG571</f>
        <v>0</v>
      </c>
      <c r="AG374" s="1178">
        <f t="shared" si="87"/>
        <v>0</v>
      </c>
      <c r="AH374" s="1154">
        <f t="shared" si="88"/>
        <v>0</v>
      </c>
    </row>
    <row r="375" spans="2:34" x14ac:dyDescent="0.2">
      <c r="C375" s="1115">
        <f>'Saisie données file act.'!D572</f>
        <v>0</v>
      </c>
      <c r="D375" s="2298">
        <f>'Saisie données file act.'!E572</f>
        <v>0</v>
      </c>
      <c r="E375" s="2298">
        <f>'Saisie données file act.'!F572</f>
        <v>0</v>
      </c>
      <c r="F375" s="2298">
        <f>'Saisie données file act.'!G572</f>
        <v>0</v>
      </c>
      <c r="G375" s="2298">
        <f>'Saisie données file act.'!H572</f>
        <v>0</v>
      </c>
      <c r="H375" s="2298">
        <f>'Saisie données file act.'!I572</f>
        <v>0</v>
      </c>
      <c r="I375" s="2298">
        <f>'Saisie données file act.'!J572</f>
        <v>0</v>
      </c>
      <c r="J375" s="2298">
        <f>'Saisie données file act.'!K572</f>
        <v>0</v>
      </c>
      <c r="K375" s="2298">
        <f>'Saisie données file act.'!L572</f>
        <v>0</v>
      </c>
      <c r="L375" s="2299">
        <f>'Saisie données file act.'!M572</f>
        <v>0</v>
      </c>
      <c r="M375" s="2298">
        <f>'Saisie données file act.'!N572</f>
        <v>0</v>
      </c>
      <c r="N375" s="2298">
        <f>'Saisie données file act.'!O572</f>
        <v>0</v>
      </c>
      <c r="O375" s="2298">
        <f>'Saisie données file act.'!P572</f>
        <v>0</v>
      </c>
      <c r="P375" s="2298">
        <f>'Saisie données file act.'!Q572</f>
        <v>0</v>
      </c>
      <c r="Q375" s="2299">
        <f>'Saisie données file act.'!R572</f>
        <v>0</v>
      </c>
      <c r="R375" s="2298">
        <f>'Saisie données file act.'!S572</f>
        <v>0</v>
      </c>
      <c r="S375" s="2298">
        <f>'Saisie données file act.'!T572</f>
        <v>0</v>
      </c>
      <c r="T375" s="2298">
        <f>'Saisie données file act.'!U572</f>
        <v>0</v>
      </c>
      <c r="U375" s="2298">
        <f>'Saisie données file act.'!V572</f>
        <v>0</v>
      </c>
      <c r="V375" s="2298">
        <f>'Saisie données file act.'!W572</f>
        <v>0</v>
      </c>
      <c r="W375" s="2298">
        <f>'Saisie données file act.'!X572</f>
        <v>0</v>
      </c>
      <c r="X375" s="2298">
        <f>'Saisie données file act.'!Y572</f>
        <v>0</v>
      </c>
      <c r="Y375" s="2298">
        <f>'Saisie données file act.'!Z572</f>
        <v>0</v>
      </c>
      <c r="Z375" s="2298">
        <f>'Saisie données file act.'!AA572</f>
        <v>0</v>
      </c>
      <c r="AA375" s="2298">
        <f>'Saisie données file act.'!AB572</f>
        <v>0</v>
      </c>
      <c r="AB375" s="2298">
        <f>'Saisie données file act.'!AC572</f>
        <v>0</v>
      </c>
      <c r="AC375" s="2298">
        <f>'Saisie données file act.'!AD572</f>
        <v>0</v>
      </c>
      <c r="AD375" s="2298">
        <f>'Saisie données file act.'!AE572</f>
        <v>0</v>
      </c>
      <c r="AE375" s="2300">
        <f>'Saisie données file act.'!AF572</f>
        <v>0</v>
      </c>
      <c r="AF375" s="2298">
        <f>'Saisie données file act.'!AG572</f>
        <v>0</v>
      </c>
      <c r="AG375" s="1179">
        <f t="shared" si="87"/>
        <v>0</v>
      </c>
      <c r="AH375" s="1156">
        <f t="shared" si="88"/>
        <v>0</v>
      </c>
    </row>
    <row r="376" spans="2:34" ht="13.5" thickBot="1" x14ac:dyDescent="0.25">
      <c r="C376" s="1115">
        <f>'Saisie données file act.'!D573</f>
        <v>0</v>
      </c>
      <c r="D376" s="2298">
        <f>'Saisie données file act.'!E573</f>
        <v>0</v>
      </c>
      <c r="E376" s="2298">
        <f>'Saisie données file act.'!F573</f>
        <v>0</v>
      </c>
      <c r="F376" s="2298">
        <f>'Saisie données file act.'!G573</f>
        <v>0</v>
      </c>
      <c r="G376" s="2298">
        <f>'Saisie données file act.'!H573</f>
        <v>0</v>
      </c>
      <c r="H376" s="2298">
        <f>'Saisie données file act.'!I573</f>
        <v>0</v>
      </c>
      <c r="I376" s="2298">
        <f>'Saisie données file act.'!J573</f>
        <v>0</v>
      </c>
      <c r="J376" s="2298">
        <f>'Saisie données file act.'!K573</f>
        <v>0</v>
      </c>
      <c r="K376" s="2298">
        <f>'Saisie données file act.'!L573</f>
        <v>0</v>
      </c>
      <c r="L376" s="2299">
        <f>'Saisie données file act.'!M573</f>
        <v>0</v>
      </c>
      <c r="M376" s="2298">
        <f>'Saisie données file act.'!N573</f>
        <v>0</v>
      </c>
      <c r="N376" s="2298">
        <f>'Saisie données file act.'!O573</f>
        <v>0</v>
      </c>
      <c r="O376" s="2298">
        <f>'Saisie données file act.'!P573</f>
        <v>0</v>
      </c>
      <c r="P376" s="2298">
        <f>'Saisie données file act.'!Q573</f>
        <v>0</v>
      </c>
      <c r="Q376" s="2299">
        <f>'Saisie données file act.'!R573</f>
        <v>0</v>
      </c>
      <c r="R376" s="2298">
        <f>'Saisie données file act.'!S573</f>
        <v>0</v>
      </c>
      <c r="S376" s="2298">
        <f>'Saisie données file act.'!T573</f>
        <v>0</v>
      </c>
      <c r="T376" s="2298">
        <f>'Saisie données file act.'!U573</f>
        <v>0</v>
      </c>
      <c r="U376" s="2298">
        <f>'Saisie données file act.'!V573</f>
        <v>0</v>
      </c>
      <c r="V376" s="2298">
        <f>'Saisie données file act.'!W573</f>
        <v>0</v>
      </c>
      <c r="W376" s="2298">
        <f>'Saisie données file act.'!X573</f>
        <v>0</v>
      </c>
      <c r="X376" s="2298">
        <f>'Saisie données file act.'!Y573</f>
        <v>0</v>
      </c>
      <c r="Y376" s="2298">
        <f>'Saisie données file act.'!Z573</f>
        <v>0</v>
      </c>
      <c r="Z376" s="2298">
        <f>'Saisie données file act.'!AA573</f>
        <v>0</v>
      </c>
      <c r="AA376" s="2298">
        <f>'Saisie données file act.'!AB573</f>
        <v>0</v>
      </c>
      <c r="AB376" s="2298">
        <f>'Saisie données file act.'!AC573</f>
        <v>0</v>
      </c>
      <c r="AC376" s="2298">
        <f>'Saisie données file act.'!AD573</f>
        <v>0</v>
      </c>
      <c r="AD376" s="2298">
        <f>'Saisie données file act.'!AE573</f>
        <v>0</v>
      </c>
      <c r="AE376" s="2300">
        <f>'Saisie données file act.'!AF573</f>
        <v>0</v>
      </c>
      <c r="AF376" s="2298">
        <f>'Saisie données file act.'!AG573</f>
        <v>0</v>
      </c>
      <c r="AG376" s="1180">
        <f t="shared" si="87"/>
        <v>0</v>
      </c>
      <c r="AH376" s="1158">
        <f t="shared" si="88"/>
        <v>0</v>
      </c>
    </row>
    <row r="377" spans="2:34" ht="13.5" thickBot="1" x14ac:dyDescent="0.25">
      <c r="C377" s="1114" t="str">
        <f>'Saisie données file act.'!D574</f>
        <v>Deuxièmes lignes</v>
      </c>
      <c r="D377" s="2301">
        <f>'Saisie données file act.'!E574</f>
        <v>0</v>
      </c>
      <c r="E377" s="2301">
        <f>'Saisie données file act.'!F574</f>
        <v>0</v>
      </c>
      <c r="F377" s="2301">
        <f>'Saisie données file act.'!G574</f>
        <v>0</v>
      </c>
      <c r="G377" s="2301">
        <f>'Saisie données file act.'!H574</f>
        <v>0</v>
      </c>
      <c r="H377" s="2301">
        <f>'Saisie données file act.'!I574</f>
        <v>0</v>
      </c>
      <c r="I377" s="2301">
        <f>'Saisie données file act.'!J574</f>
        <v>0</v>
      </c>
      <c r="J377" s="2301">
        <f>'Saisie données file act.'!K574</f>
        <v>0</v>
      </c>
      <c r="K377" s="2301">
        <f>'Saisie données file act.'!L574</f>
        <v>0</v>
      </c>
      <c r="L377" s="2302">
        <f>'Saisie données file act.'!M574</f>
        <v>0</v>
      </c>
      <c r="M377" s="2301">
        <f>'Saisie données file act.'!N574</f>
        <v>0</v>
      </c>
      <c r="N377" s="2301">
        <f>'Saisie données file act.'!O574</f>
        <v>0</v>
      </c>
      <c r="O377" s="2301">
        <f>'Saisie données file act.'!P574</f>
        <v>0</v>
      </c>
      <c r="P377" s="2301">
        <f>'Saisie données file act.'!Q574</f>
        <v>0</v>
      </c>
      <c r="Q377" s="2302">
        <f>'Saisie données file act.'!R574</f>
        <v>0</v>
      </c>
      <c r="R377" s="2301">
        <f>'Saisie données file act.'!S574</f>
        <v>0</v>
      </c>
      <c r="S377" s="2301">
        <f>'Saisie données file act.'!T574</f>
        <v>0</v>
      </c>
      <c r="T377" s="2301">
        <f>'Saisie données file act.'!U574</f>
        <v>0</v>
      </c>
      <c r="U377" s="2301">
        <f>'Saisie données file act.'!V574</f>
        <v>0</v>
      </c>
      <c r="V377" s="2301">
        <f>'Saisie données file act.'!W574</f>
        <v>0</v>
      </c>
      <c r="W377" s="2301">
        <f>'Saisie données file act.'!X574</f>
        <v>0</v>
      </c>
      <c r="X377" s="2301">
        <f>'Saisie données file act.'!Y574</f>
        <v>0</v>
      </c>
      <c r="Y377" s="2301">
        <f>'Saisie données file act.'!Z574</f>
        <v>0</v>
      </c>
      <c r="Z377" s="2301">
        <f>'Saisie données file act.'!AA574</f>
        <v>0</v>
      </c>
      <c r="AA377" s="2301">
        <f>'Saisie données file act.'!AB574</f>
        <v>0</v>
      </c>
      <c r="AB377" s="2301">
        <f>'Saisie données file act.'!AC574</f>
        <v>0</v>
      </c>
      <c r="AC377" s="2301">
        <f>'Saisie données file act.'!AD574</f>
        <v>0</v>
      </c>
      <c r="AD377" s="2301">
        <f>'Saisie données file act.'!AE574</f>
        <v>0</v>
      </c>
      <c r="AE377" s="2303">
        <f>'Saisie données file act.'!AF574</f>
        <v>0</v>
      </c>
      <c r="AF377" s="2301">
        <f>'Saisie données file act.'!AG574</f>
        <v>0</v>
      </c>
      <c r="AG377" s="1101"/>
      <c r="AH377" s="1143"/>
    </row>
    <row r="378" spans="2:34" ht="13.5" thickBot="1" x14ac:dyDescent="0.25">
      <c r="C378" s="1110" t="str">
        <f>'Saisie données file act.'!D575</f>
        <v>AZT+3TC+LPV/r</v>
      </c>
      <c r="D378" s="2298">
        <f>'Saisie données file act.'!E575</f>
        <v>0</v>
      </c>
      <c r="E378" s="2298">
        <f>'Saisie données file act.'!F575</f>
        <v>0</v>
      </c>
      <c r="F378" s="2298">
        <f>'Saisie données file act.'!G575</f>
        <v>0</v>
      </c>
      <c r="G378" s="2298">
        <f>'Saisie données file act.'!H575</f>
        <v>0</v>
      </c>
      <c r="H378" s="2298">
        <f>'Saisie données file act.'!I575</f>
        <v>0</v>
      </c>
      <c r="I378" s="2298">
        <f>'Saisie données file act.'!J575</f>
        <v>0</v>
      </c>
      <c r="J378" s="2298">
        <f>'Saisie données file act.'!K575</f>
        <v>0</v>
      </c>
      <c r="K378" s="2298">
        <f>'Saisie données file act.'!L575</f>
        <v>0</v>
      </c>
      <c r="L378" s="2299">
        <f>'Saisie données file act.'!M575</f>
        <v>0</v>
      </c>
      <c r="M378" s="2298">
        <f>'Saisie données file act.'!N575</f>
        <v>0</v>
      </c>
      <c r="N378" s="2298">
        <f>'Saisie données file act.'!O575</f>
        <v>0</v>
      </c>
      <c r="O378" s="2298">
        <f>'Saisie données file act.'!P575</f>
        <v>0</v>
      </c>
      <c r="P378" s="2298">
        <f>'Saisie données file act.'!Q575</f>
        <v>0</v>
      </c>
      <c r="Q378" s="2299">
        <f>'Saisie données file act.'!R575</f>
        <v>0</v>
      </c>
      <c r="R378" s="2298">
        <f>'Saisie données file act.'!S575</f>
        <v>0</v>
      </c>
      <c r="S378" s="2298">
        <f>'Saisie données file act.'!T575</f>
        <v>0</v>
      </c>
      <c r="T378" s="2298">
        <f>'Saisie données file act.'!U575</f>
        <v>0</v>
      </c>
      <c r="U378" s="2298">
        <f>'Saisie données file act.'!V575</f>
        <v>0</v>
      </c>
      <c r="V378" s="2298">
        <f>'Saisie données file act.'!W575</f>
        <v>0</v>
      </c>
      <c r="W378" s="2298">
        <f>'Saisie données file act.'!X575</f>
        <v>0</v>
      </c>
      <c r="X378" s="2298">
        <f>'Saisie données file act.'!Y575</f>
        <v>0</v>
      </c>
      <c r="Y378" s="2298">
        <f>'Saisie données file act.'!Z575</f>
        <v>0</v>
      </c>
      <c r="Z378" s="2298">
        <f>'Saisie données file act.'!AA575</f>
        <v>0</v>
      </c>
      <c r="AA378" s="2298">
        <f>'Saisie données file act.'!AB575</f>
        <v>0</v>
      </c>
      <c r="AB378" s="2298">
        <f>'Saisie données file act.'!AC575</f>
        <v>0</v>
      </c>
      <c r="AC378" s="2298">
        <f>'Saisie données file act.'!AD575</f>
        <v>0</v>
      </c>
      <c r="AD378" s="2298">
        <f>'Saisie données file act.'!AE575</f>
        <v>0</v>
      </c>
      <c r="AE378" s="2300">
        <f>'Saisie données file act.'!AF575</f>
        <v>0</v>
      </c>
      <c r="AF378" s="2298">
        <f>'Saisie données file act.'!AG575</f>
        <v>0</v>
      </c>
      <c r="AG378" s="209">
        <f>H114</f>
        <v>0</v>
      </c>
      <c r="AH378" s="1145">
        <f>H143</f>
        <v>0</v>
      </c>
    </row>
    <row r="379" spans="2:34" x14ac:dyDescent="0.2">
      <c r="C379" s="1115">
        <f>'Saisie données file act.'!D576</f>
        <v>0</v>
      </c>
      <c r="D379" s="2298">
        <f>'Saisie données file act.'!E576</f>
        <v>0</v>
      </c>
      <c r="E379" s="2298">
        <f>'Saisie données file act.'!F576</f>
        <v>0</v>
      </c>
      <c r="F379" s="2298">
        <f>'Saisie données file act.'!G576</f>
        <v>0</v>
      </c>
      <c r="G379" s="2298">
        <f>'Saisie données file act.'!H576</f>
        <v>0</v>
      </c>
      <c r="H379" s="2298">
        <f>'Saisie données file act.'!I576</f>
        <v>0</v>
      </c>
      <c r="I379" s="2298">
        <f>'Saisie données file act.'!J576</f>
        <v>0</v>
      </c>
      <c r="J379" s="2298">
        <f>'Saisie données file act.'!K576</f>
        <v>0</v>
      </c>
      <c r="K379" s="2298">
        <f>'Saisie données file act.'!L576</f>
        <v>0</v>
      </c>
      <c r="L379" s="2299">
        <f>'Saisie données file act.'!M576</f>
        <v>0</v>
      </c>
      <c r="M379" s="2298">
        <f>'Saisie données file act.'!N576</f>
        <v>0</v>
      </c>
      <c r="N379" s="2298">
        <f>'Saisie données file act.'!O576</f>
        <v>0</v>
      </c>
      <c r="O379" s="2298">
        <f>'Saisie données file act.'!P576</f>
        <v>0</v>
      </c>
      <c r="P379" s="2298">
        <f>'Saisie données file act.'!Q576</f>
        <v>0</v>
      </c>
      <c r="Q379" s="2299">
        <f>'Saisie données file act.'!R576</f>
        <v>0</v>
      </c>
      <c r="R379" s="2298">
        <f>'Saisie données file act.'!S576</f>
        <v>0</v>
      </c>
      <c r="S379" s="2298">
        <f>'Saisie données file act.'!T576</f>
        <v>0</v>
      </c>
      <c r="T379" s="2298">
        <f>'Saisie données file act.'!U576</f>
        <v>0</v>
      </c>
      <c r="U379" s="2298">
        <f>'Saisie données file act.'!V576</f>
        <v>0</v>
      </c>
      <c r="V379" s="2298">
        <f>'Saisie données file act.'!W576</f>
        <v>0</v>
      </c>
      <c r="W379" s="2298">
        <f>'Saisie données file act.'!X576</f>
        <v>0</v>
      </c>
      <c r="X379" s="2298">
        <f>'Saisie données file act.'!Y576</f>
        <v>0</v>
      </c>
      <c r="Y379" s="2298">
        <f>'Saisie données file act.'!Z576</f>
        <v>0</v>
      </c>
      <c r="Z379" s="2298">
        <f>'Saisie données file act.'!AA576</f>
        <v>0</v>
      </c>
      <c r="AA379" s="2298">
        <f>'Saisie données file act.'!AB576</f>
        <v>0</v>
      </c>
      <c r="AB379" s="2298">
        <f>'Saisie données file act.'!AC576</f>
        <v>0</v>
      </c>
      <c r="AC379" s="2298">
        <f>'Saisie données file act.'!AD576</f>
        <v>0</v>
      </c>
      <c r="AD379" s="2298">
        <f>'Saisie données file act.'!AE576</f>
        <v>0</v>
      </c>
      <c r="AE379" s="2300">
        <f>'Saisie données file act.'!AF576</f>
        <v>0</v>
      </c>
      <c r="AF379" s="2298">
        <f>'Saisie données file act.'!AG576</f>
        <v>0</v>
      </c>
      <c r="AG379" s="1177">
        <f>H115</f>
        <v>0</v>
      </c>
      <c r="AH379" s="1152">
        <f>H144</f>
        <v>0</v>
      </c>
    </row>
    <row r="380" spans="2:34" x14ac:dyDescent="0.2">
      <c r="C380" s="1115">
        <f>'Saisie données file act.'!D577</f>
        <v>0</v>
      </c>
      <c r="D380" s="2298">
        <f>'Saisie données file act.'!E577</f>
        <v>0</v>
      </c>
      <c r="E380" s="2298">
        <f>'Saisie données file act.'!F577</f>
        <v>0</v>
      </c>
      <c r="F380" s="2298">
        <f>'Saisie données file act.'!G577</f>
        <v>0</v>
      </c>
      <c r="G380" s="2298">
        <f>'Saisie données file act.'!H577</f>
        <v>0</v>
      </c>
      <c r="H380" s="2298">
        <f>'Saisie données file act.'!I577</f>
        <v>0</v>
      </c>
      <c r="I380" s="2298">
        <f>'Saisie données file act.'!J577</f>
        <v>0</v>
      </c>
      <c r="J380" s="2298">
        <f>'Saisie données file act.'!K577</f>
        <v>0</v>
      </c>
      <c r="K380" s="2298">
        <f>'Saisie données file act.'!L577</f>
        <v>0</v>
      </c>
      <c r="L380" s="2299">
        <f>'Saisie données file act.'!M577</f>
        <v>0</v>
      </c>
      <c r="M380" s="2298">
        <f>'Saisie données file act.'!N577</f>
        <v>0</v>
      </c>
      <c r="N380" s="2298">
        <f>'Saisie données file act.'!O577</f>
        <v>0</v>
      </c>
      <c r="O380" s="2298">
        <f>'Saisie données file act.'!P577</f>
        <v>0</v>
      </c>
      <c r="P380" s="2298">
        <f>'Saisie données file act.'!Q577</f>
        <v>0</v>
      </c>
      <c r="Q380" s="2299">
        <f>'Saisie données file act.'!R577</f>
        <v>0</v>
      </c>
      <c r="R380" s="2298">
        <f>'Saisie données file act.'!S577</f>
        <v>0</v>
      </c>
      <c r="S380" s="2298">
        <f>'Saisie données file act.'!T577</f>
        <v>0</v>
      </c>
      <c r="T380" s="2298">
        <f>'Saisie données file act.'!U577</f>
        <v>0</v>
      </c>
      <c r="U380" s="2298">
        <f>'Saisie données file act.'!V577</f>
        <v>0</v>
      </c>
      <c r="V380" s="2298">
        <f>'Saisie données file act.'!W577</f>
        <v>0</v>
      </c>
      <c r="W380" s="2298">
        <f>'Saisie données file act.'!X577</f>
        <v>0</v>
      </c>
      <c r="X380" s="2298">
        <f>'Saisie données file act.'!Y577</f>
        <v>0</v>
      </c>
      <c r="Y380" s="2298">
        <f>'Saisie données file act.'!Z577</f>
        <v>0</v>
      </c>
      <c r="Z380" s="2298">
        <f>'Saisie données file act.'!AA577</f>
        <v>0</v>
      </c>
      <c r="AA380" s="2298">
        <f>'Saisie données file act.'!AB577</f>
        <v>0</v>
      </c>
      <c r="AB380" s="2298">
        <f>'Saisie données file act.'!AC577</f>
        <v>0</v>
      </c>
      <c r="AC380" s="2298">
        <f>'Saisie données file act.'!AD577</f>
        <v>0</v>
      </c>
      <c r="AD380" s="2298">
        <f>'Saisie données file act.'!AE577</f>
        <v>0</v>
      </c>
      <c r="AE380" s="2300">
        <f>'Saisie données file act.'!AF577</f>
        <v>0</v>
      </c>
      <c r="AF380" s="2298">
        <f>'Saisie données file act.'!AG577</f>
        <v>0</v>
      </c>
      <c r="AG380" s="1178">
        <f>H116</f>
        <v>0</v>
      </c>
      <c r="AH380" s="1154">
        <f>H145</f>
        <v>0</v>
      </c>
    </row>
    <row r="381" spans="2:34" x14ac:dyDescent="0.2">
      <c r="C381" s="1115">
        <f>'Saisie données file act.'!D578</f>
        <v>0</v>
      </c>
      <c r="D381" s="2298">
        <f>'Saisie données file act.'!E578</f>
        <v>0</v>
      </c>
      <c r="E381" s="2298">
        <f>'Saisie données file act.'!F578</f>
        <v>0</v>
      </c>
      <c r="F381" s="2298">
        <f>'Saisie données file act.'!G578</f>
        <v>0</v>
      </c>
      <c r="G381" s="2298">
        <f>'Saisie données file act.'!H578</f>
        <v>0</v>
      </c>
      <c r="H381" s="2298">
        <f>'Saisie données file act.'!I578</f>
        <v>0</v>
      </c>
      <c r="I381" s="2298">
        <f>'Saisie données file act.'!J578</f>
        <v>0</v>
      </c>
      <c r="J381" s="2298">
        <f>'Saisie données file act.'!K578</f>
        <v>0</v>
      </c>
      <c r="K381" s="2298">
        <f>'Saisie données file act.'!L578</f>
        <v>0</v>
      </c>
      <c r="L381" s="2299">
        <f>'Saisie données file act.'!M578</f>
        <v>0</v>
      </c>
      <c r="M381" s="2298">
        <f>'Saisie données file act.'!N578</f>
        <v>0</v>
      </c>
      <c r="N381" s="2298">
        <f>'Saisie données file act.'!O578</f>
        <v>0</v>
      </c>
      <c r="O381" s="2298">
        <f>'Saisie données file act.'!P578</f>
        <v>0</v>
      </c>
      <c r="P381" s="2298">
        <f>'Saisie données file act.'!Q578</f>
        <v>0</v>
      </c>
      <c r="Q381" s="2299">
        <f>'Saisie données file act.'!R578</f>
        <v>0</v>
      </c>
      <c r="R381" s="2298">
        <f>'Saisie données file act.'!S578</f>
        <v>0</v>
      </c>
      <c r="S381" s="2298">
        <f>'Saisie données file act.'!T578</f>
        <v>0</v>
      </c>
      <c r="T381" s="2298">
        <f>'Saisie données file act.'!U578</f>
        <v>0</v>
      </c>
      <c r="U381" s="2298">
        <f>'Saisie données file act.'!V578</f>
        <v>0</v>
      </c>
      <c r="V381" s="2298">
        <f>'Saisie données file act.'!W578</f>
        <v>0</v>
      </c>
      <c r="W381" s="2298">
        <f>'Saisie données file act.'!X578</f>
        <v>0</v>
      </c>
      <c r="X381" s="2298">
        <f>'Saisie données file act.'!Y578</f>
        <v>0</v>
      </c>
      <c r="Y381" s="2298">
        <f>'Saisie données file act.'!Z578</f>
        <v>0</v>
      </c>
      <c r="Z381" s="2298">
        <f>'Saisie données file act.'!AA578</f>
        <v>0</v>
      </c>
      <c r="AA381" s="2298">
        <f>'Saisie données file act.'!AB578</f>
        <v>0</v>
      </c>
      <c r="AB381" s="2298">
        <f>'Saisie données file act.'!AC578</f>
        <v>0</v>
      </c>
      <c r="AC381" s="2298">
        <f>'Saisie données file act.'!AD578</f>
        <v>0</v>
      </c>
      <c r="AD381" s="2298">
        <f>'Saisie données file act.'!AE578</f>
        <v>0</v>
      </c>
      <c r="AE381" s="2300">
        <f>'Saisie données file act.'!AF578</f>
        <v>0</v>
      </c>
      <c r="AF381" s="2298">
        <f>'Saisie données file act.'!AG578</f>
        <v>0</v>
      </c>
      <c r="AG381" s="1178">
        <f>H117</f>
        <v>0</v>
      </c>
      <c r="AH381" s="1154">
        <f>H146</f>
        <v>0</v>
      </c>
    </row>
    <row r="382" spans="2:34" ht="13.5" thickBot="1" x14ac:dyDescent="0.25">
      <c r="C382" s="1115">
        <f>'Saisie données file act.'!D579</f>
        <v>0</v>
      </c>
      <c r="D382" s="2298">
        <f>'Saisie données file act.'!E579</f>
        <v>0</v>
      </c>
      <c r="E382" s="2298">
        <f>'Saisie données file act.'!F579</f>
        <v>0</v>
      </c>
      <c r="F382" s="2298">
        <f>'Saisie données file act.'!G579</f>
        <v>0</v>
      </c>
      <c r="G382" s="2298">
        <f>'Saisie données file act.'!H579</f>
        <v>0</v>
      </c>
      <c r="H382" s="2298">
        <f>'Saisie données file act.'!I579</f>
        <v>0</v>
      </c>
      <c r="I382" s="2298">
        <f>'Saisie données file act.'!J579</f>
        <v>0</v>
      </c>
      <c r="J382" s="2298">
        <f>'Saisie données file act.'!K579</f>
        <v>0</v>
      </c>
      <c r="K382" s="2298">
        <f>'Saisie données file act.'!L579</f>
        <v>0</v>
      </c>
      <c r="L382" s="2299">
        <f>'Saisie données file act.'!M579</f>
        <v>0</v>
      </c>
      <c r="M382" s="2298">
        <f>'Saisie données file act.'!N579</f>
        <v>0</v>
      </c>
      <c r="N382" s="2298">
        <f>'Saisie données file act.'!O579</f>
        <v>0</v>
      </c>
      <c r="O382" s="2298">
        <f>'Saisie données file act.'!P579</f>
        <v>0</v>
      </c>
      <c r="P382" s="2298">
        <f>'Saisie données file act.'!Q579</f>
        <v>0</v>
      </c>
      <c r="Q382" s="2299">
        <f>'Saisie données file act.'!R579</f>
        <v>0</v>
      </c>
      <c r="R382" s="2298">
        <f>'Saisie données file act.'!S579</f>
        <v>0</v>
      </c>
      <c r="S382" s="2298">
        <f>'Saisie données file act.'!T579</f>
        <v>0</v>
      </c>
      <c r="T382" s="2298">
        <f>'Saisie données file act.'!U579</f>
        <v>0</v>
      </c>
      <c r="U382" s="2298">
        <f>'Saisie données file act.'!V579</f>
        <v>0</v>
      </c>
      <c r="V382" s="2298">
        <f>'Saisie données file act.'!W579</f>
        <v>0</v>
      </c>
      <c r="W382" s="2298">
        <f>'Saisie données file act.'!X579</f>
        <v>0</v>
      </c>
      <c r="X382" s="2298">
        <f>'Saisie données file act.'!Y579</f>
        <v>0</v>
      </c>
      <c r="Y382" s="2298">
        <f>'Saisie données file act.'!Z579</f>
        <v>0</v>
      </c>
      <c r="Z382" s="2298">
        <f>'Saisie données file act.'!AA579</f>
        <v>0</v>
      </c>
      <c r="AA382" s="2298">
        <f>'Saisie données file act.'!AB579</f>
        <v>0</v>
      </c>
      <c r="AB382" s="2298">
        <f>'Saisie données file act.'!AC579</f>
        <v>0</v>
      </c>
      <c r="AC382" s="2298">
        <f>'Saisie données file act.'!AD579</f>
        <v>0</v>
      </c>
      <c r="AD382" s="2298">
        <f>'Saisie données file act.'!AE579</f>
        <v>0</v>
      </c>
      <c r="AE382" s="2300">
        <f>'Saisie données file act.'!AF579</f>
        <v>0</v>
      </c>
      <c r="AF382" s="2298">
        <f>'Saisie données file act.'!AG579</f>
        <v>0</v>
      </c>
      <c r="AG382" s="1178">
        <f>H118</f>
        <v>0</v>
      </c>
      <c r="AH382" s="1154">
        <f>H147</f>
        <v>0</v>
      </c>
    </row>
    <row r="383" spans="2:34" x14ac:dyDescent="0.2">
      <c r="C383" s="1114" t="str">
        <f>'Saisie données file act.'!D580</f>
        <v>Lignes alternatives</v>
      </c>
      <c r="D383" s="2301">
        <f>'Saisie données file act.'!E580</f>
        <v>0</v>
      </c>
      <c r="E383" s="2301">
        <f>'Saisie données file act.'!F580</f>
        <v>0</v>
      </c>
      <c r="F383" s="2301">
        <f>'Saisie données file act.'!G580</f>
        <v>0</v>
      </c>
      <c r="G383" s="2301">
        <f>'Saisie données file act.'!H580</f>
        <v>0</v>
      </c>
      <c r="H383" s="2301">
        <f>'Saisie données file act.'!I580</f>
        <v>0</v>
      </c>
      <c r="I383" s="2301">
        <f>'Saisie données file act.'!J580</f>
        <v>0</v>
      </c>
      <c r="J383" s="2301">
        <f>'Saisie données file act.'!K580</f>
        <v>0</v>
      </c>
      <c r="K383" s="2301">
        <f>'Saisie données file act.'!L580</f>
        <v>0</v>
      </c>
      <c r="L383" s="2302">
        <f>'Saisie données file act.'!M580</f>
        <v>0</v>
      </c>
      <c r="M383" s="2301">
        <f>'Saisie données file act.'!N580</f>
        <v>0</v>
      </c>
      <c r="N383" s="2301">
        <f>'Saisie données file act.'!O580</f>
        <v>0</v>
      </c>
      <c r="O383" s="2301">
        <f>'Saisie données file act.'!P580</f>
        <v>0</v>
      </c>
      <c r="P383" s="2301">
        <f>'Saisie données file act.'!Q580</f>
        <v>0</v>
      </c>
      <c r="Q383" s="2302">
        <f>'Saisie données file act.'!R580</f>
        <v>0</v>
      </c>
      <c r="R383" s="2301">
        <f>'Saisie données file act.'!S580</f>
        <v>0</v>
      </c>
      <c r="S383" s="2301">
        <f>'Saisie données file act.'!T580</f>
        <v>0</v>
      </c>
      <c r="T383" s="2301">
        <f>'Saisie données file act.'!U580</f>
        <v>0</v>
      </c>
      <c r="U383" s="2301">
        <f>'Saisie données file act.'!V580</f>
        <v>0</v>
      </c>
      <c r="V383" s="2301">
        <f>'Saisie données file act.'!W580</f>
        <v>0</v>
      </c>
      <c r="W383" s="2301">
        <f>'Saisie données file act.'!X580</f>
        <v>0</v>
      </c>
      <c r="X383" s="2301">
        <f>'Saisie données file act.'!Y580</f>
        <v>0</v>
      </c>
      <c r="Y383" s="2301">
        <f>'Saisie données file act.'!Z580</f>
        <v>0</v>
      </c>
      <c r="Z383" s="2301">
        <f>'Saisie données file act.'!AA580</f>
        <v>0</v>
      </c>
      <c r="AA383" s="2301">
        <f>'Saisie données file act.'!AB580</f>
        <v>0</v>
      </c>
      <c r="AB383" s="2301">
        <f>'Saisie données file act.'!AC580</f>
        <v>0</v>
      </c>
      <c r="AC383" s="2301">
        <f>'Saisie données file act.'!AD580</f>
        <v>0</v>
      </c>
      <c r="AD383" s="2301">
        <f>'Saisie données file act.'!AE580</f>
        <v>0</v>
      </c>
      <c r="AE383" s="2303">
        <f>'Saisie données file act.'!AF580</f>
        <v>0</v>
      </c>
      <c r="AF383" s="2301">
        <f>'Saisie données file act.'!AG580</f>
        <v>0</v>
      </c>
      <c r="AG383" s="1101"/>
      <c r="AH383" s="1143"/>
    </row>
    <row r="384" spans="2:34" x14ac:dyDescent="0.2">
      <c r="C384" s="1115">
        <f>'Saisie données file act.'!D581</f>
        <v>0</v>
      </c>
      <c r="D384" s="2298">
        <f>'Saisie données file act.'!E581</f>
        <v>0</v>
      </c>
      <c r="E384" s="2298">
        <f>'Saisie données file act.'!F581</f>
        <v>0</v>
      </c>
      <c r="F384" s="2298">
        <f>'Saisie données file act.'!G581</f>
        <v>0</v>
      </c>
      <c r="G384" s="2298">
        <f>'Saisie données file act.'!H581</f>
        <v>0</v>
      </c>
      <c r="H384" s="2298">
        <f>'Saisie données file act.'!I581</f>
        <v>0</v>
      </c>
      <c r="I384" s="2298">
        <f>'Saisie données file act.'!J581</f>
        <v>0</v>
      </c>
      <c r="J384" s="2298">
        <f>'Saisie données file act.'!K581</f>
        <v>0</v>
      </c>
      <c r="K384" s="2298">
        <f>'Saisie données file act.'!L581</f>
        <v>0</v>
      </c>
      <c r="L384" s="2299">
        <f>'Saisie données file act.'!M581</f>
        <v>0</v>
      </c>
      <c r="M384" s="2298">
        <f>'Saisie données file act.'!N581</f>
        <v>0</v>
      </c>
      <c r="N384" s="2298">
        <f>'Saisie données file act.'!O581</f>
        <v>0</v>
      </c>
      <c r="O384" s="2298">
        <f>'Saisie données file act.'!P581</f>
        <v>0</v>
      </c>
      <c r="P384" s="2298">
        <f>'Saisie données file act.'!Q581</f>
        <v>0</v>
      </c>
      <c r="Q384" s="2299">
        <f>'Saisie données file act.'!R581</f>
        <v>0</v>
      </c>
      <c r="R384" s="2298">
        <f>'Saisie données file act.'!S581</f>
        <v>0</v>
      </c>
      <c r="S384" s="2298">
        <f>'Saisie données file act.'!T581</f>
        <v>0</v>
      </c>
      <c r="T384" s="2298">
        <f>'Saisie données file act.'!U581</f>
        <v>0</v>
      </c>
      <c r="U384" s="2298">
        <f>'Saisie données file act.'!V581</f>
        <v>0</v>
      </c>
      <c r="V384" s="2298">
        <f>'Saisie données file act.'!W581</f>
        <v>0</v>
      </c>
      <c r="W384" s="2298">
        <f>'Saisie données file act.'!X581</f>
        <v>0</v>
      </c>
      <c r="X384" s="2298">
        <f>'Saisie données file act.'!Y581</f>
        <v>0</v>
      </c>
      <c r="Y384" s="2298">
        <f>'Saisie données file act.'!Z581</f>
        <v>0</v>
      </c>
      <c r="Z384" s="2298">
        <f>'Saisie données file act.'!AA581</f>
        <v>0</v>
      </c>
      <c r="AA384" s="2298">
        <f>'Saisie données file act.'!AB581</f>
        <v>0</v>
      </c>
      <c r="AB384" s="2298">
        <f>'Saisie données file act.'!AC581</f>
        <v>0</v>
      </c>
      <c r="AC384" s="2298">
        <f>'Saisie données file act.'!AD581</f>
        <v>0</v>
      </c>
      <c r="AD384" s="2298">
        <f>'Saisie données file act.'!AE581</f>
        <v>0</v>
      </c>
      <c r="AE384" s="2300">
        <f>'Saisie données file act.'!AF581</f>
        <v>0</v>
      </c>
      <c r="AF384" s="2298">
        <f>'Saisie données file act.'!AG581</f>
        <v>0</v>
      </c>
      <c r="AG384" s="1178">
        <f t="shared" ref="AG384:AG392" si="89">H120</f>
        <v>0</v>
      </c>
      <c r="AH384" s="1154">
        <f t="shared" ref="AH384:AH392" si="90">H149</f>
        <v>0</v>
      </c>
    </row>
    <row r="385" spans="1:34" x14ac:dyDescent="0.2">
      <c r="C385" s="1115">
        <f>'Saisie données file act.'!D582</f>
        <v>0</v>
      </c>
      <c r="D385" s="2298">
        <f>'Saisie données file act.'!E582</f>
        <v>0</v>
      </c>
      <c r="E385" s="2298">
        <f>'Saisie données file act.'!F582</f>
        <v>0</v>
      </c>
      <c r="F385" s="2298">
        <f>'Saisie données file act.'!G582</f>
        <v>0</v>
      </c>
      <c r="G385" s="2298">
        <f>'Saisie données file act.'!H582</f>
        <v>0</v>
      </c>
      <c r="H385" s="2298">
        <f>'Saisie données file act.'!I582</f>
        <v>0</v>
      </c>
      <c r="I385" s="2298">
        <f>'Saisie données file act.'!J582</f>
        <v>0</v>
      </c>
      <c r="J385" s="2298">
        <f>'Saisie données file act.'!K582</f>
        <v>0</v>
      </c>
      <c r="K385" s="2298">
        <f>'Saisie données file act.'!L582</f>
        <v>0</v>
      </c>
      <c r="L385" s="2299">
        <f>'Saisie données file act.'!M582</f>
        <v>0</v>
      </c>
      <c r="M385" s="2298">
        <f>'Saisie données file act.'!N582</f>
        <v>0</v>
      </c>
      <c r="N385" s="2298">
        <f>'Saisie données file act.'!O582</f>
        <v>0</v>
      </c>
      <c r="O385" s="2298">
        <f>'Saisie données file act.'!P582</f>
        <v>0</v>
      </c>
      <c r="P385" s="2298">
        <f>'Saisie données file act.'!Q582</f>
        <v>0</v>
      </c>
      <c r="Q385" s="2299">
        <f>'Saisie données file act.'!R582</f>
        <v>0</v>
      </c>
      <c r="R385" s="2298">
        <f>'Saisie données file act.'!S582</f>
        <v>0</v>
      </c>
      <c r="S385" s="2298">
        <f>'Saisie données file act.'!T582</f>
        <v>0</v>
      </c>
      <c r="T385" s="2298">
        <f>'Saisie données file act.'!U582</f>
        <v>0</v>
      </c>
      <c r="U385" s="2298">
        <f>'Saisie données file act.'!V582</f>
        <v>0</v>
      </c>
      <c r="V385" s="2298">
        <f>'Saisie données file act.'!W582</f>
        <v>0</v>
      </c>
      <c r="W385" s="2298">
        <f>'Saisie données file act.'!X582</f>
        <v>0</v>
      </c>
      <c r="X385" s="2298">
        <f>'Saisie données file act.'!Y582</f>
        <v>0</v>
      </c>
      <c r="Y385" s="2298">
        <f>'Saisie données file act.'!Z582</f>
        <v>0</v>
      </c>
      <c r="Z385" s="2298">
        <f>'Saisie données file act.'!AA582</f>
        <v>0</v>
      </c>
      <c r="AA385" s="2298">
        <f>'Saisie données file act.'!AB582</f>
        <v>0</v>
      </c>
      <c r="AB385" s="2298">
        <f>'Saisie données file act.'!AC582</f>
        <v>0</v>
      </c>
      <c r="AC385" s="2298">
        <f>'Saisie données file act.'!AD582</f>
        <v>0</v>
      </c>
      <c r="AD385" s="2298">
        <f>'Saisie données file act.'!AE582</f>
        <v>0</v>
      </c>
      <c r="AE385" s="2300">
        <f>'Saisie données file act.'!AF582</f>
        <v>0</v>
      </c>
      <c r="AF385" s="2298">
        <f>'Saisie données file act.'!AG582</f>
        <v>0</v>
      </c>
      <c r="AG385" s="1178">
        <f t="shared" si="89"/>
        <v>0</v>
      </c>
      <c r="AH385" s="1154">
        <f t="shared" si="90"/>
        <v>0</v>
      </c>
    </row>
    <row r="386" spans="1:34" x14ac:dyDescent="0.2">
      <c r="C386" s="1115">
        <f>'Saisie données file act.'!D583</f>
        <v>0</v>
      </c>
      <c r="D386" s="2298">
        <f>'Saisie données file act.'!E583</f>
        <v>0</v>
      </c>
      <c r="E386" s="2298">
        <f>'Saisie données file act.'!F583</f>
        <v>0</v>
      </c>
      <c r="F386" s="2298">
        <f>'Saisie données file act.'!G583</f>
        <v>0</v>
      </c>
      <c r="G386" s="2298">
        <f>'Saisie données file act.'!H583</f>
        <v>0</v>
      </c>
      <c r="H386" s="2298">
        <f>'Saisie données file act.'!I583</f>
        <v>0</v>
      </c>
      <c r="I386" s="2298">
        <f>'Saisie données file act.'!J583</f>
        <v>0</v>
      </c>
      <c r="J386" s="2298">
        <f>'Saisie données file act.'!K583</f>
        <v>0</v>
      </c>
      <c r="K386" s="2298">
        <f>'Saisie données file act.'!L583</f>
        <v>0</v>
      </c>
      <c r="L386" s="2299">
        <f>'Saisie données file act.'!M583</f>
        <v>0</v>
      </c>
      <c r="M386" s="2298">
        <f>'Saisie données file act.'!N583</f>
        <v>0</v>
      </c>
      <c r="N386" s="2298">
        <f>'Saisie données file act.'!O583</f>
        <v>0</v>
      </c>
      <c r="O386" s="2298">
        <f>'Saisie données file act.'!P583</f>
        <v>0</v>
      </c>
      <c r="P386" s="2298">
        <f>'Saisie données file act.'!Q583</f>
        <v>0</v>
      </c>
      <c r="Q386" s="2299">
        <f>'Saisie données file act.'!R583</f>
        <v>0</v>
      </c>
      <c r="R386" s="2298">
        <f>'Saisie données file act.'!S583</f>
        <v>0</v>
      </c>
      <c r="S386" s="2298">
        <f>'Saisie données file act.'!T583</f>
        <v>0</v>
      </c>
      <c r="T386" s="2298">
        <f>'Saisie données file act.'!U583</f>
        <v>0</v>
      </c>
      <c r="U386" s="2298">
        <f>'Saisie données file act.'!V583</f>
        <v>0</v>
      </c>
      <c r="V386" s="2298">
        <f>'Saisie données file act.'!W583</f>
        <v>0</v>
      </c>
      <c r="W386" s="2298">
        <f>'Saisie données file act.'!X583</f>
        <v>0</v>
      </c>
      <c r="X386" s="2298">
        <f>'Saisie données file act.'!Y583</f>
        <v>0</v>
      </c>
      <c r="Y386" s="2298">
        <f>'Saisie données file act.'!Z583</f>
        <v>0</v>
      </c>
      <c r="Z386" s="2298">
        <f>'Saisie données file act.'!AA583</f>
        <v>0</v>
      </c>
      <c r="AA386" s="2298">
        <f>'Saisie données file act.'!AB583</f>
        <v>0</v>
      </c>
      <c r="AB386" s="2298">
        <f>'Saisie données file act.'!AC583</f>
        <v>0</v>
      </c>
      <c r="AC386" s="2298">
        <f>'Saisie données file act.'!AD583</f>
        <v>0</v>
      </c>
      <c r="AD386" s="2298">
        <f>'Saisie données file act.'!AE583</f>
        <v>0</v>
      </c>
      <c r="AE386" s="2300">
        <f>'Saisie données file act.'!AF583</f>
        <v>0</v>
      </c>
      <c r="AF386" s="2298">
        <f>'Saisie données file act.'!AG583</f>
        <v>0</v>
      </c>
      <c r="AG386" s="1178">
        <f t="shared" si="89"/>
        <v>0</v>
      </c>
      <c r="AH386" s="1154">
        <f t="shared" si="90"/>
        <v>0</v>
      </c>
    </row>
    <row r="387" spans="1:34" x14ac:dyDescent="0.2">
      <c r="C387" s="1115">
        <f>'Saisie données file act.'!D584</f>
        <v>0</v>
      </c>
      <c r="D387" s="2298">
        <f>'Saisie données file act.'!E584</f>
        <v>0</v>
      </c>
      <c r="E387" s="2298">
        <f>'Saisie données file act.'!F584</f>
        <v>0</v>
      </c>
      <c r="F387" s="2298">
        <f>'Saisie données file act.'!G584</f>
        <v>0</v>
      </c>
      <c r="G387" s="2298">
        <f>'Saisie données file act.'!H584</f>
        <v>0</v>
      </c>
      <c r="H387" s="2298">
        <f>'Saisie données file act.'!I584</f>
        <v>0</v>
      </c>
      <c r="I387" s="2298">
        <f>'Saisie données file act.'!J584</f>
        <v>0</v>
      </c>
      <c r="J387" s="2298">
        <f>'Saisie données file act.'!K584</f>
        <v>0</v>
      </c>
      <c r="K387" s="2298">
        <f>'Saisie données file act.'!L584</f>
        <v>0</v>
      </c>
      <c r="L387" s="2299">
        <f>'Saisie données file act.'!M584</f>
        <v>0</v>
      </c>
      <c r="M387" s="2298">
        <f>'Saisie données file act.'!N584</f>
        <v>0</v>
      </c>
      <c r="N387" s="2298">
        <f>'Saisie données file act.'!O584</f>
        <v>0</v>
      </c>
      <c r="O387" s="2298">
        <f>'Saisie données file act.'!P584</f>
        <v>0</v>
      </c>
      <c r="P387" s="2298">
        <f>'Saisie données file act.'!Q584</f>
        <v>0</v>
      </c>
      <c r="Q387" s="2299">
        <f>'Saisie données file act.'!R584</f>
        <v>0</v>
      </c>
      <c r="R387" s="2298">
        <f>'Saisie données file act.'!S584</f>
        <v>0</v>
      </c>
      <c r="S387" s="2298">
        <f>'Saisie données file act.'!T584</f>
        <v>0</v>
      </c>
      <c r="T387" s="2298">
        <f>'Saisie données file act.'!U584</f>
        <v>0</v>
      </c>
      <c r="U387" s="2298">
        <f>'Saisie données file act.'!V584</f>
        <v>0</v>
      </c>
      <c r="V387" s="2298">
        <f>'Saisie données file act.'!W584</f>
        <v>0</v>
      </c>
      <c r="W387" s="2298">
        <f>'Saisie données file act.'!X584</f>
        <v>0</v>
      </c>
      <c r="X387" s="2298">
        <f>'Saisie données file act.'!Y584</f>
        <v>0</v>
      </c>
      <c r="Y387" s="2298">
        <f>'Saisie données file act.'!Z584</f>
        <v>0</v>
      </c>
      <c r="Z387" s="2298">
        <f>'Saisie données file act.'!AA584</f>
        <v>0</v>
      </c>
      <c r="AA387" s="2298">
        <f>'Saisie données file act.'!AB584</f>
        <v>0</v>
      </c>
      <c r="AB387" s="2298">
        <f>'Saisie données file act.'!AC584</f>
        <v>0</v>
      </c>
      <c r="AC387" s="2298">
        <f>'Saisie données file act.'!AD584</f>
        <v>0</v>
      </c>
      <c r="AD387" s="2298">
        <f>'Saisie données file act.'!AE584</f>
        <v>0</v>
      </c>
      <c r="AE387" s="2300">
        <f>'Saisie données file act.'!AF584</f>
        <v>0</v>
      </c>
      <c r="AF387" s="2298">
        <f>'Saisie données file act.'!AG584</f>
        <v>0</v>
      </c>
      <c r="AG387" s="1178">
        <f t="shared" si="89"/>
        <v>0</v>
      </c>
      <c r="AH387" s="1154">
        <f t="shared" si="90"/>
        <v>0</v>
      </c>
    </row>
    <row r="388" spans="1:34" x14ac:dyDescent="0.2">
      <c r="C388" s="1115">
        <f>'Saisie données file act.'!D585</f>
        <v>0</v>
      </c>
      <c r="D388" s="2298">
        <f>'Saisie données file act.'!E585</f>
        <v>0</v>
      </c>
      <c r="E388" s="2298">
        <f>'Saisie données file act.'!F585</f>
        <v>0</v>
      </c>
      <c r="F388" s="2298">
        <f>'Saisie données file act.'!G585</f>
        <v>0</v>
      </c>
      <c r="G388" s="2298">
        <f>'Saisie données file act.'!H585</f>
        <v>0</v>
      </c>
      <c r="H388" s="2298">
        <f>'Saisie données file act.'!I585</f>
        <v>0</v>
      </c>
      <c r="I388" s="2298">
        <f>'Saisie données file act.'!J585</f>
        <v>0</v>
      </c>
      <c r="J388" s="2298">
        <f>'Saisie données file act.'!K585</f>
        <v>0</v>
      </c>
      <c r="K388" s="2298">
        <f>'Saisie données file act.'!L585</f>
        <v>0</v>
      </c>
      <c r="L388" s="2299">
        <f>'Saisie données file act.'!M585</f>
        <v>0</v>
      </c>
      <c r="M388" s="2298">
        <f>'Saisie données file act.'!N585</f>
        <v>0</v>
      </c>
      <c r="N388" s="2298">
        <f>'Saisie données file act.'!O585</f>
        <v>0</v>
      </c>
      <c r="O388" s="2298">
        <f>'Saisie données file act.'!P585</f>
        <v>0</v>
      </c>
      <c r="P388" s="2298">
        <f>'Saisie données file act.'!Q585</f>
        <v>0</v>
      </c>
      <c r="Q388" s="2299">
        <f>'Saisie données file act.'!R585</f>
        <v>0</v>
      </c>
      <c r="R388" s="2298">
        <f>'Saisie données file act.'!S585</f>
        <v>0</v>
      </c>
      <c r="S388" s="2298">
        <f>'Saisie données file act.'!T585</f>
        <v>0</v>
      </c>
      <c r="T388" s="2298">
        <f>'Saisie données file act.'!U585</f>
        <v>0</v>
      </c>
      <c r="U388" s="2298">
        <f>'Saisie données file act.'!V585</f>
        <v>0</v>
      </c>
      <c r="V388" s="2298">
        <f>'Saisie données file act.'!W585</f>
        <v>0</v>
      </c>
      <c r="W388" s="2298">
        <f>'Saisie données file act.'!X585</f>
        <v>0</v>
      </c>
      <c r="X388" s="2298">
        <f>'Saisie données file act.'!Y585</f>
        <v>0</v>
      </c>
      <c r="Y388" s="2298">
        <f>'Saisie données file act.'!Z585</f>
        <v>0</v>
      </c>
      <c r="Z388" s="2298">
        <f>'Saisie données file act.'!AA585</f>
        <v>0</v>
      </c>
      <c r="AA388" s="2298">
        <f>'Saisie données file act.'!AB585</f>
        <v>0</v>
      </c>
      <c r="AB388" s="2298">
        <f>'Saisie données file act.'!AC585</f>
        <v>0</v>
      </c>
      <c r="AC388" s="2298">
        <f>'Saisie données file act.'!AD585</f>
        <v>0</v>
      </c>
      <c r="AD388" s="2298">
        <f>'Saisie données file act.'!AE585</f>
        <v>0</v>
      </c>
      <c r="AE388" s="2300">
        <f>'Saisie données file act.'!AF585</f>
        <v>0</v>
      </c>
      <c r="AF388" s="2298">
        <f>'Saisie données file act.'!AG585</f>
        <v>0</v>
      </c>
      <c r="AG388" s="1178">
        <f t="shared" si="89"/>
        <v>0</v>
      </c>
      <c r="AH388" s="1154">
        <f t="shared" si="90"/>
        <v>0</v>
      </c>
    </row>
    <row r="389" spans="1:34" x14ac:dyDescent="0.2">
      <c r="C389" s="1115">
        <f>'Saisie données file act.'!D586</f>
        <v>0</v>
      </c>
      <c r="D389" s="2298">
        <f>'Saisie données file act.'!E586</f>
        <v>0</v>
      </c>
      <c r="E389" s="2298">
        <f>'Saisie données file act.'!F586</f>
        <v>0</v>
      </c>
      <c r="F389" s="2298">
        <f>'Saisie données file act.'!G586</f>
        <v>0</v>
      </c>
      <c r="G389" s="2298">
        <f>'Saisie données file act.'!H586</f>
        <v>0</v>
      </c>
      <c r="H389" s="2298">
        <f>'Saisie données file act.'!I586</f>
        <v>0</v>
      </c>
      <c r="I389" s="2298">
        <f>'Saisie données file act.'!J586</f>
        <v>0</v>
      </c>
      <c r="J389" s="2298">
        <f>'Saisie données file act.'!K586</f>
        <v>0</v>
      </c>
      <c r="K389" s="2298">
        <f>'Saisie données file act.'!L586</f>
        <v>0</v>
      </c>
      <c r="L389" s="2299">
        <f>'Saisie données file act.'!M586</f>
        <v>0</v>
      </c>
      <c r="M389" s="2298">
        <f>'Saisie données file act.'!N586</f>
        <v>0</v>
      </c>
      <c r="N389" s="2298">
        <f>'Saisie données file act.'!O586</f>
        <v>0</v>
      </c>
      <c r="O389" s="2298">
        <f>'Saisie données file act.'!P586</f>
        <v>0</v>
      </c>
      <c r="P389" s="2298">
        <f>'Saisie données file act.'!Q586</f>
        <v>0</v>
      </c>
      <c r="Q389" s="2299">
        <f>'Saisie données file act.'!R586</f>
        <v>0</v>
      </c>
      <c r="R389" s="2298">
        <f>'Saisie données file act.'!S586</f>
        <v>0</v>
      </c>
      <c r="S389" s="2298">
        <f>'Saisie données file act.'!T586</f>
        <v>0</v>
      </c>
      <c r="T389" s="2298">
        <f>'Saisie données file act.'!U586</f>
        <v>0</v>
      </c>
      <c r="U389" s="2298">
        <f>'Saisie données file act.'!V586</f>
        <v>0</v>
      </c>
      <c r="V389" s="2298">
        <f>'Saisie données file act.'!W586</f>
        <v>0</v>
      </c>
      <c r="W389" s="2298">
        <f>'Saisie données file act.'!X586</f>
        <v>0</v>
      </c>
      <c r="X389" s="2298">
        <f>'Saisie données file act.'!Y586</f>
        <v>0</v>
      </c>
      <c r="Y389" s="2298">
        <f>'Saisie données file act.'!Z586</f>
        <v>0</v>
      </c>
      <c r="Z389" s="2298">
        <f>'Saisie données file act.'!AA586</f>
        <v>0</v>
      </c>
      <c r="AA389" s="2298">
        <f>'Saisie données file act.'!AB586</f>
        <v>0</v>
      </c>
      <c r="AB389" s="2298">
        <f>'Saisie données file act.'!AC586</f>
        <v>0</v>
      </c>
      <c r="AC389" s="2298">
        <f>'Saisie données file act.'!AD586</f>
        <v>0</v>
      </c>
      <c r="AD389" s="2298">
        <f>'Saisie données file act.'!AE586</f>
        <v>0</v>
      </c>
      <c r="AE389" s="2300">
        <f>'Saisie données file act.'!AF586</f>
        <v>0</v>
      </c>
      <c r="AF389" s="2298">
        <f>'Saisie données file act.'!AG586</f>
        <v>0</v>
      </c>
      <c r="AG389" s="1178">
        <f t="shared" si="89"/>
        <v>0</v>
      </c>
      <c r="AH389" s="1154">
        <f t="shared" si="90"/>
        <v>0</v>
      </c>
    </row>
    <row r="390" spans="1:34" x14ac:dyDescent="0.2">
      <c r="C390" s="1115">
        <f>'Saisie données file act.'!D587</f>
        <v>0</v>
      </c>
      <c r="D390" s="2298">
        <f>'Saisie données file act.'!E587</f>
        <v>0</v>
      </c>
      <c r="E390" s="2298">
        <f>'Saisie données file act.'!F587</f>
        <v>0</v>
      </c>
      <c r="F390" s="2298">
        <f>'Saisie données file act.'!G587</f>
        <v>0</v>
      </c>
      <c r="G390" s="2298">
        <f>'Saisie données file act.'!H587</f>
        <v>0</v>
      </c>
      <c r="H390" s="2298">
        <f>'Saisie données file act.'!I587</f>
        <v>0</v>
      </c>
      <c r="I390" s="2298">
        <f>'Saisie données file act.'!J587</f>
        <v>0</v>
      </c>
      <c r="J390" s="2298">
        <f>'Saisie données file act.'!K587</f>
        <v>0</v>
      </c>
      <c r="K390" s="2298">
        <f>'Saisie données file act.'!L587</f>
        <v>0</v>
      </c>
      <c r="L390" s="2299">
        <f>'Saisie données file act.'!M587</f>
        <v>0</v>
      </c>
      <c r="M390" s="2298">
        <f>'Saisie données file act.'!N587</f>
        <v>0</v>
      </c>
      <c r="N390" s="2298">
        <f>'Saisie données file act.'!O587</f>
        <v>0</v>
      </c>
      <c r="O390" s="2298">
        <f>'Saisie données file act.'!P587</f>
        <v>0</v>
      </c>
      <c r="P390" s="2298">
        <f>'Saisie données file act.'!Q587</f>
        <v>0</v>
      </c>
      <c r="Q390" s="2299">
        <f>'Saisie données file act.'!R587</f>
        <v>0</v>
      </c>
      <c r="R390" s="2298">
        <f>'Saisie données file act.'!S587</f>
        <v>0</v>
      </c>
      <c r="S390" s="2298">
        <f>'Saisie données file act.'!T587</f>
        <v>0</v>
      </c>
      <c r="T390" s="2298">
        <f>'Saisie données file act.'!U587</f>
        <v>0</v>
      </c>
      <c r="U390" s="2298">
        <f>'Saisie données file act.'!V587</f>
        <v>0</v>
      </c>
      <c r="V390" s="2298">
        <f>'Saisie données file act.'!W587</f>
        <v>0</v>
      </c>
      <c r="W390" s="2298">
        <f>'Saisie données file act.'!X587</f>
        <v>0</v>
      </c>
      <c r="X390" s="2298">
        <f>'Saisie données file act.'!Y587</f>
        <v>0</v>
      </c>
      <c r="Y390" s="2298">
        <f>'Saisie données file act.'!Z587</f>
        <v>0</v>
      </c>
      <c r="Z390" s="2298">
        <f>'Saisie données file act.'!AA587</f>
        <v>0</v>
      </c>
      <c r="AA390" s="2298">
        <f>'Saisie données file act.'!AB587</f>
        <v>0</v>
      </c>
      <c r="AB390" s="2298">
        <f>'Saisie données file act.'!AC587</f>
        <v>0</v>
      </c>
      <c r="AC390" s="2298">
        <f>'Saisie données file act.'!AD587</f>
        <v>0</v>
      </c>
      <c r="AD390" s="2298">
        <f>'Saisie données file act.'!AE587</f>
        <v>0</v>
      </c>
      <c r="AE390" s="2300">
        <f>'Saisie données file act.'!AF587</f>
        <v>0</v>
      </c>
      <c r="AF390" s="2298">
        <f>'Saisie données file act.'!AG587</f>
        <v>0</v>
      </c>
      <c r="AG390" s="1178">
        <f t="shared" si="89"/>
        <v>0</v>
      </c>
      <c r="AH390" s="1154">
        <f t="shared" si="90"/>
        <v>0</v>
      </c>
    </row>
    <row r="391" spans="1:34" x14ac:dyDescent="0.2">
      <c r="C391" s="1115">
        <f>'Saisie données file act.'!D588</f>
        <v>0</v>
      </c>
      <c r="D391" s="2298">
        <f>'Saisie données file act.'!E588</f>
        <v>0</v>
      </c>
      <c r="E391" s="2298">
        <f>'Saisie données file act.'!F588</f>
        <v>0</v>
      </c>
      <c r="F391" s="2298">
        <f>'Saisie données file act.'!G588</f>
        <v>0</v>
      </c>
      <c r="G391" s="2298">
        <f>'Saisie données file act.'!H588</f>
        <v>0</v>
      </c>
      <c r="H391" s="2298">
        <f>'Saisie données file act.'!I588</f>
        <v>0</v>
      </c>
      <c r="I391" s="2298">
        <f>'Saisie données file act.'!J588</f>
        <v>0</v>
      </c>
      <c r="J391" s="2298">
        <f>'Saisie données file act.'!K588</f>
        <v>0</v>
      </c>
      <c r="K391" s="2298">
        <f>'Saisie données file act.'!L588</f>
        <v>0</v>
      </c>
      <c r="L391" s="2299">
        <f>'Saisie données file act.'!M588</f>
        <v>0</v>
      </c>
      <c r="M391" s="2298">
        <f>'Saisie données file act.'!N588</f>
        <v>0</v>
      </c>
      <c r="N391" s="2298">
        <f>'Saisie données file act.'!O588</f>
        <v>0</v>
      </c>
      <c r="O391" s="2298">
        <f>'Saisie données file act.'!P588</f>
        <v>0</v>
      </c>
      <c r="P391" s="2298">
        <f>'Saisie données file act.'!Q588</f>
        <v>0</v>
      </c>
      <c r="Q391" s="2299">
        <f>'Saisie données file act.'!R588</f>
        <v>0</v>
      </c>
      <c r="R391" s="2298">
        <f>'Saisie données file act.'!S588</f>
        <v>0</v>
      </c>
      <c r="S391" s="2298">
        <f>'Saisie données file act.'!T588</f>
        <v>0</v>
      </c>
      <c r="T391" s="2298">
        <f>'Saisie données file act.'!U588</f>
        <v>0</v>
      </c>
      <c r="U391" s="2298">
        <f>'Saisie données file act.'!V588</f>
        <v>0</v>
      </c>
      <c r="V391" s="2298">
        <f>'Saisie données file act.'!W588</f>
        <v>0</v>
      </c>
      <c r="W391" s="2298">
        <f>'Saisie données file act.'!X588</f>
        <v>0</v>
      </c>
      <c r="X391" s="2298">
        <f>'Saisie données file act.'!Y588</f>
        <v>0</v>
      </c>
      <c r="Y391" s="2298">
        <f>'Saisie données file act.'!Z588</f>
        <v>0</v>
      </c>
      <c r="Z391" s="2298">
        <f>'Saisie données file act.'!AA588</f>
        <v>0</v>
      </c>
      <c r="AA391" s="2298">
        <f>'Saisie données file act.'!AB588</f>
        <v>0</v>
      </c>
      <c r="AB391" s="2298">
        <f>'Saisie données file act.'!AC588</f>
        <v>0</v>
      </c>
      <c r="AC391" s="2298">
        <f>'Saisie données file act.'!AD588</f>
        <v>0</v>
      </c>
      <c r="AD391" s="2298">
        <f>'Saisie données file act.'!AE588</f>
        <v>0</v>
      </c>
      <c r="AE391" s="2300">
        <f>'Saisie données file act.'!AF588</f>
        <v>0</v>
      </c>
      <c r="AF391" s="2298">
        <f>'Saisie données file act.'!AG588</f>
        <v>0</v>
      </c>
      <c r="AG391" s="1178">
        <f t="shared" si="89"/>
        <v>0</v>
      </c>
      <c r="AH391" s="1154">
        <f t="shared" si="90"/>
        <v>0</v>
      </c>
    </row>
    <row r="392" spans="1:34" ht="13.5" thickBot="1" x14ac:dyDescent="0.25">
      <c r="C392" s="1116">
        <f>'Saisie données file act.'!D589</f>
        <v>0</v>
      </c>
      <c r="D392" s="2304">
        <f>'Saisie données file act.'!E589</f>
        <v>0</v>
      </c>
      <c r="E392" s="2304">
        <f>'Saisie données file act.'!F589</f>
        <v>0</v>
      </c>
      <c r="F392" s="2304">
        <f>'Saisie données file act.'!G589</f>
        <v>0</v>
      </c>
      <c r="G392" s="2304">
        <f>'Saisie données file act.'!H589</f>
        <v>0</v>
      </c>
      <c r="H392" s="2304">
        <f>'Saisie données file act.'!I589</f>
        <v>0</v>
      </c>
      <c r="I392" s="2304">
        <f>'Saisie données file act.'!J589</f>
        <v>0</v>
      </c>
      <c r="J392" s="2304">
        <f>'Saisie données file act.'!K589</f>
        <v>0</v>
      </c>
      <c r="K392" s="2304">
        <f>'Saisie données file act.'!L589</f>
        <v>0</v>
      </c>
      <c r="L392" s="2305">
        <f>'Saisie données file act.'!M589</f>
        <v>0</v>
      </c>
      <c r="M392" s="2304">
        <f>'Saisie données file act.'!N589</f>
        <v>0</v>
      </c>
      <c r="N392" s="2304">
        <f>'Saisie données file act.'!O589</f>
        <v>0</v>
      </c>
      <c r="O392" s="2304">
        <f>'Saisie données file act.'!P589</f>
        <v>0</v>
      </c>
      <c r="P392" s="2304">
        <f>'Saisie données file act.'!Q589</f>
        <v>0</v>
      </c>
      <c r="Q392" s="2305">
        <f>'Saisie données file act.'!R589</f>
        <v>0</v>
      </c>
      <c r="R392" s="2304">
        <f>'Saisie données file act.'!S589</f>
        <v>0</v>
      </c>
      <c r="S392" s="2304">
        <f>'Saisie données file act.'!T589</f>
        <v>0</v>
      </c>
      <c r="T392" s="2304">
        <f>'Saisie données file act.'!U589</f>
        <v>0</v>
      </c>
      <c r="U392" s="2304">
        <f>'Saisie données file act.'!V589</f>
        <v>0</v>
      </c>
      <c r="V392" s="2304">
        <f>'Saisie données file act.'!W589</f>
        <v>0</v>
      </c>
      <c r="W392" s="2304">
        <f>'Saisie données file act.'!X589</f>
        <v>0</v>
      </c>
      <c r="X392" s="2304">
        <f>'Saisie données file act.'!Y589</f>
        <v>0</v>
      </c>
      <c r="Y392" s="2304">
        <f>'Saisie données file act.'!Z589</f>
        <v>0</v>
      </c>
      <c r="Z392" s="2304">
        <f>'Saisie données file act.'!AA589</f>
        <v>0</v>
      </c>
      <c r="AA392" s="2304">
        <f>'Saisie données file act.'!AB589</f>
        <v>0</v>
      </c>
      <c r="AB392" s="2304">
        <f>'Saisie données file act.'!AC589</f>
        <v>0</v>
      </c>
      <c r="AC392" s="2304">
        <f>'Saisie données file act.'!AD589</f>
        <v>0</v>
      </c>
      <c r="AD392" s="2304">
        <f>'Saisie données file act.'!AE589</f>
        <v>0</v>
      </c>
      <c r="AE392" s="2306">
        <f>'Saisie données file act.'!AF589</f>
        <v>0</v>
      </c>
      <c r="AF392" s="2304">
        <f>'Saisie données file act.'!AG589</f>
        <v>0</v>
      </c>
      <c r="AG392" s="1181">
        <f t="shared" si="89"/>
        <v>0</v>
      </c>
      <c r="AH392" s="1160">
        <f t="shared" si="90"/>
        <v>0</v>
      </c>
    </row>
    <row r="393" spans="1:34" s="1119" customFormat="1" ht="39" thickBot="1" x14ac:dyDescent="0.25">
      <c r="A393" s="1118"/>
      <c r="C393" s="1120" t="str">
        <f>'TRAD-Calculs pédiatriques'!B89</f>
        <v>Nb de patients-mois / produit - SUIVIS</v>
      </c>
      <c r="D393" s="1134">
        <f t="shared" ref="D393:AF393" si="91">SUMIF(D370:D392, "X", $AG370:$AG392)</f>
        <v>0</v>
      </c>
      <c r="E393" s="1134">
        <f t="shared" si="91"/>
        <v>0</v>
      </c>
      <c r="F393" s="1134">
        <f t="shared" si="91"/>
        <v>0</v>
      </c>
      <c r="G393" s="1134">
        <f t="shared" si="91"/>
        <v>0</v>
      </c>
      <c r="H393" s="1134">
        <f t="shared" si="91"/>
        <v>0</v>
      </c>
      <c r="I393" s="1134">
        <f t="shared" si="91"/>
        <v>0</v>
      </c>
      <c r="J393" s="1134">
        <f t="shared" si="91"/>
        <v>0</v>
      </c>
      <c r="K393" s="1134">
        <f t="shared" si="91"/>
        <v>0</v>
      </c>
      <c r="L393" s="1184">
        <f t="shared" si="91"/>
        <v>0</v>
      </c>
      <c r="M393" s="1134">
        <f t="shared" si="91"/>
        <v>0</v>
      </c>
      <c r="N393" s="1134">
        <f t="shared" si="91"/>
        <v>0</v>
      </c>
      <c r="O393" s="1134">
        <f t="shared" si="91"/>
        <v>0</v>
      </c>
      <c r="P393" s="1134">
        <f t="shared" si="91"/>
        <v>0</v>
      </c>
      <c r="Q393" s="1184">
        <f t="shared" si="91"/>
        <v>0</v>
      </c>
      <c r="R393" s="1134">
        <f t="shared" si="91"/>
        <v>0</v>
      </c>
      <c r="S393" s="1134">
        <f t="shared" si="91"/>
        <v>0</v>
      </c>
      <c r="T393" s="1134">
        <f t="shared" si="91"/>
        <v>0</v>
      </c>
      <c r="U393" s="1134">
        <f t="shared" si="91"/>
        <v>0</v>
      </c>
      <c r="V393" s="1134">
        <f t="shared" si="91"/>
        <v>0</v>
      </c>
      <c r="W393" s="1134">
        <f t="shared" si="91"/>
        <v>0</v>
      </c>
      <c r="X393" s="1134">
        <f t="shared" si="91"/>
        <v>0</v>
      </c>
      <c r="Y393" s="1134">
        <f t="shared" si="91"/>
        <v>0</v>
      </c>
      <c r="Z393" s="1134">
        <f t="shared" si="91"/>
        <v>0</v>
      </c>
      <c r="AA393" s="1134">
        <f t="shared" si="91"/>
        <v>0</v>
      </c>
      <c r="AB393" s="1134">
        <f t="shared" si="91"/>
        <v>0</v>
      </c>
      <c r="AC393" s="1134">
        <f t="shared" si="91"/>
        <v>0</v>
      </c>
      <c r="AD393" s="1134">
        <f t="shared" si="91"/>
        <v>0</v>
      </c>
      <c r="AE393" s="1135">
        <f t="shared" si="91"/>
        <v>0</v>
      </c>
      <c r="AF393" s="1134">
        <f t="shared" si="91"/>
        <v>0</v>
      </c>
    </row>
    <row r="394" spans="1:34" s="1119" customFormat="1" ht="38.25" x14ac:dyDescent="0.2">
      <c r="A394" s="1118"/>
      <c r="C394" s="1120" t="str">
        <f>'TRAD-Calculs pédiatriques'!B90</f>
        <v>Nb de patients-mois / produit - NOUVEAUX</v>
      </c>
      <c r="D394" s="1136">
        <f t="shared" ref="D394:AF394" si="92">SUMIF(D370:D392, "X", $AH370:$AH392)</f>
        <v>0</v>
      </c>
      <c r="E394" s="1136">
        <f t="shared" si="92"/>
        <v>0</v>
      </c>
      <c r="F394" s="1136">
        <f t="shared" si="92"/>
        <v>0</v>
      </c>
      <c r="G394" s="1136">
        <f t="shared" si="92"/>
        <v>0</v>
      </c>
      <c r="H394" s="1136">
        <f t="shared" si="92"/>
        <v>0</v>
      </c>
      <c r="I394" s="1136">
        <f t="shared" si="92"/>
        <v>0</v>
      </c>
      <c r="J394" s="1136">
        <f t="shared" si="92"/>
        <v>0</v>
      </c>
      <c r="K394" s="1136">
        <f t="shared" si="92"/>
        <v>0</v>
      </c>
      <c r="L394" s="1185">
        <f t="shared" si="92"/>
        <v>0</v>
      </c>
      <c r="M394" s="1136">
        <f t="shared" si="92"/>
        <v>0</v>
      </c>
      <c r="N394" s="1136">
        <f t="shared" si="92"/>
        <v>0</v>
      </c>
      <c r="O394" s="1136">
        <f t="shared" si="92"/>
        <v>0</v>
      </c>
      <c r="P394" s="1136">
        <f t="shared" si="92"/>
        <v>0</v>
      </c>
      <c r="Q394" s="1185">
        <f t="shared" si="92"/>
        <v>0</v>
      </c>
      <c r="R394" s="1136">
        <f t="shared" si="92"/>
        <v>0</v>
      </c>
      <c r="S394" s="1136">
        <f t="shared" si="92"/>
        <v>0</v>
      </c>
      <c r="T394" s="1136">
        <f t="shared" si="92"/>
        <v>0</v>
      </c>
      <c r="U394" s="1136">
        <f t="shared" si="92"/>
        <v>0</v>
      </c>
      <c r="V394" s="1136">
        <f t="shared" si="92"/>
        <v>0</v>
      </c>
      <c r="W394" s="1136">
        <f t="shared" si="92"/>
        <v>0</v>
      </c>
      <c r="X394" s="1136">
        <f t="shared" si="92"/>
        <v>0</v>
      </c>
      <c r="Y394" s="1136">
        <f t="shared" si="92"/>
        <v>0</v>
      </c>
      <c r="Z394" s="1136">
        <f t="shared" si="92"/>
        <v>0</v>
      </c>
      <c r="AA394" s="1136">
        <f t="shared" si="92"/>
        <v>0</v>
      </c>
      <c r="AB394" s="1136">
        <f t="shared" si="92"/>
        <v>0</v>
      </c>
      <c r="AC394" s="1136">
        <f t="shared" si="92"/>
        <v>0</v>
      </c>
      <c r="AD394" s="1136">
        <f t="shared" si="92"/>
        <v>0</v>
      </c>
      <c r="AE394" s="1137">
        <f t="shared" si="92"/>
        <v>0</v>
      </c>
      <c r="AF394" s="1136">
        <f t="shared" si="92"/>
        <v>0</v>
      </c>
    </row>
    <row r="395" spans="1:34" s="1119" customFormat="1" x14ac:dyDescent="0.2">
      <c r="A395" s="1118"/>
      <c r="C395" s="1121" t="str">
        <f>'TRAD-Calculs pédiatriques'!B96</f>
        <v>Nb de cdt pr SUIVIS</v>
      </c>
      <c r="D395" s="1138">
        <f t="shared" ref="D395:AF395" si="93">D393*D369</f>
        <v>0</v>
      </c>
      <c r="E395" s="1138">
        <f t="shared" si="93"/>
        <v>0</v>
      </c>
      <c r="F395" s="1138">
        <f t="shared" si="93"/>
        <v>0</v>
      </c>
      <c r="G395" s="1138">
        <f t="shared" si="93"/>
        <v>0</v>
      </c>
      <c r="H395" s="1138">
        <f t="shared" si="93"/>
        <v>0</v>
      </c>
      <c r="I395" s="1138">
        <f t="shared" si="93"/>
        <v>0</v>
      </c>
      <c r="J395" s="1138">
        <f t="shared" si="93"/>
        <v>0</v>
      </c>
      <c r="K395" s="1138">
        <f t="shared" si="93"/>
        <v>0</v>
      </c>
      <c r="L395" s="1186">
        <f t="shared" si="93"/>
        <v>0</v>
      </c>
      <c r="M395" s="1138">
        <f t="shared" si="93"/>
        <v>0</v>
      </c>
      <c r="N395" s="1138">
        <f t="shared" si="93"/>
        <v>0</v>
      </c>
      <c r="O395" s="1138">
        <f t="shared" si="93"/>
        <v>0</v>
      </c>
      <c r="P395" s="1138">
        <f t="shared" si="93"/>
        <v>0</v>
      </c>
      <c r="Q395" s="1186">
        <f t="shared" si="93"/>
        <v>0</v>
      </c>
      <c r="R395" s="1138">
        <f t="shared" si="93"/>
        <v>0</v>
      </c>
      <c r="S395" s="1138">
        <f t="shared" si="93"/>
        <v>0</v>
      </c>
      <c r="T395" s="1138">
        <f t="shared" si="93"/>
        <v>0</v>
      </c>
      <c r="U395" s="1138">
        <f t="shared" si="93"/>
        <v>0</v>
      </c>
      <c r="V395" s="1138">
        <f t="shared" si="93"/>
        <v>0</v>
      </c>
      <c r="W395" s="1138">
        <f t="shared" si="93"/>
        <v>0</v>
      </c>
      <c r="X395" s="1138">
        <f t="shared" si="93"/>
        <v>0</v>
      </c>
      <c r="Y395" s="1138">
        <f t="shared" si="93"/>
        <v>0</v>
      </c>
      <c r="Z395" s="1138">
        <f t="shared" si="93"/>
        <v>0</v>
      </c>
      <c r="AA395" s="1138">
        <f t="shared" si="93"/>
        <v>0</v>
      </c>
      <c r="AB395" s="1138">
        <f t="shared" si="93"/>
        <v>0</v>
      </c>
      <c r="AC395" s="1138">
        <f t="shared" si="93"/>
        <v>0</v>
      </c>
      <c r="AD395" s="1138">
        <f t="shared" si="93"/>
        <v>0</v>
      </c>
      <c r="AE395" s="1140">
        <f t="shared" si="93"/>
        <v>0</v>
      </c>
      <c r="AF395" s="1138">
        <f t="shared" si="93"/>
        <v>0</v>
      </c>
    </row>
    <row r="396" spans="1:34" s="1119" customFormat="1" ht="26.25" thickBot="1" x14ac:dyDescent="0.25">
      <c r="A396" s="1118"/>
      <c r="C396" s="1121" t="str">
        <f>'TRAD-Calculs pédiatriques'!B97</f>
        <v>Nb de cdt pr NOUVEAUX</v>
      </c>
      <c r="D396" s="1139">
        <f t="shared" ref="D396:AF396" si="94">D394*D369</f>
        <v>0</v>
      </c>
      <c r="E396" s="1139">
        <f t="shared" si="94"/>
        <v>0</v>
      </c>
      <c r="F396" s="1139">
        <f t="shared" si="94"/>
        <v>0</v>
      </c>
      <c r="G396" s="1139">
        <f t="shared" si="94"/>
        <v>0</v>
      </c>
      <c r="H396" s="1139">
        <f t="shared" si="94"/>
        <v>0</v>
      </c>
      <c r="I396" s="1139">
        <f t="shared" si="94"/>
        <v>0</v>
      </c>
      <c r="J396" s="1139">
        <f t="shared" si="94"/>
        <v>0</v>
      </c>
      <c r="K396" s="1139">
        <f t="shared" si="94"/>
        <v>0</v>
      </c>
      <c r="L396" s="1187">
        <f t="shared" si="94"/>
        <v>0</v>
      </c>
      <c r="M396" s="1139">
        <f t="shared" si="94"/>
        <v>0</v>
      </c>
      <c r="N396" s="1139">
        <f t="shared" si="94"/>
        <v>0</v>
      </c>
      <c r="O396" s="1139">
        <f t="shared" si="94"/>
        <v>0</v>
      </c>
      <c r="P396" s="1139">
        <f t="shared" si="94"/>
        <v>0</v>
      </c>
      <c r="Q396" s="1187">
        <f t="shared" si="94"/>
        <v>0</v>
      </c>
      <c r="R396" s="1139">
        <f t="shared" si="94"/>
        <v>0</v>
      </c>
      <c r="S396" s="1139">
        <f t="shared" si="94"/>
        <v>0</v>
      </c>
      <c r="T396" s="1139">
        <f t="shared" si="94"/>
        <v>0</v>
      </c>
      <c r="U396" s="1139">
        <f t="shared" si="94"/>
        <v>0</v>
      </c>
      <c r="V396" s="1139">
        <f t="shared" si="94"/>
        <v>0</v>
      </c>
      <c r="W396" s="1139">
        <f t="shared" si="94"/>
        <v>0</v>
      </c>
      <c r="X396" s="1139">
        <f t="shared" si="94"/>
        <v>0</v>
      </c>
      <c r="Y396" s="1139">
        <f t="shared" si="94"/>
        <v>0</v>
      </c>
      <c r="Z396" s="1139">
        <f t="shared" si="94"/>
        <v>0</v>
      </c>
      <c r="AA396" s="1139">
        <f t="shared" si="94"/>
        <v>0</v>
      </c>
      <c r="AB396" s="1139">
        <f t="shared" si="94"/>
        <v>0</v>
      </c>
      <c r="AC396" s="1139">
        <f t="shared" si="94"/>
        <v>0</v>
      </c>
      <c r="AD396" s="1139">
        <f t="shared" si="94"/>
        <v>0</v>
      </c>
      <c r="AE396" s="1141">
        <f t="shared" si="94"/>
        <v>0</v>
      </c>
      <c r="AF396" s="1139">
        <f t="shared" si="94"/>
        <v>0</v>
      </c>
    </row>
    <row r="398" spans="1:34" ht="13.5" thickBot="1" x14ac:dyDescent="0.25"/>
    <row r="399" spans="1:34" ht="13.5" thickBot="1" x14ac:dyDescent="0.25">
      <c r="B399" s="1168" t="str">
        <f>'TRAD-Calculs pédiatriques'!B99</f>
        <v>Tranche 20 - 24,9 kg</v>
      </c>
      <c r="C399" s="1162"/>
      <c r="D399" s="1166"/>
      <c r="E399" s="1166"/>
      <c r="F399" s="1166"/>
      <c r="G399" s="1167"/>
      <c r="I399" s="1166"/>
      <c r="J399" s="1166"/>
    </row>
    <row r="400" spans="1:34" ht="13.5" thickBot="1" x14ac:dyDescent="0.25">
      <c r="D400" s="1172"/>
      <c r="E400" s="1173"/>
      <c r="F400" s="1173"/>
      <c r="G400" s="1173"/>
      <c r="H400" s="1162"/>
      <c r="I400" s="1173"/>
      <c r="J400" s="1173"/>
      <c r="K400" s="1162"/>
      <c r="L400" s="191"/>
      <c r="M400" s="1162"/>
      <c r="N400" s="1162"/>
      <c r="O400" s="1162"/>
      <c r="P400" s="1162"/>
      <c r="Q400" s="191"/>
      <c r="R400" s="1162"/>
      <c r="S400" s="1162"/>
      <c r="T400" s="1162"/>
      <c r="U400" s="1162"/>
      <c r="V400" s="1162"/>
      <c r="W400" s="1162"/>
      <c r="X400" s="1162"/>
      <c r="Y400" s="1162"/>
      <c r="Z400" s="1162"/>
      <c r="AA400" s="1162"/>
      <c r="AB400" s="1162"/>
      <c r="AC400" s="1162"/>
      <c r="AD400" s="1162"/>
      <c r="AE400" s="1163"/>
      <c r="AF400" s="1162"/>
    </row>
    <row r="401" spans="1:34" x14ac:dyDescent="0.2">
      <c r="C401" s="1108"/>
      <c r="D401" s="1193" t="str">
        <f>'TRAD-Calculs pédiatriques'!B53</f>
        <v>sol buv</v>
      </c>
      <c r="E401" s="1194"/>
      <c r="F401" s="1194"/>
      <c r="G401" s="1194"/>
      <c r="H401" s="1194"/>
      <c r="I401" s="1194"/>
      <c r="J401" s="1194"/>
      <c r="K401" s="1195"/>
      <c r="L401" s="1193"/>
      <c r="M401" s="1195"/>
      <c r="N401" s="1196"/>
      <c r="O401" s="1196"/>
      <c r="P401" s="1195"/>
      <c r="Q401" s="1193" t="str">
        <f>'TRAD-Calculs pédiatriques'!B102</f>
        <v>Comprimés</v>
      </c>
      <c r="R401" s="1195"/>
      <c r="S401" s="2265"/>
      <c r="T401" s="2265"/>
      <c r="U401" s="2265"/>
      <c r="V401" s="1196"/>
      <c r="W401" s="1196"/>
      <c r="X401" s="2264"/>
      <c r="Y401" s="1196"/>
      <c r="Z401" s="2264"/>
      <c r="AA401" s="1196"/>
      <c r="AB401" s="1196"/>
      <c r="AC401" s="1196"/>
      <c r="AD401" s="1196"/>
      <c r="AE401" s="1197"/>
      <c r="AF401" s="1196"/>
    </row>
    <row r="402" spans="1:34" s="1123" customFormat="1" ht="38.25" x14ac:dyDescent="0.2">
      <c r="A402" s="1122"/>
      <c r="C402" s="1109" t="str">
        <f>'TRAD-Calculs pédiatriques'!B85</f>
        <v>Nb de boites / mois pour l'ensemble des patients</v>
      </c>
      <c r="D402" s="1125" t="s">
        <v>32</v>
      </c>
      <c r="E402" s="1125" t="s">
        <v>82</v>
      </c>
      <c r="F402" s="1125" t="s">
        <v>34</v>
      </c>
      <c r="G402" s="1125" t="s">
        <v>36</v>
      </c>
      <c r="H402" s="1125" t="s">
        <v>37</v>
      </c>
      <c r="I402" s="1125" t="s">
        <v>29</v>
      </c>
      <c r="J402" s="1125" t="s">
        <v>27</v>
      </c>
      <c r="K402" s="1124" t="s">
        <v>42</v>
      </c>
      <c r="L402" s="1182" t="s">
        <v>1</v>
      </c>
      <c r="M402" s="1124" t="str">
        <f>'TRAD-Calculs pédiatriques'!B67</f>
        <v>AZT+3TC+NVP bébé</v>
      </c>
      <c r="N402" s="1124" t="s">
        <v>18</v>
      </c>
      <c r="O402" s="1124" t="str">
        <f>'TRAD-Calculs pédiatriques'!B69</f>
        <v>AZT+3TC bébé</v>
      </c>
      <c r="P402" s="1124" t="s">
        <v>2</v>
      </c>
      <c r="Q402" s="1182" t="str">
        <f>'TRAD-Calculs pédiatriques'!B71</f>
        <v>D4T+3TC+NVP bébé</v>
      </c>
      <c r="R402" s="1124" t="s">
        <v>22</v>
      </c>
      <c r="S402" s="1124" t="s">
        <v>3</v>
      </c>
      <c r="T402" s="1124" t="s">
        <v>596</v>
      </c>
      <c r="U402" s="1124" t="str">
        <f>'TRAD-Calculs pédiatriques'!B74</f>
        <v>ABC+3TC bébé</v>
      </c>
      <c r="V402" s="1124" t="s">
        <v>34</v>
      </c>
      <c r="W402" s="1124" t="s">
        <v>36</v>
      </c>
      <c r="X402" s="1124" t="str">
        <f>'TRAD-Calculs pédiatriques'!B76</f>
        <v>ABC bébé</v>
      </c>
      <c r="Y402" s="1124" t="s">
        <v>32</v>
      </c>
      <c r="Z402" s="1124" t="str">
        <f>'TRAD-Calculs pédiatriques'!B77</f>
        <v>AZT bébé</v>
      </c>
      <c r="AA402" s="1124" t="s">
        <v>37</v>
      </c>
      <c r="AB402" s="1124" t="s">
        <v>29</v>
      </c>
      <c r="AC402" s="1124" t="s">
        <v>27</v>
      </c>
      <c r="AD402" s="1124" t="s">
        <v>27</v>
      </c>
      <c r="AE402" s="1126" t="s">
        <v>42</v>
      </c>
      <c r="AF402" s="1124" t="str">
        <f>'TRAD-Calculs pédiatriques'!B80</f>
        <v>LPV/r bébé</v>
      </c>
    </row>
    <row r="403" spans="1:34" s="1123" customFormat="1" ht="64.5" thickBot="1" x14ac:dyDescent="0.25">
      <c r="A403" s="1122"/>
      <c r="C403" s="1109" t="str">
        <f>'TRAD-Calculs pédiatriques'!B46</f>
        <v>Dosage</v>
      </c>
      <c r="D403" s="1124" t="s">
        <v>80</v>
      </c>
      <c r="E403" s="1125" t="s">
        <v>80</v>
      </c>
      <c r="F403" s="1125" t="s">
        <v>80</v>
      </c>
      <c r="G403" s="1125" t="s">
        <v>88</v>
      </c>
      <c r="H403" s="1125" t="s">
        <v>91</v>
      </c>
      <c r="I403" s="1125" t="s">
        <v>80</v>
      </c>
      <c r="J403" s="1125" t="s">
        <v>86</v>
      </c>
      <c r="K403" s="1124" t="s">
        <v>93</v>
      </c>
      <c r="L403" s="1182" t="s">
        <v>17</v>
      </c>
      <c r="M403" s="1124" t="s">
        <v>258</v>
      </c>
      <c r="N403" s="1124" t="s">
        <v>19</v>
      </c>
      <c r="O403" s="1124" t="s">
        <v>260</v>
      </c>
      <c r="P403" s="1124" t="s">
        <v>21</v>
      </c>
      <c r="Q403" s="1182" t="s">
        <v>102</v>
      </c>
      <c r="R403" s="1124" t="s">
        <v>23</v>
      </c>
      <c r="S403" s="1124" t="s">
        <v>137</v>
      </c>
      <c r="T403" s="1124" t="s">
        <v>728</v>
      </c>
      <c r="U403" s="1124" t="s">
        <v>260</v>
      </c>
      <c r="V403" s="1124" t="s">
        <v>35</v>
      </c>
      <c r="W403" s="1124" t="s">
        <v>33</v>
      </c>
      <c r="X403" s="1124" t="s">
        <v>611</v>
      </c>
      <c r="Y403" s="1124" t="s">
        <v>46</v>
      </c>
      <c r="Z403" s="1124" t="s">
        <v>611</v>
      </c>
      <c r="AA403" s="1124" t="s">
        <v>38</v>
      </c>
      <c r="AB403" s="1124" t="s">
        <v>30</v>
      </c>
      <c r="AC403" s="1124" t="s">
        <v>30</v>
      </c>
      <c r="AD403" s="1124" t="s">
        <v>105</v>
      </c>
      <c r="AE403" s="1126" t="s">
        <v>43</v>
      </c>
      <c r="AF403" s="1124" t="s">
        <v>496</v>
      </c>
      <c r="AG403" s="1176" t="str">
        <f>'TRAD-Calculs pédiatriques'!B38</f>
        <v>Répartition des patients mois / tranches de poids</v>
      </c>
    </row>
    <row r="404" spans="1:34" ht="26.25" thickBot="1" x14ac:dyDescent="0.25">
      <c r="C404" s="2537" t="str">
        <f>'TRAD-Calculs pédiatriques'!B86</f>
        <v>Nb de cdt/mois pour la tranche</v>
      </c>
      <c r="D404" s="2282">
        <f t="array" ref="D404:AF404">TRANSPOSE(I261:I289)</f>
        <v>0</v>
      </c>
      <c r="E404" s="2282">
        <v>0</v>
      </c>
      <c r="F404" s="2282">
        <v>0</v>
      </c>
      <c r="G404" s="2282">
        <v>0</v>
      </c>
      <c r="H404" s="2282">
        <v>0</v>
      </c>
      <c r="I404" s="2282">
        <v>0</v>
      </c>
      <c r="J404" s="2282">
        <v>0</v>
      </c>
      <c r="K404" s="2283">
        <v>0</v>
      </c>
      <c r="L404" s="2284">
        <v>1</v>
      </c>
      <c r="M404" s="2283">
        <v>3</v>
      </c>
      <c r="N404" s="2283">
        <v>1</v>
      </c>
      <c r="O404" s="2283">
        <v>3</v>
      </c>
      <c r="P404" s="2283">
        <v>1</v>
      </c>
      <c r="Q404" s="2284">
        <v>3</v>
      </c>
      <c r="R404" s="2283">
        <v>1</v>
      </c>
      <c r="S404" s="2283">
        <v>1</v>
      </c>
      <c r="T404" s="2283">
        <v>1</v>
      </c>
      <c r="U404" s="2283">
        <v>3</v>
      </c>
      <c r="V404" s="2283">
        <v>1</v>
      </c>
      <c r="W404" s="2283">
        <v>1</v>
      </c>
      <c r="X404" s="2283">
        <v>3</v>
      </c>
      <c r="Y404" s="2283">
        <v>1.2</v>
      </c>
      <c r="Z404" s="2283">
        <v>3</v>
      </c>
      <c r="AA404" s="2283">
        <v>1</v>
      </c>
      <c r="AB404" s="2283">
        <v>1</v>
      </c>
      <c r="AC404" s="2283">
        <v>1.5</v>
      </c>
      <c r="AD404" s="2283">
        <v>8</v>
      </c>
      <c r="AE404" s="2285">
        <v>0.5</v>
      </c>
      <c r="AF404" s="2285">
        <v>2</v>
      </c>
      <c r="AG404" s="139"/>
    </row>
    <row r="405" spans="1:34" ht="26.25" thickBot="1" x14ac:dyDescent="0.25">
      <c r="B405" s="1109" t="str">
        <f>'TRAD-Calculs pédiatriques'!B5</f>
        <v>Schéma thérapeutique</v>
      </c>
      <c r="C405" s="1114" t="str">
        <f>'TRAD-Calculs pédiatriques'!B7</f>
        <v>Premières lignes</v>
      </c>
      <c r="D405" s="1112"/>
      <c r="E405" s="1112"/>
      <c r="F405" s="1112"/>
      <c r="G405" s="1112"/>
      <c r="H405" s="1112"/>
      <c r="I405" s="1112"/>
      <c r="J405" s="1112"/>
      <c r="K405" s="1112"/>
      <c r="L405" s="1183"/>
      <c r="M405" s="1112"/>
      <c r="N405" s="1112"/>
      <c r="O405" s="1112"/>
      <c r="P405" s="1112"/>
      <c r="Q405" s="1183"/>
      <c r="R405" s="1112"/>
      <c r="S405" s="1112"/>
      <c r="T405" s="1112"/>
      <c r="U405" s="1112"/>
      <c r="V405" s="1112"/>
      <c r="W405" s="1112"/>
      <c r="X405" s="1112"/>
      <c r="Y405" s="1112"/>
      <c r="Z405" s="1112"/>
      <c r="AA405" s="1112"/>
      <c r="AB405" s="1112"/>
      <c r="AC405" s="1112"/>
      <c r="AD405" s="1112"/>
      <c r="AE405" s="1113"/>
      <c r="AF405" s="1112"/>
      <c r="AG405" s="1192"/>
      <c r="AH405" s="1161"/>
    </row>
    <row r="406" spans="1:34" x14ac:dyDescent="0.2">
      <c r="C406" s="1115" t="str">
        <f>'Saisie données file act.'!D598</f>
        <v>ABC+3TC+LPV/r</v>
      </c>
      <c r="D406" s="2298">
        <f>'Saisie données file act.'!E598</f>
        <v>0</v>
      </c>
      <c r="E406" s="2298">
        <f>'Saisie données file act.'!F598</f>
        <v>0</v>
      </c>
      <c r="F406" s="2298">
        <f>'Saisie données file act.'!G598</f>
        <v>0</v>
      </c>
      <c r="G406" s="2298">
        <f>'Saisie données file act.'!H598</f>
        <v>0</v>
      </c>
      <c r="H406" s="2298">
        <f>'Saisie données file act.'!I598</f>
        <v>0</v>
      </c>
      <c r="I406" s="2298">
        <f>'Saisie données file act.'!J598</f>
        <v>0</v>
      </c>
      <c r="J406" s="2298">
        <f>'Saisie données file act.'!K598</f>
        <v>0</v>
      </c>
      <c r="K406" s="2298">
        <f>'Saisie données file act.'!L598</f>
        <v>0</v>
      </c>
      <c r="L406" s="2299">
        <f>'Saisie données file act.'!M598</f>
        <v>0</v>
      </c>
      <c r="M406" s="2298">
        <f>'Saisie données file act.'!N598</f>
        <v>0</v>
      </c>
      <c r="N406" s="2298">
        <f>'Saisie données file act.'!O598</f>
        <v>0</v>
      </c>
      <c r="O406" s="2298">
        <f>'Saisie données file act.'!P598</f>
        <v>0</v>
      </c>
      <c r="P406" s="2298">
        <f>'Saisie données file act.'!Q598</f>
        <v>0</v>
      </c>
      <c r="Q406" s="2299">
        <f>'Saisie données file act.'!R598</f>
        <v>0</v>
      </c>
      <c r="R406" s="2298">
        <f>'Saisie données file act.'!S598</f>
        <v>0</v>
      </c>
      <c r="S406" s="2298">
        <f>'Saisie données file act.'!T598</f>
        <v>0</v>
      </c>
      <c r="T406" s="2298">
        <f>'Saisie données file act.'!U598</f>
        <v>0</v>
      </c>
      <c r="U406" s="2298">
        <f>'Saisie données file act.'!V598</f>
        <v>0</v>
      </c>
      <c r="V406" s="2298">
        <f>'Saisie données file act.'!W598</f>
        <v>0</v>
      </c>
      <c r="W406" s="2298">
        <f>'Saisie données file act.'!X598</f>
        <v>0</v>
      </c>
      <c r="X406" s="2298">
        <f>'Saisie données file act.'!Y598</f>
        <v>0</v>
      </c>
      <c r="Y406" s="2298">
        <f>'Saisie données file act.'!Z598</f>
        <v>0</v>
      </c>
      <c r="Z406" s="2298">
        <f>'Saisie données file act.'!AA598</f>
        <v>0</v>
      </c>
      <c r="AA406" s="2298">
        <f>'Saisie données file act.'!AB598</f>
        <v>0</v>
      </c>
      <c r="AB406" s="2298">
        <f>'Saisie données file act.'!AC598</f>
        <v>0</v>
      </c>
      <c r="AC406" s="2298">
        <f>'Saisie données file act.'!AD598</f>
        <v>0</v>
      </c>
      <c r="AD406" s="2298">
        <f>'Saisie données file act.'!AE598</f>
        <v>0</v>
      </c>
      <c r="AE406" s="2300">
        <f>'Saisie données file act.'!AF598</f>
        <v>0</v>
      </c>
      <c r="AF406" s="2298">
        <f>'Saisie données file act.'!AG598</f>
        <v>0</v>
      </c>
      <c r="AG406" s="1177">
        <f t="shared" ref="AG406:AG411" si="95">I107</f>
        <v>0</v>
      </c>
      <c r="AH406" s="1152">
        <f t="shared" ref="AH406:AH411" si="96">I136</f>
        <v>0</v>
      </c>
    </row>
    <row r="407" spans="1:34" x14ac:dyDescent="0.2">
      <c r="C407" s="1115" t="str">
        <f>'Saisie données file act.'!D599</f>
        <v>ABC+3TC+EFV</v>
      </c>
      <c r="D407" s="2298">
        <f>'Saisie données file act.'!E599</f>
        <v>0</v>
      </c>
      <c r="E407" s="2298">
        <f>'Saisie données file act.'!F599</f>
        <v>0</v>
      </c>
      <c r="F407" s="2298">
        <f>'Saisie données file act.'!G599</f>
        <v>0</v>
      </c>
      <c r="G407" s="2298">
        <f>'Saisie données file act.'!H599</f>
        <v>0</v>
      </c>
      <c r="H407" s="2298">
        <f>'Saisie données file act.'!I599</f>
        <v>0</v>
      </c>
      <c r="I407" s="2298">
        <f>'Saisie données file act.'!J599</f>
        <v>0</v>
      </c>
      <c r="J407" s="2298">
        <f>'Saisie données file act.'!K599</f>
        <v>0</v>
      </c>
      <c r="K407" s="2298">
        <f>'Saisie données file act.'!L599</f>
        <v>0</v>
      </c>
      <c r="L407" s="2299">
        <f>'Saisie données file act.'!M599</f>
        <v>0</v>
      </c>
      <c r="M407" s="2298">
        <f>'Saisie données file act.'!N599</f>
        <v>0</v>
      </c>
      <c r="N407" s="2298">
        <f>'Saisie données file act.'!O599</f>
        <v>0</v>
      </c>
      <c r="O407" s="2298">
        <f>'Saisie données file act.'!P599</f>
        <v>0</v>
      </c>
      <c r="P407" s="2298">
        <f>'Saisie données file act.'!Q599</f>
        <v>0</v>
      </c>
      <c r="Q407" s="2299">
        <f>'Saisie données file act.'!R599</f>
        <v>0</v>
      </c>
      <c r="R407" s="2298">
        <f>'Saisie données file act.'!S599</f>
        <v>0</v>
      </c>
      <c r="S407" s="2298">
        <f>'Saisie données file act.'!T599</f>
        <v>0</v>
      </c>
      <c r="T407" s="2298">
        <f>'Saisie données file act.'!U599</f>
        <v>0</v>
      </c>
      <c r="U407" s="2298">
        <f>'Saisie données file act.'!V599</f>
        <v>0</v>
      </c>
      <c r="V407" s="2298">
        <f>'Saisie données file act.'!W599</f>
        <v>0</v>
      </c>
      <c r="W407" s="2298">
        <f>'Saisie données file act.'!X599</f>
        <v>0</v>
      </c>
      <c r="X407" s="2298">
        <f>'Saisie données file act.'!Y599</f>
        <v>0</v>
      </c>
      <c r="Y407" s="2298">
        <f>'Saisie données file act.'!Z599</f>
        <v>0</v>
      </c>
      <c r="Z407" s="2298">
        <f>'Saisie données file act.'!AA599</f>
        <v>0</v>
      </c>
      <c r="AA407" s="2298">
        <f>'Saisie données file act.'!AB599</f>
        <v>0</v>
      </c>
      <c r="AB407" s="2298">
        <f>'Saisie données file act.'!AC599</f>
        <v>0</v>
      </c>
      <c r="AC407" s="2298">
        <f>'Saisie données file act.'!AD599</f>
        <v>0</v>
      </c>
      <c r="AD407" s="2298">
        <f>'Saisie données file act.'!AE599</f>
        <v>0</v>
      </c>
      <c r="AE407" s="2300">
        <f>'Saisie données file act.'!AF599</f>
        <v>0</v>
      </c>
      <c r="AF407" s="2298">
        <f>'Saisie données file act.'!AG599</f>
        <v>0</v>
      </c>
      <c r="AG407" s="1178">
        <f t="shared" si="95"/>
        <v>0</v>
      </c>
      <c r="AH407" s="1154">
        <f t="shared" si="96"/>
        <v>0</v>
      </c>
    </row>
    <row r="408" spans="1:34" x14ac:dyDescent="0.2">
      <c r="C408" s="1115" t="str">
        <f>'Saisie données file act.'!D600</f>
        <v>ABC+3TC+AZT</v>
      </c>
      <c r="D408" s="2298">
        <f>'Saisie données file act.'!E600</f>
        <v>0</v>
      </c>
      <c r="E408" s="2298">
        <f>'Saisie données file act.'!F600</f>
        <v>0</v>
      </c>
      <c r="F408" s="2298">
        <f>'Saisie données file act.'!G600</f>
        <v>0</v>
      </c>
      <c r="G408" s="2298">
        <f>'Saisie données file act.'!H600</f>
        <v>0</v>
      </c>
      <c r="H408" s="2298">
        <f>'Saisie données file act.'!I600</f>
        <v>0</v>
      </c>
      <c r="I408" s="2298">
        <f>'Saisie données file act.'!J600</f>
        <v>0</v>
      </c>
      <c r="J408" s="2298">
        <f>'Saisie données file act.'!K600</f>
        <v>0</v>
      </c>
      <c r="K408" s="2298">
        <f>'Saisie données file act.'!L600</f>
        <v>0</v>
      </c>
      <c r="L408" s="2299">
        <f>'Saisie données file act.'!M600</f>
        <v>0</v>
      </c>
      <c r="M408" s="2298">
        <f>'Saisie données file act.'!N600</f>
        <v>0</v>
      </c>
      <c r="N408" s="2298">
        <f>'Saisie données file act.'!O600</f>
        <v>0</v>
      </c>
      <c r="O408" s="2298">
        <f>'Saisie données file act.'!P600</f>
        <v>0</v>
      </c>
      <c r="P408" s="2298">
        <f>'Saisie données file act.'!Q600</f>
        <v>0</v>
      </c>
      <c r="Q408" s="2299">
        <f>'Saisie données file act.'!R600</f>
        <v>0</v>
      </c>
      <c r="R408" s="2298">
        <f>'Saisie données file act.'!S600</f>
        <v>0</v>
      </c>
      <c r="S408" s="2298">
        <f>'Saisie données file act.'!T600</f>
        <v>0</v>
      </c>
      <c r="T408" s="2298">
        <f>'Saisie données file act.'!U600</f>
        <v>0</v>
      </c>
      <c r="U408" s="2298">
        <f>'Saisie données file act.'!V600</f>
        <v>0</v>
      </c>
      <c r="V408" s="2298">
        <f>'Saisie données file act.'!W600</f>
        <v>0</v>
      </c>
      <c r="W408" s="2298">
        <f>'Saisie données file act.'!X600</f>
        <v>0</v>
      </c>
      <c r="X408" s="2298">
        <f>'Saisie données file act.'!Y600</f>
        <v>0</v>
      </c>
      <c r="Y408" s="2298">
        <f>'Saisie données file act.'!Z600</f>
        <v>0</v>
      </c>
      <c r="Z408" s="2298">
        <f>'Saisie données file act.'!AA600</f>
        <v>0</v>
      </c>
      <c r="AA408" s="2298">
        <f>'Saisie données file act.'!AB600</f>
        <v>0</v>
      </c>
      <c r="AB408" s="2298">
        <f>'Saisie données file act.'!AC600</f>
        <v>0</v>
      </c>
      <c r="AC408" s="2298">
        <f>'Saisie données file act.'!AD600</f>
        <v>0</v>
      </c>
      <c r="AD408" s="2298">
        <f>'Saisie données file act.'!AE600</f>
        <v>0</v>
      </c>
      <c r="AE408" s="2300">
        <f>'Saisie données file act.'!AF600</f>
        <v>0</v>
      </c>
      <c r="AF408" s="2298">
        <f>'Saisie données file act.'!AG600</f>
        <v>0</v>
      </c>
      <c r="AG408" s="1178">
        <f t="shared" si="95"/>
        <v>0</v>
      </c>
      <c r="AH408" s="1154">
        <f t="shared" si="96"/>
        <v>0</v>
      </c>
    </row>
    <row r="409" spans="1:34" x14ac:dyDescent="0.2">
      <c r="C409" s="1115">
        <f>'Saisie données file act.'!D601</f>
        <v>0</v>
      </c>
      <c r="D409" s="2298">
        <f>'Saisie données file act.'!E601</f>
        <v>0</v>
      </c>
      <c r="E409" s="2298">
        <f>'Saisie données file act.'!F601</f>
        <v>0</v>
      </c>
      <c r="F409" s="2298">
        <f>'Saisie données file act.'!G601</f>
        <v>0</v>
      </c>
      <c r="G409" s="2298">
        <f>'Saisie données file act.'!H601</f>
        <v>0</v>
      </c>
      <c r="H409" s="2298">
        <f>'Saisie données file act.'!I601</f>
        <v>0</v>
      </c>
      <c r="I409" s="2298">
        <f>'Saisie données file act.'!J601</f>
        <v>0</v>
      </c>
      <c r="J409" s="2298">
        <f>'Saisie données file act.'!K601</f>
        <v>0</v>
      </c>
      <c r="K409" s="2298">
        <f>'Saisie données file act.'!L601</f>
        <v>0</v>
      </c>
      <c r="L409" s="2299">
        <f>'Saisie données file act.'!M601</f>
        <v>0</v>
      </c>
      <c r="M409" s="2298">
        <f>'Saisie données file act.'!N601</f>
        <v>0</v>
      </c>
      <c r="N409" s="2298">
        <f>'Saisie données file act.'!O601</f>
        <v>0</v>
      </c>
      <c r="O409" s="2298">
        <f>'Saisie données file act.'!P601</f>
        <v>0</v>
      </c>
      <c r="P409" s="2298">
        <f>'Saisie données file act.'!Q601</f>
        <v>0</v>
      </c>
      <c r="Q409" s="2299">
        <f>'Saisie données file act.'!R601</f>
        <v>0</v>
      </c>
      <c r="R409" s="2298">
        <f>'Saisie données file act.'!S601</f>
        <v>0</v>
      </c>
      <c r="S409" s="2298">
        <f>'Saisie données file act.'!T601</f>
        <v>0</v>
      </c>
      <c r="T409" s="2298">
        <f>'Saisie données file act.'!U601</f>
        <v>0</v>
      </c>
      <c r="U409" s="2298">
        <f>'Saisie données file act.'!V601</f>
        <v>0</v>
      </c>
      <c r="V409" s="2298">
        <f>'Saisie données file act.'!W601</f>
        <v>0</v>
      </c>
      <c r="W409" s="2298">
        <f>'Saisie données file act.'!X601</f>
        <v>0</v>
      </c>
      <c r="X409" s="2298">
        <f>'Saisie données file act.'!Y601</f>
        <v>0</v>
      </c>
      <c r="Y409" s="2298">
        <f>'Saisie données file act.'!Z601</f>
        <v>0</v>
      </c>
      <c r="Z409" s="2298">
        <f>'Saisie données file act.'!AA601</f>
        <v>0</v>
      </c>
      <c r="AA409" s="2298">
        <f>'Saisie données file act.'!AB601</f>
        <v>0</v>
      </c>
      <c r="AB409" s="2298">
        <f>'Saisie données file act.'!AC601</f>
        <v>0</v>
      </c>
      <c r="AC409" s="2298">
        <f>'Saisie données file act.'!AD601</f>
        <v>0</v>
      </c>
      <c r="AD409" s="2298">
        <f>'Saisie données file act.'!AE601</f>
        <v>0</v>
      </c>
      <c r="AE409" s="2300">
        <f>'Saisie données file act.'!AF601</f>
        <v>0</v>
      </c>
      <c r="AF409" s="2298">
        <f>'Saisie données file act.'!AG601</f>
        <v>0</v>
      </c>
      <c r="AG409" s="1178">
        <f t="shared" si="95"/>
        <v>0</v>
      </c>
      <c r="AH409" s="1154">
        <f t="shared" si="96"/>
        <v>0</v>
      </c>
    </row>
    <row r="410" spans="1:34" x14ac:dyDescent="0.2">
      <c r="C410" s="1115">
        <f>'Saisie données file act.'!D602</f>
        <v>0</v>
      </c>
      <c r="D410" s="2298">
        <f>'Saisie données file act.'!E602</f>
        <v>0</v>
      </c>
      <c r="E410" s="2298">
        <f>'Saisie données file act.'!F602</f>
        <v>0</v>
      </c>
      <c r="F410" s="2298">
        <f>'Saisie données file act.'!G602</f>
        <v>0</v>
      </c>
      <c r="G410" s="2298">
        <f>'Saisie données file act.'!H602</f>
        <v>0</v>
      </c>
      <c r="H410" s="2298">
        <f>'Saisie données file act.'!I602</f>
        <v>0</v>
      </c>
      <c r="I410" s="2298">
        <f>'Saisie données file act.'!J602</f>
        <v>0</v>
      </c>
      <c r="J410" s="2298">
        <f>'Saisie données file act.'!K602</f>
        <v>0</v>
      </c>
      <c r="K410" s="2298">
        <f>'Saisie données file act.'!L602</f>
        <v>0</v>
      </c>
      <c r="L410" s="2299">
        <f>'Saisie données file act.'!M602</f>
        <v>0</v>
      </c>
      <c r="M410" s="2298">
        <f>'Saisie données file act.'!N602</f>
        <v>0</v>
      </c>
      <c r="N410" s="2298">
        <f>'Saisie données file act.'!O602</f>
        <v>0</v>
      </c>
      <c r="O410" s="2298">
        <f>'Saisie données file act.'!P602</f>
        <v>0</v>
      </c>
      <c r="P410" s="2298">
        <f>'Saisie données file act.'!Q602</f>
        <v>0</v>
      </c>
      <c r="Q410" s="2299">
        <f>'Saisie données file act.'!R602</f>
        <v>0</v>
      </c>
      <c r="R410" s="2298">
        <f>'Saisie données file act.'!S602</f>
        <v>0</v>
      </c>
      <c r="S410" s="2298">
        <f>'Saisie données file act.'!T602</f>
        <v>0</v>
      </c>
      <c r="T410" s="2298">
        <f>'Saisie données file act.'!U602</f>
        <v>0</v>
      </c>
      <c r="U410" s="2298">
        <f>'Saisie données file act.'!V602</f>
        <v>0</v>
      </c>
      <c r="V410" s="2298">
        <f>'Saisie données file act.'!W602</f>
        <v>0</v>
      </c>
      <c r="W410" s="2298">
        <f>'Saisie données file act.'!X602</f>
        <v>0</v>
      </c>
      <c r="X410" s="2298">
        <f>'Saisie données file act.'!Y602</f>
        <v>0</v>
      </c>
      <c r="Y410" s="2298">
        <f>'Saisie données file act.'!Z602</f>
        <v>0</v>
      </c>
      <c r="Z410" s="2298">
        <f>'Saisie données file act.'!AA602</f>
        <v>0</v>
      </c>
      <c r="AA410" s="2298">
        <f>'Saisie données file act.'!AB602</f>
        <v>0</v>
      </c>
      <c r="AB410" s="2298">
        <f>'Saisie données file act.'!AC602</f>
        <v>0</v>
      </c>
      <c r="AC410" s="2298">
        <f>'Saisie données file act.'!AD602</f>
        <v>0</v>
      </c>
      <c r="AD410" s="2298">
        <f>'Saisie données file act.'!AE602</f>
        <v>0</v>
      </c>
      <c r="AE410" s="2300">
        <f>'Saisie données file act.'!AF602</f>
        <v>0</v>
      </c>
      <c r="AF410" s="2298">
        <f>'Saisie données file act.'!AG602</f>
        <v>0</v>
      </c>
      <c r="AG410" s="1179">
        <f t="shared" si="95"/>
        <v>0</v>
      </c>
      <c r="AH410" s="1156">
        <f t="shared" si="96"/>
        <v>0</v>
      </c>
    </row>
    <row r="411" spans="1:34" ht="13.5" thickBot="1" x14ac:dyDescent="0.25">
      <c r="C411" s="1115">
        <f>'Saisie données file act.'!D603</f>
        <v>0</v>
      </c>
      <c r="D411" s="2298">
        <f>'Saisie données file act.'!E603</f>
        <v>0</v>
      </c>
      <c r="E411" s="2298">
        <f>'Saisie données file act.'!F603</f>
        <v>0</v>
      </c>
      <c r="F411" s="2298">
        <f>'Saisie données file act.'!G603</f>
        <v>0</v>
      </c>
      <c r="G411" s="2298">
        <f>'Saisie données file act.'!H603</f>
        <v>0</v>
      </c>
      <c r="H411" s="2298">
        <f>'Saisie données file act.'!I603</f>
        <v>0</v>
      </c>
      <c r="I411" s="2298">
        <f>'Saisie données file act.'!J603</f>
        <v>0</v>
      </c>
      <c r="J411" s="2298">
        <f>'Saisie données file act.'!K603</f>
        <v>0</v>
      </c>
      <c r="K411" s="2298">
        <f>'Saisie données file act.'!L603</f>
        <v>0</v>
      </c>
      <c r="L411" s="2299">
        <f>'Saisie données file act.'!M603</f>
        <v>0</v>
      </c>
      <c r="M411" s="2298">
        <f>'Saisie données file act.'!N603</f>
        <v>0</v>
      </c>
      <c r="N411" s="2298">
        <f>'Saisie données file act.'!O603</f>
        <v>0</v>
      </c>
      <c r="O411" s="2298">
        <f>'Saisie données file act.'!P603</f>
        <v>0</v>
      </c>
      <c r="P411" s="2298">
        <f>'Saisie données file act.'!Q603</f>
        <v>0</v>
      </c>
      <c r="Q411" s="2299">
        <f>'Saisie données file act.'!R603</f>
        <v>0</v>
      </c>
      <c r="R411" s="2298">
        <f>'Saisie données file act.'!S603</f>
        <v>0</v>
      </c>
      <c r="S411" s="2298">
        <f>'Saisie données file act.'!T603</f>
        <v>0</v>
      </c>
      <c r="T411" s="2298">
        <f>'Saisie données file act.'!U603</f>
        <v>0</v>
      </c>
      <c r="U411" s="2298">
        <f>'Saisie données file act.'!V603</f>
        <v>0</v>
      </c>
      <c r="V411" s="2298">
        <f>'Saisie données file act.'!W603</f>
        <v>0</v>
      </c>
      <c r="W411" s="2298">
        <f>'Saisie données file act.'!X603</f>
        <v>0</v>
      </c>
      <c r="X411" s="2298">
        <f>'Saisie données file act.'!Y603</f>
        <v>0</v>
      </c>
      <c r="Y411" s="2298">
        <f>'Saisie données file act.'!Z603</f>
        <v>0</v>
      </c>
      <c r="Z411" s="2298">
        <f>'Saisie données file act.'!AA603</f>
        <v>0</v>
      </c>
      <c r="AA411" s="2298">
        <f>'Saisie données file act.'!AB603</f>
        <v>0</v>
      </c>
      <c r="AB411" s="2298">
        <f>'Saisie données file act.'!AC603</f>
        <v>0</v>
      </c>
      <c r="AC411" s="2298">
        <f>'Saisie données file act.'!AD603</f>
        <v>0</v>
      </c>
      <c r="AD411" s="2298">
        <f>'Saisie données file act.'!AE603</f>
        <v>0</v>
      </c>
      <c r="AE411" s="2300">
        <f>'Saisie données file act.'!AF603</f>
        <v>0</v>
      </c>
      <c r="AF411" s="2298">
        <f>'Saisie données file act.'!AG603</f>
        <v>0</v>
      </c>
      <c r="AG411" s="1180">
        <f t="shared" si="95"/>
        <v>0</v>
      </c>
      <c r="AH411" s="1158">
        <f t="shared" si="96"/>
        <v>0</v>
      </c>
    </row>
    <row r="412" spans="1:34" ht="13.5" thickBot="1" x14ac:dyDescent="0.25">
      <c r="C412" s="1114" t="str">
        <f>'Saisie données file act.'!D604</f>
        <v>Deuxièmes lignes</v>
      </c>
      <c r="D412" s="2301">
        <f>'Saisie données file act.'!E604</f>
        <v>0</v>
      </c>
      <c r="E412" s="2301">
        <f>'Saisie données file act.'!F604</f>
        <v>0</v>
      </c>
      <c r="F412" s="2301">
        <f>'Saisie données file act.'!G604</f>
        <v>0</v>
      </c>
      <c r="G412" s="2301">
        <f>'Saisie données file act.'!H604</f>
        <v>0</v>
      </c>
      <c r="H412" s="2301">
        <f>'Saisie données file act.'!I604</f>
        <v>0</v>
      </c>
      <c r="I412" s="2301">
        <f>'Saisie données file act.'!J604</f>
        <v>0</v>
      </c>
      <c r="J412" s="2301">
        <f>'Saisie données file act.'!K604</f>
        <v>0</v>
      </c>
      <c r="K412" s="2301">
        <f>'Saisie données file act.'!L604</f>
        <v>0</v>
      </c>
      <c r="L412" s="2302">
        <f>'Saisie données file act.'!M604</f>
        <v>0</v>
      </c>
      <c r="M412" s="2301">
        <f>'Saisie données file act.'!N604</f>
        <v>0</v>
      </c>
      <c r="N412" s="2301">
        <f>'Saisie données file act.'!O604</f>
        <v>0</v>
      </c>
      <c r="O412" s="2301">
        <f>'Saisie données file act.'!P604</f>
        <v>0</v>
      </c>
      <c r="P412" s="2301">
        <f>'Saisie données file act.'!Q604</f>
        <v>0</v>
      </c>
      <c r="Q412" s="2302">
        <f>'Saisie données file act.'!R604</f>
        <v>0</v>
      </c>
      <c r="R412" s="2301">
        <f>'Saisie données file act.'!S604</f>
        <v>0</v>
      </c>
      <c r="S412" s="2301">
        <f>'Saisie données file act.'!T604</f>
        <v>0</v>
      </c>
      <c r="T412" s="2301">
        <f>'Saisie données file act.'!U604</f>
        <v>0</v>
      </c>
      <c r="U412" s="2301">
        <f>'Saisie données file act.'!V604</f>
        <v>0</v>
      </c>
      <c r="V412" s="2301">
        <f>'Saisie données file act.'!W604</f>
        <v>0</v>
      </c>
      <c r="W412" s="2301">
        <f>'Saisie données file act.'!X604</f>
        <v>0</v>
      </c>
      <c r="X412" s="2301">
        <f>'Saisie données file act.'!Y604</f>
        <v>0</v>
      </c>
      <c r="Y412" s="2301">
        <f>'Saisie données file act.'!Z604</f>
        <v>0</v>
      </c>
      <c r="Z412" s="2301">
        <f>'Saisie données file act.'!AA604</f>
        <v>0</v>
      </c>
      <c r="AA412" s="2301">
        <f>'Saisie données file act.'!AB604</f>
        <v>0</v>
      </c>
      <c r="AB412" s="2301">
        <f>'Saisie données file act.'!AC604</f>
        <v>0</v>
      </c>
      <c r="AC412" s="2301">
        <f>'Saisie données file act.'!AD604</f>
        <v>0</v>
      </c>
      <c r="AD412" s="2301">
        <f>'Saisie données file act.'!AE604</f>
        <v>0</v>
      </c>
      <c r="AE412" s="2303">
        <f>'Saisie données file act.'!AF604</f>
        <v>0</v>
      </c>
      <c r="AF412" s="2301">
        <f>'Saisie données file act.'!AG604</f>
        <v>0</v>
      </c>
      <c r="AG412" s="1192"/>
      <c r="AH412" s="1161"/>
    </row>
    <row r="413" spans="1:34" ht="13.5" thickBot="1" x14ac:dyDescent="0.25">
      <c r="C413" s="1110" t="str">
        <f>'Saisie données file act.'!D605</f>
        <v>AZT+3TC+LPV/r</v>
      </c>
      <c r="D413" s="2298">
        <f>'Saisie données file act.'!E605</f>
        <v>0</v>
      </c>
      <c r="E413" s="2298">
        <f>'Saisie données file act.'!F605</f>
        <v>0</v>
      </c>
      <c r="F413" s="2298">
        <f>'Saisie données file act.'!G605</f>
        <v>0</v>
      </c>
      <c r="G413" s="2298">
        <f>'Saisie données file act.'!H605</f>
        <v>0</v>
      </c>
      <c r="H413" s="2298">
        <f>'Saisie données file act.'!I605</f>
        <v>0</v>
      </c>
      <c r="I413" s="2298">
        <f>'Saisie données file act.'!J605</f>
        <v>0</v>
      </c>
      <c r="J413" s="2298">
        <f>'Saisie données file act.'!K605</f>
        <v>0</v>
      </c>
      <c r="K413" s="2298">
        <f>'Saisie données file act.'!L605</f>
        <v>0</v>
      </c>
      <c r="L413" s="2299">
        <f>'Saisie données file act.'!M605</f>
        <v>0</v>
      </c>
      <c r="M413" s="2298">
        <f>'Saisie données file act.'!N605</f>
        <v>0</v>
      </c>
      <c r="N413" s="2298">
        <f>'Saisie données file act.'!O605</f>
        <v>0</v>
      </c>
      <c r="O413" s="2298">
        <f>'Saisie données file act.'!P605</f>
        <v>0</v>
      </c>
      <c r="P413" s="2298">
        <f>'Saisie données file act.'!Q605</f>
        <v>0</v>
      </c>
      <c r="Q413" s="2299">
        <f>'Saisie données file act.'!R605</f>
        <v>0</v>
      </c>
      <c r="R413" s="2298">
        <f>'Saisie données file act.'!S605</f>
        <v>0</v>
      </c>
      <c r="S413" s="2298">
        <f>'Saisie données file act.'!T605</f>
        <v>0</v>
      </c>
      <c r="T413" s="2298">
        <f>'Saisie données file act.'!U605</f>
        <v>0</v>
      </c>
      <c r="U413" s="2298">
        <f>'Saisie données file act.'!V605</f>
        <v>0</v>
      </c>
      <c r="V413" s="2298">
        <f>'Saisie données file act.'!W605</f>
        <v>0</v>
      </c>
      <c r="W413" s="2298">
        <f>'Saisie données file act.'!X605</f>
        <v>0</v>
      </c>
      <c r="X413" s="2298">
        <f>'Saisie données file act.'!Y605</f>
        <v>0</v>
      </c>
      <c r="Y413" s="2298">
        <f>'Saisie données file act.'!Z605</f>
        <v>0</v>
      </c>
      <c r="Z413" s="2298">
        <f>'Saisie données file act.'!AA605</f>
        <v>0</v>
      </c>
      <c r="AA413" s="2298">
        <f>'Saisie données file act.'!AB605</f>
        <v>0</v>
      </c>
      <c r="AB413" s="2298">
        <f>'Saisie données file act.'!AC605</f>
        <v>0</v>
      </c>
      <c r="AC413" s="2298">
        <f>'Saisie données file act.'!AD605</f>
        <v>0</v>
      </c>
      <c r="AD413" s="2298">
        <f>'Saisie données file act.'!AE605</f>
        <v>0</v>
      </c>
      <c r="AE413" s="2300">
        <f>'Saisie données file act.'!AF605</f>
        <v>0</v>
      </c>
      <c r="AF413" s="2298">
        <f>'Saisie données file act.'!AG605</f>
        <v>0</v>
      </c>
      <c r="AG413" s="209">
        <f>I114</f>
        <v>0</v>
      </c>
      <c r="AH413" s="1145">
        <f>I143</f>
        <v>0</v>
      </c>
    </row>
    <row r="414" spans="1:34" x14ac:dyDescent="0.2">
      <c r="C414" s="1115">
        <f>'Saisie données file act.'!D606</f>
        <v>0</v>
      </c>
      <c r="D414" s="2298">
        <f>'Saisie données file act.'!E606</f>
        <v>0</v>
      </c>
      <c r="E414" s="2298">
        <f>'Saisie données file act.'!F606</f>
        <v>0</v>
      </c>
      <c r="F414" s="2298">
        <f>'Saisie données file act.'!G606</f>
        <v>0</v>
      </c>
      <c r="G414" s="2298">
        <f>'Saisie données file act.'!H606</f>
        <v>0</v>
      </c>
      <c r="H414" s="2298">
        <f>'Saisie données file act.'!I606</f>
        <v>0</v>
      </c>
      <c r="I414" s="2298">
        <f>'Saisie données file act.'!J606</f>
        <v>0</v>
      </c>
      <c r="J414" s="2298">
        <f>'Saisie données file act.'!K606</f>
        <v>0</v>
      </c>
      <c r="K414" s="2298">
        <f>'Saisie données file act.'!L606</f>
        <v>0</v>
      </c>
      <c r="L414" s="2299">
        <f>'Saisie données file act.'!M606</f>
        <v>0</v>
      </c>
      <c r="M414" s="2298">
        <f>'Saisie données file act.'!N606</f>
        <v>0</v>
      </c>
      <c r="N414" s="2298">
        <f>'Saisie données file act.'!O606</f>
        <v>0</v>
      </c>
      <c r="O414" s="2298">
        <f>'Saisie données file act.'!P606</f>
        <v>0</v>
      </c>
      <c r="P414" s="2298">
        <f>'Saisie données file act.'!Q606</f>
        <v>0</v>
      </c>
      <c r="Q414" s="2299">
        <f>'Saisie données file act.'!R606</f>
        <v>0</v>
      </c>
      <c r="R414" s="2298">
        <f>'Saisie données file act.'!S606</f>
        <v>0</v>
      </c>
      <c r="S414" s="2298">
        <f>'Saisie données file act.'!T606</f>
        <v>0</v>
      </c>
      <c r="T414" s="2298">
        <f>'Saisie données file act.'!U606</f>
        <v>0</v>
      </c>
      <c r="U414" s="2298">
        <f>'Saisie données file act.'!V606</f>
        <v>0</v>
      </c>
      <c r="V414" s="2298">
        <f>'Saisie données file act.'!W606</f>
        <v>0</v>
      </c>
      <c r="W414" s="2298">
        <f>'Saisie données file act.'!X606</f>
        <v>0</v>
      </c>
      <c r="X414" s="2298">
        <f>'Saisie données file act.'!Y606</f>
        <v>0</v>
      </c>
      <c r="Y414" s="2298">
        <f>'Saisie données file act.'!Z606</f>
        <v>0</v>
      </c>
      <c r="Z414" s="2298">
        <f>'Saisie données file act.'!AA606</f>
        <v>0</v>
      </c>
      <c r="AA414" s="2298">
        <f>'Saisie données file act.'!AB606</f>
        <v>0</v>
      </c>
      <c r="AB414" s="2298">
        <f>'Saisie données file act.'!AC606</f>
        <v>0</v>
      </c>
      <c r="AC414" s="2298">
        <f>'Saisie données file act.'!AD606</f>
        <v>0</v>
      </c>
      <c r="AD414" s="2298">
        <f>'Saisie données file act.'!AE606</f>
        <v>0</v>
      </c>
      <c r="AE414" s="2300">
        <f>'Saisie données file act.'!AF606</f>
        <v>0</v>
      </c>
      <c r="AF414" s="2298">
        <f>'Saisie données file act.'!AG606</f>
        <v>0</v>
      </c>
      <c r="AG414" s="1177">
        <f>I115</f>
        <v>0</v>
      </c>
      <c r="AH414" s="1152">
        <f>I144</f>
        <v>0</v>
      </c>
    </row>
    <row r="415" spans="1:34" x14ac:dyDescent="0.2">
      <c r="C415" s="1115">
        <f>'Saisie données file act.'!D607</f>
        <v>0</v>
      </c>
      <c r="D415" s="2298">
        <f>'Saisie données file act.'!E607</f>
        <v>0</v>
      </c>
      <c r="E415" s="2298">
        <f>'Saisie données file act.'!F607</f>
        <v>0</v>
      </c>
      <c r="F415" s="2298">
        <f>'Saisie données file act.'!G607</f>
        <v>0</v>
      </c>
      <c r="G415" s="2298">
        <f>'Saisie données file act.'!H607</f>
        <v>0</v>
      </c>
      <c r="H415" s="2298">
        <f>'Saisie données file act.'!I607</f>
        <v>0</v>
      </c>
      <c r="I415" s="2298">
        <f>'Saisie données file act.'!J607</f>
        <v>0</v>
      </c>
      <c r="J415" s="2298">
        <f>'Saisie données file act.'!K607</f>
        <v>0</v>
      </c>
      <c r="K415" s="2298">
        <f>'Saisie données file act.'!L607</f>
        <v>0</v>
      </c>
      <c r="L415" s="2299">
        <f>'Saisie données file act.'!M607</f>
        <v>0</v>
      </c>
      <c r="M415" s="2298">
        <f>'Saisie données file act.'!N607</f>
        <v>0</v>
      </c>
      <c r="N415" s="2298">
        <f>'Saisie données file act.'!O607</f>
        <v>0</v>
      </c>
      <c r="O415" s="2298">
        <f>'Saisie données file act.'!P607</f>
        <v>0</v>
      </c>
      <c r="P415" s="2298">
        <f>'Saisie données file act.'!Q607</f>
        <v>0</v>
      </c>
      <c r="Q415" s="2299">
        <f>'Saisie données file act.'!R607</f>
        <v>0</v>
      </c>
      <c r="R415" s="2298">
        <f>'Saisie données file act.'!S607</f>
        <v>0</v>
      </c>
      <c r="S415" s="2298">
        <f>'Saisie données file act.'!T607</f>
        <v>0</v>
      </c>
      <c r="T415" s="2298">
        <f>'Saisie données file act.'!U607</f>
        <v>0</v>
      </c>
      <c r="U415" s="2298">
        <f>'Saisie données file act.'!V607</f>
        <v>0</v>
      </c>
      <c r="V415" s="2298">
        <f>'Saisie données file act.'!W607</f>
        <v>0</v>
      </c>
      <c r="W415" s="2298">
        <f>'Saisie données file act.'!X607</f>
        <v>0</v>
      </c>
      <c r="X415" s="2298">
        <f>'Saisie données file act.'!Y607</f>
        <v>0</v>
      </c>
      <c r="Y415" s="2298">
        <f>'Saisie données file act.'!Z607</f>
        <v>0</v>
      </c>
      <c r="Z415" s="2298">
        <f>'Saisie données file act.'!AA607</f>
        <v>0</v>
      </c>
      <c r="AA415" s="2298">
        <f>'Saisie données file act.'!AB607</f>
        <v>0</v>
      </c>
      <c r="AB415" s="2298">
        <f>'Saisie données file act.'!AC607</f>
        <v>0</v>
      </c>
      <c r="AC415" s="2298">
        <f>'Saisie données file act.'!AD607</f>
        <v>0</v>
      </c>
      <c r="AD415" s="2298">
        <f>'Saisie données file act.'!AE607</f>
        <v>0</v>
      </c>
      <c r="AE415" s="2300">
        <f>'Saisie données file act.'!AF607</f>
        <v>0</v>
      </c>
      <c r="AF415" s="2298">
        <f>'Saisie données file act.'!AG607</f>
        <v>0</v>
      </c>
      <c r="AG415" s="1178">
        <f>I116</f>
        <v>0</v>
      </c>
      <c r="AH415" s="1154">
        <f>I145</f>
        <v>0</v>
      </c>
    </row>
    <row r="416" spans="1:34" x14ac:dyDescent="0.2">
      <c r="C416" s="1115">
        <f>'Saisie données file act.'!D608</f>
        <v>0</v>
      </c>
      <c r="D416" s="2298">
        <f>'Saisie données file act.'!E608</f>
        <v>0</v>
      </c>
      <c r="E416" s="2298">
        <f>'Saisie données file act.'!F608</f>
        <v>0</v>
      </c>
      <c r="F416" s="2298">
        <f>'Saisie données file act.'!G608</f>
        <v>0</v>
      </c>
      <c r="G416" s="2298">
        <f>'Saisie données file act.'!H608</f>
        <v>0</v>
      </c>
      <c r="H416" s="2298">
        <f>'Saisie données file act.'!I608</f>
        <v>0</v>
      </c>
      <c r="I416" s="2298">
        <f>'Saisie données file act.'!J608</f>
        <v>0</v>
      </c>
      <c r="J416" s="2298">
        <f>'Saisie données file act.'!K608</f>
        <v>0</v>
      </c>
      <c r="K416" s="2298">
        <f>'Saisie données file act.'!L608</f>
        <v>0</v>
      </c>
      <c r="L416" s="2299">
        <f>'Saisie données file act.'!M608</f>
        <v>0</v>
      </c>
      <c r="M416" s="2298">
        <f>'Saisie données file act.'!N608</f>
        <v>0</v>
      </c>
      <c r="N416" s="2298">
        <f>'Saisie données file act.'!O608</f>
        <v>0</v>
      </c>
      <c r="O416" s="2298">
        <f>'Saisie données file act.'!P608</f>
        <v>0</v>
      </c>
      <c r="P416" s="2298">
        <f>'Saisie données file act.'!Q608</f>
        <v>0</v>
      </c>
      <c r="Q416" s="2299">
        <f>'Saisie données file act.'!R608</f>
        <v>0</v>
      </c>
      <c r="R416" s="2298">
        <f>'Saisie données file act.'!S608</f>
        <v>0</v>
      </c>
      <c r="S416" s="2298">
        <f>'Saisie données file act.'!T608</f>
        <v>0</v>
      </c>
      <c r="T416" s="2298">
        <f>'Saisie données file act.'!U608</f>
        <v>0</v>
      </c>
      <c r="U416" s="2298">
        <f>'Saisie données file act.'!V608</f>
        <v>0</v>
      </c>
      <c r="V416" s="2298">
        <f>'Saisie données file act.'!W608</f>
        <v>0</v>
      </c>
      <c r="W416" s="2298">
        <f>'Saisie données file act.'!X608</f>
        <v>0</v>
      </c>
      <c r="X416" s="2298">
        <f>'Saisie données file act.'!Y608</f>
        <v>0</v>
      </c>
      <c r="Y416" s="2298">
        <f>'Saisie données file act.'!Z608</f>
        <v>0</v>
      </c>
      <c r="Z416" s="2298">
        <f>'Saisie données file act.'!AA608</f>
        <v>0</v>
      </c>
      <c r="AA416" s="2298">
        <f>'Saisie données file act.'!AB608</f>
        <v>0</v>
      </c>
      <c r="AB416" s="2298">
        <f>'Saisie données file act.'!AC608</f>
        <v>0</v>
      </c>
      <c r="AC416" s="2298">
        <f>'Saisie données file act.'!AD608</f>
        <v>0</v>
      </c>
      <c r="AD416" s="2298">
        <f>'Saisie données file act.'!AE608</f>
        <v>0</v>
      </c>
      <c r="AE416" s="2300">
        <f>'Saisie données file act.'!AF608</f>
        <v>0</v>
      </c>
      <c r="AF416" s="2298">
        <f>'Saisie données file act.'!AG608</f>
        <v>0</v>
      </c>
      <c r="AG416" s="1178">
        <f>I117</f>
        <v>0</v>
      </c>
      <c r="AH416" s="1154">
        <f>I146</f>
        <v>0</v>
      </c>
    </row>
    <row r="417" spans="1:34" ht="13.5" thickBot="1" x14ac:dyDescent="0.25">
      <c r="C417" s="1115">
        <f>'Saisie données file act.'!D609</f>
        <v>0</v>
      </c>
      <c r="D417" s="2298">
        <f>'Saisie données file act.'!E609</f>
        <v>0</v>
      </c>
      <c r="E417" s="2298">
        <f>'Saisie données file act.'!F609</f>
        <v>0</v>
      </c>
      <c r="F417" s="2298">
        <f>'Saisie données file act.'!G609</f>
        <v>0</v>
      </c>
      <c r="G417" s="2298">
        <f>'Saisie données file act.'!H609</f>
        <v>0</v>
      </c>
      <c r="H417" s="2298">
        <f>'Saisie données file act.'!I609</f>
        <v>0</v>
      </c>
      <c r="I417" s="2298">
        <f>'Saisie données file act.'!J609</f>
        <v>0</v>
      </c>
      <c r="J417" s="2298">
        <f>'Saisie données file act.'!K609</f>
        <v>0</v>
      </c>
      <c r="K417" s="2298">
        <f>'Saisie données file act.'!L609</f>
        <v>0</v>
      </c>
      <c r="L417" s="2299">
        <f>'Saisie données file act.'!M609</f>
        <v>0</v>
      </c>
      <c r="M417" s="2298">
        <f>'Saisie données file act.'!N609</f>
        <v>0</v>
      </c>
      <c r="N417" s="2298">
        <f>'Saisie données file act.'!O609</f>
        <v>0</v>
      </c>
      <c r="O417" s="2298">
        <f>'Saisie données file act.'!P609</f>
        <v>0</v>
      </c>
      <c r="P417" s="2298">
        <f>'Saisie données file act.'!Q609</f>
        <v>0</v>
      </c>
      <c r="Q417" s="2299">
        <f>'Saisie données file act.'!R609</f>
        <v>0</v>
      </c>
      <c r="R417" s="2298">
        <f>'Saisie données file act.'!S609</f>
        <v>0</v>
      </c>
      <c r="S417" s="2298">
        <f>'Saisie données file act.'!T609</f>
        <v>0</v>
      </c>
      <c r="T417" s="2298">
        <f>'Saisie données file act.'!U609</f>
        <v>0</v>
      </c>
      <c r="U417" s="2298">
        <f>'Saisie données file act.'!V609</f>
        <v>0</v>
      </c>
      <c r="V417" s="2298">
        <f>'Saisie données file act.'!W609</f>
        <v>0</v>
      </c>
      <c r="W417" s="2298">
        <f>'Saisie données file act.'!X609</f>
        <v>0</v>
      </c>
      <c r="X417" s="2298">
        <f>'Saisie données file act.'!Y609</f>
        <v>0</v>
      </c>
      <c r="Y417" s="2298">
        <f>'Saisie données file act.'!Z609</f>
        <v>0</v>
      </c>
      <c r="Z417" s="2298">
        <f>'Saisie données file act.'!AA609</f>
        <v>0</v>
      </c>
      <c r="AA417" s="2298">
        <f>'Saisie données file act.'!AB609</f>
        <v>0</v>
      </c>
      <c r="AB417" s="2298">
        <f>'Saisie données file act.'!AC609</f>
        <v>0</v>
      </c>
      <c r="AC417" s="2298">
        <f>'Saisie données file act.'!AD609</f>
        <v>0</v>
      </c>
      <c r="AD417" s="2298">
        <f>'Saisie données file act.'!AE609</f>
        <v>0</v>
      </c>
      <c r="AE417" s="2300">
        <f>'Saisie données file act.'!AF609</f>
        <v>0</v>
      </c>
      <c r="AF417" s="2298">
        <f>'Saisie données file act.'!AG609</f>
        <v>0</v>
      </c>
      <c r="AG417" s="1178">
        <f>I118</f>
        <v>0</v>
      </c>
      <c r="AH417" s="1154">
        <f>I147</f>
        <v>0</v>
      </c>
    </row>
    <row r="418" spans="1:34" x14ac:dyDescent="0.2">
      <c r="C418" s="1114" t="str">
        <f>'Saisie données file act.'!D610</f>
        <v>Lignes alternatives</v>
      </c>
      <c r="D418" s="2301">
        <f>'Saisie données file act.'!E610</f>
        <v>0</v>
      </c>
      <c r="E418" s="2301">
        <f>'Saisie données file act.'!F610</f>
        <v>0</v>
      </c>
      <c r="F418" s="2301">
        <f>'Saisie données file act.'!G610</f>
        <v>0</v>
      </c>
      <c r="G418" s="2301">
        <f>'Saisie données file act.'!H610</f>
        <v>0</v>
      </c>
      <c r="H418" s="2301">
        <f>'Saisie données file act.'!I610</f>
        <v>0</v>
      </c>
      <c r="I418" s="2301">
        <f>'Saisie données file act.'!J610</f>
        <v>0</v>
      </c>
      <c r="J418" s="2301">
        <f>'Saisie données file act.'!K610</f>
        <v>0</v>
      </c>
      <c r="K418" s="2301">
        <f>'Saisie données file act.'!L610</f>
        <v>0</v>
      </c>
      <c r="L418" s="2302">
        <f>'Saisie données file act.'!M610</f>
        <v>0</v>
      </c>
      <c r="M418" s="2301">
        <f>'Saisie données file act.'!N610</f>
        <v>0</v>
      </c>
      <c r="N418" s="2301">
        <f>'Saisie données file act.'!O610</f>
        <v>0</v>
      </c>
      <c r="O418" s="2301">
        <f>'Saisie données file act.'!P610</f>
        <v>0</v>
      </c>
      <c r="P418" s="2301">
        <f>'Saisie données file act.'!Q610</f>
        <v>0</v>
      </c>
      <c r="Q418" s="2302">
        <f>'Saisie données file act.'!R610</f>
        <v>0</v>
      </c>
      <c r="R418" s="2301">
        <f>'Saisie données file act.'!S610</f>
        <v>0</v>
      </c>
      <c r="S418" s="2301">
        <f>'Saisie données file act.'!T610</f>
        <v>0</v>
      </c>
      <c r="T418" s="2301">
        <f>'Saisie données file act.'!U610</f>
        <v>0</v>
      </c>
      <c r="U418" s="2301">
        <f>'Saisie données file act.'!V610</f>
        <v>0</v>
      </c>
      <c r="V418" s="2301">
        <f>'Saisie données file act.'!W610</f>
        <v>0</v>
      </c>
      <c r="W418" s="2301">
        <f>'Saisie données file act.'!X610</f>
        <v>0</v>
      </c>
      <c r="X418" s="2301">
        <f>'Saisie données file act.'!Y610</f>
        <v>0</v>
      </c>
      <c r="Y418" s="2301">
        <f>'Saisie données file act.'!Z610</f>
        <v>0</v>
      </c>
      <c r="Z418" s="2301">
        <f>'Saisie données file act.'!AA610</f>
        <v>0</v>
      </c>
      <c r="AA418" s="2301">
        <f>'Saisie données file act.'!AB610</f>
        <v>0</v>
      </c>
      <c r="AB418" s="2301">
        <f>'Saisie données file act.'!AC610</f>
        <v>0</v>
      </c>
      <c r="AC418" s="2301">
        <f>'Saisie données file act.'!AD610</f>
        <v>0</v>
      </c>
      <c r="AD418" s="2301">
        <f>'Saisie données file act.'!AE610</f>
        <v>0</v>
      </c>
      <c r="AE418" s="2303">
        <f>'Saisie données file act.'!AF610</f>
        <v>0</v>
      </c>
      <c r="AF418" s="2301">
        <f>'Saisie données file act.'!AG610</f>
        <v>0</v>
      </c>
      <c r="AG418" s="1192"/>
      <c r="AH418" s="1161"/>
    </row>
    <row r="419" spans="1:34" x14ac:dyDescent="0.2">
      <c r="C419" s="1115">
        <f>'Saisie données file act.'!D611</f>
        <v>0</v>
      </c>
      <c r="D419" s="2298">
        <f>'Saisie données file act.'!E611</f>
        <v>0</v>
      </c>
      <c r="E419" s="2298">
        <f>'Saisie données file act.'!F611</f>
        <v>0</v>
      </c>
      <c r="F419" s="2298">
        <f>'Saisie données file act.'!G611</f>
        <v>0</v>
      </c>
      <c r="G419" s="2298">
        <f>'Saisie données file act.'!H611</f>
        <v>0</v>
      </c>
      <c r="H419" s="2298">
        <f>'Saisie données file act.'!I611</f>
        <v>0</v>
      </c>
      <c r="I419" s="2298">
        <f>'Saisie données file act.'!J611</f>
        <v>0</v>
      </c>
      <c r="J419" s="2298">
        <f>'Saisie données file act.'!K611</f>
        <v>0</v>
      </c>
      <c r="K419" s="2298">
        <f>'Saisie données file act.'!L611</f>
        <v>0</v>
      </c>
      <c r="L419" s="2299">
        <f>'Saisie données file act.'!M611</f>
        <v>0</v>
      </c>
      <c r="M419" s="2298">
        <f>'Saisie données file act.'!N611</f>
        <v>0</v>
      </c>
      <c r="N419" s="2298">
        <f>'Saisie données file act.'!O611</f>
        <v>0</v>
      </c>
      <c r="O419" s="2298">
        <f>'Saisie données file act.'!P611</f>
        <v>0</v>
      </c>
      <c r="P419" s="2298">
        <f>'Saisie données file act.'!Q611</f>
        <v>0</v>
      </c>
      <c r="Q419" s="2299">
        <f>'Saisie données file act.'!R611</f>
        <v>0</v>
      </c>
      <c r="R419" s="2298">
        <f>'Saisie données file act.'!S611</f>
        <v>0</v>
      </c>
      <c r="S419" s="2298">
        <f>'Saisie données file act.'!T611</f>
        <v>0</v>
      </c>
      <c r="T419" s="2298">
        <f>'Saisie données file act.'!U611</f>
        <v>0</v>
      </c>
      <c r="U419" s="2298">
        <f>'Saisie données file act.'!V611</f>
        <v>0</v>
      </c>
      <c r="V419" s="2298">
        <f>'Saisie données file act.'!W611</f>
        <v>0</v>
      </c>
      <c r="W419" s="2298">
        <f>'Saisie données file act.'!X611</f>
        <v>0</v>
      </c>
      <c r="X419" s="2298">
        <f>'Saisie données file act.'!Y611</f>
        <v>0</v>
      </c>
      <c r="Y419" s="2298">
        <f>'Saisie données file act.'!Z611</f>
        <v>0</v>
      </c>
      <c r="Z419" s="2298">
        <f>'Saisie données file act.'!AA611</f>
        <v>0</v>
      </c>
      <c r="AA419" s="2298">
        <f>'Saisie données file act.'!AB611</f>
        <v>0</v>
      </c>
      <c r="AB419" s="2298">
        <f>'Saisie données file act.'!AC611</f>
        <v>0</v>
      </c>
      <c r="AC419" s="2298">
        <f>'Saisie données file act.'!AD611</f>
        <v>0</v>
      </c>
      <c r="AD419" s="2298">
        <f>'Saisie données file act.'!AE611</f>
        <v>0</v>
      </c>
      <c r="AE419" s="2300">
        <f>'Saisie données file act.'!AF611</f>
        <v>0</v>
      </c>
      <c r="AF419" s="2298">
        <f>'Saisie données file act.'!AG611</f>
        <v>0</v>
      </c>
      <c r="AG419" s="1178">
        <f t="shared" ref="AG419:AG427" si="97">I120</f>
        <v>0</v>
      </c>
      <c r="AH419" s="1154">
        <f t="shared" ref="AH419:AH427" si="98">I149</f>
        <v>0</v>
      </c>
    </row>
    <row r="420" spans="1:34" x14ac:dyDescent="0.2">
      <c r="C420" s="1115">
        <f>'Saisie données file act.'!D612</f>
        <v>0</v>
      </c>
      <c r="D420" s="2298">
        <f>'Saisie données file act.'!E612</f>
        <v>0</v>
      </c>
      <c r="E420" s="2298">
        <f>'Saisie données file act.'!F612</f>
        <v>0</v>
      </c>
      <c r="F420" s="2298">
        <f>'Saisie données file act.'!G612</f>
        <v>0</v>
      </c>
      <c r="G420" s="2298">
        <f>'Saisie données file act.'!H612</f>
        <v>0</v>
      </c>
      <c r="H420" s="2298">
        <f>'Saisie données file act.'!I612</f>
        <v>0</v>
      </c>
      <c r="I420" s="2298">
        <f>'Saisie données file act.'!J612</f>
        <v>0</v>
      </c>
      <c r="J420" s="2298">
        <f>'Saisie données file act.'!K612</f>
        <v>0</v>
      </c>
      <c r="K420" s="2298">
        <f>'Saisie données file act.'!L612</f>
        <v>0</v>
      </c>
      <c r="L420" s="2299">
        <f>'Saisie données file act.'!M612</f>
        <v>0</v>
      </c>
      <c r="M420" s="2298">
        <f>'Saisie données file act.'!N612</f>
        <v>0</v>
      </c>
      <c r="N420" s="2298">
        <f>'Saisie données file act.'!O612</f>
        <v>0</v>
      </c>
      <c r="O420" s="2298">
        <f>'Saisie données file act.'!P612</f>
        <v>0</v>
      </c>
      <c r="P420" s="2298">
        <f>'Saisie données file act.'!Q612</f>
        <v>0</v>
      </c>
      <c r="Q420" s="2299">
        <f>'Saisie données file act.'!R612</f>
        <v>0</v>
      </c>
      <c r="R420" s="2298">
        <f>'Saisie données file act.'!S612</f>
        <v>0</v>
      </c>
      <c r="S420" s="2298">
        <f>'Saisie données file act.'!T612</f>
        <v>0</v>
      </c>
      <c r="T420" s="2298">
        <f>'Saisie données file act.'!U612</f>
        <v>0</v>
      </c>
      <c r="U420" s="2298">
        <f>'Saisie données file act.'!V612</f>
        <v>0</v>
      </c>
      <c r="V420" s="2298">
        <f>'Saisie données file act.'!W612</f>
        <v>0</v>
      </c>
      <c r="W420" s="2298">
        <f>'Saisie données file act.'!X612</f>
        <v>0</v>
      </c>
      <c r="X420" s="2298">
        <f>'Saisie données file act.'!Y612</f>
        <v>0</v>
      </c>
      <c r="Y420" s="2298">
        <f>'Saisie données file act.'!Z612</f>
        <v>0</v>
      </c>
      <c r="Z420" s="2298">
        <f>'Saisie données file act.'!AA612</f>
        <v>0</v>
      </c>
      <c r="AA420" s="2298">
        <f>'Saisie données file act.'!AB612</f>
        <v>0</v>
      </c>
      <c r="AB420" s="2298">
        <f>'Saisie données file act.'!AC612</f>
        <v>0</v>
      </c>
      <c r="AC420" s="2298">
        <f>'Saisie données file act.'!AD612</f>
        <v>0</v>
      </c>
      <c r="AD420" s="2298">
        <f>'Saisie données file act.'!AE612</f>
        <v>0</v>
      </c>
      <c r="AE420" s="2300">
        <f>'Saisie données file act.'!AF612</f>
        <v>0</v>
      </c>
      <c r="AF420" s="2298">
        <f>'Saisie données file act.'!AG612</f>
        <v>0</v>
      </c>
      <c r="AG420" s="1178">
        <f t="shared" si="97"/>
        <v>0</v>
      </c>
      <c r="AH420" s="1154">
        <f t="shared" si="98"/>
        <v>0</v>
      </c>
    </row>
    <row r="421" spans="1:34" x14ac:dyDescent="0.2">
      <c r="C421" s="1115">
        <f>'Saisie données file act.'!D613</f>
        <v>0</v>
      </c>
      <c r="D421" s="2298">
        <f>'Saisie données file act.'!E613</f>
        <v>0</v>
      </c>
      <c r="E421" s="2298">
        <f>'Saisie données file act.'!F613</f>
        <v>0</v>
      </c>
      <c r="F421" s="2298">
        <f>'Saisie données file act.'!G613</f>
        <v>0</v>
      </c>
      <c r="G421" s="2298">
        <f>'Saisie données file act.'!H613</f>
        <v>0</v>
      </c>
      <c r="H421" s="2298">
        <f>'Saisie données file act.'!I613</f>
        <v>0</v>
      </c>
      <c r="I421" s="2298">
        <f>'Saisie données file act.'!J613</f>
        <v>0</v>
      </c>
      <c r="J421" s="2298">
        <f>'Saisie données file act.'!K613</f>
        <v>0</v>
      </c>
      <c r="K421" s="2298">
        <f>'Saisie données file act.'!L613</f>
        <v>0</v>
      </c>
      <c r="L421" s="2299">
        <f>'Saisie données file act.'!M613</f>
        <v>0</v>
      </c>
      <c r="M421" s="2298">
        <f>'Saisie données file act.'!N613</f>
        <v>0</v>
      </c>
      <c r="N421" s="2298">
        <f>'Saisie données file act.'!O613</f>
        <v>0</v>
      </c>
      <c r="O421" s="2298">
        <f>'Saisie données file act.'!P613</f>
        <v>0</v>
      </c>
      <c r="P421" s="2298">
        <f>'Saisie données file act.'!Q613</f>
        <v>0</v>
      </c>
      <c r="Q421" s="2299">
        <f>'Saisie données file act.'!R613</f>
        <v>0</v>
      </c>
      <c r="R421" s="2298">
        <f>'Saisie données file act.'!S613</f>
        <v>0</v>
      </c>
      <c r="S421" s="2298">
        <f>'Saisie données file act.'!T613</f>
        <v>0</v>
      </c>
      <c r="T421" s="2298">
        <f>'Saisie données file act.'!U613</f>
        <v>0</v>
      </c>
      <c r="U421" s="2298">
        <f>'Saisie données file act.'!V613</f>
        <v>0</v>
      </c>
      <c r="V421" s="2298">
        <f>'Saisie données file act.'!W613</f>
        <v>0</v>
      </c>
      <c r="W421" s="2298">
        <f>'Saisie données file act.'!X613</f>
        <v>0</v>
      </c>
      <c r="X421" s="2298">
        <f>'Saisie données file act.'!Y613</f>
        <v>0</v>
      </c>
      <c r="Y421" s="2298">
        <f>'Saisie données file act.'!Z613</f>
        <v>0</v>
      </c>
      <c r="Z421" s="2298">
        <f>'Saisie données file act.'!AA613</f>
        <v>0</v>
      </c>
      <c r="AA421" s="2298">
        <f>'Saisie données file act.'!AB613</f>
        <v>0</v>
      </c>
      <c r="AB421" s="2298">
        <f>'Saisie données file act.'!AC613</f>
        <v>0</v>
      </c>
      <c r="AC421" s="2298">
        <f>'Saisie données file act.'!AD613</f>
        <v>0</v>
      </c>
      <c r="AD421" s="2298">
        <f>'Saisie données file act.'!AE613</f>
        <v>0</v>
      </c>
      <c r="AE421" s="2300">
        <f>'Saisie données file act.'!AF613</f>
        <v>0</v>
      </c>
      <c r="AF421" s="2298">
        <f>'Saisie données file act.'!AG613</f>
        <v>0</v>
      </c>
      <c r="AG421" s="1178">
        <f t="shared" si="97"/>
        <v>0</v>
      </c>
      <c r="AH421" s="1154">
        <f t="shared" si="98"/>
        <v>0</v>
      </c>
    </row>
    <row r="422" spans="1:34" x14ac:dyDescent="0.2">
      <c r="C422" s="1115">
        <f>'Saisie données file act.'!D614</f>
        <v>0</v>
      </c>
      <c r="D422" s="2298">
        <f>'Saisie données file act.'!E614</f>
        <v>0</v>
      </c>
      <c r="E422" s="2298">
        <f>'Saisie données file act.'!F614</f>
        <v>0</v>
      </c>
      <c r="F422" s="2298">
        <f>'Saisie données file act.'!G614</f>
        <v>0</v>
      </c>
      <c r="G422" s="2298">
        <f>'Saisie données file act.'!H614</f>
        <v>0</v>
      </c>
      <c r="H422" s="2298">
        <f>'Saisie données file act.'!I614</f>
        <v>0</v>
      </c>
      <c r="I422" s="2298">
        <f>'Saisie données file act.'!J614</f>
        <v>0</v>
      </c>
      <c r="J422" s="2298">
        <f>'Saisie données file act.'!K614</f>
        <v>0</v>
      </c>
      <c r="K422" s="2298">
        <f>'Saisie données file act.'!L614</f>
        <v>0</v>
      </c>
      <c r="L422" s="2299">
        <f>'Saisie données file act.'!M614</f>
        <v>0</v>
      </c>
      <c r="M422" s="2298">
        <f>'Saisie données file act.'!N614</f>
        <v>0</v>
      </c>
      <c r="N422" s="2298">
        <f>'Saisie données file act.'!O614</f>
        <v>0</v>
      </c>
      <c r="O422" s="2298">
        <f>'Saisie données file act.'!P614</f>
        <v>0</v>
      </c>
      <c r="P422" s="2298">
        <f>'Saisie données file act.'!Q614</f>
        <v>0</v>
      </c>
      <c r="Q422" s="2299">
        <f>'Saisie données file act.'!R614</f>
        <v>0</v>
      </c>
      <c r="R422" s="2298">
        <f>'Saisie données file act.'!S614</f>
        <v>0</v>
      </c>
      <c r="S422" s="2298">
        <f>'Saisie données file act.'!T614</f>
        <v>0</v>
      </c>
      <c r="T422" s="2298">
        <f>'Saisie données file act.'!U614</f>
        <v>0</v>
      </c>
      <c r="U422" s="2298">
        <f>'Saisie données file act.'!V614</f>
        <v>0</v>
      </c>
      <c r="V422" s="2298">
        <f>'Saisie données file act.'!W614</f>
        <v>0</v>
      </c>
      <c r="W422" s="2298">
        <f>'Saisie données file act.'!X614</f>
        <v>0</v>
      </c>
      <c r="X422" s="2298">
        <f>'Saisie données file act.'!Y614</f>
        <v>0</v>
      </c>
      <c r="Y422" s="2298">
        <f>'Saisie données file act.'!Z614</f>
        <v>0</v>
      </c>
      <c r="Z422" s="2298">
        <f>'Saisie données file act.'!AA614</f>
        <v>0</v>
      </c>
      <c r="AA422" s="2298">
        <f>'Saisie données file act.'!AB614</f>
        <v>0</v>
      </c>
      <c r="AB422" s="2298">
        <f>'Saisie données file act.'!AC614</f>
        <v>0</v>
      </c>
      <c r="AC422" s="2298">
        <f>'Saisie données file act.'!AD614</f>
        <v>0</v>
      </c>
      <c r="AD422" s="2298">
        <f>'Saisie données file act.'!AE614</f>
        <v>0</v>
      </c>
      <c r="AE422" s="2300">
        <f>'Saisie données file act.'!AF614</f>
        <v>0</v>
      </c>
      <c r="AF422" s="2298">
        <f>'Saisie données file act.'!AG614</f>
        <v>0</v>
      </c>
      <c r="AG422" s="1178">
        <f t="shared" si="97"/>
        <v>0</v>
      </c>
      <c r="AH422" s="1154">
        <f t="shared" si="98"/>
        <v>0</v>
      </c>
    </row>
    <row r="423" spans="1:34" x14ac:dyDescent="0.2">
      <c r="C423" s="1115">
        <f>'Saisie données file act.'!D615</f>
        <v>0</v>
      </c>
      <c r="D423" s="2298">
        <f>'Saisie données file act.'!E615</f>
        <v>0</v>
      </c>
      <c r="E423" s="2298">
        <f>'Saisie données file act.'!F615</f>
        <v>0</v>
      </c>
      <c r="F423" s="2298">
        <f>'Saisie données file act.'!G615</f>
        <v>0</v>
      </c>
      <c r="G423" s="2298">
        <f>'Saisie données file act.'!H615</f>
        <v>0</v>
      </c>
      <c r="H423" s="2298">
        <f>'Saisie données file act.'!I615</f>
        <v>0</v>
      </c>
      <c r="I423" s="2298">
        <f>'Saisie données file act.'!J615</f>
        <v>0</v>
      </c>
      <c r="J423" s="2298">
        <f>'Saisie données file act.'!K615</f>
        <v>0</v>
      </c>
      <c r="K423" s="2298">
        <f>'Saisie données file act.'!L615</f>
        <v>0</v>
      </c>
      <c r="L423" s="2299">
        <f>'Saisie données file act.'!M615</f>
        <v>0</v>
      </c>
      <c r="M423" s="2298">
        <f>'Saisie données file act.'!N615</f>
        <v>0</v>
      </c>
      <c r="N423" s="2298">
        <f>'Saisie données file act.'!O615</f>
        <v>0</v>
      </c>
      <c r="O423" s="2298">
        <f>'Saisie données file act.'!P615</f>
        <v>0</v>
      </c>
      <c r="P423" s="2298">
        <f>'Saisie données file act.'!Q615</f>
        <v>0</v>
      </c>
      <c r="Q423" s="2299">
        <f>'Saisie données file act.'!R615</f>
        <v>0</v>
      </c>
      <c r="R423" s="2298">
        <f>'Saisie données file act.'!S615</f>
        <v>0</v>
      </c>
      <c r="S423" s="2298">
        <f>'Saisie données file act.'!T615</f>
        <v>0</v>
      </c>
      <c r="T423" s="2298">
        <f>'Saisie données file act.'!U615</f>
        <v>0</v>
      </c>
      <c r="U423" s="2298">
        <f>'Saisie données file act.'!V615</f>
        <v>0</v>
      </c>
      <c r="V423" s="2298">
        <f>'Saisie données file act.'!W615</f>
        <v>0</v>
      </c>
      <c r="W423" s="2298">
        <f>'Saisie données file act.'!X615</f>
        <v>0</v>
      </c>
      <c r="X423" s="2298">
        <f>'Saisie données file act.'!Y615</f>
        <v>0</v>
      </c>
      <c r="Y423" s="2298">
        <f>'Saisie données file act.'!Z615</f>
        <v>0</v>
      </c>
      <c r="Z423" s="2298">
        <f>'Saisie données file act.'!AA615</f>
        <v>0</v>
      </c>
      <c r="AA423" s="2298">
        <f>'Saisie données file act.'!AB615</f>
        <v>0</v>
      </c>
      <c r="AB423" s="2298">
        <f>'Saisie données file act.'!AC615</f>
        <v>0</v>
      </c>
      <c r="AC423" s="2298">
        <f>'Saisie données file act.'!AD615</f>
        <v>0</v>
      </c>
      <c r="AD423" s="2298">
        <f>'Saisie données file act.'!AE615</f>
        <v>0</v>
      </c>
      <c r="AE423" s="2300">
        <f>'Saisie données file act.'!AF615</f>
        <v>0</v>
      </c>
      <c r="AF423" s="2298">
        <f>'Saisie données file act.'!AG615</f>
        <v>0</v>
      </c>
      <c r="AG423" s="1178">
        <f t="shared" si="97"/>
        <v>0</v>
      </c>
      <c r="AH423" s="1154">
        <f t="shared" si="98"/>
        <v>0</v>
      </c>
    </row>
    <row r="424" spans="1:34" x14ac:dyDescent="0.2">
      <c r="C424" s="1115">
        <f>'Saisie données file act.'!D616</f>
        <v>0</v>
      </c>
      <c r="D424" s="2298">
        <f>'Saisie données file act.'!E616</f>
        <v>0</v>
      </c>
      <c r="E424" s="2298">
        <f>'Saisie données file act.'!F616</f>
        <v>0</v>
      </c>
      <c r="F424" s="2298">
        <f>'Saisie données file act.'!G616</f>
        <v>0</v>
      </c>
      <c r="G424" s="2298">
        <f>'Saisie données file act.'!H616</f>
        <v>0</v>
      </c>
      <c r="H424" s="2298">
        <f>'Saisie données file act.'!I616</f>
        <v>0</v>
      </c>
      <c r="I424" s="2298">
        <f>'Saisie données file act.'!J616</f>
        <v>0</v>
      </c>
      <c r="J424" s="2298">
        <f>'Saisie données file act.'!K616</f>
        <v>0</v>
      </c>
      <c r="K424" s="2298">
        <f>'Saisie données file act.'!L616</f>
        <v>0</v>
      </c>
      <c r="L424" s="2299">
        <f>'Saisie données file act.'!M616</f>
        <v>0</v>
      </c>
      <c r="M424" s="2298">
        <f>'Saisie données file act.'!N616</f>
        <v>0</v>
      </c>
      <c r="N424" s="2298">
        <f>'Saisie données file act.'!O616</f>
        <v>0</v>
      </c>
      <c r="O424" s="2298">
        <f>'Saisie données file act.'!P616</f>
        <v>0</v>
      </c>
      <c r="P424" s="2298">
        <f>'Saisie données file act.'!Q616</f>
        <v>0</v>
      </c>
      <c r="Q424" s="2299">
        <f>'Saisie données file act.'!R616</f>
        <v>0</v>
      </c>
      <c r="R424" s="2298">
        <f>'Saisie données file act.'!S616</f>
        <v>0</v>
      </c>
      <c r="S424" s="2298">
        <f>'Saisie données file act.'!T616</f>
        <v>0</v>
      </c>
      <c r="T424" s="2298">
        <f>'Saisie données file act.'!U616</f>
        <v>0</v>
      </c>
      <c r="U424" s="2298">
        <f>'Saisie données file act.'!V616</f>
        <v>0</v>
      </c>
      <c r="V424" s="2298">
        <f>'Saisie données file act.'!W616</f>
        <v>0</v>
      </c>
      <c r="W424" s="2298">
        <f>'Saisie données file act.'!X616</f>
        <v>0</v>
      </c>
      <c r="X424" s="2298">
        <f>'Saisie données file act.'!Y616</f>
        <v>0</v>
      </c>
      <c r="Y424" s="2298">
        <f>'Saisie données file act.'!Z616</f>
        <v>0</v>
      </c>
      <c r="Z424" s="2298">
        <f>'Saisie données file act.'!AA616</f>
        <v>0</v>
      </c>
      <c r="AA424" s="2298">
        <f>'Saisie données file act.'!AB616</f>
        <v>0</v>
      </c>
      <c r="AB424" s="2298">
        <f>'Saisie données file act.'!AC616</f>
        <v>0</v>
      </c>
      <c r="AC424" s="2298">
        <f>'Saisie données file act.'!AD616</f>
        <v>0</v>
      </c>
      <c r="AD424" s="2298">
        <f>'Saisie données file act.'!AE616</f>
        <v>0</v>
      </c>
      <c r="AE424" s="2300">
        <f>'Saisie données file act.'!AF616</f>
        <v>0</v>
      </c>
      <c r="AF424" s="2298">
        <f>'Saisie données file act.'!AG616</f>
        <v>0</v>
      </c>
      <c r="AG424" s="1178">
        <f t="shared" si="97"/>
        <v>0</v>
      </c>
      <c r="AH424" s="1154">
        <f t="shared" si="98"/>
        <v>0</v>
      </c>
    </row>
    <row r="425" spans="1:34" x14ac:dyDescent="0.2">
      <c r="C425" s="1115">
        <f>'Saisie données file act.'!D617</f>
        <v>0</v>
      </c>
      <c r="D425" s="2298">
        <f>'Saisie données file act.'!E617</f>
        <v>0</v>
      </c>
      <c r="E425" s="2298">
        <f>'Saisie données file act.'!F617</f>
        <v>0</v>
      </c>
      <c r="F425" s="2298">
        <f>'Saisie données file act.'!G617</f>
        <v>0</v>
      </c>
      <c r="G425" s="2298">
        <f>'Saisie données file act.'!H617</f>
        <v>0</v>
      </c>
      <c r="H425" s="2298">
        <f>'Saisie données file act.'!I617</f>
        <v>0</v>
      </c>
      <c r="I425" s="2298">
        <f>'Saisie données file act.'!J617</f>
        <v>0</v>
      </c>
      <c r="J425" s="2298">
        <f>'Saisie données file act.'!K617</f>
        <v>0</v>
      </c>
      <c r="K425" s="2298">
        <f>'Saisie données file act.'!L617</f>
        <v>0</v>
      </c>
      <c r="L425" s="2299">
        <f>'Saisie données file act.'!M617</f>
        <v>0</v>
      </c>
      <c r="M425" s="2298">
        <f>'Saisie données file act.'!N617</f>
        <v>0</v>
      </c>
      <c r="N425" s="2298">
        <f>'Saisie données file act.'!O617</f>
        <v>0</v>
      </c>
      <c r="O425" s="2298">
        <f>'Saisie données file act.'!P617</f>
        <v>0</v>
      </c>
      <c r="P425" s="2298">
        <f>'Saisie données file act.'!Q617</f>
        <v>0</v>
      </c>
      <c r="Q425" s="2299">
        <f>'Saisie données file act.'!R617</f>
        <v>0</v>
      </c>
      <c r="R425" s="2298">
        <f>'Saisie données file act.'!S617</f>
        <v>0</v>
      </c>
      <c r="S425" s="2298">
        <f>'Saisie données file act.'!T617</f>
        <v>0</v>
      </c>
      <c r="T425" s="2298">
        <f>'Saisie données file act.'!U617</f>
        <v>0</v>
      </c>
      <c r="U425" s="2298">
        <f>'Saisie données file act.'!V617</f>
        <v>0</v>
      </c>
      <c r="V425" s="2298">
        <f>'Saisie données file act.'!W617</f>
        <v>0</v>
      </c>
      <c r="W425" s="2298">
        <f>'Saisie données file act.'!X617</f>
        <v>0</v>
      </c>
      <c r="X425" s="2298">
        <f>'Saisie données file act.'!Y617</f>
        <v>0</v>
      </c>
      <c r="Y425" s="2298">
        <f>'Saisie données file act.'!Z617</f>
        <v>0</v>
      </c>
      <c r="Z425" s="2298">
        <f>'Saisie données file act.'!AA617</f>
        <v>0</v>
      </c>
      <c r="AA425" s="2298">
        <f>'Saisie données file act.'!AB617</f>
        <v>0</v>
      </c>
      <c r="AB425" s="2298">
        <f>'Saisie données file act.'!AC617</f>
        <v>0</v>
      </c>
      <c r="AC425" s="2298">
        <f>'Saisie données file act.'!AD617</f>
        <v>0</v>
      </c>
      <c r="AD425" s="2298">
        <f>'Saisie données file act.'!AE617</f>
        <v>0</v>
      </c>
      <c r="AE425" s="2300">
        <f>'Saisie données file act.'!AF617</f>
        <v>0</v>
      </c>
      <c r="AF425" s="2298">
        <f>'Saisie données file act.'!AG617</f>
        <v>0</v>
      </c>
      <c r="AG425" s="1178">
        <f t="shared" si="97"/>
        <v>0</v>
      </c>
      <c r="AH425" s="1154">
        <f t="shared" si="98"/>
        <v>0</v>
      </c>
    </row>
    <row r="426" spans="1:34" x14ac:dyDescent="0.2">
      <c r="C426" s="1115">
        <f>'Saisie données file act.'!D618</f>
        <v>0</v>
      </c>
      <c r="D426" s="2298">
        <f>'Saisie données file act.'!E618</f>
        <v>0</v>
      </c>
      <c r="E426" s="2298">
        <f>'Saisie données file act.'!F618</f>
        <v>0</v>
      </c>
      <c r="F426" s="2298">
        <f>'Saisie données file act.'!G618</f>
        <v>0</v>
      </c>
      <c r="G426" s="2298">
        <f>'Saisie données file act.'!H618</f>
        <v>0</v>
      </c>
      <c r="H426" s="2298">
        <f>'Saisie données file act.'!I618</f>
        <v>0</v>
      </c>
      <c r="I426" s="2298">
        <f>'Saisie données file act.'!J618</f>
        <v>0</v>
      </c>
      <c r="J426" s="2298">
        <f>'Saisie données file act.'!K618</f>
        <v>0</v>
      </c>
      <c r="K426" s="2298">
        <f>'Saisie données file act.'!L618</f>
        <v>0</v>
      </c>
      <c r="L426" s="2299">
        <f>'Saisie données file act.'!M618</f>
        <v>0</v>
      </c>
      <c r="M426" s="2298">
        <f>'Saisie données file act.'!N618</f>
        <v>0</v>
      </c>
      <c r="N426" s="2298">
        <f>'Saisie données file act.'!O618</f>
        <v>0</v>
      </c>
      <c r="O426" s="2298">
        <f>'Saisie données file act.'!P618</f>
        <v>0</v>
      </c>
      <c r="P426" s="2298">
        <f>'Saisie données file act.'!Q618</f>
        <v>0</v>
      </c>
      <c r="Q426" s="2299">
        <f>'Saisie données file act.'!R618</f>
        <v>0</v>
      </c>
      <c r="R426" s="2298">
        <f>'Saisie données file act.'!S618</f>
        <v>0</v>
      </c>
      <c r="S426" s="2298">
        <f>'Saisie données file act.'!T618</f>
        <v>0</v>
      </c>
      <c r="T426" s="2298">
        <f>'Saisie données file act.'!U618</f>
        <v>0</v>
      </c>
      <c r="U426" s="2298">
        <f>'Saisie données file act.'!V618</f>
        <v>0</v>
      </c>
      <c r="V426" s="2298">
        <f>'Saisie données file act.'!W618</f>
        <v>0</v>
      </c>
      <c r="W426" s="2298">
        <f>'Saisie données file act.'!X618</f>
        <v>0</v>
      </c>
      <c r="X426" s="2298">
        <f>'Saisie données file act.'!Y618</f>
        <v>0</v>
      </c>
      <c r="Y426" s="2298">
        <f>'Saisie données file act.'!Z618</f>
        <v>0</v>
      </c>
      <c r="Z426" s="2298">
        <f>'Saisie données file act.'!AA618</f>
        <v>0</v>
      </c>
      <c r="AA426" s="2298">
        <f>'Saisie données file act.'!AB618</f>
        <v>0</v>
      </c>
      <c r="AB426" s="2298">
        <f>'Saisie données file act.'!AC618</f>
        <v>0</v>
      </c>
      <c r="AC426" s="2298">
        <f>'Saisie données file act.'!AD618</f>
        <v>0</v>
      </c>
      <c r="AD426" s="2298">
        <f>'Saisie données file act.'!AE618</f>
        <v>0</v>
      </c>
      <c r="AE426" s="2300">
        <f>'Saisie données file act.'!AF618</f>
        <v>0</v>
      </c>
      <c r="AF426" s="2298">
        <f>'Saisie données file act.'!AG618</f>
        <v>0</v>
      </c>
      <c r="AG426" s="1178">
        <f t="shared" si="97"/>
        <v>0</v>
      </c>
      <c r="AH426" s="1154">
        <f t="shared" si="98"/>
        <v>0</v>
      </c>
    </row>
    <row r="427" spans="1:34" ht="13.5" thickBot="1" x14ac:dyDescent="0.25">
      <c r="C427" s="1116">
        <f>'Saisie données file act.'!D619</f>
        <v>0</v>
      </c>
      <c r="D427" s="2304">
        <f>'Saisie données file act.'!E619</f>
        <v>0</v>
      </c>
      <c r="E427" s="2304">
        <f>'Saisie données file act.'!F619</f>
        <v>0</v>
      </c>
      <c r="F427" s="2304">
        <f>'Saisie données file act.'!G619</f>
        <v>0</v>
      </c>
      <c r="G427" s="2304">
        <f>'Saisie données file act.'!H619</f>
        <v>0</v>
      </c>
      <c r="H427" s="2304">
        <f>'Saisie données file act.'!I619</f>
        <v>0</v>
      </c>
      <c r="I427" s="2304">
        <f>'Saisie données file act.'!J619</f>
        <v>0</v>
      </c>
      <c r="J427" s="2304">
        <f>'Saisie données file act.'!K619</f>
        <v>0</v>
      </c>
      <c r="K427" s="2304">
        <f>'Saisie données file act.'!L619</f>
        <v>0</v>
      </c>
      <c r="L427" s="2305">
        <f>'Saisie données file act.'!M619</f>
        <v>0</v>
      </c>
      <c r="M427" s="2304">
        <f>'Saisie données file act.'!N619</f>
        <v>0</v>
      </c>
      <c r="N427" s="2304">
        <f>'Saisie données file act.'!O619</f>
        <v>0</v>
      </c>
      <c r="O427" s="2304">
        <f>'Saisie données file act.'!P619</f>
        <v>0</v>
      </c>
      <c r="P427" s="2304">
        <f>'Saisie données file act.'!Q619</f>
        <v>0</v>
      </c>
      <c r="Q427" s="2305">
        <f>'Saisie données file act.'!R619</f>
        <v>0</v>
      </c>
      <c r="R427" s="2304">
        <f>'Saisie données file act.'!S619</f>
        <v>0</v>
      </c>
      <c r="S427" s="2304">
        <f>'Saisie données file act.'!T619</f>
        <v>0</v>
      </c>
      <c r="T427" s="2304">
        <f>'Saisie données file act.'!U619</f>
        <v>0</v>
      </c>
      <c r="U427" s="2304">
        <f>'Saisie données file act.'!V619</f>
        <v>0</v>
      </c>
      <c r="V427" s="2304">
        <f>'Saisie données file act.'!W619</f>
        <v>0</v>
      </c>
      <c r="W427" s="2304">
        <f>'Saisie données file act.'!X619</f>
        <v>0</v>
      </c>
      <c r="X427" s="2304">
        <f>'Saisie données file act.'!Y619</f>
        <v>0</v>
      </c>
      <c r="Y427" s="2304">
        <f>'Saisie données file act.'!Z619</f>
        <v>0</v>
      </c>
      <c r="Z427" s="2304">
        <f>'Saisie données file act.'!AA619</f>
        <v>0</v>
      </c>
      <c r="AA427" s="2304">
        <f>'Saisie données file act.'!AB619</f>
        <v>0</v>
      </c>
      <c r="AB427" s="2304">
        <f>'Saisie données file act.'!AC619</f>
        <v>0</v>
      </c>
      <c r="AC427" s="2304">
        <f>'Saisie données file act.'!AD619</f>
        <v>0</v>
      </c>
      <c r="AD427" s="2304">
        <f>'Saisie données file act.'!AE619</f>
        <v>0</v>
      </c>
      <c r="AE427" s="2306">
        <f>'Saisie données file act.'!AF619</f>
        <v>0</v>
      </c>
      <c r="AF427" s="2304">
        <f>'Saisie données file act.'!AG619</f>
        <v>0</v>
      </c>
      <c r="AG427" s="1181">
        <f t="shared" si="97"/>
        <v>0</v>
      </c>
      <c r="AH427" s="1160">
        <f t="shared" si="98"/>
        <v>0</v>
      </c>
    </row>
    <row r="428" spans="1:34" s="1119" customFormat="1" ht="39" thickBot="1" x14ac:dyDescent="0.25">
      <c r="A428" s="1118"/>
      <c r="C428" s="1120" t="str">
        <f>'TRAD-Calculs pédiatriques'!B94</f>
        <v>Nb de patients-mois / produit - SUIVIS</v>
      </c>
      <c r="D428" s="1134">
        <f t="shared" ref="D428:AF428" si="99">SUMIF(D405:D427, "X", $AG405:$AG427)</f>
        <v>0</v>
      </c>
      <c r="E428" s="1134">
        <f t="shared" si="99"/>
        <v>0</v>
      </c>
      <c r="F428" s="1134">
        <f t="shared" si="99"/>
        <v>0</v>
      </c>
      <c r="G428" s="1134">
        <f t="shared" si="99"/>
        <v>0</v>
      </c>
      <c r="H428" s="1134">
        <f t="shared" si="99"/>
        <v>0</v>
      </c>
      <c r="I428" s="1134">
        <f t="shared" si="99"/>
        <v>0</v>
      </c>
      <c r="J428" s="1134">
        <f t="shared" si="99"/>
        <v>0</v>
      </c>
      <c r="K428" s="1134">
        <f t="shared" si="99"/>
        <v>0</v>
      </c>
      <c r="L428" s="1184">
        <f t="shared" si="99"/>
        <v>0</v>
      </c>
      <c r="M428" s="1134">
        <f t="shared" si="99"/>
        <v>0</v>
      </c>
      <c r="N428" s="1134">
        <f t="shared" si="99"/>
        <v>0</v>
      </c>
      <c r="O428" s="1134">
        <f t="shared" si="99"/>
        <v>0</v>
      </c>
      <c r="P428" s="1134">
        <f t="shared" si="99"/>
        <v>0</v>
      </c>
      <c r="Q428" s="1184">
        <f t="shared" si="99"/>
        <v>0</v>
      </c>
      <c r="R428" s="1134">
        <f t="shared" si="99"/>
        <v>0</v>
      </c>
      <c r="S428" s="1134">
        <f t="shared" si="99"/>
        <v>0</v>
      </c>
      <c r="T428" s="1134">
        <f t="shared" si="99"/>
        <v>0</v>
      </c>
      <c r="U428" s="1134">
        <f t="shared" si="99"/>
        <v>0</v>
      </c>
      <c r="V428" s="1134">
        <f t="shared" si="99"/>
        <v>0</v>
      </c>
      <c r="W428" s="1134">
        <f t="shared" si="99"/>
        <v>0</v>
      </c>
      <c r="X428" s="1134">
        <f t="shared" si="99"/>
        <v>0</v>
      </c>
      <c r="Y428" s="1134">
        <f t="shared" si="99"/>
        <v>0</v>
      </c>
      <c r="Z428" s="1134">
        <f t="shared" si="99"/>
        <v>0</v>
      </c>
      <c r="AA428" s="1134">
        <f t="shared" si="99"/>
        <v>0</v>
      </c>
      <c r="AB428" s="1134">
        <f t="shared" si="99"/>
        <v>0</v>
      </c>
      <c r="AC428" s="1134">
        <f t="shared" si="99"/>
        <v>0</v>
      </c>
      <c r="AD428" s="1134">
        <f t="shared" si="99"/>
        <v>0</v>
      </c>
      <c r="AE428" s="1135">
        <f t="shared" si="99"/>
        <v>0</v>
      </c>
      <c r="AF428" s="1134">
        <f t="shared" si="99"/>
        <v>0</v>
      </c>
    </row>
    <row r="429" spans="1:34" s="1119" customFormat="1" ht="38.25" x14ac:dyDescent="0.2">
      <c r="A429" s="1118"/>
      <c r="C429" s="1120" t="str">
        <f>'TRAD-Calculs pédiatriques'!B95</f>
        <v>Nb de patients-mois / produit - NOUVEAUX</v>
      </c>
      <c r="D429" s="1136">
        <f t="shared" ref="D429:AF429" si="100">SUMIF(D405:D427, "X", $AH405:$AH427)</f>
        <v>0</v>
      </c>
      <c r="E429" s="1136">
        <f t="shared" si="100"/>
        <v>0</v>
      </c>
      <c r="F429" s="1136">
        <f t="shared" si="100"/>
        <v>0</v>
      </c>
      <c r="G429" s="1136">
        <f t="shared" si="100"/>
        <v>0</v>
      </c>
      <c r="H429" s="1136">
        <f t="shared" si="100"/>
        <v>0</v>
      </c>
      <c r="I429" s="1136">
        <f t="shared" si="100"/>
        <v>0</v>
      </c>
      <c r="J429" s="1136">
        <f t="shared" si="100"/>
        <v>0</v>
      </c>
      <c r="K429" s="1136">
        <f t="shared" si="100"/>
        <v>0</v>
      </c>
      <c r="L429" s="1185">
        <f t="shared" si="100"/>
        <v>0</v>
      </c>
      <c r="M429" s="1136">
        <f t="shared" si="100"/>
        <v>0</v>
      </c>
      <c r="N429" s="1136">
        <f t="shared" si="100"/>
        <v>0</v>
      </c>
      <c r="O429" s="1136">
        <f t="shared" si="100"/>
        <v>0</v>
      </c>
      <c r="P429" s="1136">
        <f t="shared" si="100"/>
        <v>0</v>
      </c>
      <c r="Q429" s="1185">
        <f t="shared" si="100"/>
        <v>0</v>
      </c>
      <c r="R429" s="1136">
        <f t="shared" si="100"/>
        <v>0</v>
      </c>
      <c r="S429" s="1136">
        <f t="shared" si="100"/>
        <v>0</v>
      </c>
      <c r="T429" s="1136">
        <f t="shared" si="100"/>
        <v>0</v>
      </c>
      <c r="U429" s="1136">
        <f t="shared" si="100"/>
        <v>0</v>
      </c>
      <c r="V429" s="1136">
        <f t="shared" si="100"/>
        <v>0</v>
      </c>
      <c r="W429" s="1136">
        <f t="shared" si="100"/>
        <v>0</v>
      </c>
      <c r="X429" s="1136">
        <f t="shared" si="100"/>
        <v>0</v>
      </c>
      <c r="Y429" s="1136">
        <f t="shared" si="100"/>
        <v>0</v>
      </c>
      <c r="Z429" s="1136">
        <f t="shared" si="100"/>
        <v>0</v>
      </c>
      <c r="AA429" s="1136">
        <f t="shared" si="100"/>
        <v>0</v>
      </c>
      <c r="AB429" s="1136">
        <f t="shared" si="100"/>
        <v>0</v>
      </c>
      <c r="AC429" s="1136">
        <f t="shared" si="100"/>
        <v>0</v>
      </c>
      <c r="AD429" s="1136">
        <f t="shared" si="100"/>
        <v>0</v>
      </c>
      <c r="AE429" s="1137">
        <f t="shared" si="100"/>
        <v>0</v>
      </c>
      <c r="AF429" s="1136">
        <f t="shared" si="100"/>
        <v>0</v>
      </c>
    </row>
    <row r="430" spans="1:34" s="1119" customFormat="1" x14ac:dyDescent="0.2">
      <c r="A430" s="1118"/>
      <c r="C430" s="1121" t="str">
        <f>'TRAD-Calculs pédiatriques'!B96</f>
        <v>Nb de cdt pr SUIVIS</v>
      </c>
      <c r="D430" s="1138">
        <f t="shared" ref="D430:AF430" si="101">D428*D404</f>
        <v>0</v>
      </c>
      <c r="E430" s="1138">
        <f t="shared" si="101"/>
        <v>0</v>
      </c>
      <c r="F430" s="1138">
        <f t="shared" si="101"/>
        <v>0</v>
      </c>
      <c r="G430" s="1138">
        <f t="shared" si="101"/>
        <v>0</v>
      </c>
      <c r="H430" s="1138">
        <f t="shared" si="101"/>
        <v>0</v>
      </c>
      <c r="I430" s="1138">
        <f t="shared" si="101"/>
        <v>0</v>
      </c>
      <c r="J430" s="1218">
        <f t="shared" si="101"/>
        <v>0</v>
      </c>
      <c r="K430" s="1138">
        <f t="shared" si="101"/>
        <v>0</v>
      </c>
      <c r="L430" s="1186">
        <f t="shared" si="101"/>
        <v>0</v>
      </c>
      <c r="M430" s="1138">
        <f t="shared" si="101"/>
        <v>0</v>
      </c>
      <c r="N430" s="1138">
        <f t="shared" si="101"/>
        <v>0</v>
      </c>
      <c r="O430" s="1138">
        <f t="shared" si="101"/>
        <v>0</v>
      </c>
      <c r="P430" s="1138">
        <f t="shared" si="101"/>
        <v>0</v>
      </c>
      <c r="Q430" s="1186">
        <f t="shared" si="101"/>
        <v>0</v>
      </c>
      <c r="R430" s="1138">
        <f t="shared" si="101"/>
        <v>0</v>
      </c>
      <c r="S430" s="1138">
        <f t="shared" si="101"/>
        <v>0</v>
      </c>
      <c r="T430" s="1138">
        <f t="shared" si="101"/>
        <v>0</v>
      </c>
      <c r="U430" s="1138">
        <f t="shared" si="101"/>
        <v>0</v>
      </c>
      <c r="V430" s="1138">
        <f t="shared" si="101"/>
        <v>0</v>
      </c>
      <c r="W430" s="1138">
        <f t="shared" si="101"/>
        <v>0</v>
      </c>
      <c r="X430" s="1138">
        <f t="shared" si="101"/>
        <v>0</v>
      </c>
      <c r="Y430" s="1138">
        <f t="shared" si="101"/>
        <v>0</v>
      </c>
      <c r="Z430" s="1138">
        <f t="shared" si="101"/>
        <v>0</v>
      </c>
      <c r="AA430" s="1138">
        <f t="shared" si="101"/>
        <v>0</v>
      </c>
      <c r="AB430" s="1138">
        <f t="shared" si="101"/>
        <v>0</v>
      </c>
      <c r="AC430" s="1138">
        <f t="shared" si="101"/>
        <v>0</v>
      </c>
      <c r="AD430" s="1138">
        <f t="shared" si="101"/>
        <v>0</v>
      </c>
      <c r="AE430" s="1140">
        <f t="shared" si="101"/>
        <v>0</v>
      </c>
      <c r="AF430" s="1138">
        <f t="shared" si="101"/>
        <v>0</v>
      </c>
    </row>
    <row r="431" spans="1:34" s="1119" customFormat="1" ht="26.25" thickBot="1" x14ac:dyDescent="0.25">
      <c r="A431" s="1118"/>
      <c r="C431" s="1121" t="str">
        <f>'TRAD-Calculs pédiatriques'!B97</f>
        <v>Nb de cdt pr NOUVEAUX</v>
      </c>
      <c r="D431" s="1139">
        <f t="shared" ref="D431:AF431" si="102">D429*D404</f>
        <v>0</v>
      </c>
      <c r="E431" s="1139">
        <f t="shared" si="102"/>
        <v>0</v>
      </c>
      <c r="F431" s="1139">
        <f t="shared" si="102"/>
        <v>0</v>
      </c>
      <c r="G431" s="1139">
        <f t="shared" si="102"/>
        <v>0</v>
      </c>
      <c r="H431" s="1139">
        <f t="shared" si="102"/>
        <v>0</v>
      </c>
      <c r="I431" s="1139">
        <f t="shared" si="102"/>
        <v>0</v>
      </c>
      <c r="J431" s="1219">
        <f t="shared" si="102"/>
        <v>0</v>
      </c>
      <c r="K431" s="1139">
        <f t="shared" si="102"/>
        <v>0</v>
      </c>
      <c r="L431" s="1187">
        <f t="shared" si="102"/>
        <v>0</v>
      </c>
      <c r="M431" s="1139">
        <f t="shared" si="102"/>
        <v>0</v>
      </c>
      <c r="N431" s="1139">
        <f t="shared" si="102"/>
        <v>0</v>
      </c>
      <c r="O431" s="1139">
        <f t="shared" si="102"/>
        <v>0</v>
      </c>
      <c r="P431" s="1139">
        <f t="shared" si="102"/>
        <v>0</v>
      </c>
      <c r="Q431" s="1187">
        <f t="shared" si="102"/>
        <v>0</v>
      </c>
      <c r="R431" s="1139">
        <f t="shared" si="102"/>
        <v>0</v>
      </c>
      <c r="S431" s="1139">
        <f t="shared" si="102"/>
        <v>0</v>
      </c>
      <c r="T431" s="1139">
        <f t="shared" si="102"/>
        <v>0</v>
      </c>
      <c r="U431" s="1139">
        <f t="shared" si="102"/>
        <v>0</v>
      </c>
      <c r="V431" s="1139">
        <f t="shared" si="102"/>
        <v>0</v>
      </c>
      <c r="W431" s="1139">
        <f t="shared" si="102"/>
        <v>0</v>
      </c>
      <c r="X431" s="1139">
        <f t="shared" si="102"/>
        <v>0</v>
      </c>
      <c r="Y431" s="1139">
        <f t="shared" si="102"/>
        <v>0</v>
      </c>
      <c r="Z431" s="1139">
        <f t="shared" si="102"/>
        <v>0</v>
      </c>
      <c r="AA431" s="1139">
        <f t="shared" si="102"/>
        <v>0</v>
      </c>
      <c r="AB431" s="1139">
        <f t="shared" si="102"/>
        <v>0</v>
      </c>
      <c r="AC431" s="1139">
        <f t="shared" si="102"/>
        <v>0</v>
      </c>
      <c r="AD431" s="1139">
        <f t="shared" si="102"/>
        <v>0</v>
      </c>
      <c r="AE431" s="1141">
        <f t="shared" si="102"/>
        <v>0</v>
      </c>
      <c r="AF431" s="1139">
        <f t="shared" si="102"/>
        <v>0</v>
      </c>
    </row>
    <row r="434" spans="1:12" s="131" customFormat="1" ht="15.75" thickBot="1" x14ac:dyDescent="0.25">
      <c r="A434" s="646" t="str">
        <f>'TRAD-Calculs pédiatriques'!B100</f>
        <v>Enfants en cours de traitement : Quantification des besoins pour la prise en charge des enfants pour 1 mois</v>
      </c>
      <c r="B434" s="129"/>
      <c r="C434" s="129"/>
      <c r="D434" s="129"/>
      <c r="E434" s="129"/>
      <c r="F434" s="129"/>
      <c r="G434" s="129"/>
      <c r="H434" s="129"/>
      <c r="I434" s="129"/>
      <c r="J434" s="129"/>
      <c r="K434" s="129"/>
      <c r="L434" s="129"/>
    </row>
    <row r="435" spans="1:12" s="132" customFormat="1" ht="13.5" thickBot="1" x14ac:dyDescent="0.25">
      <c r="A435" s="134"/>
      <c r="B435" s="134"/>
      <c r="E435" s="190"/>
      <c r="F435" s="190"/>
    </row>
    <row r="436" spans="1:12" s="132" customFormat="1" ht="13.5" thickBot="1" x14ac:dyDescent="0.25">
      <c r="A436" s="134"/>
      <c r="B436" s="134"/>
      <c r="C436" s="134"/>
      <c r="D436" s="134"/>
      <c r="E436" s="3272" t="str">
        <f>'TRAD-Calculs pédiatriques'!B64</f>
        <v>Poids envisagés</v>
      </c>
      <c r="F436" s="3273"/>
      <c r="G436" s="3273"/>
      <c r="H436" s="3274"/>
    </row>
    <row r="437" spans="1:12" s="132" customFormat="1" ht="26.25" thickBot="1" x14ac:dyDescent="0.25">
      <c r="A437" s="134"/>
      <c r="B437" s="2346"/>
      <c r="C437" s="151" t="s">
        <v>12</v>
      </c>
      <c r="D437" s="152" t="str">
        <f>'TRAD-Calculs pédiatriques'!B46</f>
        <v>Dosage</v>
      </c>
      <c r="E437" s="151" t="s">
        <v>53</v>
      </c>
      <c r="F437" s="152" t="s">
        <v>55</v>
      </c>
      <c r="G437" s="152" t="s">
        <v>57</v>
      </c>
      <c r="H437" s="153" t="s">
        <v>59</v>
      </c>
      <c r="I437" s="2132" t="s">
        <v>761</v>
      </c>
    </row>
    <row r="438" spans="1:12" s="132" customFormat="1" x14ac:dyDescent="0.2">
      <c r="A438" s="134"/>
      <c r="B438" s="194" t="str">
        <f>'TRAD-Calculs pédiatriques'!B53</f>
        <v>sol buv</v>
      </c>
      <c r="C438" s="156" t="s">
        <v>32</v>
      </c>
      <c r="D438" s="164" t="s">
        <v>80</v>
      </c>
      <c r="E438" s="214">
        <f t="array" ref="E438:E466">TRANSPOSE($D$325:$AF$325)</f>
        <v>0</v>
      </c>
      <c r="F438" s="215">
        <f t="array" ref="F438:F466">TRANSPOSE($D$360:$AF$360)</f>
        <v>0</v>
      </c>
      <c r="G438" s="215">
        <f t="array" ref="G438:G466">TRANSPOSE($D$395:$AF$395)</f>
        <v>0</v>
      </c>
      <c r="H438" s="2336">
        <f t="array" ref="H438:H466">TRANSPOSE($D$430:$AF$430)</f>
        <v>0</v>
      </c>
      <c r="I438" s="216">
        <f t="shared" ref="I438:I466" si="103">SUM(E438:H438)</f>
        <v>0</v>
      </c>
    </row>
    <row r="439" spans="1:12" s="132" customFormat="1" x14ac:dyDescent="0.2">
      <c r="A439" s="134"/>
      <c r="B439" s="194"/>
      <c r="C439" s="156" t="s">
        <v>82</v>
      </c>
      <c r="D439" s="164" t="s">
        <v>80</v>
      </c>
      <c r="E439" s="217">
        <v>0</v>
      </c>
      <c r="F439" s="218">
        <v>0</v>
      </c>
      <c r="G439" s="218">
        <v>0</v>
      </c>
      <c r="H439" s="2337">
        <v>0</v>
      </c>
      <c r="I439" s="219">
        <f t="shared" si="103"/>
        <v>0</v>
      </c>
    </row>
    <row r="440" spans="1:12" s="132" customFormat="1" x14ac:dyDescent="0.2">
      <c r="A440" s="134"/>
      <c r="B440" s="194"/>
      <c r="C440" s="166" t="s">
        <v>34</v>
      </c>
      <c r="D440" s="167" t="s">
        <v>80</v>
      </c>
      <c r="E440" s="825">
        <v>0</v>
      </c>
      <c r="F440" s="218">
        <v>0</v>
      </c>
      <c r="G440" s="218">
        <v>0</v>
      </c>
      <c r="H440" s="2337">
        <v>0</v>
      </c>
      <c r="I440" s="219">
        <f t="shared" si="103"/>
        <v>0</v>
      </c>
    </row>
    <row r="441" spans="1:12" s="132" customFormat="1" x14ac:dyDescent="0.2">
      <c r="A441" s="134"/>
      <c r="B441" s="194"/>
      <c r="C441" s="166" t="s">
        <v>36</v>
      </c>
      <c r="D441" s="167" t="s">
        <v>88</v>
      </c>
      <c r="E441" s="217">
        <v>0</v>
      </c>
      <c r="F441" s="218">
        <v>0</v>
      </c>
      <c r="G441" s="218">
        <v>0</v>
      </c>
      <c r="H441" s="2337">
        <v>0</v>
      </c>
      <c r="I441" s="219">
        <f t="shared" si="103"/>
        <v>0</v>
      </c>
    </row>
    <row r="442" spans="1:12" s="132" customFormat="1" x14ac:dyDescent="0.2">
      <c r="A442" s="134"/>
      <c r="B442" s="194"/>
      <c r="C442" s="166" t="s">
        <v>37</v>
      </c>
      <c r="D442" s="167" t="s">
        <v>91</v>
      </c>
      <c r="E442" s="217">
        <v>0</v>
      </c>
      <c r="F442" s="218">
        <v>0</v>
      </c>
      <c r="G442" s="218">
        <v>0</v>
      </c>
      <c r="H442" s="2337">
        <v>0</v>
      </c>
      <c r="I442" s="219">
        <f t="shared" si="103"/>
        <v>0</v>
      </c>
    </row>
    <row r="443" spans="1:12" s="132" customFormat="1" x14ac:dyDescent="0.2">
      <c r="A443" s="134"/>
      <c r="B443" s="194"/>
      <c r="C443" s="166" t="s">
        <v>29</v>
      </c>
      <c r="D443" s="167" t="s">
        <v>80</v>
      </c>
      <c r="E443" s="217">
        <v>0</v>
      </c>
      <c r="F443" s="218">
        <v>0</v>
      </c>
      <c r="G443" s="218">
        <v>0</v>
      </c>
      <c r="H443" s="2337">
        <v>0</v>
      </c>
      <c r="I443" s="219">
        <f t="shared" si="103"/>
        <v>0</v>
      </c>
    </row>
    <row r="444" spans="1:12" s="132" customFormat="1" x14ac:dyDescent="0.2">
      <c r="A444" s="134"/>
      <c r="B444" s="194"/>
      <c r="C444" s="166" t="s">
        <v>27</v>
      </c>
      <c r="D444" s="167" t="s">
        <v>86</v>
      </c>
      <c r="E444" s="220">
        <v>0</v>
      </c>
      <c r="F444" s="218">
        <v>0</v>
      </c>
      <c r="G444" s="218">
        <v>0</v>
      </c>
      <c r="H444" s="2337">
        <v>0</v>
      </c>
      <c r="I444" s="219">
        <f t="shared" si="103"/>
        <v>0</v>
      </c>
    </row>
    <row r="445" spans="1:12" s="132" customFormat="1" ht="13.5" thickBot="1" x14ac:dyDescent="0.25">
      <c r="A445" s="134"/>
      <c r="B445" s="195"/>
      <c r="C445" s="166" t="s">
        <v>42</v>
      </c>
      <c r="D445" s="167" t="s">
        <v>93</v>
      </c>
      <c r="E445" s="221">
        <v>0</v>
      </c>
      <c r="F445" s="222">
        <v>0</v>
      </c>
      <c r="G445" s="222">
        <v>0</v>
      </c>
      <c r="H445" s="2338">
        <v>0</v>
      </c>
      <c r="I445" s="223">
        <f t="shared" si="103"/>
        <v>0</v>
      </c>
    </row>
    <row r="446" spans="1:12" s="132" customFormat="1" x14ac:dyDescent="0.2">
      <c r="A446" s="134"/>
      <c r="B446" s="193" t="str">
        <f>'TRAD-Calculs pédiatriques'!B102</f>
        <v>Comprimés</v>
      </c>
      <c r="C446" s="2091" t="s">
        <v>1</v>
      </c>
      <c r="D446" s="2252" t="s">
        <v>17</v>
      </c>
      <c r="E446" s="217">
        <v>0</v>
      </c>
      <c r="F446" s="218">
        <v>0</v>
      </c>
      <c r="G446" s="218">
        <v>0</v>
      </c>
      <c r="H446" s="2337">
        <v>0</v>
      </c>
      <c r="I446" s="219">
        <f t="shared" si="103"/>
        <v>0</v>
      </c>
    </row>
    <row r="447" spans="1:12" s="132" customFormat="1" x14ac:dyDescent="0.2">
      <c r="A447" s="134"/>
      <c r="B447" s="194"/>
      <c r="C447" s="2258" t="str">
        <f>'TRAD-Calculs pédiatriques'!B67</f>
        <v>AZT+3TC+NVP bébé</v>
      </c>
      <c r="D447" s="2259" t="s">
        <v>258</v>
      </c>
      <c r="E447" s="217">
        <v>0</v>
      </c>
      <c r="F447" s="218">
        <v>0</v>
      </c>
      <c r="G447" s="218">
        <v>0</v>
      </c>
      <c r="H447" s="2337">
        <v>0</v>
      </c>
      <c r="I447" s="219">
        <f t="shared" si="103"/>
        <v>0</v>
      </c>
    </row>
    <row r="448" spans="1:12" s="132" customFormat="1" x14ac:dyDescent="0.2">
      <c r="A448" s="134"/>
      <c r="B448" s="194"/>
      <c r="C448" s="2096" t="s">
        <v>18</v>
      </c>
      <c r="D448" s="2254" t="s">
        <v>19</v>
      </c>
      <c r="E448" s="217">
        <v>0</v>
      </c>
      <c r="F448" s="218">
        <v>0</v>
      </c>
      <c r="G448" s="218">
        <v>0</v>
      </c>
      <c r="H448" s="2337">
        <v>0</v>
      </c>
      <c r="I448" s="219">
        <f t="shared" si="103"/>
        <v>0</v>
      </c>
    </row>
    <row r="449" spans="1:9" s="132" customFormat="1" x14ac:dyDescent="0.2">
      <c r="A449" s="134"/>
      <c r="B449" s="194"/>
      <c r="C449" s="2258" t="str">
        <f>'TRAD-Calculs pédiatriques'!B69</f>
        <v>AZT+3TC bébé</v>
      </c>
      <c r="D449" s="2259" t="s">
        <v>260</v>
      </c>
      <c r="E449" s="217">
        <v>0</v>
      </c>
      <c r="F449" s="2249">
        <v>0</v>
      </c>
      <c r="G449" s="2249">
        <v>0</v>
      </c>
      <c r="H449" s="2339">
        <v>0</v>
      </c>
      <c r="I449" s="219">
        <f t="shared" si="103"/>
        <v>0</v>
      </c>
    </row>
    <row r="450" spans="1:9" s="132" customFormat="1" x14ac:dyDescent="0.2">
      <c r="A450" s="134"/>
      <c r="B450" s="194"/>
      <c r="C450" s="2101" t="s">
        <v>2</v>
      </c>
      <c r="D450" s="2256" t="s">
        <v>21</v>
      </c>
      <c r="E450" s="217">
        <v>0</v>
      </c>
      <c r="F450" s="218">
        <v>0</v>
      </c>
      <c r="G450" s="218">
        <v>0</v>
      </c>
      <c r="H450" s="2337">
        <v>0</v>
      </c>
      <c r="I450" s="219">
        <f t="shared" si="103"/>
        <v>0</v>
      </c>
    </row>
    <row r="451" spans="1:9" s="132" customFormat="1" x14ac:dyDescent="0.2">
      <c r="A451" s="134"/>
      <c r="B451" s="194"/>
      <c r="C451" s="2096" t="str">
        <f>'TRAD-Calculs pédiatriques'!B71</f>
        <v>D4T+3TC+NVP bébé</v>
      </c>
      <c r="D451" s="2254" t="s">
        <v>102</v>
      </c>
      <c r="E451" s="217">
        <v>0</v>
      </c>
      <c r="F451" s="218">
        <v>0</v>
      </c>
      <c r="G451" s="218">
        <v>0</v>
      </c>
      <c r="H451" s="2337">
        <v>0</v>
      </c>
      <c r="I451" s="219">
        <f t="shared" si="103"/>
        <v>0</v>
      </c>
    </row>
    <row r="452" spans="1:9" s="132" customFormat="1" x14ac:dyDescent="0.2">
      <c r="A452" s="134"/>
      <c r="B452" s="194"/>
      <c r="C452" s="2096" t="s">
        <v>22</v>
      </c>
      <c r="D452" s="2254" t="s">
        <v>23</v>
      </c>
      <c r="E452" s="217">
        <v>0</v>
      </c>
      <c r="F452" s="218">
        <v>0</v>
      </c>
      <c r="G452" s="2249">
        <v>0</v>
      </c>
      <c r="H452" s="2339">
        <v>0</v>
      </c>
      <c r="I452" s="1199">
        <f t="shared" si="103"/>
        <v>0</v>
      </c>
    </row>
    <row r="453" spans="1:9" s="132" customFormat="1" x14ac:dyDescent="0.2">
      <c r="A453" s="134"/>
      <c r="B453" s="194"/>
      <c r="C453" s="2096" t="s">
        <v>3</v>
      </c>
      <c r="D453" s="2254" t="s">
        <v>137</v>
      </c>
      <c r="E453" s="217">
        <v>0</v>
      </c>
      <c r="F453" s="218">
        <v>0</v>
      </c>
      <c r="G453" s="218">
        <v>0</v>
      </c>
      <c r="H453" s="2337">
        <v>0</v>
      </c>
      <c r="I453" s="219">
        <f t="shared" si="103"/>
        <v>0</v>
      </c>
    </row>
    <row r="454" spans="1:9" s="132" customFormat="1" x14ac:dyDescent="0.2">
      <c r="A454" s="134"/>
      <c r="B454" s="194"/>
      <c r="C454" s="2096" t="s">
        <v>596</v>
      </c>
      <c r="D454" s="2254" t="s">
        <v>728</v>
      </c>
      <c r="E454" s="217">
        <v>0</v>
      </c>
      <c r="F454" s="218">
        <v>0</v>
      </c>
      <c r="G454" s="2249">
        <v>0</v>
      </c>
      <c r="H454" s="2337">
        <v>0</v>
      </c>
      <c r="I454" s="1199">
        <f t="shared" si="103"/>
        <v>0</v>
      </c>
    </row>
    <row r="455" spans="1:9" s="132" customFormat="1" x14ac:dyDescent="0.2">
      <c r="A455" s="134"/>
      <c r="B455" s="194"/>
      <c r="C455" s="2096" t="str">
        <f>'TRAD-Calculs pédiatriques'!B74</f>
        <v>ABC+3TC bébé</v>
      </c>
      <c r="D455" s="2254" t="s">
        <v>727</v>
      </c>
      <c r="E455" s="217">
        <v>0</v>
      </c>
      <c r="F455" s="218">
        <v>0</v>
      </c>
      <c r="G455" s="218">
        <v>0</v>
      </c>
      <c r="H455" s="2337">
        <v>0</v>
      </c>
      <c r="I455" s="219">
        <f t="shared" si="103"/>
        <v>0</v>
      </c>
    </row>
    <row r="456" spans="1:9" s="132" customFormat="1" x14ac:dyDescent="0.2">
      <c r="A456" s="134"/>
      <c r="B456" s="194"/>
      <c r="C456" s="2096" t="s">
        <v>34</v>
      </c>
      <c r="D456" s="2254" t="s">
        <v>35</v>
      </c>
      <c r="E456" s="217">
        <v>0</v>
      </c>
      <c r="F456" s="218">
        <v>0</v>
      </c>
      <c r="G456" s="218">
        <v>0</v>
      </c>
      <c r="H456" s="2337">
        <v>0</v>
      </c>
      <c r="I456" s="1199">
        <f t="shared" si="103"/>
        <v>0</v>
      </c>
    </row>
    <row r="457" spans="1:9" s="132" customFormat="1" x14ac:dyDescent="0.2">
      <c r="A457" s="134"/>
      <c r="B457" s="194"/>
      <c r="C457" s="2096" t="s">
        <v>36</v>
      </c>
      <c r="D457" s="2254" t="s">
        <v>33</v>
      </c>
      <c r="E457" s="217">
        <v>0</v>
      </c>
      <c r="F457" s="218">
        <v>0</v>
      </c>
      <c r="G457" s="218">
        <v>0</v>
      </c>
      <c r="H457" s="2337">
        <v>0</v>
      </c>
      <c r="I457" s="1199">
        <f t="shared" si="103"/>
        <v>0</v>
      </c>
    </row>
    <row r="458" spans="1:9" s="132" customFormat="1" x14ac:dyDescent="0.2">
      <c r="A458" s="134"/>
      <c r="B458" s="194"/>
      <c r="C458" s="2101" t="str">
        <f>'TRAD-Calculs pédiatriques'!B76</f>
        <v>ABC bébé</v>
      </c>
      <c r="D458" s="2256" t="s">
        <v>611</v>
      </c>
      <c r="E458" s="217">
        <v>0</v>
      </c>
      <c r="F458" s="218">
        <v>0</v>
      </c>
      <c r="G458" s="218">
        <v>0</v>
      </c>
      <c r="H458" s="2337">
        <v>0</v>
      </c>
      <c r="I458" s="219">
        <f t="shared" si="103"/>
        <v>0</v>
      </c>
    </row>
    <row r="459" spans="1:9" s="132" customFormat="1" x14ac:dyDescent="0.2">
      <c r="A459" s="134"/>
      <c r="B459" s="194"/>
      <c r="C459" s="2101" t="s">
        <v>32</v>
      </c>
      <c r="D459" s="2256" t="s">
        <v>46</v>
      </c>
      <c r="E459" s="2340">
        <v>0</v>
      </c>
      <c r="F459" s="2341">
        <v>0</v>
      </c>
      <c r="G459" s="2341">
        <v>0</v>
      </c>
      <c r="H459" s="2342">
        <v>0</v>
      </c>
      <c r="I459" s="1200">
        <f t="shared" si="103"/>
        <v>0</v>
      </c>
    </row>
    <row r="460" spans="1:9" s="132" customFormat="1" x14ac:dyDescent="0.2">
      <c r="A460" s="134"/>
      <c r="B460" s="194"/>
      <c r="C460" s="2101" t="str">
        <f>'TRAD-Calculs pédiatriques'!B77</f>
        <v>AZT bébé</v>
      </c>
      <c r="D460" s="2256" t="s">
        <v>611</v>
      </c>
      <c r="E460" s="2343">
        <v>0</v>
      </c>
      <c r="F460" s="2344">
        <v>0</v>
      </c>
      <c r="G460" s="2344">
        <v>0</v>
      </c>
      <c r="H460" s="2345">
        <v>0</v>
      </c>
      <c r="I460" s="2261">
        <f t="shared" si="103"/>
        <v>0</v>
      </c>
    </row>
    <row r="461" spans="1:9" s="132" customFormat="1" x14ac:dyDescent="0.2">
      <c r="A461" s="134"/>
      <c r="B461" s="194"/>
      <c r="C461" s="2101" t="s">
        <v>37</v>
      </c>
      <c r="D461" s="2256" t="s">
        <v>38</v>
      </c>
      <c r="E461" s="2343">
        <v>0</v>
      </c>
      <c r="F461" s="2344">
        <v>0</v>
      </c>
      <c r="G461" s="2344">
        <v>0</v>
      </c>
      <c r="H461" s="2345">
        <v>0</v>
      </c>
      <c r="I461" s="2261">
        <f t="shared" si="103"/>
        <v>0</v>
      </c>
    </row>
    <row r="462" spans="1:9" s="132" customFormat="1" x14ac:dyDescent="0.2">
      <c r="A462" s="134"/>
      <c r="B462" s="194"/>
      <c r="C462" s="2101" t="s">
        <v>29</v>
      </c>
      <c r="D462" s="2256" t="s">
        <v>30</v>
      </c>
      <c r="E462" s="2343">
        <v>0</v>
      </c>
      <c r="F462" s="2344">
        <v>0</v>
      </c>
      <c r="G462" s="2344">
        <v>0</v>
      </c>
      <c r="H462" s="2345">
        <v>0</v>
      </c>
      <c r="I462" s="2261">
        <f t="shared" si="103"/>
        <v>0</v>
      </c>
    </row>
    <row r="463" spans="1:9" s="132" customFormat="1" x14ac:dyDescent="0.2">
      <c r="A463" s="134"/>
      <c r="B463" s="194"/>
      <c r="C463" s="2101" t="s">
        <v>27</v>
      </c>
      <c r="D463" s="2256" t="s">
        <v>30</v>
      </c>
      <c r="E463" s="2347">
        <v>0</v>
      </c>
      <c r="F463" s="2344">
        <v>0</v>
      </c>
      <c r="G463" s="2344">
        <v>0</v>
      </c>
      <c r="H463" s="2345">
        <v>0</v>
      </c>
      <c r="I463" s="2261">
        <f t="shared" si="103"/>
        <v>0</v>
      </c>
    </row>
    <row r="464" spans="1:9" s="132" customFormat="1" x14ac:dyDescent="0.2">
      <c r="A464" s="134"/>
      <c r="B464" s="194"/>
      <c r="C464" s="2101" t="s">
        <v>27</v>
      </c>
      <c r="D464" s="2256" t="s">
        <v>105</v>
      </c>
      <c r="E464" s="2347">
        <v>0</v>
      </c>
      <c r="F464" s="2344">
        <v>0</v>
      </c>
      <c r="G464" s="2344">
        <v>0</v>
      </c>
      <c r="H464" s="2345">
        <v>0</v>
      </c>
      <c r="I464" s="2261">
        <f t="shared" si="103"/>
        <v>0</v>
      </c>
    </row>
    <row r="465" spans="1:12" s="132" customFormat="1" x14ac:dyDescent="0.2">
      <c r="A465" s="134"/>
      <c r="B465" s="194"/>
      <c r="C465" s="2101" t="s">
        <v>42</v>
      </c>
      <c r="D465" s="2256" t="s">
        <v>43</v>
      </c>
      <c r="E465" s="2343">
        <v>0</v>
      </c>
      <c r="F465" s="2344">
        <v>0</v>
      </c>
      <c r="G465" s="2344">
        <v>0</v>
      </c>
      <c r="H465" s="2345">
        <v>0</v>
      </c>
      <c r="I465" s="2261">
        <f t="shared" si="103"/>
        <v>0</v>
      </c>
    </row>
    <row r="466" spans="1:12" s="132" customFormat="1" ht="13.5" thickBot="1" x14ac:dyDescent="0.25">
      <c r="A466" s="134"/>
      <c r="B466" s="195"/>
      <c r="C466" s="2109" t="str">
        <f>'TRAD-Calculs pédiatriques'!B80</f>
        <v>LPV/r bébé</v>
      </c>
      <c r="D466" s="2260" t="s">
        <v>496</v>
      </c>
      <c r="E466" s="221">
        <v>0</v>
      </c>
      <c r="F466" s="222">
        <v>0</v>
      </c>
      <c r="G466" s="222">
        <v>0</v>
      </c>
      <c r="H466" s="2338">
        <v>0</v>
      </c>
      <c r="I466" s="223">
        <f t="shared" si="103"/>
        <v>0</v>
      </c>
    </row>
    <row r="467" spans="1:12" s="132" customFormat="1" x14ac:dyDescent="0.2">
      <c r="A467" s="134"/>
    </row>
    <row r="468" spans="1:12" s="132" customFormat="1" x14ac:dyDescent="0.2">
      <c r="A468" s="134"/>
    </row>
    <row r="469" spans="1:12" s="131" customFormat="1" ht="15.75" thickBot="1" x14ac:dyDescent="0.25">
      <c r="A469" s="1130" t="str">
        <f>'TRAD-Calculs pédiatriques'!B103</f>
        <v>Nouvelles initiations &amp; switchs : Quantification des besoins pour la prise en charge des enfants pour 1 mois</v>
      </c>
      <c r="B469" s="129"/>
      <c r="C469" s="129"/>
      <c r="D469" s="129"/>
      <c r="E469" s="129"/>
      <c r="F469" s="129"/>
      <c r="G469" s="129"/>
      <c r="H469" s="129"/>
      <c r="I469" s="129"/>
      <c r="J469" s="129"/>
      <c r="K469" s="129"/>
      <c r="L469" s="129"/>
    </row>
    <row r="470" spans="1:12" s="132" customFormat="1" ht="13.5" thickBot="1" x14ac:dyDescent="0.25">
      <c r="A470" s="134"/>
      <c r="B470" s="134"/>
      <c r="E470" s="190"/>
      <c r="F470" s="190"/>
    </row>
    <row r="471" spans="1:12" s="132" customFormat="1" ht="13.5" thickBot="1" x14ac:dyDescent="0.25">
      <c r="A471" s="134"/>
      <c r="B471" s="134"/>
      <c r="C471" s="134"/>
      <c r="D471" s="134"/>
      <c r="E471" s="3272" t="str">
        <f>'TRAD-Calculs pédiatriques'!B64</f>
        <v>Poids envisagés</v>
      </c>
      <c r="F471" s="3273"/>
      <c r="G471" s="3273"/>
      <c r="H471" s="3274"/>
    </row>
    <row r="472" spans="1:12" s="132" customFormat="1" ht="51.75" thickBot="1" x14ac:dyDescent="0.25">
      <c r="A472" s="134"/>
      <c r="B472" s="2346"/>
      <c r="C472" s="151" t="s">
        <v>12</v>
      </c>
      <c r="D472" s="152" t="str">
        <f>'TRAD-Calculs pédiatriques'!B46</f>
        <v>Dosage</v>
      </c>
      <c r="E472" s="151" t="s">
        <v>53</v>
      </c>
      <c r="F472" s="152" t="s">
        <v>55</v>
      </c>
      <c r="G472" s="152" t="s">
        <v>57</v>
      </c>
      <c r="H472" s="153" t="s">
        <v>59</v>
      </c>
      <c r="I472" s="2132" t="str">
        <f>'TRAD-Calculs pédiatriques'!B104</f>
        <v>TOTAL Nb de cdt / mois HORS INITIATION</v>
      </c>
      <c r="J472" s="150" t="str">
        <f>'TRAD-Calculs pédiatriques'!B105</f>
        <v>initiation NVP</v>
      </c>
      <c r="K472" s="2132" t="str">
        <f>'TRAD-Calculs pédiatriques'!B106</f>
        <v>TOTAL Nb de cdt / mois</v>
      </c>
    </row>
    <row r="473" spans="1:12" s="132" customFormat="1" x14ac:dyDescent="0.2">
      <c r="A473" s="134"/>
      <c r="B473" s="194" t="str">
        <f>'TRAD-Calculs pédiatriques'!B53</f>
        <v>sol buv</v>
      </c>
      <c r="C473" s="156" t="s">
        <v>32</v>
      </c>
      <c r="D473" s="164" t="s">
        <v>80</v>
      </c>
      <c r="E473" s="214">
        <f t="array" ref="E473:E501">TRANSPOSE($D$326:$AF$326)</f>
        <v>0</v>
      </c>
      <c r="F473" s="215">
        <f t="array" ref="F473:F501">TRANSPOSE($D$361:$AF$361)</f>
        <v>0</v>
      </c>
      <c r="G473" s="215">
        <f t="array" ref="G473:G501">TRANSPOSE($D$396:$AF$396)</f>
        <v>0</v>
      </c>
      <c r="H473" s="2336">
        <f t="array" ref="H473:H501">TRANSPOSE($D$431:$AF$431)</f>
        <v>0</v>
      </c>
      <c r="I473" s="216">
        <f>SUM(E473:H473)</f>
        <v>0</v>
      </c>
      <c r="J473" s="224">
        <f>G172</f>
        <v>0</v>
      </c>
      <c r="K473" s="216">
        <f>I473+J473</f>
        <v>0</v>
      </c>
    </row>
    <row r="474" spans="1:12" s="132" customFormat="1" x14ac:dyDescent="0.2">
      <c r="A474" s="134"/>
      <c r="B474" s="194"/>
      <c r="C474" s="156" t="s">
        <v>82</v>
      </c>
      <c r="D474" s="164" t="s">
        <v>80</v>
      </c>
      <c r="E474" s="217">
        <v>0</v>
      </c>
      <c r="F474" s="218">
        <v>0</v>
      </c>
      <c r="G474" s="218">
        <v>0</v>
      </c>
      <c r="H474" s="2337">
        <v>0</v>
      </c>
      <c r="I474" s="219">
        <f t="shared" ref="I474:I501" si="104">SUM(E474:H474)</f>
        <v>0</v>
      </c>
      <c r="J474" s="210">
        <f>G171</f>
        <v>0</v>
      </c>
      <c r="K474" s="219">
        <f t="shared" ref="K474:K501" si="105">I474+J474</f>
        <v>0</v>
      </c>
    </row>
    <row r="475" spans="1:12" s="132" customFormat="1" x14ac:dyDescent="0.2">
      <c r="A475" s="134"/>
      <c r="B475" s="194"/>
      <c r="C475" s="166" t="s">
        <v>34</v>
      </c>
      <c r="D475" s="167" t="s">
        <v>80</v>
      </c>
      <c r="E475" s="825">
        <v>0</v>
      </c>
      <c r="F475" s="218">
        <v>0</v>
      </c>
      <c r="G475" s="218">
        <v>0</v>
      </c>
      <c r="H475" s="2337">
        <v>0</v>
      </c>
      <c r="I475" s="219">
        <f t="shared" si="104"/>
        <v>0</v>
      </c>
      <c r="J475" s="210">
        <f>G173</f>
        <v>0</v>
      </c>
      <c r="K475" s="219">
        <f t="shared" si="105"/>
        <v>0</v>
      </c>
    </row>
    <row r="476" spans="1:12" s="132" customFormat="1" x14ac:dyDescent="0.2">
      <c r="A476" s="134"/>
      <c r="B476" s="194"/>
      <c r="C476" s="166" t="s">
        <v>36</v>
      </c>
      <c r="D476" s="167" t="s">
        <v>88</v>
      </c>
      <c r="E476" s="217">
        <v>0</v>
      </c>
      <c r="F476" s="218">
        <v>0</v>
      </c>
      <c r="G476" s="218">
        <v>0</v>
      </c>
      <c r="H476" s="2337">
        <v>0</v>
      </c>
      <c r="I476" s="219">
        <f t="shared" si="104"/>
        <v>0</v>
      </c>
      <c r="J476" s="210"/>
      <c r="K476" s="219">
        <f t="shared" si="105"/>
        <v>0</v>
      </c>
    </row>
    <row r="477" spans="1:12" s="132" customFormat="1" x14ac:dyDescent="0.2">
      <c r="A477" s="134"/>
      <c r="B477" s="194"/>
      <c r="C477" s="166" t="s">
        <v>37</v>
      </c>
      <c r="D477" s="167" t="s">
        <v>91</v>
      </c>
      <c r="E477" s="217">
        <v>0</v>
      </c>
      <c r="F477" s="218">
        <v>0</v>
      </c>
      <c r="G477" s="218">
        <v>0</v>
      </c>
      <c r="H477" s="2337">
        <v>0</v>
      </c>
      <c r="I477" s="219">
        <f t="shared" si="104"/>
        <v>0</v>
      </c>
      <c r="J477" s="210"/>
      <c r="K477" s="219">
        <f t="shared" si="105"/>
        <v>0</v>
      </c>
    </row>
    <row r="478" spans="1:12" s="132" customFormat="1" x14ac:dyDescent="0.2">
      <c r="A478" s="134"/>
      <c r="B478" s="194"/>
      <c r="C478" s="166" t="s">
        <v>29</v>
      </c>
      <c r="D478" s="167" t="s">
        <v>80</v>
      </c>
      <c r="E478" s="217">
        <v>0</v>
      </c>
      <c r="F478" s="218">
        <v>0</v>
      </c>
      <c r="G478" s="218">
        <v>0</v>
      </c>
      <c r="H478" s="2337">
        <v>0</v>
      </c>
      <c r="I478" s="219">
        <f t="shared" si="104"/>
        <v>0</v>
      </c>
      <c r="J478" s="210">
        <f>G174</f>
        <v>0</v>
      </c>
      <c r="K478" s="219">
        <f t="shared" si="105"/>
        <v>0</v>
      </c>
    </row>
    <row r="479" spans="1:12" s="132" customFormat="1" x14ac:dyDescent="0.2">
      <c r="A479" s="134"/>
      <c r="B479" s="194"/>
      <c r="C479" s="166" t="s">
        <v>27</v>
      </c>
      <c r="D479" s="167" t="s">
        <v>86</v>
      </c>
      <c r="E479" s="220">
        <v>0</v>
      </c>
      <c r="F479" s="218">
        <v>0</v>
      </c>
      <c r="G479" s="218">
        <v>0</v>
      </c>
      <c r="H479" s="2337">
        <v>0</v>
      </c>
      <c r="I479" s="219">
        <f t="shared" si="104"/>
        <v>0</v>
      </c>
      <c r="J479" s="210"/>
      <c r="K479" s="219">
        <f t="shared" si="105"/>
        <v>0</v>
      </c>
    </row>
    <row r="480" spans="1:12" s="132" customFormat="1" ht="13.5" thickBot="1" x14ac:dyDescent="0.25">
      <c r="A480" s="134"/>
      <c r="B480" s="195"/>
      <c r="C480" s="166" t="s">
        <v>42</v>
      </c>
      <c r="D480" s="167" t="s">
        <v>93</v>
      </c>
      <c r="E480" s="221">
        <v>0</v>
      </c>
      <c r="F480" s="222">
        <v>0</v>
      </c>
      <c r="G480" s="222">
        <v>0</v>
      </c>
      <c r="H480" s="2338">
        <v>0</v>
      </c>
      <c r="I480" s="223">
        <f t="shared" si="104"/>
        <v>0</v>
      </c>
      <c r="J480" s="225"/>
      <c r="K480" s="223">
        <f t="shared" si="105"/>
        <v>0</v>
      </c>
    </row>
    <row r="481" spans="1:11" s="132" customFormat="1" x14ac:dyDescent="0.2">
      <c r="A481" s="134"/>
      <c r="B481" s="193" t="str">
        <f>'TRAD-Calculs pédiatriques'!B102</f>
        <v>Comprimés</v>
      </c>
      <c r="C481" s="2091" t="s">
        <v>1</v>
      </c>
      <c r="D481" s="2252" t="s">
        <v>17</v>
      </c>
      <c r="E481" s="217">
        <v>0</v>
      </c>
      <c r="F481" s="218">
        <v>0</v>
      </c>
      <c r="G481" s="218">
        <v>0</v>
      </c>
      <c r="H481" s="2337">
        <v>0</v>
      </c>
      <c r="I481" s="219">
        <f t="shared" si="104"/>
        <v>0</v>
      </c>
      <c r="J481" s="210"/>
      <c r="K481" s="219">
        <f t="shared" si="105"/>
        <v>0</v>
      </c>
    </row>
    <row r="482" spans="1:11" s="132" customFormat="1" x14ac:dyDescent="0.2">
      <c r="A482" s="134"/>
      <c r="B482" s="194"/>
      <c r="C482" s="2258" t="str">
        <f>'TRAD-Calculs pédiatriques'!B67</f>
        <v>AZT+3TC+NVP bébé</v>
      </c>
      <c r="D482" s="2259" t="s">
        <v>258</v>
      </c>
      <c r="E482" s="217">
        <v>0</v>
      </c>
      <c r="F482" s="218">
        <v>0</v>
      </c>
      <c r="G482" s="218">
        <v>0</v>
      </c>
      <c r="H482" s="2337">
        <v>0</v>
      </c>
      <c r="I482" s="219">
        <f t="shared" si="104"/>
        <v>0</v>
      </c>
      <c r="J482" s="210">
        <f>G176</f>
        <v>0</v>
      </c>
      <c r="K482" s="219">
        <f t="shared" si="105"/>
        <v>0</v>
      </c>
    </row>
    <row r="483" spans="1:11" s="132" customFormat="1" x14ac:dyDescent="0.2">
      <c r="A483" s="134"/>
      <c r="B483" s="194"/>
      <c r="C483" s="2096" t="s">
        <v>18</v>
      </c>
      <c r="D483" s="2254" t="s">
        <v>19</v>
      </c>
      <c r="E483" s="217">
        <v>0</v>
      </c>
      <c r="F483" s="218">
        <v>0</v>
      </c>
      <c r="G483" s="218">
        <v>0</v>
      </c>
      <c r="H483" s="2337">
        <v>0</v>
      </c>
      <c r="I483" s="219">
        <f t="shared" si="104"/>
        <v>0</v>
      </c>
      <c r="J483" s="210"/>
      <c r="K483" s="219">
        <f t="shared" si="105"/>
        <v>0</v>
      </c>
    </row>
    <row r="484" spans="1:11" s="132" customFormat="1" x14ac:dyDescent="0.2">
      <c r="A484" s="134"/>
      <c r="B484" s="194"/>
      <c r="C484" s="2258" t="str">
        <f>'TRAD-Calculs pédiatriques'!B69</f>
        <v>AZT+3TC bébé</v>
      </c>
      <c r="D484" s="2259" t="s">
        <v>260</v>
      </c>
      <c r="E484" s="217">
        <v>0</v>
      </c>
      <c r="F484" s="2249">
        <v>0</v>
      </c>
      <c r="G484" s="2249">
        <v>0</v>
      </c>
      <c r="H484" s="2339">
        <v>0</v>
      </c>
      <c r="I484" s="219">
        <f t="shared" si="104"/>
        <v>0</v>
      </c>
      <c r="J484" s="210">
        <f>G177</f>
        <v>0</v>
      </c>
      <c r="K484" s="219">
        <f t="shared" si="105"/>
        <v>0</v>
      </c>
    </row>
    <row r="485" spans="1:11" s="132" customFormat="1" x14ac:dyDescent="0.2">
      <c r="A485" s="134"/>
      <c r="B485" s="194"/>
      <c r="C485" s="2101" t="s">
        <v>2</v>
      </c>
      <c r="D485" s="2256" t="s">
        <v>21</v>
      </c>
      <c r="E485" s="217">
        <v>0</v>
      </c>
      <c r="F485" s="218">
        <v>0</v>
      </c>
      <c r="G485" s="218">
        <v>0</v>
      </c>
      <c r="H485" s="2337">
        <v>0</v>
      </c>
      <c r="I485" s="1199">
        <f t="shared" si="104"/>
        <v>0</v>
      </c>
      <c r="J485" s="1171"/>
      <c r="K485" s="1199">
        <f t="shared" si="105"/>
        <v>0</v>
      </c>
    </row>
    <row r="486" spans="1:11" s="132" customFormat="1" x14ac:dyDescent="0.2">
      <c r="A486" s="134"/>
      <c r="B486" s="194"/>
      <c r="C486" s="2096" t="str">
        <f>'TRAD-Calculs pédiatriques'!B71</f>
        <v>D4T+3TC+NVP bébé</v>
      </c>
      <c r="D486" s="2254" t="s">
        <v>102</v>
      </c>
      <c r="E486" s="217">
        <v>0</v>
      </c>
      <c r="F486" s="218">
        <v>0</v>
      </c>
      <c r="G486" s="218">
        <v>0</v>
      </c>
      <c r="H486" s="2337">
        <v>0</v>
      </c>
      <c r="I486" s="219">
        <f t="shared" si="104"/>
        <v>0</v>
      </c>
      <c r="J486" s="210">
        <f>G175</f>
        <v>0</v>
      </c>
      <c r="K486" s="219">
        <f t="shared" si="105"/>
        <v>0</v>
      </c>
    </row>
    <row r="487" spans="1:11" s="132" customFormat="1" x14ac:dyDescent="0.2">
      <c r="A487" s="134"/>
      <c r="B487" s="194"/>
      <c r="C487" s="2096" t="s">
        <v>22</v>
      </c>
      <c r="D487" s="2254" t="s">
        <v>23</v>
      </c>
      <c r="E487" s="217">
        <v>0</v>
      </c>
      <c r="F487" s="218">
        <v>0</v>
      </c>
      <c r="G487" s="2249">
        <v>0</v>
      </c>
      <c r="H487" s="2339">
        <v>0</v>
      </c>
      <c r="I487" s="1199">
        <f t="shared" si="104"/>
        <v>0</v>
      </c>
      <c r="J487" s="1171"/>
      <c r="K487" s="1199">
        <f t="shared" si="105"/>
        <v>0</v>
      </c>
    </row>
    <row r="488" spans="1:11" s="132" customFormat="1" x14ac:dyDescent="0.2">
      <c r="A488" s="134"/>
      <c r="B488" s="194"/>
      <c r="C488" s="2096" t="s">
        <v>3</v>
      </c>
      <c r="D488" s="2254" t="s">
        <v>137</v>
      </c>
      <c r="E488" s="217">
        <v>0</v>
      </c>
      <c r="F488" s="218">
        <v>0</v>
      </c>
      <c r="G488" s="218">
        <v>0</v>
      </c>
      <c r="H488" s="2337">
        <v>0</v>
      </c>
      <c r="I488" s="219">
        <f t="shared" si="104"/>
        <v>0</v>
      </c>
      <c r="J488" s="210"/>
      <c r="K488" s="219">
        <f t="shared" si="105"/>
        <v>0</v>
      </c>
    </row>
    <row r="489" spans="1:11" s="132" customFormat="1" x14ac:dyDescent="0.2">
      <c r="A489" s="134"/>
      <c r="B489" s="194"/>
      <c r="C489" s="2096" t="s">
        <v>596</v>
      </c>
      <c r="D489" s="2254" t="s">
        <v>728</v>
      </c>
      <c r="E489" s="217">
        <v>0</v>
      </c>
      <c r="F489" s="218">
        <v>0</v>
      </c>
      <c r="G489" s="2249">
        <v>0</v>
      </c>
      <c r="H489" s="2337">
        <v>0</v>
      </c>
      <c r="I489" s="1199">
        <f t="shared" si="104"/>
        <v>0</v>
      </c>
      <c r="J489" s="1171"/>
      <c r="K489" s="1199">
        <f t="shared" si="105"/>
        <v>0</v>
      </c>
    </row>
    <row r="490" spans="1:11" s="132" customFormat="1" x14ac:dyDescent="0.2">
      <c r="A490" s="134"/>
      <c r="B490" s="194"/>
      <c r="C490" s="2096" t="str">
        <f>'TRAD-Calculs pédiatriques'!B74</f>
        <v>ABC+3TC bébé</v>
      </c>
      <c r="D490" s="2254" t="s">
        <v>727</v>
      </c>
      <c r="E490" s="217">
        <v>0</v>
      </c>
      <c r="F490" s="218">
        <v>0</v>
      </c>
      <c r="G490" s="218">
        <v>0</v>
      </c>
      <c r="H490" s="2337">
        <v>0</v>
      </c>
      <c r="I490" s="219">
        <f t="shared" si="104"/>
        <v>0</v>
      </c>
      <c r="J490" s="210"/>
      <c r="K490" s="219">
        <f t="shared" si="105"/>
        <v>0</v>
      </c>
    </row>
    <row r="491" spans="1:11" s="132" customFormat="1" x14ac:dyDescent="0.2">
      <c r="A491" s="134"/>
      <c r="B491" s="194"/>
      <c r="C491" s="2096" t="s">
        <v>34</v>
      </c>
      <c r="D491" s="2254" t="s">
        <v>35</v>
      </c>
      <c r="E491" s="217">
        <v>0</v>
      </c>
      <c r="F491" s="218">
        <v>0</v>
      </c>
      <c r="G491" s="218">
        <v>0</v>
      </c>
      <c r="H491" s="2337">
        <v>0</v>
      </c>
      <c r="I491" s="1199">
        <f t="shared" si="104"/>
        <v>0</v>
      </c>
      <c r="J491" s="1171"/>
      <c r="K491" s="1199">
        <f t="shared" si="105"/>
        <v>0</v>
      </c>
    </row>
    <row r="492" spans="1:11" s="132" customFormat="1" x14ac:dyDescent="0.2">
      <c r="A492" s="134"/>
      <c r="B492" s="194"/>
      <c r="C492" s="2096" t="s">
        <v>36</v>
      </c>
      <c r="D492" s="2254" t="s">
        <v>33</v>
      </c>
      <c r="E492" s="217">
        <v>0</v>
      </c>
      <c r="F492" s="218">
        <v>0</v>
      </c>
      <c r="G492" s="218">
        <v>0</v>
      </c>
      <c r="H492" s="2337">
        <v>0</v>
      </c>
      <c r="I492" s="1199">
        <f t="shared" si="104"/>
        <v>0</v>
      </c>
      <c r="J492" s="1171"/>
      <c r="K492" s="1199">
        <f t="shared" si="105"/>
        <v>0</v>
      </c>
    </row>
    <row r="493" spans="1:11" s="132" customFormat="1" x14ac:dyDescent="0.2">
      <c r="A493" s="134"/>
      <c r="B493" s="194"/>
      <c r="C493" s="2101" t="str">
        <f>'TRAD-Calculs pédiatriques'!B76</f>
        <v>ABC bébé</v>
      </c>
      <c r="D493" s="2256" t="s">
        <v>611</v>
      </c>
      <c r="E493" s="217">
        <v>0</v>
      </c>
      <c r="F493" s="218">
        <v>0</v>
      </c>
      <c r="G493" s="218">
        <v>0</v>
      </c>
      <c r="H493" s="2337">
        <v>0</v>
      </c>
      <c r="I493" s="219">
        <f t="shared" si="104"/>
        <v>0</v>
      </c>
      <c r="J493" s="210"/>
      <c r="K493" s="219">
        <f t="shared" si="105"/>
        <v>0</v>
      </c>
    </row>
    <row r="494" spans="1:11" s="132" customFormat="1" x14ac:dyDescent="0.2">
      <c r="A494" s="134"/>
      <c r="B494" s="194"/>
      <c r="C494" s="2101" t="s">
        <v>32</v>
      </c>
      <c r="D494" s="2256" t="s">
        <v>46</v>
      </c>
      <c r="E494" s="2340">
        <v>0</v>
      </c>
      <c r="F494" s="2341">
        <v>0</v>
      </c>
      <c r="G494" s="2341">
        <v>0</v>
      </c>
      <c r="H494" s="2342">
        <v>0</v>
      </c>
      <c r="I494" s="1200">
        <f t="shared" si="104"/>
        <v>0</v>
      </c>
      <c r="J494" s="1132"/>
      <c r="K494" s="1200">
        <f t="shared" si="105"/>
        <v>0</v>
      </c>
    </row>
    <row r="495" spans="1:11" s="132" customFormat="1" x14ac:dyDescent="0.2">
      <c r="A495" s="134"/>
      <c r="B495" s="194"/>
      <c r="C495" s="2101" t="str">
        <f>'TRAD-Calculs pédiatriques'!B77</f>
        <v>AZT bébé</v>
      </c>
      <c r="D495" s="2256" t="s">
        <v>611</v>
      </c>
      <c r="E495" s="2343">
        <v>0</v>
      </c>
      <c r="F495" s="2344">
        <v>0</v>
      </c>
      <c r="G495" s="2344">
        <v>0</v>
      </c>
      <c r="H495" s="2345">
        <v>0</v>
      </c>
      <c r="I495" s="2261">
        <f t="shared" si="104"/>
        <v>0</v>
      </c>
      <c r="J495" s="2262"/>
      <c r="K495" s="2261">
        <f t="shared" si="105"/>
        <v>0</v>
      </c>
    </row>
    <row r="496" spans="1:11" s="132" customFormat="1" x14ac:dyDescent="0.2">
      <c r="A496" s="134"/>
      <c r="B496" s="194"/>
      <c r="C496" s="2101" t="s">
        <v>37</v>
      </c>
      <c r="D496" s="2256" t="s">
        <v>38</v>
      </c>
      <c r="E496" s="2343">
        <v>0</v>
      </c>
      <c r="F496" s="2344">
        <v>0</v>
      </c>
      <c r="G496" s="2344">
        <v>0</v>
      </c>
      <c r="H496" s="2345">
        <v>0</v>
      </c>
      <c r="I496" s="2261">
        <f t="shared" si="104"/>
        <v>0</v>
      </c>
      <c r="J496" s="2262"/>
      <c r="K496" s="2261">
        <f t="shared" si="105"/>
        <v>0</v>
      </c>
    </row>
    <row r="497" spans="1:14" s="132" customFormat="1" x14ac:dyDescent="0.2">
      <c r="A497" s="134"/>
      <c r="B497" s="194"/>
      <c r="C497" s="2101" t="s">
        <v>29</v>
      </c>
      <c r="D497" s="2256" t="s">
        <v>30</v>
      </c>
      <c r="E497" s="2343">
        <v>0</v>
      </c>
      <c r="F497" s="2344">
        <v>0</v>
      </c>
      <c r="G497" s="2344">
        <v>0</v>
      </c>
      <c r="H497" s="2345">
        <v>0</v>
      </c>
      <c r="I497" s="2261">
        <f t="shared" si="104"/>
        <v>0</v>
      </c>
      <c r="J497" s="2262"/>
      <c r="K497" s="2261">
        <f t="shared" si="105"/>
        <v>0</v>
      </c>
    </row>
    <row r="498" spans="1:14" s="132" customFormat="1" x14ac:dyDescent="0.2">
      <c r="A498" s="134"/>
      <c r="B498" s="194"/>
      <c r="C498" s="2101" t="s">
        <v>27</v>
      </c>
      <c r="D498" s="2256" t="s">
        <v>30</v>
      </c>
      <c r="E498" s="2347">
        <v>0</v>
      </c>
      <c r="F498" s="2344">
        <v>0</v>
      </c>
      <c r="G498" s="2344">
        <v>0</v>
      </c>
      <c r="H498" s="2345">
        <v>0</v>
      </c>
      <c r="I498" s="2261">
        <f t="shared" si="104"/>
        <v>0</v>
      </c>
      <c r="J498" s="2262"/>
      <c r="K498" s="2261">
        <f t="shared" si="105"/>
        <v>0</v>
      </c>
    </row>
    <row r="499" spans="1:14" s="132" customFormat="1" x14ac:dyDescent="0.2">
      <c r="A499" s="134"/>
      <c r="B499" s="194"/>
      <c r="C499" s="2101" t="s">
        <v>27</v>
      </c>
      <c r="D499" s="2256" t="s">
        <v>105</v>
      </c>
      <c r="E499" s="2347">
        <v>0</v>
      </c>
      <c r="F499" s="2344">
        <v>0</v>
      </c>
      <c r="G499" s="2344">
        <v>0</v>
      </c>
      <c r="H499" s="2345">
        <v>0</v>
      </c>
      <c r="I499" s="2261">
        <f t="shared" si="104"/>
        <v>0</v>
      </c>
      <c r="J499" s="2262"/>
      <c r="K499" s="2261">
        <f t="shared" si="105"/>
        <v>0</v>
      </c>
    </row>
    <row r="500" spans="1:14" s="132" customFormat="1" x14ac:dyDescent="0.2">
      <c r="A500" s="134"/>
      <c r="B500" s="194"/>
      <c r="C500" s="2101" t="s">
        <v>42</v>
      </c>
      <c r="D500" s="2256" t="s">
        <v>43</v>
      </c>
      <c r="E500" s="2343">
        <v>0</v>
      </c>
      <c r="F500" s="2344">
        <v>0</v>
      </c>
      <c r="G500" s="2344">
        <v>0</v>
      </c>
      <c r="H500" s="2345">
        <v>0</v>
      </c>
      <c r="I500" s="2261">
        <f t="shared" si="104"/>
        <v>0</v>
      </c>
      <c r="J500" s="2262"/>
      <c r="K500" s="2261">
        <f t="shared" si="105"/>
        <v>0</v>
      </c>
    </row>
    <row r="501" spans="1:14" s="132" customFormat="1" ht="13.5" thickBot="1" x14ac:dyDescent="0.25">
      <c r="A501" s="134"/>
      <c r="B501" s="195"/>
      <c r="C501" s="2109" t="str">
        <f>'TRAD-Calculs pédiatriques'!B80</f>
        <v>LPV/r bébé</v>
      </c>
      <c r="D501" s="2260" t="s">
        <v>496</v>
      </c>
      <c r="E501" s="221">
        <v>0</v>
      </c>
      <c r="F501" s="222">
        <v>0</v>
      </c>
      <c r="G501" s="222">
        <v>0</v>
      </c>
      <c r="H501" s="2338">
        <v>0</v>
      </c>
      <c r="I501" s="223">
        <f t="shared" si="104"/>
        <v>0</v>
      </c>
      <c r="J501" s="225"/>
      <c r="K501" s="223">
        <f t="shared" si="105"/>
        <v>0</v>
      </c>
    </row>
    <row r="502" spans="1:14" s="132" customFormat="1" x14ac:dyDescent="0.2">
      <c r="A502" s="134"/>
    </row>
    <row r="503" spans="1:14" s="132" customFormat="1" x14ac:dyDescent="0.2">
      <c r="A503" s="134"/>
    </row>
    <row r="504" spans="1:14" ht="15.75" thickBot="1" x14ac:dyDescent="0.25">
      <c r="A504" s="129" t="str">
        <f>'TRAD-Calculs pédiatriques'!B107</f>
        <v>Synthèse</v>
      </c>
      <c r="B504" s="129"/>
      <c r="C504" s="129"/>
      <c r="D504" s="129"/>
      <c r="E504" s="129"/>
      <c r="F504" s="129"/>
      <c r="G504" s="129"/>
      <c r="H504" s="129"/>
      <c r="I504" s="129"/>
      <c r="J504" s="129"/>
      <c r="K504" s="129"/>
      <c r="L504" s="129"/>
      <c r="M504" s="129"/>
      <c r="N504" s="129"/>
    </row>
    <row r="505" spans="1:14" x14ac:dyDescent="0.2">
      <c r="G505" s="192"/>
      <c r="H505" s="192"/>
    </row>
    <row r="506" spans="1:14" ht="14.25" x14ac:dyDescent="0.2">
      <c r="B506" s="3261" t="str">
        <f>'TRAD-Calculs pédiatriques'!B108</f>
        <v>Total des besoins mensuels 1 MOIS</v>
      </c>
      <c r="C506" s="3261"/>
      <c r="D506" s="3261"/>
      <c r="E506" s="3261"/>
      <c r="F506" s="3261"/>
      <c r="G506" s="3261"/>
      <c r="H506" s="3261"/>
      <c r="I506" s="3261"/>
      <c r="J506" s="3261"/>
      <c r="K506" s="3261"/>
      <c r="L506" s="3261"/>
      <c r="M506" s="3261"/>
    </row>
    <row r="507" spans="1:14" s="132" customFormat="1" ht="13.5" thickBot="1" x14ac:dyDescent="0.25">
      <c r="A507" s="134"/>
      <c r="G507" s="135"/>
    </row>
    <row r="508" spans="1:14" s="132" customFormat="1" ht="64.5" thickBot="1" x14ac:dyDescent="0.25">
      <c r="A508" s="134"/>
      <c r="B508" s="193"/>
      <c r="C508" s="151" t="s">
        <v>12</v>
      </c>
      <c r="D508" s="152" t="str">
        <f>'TRAD-Calculs pédiatriques'!B45</f>
        <v>Forme galénique</v>
      </c>
      <c r="E508" s="152" t="str">
        <f>'TRAD-Calculs pédiatriques'!B46</f>
        <v>Dosage</v>
      </c>
      <c r="F508" s="152" t="str">
        <f>'TRAD-Calculs pédiatriques'!B48</f>
        <v>Volume conditionnement primaire (mL)</v>
      </c>
      <c r="G508" s="152" t="str">
        <f>'TRAD-Calculs pédiatriques'!B109</f>
        <v>TOTAL Besoins patients suivis</v>
      </c>
      <c r="H508" s="152" t="str">
        <f>'TRAD-Calculs pédiatriques'!B110</f>
        <v>TOTAL Besoins patients initiés</v>
      </c>
      <c r="I508" s="2251" t="str">
        <f>'TRAD-Calculs pédiatriques'!B111</f>
        <v>Total des besoins mensuels (conditionnement prim.)</v>
      </c>
    </row>
    <row r="509" spans="1:14" s="132" customFormat="1" x14ac:dyDescent="0.2">
      <c r="A509" s="134"/>
      <c r="B509" s="193" t="str">
        <f>'TRAD-Calculs pédiatriques'!B53</f>
        <v>sol buv</v>
      </c>
      <c r="C509" s="154" t="s">
        <v>32</v>
      </c>
      <c r="D509" s="162" t="str">
        <f>'TRAD-Calculs pédiatriques'!B53</f>
        <v>sol buv</v>
      </c>
      <c r="E509" s="162" t="s">
        <v>80</v>
      </c>
      <c r="F509" s="1201">
        <f>'Saisie données stocks'!L61</f>
        <v>240</v>
      </c>
      <c r="G509" s="2348">
        <f t="shared" ref="G509:G524" si="106">I438</f>
        <v>0</v>
      </c>
      <c r="H509" s="1198">
        <f t="shared" ref="H509:H524" si="107">K473</f>
        <v>0</v>
      </c>
      <c r="I509" s="2253">
        <f>ROUNDUP((G509+H509), 1)</f>
        <v>0</v>
      </c>
    </row>
    <row r="510" spans="1:14" s="132" customFormat="1" x14ac:dyDescent="0.2">
      <c r="A510" s="134"/>
      <c r="B510" s="194"/>
      <c r="C510" s="156" t="s">
        <v>82</v>
      </c>
      <c r="D510" s="164" t="str">
        <f>'TRAD-Calculs pédiatriques'!B53</f>
        <v>sol buv</v>
      </c>
      <c r="E510" s="164" t="s">
        <v>80</v>
      </c>
      <c r="F510" s="1202">
        <f>'Saisie données stocks'!L62</f>
        <v>240</v>
      </c>
      <c r="G510" s="2349">
        <f t="shared" si="106"/>
        <v>0</v>
      </c>
      <c r="H510" s="1199">
        <f t="shared" si="107"/>
        <v>0</v>
      </c>
      <c r="I510" s="2255">
        <f t="shared" ref="I510:I537" si="108">ROUNDUP((G510+H510), 1)</f>
        <v>0</v>
      </c>
    </row>
    <row r="511" spans="1:14" s="132" customFormat="1" x14ac:dyDescent="0.2">
      <c r="A511" s="134"/>
      <c r="B511" s="194"/>
      <c r="C511" s="166" t="s">
        <v>34</v>
      </c>
      <c r="D511" s="167" t="str">
        <f>'TRAD-Calculs pédiatriques'!B53</f>
        <v>sol buv</v>
      </c>
      <c r="E511" s="167" t="s">
        <v>80</v>
      </c>
      <c r="F511" s="1203">
        <f>'Saisie données stocks'!L63</f>
        <v>240</v>
      </c>
      <c r="G511" s="2349">
        <f t="shared" si="106"/>
        <v>0</v>
      </c>
      <c r="H511" s="1199">
        <f t="shared" si="107"/>
        <v>0</v>
      </c>
      <c r="I511" s="2255">
        <f t="shared" si="108"/>
        <v>0</v>
      </c>
    </row>
    <row r="512" spans="1:14" s="132" customFormat="1" x14ac:dyDescent="0.2">
      <c r="A512" s="134"/>
      <c r="B512" s="194"/>
      <c r="C512" s="166" t="s">
        <v>36</v>
      </c>
      <c r="D512" s="167" t="str">
        <f>'TRAD-Calculs pédiatriques'!B53</f>
        <v>sol buv</v>
      </c>
      <c r="E512" s="167" t="s">
        <v>88</v>
      </c>
      <c r="F512" s="1203">
        <f>'Saisie données stocks'!L66</f>
        <v>240</v>
      </c>
      <c r="G512" s="2349">
        <f t="shared" si="106"/>
        <v>0</v>
      </c>
      <c r="H512" s="1199">
        <f t="shared" si="107"/>
        <v>0</v>
      </c>
      <c r="I512" s="2255">
        <f t="shared" si="108"/>
        <v>0</v>
      </c>
    </row>
    <row r="513" spans="1:9" s="132" customFormat="1" x14ac:dyDescent="0.2">
      <c r="A513" s="134"/>
      <c r="B513" s="194"/>
      <c r="C513" s="166" t="s">
        <v>37</v>
      </c>
      <c r="D513" s="167" t="str">
        <f>'TRAD-Calculs pédiatriques'!B53</f>
        <v>sol buv</v>
      </c>
      <c r="E513" s="167" t="s">
        <v>91</v>
      </c>
      <c r="F513" s="1203">
        <f>'Saisie données stocks'!L65</f>
        <v>200</v>
      </c>
      <c r="G513" s="2349">
        <f t="shared" si="106"/>
        <v>0</v>
      </c>
      <c r="H513" s="1199">
        <f t="shared" si="107"/>
        <v>0</v>
      </c>
      <c r="I513" s="2255">
        <f t="shared" si="108"/>
        <v>0</v>
      </c>
    </row>
    <row r="514" spans="1:9" s="132" customFormat="1" x14ac:dyDescent="0.2">
      <c r="A514" s="134"/>
      <c r="B514" s="194"/>
      <c r="C514" s="166" t="s">
        <v>29</v>
      </c>
      <c r="D514" s="167" t="str">
        <f>'TRAD-Calculs pédiatriques'!B53</f>
        <v>sol buv</v>
      </c>
      <c r="E514" s="167" t="s">
        <v>80</v>
      </c>
      <c r="F514" s="1203">
        <f>'Saisie données stocks'!L64</f>
        <v>240</v>
      </c>
      <c r="G514" s="2349">
        <f t="shared" si="106"/>
        <v>0</v>
      </c>
      <c r="H514" s="1199">
        <f t="shared" si="107"/>
        <v>0</v>
      </c>
      <c r="I514" s="2255">
        <f t="shared" si="108"/>
        <v>0</v>
      </c>
    </row>
    <row r="515" spans="1:9" s="132" customFormat="1" x14ac:dyDescent="0.2">
      <c r="A515" s="134"/>
      <c r="B515" s="194"/>
      <c r="C515" s="166" t="s">
        <v>27</v>
      </c>
      <c r="D515" s="167" t="str">
        <f>'TRAD-Calculs pédiatriques'!B53</f>
        <v>sol buv</v>
      </c>
      <c r="E515" s="167" t="s">
        <v>86</v>
      </c>
      <c r="F515" s="1203">
        <f>'Saisie données stocks'!L67</f>
        <v>180</v>
      </c>
      <c r="G515" s="2349">
        <f t="shared" si="106"/>
        <v>0</v>
      </c>
      <c r="H515" s="1199">
        <f t="shared" si="107"/>
        <v>0</v>
      </c>
      <c r="I515" s="2255">
        <f t="shared" si="108"/>
        <v>0</v>
      </c>
    </row>
    <row r="516" spans="1:9" s="132" customFormat="1" ht="13.5" thickBot="1" x14ac:dyDescent="0.25">
      <c r="A516" s="134"/>
      <c r="B516" s="195"/>
      <c r="C516" s="166" t="s">
        <v>42</v>
      </c>
      <c r="D516" s="167" t="str">
        <f>'TRAD-Calculs pédiatriques'!B53</f>
        <v>sol buv</v>
      </c>
      <c r="E516" s="167" t="s">
        <v>93</v>
      </c>
      <c r="F516" s="1203">
        <f>'Saisie données stocks'!L68</f>
        <v>60</v>
      </c>
      <c r="G516" s="2350">
        <f t="shared" si="106"/>
        <v>0</v>
      </c>
      <c r="H516" s="223">
        <f t="shared" si="107"/>
        <v>0</v>
      </c>
      <c r="I516" s="2257">
        <f t="shared" si="108"/>
        <v>0</v>
      </c>
    </row>
    <row r="517" spans="1:9" s="132" customFormat="1" ht="25.5" x14ac:dyDescent="0.2">
      <c r="A517" s="134"/>
      <c r="B517" s="193" t="str">
        <f>'TRAD-Calculs pédiatriques'!B102</f>
        <v>Comprimés</v>
      </c>
      <c r="C517" s="2091" t="s">
        <v>1</v>
      </c>
      <c r="D517" s="2252" t="str">
        <f>'TRAD-Calculs pédiatriques'!B82</f>
        <v>Cp</v>
      </c>
      <c r="E517" s="2252" t="s">
        <v>17</v>
      </c>
      <c r="F517" s="1201">
        <v>60</v>
      </c>
      <c r="G517" s="2349">
        <f t="shared" si="106"/>
        <v>0</v>
      </c>
      <c r="H517" s="1199">
        <f t="shared" si="107"/>
        <v>0</v>
      </c>
      <c r="I517" s="2253">
        <f t="shared" si="108"/>
        <v>0</v>
      </c>
    </row>
    <row r="518" spans="1:9" s="132" customFormat="1" x14ac:dyDescent="0.2">
      <c r="A518" s="134"/>
      <c r="B518" s="194"/>
      <c r="C518" s="2258" t="str">
        <f>'TRAD-Calculs pédiatriques'!B67</f>
        <v>AZT+3TC+NVP bébé</v>
      </c>
      <c r="D518" s="2259" t="str">
        <f>'TRAD-Calculs pédiatriques'!B82</f>
        <v>Cp</v>
      </c>
      <c r="E518" s="2259" t="s">
        <v>258</v>
      </c>
      <c r="F518" s="1202">
        <v>60</v>
      </c>
      <c r="G518" s="2349">
        <f t="shared" si="106"/>
        <v>0</v>
      </c>
      <c r="H518" s="1199">
        <f t="shared" si="107"/>
        <v>0</v>
      </c>
      <c r="I518" s="2255">
        <f t="shared" si="108"/>
        <v>0</v>
      </c>
    </row>
    <row r="519" spans="1:9" s="132" customFormat="1" x14ac:dyDescent="0.2">
      <c r="A519" s="134"/>
      <c r="B519" s="194"/>
      <c r="C519" s="2096" t="s">
        <v>18</v>
      </c>
      <c r="D519" s="2254" t="str">
        <f>'TRAD-Calculs pédiatriques'!B82</f>
        <v>Cp</v>
      </c>
      <c r="E519" s="2254" t="s">
        <v>19</v>
      </c>
      <c r="F519" s="1202">
        <v>60</v>
      </c>
      <c r="G519" s="2349">
        <f t="shared" si="106"/>
        <v>0</v>
      </c>
      <c r="H519" s="1199">
        <f t="shared" si="107"/>
        <v>0</v>
      </c>
      <c r="I519" s="2255">
        <f t="shared" si="108"/>
        <v>0</v>
      </c>
    </row>
    <row r="520" spans="1:9" s="132" customFormat="1" x14ac:dyDescent="0.2">
      <c r="A520" s="134"/>
      <c r="B520" s="194"/>
      <c r="C520" s="2258" t="str">
        <f>'TRAD-Calculs pédiatriques'!B69</f>
        <v>AZT+3TC bébé</v>
      </c>
      <c r="D520" s="2259" t="str">
        <f>'TRAD-Calculs pédiatriques'!B82</f>
        <v>Cp</v>
      </c>
      <c r="E520" s="2259" t="s">
        <v>260</v>
      </c>
      <c r="F520" s="1202">
        <v>60</v>
      </c>
      <c r="G520" s="2349">
        <f t="shared" si="106"/>
        <v>0</v>
      </c>
      <c r="H520" s="1199">
        <f t="shared" si="107"/>
        <v>0</v>
      </c>
      <c r="I520" s="2255">
        <f t="shared" si="108"/>
        <v>0</v>
      </c>
    </row>
    <row r="521" spans="1:9" s="132" customFormat="1" ht="25.5" x14ac:dyDescent="0.2">
      <c r="A521" s="134"/>
      <c r="B521" s="194"/>
      <c r="C521" s="2101" t="s">
        <v>2</v>
      </c>
      <c r="D521" s="2256" t="str">
        <f>'TRAD-Calculs pédiatriques'!B82</f>
        <v>Cp</v>
      </c>
      <c r="E521" s="2256" t="s">
        <v>21</v>
      </c>
      <c r="F521" s="1203">
        <v>60</v>
      </c>
      <c r="G521" s="2349">
        <f t="shared" si="106"/>
        <v>0</v>
      </c>
      <c r="H521" s="1199">
        <f t="shared" si="107"/>
        <v>0</v>
      </c>
      <c r="I521" s="2255">
        <f t="shared" si="108"/>
        <v>0</v>
      </c>
    </row>
    <row r="522" spans="1:9" s="132" customFormat="1" x14ac:dyDescent="0.2">
      <c r="A522" s="134"/>
      <c r="B522" s="194"/>
      <c r="C522" s="2096" t="str">
        <f>'TRAD-Calculs pédiatriques'!B71</f>
        <v>D4T+3TC+NVP bébé</v>
      </c>
      <c r="D522" s="2254" t="str">
        <f>'TRAD-Calculs pédiatriques'!B82</f>
        <v>Cp</v>
      </c>
      <c r="E522" s="2254" t="s">
        <v>102</v>
      </c>
      <c r="F522" s="1203">
        <v>60</v>
      </c>
      <c r="G522" s="2349">
        <f t="shared" si="106"/>
        <v>0</v>
      </c>
      <c r="H522" s="1199">
        <f t="shared" si="107"/>
        <v>0</v>
      </c>
      <c r="I522" s="2255">
        <f t="shared" si="108"/>
        <v>0</v>
      </c>
    </row>
    <row r="523" spans="1:9" s="132" customFormat="1" x14ac:dyDescent="0.2">
      <c r="A523" s="134"/>
      <c r="B523" s="194"/>
      <c r="C523" s="2096" t="s">
        <v>22</v>
      </c>
      <c r="D523" s="2254" t="str">
        <f>'TRAD-Calculs pédiatriques'!B82</f>
        <v>Cp</v>
      </c>
      <c r="E523" s="2254" t="s">
        <v>23</v>
      </c>
      <c r="F523" s="1204">
        <v>60</v>
      </c>
      <c r="G523" s="2349">
        <f t="shared" si="106"/>
        <v>0</v>
      </c>
      <c r="H523" s="1199">
        <f t="shared" si="107"/>
        <v>0</v>
      </c>
      <c r="I523" s="2255">
        <f t="shared" si="108"/>
        <v>0</v>
      </c>
    </row>
    <row r="524" spans="1:9" s="132" customFormat="1" ht="25.5" x14ac:dyDescent="0.2">
      <c r="A524" s="134"/>
      <c r="B524" s="194"/>
      <c r="C524" s="2096" t="s">
        <v>3</v>
      </c>
      <c r="D524" s="2254" t="str">
        <f>'TRAD-Calculs pédiatriques'!B82</f>
        <v>Cp</v>
      </c>
      <c r="E524" s="2254" t="s">
        <v>137</v>
      </c>
      <c r="F524" s="1204">
        <v>60</v>
      </c>
      <c r="G524" s="2349">
        <f t="shared" si="106"/>
        <v>0</v>
      </c>
      <c r="H524" s="1199">
        <f t="shared" si="107"/>
        <v>0</v>
      </c>
      <c r="I524" s="2255">
        <f t="shared" si="108"/>
        <v>0</v>
      </c>
    </row>
    <row r="525" spans="1:9" s="132" customFormat="1" x14ac:dyDescent="0.2">
      <c r="A525" s="134"/>
      <c r="B525" s="194"/>
      <c r="C525" s="2096" t="s">
        <v>596</v>
      </c>
      <c r="D525" s="2254" t="str">
        <f>'TRAD-Calculs pédiatriques'!B82</f>
        <v>Cp</v>
      </c>
      <c r="E525" s="2254" t="s">
        <v>728</v>
      </c>
      <c r="F525" s="1204">
        <v>60</v>
      </c>
      <c r="G525" s="2349">
        <f t="shared" ref="G525:G537" si="109">I454</f>
        <v>0</v>
      </c>
      <c r="H525" s="1199">
        <f t="shared" ref="H525:H537" si="110">K489</f>
        <v>0</v>
      </c>
      <c r="I525" s="2255">
        <f t="shared" si="108"/>
        <v>0</v>
      </c>
    </row>
    <row r="526" spans="1:9" s="132" customFormat="1" x14ac:dyDescent="0.2">
      <c r="A526" s="134"/>
      <c r="B526" s="194"/>
      <c r="C526" s="2096" t="str">
        <f>'TRAD-Calculs pédiatriques'!B74</f>
        <v>ABC+3TC bébé</v>
      </c>
      <c r="D526" s="2254" t="str">
        <f>'TRAD-Calculs pédiatriques'!B82</f>
        <v>Cp</v>
      </c>
      <c r="E526" s="2254" t="s">
        <v>727</v>
      </c>
      <c r="F526" s="1204">
        <v>60</v>
      </c>
      <c r="G526" s="2349">
        <f t="shared" si="109"/>
        <v>0</v>
      </c>
      <c r="H526" s="1199">
        <f t="shared" si="110"/>
        <v>0</v>
      </c>
      <c r="I526" s="2255">
        <f t="shared" si="108"/>
        <v>0</v>
      </c>
    </row>
    <row r="527" spans="1:9" s="132" customFormat="1" x14ac:dyDescent="0.2">
      <c r="A527" s="134"/>
      <c r="B527" s="194"/>
      <c r="C527" s="2096" t="s">
        <v>34</v>
      </c>
      <c r="D527" s="2254" t="str">
        <f>'TRAD-Calculs pédiatriques'!B82</f>
        <v>Cp</v>
      </c>
      <c r="E527" s="2254" t="s">
        <v>35</v>
      </c>
      <c r="F527" s="1204">
        <v>60</v>
      </c>
      <c r="G527" s="2349">
        <f t="shared" si="109"/>
        <v>0</v>
      </c>
      <c r="H527" s="1199">
        <f t="shared" si="110"/>
        <v>0</v>
      </c>
      <c r="I527" s="2255">
        <f t="shared" si="108"/>
        <v>0</v>
      </c>
    </row>
    <row r="528" spans="1:9" s="132" customFormat="1" x14ac:dyDescent="0.2">
      <c r="A528" s="134"/>
      <c r="B528" s="194"/>
      <c r="C528" s="2096" t="s">
        <v>36</v>
      </c>
      <c r="D528" s="2254" t="str">
        <f>'TRAD-Calculs pédiatriques'!B82</f>
        <v>Cp</v>
      </c>
      <c r="E528" s="2254" t="s">
        <v>33</v>
      </c>
      <c r="F528" s="1203">
        <v>60</v>
      </c>
      <c r="G528" s="2349">
        <f t="shared" si="109"/>
        <v>0</v>
      </c>
      <c r="H528" s="1199">
        <f t="shared" si="110"/>
        <v>0</v>
      </c>
      <c r="I528" s="2255">
        <f t="shared" si="108"/>
        <v>0</v>
      </c>
    </row>
    <row r="529" spans="1:23" s="132" customFormat="1" x14ac:dyDescent="0.2">
      <c r="A529" s="134"/>
      <c r="B529" s="194"/>
      <c r="C529" s="2101" t="str">
        <f>'TRAD-Calculs pédiatriques'!B76</f>
        <v>ABC bébé</v>
      </c>
      <c r="D529" s="2256" t="str">
        <f>'TRAD-Calculs pédiatriques'!B82</f>
        <v>Cp</v>
      </c>
      <c r="E529" s="2256" t="s">
        <v>611</v>
      </c>
      <c r="F529" s="1203">
        <v>60</v>
      </c>
      <c r="G529" s="2349">
        <f t="shared" si="109"/>
        <v>0</v>
      </c>
      <c r="H529" s="1199">
        <f t="shared" si="110"/>
        <v>0</v>
      </c>
      <c r="I529" s="2255">
        <f t="shared" si="108"/>
        <v>0</v>
      </c>
    </row>
    <row r="530" spans="1:23" s="132" customFormat="1" x14ac:dyDescent="0.2">
      <c r="A530" s="134"/>
      <c r="B530" s="194"/>
      <c r="C530" s="2101" t="s">
        <v>32</v>
      </c>
      <c r="D530" s="2256" t="str">
        <f>'TRAD-Calculs pédiatriques'!B82</f>
        <v>Cp</v>
      </c>
      <c r="E530" s="2256" t="s">
        <v>46</v>
      </c>
      <c r="F530" s="1204">
        <v>90</v>
      </c>
      <c r="G530" s="2351">
        <f t="shared" si="109"/>
        <v>0</v>
      </c>
      <c r="H530" s="2261">
        <f t="shared" si="110"/>
        <v>0</v>
      </c>
      <c r="I530" s="2255">
        <f t="shared" si="108"/>
        <v>0</v>
      </c>
    </row>
    <row r="531" spans="1:23" s="132" customFormat="1" x14ac:dyDescent="0.2">
      <c r="A531" s="134"/>
      <c r="B531" s="194"/>
      <c r="C531" s="2101" t="str">
        <f>'TRAD-Calculs pédiatriques'!B77</f>
        <v>AZT bébé</v>
      </c>
      <c r="D531" s="2256" t="str">
        <f>'TRAD-Calculs pédiatriques'!B82</f>
        <v>Cp</v>
      </c>
      <c r="E531" s="2256" t="s">
        <v>611</v>
      </c>
      <c r="F531" s="1204">
        <v>60</v>
      </c>
      <c r="G531" s="2351">
        <f t="shared" si="109"/>
        <v>0</v>
      </c>
      <c r="H531" s="2261">
        <f t="shared" si="110"/>
        <v>0</v>
      </c>
      <c r="I531" s="2255">
        <f t="shared" si="108"/>
        <v>0</v>
      </c>
    </row>
    <row r="532" spans="1:23" s="132" customFormat="1" x14ac:dyDescent="0.2">
      <c r="A532" s="134"/>
      <c r="B532" s="194"/>
      <c r="C532" s="2101" t="s">
        <v>37</v>
      </c>
      <c r="D532" s="2256" t="str">
        <f>'TRAD-Calculs pédiatriques'!B82</f>
        <v>Cp</v>
      </c>
      <c r="E532" s="2256" t="s">
        <v>38</v>
      </c>
      <c r="F532" s="1203">
        <v>30</v>
      </c>
      <c r="G532" s="2351">
        <f t="shared" si="109"/>
        <v>0</v>
      </c>
      <c r="H532" s="2261">
        <f t="shared" si="110"/>
        <v>0</v>
      </c>
      <c r="I532" s="2255">
        <f t="shared" si="108"/>
        <v>0</v>
      </c>
    </row>
    <row r="533" spans="1:23" s="132" customFormat="1" x14ac:dyDescent="0.2">
      <c r="A533" s="134"/>
      <c r="B533" s="194"/>
      <c r="C533" s="2101" t="s">
        <v>29</v>
      </c>
      <c r="D533" s="2256" t="str">
        <f>'TRAD-Calculs pédiatriques'!B82</f>
        <v>Cp</v>
      </c>
      <c r="E533" s="2256" t="s">
        <v>30</v>
      </c>
      <c r="F533" s="1204">
        <v>60</v>
      </c>
      <c r="G533" s="2351">
        <f t="shared" si="109"/>
        <v>0</v>
      </c>
      <c r="H533" s="2261">
        <f t="shared" si="110"/>
        <v>0</v>
      </c>
      <c r="I533" s="2255">
        <f t="shared" si="108"/>
        <v>0</v>
      </c>
    </row>
    <row r="534" spans="1:23" s="132" customFormat="1" x14ac:dyDescent="0.2">
      <c r="A534" s="134"/>
      <c r="B534" s="194"/>
      <c r="C534" s="2101" t="s">
        <v>27</v>
      </c>
      <c r="D534" s="2256" t="s">
        <v>133</v>
      </c>
      <c r="E534" s="2256" t="s">
        <v>30</v>
      </c>
      <c r="F534" s="1203">
        <v>90</v>
      </c>
      <c r="G534" s="2351">
        <f t="shared" si="109"/>
        <v>0</v>
      </c>
      <c r="H534" s="2261">
        <f t="shared" si="110"/>
        <v>0</v>
      </c>
      <c r="I534" s="2255">
        <f t="shared" si="108"/>
        <v>0</v>
      </c>
    </row>
    <row r="535" spans="1:23" s="132" customFormat="1" x14ac:dyDescent="0.2">
      <c r="A535" s="134"/>
      <c r="B535" s="194"/>
      <c r="C535" s="2101" t="s">
        <v>27</v>
      </c>
      <c r="D535" s="2256" t="s">
        <v>133</v>
      </c>
      <c r="E535" s="2256" t="s">
        <v>105</v>
      </c>
      <c r="F535" s="1203">
        <v>30</v>
      </c>
      <c r="G535" s="2351">
        <f t="shared" si="109"/>
        <v>0</v>
      </c>
      <c r="H535" s="2261">
        <f t="shared" si="110"/>
        <v>0</v>
      </c>
      <c r="I535" s="2255">
        <f t="shared" si="108"/>
        <v>0</v>
      </c>
    </row>
    <row r="536" spans="1:23" s="132" customFormat="1" x14ac:dyDescent="0.2">
      <c r="A536" s="134"/>
      <c r="B536" s="194"/>
      <c r="C536" s="2101" t="s">
        <v>42</v>
      </c>
      <c r="D536" s="2256" t="str">
        <f>'TRAD-Calculs pédiatriques'!B82</f>
        <v>Cp</v>
      </c>
      <c r="E536" s="2256" t="s">
        <v>43</v>
      </c>
      <c r="F536" s="1205">
        <v>60</v>
      </c>
      <c r="G536" s="2351">
        <f t="shared" si="109"/>
        <v>0</v>
      </c>
      <c r="H536" s="2261">
        <f t="shared" si="110"/>
        <v>0</v>
      </c>
      <c r="I536" s="2255">
        <f t="shared" si="108"/>
        <v>0</v>
      </c>
    </row>
    <row r="537" spans="1:23" s="132" customFormat="1" ht="13.5" thickBot="1" x14ac:dyDescent="0.25">
      <c r="A537" s="134"/>
      <c r="B537" s="195"/>
      <c r="C537" s="2109" t="str">
        <f>'TRAD-Calculs pédiatriques'!B80</f>
        <v>LPV/r bébé</v>
      </c>
      <c r="D537" s="2260" t="str">
        <f>'TRAD-Calculs pédiatriques'!B82</f>
        <v>Cp</v>
      </c>
      <c r="E537" s="2260" t="s">
        <v>496</v>
      </c>
      <c r="F537" s="1206">
        <v>120</v>
      </c>
      <c r="G537" s="2350">
        <f t="shared" si="109"/>
        <v>0</v>
      </c>
      <c r="H537" s="223">
        <f t="shared" si="110"/>
        <v>0</v>
      </c>
      <c r="I537" s="2257">
        <f t="shared" si="108"/>
        <v>0</v>
      </c>
    </row>
    <row r="538" spans="1:23" s="132" customFormat="1" x14ac:dyDescent="0.2">
      <c r="A538" s="134"/>
    </row>
    <row r="539" spans="1:23" s="132" customFormat="1" x14ac:dyDescent="0.2">
      <c r="A539" s="174"/>
      <c r="B539" s="146"/>
      <c r="C539" s="146"/>
      <c r="D539" s="146"/>
      <c r="E539" s="146"/>
      <c r="F539" s="146"/>
      <c r="G539" s="146"/>
      <c r="H539" s="146"/>
      <c r="I539" s="146"/>
    </row>
    <row r="540" spans="1:23" x14ac:dyDescent="0.2">
      <c r="K540" s="132"/>
      <c r="L540" s="132"/>
      <c r="M540" s="132"/>
      <c r="N540" s="132"/>
      <c r="O540" s="132"/>
      <c r="P540" s="132"/>
      <c r="Q540" s="132"/>
      <c r="R540" s="132"/>
      <c r="S540" s="132"/>
      <c r="T540" s="132"/>
      <c r="U540" s="132"/>
      <c r="V540" s="132"/>
      <c r="W540" s="132"/>
    </row>
    <row r="541" spans="1:23" x14ac:dyDescent="0.2">
      <c r="M541" s="132"/>
      <c r="N541" s="132"/>
      <c r="O541" s="132"/>
      <c r="P541" s="132"/>
      <c r="Q541" s="132"/>
    </row>
  </sheetData>
  <sheetProtection password="D0E7" sheet="1" objects="1" scenarios="1" selectLockedCells="1"/>
  <mergeCells count="40">
    <mergeCell ref="M97:N97"/>
    <mergeCell ref="B102:F102"/>
    <mergeCell ref="B84:F84"/>
    <mergeCell ref="A4:L4"/>
    <mergeCell ref="A33:L33"/>
    <mergeCell ref="B35:F35"/>
    <mergeCell ref="G35:K35"/>
    <mergeCell ref="B7:E7"/>
    <mergeCell ref="B14:E14"/>
    <mergeCell ref="B20:E20"/>
    <mergeCell ref="B38:E38"/>
    <mergeCell ref="B506:M506"/>
    <mergeCell ref="B163:F163"/>
    <mergeCell ref="G163:K163"/>
    <mergeCell ref="L163:M163"/>
    <mergeCell ref="B189:H189"/>
    <mergeCell ref="B202:H202"/>
    <mergeCell ref="F258:I258"/>
    <mergeCell ref="E436:H436"/>
    <mergeCell ref="E471:H471"/>
    <mergeCell ref="D230:G230"/>
    <mergeCell ref="B215:H215"/>
    <mergeCell ref="D260:I260"/>
    <mergeCell ref="C232:H232"/>
    <mergeCell ref="M160:N160"/>
    <mergeCell ref="B78:D78"/>
    <mergeCell ref="B72:F72"/>
    <mergeCell ref="C133:E133"/>
    <mergeCell ref="G72:K72"/>
    <mergeCell ref="F133:I133"/>
    <mergeCell ref="C104:E104"/>
    <mergeCell ref="F104:I104"/>
    <mergeCell ref="A160:L160"/>
    <mergeCell ref="B131:F131"/>
    <mergeCell ref="G102:K102"/>
    <mergeCell ref="L102:M102"/>
    <mergeCell ref="G131:K131"/>
    <mergeCell ref="L131:M131"/>
    <mergeCell ref="L72:M72"/>
    <mergeCell ref="A97:L97"/>
  </mergeCells>
  <conditionalFormatting sqref="D371:AF392 D336:AF357 D301:AF322 D406:AF427">
    <cfRule type="cellIs" dxfId="145" priority="4" operator="equal">
      <formula>0</formula>
    </cfRule>
  </conditionalFormatting>
  <printOptions headings="1"/>
  <pageMargins left="0.23622047244094491" right="0.23622047244094491" top="0.74803149606299213" bottom="0.74803149606299213" header="0.31496062992125984" footer="0.31496062992125984"/>
  <pageSetup paperSize="9" scale="5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sheetPr>
  <dimension ref="B1:AI115"/>
  <sheetViews>
    <sheetView topLeftCell="B43" workbookViewId="0">
      <selection sqref="A1:XFD1048576"/>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19" x14ac:dyDescent="0.2">
      <c r="B1" s="2586" t="s">
        <v>865</v>
      </c>
      <c r="C1" s="2586"/>
      <c r="D1" s="2586" t="s">
        <v>866</v>
      </c>
      <c r="E1" s="2586"/>
      <c r="F1" s="2586" t="s">
        <v>867</v>
      </c>
      <c r="G1" s="2586"/>
      <c r="H1" s="2586"/>
      <c r="I1" s="2586"/>
      <c r="J1" s="2586"/>
      <c r="K1" s="2586"/>
    </row>
    <row r="2" spans="2:19" x14ac:dyDescent="0.2">
      <c r="D2" s="2584"/>
      <c r="E2" s="2584"/>
      <c r="F2" s="2584"/>
      <c r="G2" s="2584"/>
      <c r="H2" s="2584"/>
      <c r="I2" s="2584"/>
      <c r="J2" s="2584"/>
      <c r="K2" s="2584"/>
    </row>
    <row r="3" spans="2:19" x14ac:dyDescent="0.2">
      <c r="B3" s="2586" t="str">
        <f>IF(Présentation!$E$2="Français",'TRAD-Calculs pédiatriques'!D3,IF(Présentation!$E$2="Anglais",'TRAD-Calculs pédiatriques'!F3,""))</f>
        <v>Durée d'un mois</v>
      </c>
      <c r="D3" s="2584" t="s">
        <v>759</v>
      </c>
      <c r="F3" s="2584" t="s">
        <v>1296</v>
      </c>
      <c r="G3" s="2584"/>
      <c r="H3" s="2584"/>
      <c r="I3" s="2584"/>
      <c r="J3" s="2584"/>
      <c r="K3" s="2584"/>
    </row>
    <row r="4" spans="2:19" ht="51" x14ac:dyDescent="0.2">
      <c r="B4" s="2586" t="str">
        <f>IF(Présentation!$E$2="Français",'TRAD-Calculs pédiatriques'!D4,IF(Présentation!$E$2="Anglais",'TRAD-Calculs pédiatriques'!F4,""))</f>
        <v>Pour les enfants déjà pris en charge : estimation de la répartition par lignes thérapeutiques en début de période quantifiée</v>
      </c>
      <c r="D4" s="2584" t="s">
        <v>1297</v>
      </c>
      <c r="E4" s="2584"/>
      <c r="F4" s="2584" t="s">
        <v>1738</v>
      </c>
      <c r="G4" s="2584"/>
      <c r="H4" s="2584"/>
      <c r="I4" s="2584"/>
      <c r="J4" s="2584"/>
      <c r="K4" s="2584"/>
    </row>
    <row r="5" spans="2:19" x14ac:dyDescent="0.2">
      <c r="B5" s="2586" t="str">
        <f>IF(Présentation!$E$2="Français",'TRAD-Calculs pédiatriques'!D5,IF(Présentation!$E$2="Anglais",'TRAD-Calculs pédiatriques'!F5,""))</f>
        <v>Schéma thérapeutique</v>
      </c>
      <c r="D5" s="2558" t="s">
        <v>8</v>
      </c>
      <c r="F5" s="2558" t="s">
        <v>1298</v>
      </c>
      <c r="I5" s="2584"/>
      <c r="J5" s="2584"/>
      <c r="K5" s="2584"/>
      <c r="L5" s="2630"/>
      <c r="M5" s="2630"/>
      <c r="N5" s="2630"/>
      <c r="O5" s="2630"/>
      <c r="P5" s="2584"/>
    </row>
    <row r="6" spans="2:19" ht="25.5" x14ac:dyDescent="0.2">
      <c r="B6" s="2586" t="str">
        <f>IF(Présentation!$E$2="Français",'TRAD-Calculs pédiatriques'!D6,IF(Présentation!$E$2="Anglais",'TRAD-Calculs pédiatriques'!F6,""))</f>
        <v>Nb de patients prévus au début de la période</v>
      </c>
      <c r="D6" s="2558" t="s">
        <v>144</v>
      </c>
      <c r="F6" s="2558" t="s">
        <v>1299</v>
      </c>
      <c r="I6" s="2584"/>
      <c r="J6" s="2584"/>
      <c r="K6" s="2584"/>
      <c r="L6" s="2584"/>
      <c r="M6" s="2584"/>
      <c r="N6" s="2584"/>
      <c r="O6" s="2584"/>
      <c r="P6" s="2584"/>
    </row>
    <row r="7" spans="2:19" x14ac:dyDescent="0.2">
      <c r="B7" s="2586" t="str">
        <f>IF(Présentation!$E$2="Français",'TRAD-Calculs pédiatriques'!D7,IF(Présentation!$E$2="Anglais",'TRAD-Calculs pédiatriques'!F7,""))</f>
        <v>Premières lignes</v>
      </c>
      <c r="D7" s="2558" t="s">
        <v>0</v>
      </c>
      <c r="F7" s="2558" t="s">
        <v>1056</v>
      </c>
      <c r="G7" s="2631"/>
      <c r="I7" s="2584"/>
      <c r="J7" s="2584"/>
      <c r="K7" s="2584"/>
      <c r="L7" s="2584"/>
      <c r="M7" s="2584"/>
      <c r="N7" s="2584"/>
      <c r="O7" s="2584"/>
      <c r="P7" s="2584"/>
    </row>
    <row r="8" spans="2:19" x14ac:dyDescent="0.2">
      <c r="B8" s="2586" t="str">
        <f>IF(Présentation!$E$2="Français",'TRAD-Calculs pédiatriques'!D8,IF(Présentation!$E$2="Anglais",'TRAD-Calculs pédiatriques'!F8,""))</f>
        <v>Deuxièmes lignes</v>
      </c>
      <c r="D8" s="2558" t="s">
        <v>6</v>
      </c>
      <c r="F8" s="2558" t="s">
        <v>1057</v>
      </c>
      <c r="G8" s="2631"/>
      <c r="I8" s="2584"/>
      <c r="J8" s="2584"/>
      <c r="K8" s="2584"/>
      <c r="L8" s="2584"/>
      <c r="M8" s="2584"/>
      <c r="N8" s="2584"/>
      <c r="O8" s="2584"/>
      <c r="P8" s="2584"/>
    </row>
    <row r="9" spans="2:19" x14ac:dyDescent="0.2">
      <c r="B9" s="2586" t="str">
        <f>IF(Présentation!$E$2="Français",'TRAD-Calculs pédiatriques'!D9,IF(Présentation!$E$2="Anglais",'TRAD-Calculs pédiatriques'!F9,""))</f>
        <v>Lignes alternatives</v>
      </c>
      <c r="D9" s="2558" t="s">
        <v>10</v>
      </c>
      <c r="F9" s="2558" t="s">
        <v>1058</v>
      </c>
      <c r="G9" s="2631"/>
      <c r="I9" s="2584"/>
      <c r="J9" s="2584"/>
      <c r="K9" s="2584"/>
      <c r="L9" s="2584"/>
      <c r="M9" s="2584"/>
      <c r="N9" s="2584"/>
      <c r="O9" s="2584"/>
      <c r="P9" s="2584"/>
    </row>
    <row r="10" spans="2:19" ht="25.5" x14ac:dyDescent="0.2">
      <c r="B10" s="2586" t="str">
        <f>IF(Présentation!$E$2="Français",'TRAD-Calculs pédiatriques'!D10,IF(Présentation!$E$2="Anglais",'TRAD-Calculs pédiatriques'!F10,""))</f>
        <v>Evolution de la file active pédiatrique sous traitement à prévoir sur la période</v>
      </c>
      <c r="D10" s="2584" t="s">
        <v>219</v>
      </c>
      <c r="E10" s="2584"/>
      <c r="F10" s="2584" t="s">
        <v>1300</v>
      </c>
      <c r="G10" s="2584"/>
      <c r="H10" s="2584"/>
      <c r="I10" s="2584"/>
      <c r="J10" s="2584"/>
      <c r="K10" s="2584"/>
      <c r="L10" s="2584"/>
      <c r="M10" s="2584"/>
      <c r="N10" s="2584"/>
      <c r="O10" s="2584"/>
      <c r="P10" s="2584"/>
    </row>
    <row r="11" spans="2:19" x14ac:dyDescent="0.2">
      <c r="B11" s="2586" t="str">
        <f>IF(Présentation!$E$2="Français",'TRAD-Calculs pédiatriques'!D11,IF(Présentation!$E$2="Anglais",'TRAD-Calculs pédiatriques'!F11,""))</f>
        <v>Répartition des inclusions attendues</v>
      </c>
      <c r="D11" s="2584" t="s">
        <v>145</v>
      </c>
      <c r="E11" s="2584"/>
      <c r="F11" s="2584" t="s">
        <v>1301</v>
      </c>
      <c r="G11" s="2584"/>
      <c r="H11" s="2584"/>
      <c r="I11" s="2584"/>
      <c r="J11" s="2584"/>
      <c r="K11" s="2584"/>
      <c r="L11" s="2632"/>
      <c r="M11" s="2632"/>
      <c r="N11" s="2632"/>
      <c r="O11" s="2632"/>
      <c r="P11" s="2584"/>
      <c r="Q11" s="2584"/>
      <c r="R11" s="2584"/>
      <c r="S11" s="2584"/>
    </row>
    <row r="12" spans="2:19" x14ac:dyDescent="0.2">
      <c r="B12" s="2586" t="str">
        <f>IF(Présentation!$E$2="Français",'TRAD-Calculs pédiatriques'!D12,IF(Présentation!$E$2="Anglais",'TRAD-Calculs pédiatriques'!F12,""))</f>
        <v>Inclusions</v>
      </c>
      <c r="D12" s="2558" t="s">
        <v>71</v>
      </c>
      <c r="F12" s="2584" t="s">
        <v>71</v>
      </c>
      <c r="G12" s="2584"/>
      <c r="H12" s="2584"/>
      <c r="I12" s="2584"/>
      <c r="J12" s="2584"/>
      <c r="K12" s="2584"/>
    </row>
    <row r="13" spans="2:19" x14ac:dyDescent="0.2">
      <c r="B13" s="2586" t="str">
        <f>IF(Présentation!$E$2="Français",'TRAD-Calculs pédiatriques'!D13,IF(Présentation!$E$2="Anglais",'TRAD-Calculs pédiatriques'!F13,""))</f>
        <v>Nb de patients mensuels</v>
      </c>
      <c r="D13" s="2558" t="s">
        <v>72</v>
      </c>
      <c r="E13" s="2584"/>
      <c r="F13" s="2584" t="s">
        <v>1302</v>
      </c>
      <c r="G13" s="2584"/>
      <c r="H13" s="2584"/>
      <c r="I13" s="2584"/>
      <c r="J13" s="2584"/>
      <c r="K13" s="2584"/>
      <c r="L13" s="2633"/>
      <c r="M13" s="2633"/>
      <c r="N13" s="2633"/>
      <c r="O13" s="2634"/>
      <c r="P13" s="2634"/>
      <c r="Q13" s="2584"/>
      <c r="R13" s="2584"/>
      <c r="S13" s="2584"/>
    </row>
    <row r="14" spans="2:19" ht="25.5" x14ac:dyDescent="0.2">
      <c r="B14" s="2586" t="str">
        <f>IF(Présentation!$E$2="Français",'TRAD-Calculs pédiatriques'!D14,IF(Présentation!$E$2="Anglais",'TRAD-Calculs pédiatriques'!F14,""))</f>
        <v>Nb de patients total sur la période définie pour 1 mois</v>
      </c>
      <c r="D14" s="2558" t="s">
        <v>420</v>
      </c>
      <c r="F14" s="2558" t="s">
        <v>1303</v>
      </c>
      <c r="I14" s="2584"/>
      <c r="J14" s="2584"/>
      <c r="K14" s="2584"/>
      <c r="L14" s="2584"/>
      <c r="M14" s="2584"/>
      <c r="N14" s="2584"/>
      <c r="O14" s="2584"/>
      <c r="P14" s="2584"/>
      <c r="Q14" s="2584"/>
      <c r="R14" s="2584"/>
      <c r="S14" s="2584"/>
    </row>
    <row r="15" spans="2:19" ht="25.5" x14ac:dyDescent="0.2">
      <c r="B15" s="2586" t="str">
        <f>IF(Présentation!$E$2="Français",'TRAD-Calculs pédiatriques'!D15,IF(Présentation!$E$2="Anglais",'TRAD-Calculs pédiatriques'!F15,""))</f>
        <v>TOTAL 
Nb de patients</v>
      </c>
      <c r="D15" s="2558" t="s">
        <v>146</v>
      </c>
      <c r="F15" s="2558" t="s">
        <v>1304</v>
      </c>
      <c r="J15" s="2584"/>
      <c r="K15" s="2584"/>
      <c r="L15" s="2584"/>
      <c r="M15" s="2584"/>
      <c r="N15" s="2584"/>
      <c r="O15" s="2584"/>
      <c r="P15" s="2584"/>
      <c r="Q15" s="2584"/>
      <c r="R15" s="2584"/>
      <c r="S15" s="2584"/>
    </row>
    <row r="16" spans="2:19" ht="25.5" x14ac:dyDescent="0.2">
      <c r="B16" s="2586" t="str">
        <f>IF(Présentation!$E$2="Français",'TRAD-Calculs pédiatriques'!D16,IF(Présentation!$E$2="Anglais",'TRAD-Calculs pédiatriques'!F16,""))</f>
        <v>Total 
patients-mois sur la période</v>
      </c>
      <c r="D16" s="2558" t="s">
        <v>147</v>
      </c>
      <c r="F16" s="2558" t="s">
        <v>1305</v>
      </c>
      <c r="J16" s="2584"/>
      <c r="K16" s="2584"/>
      <c r="L16" s="2584"/>
      <c r="M16" s="2584"/>
      <c r="N16" s="2584"/>
      <c r="O16" s="2584"/>
      <c r="P16" s="2584"/>
      <c r="Q16" s="2584"/>
      <c r="R16" s="2584"/>
      <c r="S16" s="2584"/>
    </row>
    <row r="17" spans="2:20" x14ac:dyDescent="0.2">
      <c r="B17" s="2586" t="str">
        <f>IF(Présentation!$E$2="Français",'TRAD-Calculs pédiatriques'!D17,IF(Présentation!$E$2="Anglais",'TRAD-Calculs pédiatriques'!F17,""))</f>
        <v>Médicaments nécessaires</v>
      </c>
      <c r="D17" s="2558" t="s">
        <v>148</v>
      </c>
      <c r="F17" s="2558" t="s">
        <v>1363</v>
      </c>
      <c r="J17" s="2584"/>
      <c r="K17" s="2584"/>
      <c r="L17" s="2584"/>
      <c r="M17" s="2584"/>
      <c r="N17" s="2584"/>
      <c r="O17" s="2584"/>
      <c r="P17" s="2584"/>
      <c r="Q17" s="2584"/>
      <c r="R17" s="2584"/>
      <c r="S17" s="2584"/>
    </row>
    <row r="18" spans="2:20" x14ac:dyDescent="0.2">
      <c r="B18" s="2586" t="str">
        <f>IF(Présentation!$E$2="Français",'TRAD-Calculs pédiatriques'!D18,IF(Présentation!$E$2="Anglais",'TRAD-Calculs pédiatriques'!F18,""))</f>
        <v>TOTAL inclusions</v>
      </c>
      <c r="D18" s="2558" t="s">
        <v>149</v>
      </c>
      <c r="F18" s="2558" t="s">
        <v>149</v>
      </c>
      <c r="J18" s="2584"/>
      <c r="K18" s="2584"/>
      <c r="L18" s="2584"/>
      <c r="M18" s="2584"/>
      <c r="N18" s="2584"/>
      <c r="O18" s="2584"/>
      <c r="P18" s="2584"/>
      <c r="Q18" s="2584"/>
      <c r="R18" s="2584"/>
      <c r="S18" s="2584"/>
    </row>
    <row r="19" spans="2:20" x14ac:dyDescent="0.2">
      <c r="B19" s="2586" t="str">
        <f>IF(Présentation!$E$2="Français",'TRAD-Calculs pédiatriques'!D19,IF(Présentation!$E$2="Anglais",'TRAD-Calculs pédiatriques'!F19,""))</f>
        <v>nb de mois de traitement</v>
      </c>
      <c r="D19" s="2606" t="s">
        <v>150</v>
      </c>
      <c r="F19" s="2558" t="s">
        <v>1306</v>
      </c>
      <c r="J19" s="2584"/>
      <c r="K19" s="2584"/>
      <c r="L19" s="2584"/>
      <c r="M19" s="2584"/>
      <c r="N19" s="2584"/>
      <c r="O19" s="2584"/>
      <c r="P19" s="2584"/>
      <c r="Q19" s="2584"/>
      <c r="R19" s="2584"/>
      <c r="S19" s="2584"/>
    </row>
    <row r="20" spans="2:20" x14ac:dyDescent="0.2">
      <c r="B20" s="2586" t="str">
        <f>IF(Présentation!$E$2="Français",'TRAD-Calculs pédiatriques'!D20,IF(Présentation!$E$2="Anglais",'TRAD-Calculs pédiatriques'!F20,""))</f>
        <v>Répartition des passages en 2ème ligne</v>
      </c>
      <c r="D20" s="2584" t="s">
        <v>151</v>
      </c>
      <c r="F20" s="2558" t="s">
        <v>1307</v>
      </c>
      <c r="J20" s="2584"/>
      <c r="K20" s="2584"/>
      <c r="L20" s="2584"/>
      <c r="M20" s="2584"/>
      <c r="N20" s="2584"/>
      <c r="O20" s="2584"/>
      <c r="P20" s="2584"/>
      <c r="Q20" s="2584"/>
      <c r="R20" s="2584"/>
      <c r="S20" s="2584"/>
    </row>
    <row r="21" spans="2:20" x14ac:dyDescent="0.2">
      <c r="B21" s="2586" t="str">
        <f>IF(Présentation!$E$2="Français",'TRAD-Calculs pédiatriques'!D21,IF(Présentation!$E$2="Anglais",'TRAD-Calculs pédiatriques'!F21,""))</f>
        <v>Taux de passage en 2ème ligne mensuel</v>
      </c>
      <c r="D21" s="2584" t="s">
        <v>179</v>
      </c>
      <c r="F21" s="2558" t="s">
        <v>1308</v>
      </c>
      <c r="J21" s="2584"/>
      <c r="K21" s="2584"/>
      <c r="L21" s="2630"/>
      <c r="M21" s="2630"/>
      <c r="N21" s="2630"/>
      <c r="O21" s="2630"/>
      <c r="P21" s="2632"/>
      <c r="Q21" s="2632"/>
    </row>
    <row r="22" spans="2:20" x14ac:dyDescent="0.2">
      <c r="B22" s="2586" t="str">
        <f>IF(Présentation!$E$2="Français",'TRAD-Calculs pédiatriques'!D22,IF(Présentation!$E$2="Anglais",'TRAD-Calculs pédiatriques'!F22,""))</f>
        <v>Nb de patients concernés</v>
      </c>
      <c r="D22" s="2584" t="s">
        <v>180</v>
      </c>
      <c r="F22" s="2558" t="s">
        <v>1309</v>
      </c>
      <c r="J22" s="2584"/>
      <c r="K22" s="2584"/>
      <c r="L22" s="2584"/>
      <c r="M22" s="2584"/>
      <c r="N22" s="2584"/>
      <c r="O22" s="2584"/>
      <c r="P22" s="2584"/>
      <c r="Q22" s="2584"/>
      <c r="R22" s="2584"/>
      <c r="S22" s="2584"/>
      <c r="T22" s="2635"/>
    </row>
    <row r="23" spans="2:20" x14ac:dyDescent="0.2">
      <c r="B23" s="2586" t="str">
        <f>IF(Présentation!$E$2="Français",'TRAD-Calculs pédiatriques'!D23,IF(Présentation!$E$2="Anglais",'TRAD-Calculs pédiatriques'!F23,""))</f>
        <v>2èmes lignes</v>
      </c>
      <c r="D23" s="2584" t="s">
        <v>74</v>
      </c>
      <c r="F23" s="2584" t="s">
        <v>1310</v>
      </c>
      <c r="J23" s="2584"/>
      <c r="K23" s="2584"/>
      <c r="L23" s="2584"/>
      <c r="M23" s="2584"/>
      <c r="N23" s="2584"/>
      <c r="O23" s="2584"/>
      <c r="P23" s="2584"/>
      <c r="Q23" s="2584"/>
      <c r="R23" s="2584"/>
      <c r="S23" s="2584"/>
      <c r="T23" s="2635"/>
    </row>
    <row r="24" spans="2:20" x14ac:dyDescent="0.2">
      <c r="B24" s="2586" t="str">
        <f>IF(Présentation!$E$2="Français",'TRAD-Calculs pédiatriques'!D24,IF(Présentation!$E$2="Anglais",'TRAD-Calculs pédiatriques'!F24,""))</f>
        <v>par mois</v>
      </c>
      <c r="D24" s="2584" t="s">
        <v>152</v>
      </c>
      <c r="F24" s="2558" t="s">
        <v>1311</v>
      </c>
      <c r="H24" s="2584"/>
      <c r="I24" s="2584"/>
      <c r="J24" s="2584"/>
      <c r="K24" s="2584"/>
      <c r="L24" s="2584"/>
      <c r="M24" s="2584"/>
      <c r="N24" s="2584"/>
      <c r="O24" s="2584"/>
      <c r="P24" s="2584"/>
      <c r="Q24" s="2584"/>
      <c r="R24" s="2584"/>
      <c r="S24" s="2584"/>
      <c r="T24" s="2635"/>
    </row>
    <row r="25" spans="2:20" x14ac:dyDescent="0.2">
      <c r="B25" s="2586" t="str">
        <f>IF(Présentation!$E$2="Français",'TRAD-Calculs pédiatriques'!D25,IF(Présentation!$E$2="Anglais",'TRAD-Calculs pédiatriques'!F25,""))</f>
        <v>TOTAL nb de patients</v>
      </c>
      <c r="D25" s="2584" t="s">
        <v>153</v>
      </c>
      <c r="E25" s="2584"/>
      <c r="F25" s="2636" t="s">
        <v>1312</v>
      </c>
      <c r="G25" s="2637"/>
      <c r="H25" s="2637"/>
      <c r="I25" s="2637"/>
      <c r="J25" s="2584"/>
      <c r="K25" s="2584"/>
      <c r="L25" s="2584"/>
      <c r="M25" s="2584"/>
      <c r="N25" s="2584"/>
      <c r="O25" s="2584"/>
      <c r="P25" s="2584"/>
      <c r="Q25" s="2584"/>
      <c r="R25" s="2584"/>
      <c r="S25" s="2584"/>
      <c r="T25" s="2635"/>
    </row>
    <row r="26" spans="2:20" x14ac:dyDescent="0.2">
      <c r="B26" s="2586" t="str">
        <f>IF(Présentation!$E$2="Français",'TRAD-Calculs pédiatriques'!D26,IF(Présentation!$E$2="Anglais",'TRAD-Calculs pédiatriques'!F26,""))</f>
        <v>Nb de patients-mois sur la période</v>
      </c>
      <c r="D26" s="2584" t="s">
        <v>154</v>
      </c>
      <c r="F26" s="2558" t="s">
        <v>1313</v>
      </c>
      <c r="H26" s="2637"/>
      <c r="I26" s="2637"/>
      <c r="J26" s="2584"/>
      <c r="K26" s="2584"/>
      <c r="L26" s="2633"/>
      <c r="M26" s="2633"/>
      <c r="N26" s="2633"/>
      <c r="O26" s="2633"/>
      <c r="P26" s="2633"/>
      <c r="Q26" s="2584"/>
      <c r="R26" s="2584"/>
      <c r="S26" s="2584"/>
      <c r="T26" s="2635"/>
    </row>
    <row r="27" spans="2:20" ht="25.5" x14ac:dyDescent="0.2">
      <c r="B27" s="2586" t="str">
        <f>IF(Présentation!$E$2="Français",'TRAD-Calculs pédiatriques'!D27,IF(Présentation!$E$2="Anglais",'TRAD-Calculs pédiatriques'!F27,""))</f>
        <v>Répartition de la FA sous traitement en nb de patients - mois / poids / schéma</v>
      </c>
      <c r="D27" s="2584" t="s">
        <v>155</v>
      </c>
      <c r="E27" s="2584"/>
      <c r="F27" s="2584" t="s">
        <v>1314</v>
      </c>
      <c r="G27" s="2584"/>
      <c r="H27" s="2584"/>
      <c r="I27" s="2584"/>
      <c r="J27" s="2584"/>
      <c r="K27" s="2584"/>
      <c r="L27" s="2584"/>
      <c r="M27" s="2584"/>
      <c r="N27" s="2584"/>
      <c r="O27" s="2584"/>
      <c r="P27" s="2584"/>
      <c r="Q27" s="2584"/>
      <c r="R27" s="2584"/>
      <c r="S27" s="2584"/>
      <c r="T27" s="2635"/>
    </row>
    <row r="28" spans="2:20" x14ac:dyDescent="0.2">
      <c r="B28" s="2586" t="str">
        <f>IF(Présentation!$E$2="Français",'TRAD-Calculs pédiatriques'!D28,IF(Présentation!$E$2="Anglais",'TRAD-Calculs pédiatriques'!F28,""))</f>
        <v>Poids (kg)</v>
      </c>
      <c r="D28" s="2584" t="s">
        <v>68</v>
      </c>
      <c r="E28" s="2584"/>
      <c r="F28" s="2584" t="s">
        <v>1315</v>
      </c>
      <c r="G28" s="2584"/>
      <c r="H28" s="2584"/>
      <c r="I28" s="2584"/>
      <c r="J28" s="2584"/>
      <c r="K28" s="2584"/>
      <c r="L28" s="2630"/>
      <c r="M28" s="2584"/>
      <c r="N28" s="2584"/>
      <c r="O28" s="2584"/>
      <c r="P28" s="2584"/>
      <c r="Q28" s="2584"/>
      <c r="R28" s="2584"/>
      <c r="S28" s="2584"/>
      <c r="T28" s="2635"/>
    </row>
    <row r="29" spans="2:20" x14ac:dyDescent="0.2">
      <c r="B29" s="2586" t="str">
        <f>IF(Présentation!$E$2="Français",'TRAD-Calculs pédiatriques'!D29,IF(Présentation!$E$2="Anglais",'TRAD-Calculs pédiatriques'!F29,""))</f>
        <v>Pourcentage</v>
      </c>
      <c r="D29" s="2584" t="s">
        <v>69</v>
      </c>
      <c r="F29" s="2584" t="s">
        <v>1084</v>
      </c>
      <c r="G29" s="2584"/>
      <c r="H29" s="2584"/>
      <c r="I29" s="2584"/>
      <c r="J29" s="2584"/>
      <c r="K29" s="2584"/>
      <c r="L29" s="2585"/>
      <c r="M29" s="2584"/>
      <c r="N29" s="2584"/>
      <c r="O29" s="2584"/>
      <c r="P29" s="2584"/>
      <c r="Q29" s="2635"/>
      <c r="R29" s="2584"/>
      <c r="S29" s="2584"/>
      <c r="T29" s="2584"/>
    </row>
    <row r="30" spans="2:20" x14ac:dyDescent="0.2">
      <c r="B30" s="2586" t="str">
        <f>IF(Présentation!$E$2="Français",'TRAD-Calculs pédiatriques'!D30,IF(Présentation!$E$2="Anglais",'TRAD-Calculs pédiatriques'!F30,""))</f>
        <v>Enfants déjà sous traitement</v>
      </c>
      <c r="D30" s="2584" t="s">
        <v>177</v>
      </c>
      <c r="F30" s="2638" t="s">
        <v>1316</v>
      </c>
      <c r="G30" s="2638"/>
      <c r="H30" s="2638"/>
      <c r="I30" s="2638"/>
      <c r="J30" s="2584"/>
      <c r="K30" s="2584"/>
      <c r="L30" s="2585"/>
      <c r="M30" s="2584"/>
      <c r="N30" s="2584"/>
      <c r="O30" s="2584"/>
      <c r="P30" s="2584"/>
      <c r="Q30" s="2635"/>
      <c r="R30" s="2584"/>
      <c r="S30" s="2584"/>
      <c r="T30" s="2584"/>
    </row>
    <row r="31" spans="2:20" x14ac:dyDescent="0.2">
      <c r="B31" s="2586" t="str">
        <f>IF(Présentation!$E$2="Français",'TRAD-Calculs pédiatriques'!D31,IF(Présentation!$E$2="Anglais",'TRAD-Calculs pédiatriques'!F31,""))</f>
        <v>Nb de patients -mois</v>
      </c>
      <c r="D31" s="2584" t="s">
        <v>156</v>
      </c>
      <c r="E31" s="2584"/>
      <c r="F31" s="2584" t="s">
        <v>1317</v>
      </c>
      <c r="G31" s="2584"/>
      <c r="H31" s="2584"/>
      <c r="I31" s="2584"/>
      <c r="J31" s="2584"/>
      <c r="K31" s="2584"/>
      <c r="L31" s="2633"/>
      <c r="M31" s="2633"/>
      <c r="N31" s="2633"/>
      <c r="O31" s="2633"/>
      <c r="P31" s="2633"/>
      <c r="Q31" s="2584"/>
      <c r="R31" s="2584"/>
      <c r="S31" s="2584"/>
      <c r="T31" s="2635"/>
    </row>
    <row r="32" spans="2:20" ht="25.5" x14ac:dyDescent="0.2">
      <c r="B32" s="2586" t="str">
        <f>IF(Présentation!$E$2="Français",'TRAD-Calculs pédiatriques'!D32,IF(Présentation!$E$2="Anglais",'TRAD-Calculs pédiatriques'!F32,""))</f>
        <v>Répartition des patients mois / tranches de poids</v>
      </c>
      <c r="D32" s="2584" t="s">
        <v>157</v>
      </c>
      <c r="F32" s="2584" t="s">
        <v>1318</v>
      </c>
      <c r="G32" s="2584"/>
      <c r="H32" s="2584"/>
      <c r="I32" s="2584"/>
      <c r="J32" s="2584"/>
      <c r="K32" s="2584"/>
    </row>
    <row r="33" spans="2:20" ht="25.5" x14ac:dyDescent="0.2">
      <c r="B33" s="2586" t="str">
        <f>IF(Présentation!$E$2="Français",'TRAD-Calculs pédiatriques'!D33,IF(Présentation!$E$2="Anglais",'TRAD-Calculs pédiatriques'!F33,""))</f>
        <v>Nb de patients-mois pour les Enfants présents au début de l'année</v>
      </c>
      <c r="D33" s="2584" t="s">
        <v>158</v>
      </c>
      <c r="E33" s="2584"/>
      <c r="F33" s="2584" t="s">
        <v>1319</v>
      </c>
      <c r="G33" s="2584"/>
      <c r="H33" s="2584"/>
      <c r="I33" s="2584"/>
      <c r="J33" s="2584"/>
      <c r="K33" s="2584"/>
    </row>
    <row r="34" spans="2:20" x14ac:dyDescent="0.2">
      <c r="B34" s="2586" t="str">
        <f>IF(Présentation!$E$2="Français",'TRAD-Calculs pédiatriques'!D34,IF(Présentation!$E$2="Anglais",'TRAD-Calculs pédiatriques'!F34,""))</f>
        <v>Inclusions et passages en 2ème lignes</v>
      </c>
      <c r="D34" s="2584" t="s">
        <v>159</v>
      </c>
      <c r="E34" s="2584"/>
      <c r="F34" s="2558" t="s">
        <v>1320</v>
      </c>
      <c r="G34" s="2584"/>
      <c r="H34" s="2584"/>
      <c r="J34" s="2584"/>
      <c r="K34" s="2584"/>
      <c r="L34" s="2585"/>
    </row>
    <row r="35" spans="2:20" x14ac:dyDescent="0.2">
      <c r="B35" s="2586" t="str">
        <f>IF(Présentation!$E$2="Français",'TRAD-Calculs pédiatriques'!D35,IF(Présentation!$E$2="Anglais",'TRAD-Calculs pédiatriques'!F35,""))</f>
        <v>Total nb de patients -mois sur la période</v>
      </c>
      <c r="D35" s="2584" t="s">
        <v>160</v>
      </c>
      <c r="E35" s="2584"/>
      <c r="F35" s="2558" t="s">
        <v>1321</v>
      </c>
      <c r="I35" s="2584"/>
      <c r="J35" s="2584"/>
      <c r="K35" s="2584"/>
      <c r="L35" s="2632"/>
      <c r="M35" s="2632"/>
      <c r="N35" s="2632"/>
      <c r="O35" s="2632"/>
      <c r="P35" s="2632"/>
      <c r="Q35" s="2632"/>
    </row>
    <row r="36" spans="2:20" ht="25.5" x14ac:dyDescent="0.2">
      <c r="B36" s="2586" t="str">
        <f>IF(Présentation!$E$2="Français",'TRAD-Calculs pédiatriques'!D36,IF(Présentation!$E$2="Anglais",'TRAD-Calculs pédiatriques'!F36,""))</f>
        <v>Nouvelles inclusions &amp; passages en 2ème ligne</v>
      </c>
      <c r="D36" s="2584" t="s">
        <v>178</v>
      </c>
      <c r="F36" s="2558" t="s">
        <v>1322</v>
      </c>
      <c r="I36" s="2584"/>
      <c r="J36" s="2584"/>
      <c r="K36" s="2584"/>
    </row>
    <row r="37" spans="2:20" x14ac:dyDescent="0.2">
      <c r="B37" s="2586" t="str">
        <f>IF(Présentation!$E$2="Français",'TRAD-Calculs pédiatriques'!D37,IF(Présentation!$E$2="Anglais",'TRAD-Calculs pédiatriques'!F37,""))</f>
        <v>Nb de patients -mois</v>
      </c>
      <c r="D37" s="2584" t="s">
        <v>156</v>
      </c>
      <c r="F37" s="2584" t="s">
        <v>1317</v>
      </c>
      <c r="G37" s="2584"/>
      <c r="H37" s="2584"/>
      <c r="I37" s="2584"/>
      <c r="J37" s="2584"/>
      <c r="K37" s="2584"/>
    </row>
    <row r="38" spans="2:20" ht="25.5" x14ac:dyDescent="0.2">
      <c r="B38" s="2586" t="str">
        <f>IF(Présentation!$E$2="Français",'TRAD-Calculs pédiatriques'!D38,IF(Présentation!$E$2="Anglais",'TRAD-Calculs pédiatriques'!F38,""))</f>
        <v>Répartition des patients mois / tranches de poids</v>
      </c>
      <c r="D38" s="2584" t="s">
        <v>157</v>
      </c>
      <c r="F38" s="2558" t="s">
        <v>1318</v>
      </c>
      <c r="L38" s="2633"/>
      <c r="M38" s="2633"/>
      <c r="N38" s="2633"/>
      <c r="O38" s="2633"/>
      <c r="P38" s="2633"/>
      <c r="Q38" s="2584"/>
      <c r="R38" s="2584"/>
      <c r="S38" s="2584"/>
      <c r="T38" s="2635"/>
    </row>
    <row r="39" spans="2:20" x14ac:dyDescent="0.2">
      <c r="B39" s="2586" t="str">
        <f>IF(Présentation!$E$2="Français",'TRAD-Calculs pédiatriques'!D39,IF(Présentation!$E$2="Anglais",'TRAD-Calculs pédiatriques'!F39,""))</f>
        <v>Calculs des quantités</v>
      </c>
      <c r="D39" s="2584" t="s">
        <v>161</v>
      </c>
      <c r="E39" s="2584"/>
      <c r="F39" s="2584" t="s">
        <v>1323</v>
      </c>
      <c r="G39" s="2584"/>
      <c r="H39" s="2584"/>
      <c r="I39" s="2584"/>
      <c r="J39" s="2584"/>
      <c r="K39" s="2584"/>
      <c r="L39" s="2584"/>
      <c r="M39" s="2584"/>
      <c r="N39" s="2584"/>
      <c r="O39" s="2584"/>
      <c r="P39" s="2584"/>
      <c r="Q39" s="2584"/>
      <c r="R39" s="2584"/>
      <c r="S39" s="2584"/>
      <c r="T39" s="2584"/>
    </row>
    <row r="40" spans="2:20" x14ac:dyDescent="0.2">
      <c r="B40" s="2586" t="str">
        <f>IF(Présentation!$E$2="Français",'TRAD-Calculs pédiatriques'!D40,IF(Présentation!$E$2="Anglais",'TRAD-Calculs pédiatriques'!F40,""))</f>
        <v>Initiation NVP</v>
      </c>
      <c r="D40" s="2639" t="s">
        <v>762</v>
      </c>
      <c r="E40" s="2584"/>
      <c r="F40" s="2584" t="s">
        <v>1324</v>
      </c>
      <c r="G40" s="2584"/>
      <c r="H40" s="2584"/>
      <c r="I40" s="2584"/>
      <c r="J40" s="2584"/>
      <c r="K40" s="2584"/>
      <c r="L40" s="2555"/>
      <c r="M40" s="2555"/>
      <c r="N40" s="2555"/>
      <c r="O40" s="2555"/>
      <c r="P40" s="2555"/>
      <c r="Q40" s="2555"/>
      <c r="R40" s="2555"/>
      <c r="S40" s="2555"/>
      <c r="T40" s="2555"/>
    </row>
    <row r="41" spans="2:20" x14ac:dyDescent="0.2">
      <c r="B41" s="2586" t="str">
        <f>IF(Présentation!$E$2="Français",'TRAD-Calculs pédiatriques'!D41,IF(Présentation!$E$2="Anglais",'TRAD-Calculs pédiatriques'!F41,""))</f>
        <v>Qté / enfant</v>
      </c>
      <c r="D41" s="2555" t="s">
        <v>777</v>
      </c>
      <c r="F41" s="2558" t="s">
        <v>1325</v>
      </c>
    </row>
    <row r="42" spans="2:20" ht="25.5" x14ac:dyDescent="0.2">
      <c r="B42" s="2586" t="str">
        <f>IF(Présentation!$E$2="Français",'TRAD-Calculs pédiatriques'!D42,IF(Présentation!$E$2="Anglais",'TRAD-Calculs pédiatriques'!F42,""))</f>
        <v>Nb total de flacon pour les nouveaux enfants de l'année</v>
      </c>
      <c r="D42" s="2555" t="s">
        <v>778</v>
      </c>
      <c r="F42" s="2639" t="s">
        <v>1326</v>
      </c>
      <c r="G42" s="2639"/>
      <c r="H42" s="2639"/>
      <c r="I42" s="2639"/>
      <c r="J42" s="2584"/>
      <c r="K42" s="2584"/>
      <c r="L42" s="2584"/>
    </row>
    <row r="43" spans="2:20" x14ac:dyDescent="0.2">
      <c r="B43" s="2586" t="str">
        <f>IF(Présentation!$E$2="Français",'TRAD-Calculs pédiatriques'!D43,IF(Présentation!$E$2="Anglais",'TRAD-Calculs pédiatriques'!F43,""))</f>
        <v>15 premiers jours</v>
      </c>
      <c r="D43" s="2555" t="s">
        <v>779</v>
      </c>
      <c r="E43" s="2584"/>
      <c r="F43" s="2584" t="s">
        <v>1327</v>
      </c>
      <c r="G43" s="2584"/>
      <c r="H43" s="2584"/>
      <c r="I43" s="2584"/>
      <c r="J43" s="2584"/>
      <c r="K43" s="2584"/>
      <c r="L43" s="2584"/>
    </row>
    <row r="44" spans="2:20" x14ac:dyDescent="0.2">
      <c r="B44" s="2586" t="str">
        <f>IF(Présentation!$E$2="Français",'TRAD-Calculs pédiatriques'!D44,IF(Présentation!$E$2="Anglais",'TRAD-Calculs pédiatriques'!F44,""))</f>
        <v>Composition</v>
      </c>
      <c r="D44" s="2584" t="s">
        <v>12</v>
      </c>
      <c r="E44" s="2584"/>
      <c r="F44" s="2558" t="s">
        <v>12</v>
      </c>
      <c r="L44" s="2584"/>
    </row>
    <row r="45" spans="2:20" x14ac:dyDescent="0.2">
      <c r="B45" s="2586" t="str">
        <f>IF(Présentation!$E$2="Français",'TRAD-Calculs pédiatriques'!D45,IF(Présentation!$E$2="Anglais",'TRAD-Calculs pédiatriques'!F45,""))</f>
        <v>Forme galénique</v>
      </c>
      <c r="D45" s="2584" t="s">
        <v>13</v>
      </c>
      <c r="E45" s="2584"/>
      <c r="F45" s="2584" t="s">
        <v>980</v>
      </c>
      <c r="H45" s="2584"/>
      <c r="I45" s="2584"/>
      <c r="J45" s="2555"/>
      <c r="K45" s="2584"/>
      <c r="L45" s="2584"/>
    </row>
    <row r="46" spans="2:20" x14ac:dyDescent="0.2">
      <c r="B46" s="2586" t="str">
        <f>IF(Présentation!$E$2="Français",'TRAD-Calculs pédiatriques'!D46,IF(Présentation!$E$2="Anglais",'TRAD-Calculs pédiatriques'!F46,""))</f>
        <v>Dosage</v>
      </c>
      <c r="D46" s="2584" t="s">
        <v>14</v>
      </c>
      <c r="E46" s="2584"/>
      <c r="F46" s="2584" t="s">
        <v>981</v>
      </c>
      <c r="G46" s="2584"/>
      <c r="H46" s="2584"/>
      <c r="I46" s="2584"/>
      <c r="J46" s="2555"/>
      <c r="K46" s="2584"/>
      <c r="L46" s="2584"/>
    </row>
    <row r="47" spans="2:20" x14ac:dyDescent="0.2">
      <c r="B47" s="2586" t="str">
        <f>IF(Présentation!$E$2="Français",'TRAD-Calculs pédiatriques'!D47,IF(Présentation!$E$2="Anglais",'TRAD-Calculs pédiatriques'!F47,""))</f>
        <v>Nom de spécialité</v>
      </c>
      <c r="D47" s="2584" t="s">
        <v>75</v>
      </c>
      <c r="E47" s="2584"/>
      <c r="F47" s="2584" t="s">
        <v>1328</v>
      </c>
      <c r="G47" s="2584"/>
      <c r="H47" s="2584"/>
      <c r="I47" s="2584"/>
      <c r="J47" s="2555"/>
      <c r="K47" s="2584"/>
      <c r="L47" s="2584"/>
    </row>
    <row r="48" spans="2:20" x14ac:dyDescent="0.2">
      <c r="B48" s="2586" t="str">
        <f>IF(Présentation!$E$2="Français",'TRAD-Calculs pédiatriques'!D48,IF(Présentation!$E$2="Anglais",'TRAD-Calculs pédiatriques'!F48,""))</f>
        <v>Volume conditionnement primaire (mL)</v>
      </c>
      <c r="D48" s="2584" t="s">
        <v>76</v>
      </c>
      <c r="E48" s="2584"/>
      <c r="F48" s="2584" t="s">
        <v>1173</v>
      </c>
      <c r="G48" s="2584"/>
      <c r="H48" s="2584"/>
      <c r="I48" s="2584"/>
      <c r="J48" s="2555"/>
      <c r="K48" s="2584"/>
      <c r="L48" s="2584"/>
    </row>
    <row r="49" spans="2:20" x14ac:dyDescent="0.2">
      <c r="B49" s="2586" t="str">
        <f>IF(Présentation!$E$2="Français",'TRAD-Calculs pédiatriques'!D49,IF(Présentation!$E$2="Anglais",'TRAD-Calculs pédiatriques'!F49,""))</f>
        <v>Conditionement secondaire</v>
      </c>
      <c r="D49" s="2584" t="s">
        <v>77</v>
      </c>
      <c r="E49" s="2584"/>
      <c r="F49" s="2584" t="s">
        <v>1329</v>
      </c>
      <c r="G49" s="2584"/>
      <c r="H49" s="2584"/>
      <c r="I49" s="2584"/>
      <c r="J49" s="2555"/>
      <c r="K49" s="2584"/>
      <c r="L49" s="2584"/>
    </row>
    <row r="50" spans="2:20" x14ac:dyDescent="0.2">
      <c r="B50" s="2586" t="str">
        <f>IF(Présentation!$E$2="Français",'TRAD-Calculs pédiatriques'!D50,IF(Présentation!$E$2="Anglais",'TRAD-Calculs pédiatriques'!F50,""))</f>
        <v>Qtés de patients - mois</v>
      </c>
      <c r="D50" s="2584" t="s">
        <v>163</v>
      </c>
      <c r="E50" s="2584"/>
      <c r="F50" s="2584" t="s">
        <v>1330</v>
      </c>
      <c r="G50" s="2584"/>
      <c r="H50" s="2584"/>
      <c r="I50" s="2584"/>
      <c r="J50" s="2555"/>
      <c r="K50" s="2584"/>
      <c r="L50" s="2584"/>
    </row>
    <row r="51" spans="2:20" ht="25.5" x14ac:dyDescent="0.2">
      <c r="B51" s="2586" t="str">
        <f>IF(Présentation!$E$2="Français",'TRAD-Calculs pédiatriques'!D51,IF(Présentation!$E$2="Anglais",'TRAD-Calculs pédiatriques'!F51,""))</f>
        <v>Si enfant de 6 - 7 kg (pris en compte pour la tranche 3 - 9,9 kg)</v>
      </c>
      <c r="D51" s="2639" t="s">
        <v>1331</v>
      </c>
      <c r="E51" s="2584"/>
      <c r="F51" s="2584" t="s">
        <v>1332</v>
      </c>
      <c r="H51" s="2584"/>
      <c r="I51" s="2584"/>
      <c r="J51" s="2555"/>
      <c r="K51" s="2584"/>
    </row>
    <row r="52" spans="2:20" ht="25.5" x14ac:dyDescent="0.2">
      <c r="B52" s="2586" t="str">
        <f>IF(Présentation!$E$2="Français",'TRAD-Calculs pédiatriques'!D52,IF(Présentation!$E$2="Anglais",'TRAD-Calculs pédiatriques'!F52,""))</f>
        <v>Si enfant de 12 - 14 kg (pris en compte pour la tranche 10 - 14,9 kg)</v>
      </c>
      <c r="D52" s="2639" t="s">
        <v>1333</v>
      </c>
      <c r="E52" s="2584"/>
      <c r="F52" s="2584" t="s">
        <v>1334</v>
      </c>
      <c r="G52" s="2584"/>
      <c r="H52" s="2584"/>
      <c r="I52" s="2584"/>
      <c r="J52" s="2555"/>
      <c r="K52" s="2584"/>
      <c r="L52" s="2584"/>
    </row>
    <row r="53" spans="2:20" x14ac:dyDescent="0.2">
      <c r="B53" s="2586" t="str">
        <f>IF(Présentation!$E$2="Français",'TRAD-Calculs pédiatriques'!D53,IF(Présentation!$E$2="Anglais",'TRAD-Calculs pédiatriques'!F53,""))</f>
        <v>sol buv</v>
      </c>
      <c r="D53" s="2584" t="s">
        <v>79</v>
      </c>
      <c r="E53" s="2584"/>
      <c r="F53" s="2584" t="s">
        <v>1335</v>
      </c>
      <c r="G53" s="2584"/>
      <c r="H53" s="2584"/>
      <c r="I53" s="2584"/>
      <c r="J53" s="2584"/>
      <c r="K53" s="2584"/>
    </row>
    <row r="54" spans="2:20" x14ac:dyDescent="0.2">
      <c r="B54" s="2586" t="str">
        <f>IF(Présentation!$E$2="Français",'TRAD-Calculs pédiatriques'!D54,IF(Présentation!$E$2="Anglais",'TRAD-Calculs pédiatriques'!F54,""))</f>
        <v>pdre buv</v>
      </c>
      <c r="D54" s="2584" t="s">
        <v>90</v>
      </c>
      <c r="E54" s="2584"/>
      <c r="F54" s="2584" t="s">
        <v>1336</v>
      </c>
      <c r="G54" s="2584"/>
      <c r="H54" s="2584"/>
      <c r="I54" s="2584"/>
      <c r="J54" s="2584"/>
      <c r="K54" s="2584"/>
      <c r="L54" s="2584"/>
    </row>
    <row r="55" spans="2:20" x14ac:dyDescent="0.2">
      <c r="B55" s="2586" t="str">
        <f>IF(Présentation!$E$2="Français",'TRAD-Calculs pédiatriques'!D55,IF(Présentation!$E$2="Anglais",'TRAD-Calculs pédiatriques'!F55,""))</f>
        <v>volume (mL) / jour</v>
      </c>
      <c r="D55" s="2584" t="s">
        <v>164</v>
      </c>
      <c r="F55" s="2639" t="s">
        <v>1122</v>
      </c>
      <c r="G55" s="2639"/>
      <c r="H55" s="2639"/>
      <c r="I55" s="2639"/>
      <c r="J55" s="2639"/>
      <c r="K55" s="2639"/>
    </row>
    <row r="56" spans="2:20" x14ac:dyDescent="0.2">
      <c r="B56" s="2586" t="str">
        <f>IF(Présentation!$E$2="Français",'TRAD-Calculs pédiatriques'!D56,IF(Présentation!$E$2="Anglais",'TRAD-Calculs pédiatriques'!F56,""))</f>
        <v>volume (mL) / mois</v>
      </c>
      <c r="D56" s="2584" t="s">
        <v>165</v>
      </c>
      <c r="E56" s="2584"/>
      <c r="F56" s="2584" t="s">
        <v>1123</v>
      </c>
      <c r="G56" s="2584"/>
      <c r="H56" s="2584"/>
      <c r="I56" s="2584"/>
      <c r="J56" s="2584"/>
      <c r="K56" s="2584"/>
      <c r="L56" s="2584"/>
    </row>
    <row r="57" spans="2:20" x14ac:dyDescent="0.2">
      <c r="B57" s="2586" t="str">
        <f>IF(Présentation!$E$2="Français",'TRAD-Calculs pédiatriques'!D57,IF(Présentation!$E$2="Anglais",'TRAD-Calculs pédiatriques'!F57,""))</f>
        <v>volume flacon (mL)</v>
      </c>
      <c r="D57" s="2584" t="s">
        <v>166</v>
      </c>
      <c r="E57" s="2584"/>
      <c r="F57" s="2584" t="s">
        <v>1337</v>
      </c>
      <c r="L57" s="2585"/>
      <c r="M57" s="2585"/>
    </row>
    <row r="58" spans="2:20" x14ac:dyDescent="0.2">
      <c r="B58" s="2586" t="str">
        <f>IF(Présentation!$E$2="Français",'TRAD-Calculs pédiatriques'!D58,IF(Présentation!$E$2="Anglais",'TRAD-Calculs pédiatriques'!F58,""))</f>
        <v>nb de flacons / mois</v>
      </c>
      <c r="D58" s="2584" t="s">
        <v>167</v>
      </c>
      <c r="E58" s="2584"/>
      <c r="F58" s="2584" t="s">
        <v>1142</v>
      </c>
      <c r="G58" s="2584"/>
      <c r="H58" s="2584"/>
      <c r="I58" s="2555"/>
      <c r="J58" s="2584"/>
      <c r="K58" s="2584"/>
      <c r="L58" s="2584"/>
      <c r="M58" s="2584"/>
    </row>
    <row r="59" spans="2:20" x14ac:dyDescent="0.2">
      <c r="B59" s="2586" t="str">
        <f>IF(Présentation!$E$2="Français",'TRAD-Calculs pédiatriques'!D59,IF(Présentation!$E$2="Anglais",'TRAD-Calculs pédiatriques'!F59,""))</f>
        <v>nb de flacons / mois arrondi</v>
      </c>
      <c r="D59" s="2584" t="s">
        <v>168</v>
      </c>
      <c r="E59" s="2584"/>
      <c r="F59" s="2558" t="s">
        <v>1143</v>
      </c>
      <c r="I59" s="2555"/>
    </row>
    <row r="60" spans="2:20" x14ac:dyDescent="0.2">
      <c r="B60" s="2586" t="str">
        <f>IF(Présentation!$E$2="Français",'TRAD-Calculs pédiatriques'!D60,IF(Présentation!$E$2="Anglais",'TRAD-Calculs pédiatriques'!F60,""))</f>
        <v>reste (mL)</v>
      </c>
      <c r="D60" s="2584" t="s">
        <v>169</v>
      </c>
      <c r="E60" s="2584"/>
      <c r="F60" s="2584" t="s">
        <v>1338</v>
      </c>
      <c r="G60" s="2584"/>
      <c r="H60" s="2584"/>
      <c r="I60" s="2555"/>
      <c r="J60" s="2584"/>
      <c r="K60" s="2584"/>
      <c r="L60" s="2584"/>
      <c r="M60" s="2584"/>
    </row>
    <row r="61" spans="2:20" ht="25.5" x14ac:dyDescent="0.2">
      <c r="B61" s="2586" t="str">
        <f>IF(Présentation!$E$2="Français",'TRAD-Calculs pédiatriques'!D61,IF(Présentation!$E$2="Anglais",'TRAD-Calculs pédiatriques'!F61,""))</f>
        <v>Si enfant de 15 - 20 kg (pris en compte pour la tranche 15 - 20 kg)</v>
      </c>
      <c r="D61" s="2639" t="s">
        <v>1339</v>
      </c>
      <c r="F61" s="2639" t="s">
        <v>1340</v>
      </c>
      <c r="G61" s="2639"/>
      <c r="H61" s="2639"/>
      <c r="I61" s="2639"/>
      <c r="J61" s="2639"/>
      <c r="K61" s="2639"/>
      <c r="L61" s="2584"/>
      <c r="M61" s="2584"/>
    </row>
    <row r="62" spans="2:20" ht="25.5" x14ac:dyDescent="0.2">
      <c r="B62" s="2586" t="str">
        <f>IF(Présentation!$E$2="Français",'TRAD-Calculs pédiatriques'!D62,IF(Présentation!$E$2="Anglais",'TRAD-Calculs pédiatriques'!F62,""))</f>
        <v>Pour les comprimés (en nombre de conditionnements / patient / mois)</v>
      </c>
      <c r="D62" s="2584" t="s">
        <v>513</v>
      </c>
      <c r="F62" s="2584" t="s">
        <v>1341</v>
      </c>
      <c r="G62" s="2584"/>
      <c r="H62" s="2584"/>
      <c r="I62" s="2584"/>
      <c r="J62" s="2584"/>
      <c r="K62" s="2584"/>
      <c r="L62" s="2584"/>
      <c r="M62" s="2584"/>
    </row>
    <row r="63" spans="2:20" x14ac:dyDescent="0.2">
      <c r="B63" s="2586" t="str">
        <f>IF(Présentation!$E$2="Français",'TRAD-Calculs pédiatriques'!D63,IF(Présentation!$E$2="Anglais",'TRAD-Calculs pédiatriques'!F63,""))</f>
        <v>Formes adultes</v>
      </c>
      <c r="D63" s="2584" t="s">
        <v>174</v>
      </c>
      <c r="E63" s="2584"/>
      <c r="F63" s="2584" t="s">
        <v>1342</v>
      </c>
      <c r="G63" s="2584"/>
      <c r="H63" s="2584"/>
      <c r="I63" s="2584"/>
      <c r="J63" s="2584"/>
      <c r="K63" s="2584"/>
      <c r="L63" s="2584"/>
      <c r="M63" s="2584"/>
    </row>
    <row r="64" spans="2:20" x14ac:dyDescent="0.2">
      <c r="B64" s="2586" t="str">
        <f>IF(Présentation!$E$2="Français",'TRAD-Calculs pédiatriques'!D64,IF(Présentation!$E$2="Anglais",'TRAD-Calculs pédiatriques'!F64,""))</f>
        <v>Poids envisagés</v>
      </c>
      <c r="D64" s="2584" t="s">
        <v>141</v>
      </c>
      <c r="E64" s="2584"/>
      <c r="F64" s="2584" t="s">
        <v>1343</v>
      </c>
      <c r="H64" s="2584"/>
      <c r="I64" s="2584"/>
      <c r="J64" s="2584"/>
      <c r="K64" s="2584"/>
      <c r="L64" s="2633"/>
      <c r="M64" s="2633"/>
      <c r="N64" s="2633"/>
      <c r="O64" s="2633"/>
      <c r="P64" s="2633"/>
      <c r="Q64" s="2584"/>
      <c r="R64" s="2584"/>
      <c r="S64" s="2584"/>
      <c r="T64" s="2635"/>
    </row>
    <row r="65" spans="2:20" x14ac:dyDescent="0.2">
      <c r="B65" s="2586" t="str">
        <f>IF(Présentation!$E$2="Français",'TRAD-Calculs pédiatriques'!D65,IF(Présentation!$E$2="Anglais",'TRAD-Calculs pédiatriques'!F65,""))</f>
        <v>Nb de boites / mois / patient</v>
      </c>
      <c r="D65" s="2584" t="s">
        <v>175</v>
      </c>
      <c r="E65" s="2584"/>
      <c r="F65" s="2558" t="s">
        <v>1124</v>
      </c>
      <c r="G65" s="2584"/>
      <c r="H65" s="2584"/>
      <c r="I65" s="2584"/>
      <c r="J65" s="2584"/>
      <c r="K65" s="2584"/>
      <c r="L65" s="2584"/>
      <c r="M65" s="2584"/>
      <c r="N65" s="2584"/>
      <c r="O65" s="2584"/>
      <c r="P65" s="2584"/>
      <c r="Q65" s="2584"/>
      <c r="R65" s="2584"/>
      <c r="S65" s="2584"/>
      <c r="T65" s="2584"/>
    </row>
    <row r="66" spans="2:20" x14ac:dyDescent="0.2">
      <c r="B66" s="2586" t="str">
        <f>IF(Présentation!$E$2="Français",'TRAD-Calculs pédiatriques'!D66,IF(Présentation!$E$2="Anglais",'TRAD-Calculs pédiatriques'!F66,""))</f>
        <v>AZT+3TC+NVP adulte</v>
      </c>
      <c r="D66" s="2555" t="s">
        <v>418</v>
      </c>
      <c r="E66" s="2584"/>
      <c r="F66" s="2558" t="s">
        <v>1125</v>
      </c>
      <c r="G66" s="2584"/>
      <c r="H66" s="2584"/>
      <c r="I66" s="2584"/>
      <c r="J66" s="2584"/>
      <c r="K66" s="2584"/>
      <c r="L66" s="2584"/>
      <c r="M66" s="2584"/>
      <c r="N66" s="2584"/>
      <c r="O66" s="2584"/>
      <c r="P66" s="2584"/>
      <c r="Q66" s="2584"/>
      <c r="R66" s="2584"/>
      <c r="S66" s="2584"/>
      <c r="T66" s="2584"/>
    </row>
    <row r="67" spans="2:20" x14ac:dyDescent="0.2">
      <c r="B67" s="2586" t="str">
        <f>IF(Présentation!$E$2="Français",'TRAD-Calculs pédiatriques'!D67,IF(Présentation!$E$2="Anglais",'TRAD-Calculs pédiatriques'!F67,""))</f>
        <v>AZT+3TC+NVP bébé</v>
      </c>
      <c r="D67" s="2555" t="s">
        <v>1144</v>
      </c>
      <c r="E67" s="2584"/>
      <c r="F67" s="2558" t="s">
        <v>1126</v>
      </c>
      <c r="G67" s="2555"/>
      <c r="H67" s="2555"/>
      <c r="I67" s="2555"/>
      <c r="J67" s="2555"/>
      <c r="K67" s="2555"/>
      <c r="L67" s="2584"/>
      <c r="M67" s="2584"/>
      <c r="N67" s="2584"/>
      <c r="O67" s="2584"/>
      <c r="P67" s="2584"/>
      <c r="Q67" s="2584"/>
      <c r="R67" s="2584"/>
      <c r="S67" s="2584"/>
      <c r="T67" s="2584"/>
    </row>
    <row r="68" spans="2:20" x14ac:dyDescent="0.2">
      <c r="B68" s="2586" t="str">
        <f>IF(Présentation!$E$2="Français",'TRAD-Calculs pédiatriques'!D68,IF(Présentation!$E$2="Anglais",'TRAD-Calculs pédiatriques'!F68,""))</f>
        <v>AZT+3TC adulte</v>
      </c>
      <c r="D68" s="2555" t="s">
        <v>419</v>
      </c>
      <c r="E68" s="2584"/>
      <c r="F68" s="2558" t="s">
        <v>1127</v>
      </c>
      <c r="G68" s="2555"/>
      <c r="H68" s="2555"/>
      <c r="I68" s="2555"/>
      <c r="J68" s="2555"/>
      <c r="K68" s="2555"/>
      <c r="L68" s="2584"/>
      <c r="M68" s="2584"/>
      <c r="N68" s="2584"/>
      <c r="O68" s="2584"/>
      <c r="P68" s="2584"/>
      <c r="Q68" s="2584"/>
      <c r="R68" s="2584"/>
      <c r="S68" s="2584"/>
      <c r="T68" s="2584"/>
    </row>
    <row r="69" spans="2:20" x14ac:dyDescent="0.2">
      <c r="B69" s="2586" t="str">
        <f>IF(Présentation!$E$2="Français",'TRAD-Calculs pédiatriques'!D69,IF(Présentation!$E$2="Anglais",'TRAD-Calculs pédiatriques'!F69,""))</f>
        <v>AZT+3TC bébé</v>
      </c>
      <c r="D69" s="2555" t="s">
        <v>1145</v>
      </c>
      <c r="E69" s="2584"/>
      <c r="F69" s="2558" t="s">
        <v>1128</v>
      </c>
      <c r="G69" s="2555"/>
      <c r="H69" s="2555"/>
      <c r="I69" s="2555"/>
      <c r="J69" s="2555"/>
      <c r="K69" s="2555"/>
      <c r="L69" s="2584"/>
      <c r="M69" s="2584"/>
      <c r="N69" s="2584"/>
      <c r="O69" s="2584"/>
      <c r="P69" s="2584"/>
      <c r="Q69" s="2584"/>
      <c r="R69" s="2584"/>
      <c r="S69" s="2584"/>
      <c r="T69" s="2584"/>
    </row>
    <row r="70" spans="2:20" x14ac:dyDescent="0.2">
      <c r="B70" s="2586" t="str">
        <f>IF(Présentation!$E$2="Français",'TRAD-Calculs pédiatriques'!D70,IF(Présentation!$E$2="Anglais",'TRAD-Calculs pédiatriques'!F70,""))</f>
        <v>D4T+3TC+NVP adulte</v>
      </c>
      <c r="D70" s="2555" t="s">
        <v>417</v>
      </c>
      <c r="E70" s="2584"/>
      <c r="F70" s="2558" t="s">
        <v>1129</v>
      </c>
      <c r="G70" s="2555"/>
      <c r="H70" s="2555"/>
      <c r="I70" s="2555"/>
      <c r="J70" s="2555"/>
      <c r="K70" s="2555"/>
      <c r="L70" s="2584"/>
      <c r="M70" s="2584"/>
      <c r="N70" s="2584"/>
      <c r="O70" s="2584"/>
      <c r="P70" s="2584"/>
      <c r="Q70" s="2584"/>
      <c r="R70" s="2584"/>
      <c r="S70" s="2584"/>
      <c r="T70" s="2584"/>
    </row>
    <row r="71" spans="2:20" x14ac:dyDescent="0.2">
      <c r="B71" s="2586" t="str">
        <f>IF(Présentation!$E$2="Français",'TRAD-Calculs pédiatriques'!D71,IF(Présentation!$E$2="Anglais",'TRAD-Calculs pédiatriques'!F71,""))</f>
        <v>D4T+3TC+NVP bébé</v>
      </c>
      <c r="D71" s="2555" t="s">
        <v>1146</v>
      </c>
      <c r="E71" s="2584"/>
      <c r="F71" s="2558" t="s">
        <v>1130</v>
      </c>
      <c r="G71" s="2555"/>
      <c r="H71" s="2555"/>
      <c r="I71" s="2555"/>
      <c r="J71" s="2555"/>
      <c r="K71" s="2555"/>
      <c r="L71" s="2584"/>
      <c r="M71" s="2584"/>
      <c r="N71" s="2584"/>
      <c r="O71" s="2584"/>
      <c r="P71" s="2584"/>
      <c r="Q71" s="2584"/>
      <c r="R71" s="2584"/>
      <c r="S71" s="2584"/>
      <c r="T71" s="2584"/>
    </row>
    <row r="72" spans="2:20" x14ac:dyDescent="0.2">
      <c r="B72" s="2586" t="str">
        <f>IF(Présentation!$E$2="Français",'TRAD-Calculs pédiatriques'!D72,IF(Présentation!$E$2="Anglais",'TRAD-Calculs pédiatriques'!F72,""))</f>
        <v>D4T+3TC adulte</v>
      </c>
      <c r="D72" s="2555" t="s">
        <v>509</v>
      </c>
      <c r="E72" s="2584"/>
      <c r="F72" s="2558" t="s">
        <v>1131</v>
      </c>
      <c r="G72" s="2555"/>
      <c r="H72" s="2555"/>
      <c r="I72" s="2555"/>
      <c r="J72" s="2555"/>
      <c r="K72" s="2555"/>
    </row>
    <row r="73" spans="2:20" x14ac:dyDescent="0.2">
      <c r="B73" s="2586" t="str">
        <f>IF(Présentation!$E$2="Français",'TRAD-Calculs pédiatriques'!D73,IF(Présentation!$E$2="Anglais",'TRAD-Calculs pédiatriques'!F73,""))</f>
        <v>AZT+3TC+ABC adulte</v>
      </c>
      <c r="D73" s="2555" t="s">
        <v>732</v>
      </c>
      <c r="E73" s="2584"/>
      <c r="F73" s="2558" t="s">
        <v>1368</v>
      </c>
      <c r="G73" s="2555"/>
      <c r="H73" s="2555"/>
      <c r="I73" s="2555"/>
      <c r="J73" s="2555"/>
      <c r="K73" s="2555"/>
    </row>
    <row r="74" spans="2:20" x14ac:dyDescent="0.2">
      <c r="B74" s="2586" t="str">
        <f>IF(Présentation!$E$2="Français",'TRAD-Calculs pédiatriques'!D74,IF(Présentation!$E$2="Anglais",'TRAD-Calculs pédiatriques'!F74,""))</f>
        <v>ABC+3TC bébé</v>
      </c>
      <c r="D74" s="2555" t="s">
        <v>1148</v>
      </c>
      <c r="E74" s="2584"/>
      <c r="F74" s="2558" t="s">
        <v>1134</v>
      </c>
      <c r="G74" s="2555"/>
      <c r="H74" s="2555"/>
      <c r="I74" s="2555"/>
      <c r="J74" s="2555"/>
      <c r="K74" s="2555"/>
    </row>
    <row r="75" spans="2:20" x14ac:dyDescent="0.2">
      <c r="B75" s="2586" t="str">
        <f>IF(Présentation!$E$2="Français",'TRAD-Calculs pédiatriques'!D75,IF(Présentation!$E$2="Anglais",'TRAD-Calculs pédiatriques'!F75,""))</f>
        <v>ABC adulte</v>
      </c>
      <c r="D75" s="2555" t="s">
        <v>733</v>
      </c>
      <c r="E75" s="2584"/>
      <c r="F75" s="2555" t="s">
        <v>1135</v>
      </c>
      <c r="G75" s="2555"/>
      <c r="H75" s="2555"/>
      <c r="I75" s="2555"/>
      <c r="J75" s="2555"/>
      <c r="K75" s="2555"/>
    </row>
    <row r="76" spans="2:20" x14ac:dyDescent="0.2">
      <c r="B76" s="2586" t="str">
        <f>IF(Présentation!$E$2="Français",'TRAD-Calculs pédiatriques'!D76,IF(Présentation!$E$2="Anglais",'TRAD-Calculs pédiatriques'!F76,""))</f>
        <v>ABC bébé</v>
      </c>
      <c r="D76" s="2555" t="s">
        <v>1149</v>
      </c>
      <c r="E76" s="2584"/>
      <c r="F76" s="2555" t="s">
        <v>729</v>
      </c>
      <c r="G76" s="2555"/>
      <c r="H76" s="2555"/>
      <c r="I76" s="2555"/>
      <c r="J76" s="2555"/>
      <c r="K76" s="2555"/>
    </row>
    <row r="77" spans="2:20" x14ac:dyDescent="0.2">
      <c r="B77" s="2586" t="str">
        <f>IF(Présentation!$E$2="Français",'TRAD-Calculs pédiatriques'!D77,IF(Présentation!$E$2="Anglais",'TRAD-Calculs pédiatriques'!F77,""))</f>
        <v>AZT bébé</v>
      </c>
      <c r="D77" s="2555" t="s">
        <v>1150</v>
      </c>
      <c r="E77" s="2584"/>
      <c r="F77" s="2558" t="s">
        <v>753</v>
      </c>
      <c r="G77" s="2555"/>
      <c r="H77" s="2555"/>
      <c r="I77" s="2555"/>
      <c r="J77" s="2555"/>
      <c r="K77" s="2555"/>
    </row>
    <row r="78" spans="2:20" x14ac:dyDescent="0.2">
      <c r="B78" s="2586" t="str">
        <f>IF(Présentation!$E$2="Français",'TRAD-Calculs pédiatriques'!D78,IF(Présentation!$E$2="Anglais",'TRAD-Calculs pédiatriques'!F78,""))</f>
        <v>NVP cp</v>
      </c>
      <c r="D78" s="2555" t="s">
        <v>735</v>
      </c>
      <c r="E78" s="2584"/>
      <c r="F78" s="2555" t="s">
        <v>1136</v>
      </c>
      <c r="G78" s="2555"/>
      <c r="H78" s="2555"/>
      <c r="I78" s="2555"/>
      <c r="J78" s="2555"/>
      <c r="K78" s="2555"/>
    </row>
    <row r="79" spans="2:20" x14ac:dyDescent="0.2">
      <c r="B79" s="2586" t="str">
        <f>IF(Présentation!$E$2="Français",'TRAD-Calculs pédiatriques'!D79,IF(Présentation!$E$2="Anglais",'TRAD-Calculs pédiatriques'!F79,""))</f>
        <v>LPV/r adulte</v>
      </c>
      <c r="D79" s="2555" t="s">
        <v>757</v>
      </c>
      <c r="E79" s="2584"/>
      <c r="F79" s="2558" t="s">
        <v>1137</v>
      </c>
      <c r="G79" s="2555"/>
      <c r="H79" s="2555"/>
      <c r="I79" s="2555"/>
      <c r="J79" s="2555"/>
      <c r="K79" s="2555"/>
    </row>
    <row r="80" spans="2:20" x14ac:dyDescent="0.2">
      <c r="B80" s="2586" t="str">
        <f>IF(Présentation!$E$2="Français",'TRAD-Calculs pédiatriques'!D80,IF(Présentation!$E$2="Anglais",'TRAD-Calculs pédiatriques'!F80,""))</f>
        <v>LPV/r bébé</v>
      </c>
      <c r="D80" s="2555" t="s">
        <v>1151</v>
      </c>
      <c r="E80" s="2584"/>
      <c r="F80" s="2558" t="s">
        <v>1138</v>
      </c>
      <c r="G80" s="2555"/>
      <c r="H80" s="2555"/>
      <c r="I80" s="2555"/>
      <c r="J80" s="2555"/>
      <c r="K80" s="2555"/>
    </row>
    <row r="81" spans="2:35" x14ac:dyDescent="0.2">
      <c r="B81" s="2586" t="str">
        <f>IF(Présentation!$E$2="Français",'TRAD-Calculs pédiatriques'!D81,IF(Présentation!$E$2="Anglais",'TRAD-Calculs pédiatriques'!F81,""))</f>
        <v>Compilation données poso pédia</v>
      </c>
      <c r="D81" s="2584" t="s">
        <v>760</v>
      </c>
      <c r="E81" s="2584"/>
      <c r="F81" s="2555" t="s">
        <v>1344</v>
      </c>
      <c r="G81" s="2555"/>
      <c r="H81" s="2555"/>
      <c r="I81" s="2555"/>
      <c r="J81" s="2555"/>
      <c r="K81" s="2555"/>
    </row>
    <row r="82" spans="2:35" x14ac:dyDescent="0.2">
      <c r="B82" s="2586" t="str">
        <f>IF(Présentation!$E$2="Français",'TRAD-Calculs pédiatriques'!D82,IF(Présentation!$E$2="Anglais",'TRAD-Calculs pédiatriques'!F82,""))</f>
        <v>Cp</v>
      </c>
      <c r="D82" s="2584" t="s">
        <v>98</v>
      </c>
      <c r="E82" s="2584"/>
      <c r="F82" s="2584" t="s">
        <v>752</v>
      </c>
      <c r="G82" s="2584"/>
      <c r="H82" s="2584"/>
      <c r="I82" s="2584"/>
      <c r="J82" s="2584"/>
      <c r="K82" s="2584"/>
    </row>
    <row r="83" spans="2:35" ht="25.5" x14ac:dyDescent="0.2">
      <c r="B83" s="2586" t="str">
        <f>IF(Présentation!$E$2="Français",'TRAD-Calculs pédiatriques'!D83,IF(Présentation!$E$2="Anglais",'TRAD-Calculs pédiatriques'!F83,""))</f>
        <v>Sélection des produits &amp; détails des calculs</v>
      </c>
      <c r="D83" s="2584" t="s">
        <v>507</v>
      </c>
      <c r="E83" s="2584"/>
      <c r="F83" s="2584" t="s">
        <v>1736</v>
      </c>
      <c r="G83" s="2584"/>
      <c r="H83" s="2584"/>
      <c r="I83" s="2584"/>
      <c r="J83" s="2584"/>
      <c r="K83" s="2584"/>
      <c r="L83" s="2633"/>
      <c r="M83" s="2633"/>
      <c r="N83" s="2633"/>
      <c r="O83" s="2633"/>
      <c r="P83" s="2633"/>
      <c r="Q83" s="2584"/>
      <c r="R83" s="2584"/>
      <c r="S83" s="2584"/>
      <c r="T83" s="2635"/>
    </row>
    <row r="84" spans="2:35" x14ac:dyDescent="0.2">
      <c r="B84" s="2586" t="str">
        <f>IF(Présentation!$E$2="Français",'TRAD-Calculs pédiatriques'!D84,IF(Présentation!$E$2="Anglais",'TRAD-Calculs pédiatriques'!F84,""))</f>
        <v>Tranche 3 - 9,9 kg</v>
      </c>
      <c r="D84" s="2639" t="s">
        <v>497</v>
      </c>
      <c r="E84" s="2584"/>
      <c r="F84" s="2584" t="s">
        <v>1119</v>
      </c>
      <c r="G84" s="2584"/>
      <c r="H84" s="2584"/>
      <c r="I84" s="2584"/>
      <c r="J84" s="2584"/>
      <c r="K84" s="2584"/>
      <c r="L84" s="2584"/>
      <c r="M84" s="2584"/>
      <c r="N84" s="2584"/>
      <c r="O84" s="2584"/>
      <c r="P84" s="2584"/>
      <c r="Q84" s="2584"/>
      <c r="R84" s="2584"/>
      <c r="S84" s="2584"/>
      <c r="T84" s="2584"/>
    </row>
    <row r="85" spans="2:35" ht="25.5" x14ac:dyDescent="0.2">
      <c r="B85" s="2586" t="str">
        <f>IF(Présentation!$E$2="Français",'TRAD-Calculs pédiatriques'!D85,IF(Présentation!$E$2="Anglais",'TRAD-Calculs pédiatriques'!F85,""))</f>
        <v>Nb de boites / mois pour l'ensemble des patients</v>
      </c>
      <c r="D85" s="2584" t="s">
        <v>142</v>
      </c>
      <c r="F85" s="2584" t="s">
        <v>1111</v>
      </c>
      <c r="G85" s="2639"/>
      <c r="H85" s="2639"/>
      <c r="I85" s="2639"/>
      <c r="J85" s="2639"/>
      <c r="K85" s="2584"/>
      <c r="L85" s="2585"/>
      <c r="M85" s="2584"/>
      <c r="N85" s="2584"/>
      <c r="O85" s="2584"/>
      <c r="P85" s="2584"/>
      <c r="Q85" s="2584"/>
      <c r="R85" s="2584"/>
      <c r="S85" s="2584"/>
      <c r="T85" s="2584"/>
    </row>
    <row r="86" spans="2:35" x14ac:dyDescent="0.2">
      <c r="B86" s="2586" t="str">
        <f>IF(Présentation!$E$2="Français",'TRAD-Calculs pédiatriques'!D86,IF(Présentation!$E$2="Anglais",'TRAD-Calculs pédiatriques'!F86,""))</f>
        <v>Nb de cdt/mois pour la tranche</v>
      </c>
      <c r="D86" s="2558" t="s">
        <v>500</v>
      </c>
      <c r="E86" s="2584"/>
      <c r="F86" s="2584" t="s">
        <v>1345</v>
      </c>
      <c r="G86" s="2584"/>
      <c r="H86" s="2584"/>
      <c r="I86" s="2584"/>
      <c r="J86" s="2584"/>
      <c r="K86" s="2584"/>
      <c r="L86" s="2632"/>
      <c r="M86" s="2632"/>
      <c r="N86" s="2632"/>
      <c r="O86" s="2632"/>
      <c r="P86" s="2584"/>
      <c r="Q86" s="2584"/>
      <c r="R86" s="2584"/>
      <c r="S86" s="2584"/>
      <c r="T86" s="2584"/>
      <c r="U86" s="2584"/>
      <c r="V86" s="2584"/>
      <c r="W86" s="2584"/>
      <c r="X86" s="2584"/>
      <c r="Y86" s="2584"/>
      <c r="Z86" s="2584"/>
      <c r="AA86" s="2584"/>
      <c r="AB86" s="2584"/>
      <c r="AC86" s="2584"/>
      <c r="AD86" s="2584"/>
      <c r="AE86" s="2584"/>
      <c r="AF86" s="2584"/>
      <c r="AG86" s="2584"/>
      <c r="AH86" s="2584"/>
      <c r="AI86" s="2584"/>
    </row>
    <row r="87" spans="2:35" x14ac:dyDescent="0.2">
      <c r="B87" s="2586" t="str">
        <f>IF(Présentation!$E$2="Français",'TRAD-Calculs pédiatriques'!D87,IF(Présentation!$E$2="Anglais",'TRAD-Calculs pédiatriques'!F87,""))</f>
        <v>Patients suivis</v>
      </c>
      <c r="D87" s="2584" t="s">
        <v>498</v>
      </c>
      <c r="F87" s="2584" t="s">
        <v>1346</v>
      </c>
      <c r="G87" s="2584"/>
      <c r="H87" s="2584"/>
      <c r="I87" s="2584"/>
      <c r="J87" s="2584"/>
      <c r="K87" s="2584"/>
      <c r="L87" s="2584"/>
      <c r="M87" s="2584"/>
      <c r="N87" s="2584"/>
      <c r="O87" s="2584"/>
      <c r="P87" s="2584"/>
      <c r="Q87" s="2584"/>
      <c r="R87" s="2584"/>
      <c r="S87" s="2584"/>
      <c r="T87" s="2584"/>
      <c r="U87" s="2584"/>
      <c r="V87" s="2584"/>
      <c r="W87" s="2584"/>
      <c r="X87" s="2584"/>
      <c r="Y87" s="2584"/>
      <c r="Z87" s="2584"/>
      <c r="AA87" s="2584"/>
      <c r="AB87" s="2584"/>
      <c r="AC87" s="2584"/>
      <c r="AD87" s="2584"/>
      <c r="AE87" s="2584"/>
      <c r="AF87" s="2584"/>
      <c r="AG87" s="2584"/>
      <c r="AH87" s="2584"/>
      <c r="AI87" s="2584"/>
    </row>
    <row r="88" spans="2:35" x14ac:dyDescent="0.2">
      <c r="B88" s="2586" t="str">
        <f>IF(Présentation!$E$2="Français",'TRAD-Calculs pédiatriques'!D88,IF(Présentation!$E$2="Anglais",'TRAD-Calculs pédiatriques'!F88,""))</f>
        <v>Patients initiés</v>
      </c>
      <c r="D88" s="2584" t="s">
        <v>499</v>
      </c>
      <c r="E88" s="2584"/>
      <c r="F88" s="2558" t="s">
        <v>1347</v>
      </c>
      <c r="L88" s="2640"/>
      <c r="M88" s="2640"/>
    </row>
    <row r="89" spans="2:35" ht="25.5" x14ac:dyDescent="0.2">
      <c r="B89" s="2586" t="str">
        <f>IF(Présentation!$E$2="Français",'TRAD-Calculs pédiatriques'!D89,IF(Présentation!$E$2="Anglais",'TRAD-Calculs pédiatriques'!F89,""))</f>
        <v>Nb de patients-mois / produit - SUIVIS</v>
      </c>
      <c r="D89" s="2584" t="s">
        <v>501</v>
      </c>
      <c r="E89" s="2584"/>
      <c r="F89" s="2558" t="s">
        <v>1348</v>
      </c>
      <c r="G89" s="2584"/>
      <c r="H89" s="2584"/>
      <c r="I89" s="2584"/>
      <c r="J89" s="2584"/>
      <c r="K89" s="2584"/>
      <c r="L89" s="2584"/>
      <c r="M89" s="2584"/>
      <c r="N89" s="2584"/>
      <c r="O89" s="2630"/>
      <c r="P89" s="2584"/>
      <c r="Q89" s="2584"/>
      <c r="R89" s="2584"/>
      <c r="S89" s="2584"/>
      <c r="T89" s="2584"/>
      <c r="U89" s="2584"/>
      <c r="V89" s="2584"/>
      <c r="W89" s="2584"/>
      <c r="X89" s="2584"/>
      <c r="Y89" s="2584"/>
      <c r="Z89" s="2584"/>
      <c r="AA89" s="2584"/>
      <c r="AB89" s="2584"/>
      <c r="AC89" s="2584"/>
    </row>
    <row r="90" spans="2:35" ht="25.5" x14ac:dyDescent="0.2">
      <c r="B90" s="2586" t="str">
        <f>IF(Présentation!$E$2="Français",'TRAD-Calculs pédiatriques'!D90,IF(Présentation!$E$2="Anglais",'TRAD-Calculs pédiatriques'!F90,""))</f>
        <v>Nb de patients-mois / produit - NOUVEAUX</v>
      </c>
      <c r="D90" s="2584" t="s">
        <v>502</v>
      </c>
      <c r="E90" s="2584"/>
      <c r="F90" s="2558" t="s">
        <v>1349</v>
      </c>
      <c r="G90" s="2584"/>
      <c r="H90" s="2584"/>
      <c r="I90" s="2584"/>
      <c r="J90" s="2584"/>
      <c r="K90" s="2584"/>
      <c r="L90" s="2584"/>
      <c r="M90" s="2584"/>
      <c r="N90" s="2584"/>
      <c r="O90" s="2630"/>
      <c r="P90" s="2630"/>
      <c r="Q90" s="2630"/>
      <c r="R90" s="2630"/>
      <c r="T90" s="2630"/>
      <c r="U90" s="2630"/>
      <c r="V90" s="2630"/>
      <c r="W90" s="2630"/>
      <c r="X90" s="2630"/>
      <c r="Y90" s="2630"/>
      <c r="Z90" s="2630"/>
      <c r="AA90" s="2630"/>
      <c r="AB90" s="2630"/>
      <c r="AC90" s="2630"/>
      <c r="AD90" s="2630"/>
      <c r="AE90" s="2630"/>
      <c r="AF90" s="2630"/>
      <c r="AG90" s="2630"/>
      <c r="AI90" s="2630"/>
    </row>
    <row r="91" spans="2:35" x14ac:dyDescent="0.2">
      <c r="B91" s="2586" t="str">
        <f>IF(Présentation!$E$2="Français",'TRAD-Calculs pédiatriques'!D91,IF(Présentation!$E$2="Anglais",'TRAD-Calculs pédiatriques'!F91,""))</f>
        <v>Nb de cdt pr SUIVIS</v>
      </c>
      <c r="D91" s="2584" t="s">
        <v>503</v>
      </c>
      <c r="E91" s="2584"/>
      <c r="F91" s="2558" t="s">
        <v>1350</v>
      </c>
      <c r="G91" s="2584"/>
      <c r="H91" s="2584"/>
      <c r="I91" s="2584"/>
      <c r="J91" s="2584"/>
      <c r="K91" s="2584"/>
      <c r="L91" s="2586"/>
      <c r="M91" s="2586"/>
      <c r="N91" s="2586"/>
      <c r="O91" s="2586"/>
      <c r="P91" s="2586"/>
      <c r="Q91" s="2586"/>
      <c r="R91" s="2586"/>
      <c r="S91" s="2586"/>
      <c r="T91" s="2586"/>
      <c r="U91" s="2586"/>
      <c r="V91" s="2586"/>
      <c r="W91" s="2586"/>
      <c r="X91" s="2586"/>
      <c r="Y91" s="2586"/>
      <c r="Z91" s="2586"/>
      <c r="AA91" s="2586"/>
      <c r="AB91" s="2586"/>
      <c r="AC91" s="2586"/>
      <c r="AD91" s="2586"/>
      <c r="AE91" s="2586"/>
      <c r="AF91" s="2586"/>
      <c r="AG91" s="2586"/>
      <c r="AH91" s="2586"/>
      <c r="AI91" s="2586"/>
    </row>
    <row r="92" spans="2:35" x14ac:dyDescent="0.2">
      <c r="B92" s="2586" t="str">
        <f>IF(Présentation!$E$2="Français",'TRAD-Calculs pédiatriques'!D92,IF(Présentation!$E$2="Anglais",'TRAD-Calculs pédiatriques'!F92,""))</f>
        <v>Nb de cdt pr NOUVEAUX</v>
      </c>
      <c r="D92" s="2584" t="s">
        <v>504</v>
      </c>
      <c r="E92" s="2584"/>
      <c r="F92" s="2558" t="s">
        <v>1351</v>
      </c>
      <c r="G92" s="2584"/>
      <c r="H92" s="2584"/>
      <c r="I92" s="2584"/>
      <c r="J92" s="2584"/>
      <c r="K92" s="2584"/>
      <c r="L92" s="2586"/>
      <c r="M92" s="2586"/>
      <c r="N92" s="2586"/>
      <c r="O92" s="2586"/>
      <c r="P92" s="2586"/>
      <c r="Q92" s="2586"/>
      <c r="R92" s="2586"/>
      <c r="S92" s="2586"/>
      <c r="T92" s="2586"/>
      <c r="U92" s="2586"/>
      <c r="V92" s="2586"/>
      <c r="W92" s="2586"/>
      <c r="X92" s="2586"/>
      <c r="Y92" s="2586"/>
      <c r="Z92" s="2586"/>
      <c r="AA92" s="2586"/>
      <c r="AB92" s="2586"/>
      <c r="AC92" s="2586"/>
      <c r="AD92" s="2586"/>
      <c r="AE92" s="2586"/>
      <c r="AF92" s="2586"/>
      <c r="AG92" s="2586"/>
      <c r="AH92" s="2586"/>
      <c r="AI92" s="2586"/>
    </row>
    <row r="93" spans="2:35" x14ac:dyDescent="0.2">
      <c r="B93" s="2586" t="str">
        <f>IF(Présentation!$E$2="Français",'TRAD-Calculs pédiatriques'!D93,IF(Présentation!$E$2="Anglais",'TRAD-Calculs pédiatriques'!F93,""))</f>
        <v>Tranche 10 - 14,9 kg</v>
      </c>
      <c r="D93" s="2639" t="s">
        <v>510</v>
      </c>
      <c r="E93" s="2584"/>
      <c r="F93" s="2584" t="s">
        <v>1113</v>
      </c>
      <c r="G93" s="2584"/>
      <c r="H93" s="2584"/>
      <c r="I93" s="2584"/>
      <c r="J93" s="2584"/>
      <c r="K93" s="2584"/>
      <c r="L93" s="2641"/>
      <c r="M93" s="2641"/>
      <c r="N93" s="2642"/>
      <c r="O93" s="2642"/>
      <c r="P93" s="2642"/>
      <c r="Q93" s="2642"/>
      <c r="R93" s="2642"/>
      <c r="S93" s="2642"/>
      <c r="T93" s="2642"/>
      <c r="U93" s="2642"/>
      <c r="V93" s="2642"/>
      <c r="W93" s="2642"/>
      <c r="X93" s="2642"/>
      <c r="Y93" s="2642"/>
      <c r="Z93" s="2642"/>
      <c r="AA93" s="2642"/>
      <c r="AB93" s="2642"/>
      <c r="AC93" s="2642"/>
      <c r="AD93" s="2642"/>
      <c r="AE93" s="2642"/>
      <c r="AF93" s="2642"/>
      <c r="AG93" s="2642"/>
      <c r="AH93" s="2642"/>
      <c r="AI93" s="2642"/>
    </row>
    <row r="94" spans="2:35" ht="25.5" x14ac:dyDescent="0.2">
      <c r="B94" s="2586" t="str">
        <f>IF(Présentation!$E$2="Français",'TRAD-Calculs pédiatriques'!D94,IF(Présentation!$E$2="Anglais",'TRAD-Calculs pédiatriques'!F94,""))</f>
        <v>Nb de patients-mois / produit - SUIVIS</v>
      </c>
      <c r="D94" s="2584" t="s">
        <v>501</v>
      </c>
      <c r="E94" s="2584"/>
      <c r="F94" s="2584" t="s">
        <v>1348</v>
      </c>
      <c r="G94" s="2584"/>
      <c r="H94" s="2584"/>
      <c r="I94" s="2584"/>
      <c r="J94" s="2584"/>
      <c r="K94" s="2584"/>
      <c r="L94" s="2643"/>
      <c r="M94" s="2643"/>
      <c r="N94" s="2643"/>
      <c r="O94" s="2643"/>
      <c r="P94" s="2643"/>
      <c r="Q94" s="2643"/>
      <c r="R94" s="2643"/>
      <c r="S94" s="2643"/>
      <c r="T94" s="2643"/>
      <c r="U94" s="2643"/>
      <c r="V94" s="2643"/>
      <c r="W94" s="2643"/>
      <c r="X94" s="2643"/>
      <c r="Y94" s="2643"/>
      <c r="Z94" s="2643"/>
      <c r="AA94" s="2643"/>
      <c r="AB94" s="2643"/>
      <c r="AC94" s="2643"/>
      <c r="AD94" s="2643"/>
      <c r="AE94" s="2643"/>
      <c r="AF94" s="2643"/>
      <c r="AG94" s="2643"/>
      <c r="AH94" s="2643"/>
      <c r="AI94" s="2643"/>
    </row>
    <row r="95" spans="2:35" ht="25.5" x14ac:dyDescent="0.2">
      <c r="B95" s="2586" t="str">
        <f>IF(Présentation!$E$2="Français",'TRAD-Calculs pédiatriques'!D95,IF(Présentation!$E$2="Anglais",'TRAD-Calculs pédiatriques'!F95,""))</f>
        <v>Nb de patients-mois / produit - NOUVEAUX</v>
      </c>
      <c r="D95" s="2584" t="s">
        <v>502</v>
      </c>
      <c r="F95" s="2584" t="s">
        <v>1349</v>
      </c>
      <c r="G95" s="2639"/>
      <c r="H95" s="2639"/>
      <c r="I95" s="2639"/>
      <c r="J95" s="2639"/>
      <c r="K95" s="2584"/>
      <c r="L95" s="2640"/>
      <c r="M95" s="2640"/>
    </row>
    <row r="96" spans="2:35" x14ac:dyDescent="0.2">
      <c r="B96" s="2586" t="str">
        <f>IF(Présentation!$E$2="Français",'TRAD-Calculs pédiatriques'!D96,IF(Présentation!$E$2="Anglais",'TRAD-Calculs pédiatriques'!F96,""))</f>
        <v>Nb de cdt pr SUIVIS</v>
      </c>
      <c r="D96" s="2584" t="s">
        <v>503</v>
      </c>
      <c r="E96" s="2584"/>
      <c r="F96" s="2558" t="s">
        <v>1350</v>
      </c>
      <c r="G96" s="2584"/>
      <c r="H96" s="2584"/>
      <c r="I96" s="2584"/>
      <c r="J96" s="2584"/>
      <c r="K96" s="2584"/>
      <c r="L96" s="2640"/>
      <c r="M96" s="2640"/>
    </row>
    <row r="97" spans="2:35" x14ac:dyDescent="0.2">
      <c r="B97" s="2586" t="str">
        <f>IF(Présentation!$E$2="Français",'TRAD-Calculs pédiatriques'!D97,IF(Présentation!$E$2="Anglais",'TRAD-Calculs pédiatriques'!F97,""))</f>
        <v>Nb de cdt pr NOUVEAUX</v>
      </c>
      <c r="D97" s="2584" t="s">
        <v>504</v>
      </c>
      <c r="E97" s="2584"/>
      <c r="F97" s="2558" t="s">
        <v>1352</v>
      </c>
      <c r="G97" s="2584"/>
      <c r="H97" s="2584"/>
      <c r="I97" s="2584"/>
      <c r="J97" s="2584"/>
      <c r="K97" s="2584"/>
    </row>
    <row r="98" spans="2:35" x14ac:dyDescent="0.2">
      <c r="B98" s="2586" t="str">
        <f>IF(Présentation!$E$2="Français",'TRAD-Calculs pédiatriques'!D98,IF(Présentation!$E$2="Anglais",'TRAD-Calculs pédiatriques'!F98,""))</f>
        <v>Tranche 15 -19,9 kg</v>
      </c>
      <c r="D98" s="2639" t="s">
        <v>511</v>
      </c>
      <c r="E98" s="2584"/>
      <c r="F98" s="2558" t="s">
        <v>1114</v>
      </c>
      <c r="G98" s="2584"/>
      <c r="H98" s="2584"/>
      <c r="I98" s="2584"/>
      <c r="J98" s="2584"/>
      <c r="K98" s="2584"/>
      <c r="L98" s="2632"/>
      <c r="M98" s="2632"/>
      <c r="N98" s="2632"/>
      <c r="O98" s="2632"/>
      <c r="P98" s="2584"/>
      <c r="Q98" s="2584"/>
      <c r="R98" s="2584"/>
      <c r="S98" s="2584"/>
      <c r="T98" s="2584"/>
      <c r="U98" s="2584"/>
      <c r="V98" s="2584"/>
      <c r="W98" s="2584"/>
      <c r="X98" s="2584"/>
      <c r="Y98" s="2584"/>
      <c r="Z98" s="2584"/>
      <c r="AA98" s="2584"/>
      <c r="AB98" s="2584"/>
      <c r="AC98" s="2584"/>
      <c r="AD98" s="2584"/>
      <c r="AE98" s="2584"/>
      <c r="AF98" s="2584"/>
      <c r="AG98" s="2584"/>
      <c r="AH98" s="2584"/>
      <c r="AI98" s="2584"/>
    </row>
    <row r="99" spans="2:35" x14ac:dyDescent="0.2">
      <c r="B99" s="2586" t="str">
        <f>IF(Présentation!$E$2="Français",'TRAD-Calculs pédiatriques'!D99,IF(Présentation!$E$2="Anglais",'TRAD-Calculs pédiatriques'!F99,""))</f>
        <v>Tranche 20 - 24,9 kg</v>
      </c>
      <c r="D99" s="2639" t="s">
        <v>512</v>
      </c>
      <c r="E99" s="2584"/>
      <c r="F99" s="2584" t="s">
        <v>1115</v>
      </c>
      <c r="G99" s="2584"/>
      <c r="H99" s="2584"/>
      <c r="I99" s="2584"/>
      <c r="J99" s="2584"/>
      <c r="K99" s="2584"/>
      <c r="L99" s="2584"/>
      <c r="M99" s="2584"/>
      <c r="N99" s="2584"/>
      <c r="O99" s="2584"/>
      <c r="P99" s="2584"/>
      <c r="Q99" s="2584"/>
      <c r="R99" s="2584"/>
      <c r="S99" s="2584"/>
      <c r="T99" s="2584"/>
      <c r="U99" s="2584"/>
      <c r="V99" s="2584"/>
      <c r="W99" s="2584"/>
      <c r="X99" s="2584"/>
      <c r="Y99" s="2584"/>
      <c r="Z99" s="2584"/>
      <c r="AA99" s="2584"/>
      <c r="AB99" s="2584"/>
      <c r="AC99" s="2584"/>
      <c r="AD99" s="2584"/>
      <c r="AE99" s="2584"/>
      <c r="AF99" s="2584"/>
      <c r="AG99" s="2584"/>
      <c r="AH99" s="2584"/>
      <c r="AI99" s="2584"/>
    </row>
    <row r="100" spans="2:35" ht="38.25" x14ac:dyDescent="0.2">
      <c r="B100" s="2586" t="str">
        <f>IF(Présentation!$E$2="Français",'TRAD-Calculs pédiatriques'!D100,IF(Présentation!$E$2="Anglais",'TRAD-Calculs pédiatriques'!F100,""))</f>
        <v>Enfants en cours de traitement : Quantification des besoins pour la prise en charge des enfants pour 1 mois</v>
      </c>
      <c r="D100" s="2584" t="s">
        <v>1353</v>
      </c>
      <c r="E100" s="2584"/>
      <c r="F100" s="2584" t="s">
        <v>1737</v>
      </c>
      <c r="G100" s="2584"/>
      <c r="H100" s="2584"/>
      <c r="I100" s="2584"/>
      <c r="J100" s="2584"/>
      <c r="K100" s="2584"/>
      <c r="L100" s="2584"/>
      <c r="M100" s="2584"/>
      <c r="N100" s="2584"/>
      <c r="O100" s="2584"/>
    </row>
    <row r="101" spans="2:35" x14ac:dyDescent="0.2">
      <c r="B101" s="2586" t="str">
        <f>IF(Présentation!$E$2="Français",'TRAD-Calculs pédiatriques'!D101,IF(Présentation!$E$2="Anglais",'TRAD-Calculs pédiatriques'!F101,""))</f>
        <v>TOTAL Nb de cdt / mois</v>
      </c>
      <c r="D101" s="2584" t="s">
        <v>761</v>
      </c>
      <c r="E101" s="2584"/>
      <c r="F101" s="2584" t="s">
        <v>1354</v>
      </c>
      <c r="G101" s="2584"/>
      <c r="H101" s="2584"/>
      <c r="I101" s="2584"/>
      <c r="J101" s="2584"/>
      <c r="K101" s="2584"/>
      <c r="L101" s="2632"/>
      <c r="M101" s="2632"/>
      <c r="N101" s="2632"/>
      <c r="O101" s="2632"/>
    </row>
    <row r="102" spans="2:35" x14ac:dyDescent="0.2">
      <c r="B102" s="2586" t="str">
        <f>IF(Présentation!$E$2="Français",'TRAD-Calculs pédiatriques'!D102,IF(Présentation!$E$2="Anglais",'TRAD-Calculs pédiatriques'!F102,""))</f>
        <v>Comprimés</v>
      </c>
      <c r="D102" s="2584" t="s">
        <v>97</v>
      </c>
      <c r="E102" s="2584"/>
      <c r="F102" s="2584" t="s">
        <v>1007</v>
      </c>
      <c r="G102" s="2584"/>
      <c r="H102" s="2584"/>
      <c r="I102" s="2584"/>
      <c r="J102" s="2584"/>
      <c r="K102" s="2584"/>
      <c r="L102" s="2584"/>
      <c r="M102" s="2584"/>
      <c r="N102" s="2584"/>
      <c r="O102" s="2584"/>
    </row>
    <row r="103" spans="2:35" ht="38.25" x14ac:dyDescent="0.2">
      <c r="B103" s="2586" t="str">
        <f>IF(Présentation!$E$2="Français",'TRAD-Calculs pédiatriques'!D103,IF(Présentation!$E$2="Anglais",'TRAD-Calculs pédiatriques'!F103,""))</f>
        <v>Nouvelles initiations &amp; switchs : Quantification des besoins pour la prise en charge des enfants pour 1 mois</v>
      </c>
      <c r="D103" s="2584" t="s">
        <v>1355</v>
      </c>
      <c r="E103" s="2584"/>
      <c r="F103" s="2584" t="s">
        <v>1739</v>
      </c>
      <c r="G103" s="2584"/>
      <c r="H103" s="2584"/>
      <c r="I103" s="2584"/>
      <c r="J103" s="2584"/>
      <c r="K103" s="2584"/>
      <c r="L103" s="2632"/>
      <c r="M103" s="2632"/>
      <c r="N103" s="2632"/>
      <c r="O103" s="2632"/>
      <c r="P103" s="2632"/>
      <c r="Q103" s="2632"/>
    </row>
    <row r="104" spans="2:35" x14ac:dyDescent="0.2">
      <c r="B104" s="2586" t="str">
        <f>IF(Présentation!$E$2="Français",'TRAD-Calculs pédiatriques'!D104,IF(Présentation!$E$2="Anglais",'TRAD-Calculs pédiatriques'!F104,""))</f>
        <v>TOTAL Nb de cdt / mois HORS INITIATION</v>
      </c>
      <c r="D104" s="2584" t="s">
        <v>863</v>
      </c>
      <c r="E104" s="2584"/>
      <c r="F104" s="2584" t="s">
        <v>1356</v>
      </c>
      <c r="G104" s="2584"/>
      <c r="H104" s="2584"/>
      <c r="I104" s="2584"/>
      <c r="J104" s="2584"/>
      <c r="K104" s="2584"/>
      <c r="L104" s="2634"/>
      <c r="M104" s="2634"/>
      <c r="N104" s="2634"/>
      <c r="O104" s="2634"/>
    </row>
    <row r="105" spans="2:35" x14ac:dyDescent="0.2">
      <c r="B105" s="2586" t="str">
        <f>IF(Présentation!$E$2="Français",'TRAD-Calculs pédiatriques'!D105,IF(Présentation!$E$2="Anglais",'TRAD-Calculs pédiatriques'!F105,""))</f>
        <v>initiation NVP</v>
      </c>
      <c r="D105" s="2584" t="s">
        <v>763</v>
      </c>
      <c r="E105" s="2584"/>
      <c r="F105" s="2584" t="s">
        <v>1324</v>
      </c>
      <c r="G105" s="2584"/>
      <c r="H105" s="2584"/>
      <c r="I105" s="2584"/>
      <c r="J105" s="2584"/>
      <c r="K105" s="2584"/>
    </row>
    <row r="106" spans="2:35" x14ac:dyDescent="0.2">
      <c r="B106" s="2586" t="str">
        <f>IF(Présentation!$E$2="Français",'TRAD-Calculs pédiatriques'!D106,IF(Présentation!$E$2="Anglais",'TRAD-Calculs pédiatriques'!F106,""))</f>
        <v>TOTAL Nb de cdt / mois</v>
      </c>
      <c r="D106" s="2584" t="s">
        <v>761</v>
      </c>
      <c r="E106" s="2584"/>
      <c r="F106" s="2584" t="s">
        <v>1354</v>
      </c>
      <c r="G106" s="2584"/>
      <c r="H106" s="2584"/>
      <c r="I106" s="2584"/>
      <c r="J106" s="2584"/>
      <c r="K106" s="2584"/>
      <c r="L106" s="2584"/>
      <c r="M106" s="2584"/>
      <c r="N106" s="2584"/>
      <c r="O106" s="2584"/>
      <c r="P106" s="2584"/>
      <c r="Q106" s="2584"/>
    </row>
    <row r="107" spans="2:35" x14ac:dyDescent="0.2">
      <c r="B107" s="2586" t="str">
        <f>IF(Présentation!$E$2="Français",'TRAD-Calculs pédiatriques'!D107,IF(Présentation!$E$2="Anglais",'TRAD-Calculs pédiatriques'!F107,""))</f>
        <v>Synthèse</v>
      </c>
      <c r="D107" s="2584" t="s">
        <v>176</v>
      </c>
      <c r="E107" s="2584"/>
      <c r="F107" s="2584" t="s">
        <v>1357</v>
      </c>
      <c r="G107" s="2584"/>
      <c r="H107" s="2584"/>
      <c r="I107" s="2584"/>
      <c r="J107" s="2584"/>
      <c r="K107" s="2584"/>
    </row>
    <row r="108" spans="2:35" x14ac:dyDescent="0.2">
      <c r="B108" s="2586" t="str">
        <f>IF(Présentation!$E$2="Français",'TRAD-Calculs pédiatriques'!D108,IF(Présentation!$E$2="Anglais",'TRAD-Calculs pédiatriques'!F108,""))</f>
        <v>Total des besoins mensuels 1 MOIS</v>
      </c>
      <c r="D108" s="2584" t="s">
        <v>1358</v>
      </c>
      <c r="E108" s="2584"/>
      <c r="F108" s="2584" t="s">
        <v>1359</v>
      </c>
      <c r="G108" s="2584"/>
      <c r="H108" s="2584"/>
      <c r="I108" s="2584"/>
      <c r="J108" s="2584"/>
      <c r="K108" s="2584"/>
    </row>
    <row r="109" spans="2:35" x14ac:dyDescent="0.2">
      <c r="B109" s="2586" t="str">
        <f>IF(Présentation!$E$2="Français",'TRAD-Calculs pédiatriques'!D109,IF(Présentation!$E$2="Anglais",'TRAD-Calculs pédiatriques'!F109,""))</f>
        <v>TOTAL Besoins patients suivis</v>
      </c>
      <c r="D109" s="2584" t="s">
        <v>754</v>
      </c>
      <c r="F109" s="2584" t="s">
        <v>1360</v>
      </c>
      <c r="G109" s="2584"/>
      <c r="H109" s="2584"/>
      <c r="I109" s="2584"/>
      <c r="J109" s="2584"/>
      <c r="K109" s="2584"/>
    </row>
    <row r="110" spans="2:35" x14ac:dyDescent="0.2">
      <c r="B110" s="2586" t="str">
        <f>IF(Présentation!$E$2="Français",'TRAD-Calculs pédiatriques'!D110,IF(Présentation!$E$2="Anglais",'TRAD-Calculs pédiatriques'!F110,""))</f>
        <v>TOTAL Besoins patients initiés</v>
      </c>
      <c r="D110" s="2584" t="s">
        <v>755</v>
      </c>
      <c r="E110" s="2584"/>
      <c r="F110" s="2584" t="s">
        <v>1361</v>
      </c>
      <c r="G110" s="2584"/>
      <c r="H110" s="2584"/>
      <c r="I110" s="2584"/>
      <c r="J110" s="2584"/>
      <c r="K110" s="2584"/>
    </row>
    <row r="111" spans="2:35" ht="25.5" x14ac:dyDescent="0.2">
      <c r="B111" s="2586" t="str">
        <f>IF(Présentation!$E$2="Français",'TRAD-Calculs pédiatriques'!D111,IF(Présentation!$E$2="Anglais",'TRAD-Calculs pédiatriques'!F111,""))</f>
        <v>Total des besoins mensuels (conditionnement prim.)</v>
      </c>
      <c r="D111" s="2555" t="s">
        <v>216</v>
      </c>
      <c r="E111" s="2584"/>
      <c r="F111" s="2584" t="s">
        <v>1362</v>
      </c>
      <c r="G111" s="2584"/>
      <c r="H111" s="2584"/>
      <c r="I111" s="2584"/>
    </row>
    <row r="112" spans="2:35" x14ac:dyDescent="0.2">
      <c r="B112" s="2586" t="str">
        <f>IF(Présentation!$E$2="Français",'TRAD-Calculs pédiatriques'!D112,IF(Présentation!$E$2="Anglais",'TRAD-Calculs pédiatriques'!F112,""))</f>
        <v>11 flacons / 4 mois</v>
      </c>
      <c r="D112" s="2555" t="s">
        <v>170</v>
      </c>
      <c r="E112" s="2590"/>
      <c r="F112" s="2584" t="s">
        <v>1364</v>
      </c>
      <c r="G112" s="2584"/>
      <c r="H112" s="2584"/>
      <c r="I112" s="2584"/>
      <c r="J112" s="2637"/>
      <c r="K112" s="2637"/>
    </row>
    <row r="113" spans="2:6" x14ac:dyDescent="0.2">
      <c r="B113" s="2586" t="str">
        <f>IF(Présentation!$E$2="Français",'TRAD-Calculs pédiatriques'!D113,IF(Présentation!$E$2="Anglais",'TRAD-Calculs pédiatriques'!F113,""))</f>
        <v>3 flacons / 2 mois</v>
      </c>
      <c r="D113" s="2555" t="s">
        <v>171</v>
      </c>
      <c r="E113" s="2590"/>
      <c r="F113" s="2558" t="s">
        <v>1365</v>
      </c>
    </row>
    <row r="114" spans="2:6" x14ac:dyDescent="0.2">
      <c r="B114" s="2586" t="str">
        <f>IF(Présentation!$E$2="Français",'TRAD-Calculs pédiatriques'!D114,IF(Présentation!$E$2="Anglais",'TRAD-Calculs pédiatriques'!F114,""))</f>
        <v>1 flacon / mois</v>
      </c>
      <c r="D114" s="2555" t="s">
        <v>172</v>
      </c>
      <c r="E114" s="2590"/>
      <c r="F114" s="2558" t="s">
        <v>1366</v>
      </c>
    </row>
    <row r="115" spans="2:6" x14ac:dyDescent="0.2">
      <c r="B115" s="2586" t="str">
        <f>IF(Présentation!$E$2="Français",'TRAD-Calculs pédiatriques'!D115,IF(Présentation!$E$2="Anglais",'TRAD-Calculs pédiatriques'!F115,""))</f>
        <v>21 boites / 10 mois</v>
      </c>
      <c r="D115" s="2555" t="s">
        <v>173</v>
      </c>
      <c r="E115" s="2590"/>
      <c r="F115" s="2558" t="s">
        <v>1367</v>
      </c>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993366"/>
  </sheetPr>
  <dimension ref="A2:CC56"/>
  <sheetViews>
    <sheetView showGridLines="0" topLeftCell="BM4" zoomScale="70" zoomScaleNormal="70" workbookViewId="0">
      <selection activeCell="A260" sqref="A1:XFD1048576"/>
    </sheetView>
  </sheetViews>
  <sheetFormatPr defaultColWidth="11.42578125" defaultRowHeight="12.75" x14ac:dyDescent="0.2"/>
  <cols>
    <col min="1" max="1" width="4.5703125" style="1889" customWidth="1"/>
    <col min="2" max="2" width="15.42578125" style="1889" bestFit="1" customWidth="1"/>
    <col min="3" max="3" width="7.5703125" style="1889" bestFit="1" customWidth="1"/>
    <col min="4" max="4" width="13.42578125" style="1889" bestFit="1" customWidth="1"/>
    <col min="5" max="5" width="9.5703125" style="1889" bestFit="1" customWidth="1"/>
    <col min="6" max="6" width="15.85546875" style="1889" customWidth="1"/>
    <col min="7" max="7" width="30" style="1889" bestFit="1" customWidth="1"/>
    <col min="8" max="8" width="14.85546875" style="1889" bestFit="1" customWidth="1"/>
    <col min="9" max="9" width="11.28515625" style="1889" bestFit="1" customWidth="1"/>
    <col min="10" max="10" width="11.42578125" style="1889" bestFit="1" customWidth="1"/>
    <col min="11" max="11" width="14.28515625" style="1889" bestFit="1" customWidth="1"/>
    <col min="12" max="12" width="21.7109375" style="1889" bestFit="1" customWidth="1"/>
    <col min="13" max="14" width="21.7109375" style="1889" customWidth="1"/>
    <col min="15" max="15" width="19.140625" style="1890" bestFit="1" customWidth="1"/>
    <col min="16" max="16" width="16.7109375" style="1890" bestFit="1" customWidth="1"/>
    <col min="17" max="17" width="17.5703125" style="1889" bestFit="1" customWidth="1"/>
    <col min="18" max="18" width="16.140625" style="1889" bestFit="1" customWidth="1"/>
    <col min="19" max="19" width="18.28515625" style="1889" bestFit="1" customWidth="1"/>
    <col min="20" max="20" width="17.5703125" style="1889" bestFit="1" customWidth="1"/>
    <col min="21" max="21" width="19" style="1889" bestFit="1" customWidth="1"/>
    <col min="22" max="22" width="18.28515625" style="1890" bestFit="1" customWidth="1"/>
    <col min="23" max="23" width="26.140625" style="1889" bestFit="1" customWidth="1"/>
    <col min="24" max="24" width="16" style="1889" bestFit="1" customWidth="1"/>
    <col min="25" max="25" width="16.140625" style="1889" bestFit="1" customWidth="1"/>
    <col min="26" max="26" width="18.28515625" style="1889" bestFit="1" customWidth="1"/>
    <col min="27" max="27" width="19.28515625" style="1889" customWidth="1"/>
    <col min="28" max="28" width="19.28515625" style="1889" bestFit="1" customWidth="1"/>
    <col min="29" max="29" width="18.7109375" style="1889" bestFit="1" customWidth="1"/>
    <col min="30" max="30" width="18.28515625" style="1889" bestFit="1" customWidth="1"/>
    <col min="31" max="31" width="26.140625" style="1889" bestFit="1" customWidth="1"/>
    <col min="32" max="32" width="15.140625" style="1889" bestFit="1" customWidth="1"/>
    <col min="33" max="33" width="16.140625" style="1889" bestFit="1" customWidth="1"/>
    <col min="34" max="34" width="18.28515625" style="1889" bestFit="1" customWidth="1"/>
    <col min="35" max="35" width="19.28515625" style="1889" customWidth="1"/>
    <col min="36" max="36" width="19.28515625" style="1889" bestFit="1" customWidth="1"/>
    <col min="37" max="37" width="17.5703125" style="1889" bestFit="1" customWidth="1"/>
    <col min="38" max="38" width="18.28515625" style="1889" bestFit="1" customWidth="1"/>
    <col min="39" max="39" width="22.5703125" style="1889" bestFit="1" customWidth="1"/>
    <col min="40" max="40" width="16" style="1889" bestFit="1" customWidth="1"/>
    <col min="41" max="41" width="16.140625" style="1889" bestFit="1" customWidth="1"/>
    <col min="42" max="42" width="18.28515625" style="1889" bestFit="1" customWidth="1"/>
    <col min="43" max="43" width="19.28515625" style="1889" customWidth="1"/>
    <col min="44" max="44" width="19.28515625" style="1889" bestFit="1" customWidth="1"/>
    <col min="45" max="45" width="17.5703125" style="1889" bestFit="1" customWidth="1"/>
    <col min="46" max="47" width="16.28515625" style="1889" bestFit="1" customWidth="1"/>
    <col min="48" max="48" width="15.140625" style="1889" bestFit="1" customWidth="1"/>
    <col min="49" max="49" width="16.140625" style="1889" bestFit="1" customWidth="1"/>
    <col min="50" max="50" width="18.28515625" style="1889" bestFit="1" customWidth="1"/>
    <col min="51" max="51" width="19.28515625" style="1889" customWidth="1"/>
    <col min="52" max="52" width="19.28515625" style="1889" bestFit="1" customWidth="1"/>
    <col min="53" max="53" width="17.5703125" style="1889" bestFit="1" customWidth="1"/>
    <col min="54" max="54" width="16.28515625" style="1889" bestFit="1" customWidth="1"/>
    <col min="55" max="55" width="17.28515625" style="1889" bestFit="1" customWidth="1"/>
    <col min="56" max="56" width="15.140625" style="1889" bestFit="1" customWidth="1"/>
    <col min="57" max="57" width="16.140625" style="1889" bestFit="1" customWidth="1"/>
    <col min="58" max="58" width="18.28515625" style="1889" bestFit="1" customWidth="1"/>
    <col min="59" max="59" width="19.28515625" style="1889" customWidth="1"/>
    <col min="60" max="60" width="19.28515625" style="1889" bestFit="1" customWidth="1"/>
    <col min="61" max="61" width="17.5703125" style="1889" bestFit="1" customWidth="1"/>
    <col min="62" max="62" width="18.28515625" style="1889" bestFit="1" customWidth="1"/>
    <col min="63" max="63" width="26" style="1889" bestFit="1" customWidth="1"/>
    <col min="64" max="64" width="15.140625" style="1889" bestFit="1" customWidth="1"/>
    <col min="65" max="65" width="16.140625" style="1889" bestFit="1" customWidth="1"/>
    <col min="66" max="66" width="18.28515625" style="1889" bestFit="1" customWidth="1"/>
    <col min="67" max="67" width="19.28515625" style="1889" customWidth="1"/>
    <col min="68" max="68" width="19.28515625" style="1889" bestFit="1" customWidth="1"/>
    <col min="69" max="69" width="17.5703125" style="1889" bestFit="1" customWidth="1"/>
    <col min="70" max="70" width="16.140625" style="1889" customWidth="1"/>
    <col min="71" max="71" width="16" style="1889" bestFit="1" customWidth="1"/>
    <col min="72" max="72" width="11.42578125" style="1889"/>
    <col min="73" max="74" width="11.5703125" style="1889" bestFit="1" customWidth="1"/>
    <col min="75" max="75" width="13.140625" style="1891" bestFit="1" customWidth="1"/>
    <col min="76" max="76" width="14" style="1891" bestFit="1" customWidth="1"/>
    <col min="77" max="16384" width="11.42578125" style="1889"/>
  </cols>
  <sheetData>
    <row r="2" spans="1:81" s="358" customFormat="1" ht="15.75" thickBot="1" x14ac:dyDescent="0.25">
      <c r="A2" s="3257" t="str">
        <f>'TRAD-Calculs Péremption FA'!B2</f>
        <v>Evaluation de l'utilisation selon les dates de péremption : Calculs à partir de la file active</v>
      </c>
      <c r="B2" s="3257"/>
      <c r="C2" s="3257"/>
      <c r="D2" s="3257"/>
      <c r="E2" s="3257"/>
      <c r="F2" s="3257"/>
      <c r="G2" s="3257"/>
      <c r="H2" s="3257"/>
      <c r="I2" s="3257"/>
      <c r="J2" s="3257"/>
      <c r="K2" s="3257"/>
      <c r="L2" s="3257"/>
      <c r="M2" s="3257"/>
      <c r="N2" s="3257"/>
      <c r="O2" s="3257"/>
      <c r="P2" s="3257"/>
      <c r="Q2" s="3257"/>
      <c r="S2" s="356"/>
      <c r="BW2" s="1888"/>
      <c r="BX2" s="1888"/>
    </row>
    <row r="3" spans="1:81" ht="13.5" thickBot="1" x14ac:dyDescent="0.25"/>
    <row r="4" spans="1:81" ht="13.5" customHeight="1" thickBot="1" x14ac:dyDescent="0.25">
      <c r="Q4" s="1890"/>
      <c r="R4" s="2533" t="str">
        <f>'TRAD-Calculs Péremption FA'!B3</f>
        <v>Détail des dates de péremption et des Quantités (nb de boites)</v>
      </c>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c r="AR4" s="1893"/>
      <c r="AS4" s="1893"/>
      <c r="AT4" s="1893"/>
      <c r="AU4" s="1893"/>
      <c r="AV4" s="1893"/>
      <c r="AW4" s="1893"/>
      <c r="AX4" s="1893"/>
      <c r="AY4" s="1893"/>
      <c r="AZ4" s="1893"/>
      <c r="BA4" s="1893"/>
      <c r="BB4" s="1893"/>
      <c r="BC4" s="1893"/>
      <c r="BD4" s="1893"/>
      <c r="BE4" s="1893"/>
      <c r="BF4" s="1893"/>
      <c r="BG4" s="1893"/>
      <c r="BH4" s="1893"/>
      <c r="BI4" s="1893"/>
      <c r="BJ4" s="1893"/>
      <c r="BK4" s="1893"/>
      <c r="BL4" s="1893"/>
      <c r="BM4" s="1893"/>
      <c r="BN4" s="1893"/>
      <c r="BO4" s="1893"/>
      <c r="BP4" s="1893"/>
      <c r="BQ4" s="1893"/>
      <c r="BR4" s="1893"/>
      <c r="BS4" s="1893"/>
      <c r="BT4" s="1894"/>
    </row>
    <row r="5" spans="1:81" ht="13.5" thickBot="1" x14ac:dyDescent="0.25">
      <c r="Q5" s="1890" t="str">
        <f>'TRAD-Calculs Péremption FA'!$B$76</f>
        <v>Produit en stock mais sans aucune utilisation</v>
      </c>
      <c r="R5" s="3280" t="str">
        <f>'TRAD-Calculs Péremption FA'!B32</f>
        <v>Calculs avec DLU 1</v>
      </c>
      <c r="S5" s="3281"/>
      <c r="T5" s="3281"/>
      <c r="U5" s="3281"/>
      <c r="V5" s="3281"/>
      <c r="W5" s="3281"/>
      <c r="X5" s="3282"/>
      <c r="Y5" s="3280" t="str">
        <f>'TRAD-Calculs Péremption FA'!B33</f>
        <v>Calculs avec DLU 2</v>
      </c>
      <c r="Z5" s="3281"/>
      <c r="AA5" s="3281"/>
      <c r="AB5" s="3281"/>
      <c r="AC5" s="3281"/>
      <c r="AD5" s="3281"/>
      <c r="AE5" s="3281"/>
      <c r="AF5" s="3282"/>
      <c r="AG5" s="3280" t="str">
        <f>'TRAD-Calculs Péremption FA'!B34</f>
        <v>Calculs avec DLU 3</v>
      </c>
      <c r="AH5" s="3281"/>
      <c r="AI5" s="3281"/>
      <c r="AJ5" s="3281"/>
      <c r="AK5" s="3281"/>
      <c r="AL5" s="3281"/>
      <c r="AM5" s="3281"/>
      <c r="AN5" s="3282"/>
      <c r="AO5" s="3280" t="str">
        <f>'TRAD-Calculs Péremption FA'!B35</f>
        <v>Calculs avec DLU 4</v>
      </c>
      <c r="AP5" s="3281"/>
      <c r="AQ5" s="3281"/>
      <c r="AR5" s="3281"/>
      <c r="AS5" s="3281"/>
      <c r="AT5" s="3281"/>
      <c r="AU5" s="3281"/>
      <c r="AV5" s="3282"/>
      <c r="AW5" s="3280" t="str">
        <f>'TRAD-Calculs Péremption FA'!B36</f>
        <v>Calculs avec DLU 5</v>
      </c>
      <c r="AX5" s="3281"/>
      <c r="AY5" s="3281"/>
      <c r="AZ5" s="3281"/>
      <c r="BA5" s="3281"/>
      <c r="BB5" s="3281"/>
      <c r="BC5" s="3281"/>
      <c r="BD5" s="3282"/>
      <c r="BE5" s="3280" t="str">
        <f>'TRAD-Calculs Péremption FA'!B37</f>
        <v>Calculs avec DLU 6</v>
      </c>
      <c r="BF5" s="3281"/>
      <c r="BG5" s="3281"/>
      <c r="BH5" s="3281"/>
      <c r="BI5" s="3281"/>
      <c r="BJ5" s="3281"/>
      <c r="BK5" s="3281"/>
      <c r="BL5" s="3282"/>
      <c r="BM5" s="3280" t="str">
        <f>'TRAD-Calculs Péremption FA'!B38</f>
        <v>Calculs avec DLU 7</v>
      </c>
      <c r="BN5" s="3281"/>
      <c r="BO5" s="3281"/>
      <c r="BP5" s="3281"/>
      <c r="BQ5" s="3281"/>
      <c r="BR5" s="3281"/>
      <c r="BS5" s="3281"/>
      <c r="BT5" s="3282"/>
    </row>
    <row r="6" spans="1:81" s="2054" customFormat="1" ht="115.5" thickBot="1" x14ac:dyDescent="0.25">
      <c r="B6" s="2055"/>
      <c r="C6" s="2056"/>
      <c r="D6" s="1895" t="str">
        <f>'TRAD-Calculs Péremption FA'!B4</f>
        <v>Composition</v>
      </c>
      <c r="E6" s="1794" t="str">
        <f>'TRAD-Calculs Péremption FA'!B5</f>
        <v>Forme galénique</v>
      </c>
      <c r="F6" s="1794" t="str">
        <f>'TRAD-Calculs Péremption FA'!B6</f>
        <v>Dosage</v>
      </c>
      <c r="G6" s="1794" t="str">
        <f>'TRAD-Calculs Péremption FA'!B7</f>
        <v>DCI</v>
      </c>
      <c r="H6" s="1794" t="str">
        <f>'TRAD-Calculs Péremption FA'!B11</f>
        <v>Nom pour représentation graphique</v>
      </c>
      <c r="I6" s="1794" t="str">
        <f>'TRAD-Calculs Péremption FA'!B13</f>
        <v xml:space="preserve">conditionnement </v>
      </c>
      <c r="J6" s="1896" t="str">
        <f>'TRAD-Calculs Péremption FA'!B14</f>
        <v>conditionnement secondaire</v>
      </c>
      <c r="K6" s="1896" t="str">
        <f>'TRAD-Calculs Péremption FA'!B15</f>
        <v>Prix / boite (US$ - EXW)</v>
      </c>
      <c r="L6" s="1896" t="str">
        <f>'TRAD-Calculs Péremption FA'!B16</f>
        <v>Prix / boite (US$ - EXW+frais de gestion)</v>
      </c>
      <c r="M6" s="2057" t="str">
        <f>'TRAD-Calculs Péremption FA'!B17</f>
        <v>Besoin mensuel patients suivis selon méthode</v>
      </c>
      <c r="N6" s="2057" t="str">
        <f>'TRAD-Calculs Péremption FA'!B18</f>
        <v>Besoin mensuel patients initiés selon méthode</v>
      </c>
      <c r="O6" s="2057" t="str">
        <f>'TRAD-Calculs Péremption FA'!B19</f>
        <v>Quantités en stock central
(nb de boites)</v>
      </c>
      <c r="P6" s="1896" t="str">
        <f>'TRAD-Calculs Péremption FA'!B20</f>
        <v>Indicateur Détail des péremptions du stocks disponible</v>
      </c>
      <c r="Q6" s="1897" t="str">
        <f>'TRAD-Calculs Péremption FA'!B21</f>
        <v>Stock inutilisé</v>
      </c>
      <c r="R6" s="1895" t="str">
        <f>'TRAD-Calculs Péremption FA'!B22</f>
        <v>Date de péremption 
1</v>
      </c>
      <c r="S6" s="1794" t="str">
        <f>'TRAD-Calculs Péremption FA'!B23</f>
        <v>Quantités 
(nb de boites) 
1</v>
      </c>
      <c r="T6" s="1896" t="str">
        <f>'TRAD-Calculs Péremption FA'!B24</f>
        <v>Durée d'utilisation (date péremption-date estimation) (nb de mois 30 j)</v>
      </c>
      <c r="U6" s="1896" t="str">
        <f>'TRAD-Calculs Péremption FA'!B25</f>
        <v>Estimation Quantités nécessaires pour la période (nb de boites)</v>
      </c>
      <c r="V6" s="1896" t="str">
        <f>'TRAD-Calculs Péremption FA'!B26</f>
        <v>Quantités du surstock (+) ou des besoins jusqu'à la DLU (-) (nb de boites)</v>
      </c>
      <c r="W6" s="1896" t="str">
        <f>'TRAD-Calculs Péremption FA'!B27</f>
        <v xml:space="preserve">Indicateur </v>
      </c>
      <c r="X6" s="1898" t="str">
        <f>'TRAD-Calculs Péremption FA'!B28</f>
        <v>Montant de la perte ($)</v>
      </c>
      <c r="Y6" s="1895" t="str">
        <f>'TRAD-Calculs Péremption FA'!B29</f>
        <v>Date de péremption 2</v>
      </c>
      <c r="Z6" s="1794" t="str">
        <f>'TRAD-Calculs Péremption FA'!B30</f>
        <v>Quantités (nb de boites) 2</v>
      </c>
      <c r="AA6" s="1896" t="str">
        <f>'TRAD-Calculs Péremption FA'!B31</f>
        <v>Quantités totales des lots 1&amp;2 non périmés à la date de péremption précédente</v>
      </c>
      <c r="AB6" s="1896" t="str">
        <f>'TRAD-Calculs Péremption FA'!B24</f>
        <v>Durée d'utilisation (date péremption-date estimation) (nb de mois 30 j)</v>
      </c>
      <c r="AC6" s="1896" t="str">
        <f>'TRAD-Calculs Péremption FA'!B39</f>
        <v xml:space="preserve">Estimation Quantités totales nécessaires pour la période date estimation - DLU2 (nb de boites) </v>
      </c>
      <c r="AD6" s="1896" t="str">
        <f>'TRAD-Calculs Péremption FA'!B26</f>
        <v>Quantités du surstock (+) ou des besoins jusqu'à la DLU (-) (nb de boites)</v>
      </c>
      <c r="AE6" s="1896" t="str">
        <f>'TRAD-Calculs Péremption FA'!B27</f>
        <v xml:space="preserve">Indicateur </v>
      </c>
      <c r="AF6" s="1898" t="str">
        <f>'TRAD-Calculs Péremption FA'!B28</f>
        <v>Montant de la perte ($)</v>
      </c>
      <c r="AG6" s="1895" t="str">
        <f>'TRAD-Calculs Péremption FA'!B40</f>
        <v>Date de péremption  3</v>
      </c>
      <c r="AH6" s="1794" t="str">
        <f>'TRAD-Calculs Péremption FA'!B41</f>
        <v>Quantités (nb de boites) 3</v>
      </c>
      <c r="AI6" s="1896" t="str">
        <f>'TRAD-Calculs Péremption FA'!B42</f>
        <v>Quantités totales des lots 1,2&amp;3 non périmés à la date de péremption précédente</v>
      </c>
      <c r="AJ6" s="1896" t="str">
        <f>'TRAD-Calculs Péremption FA'!B24</f>
        <v>Durée d'utilisation (date péremption-date estimation) (nb de mois 30 j)</v>
      </c>
      <c r="AK6" s="1896" t="str">
        <f>'TRAD-Calculs Péremption FA'!B43</f>
        <v xml:space="preserve">Estimation Quantités totales nécessaires pour la période date estimation - DLU3 (nb de boites) </v>
      </c>
      <c r="AL6" s="1896" t="str">
        <f>'TRAD-Calculs Péremption FA'!B26</f>
        <v>Quantités du surstock (+) ou des besoins jusqu'à la DLU (-) (nb de boites)</v>
      </c>
      <c r="AM6" s="1896" t="str">
        <f>'TRAD-Calculs Péremption FA'!B27</f>
        <v xml:space="preserve">Indicateur </v>
      </c>
      <c r="AN6" s="1898" t="str">
        <f>'TRAD-Calculs Péremption FA'!B28</f>
        <v>Montant de la perte ($)</v>
      </c>
      <c r="AO6" s="1895" t="str">
        <f>'TRAD-Calculs Péremption FA'!B44</f>
        <v>Date de péremption 4</v>
      </c>
      <c r="AP6" s="1794" t="str">
        <f>'TRAD-Calculs Péremption FA'!B45</f>
        <v>Quantités (nb de boites) 4</v>
      </c>
      <c r="AQ6" s="1896" t="str">
        <f>'TRAD-Calculs Péremption FA'!B46</f>
        <v>Quantités totales des lots 1,2,3&amp;4 non périmés à la date de péremption précédente</v>
      </c>
      <c r="AR6" s="1896" t="str">
        <f>'TRAD-Calculs Péremption FA'!B24</f>
        <v>Durée d'utilisation (date péremption-date estimation) (nb de mois 30 j)</v>
      </c>
      <c r="AS6" s="1896" t="str">
        <f>'TRAD-Calculs Péremption FA'!B47</f>
        <v xml:space="preserve">Estimation Quantités totales nécessaires pour la période date estimation - DLU4 (nb de boites) </v>
      </c>
      <c r="AT6" s="1896" t="str">
        <f>'TRAD-Calculs Péremption FA'!B26</f>
        <v>Quantités du surstock (+) ou des besoins jusqu'à la DLU (-) (nb de boites)</v>
      </c>
      <c r="AU6" s="1896" t="str">
        <f>'TRAD-Calculs Péremption FA'!B27</f>
        <v xml:space="preserve">Indicateur </v>
      </c>
      <c r="AV6" s="1898" t="str">
        <f>'TRAD-Calculs Péremption FA'!B28</f>
        <v>Montant de la perte ($)</v>
      </c>
      <c r="AW6" s="1895" t="str">
        <f>'TRAD-Calculs Péremption FA'!B50</f>
        <v>Date de péremption 5</v>
      </c>
      <c r="AX6" s="1794" t="str">
        <f>'TRAD-Calculs Péremption FA'!B48</f>
        <v>Quantités (nb de boites) 5</v>
      </c>
      <c r="AY6" s="1896" t="str">
        <f>'TRAD-Calculs Péremption FA'!B49</f>
        <v>Quantités totales des lots 1,2,3,4&amp;5 non périmés à la date de péremption précédente</v>
      </c>
      <c r="AZ6" s="1896" t="str">
        <f>'TRAD-Calculs Péremption FA'!B24</f>
        <v>Durée d'utilisation (date péremption-date estimation) (nb de mois 30 j)</v>
      </c>
      <c r="BA6" s="1896" t="str">
        <f>'TRAD-Calculs Péremption FA'!B52</f>
        <v xml:space="preserve">Estimation Quantités totales nécessaires pour la période date estimation - DLU5 (nb de boites) </v>
      </c>
      <c r="BB6" s="1896" t="str">
        <f>'TRAD-Calculs Péremption FA'!B26</f>
        <v>Quantités du surstock (+) ou des besoins jusqu'à la DLU (-) (nb de boites)</v>
      </c>
      <c r="BC6" s="1896" t="str">
        <f>'TRAD-Calculs Péremption FA'!B27</f>
        <v xml:space="preserve">Indicateur </v>
      </c>
      <c r="BD6" s="1898" t="str">
        <f>'TRAD-Calculs Péremption FA'!B28</f>
        <v>Montant de la perte ($)</v>
      </c>
      <c r="BE6" s="1895" t="str">
        <f>'TRAD-Calculs Péremption FA'!B54</f>
        <v>Date de péremption 6</v>
      </c>
      <c r="BF6" s="1794" t="str">
        <f>'TRAD-Calculs Péremption FA'!B53</f>
        <v>Quantités (nb de boites) 6</v>
      </c>
      <c r="BG6" s="1896" t="str">
        <f>'TRAD-Calculs Péremption FA'!B55</f>
        <v>Quantités totales des lots 1,2,3,4,5&amp;6 non périmés à la date de péremption précédente</v>
      </c>
      <c r="BH6" s="1896" t="str">
        <f>'TRAD-Calculs Péremption FA'!B24</f>
        <v>Durée d'utilisation (date péremption-date estimation) (nb de mois 30 j)</v>
      </c>
      <c r="BI6" s="1896" t="str">
        <f>'TRAD-Calculs Péremption FA'!B56</f>
        <v xml:space="preserve">Estimation Quantités totales nécessaires pour la période date estimation - DLU6 (nb de boites) </v>
      </c>
      <c r="BJ6" s="1896" t="str">
        <f>'TRAD-Calculs Péremption FA'!B26</f>
        <v>Quantités du surstock (+) ou des besoins jusqu'à la DLU (-) (nb de boites)</v>
      </c>
      <c r="BK6" s="1896" t="str">
        <f>'TRAD-Calculs Péremption FA'!B27</f>
        <v xml:space="preserve">Indicateur </v>
      </c>
      <c r="BL6" s="1898" t="str">
        <f>'TRAD-Calculs Péremption FA'!B28</f>
        <v>Montant de la perte ($)</v>
      </c>
      <c r="BM6" s="1895" t="str">
        <f>'TRAD-Calculs Péremption FA'!B59</f>
        <v>Date de péremption 7</v>
      </c>
      <c r="BN6" s="1794" t="str">
        <f>'TRAD-Calculs Péremption FA'!B57</f>
        <v>Quantités  (nb de boites) 7</v>
      </c>
      <c r="BO6" s="1896" t="str">
        <f>'TRAD-Calculs Péremption FA'!B58</f>
        <v>Quantités totales des lots 1,2,3,4,5,6&amp;7 non périmés à la date de péremption précédente</v>
      </c>
      <c r="BP6" s="1896" t="str">
        <f>'TRAD-Calculs Péremption FA'!B24</f>
        <v>Durée d'utilisation (date péremption-date estimation) (nb de mois 30 j)</v>
      </c>
      <c r="BQ6" s="1896" t="str">
        <f>'TRAD-Calculs Péremption FA'!B60</f>
        <v xml:space="preserve">Estimation Quantités totales nécessaires pour la période date estimation - DLU7 (nb de boites) </v>
      </c>
      <c r="BR6" s="1896" t="str">
        <f>'TRAD-Calculs Péremption FA'!B26</f>
        <v>Quantités du surstock (+) ou des besoins jusqu'à la DLU (-) (nb de boites)</v>
      </c>
      <c r="BS6" s="1896" t="str">
        <f>'TRAD-Calculs Péremption FA'!B27</f>
        <v xml:space="preserve">Indicateur </v>
      </c>
      <c r="BT6" s="1898" t="str">
        <f>'TRAD-Calculs Péremption FA'!B28</f>
        <v>Montant de la perte ($)</v>
      </c>
      <c r="BU6" s="1794" t="str">
        <f>'TRAD-Calculs Péremption FA'!B61</f>
        <v>Quantités totales UTILISABLES (nb cdt) selon paramétrage</v>
      </c>
      <c r="BV6" s="1794" t="str">
        <f>'TRAD-Calculs Péremption FA'!B62</f>
        <v>Pertes totales (nb cdt)</v>
      </c>
      <c r="BW6" s="1899" t="str">
        <f>'TRAD-Calculs Péremption FA'!B63</f>
        <v>Date de péremption maximale stock utilisable</v>
      </c>
      <c r="BX6" s="1899" t="str">
        <f>'TRAD-Calculs Péremption FA'!B64</f>
        <v>DLU Max ou calculée à partir de durée d'utilisation (date péremption-date estimation) saisie</v>
      </c>
      <c r="BY6" s="1794" t="str">
        <f>'TRAD-Calculs Péremption FA'!B65</f>
        <v>Jour</v>
      </c>
      <c r="BZ6" s="1794" t="str">
        <f>'TRAD-Calculs Péremption FA'!B66</f>
        <v>Mois</v>
      </c>
      <c r="CA6" s="1794" t="str">
        <f>'TRAD-Calculs Péremption FA'!B67</f>
        <v>Année</v>
      </c>
      <c r="CB6" s="1794" t="str">
        <f>'TRAD-Calculs Péremption FA'!B68</f>
        <v>Délai Aujdhui / DLU MAX (Mois)</v>
      </c>
      <c r="CC6" s="1794" t="str">
        <f>'TRAD-Calculs Péremption FA'!B69</f>
        <v>Indicateur si durée de vie max</v>
      </c>
    </row>
    <row r="7" spans="1:81" ht="51" customHeight="1" x14ac:dyDescent="0.2">
      <c r="B7" s="366" t="str">
        <f>'TRAD-Calculs Péremption FA'!B8</f>
        <v>Comprimés</v>
      </c>
      <c r="C7" s="367" t="s">
        <v>15</v>
      </c>
      <c r="D7" s="1900" t="s">
        <v>1</v>
      </c>
      <c r="E7" s="1901" t="str">
        <f>'TRAD-Calculs Péremption FA'!B9</f>
        <v>Cp</v>
      </c>
      <c r="F7" s="1901" t="s">
        <v>17</v>
      </c>
      <c r="G7" s="369" t="s">
        <v>639</v>
      </c>
      <c r="H7" s="371" t="str">
        <f>CONCATENATE(D7, " - ", F7)</f>
        <v>AZT+3TC+NVP - 300/150/200 mg</v>
      </c>
      <c r="I7" s="113">
        <v>60</v>
      </c>
      <c r="J7" s="656"/>
      <c r="K7" s="755">
        <f>IF('TdB Péremptions'!$H$9="X", 'Prix 10-2011 GPRM $'!$O$27, IF('TdB Péremptions'!$H$10="X", 'Prix 10-2011 GPRM $'!$Q$27, IF('TdB Péremptions'!$H$11="X", 'Prix VPP 102012 convert'!$O$27, IF('TdB Péremptions'!$H$12="X", 'Prix VPP 102012 convert'!$Q$27, IF('TdB Péremptions'!$H$13="X", 'Prix spécifiques'!$J$7, 0)))))</f>
        <v>12.364999999999998</v>
      </c>
      <c r="L7" s="755">
        <f>(1+'TdB Péremptions'!$H$14)*K7</f>
        <v>13.6015</v>
      </c>
      <c r="M7" s="1902">
        <f>Calculs!O153</f>
        <v>0</v>
      </c>
      <c r="N7" s="1902">
        <f>Calculs!N207</f>
        <v>0</v>
      </c>
      <c r="O7" s="1902">
        <f>'Saisie données stocks'!N19</f>
        <v>62923</v>
      </c>
      <c r="P7" s="1903" t="str">
        <f>IF(SUM('Saisie données stocks'!R19+'Saisie données stocks'!T19+'Saisie données stocks'!V19+'Saisie données stocks'!X19+'Saisie données stocks'!Z19+'Saisie données stocks'!AB19+'Saisie données stocks'!AD19)='Calculs Péremption FA'!O7,  "OK", 'TRAD-Saisie données stocks'!$B$70)</f>
        <v>OK</v>
      </c>
      <c r="Q7" s="1904" t="str">
        <f>IF(AND(O7&gt;0, M7=0, N7=0), 'TRAD-Calculs Péremption FA'!$B$76, "")</f>
        <v>Produit en stock mais sans aucune utilisation</v>
      </c>
      <c r="R7" s="1905">
        <f>'Saisie données stocks'!Q19</f>
        <v>42856</v>
      </c>
      <c r="S7" s="1906">
        <f>'Saisie données stocks'!R19</f>
        <v>62923</v>
      </c>
      <c r="T7" s="1907">
        <f>IF(AND(R7=0, S7=0), "ND", IF((R7-Paramétrage!$H$19)&gt;0, (R7-Paramétrage!$H$19)/(365/12), "Date non renseignée ou produit périmé"))</f>
        <v>30.805479452054794</v>
      </c>
      <c r="U7" s="1908">
        <f>IF(ISERROR(T7*M7+(N7*(T7*(T7+1)/2))), "ND", (T7*M7+(N7*(T7*(T7+1)/2))))</f>
        <v>0</v>
      </c>
      <c r="V7" s="1908">
        <f t="shared" ref="V7" si="0">IF(ISERROR(S7-U7), "ND", (S7-U7))</f>
        <v>62923</v>
      </c>
      <c r="W7" s="1907" t="str">
        <f t="shared" ref="W7" si="1">IF(V7="ND", "ND", IF(V7&gt;0, "ATTENTION SURSTOCK et risque de péremption", "OK"))</f>
        <v>ATTENTION SURSTOCK et risque de péremption</v>
      </c>
      <c r="X7" s="1909">
        <f t="shared" ref="X7" si="2">IF(V7="ND", "ND", IF(V7&gt;0, V7*$L7, ""))</f>
        <v>855847.18449999997</v>
      </c>
      <c r="Y7" s="1905">
        <f>'Saisie données stocks'!S19</f>
        <v>0</v>
      </c>
      <c r="Z7" s="1906">
        <f>'Saisie données stocks'!T19</f>
        <v>0</v>
      </c>
      <c r="AA7" s="1907">
        <f>IF(AND(V7&gt;0, ISNUMBER(V7)), (Z7+S7-V7), (Z7+S7))</f>
        <v>0</v>
      </c>
      <c r="AB7" s="1907" t="str">
        <f>IF(AND(Y7=0, Z7=0), "ND", IF((Y7-Paramétrage!$H$19)&gt;0, (Y7-Paramétrage!$H$19)/(365/12), "Date non renseignée ou produit périmé"))</f>
        <v>ND</v>
      </c>
      <c r="AC7" s="1907" t="str">
        <f>IF(ISERROR(AB7*M7+(N7*(AB7*(AB7+1)/2))), "ND", AB7*M7+(N7*(AB7*(AB7+1)/2)))</f>
        <v>ND</v>
      </c>
      <c r="AD7" s="1910" t="str">
        <f>IF(AND(ISNUMBER(AA7), ISNUMBER(AC7)), (AA7-AC7), "ND")</f>
        <v>ND</v>
      </c>
      <c r="AE7" s="1907" t="str">
        <f t="shared" ref="AE7" si="3">IF(AD7="ND", "ND", IF(AD7&gt;0, "ATTENTION SURSTOCK et risque de péremption", "OK"))</f>
        <v>ND</v>
      </c>
      <c r="AF7" s="1909" t="str">
        <f t="shared" ref="AF7" si="4">IF(AD7="ND", "ND", IF(AD7&gt;0, AD7*$L7, ""))</f>
        <v>ND</v>
      </c>
      <c r="AG7" s="1905">
        <f>'Saisie données stocks'!U19</f>
        <v>0</v>
      </c>
      <c r="AH7" s="1906">
        <f>'Saisie données stocks'!V19</f>
        <v>0</v>
      </c>
      <c r="AI7" s="1907">
        <f>IF(AND(AD7&gt;0, ISNUMBER(AD7)), (AA7+AH7-AD7), (AA7+AH7))</f>
        <v>0</v>
      </c>
      <c r="AJ7" s="1907" t="str">
        <f>IF(AND(AG7=0, AH7=0), "ND", IF((AG7-Paramétrage!$H$19)&gt;0, (AG7-Paramétrage!$H$19)/(365/12), "Date non renseignée ou produit périmé"))</f>
        <v>ND</v>
      </c>
      <c r="AK7" s="1907" t="str">
        <f>IF(ISERROR(AJ7*M7+(N7*(AJ7*(AJ7+1)/2))), "ND", AJ7*M7+(N7*(AJ7*(AJ7+1)/2)))</f>
        <v>ND</v>
      </c>
      <c r="AL7" s="1910" t="str">
        <f>IF(AND(ISNUMBER(AI7), ISNUMBER(AK7)), (AI7-AK7), "ND")</f>
        <v>ND</v>
      </c>
      <c r="AM7" s="1907" t="str">
        <f t="shared" ref="AM7" si="5">IF(AL7="ND", "ND", IF(AL7&gt;0, "ATTENTION SURSTOCK et risque de péremption", "OK"))</f>
        <v>ND</v>
      </c>
      <c r="AN7" s="1909" t="str">
        <f t="shared" ref="AN7" si="6">IF(AL7="ND", "ND", IF(AL7&gt;0, AL7*$L7, ""))</f>
        <v>ND</v>
      </c>
      <c r="AO7" s="1905">
        <f>'Saisie données stocks'!W19</f>
        <v>0</v>
      </c>
      <c r="AP7" s="1906">
        <f>'Saisie données stocks'!X19</f>
        <v>0</v>
      </c>
      <c r="AQ7" s="1907">
        <f>IF(AND(AL7&gt;0, ISNUMBER(AL7)), (AI7+AP7-AL7), (AI7+AP7))</f>
        <v>0</v>
      </c>
      <c r="AR7" s="1907" t="str">
        <f>IF(AND(AO7=0, AP7=0), "ND", IF((AO7-Paramétrage!$H$19)&gt;0, (AO7-Paramétrage!$H$19)/(365/12), "Date non renseignée ou produit périmé"))</f>
        <v>ND</v>
      </c>
      <c r="AS7" s="1907" t="str">
        <f>IF(ISERROR(AR7*M7+(N7*(AR7*(AR7+1)/2))), "ND", AR7*M7+(N7*(AR7*(AR7+1)/2)))</f>
        <v>ND</v>
      </c>
      <c r="AT7" s="1910" t="str">
        <f>IF(AND(ISNUMBER(AQ7), ISNUMBER(AS7)), (AQ7-AS7), "ND")</f>
        <v>ND</v>
      </c>
      <c r="AU7" s="1910" t="str">
        <f t="shared" ref="AU7" si="7">IF(AT7="ND", "ND", IF(AT7&gt;0, "ATTENTION SURSTOCK et risque de péremption", "OK"))</f>
        <v>ND</v>
      </c>
      <c r="AV7" s="1909" t="str">
        <f t="shared" ref="AV7" si="8">IF(AT7="ND", "ND", IF(AT7&gt;0, AT7*$L7, ""))</f>
        <v>ND</v>
      </c>
      <c r="AW7" s="1905">
        <f>'Saisie données stocks'!Y19</f>
        <v>0</v>
      </c>
      <c r="AX7" s="1906">
        <f>'Saisie données stocks'!Z19</f>
        <v>0</v>
      </c>
      <c r="AY7" s="1907">
        <f>IF(AND(AT7&gt;0, ISNUMBER(AT7)), (AQ7+AX7-AT7), (AQ7+AX7))</f>
        <v>0</v>
      </c>
      <c r="AZ7" s="1907" t="str">
        <f>IF(AND(AW7=0, AX7=0), "ND", IF((AW7-Paramétrage!$H$19)&gt;0, (AW7-Paramétrage!$H$19)/(365/12), "Date non renseignée ou produit périmé"))</f>
        <v>ND</v>
      </c>
      <c r="BA7" s="1907" t="str">
        <f>IF(ISERROR(AZ7*M7+(N7*(AZ7*(AZ7+1)/2))), "ND", AZ7*M7+(N7*(AZ7*(AZ7+1)/2)))</f>
        <v>ND</v>
      </c>
      <c r="BB7" s="1910" t="str">
        <f>IF(AND(ISNUMBER(AY7), ISNUMBER(BA7)), (AY7-BA7), "ND")</f>
        <v>ND</v>
      </c>
      <c r="BC7" s="1910" t="str">
        <f t="shared" ref="BC7" si="9">IF(BB7="ND", "ND", IF(BB7&gt;0, "ATTENTION SURSTOCK et risque de péremption", "OK"))</f>
        <v>ND</v>
      </c>
      <c r="BD7" s="1909" t="str">
        <f t="shared" ref="BD7" si="10">IF(BB7="ND", "ND", IF(BB7&gt;0, BB7*$L7, ""))</f>
        <v>ND</v>
      </c>
      <c r="BE7" s="1905">
        <f>'Saisie données stocks'!AA19</f>
        <v>0</v>
      </c>
      <c r="BF7" s="1906">
        <f>'Saisie données stocks'!AB19</f>
        <v>0</v>
      </c>
      <c r="BG7" s="1907">
        <f>IF(AND(BB7&gt;0, ISNUMBER(BB7)), (AY7+BF7-BB7), (AY7+BF7))</f>
        <v>0</v>
      </c>
      <c r="BH7" s="1907" t="str">
        <f>IF(AND(BE7=0, BF7=0), "ND", IF((BE7-Paramétrage!$H$19)&gt;0, (BE7-Paramétrage!$H$19)/(365/12), "Date non renseignée ou produit périmé"))</f>
        <v>ND</v>
      </c>
      <c r="BI7" s="1907" t="str">
        <f>IF(ISERROR(BH7*M7+(N7*(BH7*(BH7+1)/2))), "ND", BH7*M7+(N7*(BH7*(BH7+1)/2)))</f>
        <v>ND</v>
      </c>
      <c r="BJ7" s="1910" t="str">
        <f>IF(AND(ISNUMBER(BG7), ISNUMBER(BI7)), (BG7-BI7), "ND")</f>
        <v>ND</v>
      </c>
      <c r="BK7" s="1910" t="str">
        <f t="shared" ref="BK7" si="11">IF(BJ7="ND", "ND", IF(BJ7&gt;0, "ATTENTION SURSTOCK et risque de péremption", "OK"))</f>
        <v>ND</v>
      </c>
      <c r="BL7" s="1909" t="str">
        <f t="shared" ref="BL7" si="12">IF(BJ7="ND", "ND", IF(BJ7&gt;0, BJ7*$L7, ""))</f>
        <v>ND</v>
      </c>
      <c r="BM7" s="1905">
        <f>'Saisie données stocks'!AC19</f>
        <v>0</v>
      </c>
      <c r="BN7" s="1906">
        <f>'Saisie données stocks'!AD19</f>
        <v>0</v>
      </c>
      <c r="BO7" s="1907">
        <f>IF(AND(BJ7&gt;0, ISNUMBER(BJ7)), (BG7+BN7-BJ7), (BG7+BN7))</f>
        <v>0</v>
      </c>
      <c r="BP7" s="1907" t="str">
        <f>IF(AND(BM7=0, BN7=0), "ND", IF((BM7-Paramétrage!$H$19)&gt;0, (BM7-Paramétrage!$H$19)/(365/12), "Date non renseignée ou produit périmé"))</f>
        <v>ND</v>
      </c>
      <c r="BQ7" s="1907" t="str">
        <f>IF(ISERROR(BP7*M7+(N7*(BP7*(BP7+1)/2))), "ND", BP7*M7+(N7*(BP7*(BP7+1)/2)))</f>
        <v>ND</v>
      </c>
      <c r="BR7" s="1910" t="str">
        <f>IF(AND(ISNUMBER(BO7), ISNUMBER(BQ7)), (BO7-BQ7), "ND")</f>
        <v>ND</v>
      </c>
      <c r="BS7" s="1910" t="str">
        <f>IF(BR7="ND", "ND", IF(BR7&gt;0,'TRAD-Calculs Péremption FA'!$B$73, "OK"))</f>
        <v>ND</v>
      </c>
      <c r="BT7" s="1909" t="str">
        <f t="shared" ref="BT7" si="13">IF(BR7="ND", "ND", IF(BR7&gt;0, BR7*$L7, ""))</f>
        <v>ND</v>
      </c>
      <c r="BU7" s="1911">
        <f>IF('Saisie données stocks'!$O$10='TRAD-Saisie données stocks'!$B$51, IF(P7="OK", IF(AND(BR7&gt;0, ISNUMBER(BR7)), (BO7-BR7), (BO7)), O7), O7)</f>
        <v>0</v>
      </c>
      <c r="BV7" s="1911">
        <f>ROUNDUP(IF(AND(BR7&gt;0, ISNUMBER(BR7)), BR7, "0")+IF(AND(BJ7&gt;0, ISNUMBER(BJ7)), BJ7, "0")+IF(AND(BB7&gt;0, ISNUMBER(BB7)), BB7, "0")+IF(AND(AT7&gt;0, ISNUMBER(AT7)), AT7, "0")+IF(AND(AL7&gt;0, ISNUMBER(AL7)), AL7, "0")+IF(AND(AD7&gt;0, ISNUMBER(AD7)), AD7, "0")+IF(AND(V7&gt;0, ISNUMBER(V7)), V7, "0"), 0)</f>
        <v>62923</v>
      </c>
      <c r="BW7" s="2042">
        <f>IF(BU7=O7,"",IF(AND(BR7&gt;0, ISNUMBER(BR7)),BM7,IF(AND(BJ7&gt;0, ISNUMBER(BJ7)), BE7, IF(AND(BB7&gt;0, ISNUMBER(BB7)), AW7,IF(AND(AT7&gt;0, ISNUMBER(AT7)),AO7,IF(AND(AL7&gt;0, ISNUMBER(AL7)),AG7,IF(AND(AD7&gt;0, ISNUMBER(AD7)),Y7,IF(AND(V7&gt;0, ISNUMBER(V7)),R7,""))))))))</f>
        <v>42856</v>
      </c>
      <c r="BX7" s="2042">
        <f>IF('Saisie données stocks'!$O$10='TRAD-Saisie données stocks'!$B$51, IF('Calculs Péremption FA'!P7="OK", IF(BU7=O7, MAX(Paramétrage!$H$19+('Saisie données stocks'!$N$14*(365/12)), BM7, BE7, AW7, AO7, AG7, Y7, R7), BW7), Paramétrage!$H$19+('Saisie données stocks'!$N$14*(365/12))), Paramétrage!$H$19+('Saisie données stocks'!$N$14*(365/12)))</f>
        <v>42856</v>
      </c>
      <c r="BY7" s="2043">
        <f t="shared" ref="BY7" si="14">IF(BX7="", "", DAY(BX7))</f>
        <v>1</v>
      </c>
      <c r="BZ7" s="2043">
        <f t="shared" ref="BZ7" si="15">IF(BX7="", "", MONTH(BX7))</f>
        <v>5</v>
      </c>
      <c r="CA7" s="2043">
        <f t="shared" ref="CA7" si="16">IF(BX7="", "", YEAR(BX7))</f>
        <v>2017</v>
      </c>
      <c r="CB7" s="2043">
        <f>IF(BX7="", "", (BX7-Paramétrage!$H$19)/(365/12))</f>
        <v>30.805479452054794</v>
      </c>
      <c r="CC7" s="2043" t="str">
        <f>IF(CB7='Saisie données stocks'!N$14, 'TRAD-Calculs Péremption FA'!$B$74, CONCATENATE("DLU - ", BY7, "/", BZ7, "/", CA7))</f>
        <v>DLU - 1/5/2017</v>
      </c>
    </row>
    <row r="8" spans="1:81" ht="38.25" x14ac:dyDescent="0.2">
      <c r="B8" s="374"/>
      <c r="C8" s="375"/>
      <c r="D8" s="1912" t="s">
        <v>1</v>
      </c>
      <c r="E8" s="1913" t="str">
        <f>'TRAD-Calculs Péremption FA'!B9</f>
        <v>Cp</v>
      </c>
      <c r="F8" s="1913" t="s">
        <v>258</v>
      </c>
      <c r="G8" s="1914" t="s">
        <v>639</v>
      </c>
      <c r="H8" s="1915" t="str">
        <f t="shared" ref="H8:H47" si="17">CONCATENATE(D8, " - ", F8)</f>
        <v>AZT+3TC+NVP - 60/30/50 mg</v>
      </c>
      <c r="I8" s="505">
        <v>60</v>
      </c>
      <c r="J8" s="657"/>
      <c r="K8" s="756">
        <f>IF('TdB Péremptions'!$H$9="X", 'Prix 10-2011 GPRM $'!$O$124, IF('TdB Péremptions'!$H$10="X", 'Prix 10-2011 GPRM $'!$Q$124, IF('TdB Péremptions'!$H$11="X", 'Prix VPP 102012 convert'!$O$124, IF('TdB Péremptions'!$H$12="X", 'Prix VPP 102012 convert'!$Q$124, IF('TdB Péremptions'!$H$13="X", 'Prix spécifiques'!$J$8, 0)))))</f>
        <v>4.1500000000000004</v>
      </c>
      <c r="L8" s="756">
        <f>(1+'TdB Péremptions'!$H$14)*K8</f>
        <v>4.5650000000000004</v>
      </c>
      <c r="M8" s="1916">
        <f>Calculs!O154</f>
        <v>0</v>
      </c>
      <c r="N8" s="1916">
        <f>Calculs!N208</f>
        <v>0</v>
      </c>
      <c r="O8" s="1916">
        <f>'Saisie données stocks'!N20</f>
        <v>1032</v>
      </c>
      <c r="P8" s="1917" t="str">
        <f>IF(SUM('Saisie données stocks'!R20+'Saisie données stocks'!T20+'Saisie données stocks'!V20+'Saisie données stocks'!X20+'Saisie données stocks'!Z20+'Saisie données stocks'!AB20+'Saisie données stocks'!AD20)='Calculs Péremption FA'!O8,  "OK", 'TRAD-Saisie données stocks'!$B$70)</f>
        <v>OK</v>
      </c>
      <c r="Q8" s="1918" t="str">
        <f>IF(AND(O8&gt;0, M8=0, N8=0), 'TRAD-Calculs Péremption FA'!$B$76, "")</f>
        <v>Produit en stock mais sans aucune utilisation</v>
      </c>
      <c r="R8" s="1919">
        <f>'Saisie données stocks'!Q20</f>
        <v>42339</v>
      </c>
      <c r="S8" s="1920">
        <f>'Saisie données stocks'!R20</f>
        <v>1032</v>
      </c>
      <c r="T8" s="1921">
        <f>IF(AND(R8=0, S8=0), "ND", IF((R8-Paramétrage!$H$19)&gt;0, (R8-Paramétrage!$H$19)/(365/12), "Date non renseignée ou produit périmé"))</f>
        <v>13.808219178082192</v>
      </c>
      <c r="U8" s="1922">
        <f t="shared" ref="U8:U47" si="18">IF(ISERROR(T8*M8+(N8*(T8*(T8+1)/2))), "ND", (T8*M8+(N8*(T8*(T8+1)/2))))</f>
        <v>0</v>
      </c>
      <c r="V8" s="1922">
        <f t="shared" ref="V8:V47" si="19">IF(ISERROR(S8-U8), "ND", (S8-U8))</f>
        <v>1032</v>
      </c>
      <c r="W8" s="1921" t="str">
        <f t="shared" ref="W8:W47" si="20">IF(V8="ND", "ND", IF(V8&gt;0, "ATTENTION SURSTOCK et risque de péremption", "OK"))</f>
        <v>ATTENTION SURSTOCK et risque de péremption</v>
      </c>
      <c r="X8" s="1924">
        <f t="shared" ref="X8:X47" si="21">IF(V8="ND", "ND", IF(V8&gt;0, V8*$L8, ""))</f>
        <v>4711.0800000000008</v>
      </c>
      <c r="Y8" s="1919">
        <f>'Saisie données stocks'!S20</f>
        <v>0</v>
      </c>
      <c r="Z8" s="1920">
        <f>'Saisie données stocks'!T20</f>
        <v>0</v>
      </c>
      <c r="AA8" s="1923">
        <f t="shared" ref="AA8:AA47" si="22">IF(AND(V8&gt;0, ISNUMBER(V8)), (Z8+S8-V8), (Z8+S8))</f>
        <v>0</v>
      </c>
      <c r="AB8" s="1923" t="str">
        <f>IF(AND(Y8=0, Z8=0), "ND", IF((Y8-Paramétrage!$H$19)&gt;0, (Y8-Paramétrage!$H$19)/(365/12), "Date non renseignée ou produit périmé"))</f>
        <v>ND</v>
      </c>
      <c r="AC8" s="1923" t="str">
        <f t="shared" ref="AC8:AC47" si="23">IF(ISERROR(AB8*M8+(N8*(AB8*(AB8+1)/2))), "ND", AB8*M8+(N8*(AB8*(AB8+1)/2)))</f>
        <v>ND</v>
      </c>
      <c r="AD8" s="1923" t="str">
        <f t="shared" ref="AD8:AD47" si="24">IF(AND(ISNUMBER(AA8), ISNUMBER(AC8)), (AA8-AC8), "ND")</f>
        <v>ND</v>
      </c>
      <c r="AE8" s="1921" t="str">
        <f t="shared" ref="AE8:AE47" si="25">IF(AD8="ND", "ND", IF(AD8&gt;0, "ATTENTION SURSTOCK et risque de péremption", "OK"))</f>
        <v>ND</v>
      </c>
      <c r="AF8" s="1924" t="str">
        <f t="shared" ref="AF8:AF47" si="26">IF(AD8="ND", "ND", IF(AD8&gt;0, AD8*$L8, ""))</f>
        <v>ND</v>
      </c>
      <c r="AG8" s="1919">
        <f>'Saisie données stocks'!U20</f>
        <v>0</v>
      </c>
      <c r="AH8" s="1920">
        <f>'Saisie données stocks'!V20</f>
        <v>0</v>
      </c>
      <c r="AI8" s="1923">
        <f t="shared" ref="AI8:AI47" si="27">IF(AND(AD8&gt;0, ISNUMBER(AD8)), (AA8+AH8-AD8), (AA8+AH8))</f>
        <v>0</v>
      </c>
      <c r="AJ8" s="1923" t="str">
        <f>IF(AND(AG8=0, AH8=0), "ND", IF((AG8-Paramétrage!$H$19)&gt;0, (AG8-Paramétrage!$H$19)/(365/12), "Date non renseignée ou produit périmé"))</f>
        <v>ND</v>
      </c>
      <c r="AK8" s="1923" t="str">
        <f t="shared" ref="AK8:AK47" si="28">IF(ISERROR(AJ8*M8+(N8*(AJ8*(AJ8+1)/2))), "ND", AJ8*M8+(N8*(AJ8*(AJ8+1)/2)))</f>
        <v>ND</v>
      </c>
      <c r="AL8" s="1923" t="str">
        <f t="shared" ref="AL8:AL47" si="29">IF(AND(ISNUMBER(AI8), ISNUMBER(AK8)), (AI8-AK8), "ND")</f>
        <v>ND</v>
      </c>
      <c r="AM8" s="1923" t="str">
        <f t="shared" ref="AM8:AM47" si="30">IF(AL8="ND", "ND", IF(AL8&gt;0, "ATTENTION SURSTOCK et risque de péremption", "OK"))</f>
        <v>ND</v>
      </c>
      <c r="AN8" s="1924" t="str">
        <f t="shared" ref="AN8:AN47" si="31">IF(AL8="ND", "ND", IF(AL8&gt;0, AL8*$L8, ""))</f>
        <v>ND</v>
      </c>
      <c r="AO8" s="1919">
        <f>'Saisie données stocks'!W20</f>
        <v>0</v>
      </c>
      <c r="AP8" s="1920">
        <f>'Saisie données stocks'!X20</f>
        <v>0</v>
      </c>
      <c r="AQ8" s="1923">
        <f t="shared" ref="AQ8:AQ47" si="32">IF(AND(AL8&gt;0, ISNUMBER(AL8)), (AI8+AP8-AL8), (AI8+AP8))</f>
        <v>0</v>
      </c>
      <c r="AR8" s="1923" t="str">
        <f>IF(AND(AO8=0, AP8=0), "ND", IF((AO8-Paramétrage!$H$19)&gt;0, (AO8-Paramétrage!$H$19)/(365/12), "Date non renseignée ou produit périmé"))</f>
        <v>ND</v>
      </c>
      <c r="AS8" s="1923" t="str">
        <f t="shared" ref="AS8:AS47" si="33">IF(ISERROR(AR8*M8+(N8*(AR8*(AR8+1)/2))), "ND", AR8*M8+(N8*(AR8*(AR8+1)/2)))</f>
        <v>ND</v>
      </c>
      <c r="AT8" s="1923" t="str">
        <f t="shared" ref="AT8:AT47" si="34">IF(AND(ISNUMBER(AQ8), ISNUMBER(AS8)), (AQ8-AS8), "ND")</f>
        <v>ND</v>
      </c>
      <c r="AU8" s="1923" t="str">
        <f t="shared" ref="AU8:AU47" si="35">IF(AT8="ND", "ND", IF(AT8&gt;0, "ATTENTION SURSTOCK et risque de péremption", "OK"))</f>
        <v>ND</v>
      </c>
      <c r="AV8" s="1924" t="str">
        <f t="shared" ref="AV8:AV47" si="36">IF(AT8="ND", "ND", IF(AT8&gt;0, AT8*$L8, ""))</f>
        <v>ND</v>
      </c>
      <c r="AW8" s="1919">
        <f>'Saisie données stocks'!Y20</f>
        <v>0</v>
      </c>
      <c r="AX8" s="1920">
        <f>'Saisie données stocks'!Z20</f>
        <v>0</v>
      </c>
      <c r="AY8" s="1923">
        <f t="shared" ref="AY8:AY47" si="37">IF(AND(AT8&gt;0, ISNUMBER(AT8)), (AQ8+AX8-AT8), (AQ8+AX8))</f>
        <v>0</v>
      </c>
      <c r="AZ8" s="1923" t="str">
        <f>IF(AND(AW8=0, AX8=0), "ND", IF((AW8-Paramétrage!$H$19)&gt;0, (AW8-Paramétrage!$H$19)/(365/12), "Date non renseignée ou produit périmé"))</f>
        <v>ND</v>
      </c>
      <c r="BA8" s="1923" t="str">
        <f t="shared" ref="BA8:BA47" si="38">IF(ISERROR(AZ8*M8+(N8*(AZ8*(AZ8+1)/2))), "ND", AZ8*M8+(N8*(AZ8*(AZ8+1)/2)))</f>
        <v>ND</v>
      </c>
      <c r="BB8" s="1923" t="str">
        <f t="shared" ref="BB8:BB47" si="39">IF(AND(ISNUMBER(AY8), ISNUMBER(BA8)), (AY8-BA8), "ND")</f>
        <v>ND</v>
      </c>
      <c r="BC8" s="1923" t="str">
        <f t="shared" ref="BC8:BC47" si="40">IF(BB8="ND", "ND", IF(BB8&gt;0, "ATTENTION SURSTOCK et risque de péremption", "OK"))</f>
        <v>ND</v>
      </c>
      <c r="BD8" s="1924" t="str">
        <f t="shared" ref="BD8:BD47" si="41">IF(BB8="ND", "ND", IF(BB8&gt;0, BB8*$L8, ""))</f>
        <v>ND</v>
      </c>
      <c r="BE8" s="1919">
        <f>'Saisie données stocks'!AA20</f>
        <v>0</v>
      </c>
      <c r="BF8" s="1920">
        <f>'Saisie données stocks'!AB20</f>
        <v>0</v>
      </c>
      <c r="BG8" s="1923">
        <f t="shared" ref="BG8:BG47" si="42">IF(AND(BB8&gt;0, ISNUMBER(BB8)), (AY8+BF8-BB8), (AY8+BF8))</f>
        <v>0</v>
      </c>
      <c r="BH8" s="1923" t="str">
        <f>IF(AND(BE8=0, BF8=0), "ND", IF((BE8-Paramétrage!$H$19)&gt;0, (BE8-Paramétrage!$H$19)/(365/12), "Date non renseignée ou produit périmé"))</f>
        <v>ND</v>
      </c>
      <c r="BI8" s="1923" t="str">
        <f t="shared" ref="BI8:BI47" si="43">IF(ISERROR(BH8*M8+(N8*(BH8*(BH8+1)/2))), "ND", BH8*M8+(N8*(BH8*(BH8+1)/2)))</f>
        <v>ND</v>
      </c>
      <c r="BJ8" s="1923" t="str">
        <f t="shared" ref="BJ8:BJ47" si="44">IF(AND(ISNUMBER(BG8), ISNUMBER(BI8)), (BG8-BI8), "ND")</f>
        <v>ND</v>
      </c>
      <c r="BK8" s="1923" t="str">
        <f t="shared" ref="BK8:BK47" si="45">IF(BJ8="ND", "ND", IF(BJ8&gt;0, "ATTENTION SURSTOCK et risque de péremption", "OK"))</f>
        <v>ND</v>
      </c>
      <c r="BL8" s="1924" t="str">
        <f t="shared" ref="BL8:BL47" si="46">IF(BJ8="ND", "ND", IF(BJ8&gt;0, BJ8*$L8, ""))</f>
        <v>ND</v>
      </c>
      <c r="BM8" s="1919">
        <f>'Saisie données stocks'!AC20</f>
        <v>0</v>
      </c>
      <c r="BN8" s="1920">
        <f>'Saisie données stocks'!AD20</f>
        <v>0</v>
      </c>
      <c r="BO8" s="1923">
        <f t="shared" ref="BO8:BO47" si="47">IF(AND(BJ8&gt;0, ISNUMBER(BJ8)), (BG8+BN8-BJ8), (BG8+BN8))</f>
        <v>0</v>
      </c>
      <c r="BP8" s="1923" t="str">
        <f>IF(AND(BM8=0, BN8=0), "ND", IF((BM8-Paramétrage!$H$19)&gt;0, (BM8-Paramétrage!$H$19)/(365/12), "Date non renseignée ou produit périmé"))</f>
        <v>ND</v>
      </c>
      <c r="BQ8" s="1923" t="str">
        <f t="shared" ref="BQ8:BQ47" si="48">IF(ISERROR(BP8*M8+(N8*(BP8*(BP8+1)/2))), "ND", BP8*M8+(N8*(BP8*(BP8+1)/2)))</f>
        <v>ND</v>
      </c>
      <c r="BR8" s="1923" t="str">
        <f t="shared" ref="BR8:BR47" si="49">IF(AND(ISNUMBER(BO8), ISNUMBER(BQ8)), (BO8-BQ8), "ND")</f>
        <v>ND</v>
      </c>
      <c r="BS8" s="1923" t="str">
        <f t="shared" ref="BS8:BS47" si="50">IF(BR8="ND", "ND", IF(BR8&gt;0, "ATTENTION SURSTOCK et risque de péremption", "OK"))</f>
        <v>ND</v>
      </c>
      <c r="BT8" s="1924" t="str">
        <f t="shared" ref="BT8:BT47" si="51">IF(BR8="ND", "ND", IF(BR8&gt;0, BR8*$L8, ""))</f>
        <v>ND</v>
      </c>
      <c r="BU8" s="1925">
        <f>IF('Saisie données stocks'!$O$10='TRAD-Saisie données stocks'!$B$51, IF(P8="OK", IF(AND(BR8&gt;0, ISNUMBER(BR8)), (BO8-BR8), (BO8)), O8), O8)</f>
        <v>0</v>
      </c>
      <c r="BV8" s="1925">
        <f t="shared" ref="BV8:BV56" si="52">ROUNDUP(IF(AND(BR8&gt;0, ISNUMBER(BR8)), BR8, "0")+IF(AND(BJ8&gt;0, ISNUMBER(BJ8)), BJ8, "0")+IF(AND(BB8&gt;0, ISNUMBER(BB8)), BB8, "0")+IF(AND(AT8&gt;0, ISNUMBER(AT8)), AT8, "0")+IF(AND(AL8&gt;0, ISNUMBER(AL8)), AL8, "0")+IF(AND(AD8&gt;0, ISNUMBER(AD8)), AD8, "0")+IF(AND(V8&gt;0, ISNUMBER(V8)), V8, "0"), 0)</f>
        <v>1032</v>
      </c>
      <c r="BW8" s="2045">
        <f t="shared" ref="BW8:BW47" si="53">IF(BU8=O8,"",IF(AND(BR8&gt;0, ISNUMBER(BR8)),BM8,IF(AND(BJ8&gt;0, ISNUMBER(BJ8)), BE8, IF(AND(BB8&gt;0, ISNUMBER(BB8)), AW8,IF(AND(AT8&gt;0, ISNUMBER(AT8)),AO8,IF(AND(AL8&gt;0, ISNUMBER(AL8)),AG8,IF(AND(AD8&gt;0, ISNUMBER(AD8)),Y8,IF(AND(V8&gt;0, ISNUMBER(V8)),R8,""))))))))</f>
        <v>42339</v>
      </c>
      <c r="BX8" s="2045">
        <f>IF('Saisie données stocks'!$O$10='TRAD-Saisie données stocks'!$B$51, IF('Calculs Péremption FA'!P8="OK", IF(BU8=O8, MAX(Paramétrage!$H$19+('Saisie données stocks'!$N$14*(365/12)), BM8, BE8, AW8, AO8, AG8, Y8, R8), BW8), Paramétrage!$H$19+('Saisie données stocks'!$N$14*(365/12))), Paramétrage!$H$19+('Saisie données stocks'!$N$14*(365/12)))</f>
        <v>42339</v>
      </c>
      <c r="BY8" s="2046">
        <f t="shared" ref="BY8:BY47" si="54">IF(BX8="", "", DAY(BX8))</f>
        <v>1</v>
      </c>
      <c r="BZ8" s="2046">
        <f t="shared" ref="BZ8:BZ47" si="55">IF(BX8="", "", MONTH(BX8))</f>
        <v>12</v>
      </c>
      <c r="CA8" s="2046">
        <f t="shared" ref="CA8:CA47" si="56">IF(BX8="", "", YEAR(BX8))</f>
        <v>2015</v>
      </c>
      <c r="CB8" s="2046">
        <f>IF(BX8="", "", (BX8-Paramétrage!$H$19)/(365/12))</f>
        <v>13.808219178082192</v>
      </c>
      <c r="CC8" s="2046" t="str">
        <f>IF(CB8='Saisie données stocks'!N$14,'TRAD-Calculs Péremption FA'!$B$74, CONCATENATE("DLU - ", BY8, "/", BZ8, "/", CA8))</f>
        <v>DLU - 1/12/2015</v>
      </c>
    </row>
    <row r="9" spans="1:81" ht="38.25" x14ac:dyDescent="0.2">
      <c r="B9" s="374"/>
      <c r="C9" s="375"/>
      <c r="D9" s="1669" t="s">
        <v>3</v>
      </c>
      <c r="E9" s="1670" t="str">
        <f>'TRAD-Calculs Péremption FA'!B9</f>
        <v>Cp</v>
      </c>
      <c r="F9" s="1670" t="s">
        <v>137</v>
      </c>
      <c r="G9" s="377" t="s">
        <v>640</v>
      </c>
      <c r="H9" s="379" t="str">
        <f t="shared" si="17"/>
        <v>AZT+3TC+ABC - 300/150/300 mg</v>
      </c>
      <c r="I9" s="114">
        <v>60</v>
      </c>
      <c r="J9" s="657"/>
      <c r="K9" s="756">
        <f>IF('TdB Péremptions'!$H$9="X", 'Prix 10-2011 GPRM $'!$O$31, IF('TdB Péremptions'!$H$10="X", 'Prix 10-2011 GPRM $'!$Q$31, IF('TdB Péremptions'!$H$11="X", 'Prix VPP 102012 convert'!$O$31, IF('TdB Péremptions'!$H$12="X", 'Prix VPP 102012 convert'!$Q$31, IF('TdB Péremptions'!$H$13="X", 'Prix spécifiques'!$J$9, 0)))))</f>
        <v>33</v>
      </c>
      <c r="L9" s="756">
        <f>(1+'TdB Péremptions'!$H$14)*K9</f>
        <v>36.300000000000004</v>
      </c>
      <c r="M9" s="1916">
        <f>Calculs!O155</f>
        <v>0</v>
      </c>
      <c r="N9" s="1916">
        <f>Calculs!N209</f>
        <v>0</v>
      </c>
      <c r="O9" s="1916">
        <f>'Saisie données stocks'!N21</f>
        <v>666</v>
      </c>
      <c r="P9" s="1917" t="str">
        <f>IF(SUM('Saisie données stocks'!R21+'Saisie données stocks'!T21+'Saisie données stocks'!V21+'Saisie données stocks'!X21+'Saisie données stocks'!Z21+'Saisie données stocks'!AB21+'Saisie données stocks'!AD21)='Calculs Péremption FA'!O9,  "OK", 'TRAD-Saisie données stocks'!$B$70)</f>
        <v>OK</v>
      </c>
      <c r="Q9" s="1918" t="str">
        <f>IF(AND(O9&gt;0, M9=0, N9=0), 'TRAD-Calculs Péremption FA'!$B$76, "")</f>
        <v>Produit en stock mais sans aucune utilisation</v>
      </c>
      <c r="R9" s="1919">
        <f>'Saisie données stocks'!Q21</f>
        <v>42186</v>
      </c>
      <c r="S9" s="1920">
        <f>'Saisie données stocks'!R21</f>
        <v>666</v>
      </c>
      <c r="T9" s="1921">
        <f>IF(AND(R9=0, S9=0), "ND", IF((R9-Paramétrage!$H$19)&gt;0, (R9-Paramétrage!$H$19)/(365/12), "Date non renseignée ou produit périmé"))</f>
        <v>8.7780821917808218</v>
      </c>
      <c r="U9" s="1922">
        <f t="shared" si="18"/>
        <v>0</v>
      </c>
      <c r="V9" s="1922">
        <f t="shared" si="19"/>
        <v>666</v>
      </c>
      <c r="W9" s="1921" t="str">
        <f t="shared" si="20"/>
        <v>ATTENTION SURSTOCK et risque de péremption</v>
      </c>
      <c r="X9" s="1924">
        <f t="shared" si="21"/>
        <v>24175.800000000003</v>
      </c>
      <c r="Y9" s="1919">
        <f>'Saisie données stocks'!S21</f>
        <v>0</v>
      </c>
      <c r="Z9" s="1920">
        <f>'Saisie données stocks'!T21</f>
        <v>0</v>
      </c>
      <c r="AA9" s="1923">
        <f t="shared" si="22"/>
        <v>0</v>
      </c>
      <c r="AB9" s="1923" t="str">
        <f>IF(AND(Y9=0, Z9=0), "ND", IF((Y9-Paramétrage!$H$19)&gt;0, (Y9-Paramétrage!$H$19)/(365/12), "Date non renseignée ou produit périmé"))</f>
        <v>ND</v>
      </c>
      <c r="AC9" s="1923" t="str">
        <f t="shared" si="23"/>
        <v>ND</v>
      </c>
      <c r="AD9" s="1923" t="str">
        <f t="shared" si="24"/>
        <v>ND</v>
      </c>
      <c r="AE9" s="1921" t="str">
        <f t="shared" si="25"/>
        <v>ND</v>
      </c>
      <c r="AF9" s="1924" t="str">
        <f t="shared" si="26"/>
        <v>ND</v>
      </c>
      <c r="AG9" s="1919">
        <f>'Saisie données stocks'!U21</f>
        <v>0</v>
      </c>
      <c r="AH9" s="1920">
        <f>'Saisie données stocks'!V21</f>
        <v>0</v>
      </c>
      <c r="AI9" s="1923">
        <f t="shared" si="27"/>
        <v>0</v>
      </c>
      <c r="AJ9" s="1923" t="str">
        <f>IF(AND(AG9=0, AH9=0), "ND", IF((AG9-Paramétrage!$H$19)&gt;0, (AG9-Paramétrage!$H$19)/(365/12), "Date non renseignée ou produit périmé"))</f>
        <v>ND</v>
      </c>
      <c r="AK9" s="1923" t="str">
        <f t="shared" si="28"/>
        <v>ND</v>
      </c>
      <c r="AL9" s="1923" t="str">
        <f t="shared" si="29"/>
        <v>ND</v>
      </c>
      <c r="AM9" s="1923" t="str">
        <f t="shared" si="30"/>
        <v>ND</v>
      </c>
      <c r="AN9" s="1924" t="str">
        <f t="shared" si="31"/>
        <v>ND</v>
      </c>
      <c r="AO9" s="1919">
        <f>'Saisie données stocks'!W21</f>
        <v>0</v>
      </c>
      <c r="AP9" s="1920">
        <f>'Saisie données stocks'!X21</f>
        <v>0</v>
      </c>
      <c r="AQ9" s="1923">
        <f t="shared" si="32"/>
        <v>0</v>
      </c>
      <c r="AR9" s="1923" t="str">
        <f>IF(AND(AO9=0, AP9=0), "ND", IF((AO9-Paramétrage!$H$19)&gt;0, (AO9-Paramétrage!$H$19)/(365/12), "Date non renseignée ou produit périmé"))</f>
        <v>ND</v>
      </c>
      <c r="AS9" s="1923" t="str">
        <f t="shared" si="33"/>
        <v>ND</v>
      </c>
      <c r="AT9" s="1923" t="str">
        <f t="shared" si="34"/>
        <v>ND</v>
      </c>
      <c r="AU9" s="1923" t="str">
        <f t="shared" si="35"/>
        <v>ND</v>
      </c>
      <c r="AV9" s="1924" t="str">
        <f t="shared" si="36"/>
        <v>ND</v>
      </c>
      <c r="AW9" s="1919">
        <f>'Saisie données stocks'!Y21</f>
        <v>0</v>
      </c>
      <c r="AX9" s="1920">
        <f>'Saisie données stocks'!Z21</f>
        <v>0</v>
      </c>
      <c r="AY9" s="1923">
        <f t="shared" si="37"/>
        <v>0</v>
      </c>
      <c r="AZ9" s="1923" t="str">
        <f>IF(AND(AW9=0, AX9=0), "ND", IF((AW9-Paramétrage!$H$19)&gt;0, (AW9-Paramétrage!$H$19)/(365/12), "Date non renseignée ou produit périmé"))</f>
        <v>ND</v>
      </c>
      <c r="BA9" s="1923" t="str">
        <f t="shared" si="38"/>
        <v>ND</v>
      </c>
      <c r="BB9" s="1923" t="str">
        <f t="shared" si="39"/>
        <v>ND</v>
      </c>
      <c r="BC9" s="1923" t="str">
        <f t="shared" si="40"/>
        <v>ND</v>
      </c>
      <c r="BD9" s="1924" t="str">
        <f t="shared" si="41"/>
        <v>ND</v>
      </c>
      <c r="BE9" s="1919">
        <f>'Saisie données stocks'!AA21</f>
        <v>0</v>
      </c>
      <c r="BF9" s="1920">
        <f>'Saisie données stocks'!AB21</f>
        <v>0</v>
      </c>
      <c r="BG9" s="1923">
        <f t="shared" si="42"/>
        <v>0</v>
      </c>
      <c r="BH9" s="1923" t="str">
        <f>IF(AND(BE9=0, BF9=0), "ND", IF((BE9-Paramétrage!$H$19)&gt;0, (BE9-Paramétrage!$H$19)/(365/12), "Date non renseignée ou produit périmé"))</f>
        <v>ND</v>
      </c>
      <c r="BI9" s="1923" t="str">
        <f t="shared" si="43"/>
        <v>ND</v>
      </c>
      <c r="BJ9" s="1923" t="str">
        <f t="shared" si="44"/>
        <v>ND</v>
      </c>
      <c r="BK9" s="1923" t="str">
        <f t="shared" si="45"/>
        <v>ND</v>
      </c>
      <c r="BL9" s="1924" t="str">
        <f t="shared" si="46"/>
        <v>ND</v>
      </c>
      <c r="BM9" s="1919">
        <f>'Saisie données stocks'!AC21</f>
        <v>0</v>
      </c>
      <c r="BN9" s="1920">
        <f>'Saisie données stocks'!AD21</f>
        <v>0</v>
      </c>
      <c r="BO9" s="1923">
        <f t="shared" si="47"/>
        <v>0</v>
      </c>
      <c r="BP9" s="1923" t="str">
        <f>IF(AND(BM9=0, BN9=0), "ND", IF((BM9-Paramétrage!$H$19)&gt;0, (BM9-Paramétrage!$H$19)/(365/12), "Date non renseignée ou produit périmé"))</f>
        <v>ND</v>
      </c>
      <c r="BQ9" s="1923" t="str">
        <f t="shared" si="48"/>
        <v>ND</v>
      </c>
      <c r="BR9" s="1923" t="str">
        <f t="shared" si="49"/>
        <v>ND</v>
      </c>
      <c r="BS9" s="1923" t="str">
        <f t="shared" si="50"/>
        <v>ND</v>
      </c>
      <c r="BT9" s="1924" t="str">
        <f t="shared" si="51"/>
        <v>ND</v>
      </c>
      <c r="BU9" s="1925">
        <f>IF('Saisie données stocks'!$O$10='TRAD-Saisie données stocks'!$B$51, IF(P9="OK", IF(AND(BR9&gt;0, ISNUMBER(BR9)), (BO9-BR9), (BO9)), O9), O9)</f>
        <v>0</v>
      </c>
      <c r="BV9" s="1925">
        <f t="shared" si="52"/>
        <v>666</v>
      </c>
      <c r="BW9" s="2045">
        <f t="shared" si="53"/>
        <v>42186</v>
      </c>
      <c r="BX9" s="2045">
        <f>IF('Saisie données stocks'!$O$10='TRAD-Saisie données stocks'!$B$51, IF('Calculs Péremption FA'!P9="OK", IF(BU9=O9, MAX(Paramétrage!$H$19+('Saisie données stocks'!$N$14*(365/12)), BM9, BE9, AW9, AO9, AG9, Y9, R9), BW9), Paramétrage!$H$19+('Saisie données stocks'!$N$14*(365/12))), Paramétrage!$H$19+('Saisie données stocks'!$N$14*(365/12)))</f>
        <v>42186</v>
      </c>
      <c r="BY9" s="2046">
        <f t="shared" si="54"/>
        <v>1</v>
      </c>
      <c r="BZ9" s="2046">
        <f t="shared" si="55"/>
        <v>7</v>
      </c>
      <c r="CA9" s="2046">
        <f t="shared" si="56"/>
        <v>2015</v>
      </c>
      <c r="CB9" s="2046">
        <f>IF(BX9="", "", (BX9-Paramétrage!$H$19)/(365/12))</f>
        <v>8.7780821917808218</v>
      </c>
      <c r="CC9" s="2046" t="str">
        <f>IF(CB9='Saisie données stocks'!N$14, 'TRAD-Calculs Péremption FA'!$B$74, CONCATENATE("DLU - ", BY9, "/", BZ9, "/", CA9))</f>
        <v>DLU - 1/7/2015</v>
      </c>
    </row>
    <row r="10" spans="1:81" ht="38.25" x14ac:dyDescent="0.2">
      <c r="B10" s="374"/>
      <c r="C10" s="375"/>
      <c r="D10" s="1669" t="s">
        <v>18</v>
      </c>
      <c r="E10" s="1670" t="str">
        <f>'TRAD-Calculs Péremption FA'!B9</f>
        <v>Cp</v>
      </c>
      <c r="F10" s="1670" t="s">
        <v>19</v>
      </c>
      <c r="G10" s="377" t="s">
        <v>641</v>
      </c>
      <c r="H10" s="379" t="str">
        <f t="shared" si="17"/>
        <v>AZT+3TC - 300/150 mg</v>
      </c>
      <c r="I10" s="114">
        <v>60</v>
      </c>
      <c r="J10" s="657"/>
      <c r="K10" s="756">
        <f>IF('TdB Péremptions'!$H$9="X", 'Prix 10-2011 GPRM $'!$O$28, IF('TdB Péremptions'!$H$10="X", 'Prix 10-2011 GPRM $'!$Q$28, IF('TdB Péremptions'!$H$11="X", 'Prix VPP 102012 convert'!$O$28, IF('TdB Péremptions'!$H$12="X", 'Prix VPP 102012 convert'!$Q$28, IF('TdB Péremptions'!$H$13="X", 'Prix spécifiques'!$J$10, 0)))))</f>
        <v>9.9550000000000001</v>
      </c>
      <c r="L10" s="756">
        <f>(1+'TdB Péremptions'!$H$14)*K10</f>
        <v>10.950500000000002</v>
      </c>
      <c r="M10" s="1916">
        <f>Calculs!O156</f>
        <v>0</v>
      </c>
      <c r="N10" s="1916">
        <f>Calculs!N210</f>
        <v>0</v>
      </c>
      <c r="O10" s="1916">
        <f>'Saisie données stocks'!N22</f>
        <v>11298</v>
      </c>
      <c r="P10" s="1917" t="str">
        <f>IF(SUM('Saisie données stocks'!R22+'Saisie données stocks'!T22+'Saisie données stocks'!V22+'Saisie données stocks'!X22+'Saisie données stocks'!Z22+'Saisie données stocks'!AB22+'Saisie données stocks'!AD22)='Calculs Péremption FA'!O10,  "OK", 'TRAD-Saisie données stocks'!$B$70)</f>
        <v>OK</v>
      </c>
      <c r="Q10" s="1918" t="str">
        <f>IF(AND(O10&gt;0, M10=0, N10=0), 'TRAD-Calculs Péremption FA'!$B$76, "")</f>
        <v>Produit en stock mais sans aucune utilisation</v>
      </c>
      <c r="R10" s="1919">
        <f>'Saisie données stocks'!Q22</f>
        <v>42430</v>
      </c>
      <c r="S10" s="1920">
        <f>'Saisie données stocks'!R22</f>
        <v>4784</v>
      </c>
      <c r="T10" s="1921">
        <f>IF(AND(R10=0, S10=0), "ND", IF((R10-Paramétrage!$H$19)&gt;0, (R10-Paramétrage!$H$19)/(365/12), "Date non renseignée ou produit périmé"))</f>
        <v>16.8</v>
      </c>
      <c r="U10" s="1922">
        <f t="shared" si="18"/>
        <v>0</v>
      </c>
      <c r="V10" s="1922">
        <f t="shared" si="19"/>
        <v>4784</v>
      </c>
      <c r="W10" s="1921" t="str">
        <f t="shared" si="20"/>
        <v>ATTENTION SURSTOCK et risque de péremption</v>
      </c>
      <c r="X10" s="1924">
        <f t="shared" si="21"/>
        <v>52387.19200000001</v>
      </c>
      <c r="Y10" s="1919">
        <f>'Saisie données stocks'!S22</f>
        <v>42705</v>
      </c>
      <c r="Z10" s="1920">
        <f>'Saisie données stocks'!T22</f>
        <v>6514</v>
      </c>
      <c r="AA10" s="1923">
        <f t="shared" si="22"/>
        <v>6514</v>
      </c>
      <c r="AB10" s="1923">
        <f>IF(AND(Y10=0, Z10=0), "ND", IF((Y10-Paramétrage!$H$19)&gt;0, (Y10-Paramétrage!$H$19)/(365/12), "Date non renseignée ou produit périmé"))</f>
        <v>25.841095890410958</v>
      </c>
      <c r="AC10" s="1923">
        <f t="shared" si="23"/>
        <v>0</v>
      </c>
      <c r="AD10" s="1923">
        <f t="shared" si="24"/>
        <v>6514</v>
      </c>
      <c r="AE10" s="1921" t="str">
        <f t="shared" si="25"/>
        <v>ATTENTION SURSTOCK et risque de péremption</v>
      </c>
      <c r="AF10" s="1924">
        <f t="shared" si="26"/>
        <v>71331.557000000015</v>
      </c>
      <c r="AG10" s="1919">
        <f>'Saisie données stocks'!U22</f>
        <v>0</v>
      </c>
      <c r="AH10" s="1920">
        <f>'Saisie données stocks'!V22</f>
        <v>0</v>
      </c>
      <c r="AI10" s="1923">
        <f t="shared" si="27"/>
        <v>0</v>
      </c>
      <c r="AJ10" s="1923" t="str">
        <f>IF(AND(AG10=0, AH10=0), "ND", IF((AG10-Paramétrage!$H$19)&gt;0, (AG10-Paramétrage!$H$19)/(365/12), "Date non renseignée ou produit périmé"))</f>
        <v>ND</v>
      </c>
      <c r="AK10" s="1923" t="str">
        <f t="shared" si="28"/>
        <v>ND</v>
      </c>
      <c r="AL10" s="1923" t="str">
        <f t="shared" si="29"/>
        <v>ND</v>
      </c>
      <c r="AM10" s="1923" t="str">
        <f t="shared" si="30"/>
        <v>ND</v>
      </c>
      <c r="AN10" s="1924" t="str">
        <f t="shared" si="31"/>
        <v>ND</v>
      </c>
      <c r="AO10" s="1919">
        <f>'Saisie données stocks'!W22</f>
        <v>0</v>
      </c>
      <c r="AP10" s="1920">
        <f>'Saisie données stocks'!X22</f>
        <v>0</v>
      </c>
      <c r="AQ10" s="1923">
        <f t="shared" si="32"/>
        <v>0</v>
      </c>
      <c r="AR10" s="1923" t="str">
        <f>IF(AND(AO10=0, AP10=0), "ND", IF((AO10-Paramétrage!$H$19)&gt;0, (AO10-Paramétrage!$H$19)/(365/12), "Date non renseignée ou produit périmé"))</f>
        <v>ND</v>
      </c>
      <c r="AS10" s="1923" t="str">
        <f t="shared" si="33"/>
        <v>ND</v>
      </c>
      <c r="AT10" s="1923" t="str">
        <f t="shared" si="34"/>
        <v>ND</v>
      </c>
      <c r="AU10" s="1923" t="str">
        <f t="shared" si="35"/>
        <v>ND</v>
      </c>
      <c r="AV10" s="1924" t="str">
        <f t="shared" si="36"/>
        <v>ND</v>
      </c>
      <c r="AW10" s="1919">
        <f>'Saisie données stocks'!Y22</f>
        <v>0</v>
      </c>
      <c r="AX10" s="1920">
        <f>'Saisie données stocks'!Z22</f>
        <v>0</v>
      </c>
      <c r="AY10" s="1923">
        <f t="shared" si="37"/>
        <v>0</v>
      </c>
      <c r="AZ10" s="1923" t="str">
        <f>IF(AND(AW10=0, AX10=0), "ND", IF((AW10-Paramétrage!$H$19)&gt;0, (AW10-Paramétrage!$H$19)/(365/12), "Date non renseignée ou produit périmé"))</f>
        <v>ND</v>
      </c>
      <c r="BA10" s="1923" t="str">
        <f t="shared" si="38"/>
        <v>ND</v>
      </c>
      <c r="BB10" s="1923" t="str">
        <f t="shared" si="39"/>
        <v>ND</v>
      </c>
      <c r="BC10" s="1923" t="str">
        <f t="shared" si="40"/>
        <v>ND</v>
      </c>
      <c r="BD10" s="1924" t="str">
        <f t="shared" si="41"/>
        <v>ND</v>
      </c>
      <c r="BE10" s="1919">
        <f>'Saisie données stocks'!AA22</f>
        <v>0</v>
      </c>
      <c r="BF10" s="1920">
        <f>'Saisie données stocks'!AB22</f>
        <v>0</v>
      </c>
      <c r="BG10" s="1923">
        <f t="shared" si="42"/>
        <v>0</v>
      </c>
      <c r="BH10" s="1923" t="str">
        <f>IF(AND(BE10=0, BF10=0), "ND", IF((BE10-Paramétrage!$H$19)&gt;0, (BE10-Paramétrage!$H$19)/(365/12), "Date non renseignée ou produit périmé"))</f>
        <v>ND</v>
      </c>
      <c r="BI10" s="1923" t="str">
        <f t="shared" si="43"/>
        <v>ND</v>
      </c>
      <c r="BJ10" s="1923" t="str">
        <f t="shared" si="44"/>
        <v>ND</v>
      </c>
      <c r="BK10" s="1923" t="str">
        <f t="shared" si="45"/>
        <v>ND</v>
      </c>
      <c r="BL10" s="1924" t="str">
        <f t="shared" si="46"/>
        <v>ND</v>
      </c>
      <c r="BM10" s="1919">
        <f>'Saisie données stocks'!AC22</f>
        <v>0</v>
      </c>
      <c r="BN10" s="1920">
        <f>'Saisie données stocks'!AD22</f>
        <v>0</v>
      </c>
      <c r="BO10" s="1923">
        <f t="shared" si="47"/>
        <v>0</v>
      </c>
      <c r="BP10" s="1923" t="str">
        <f>IF(AND(BM10=0, BN10=0), "ND", IF((BM10-Paramétrage!$H$19)&gt;0, (BM10-Paramétrage!$H$19)/(365/12), "Date non renseignée ou produit périmé"))</f>
        <v>ND</v>
      </c>
      <c r="BQ10" s="1923" t="str">
        <f t="shared" si="48"/>
        <v>ND</v>
      </c>
      <c r="BR10" s="1923" t="str">
        <f t="shared" si="49"/>
        <v>ND</v>
      </c>
      <c r="BS10" s="1923" t="str">
        <f t="shared" si="50"/>
        <v>ND</v>
      </c>
      <c r="BT10" s="1924" t="str">
        <f t="shared" si="51"/>
        <v>ND</v>
      </c>
      <c r="BU10" s="1925">
        <f>IF('Saisie données stocks'!$O$10='TRAD-Saisie données stocks'!$B$51, IF(P10="OK", IF(AND(BR10&gt;0, ISNUMBER(BR10)), (BO10-BR10), (BO10)), O10), O10)</f>
        <v>0</v>
      </c>
      <c r="BV10" s="1925">
        <f t="shared" si="52"/>
        <v>11298</v>
      </c>
      <c r="BW10" s="2045">
        <f t="shared" si="53"/>
        <v>42705</v>
      </c>
      <c r="BX10" s="2045">
        <f>IF('Saisie données stocks'!$O$10='TRAD-Saisie données stocks'!$B$51, IF('Calculs Péremption FA'!P10="OK", IF(BU10=O10, MAX(Paramétrage!$H$19+('Saisie données stocks'!$N$14*(365/12)), BM10, BE10, AW10, AO10, AG10, Y10, R10), BW10), Paramétrage!$H$19+('Saisie données stocks'!$N$14*(365/12))), Paramétrage!$H$19+('Saisie données stocks'!$N$14*(365/12)))</f>
        <v>42705</v>
      </c>
      <c r="BY10" s="2046">
        <f t="shared" si="54"/>
        <v>1</v>
      </c>
      <c r="BZ10" s="2046">
        <f t="shared" si="55"/>
        <v>12</v>
      </c>
      <c r="CA10" s="2046">
        <f t="shared" si="56"/>
        <v>2016</v>
      </c>
      <c r="CB10" s="2046">
        <f>IF(BX10="", "", (BX10-Paramétrage!$H$19)/(365/12))</f>
        <v>25.841095890410958</v>
      </c>
      <c r="CC10" s="2046" t="str">
        <f>IF(CB10='Saisie données stocks'!N$14, 'TRAD-Calculs Péremption FA'!$B$74, CONCATENATE("DLU - ", BY10, "/", BZ10, "/", CA10))</f>
        <v>DLU - 1/12/2016</v>
      </c>
    </row>
    <row r="11" spans="1:81" ht="38.25" x14ac:dyDescent="0.2">
      <c r="B11" s="374"/>
      <c r="C11" s="375"/>
      <c r="D11" s="1912" t="s">
        <v>18</v>
      </c>
      <c r="E11" s="1913" t="str">
        <f>'TRAD-Calculs Péremption FA'!B9</f>
        <v>Cp</v>
      </c>
      <c r="F11" s="1913" t="s">
        <v>260</v>
      </c>
      <c r="G11" s="1914" t="s">
        <v>641</v>
      </c>
      <c r="H11" s="379" t="str">
        <f t="shared" si="17"/>
        <v>AZT+3TC - 60/30 mg</v>
      </c>
      <c r="I11" s="505">
        <v>60</v>
      </c>
      <c r="J11" s="657"/>
      <c r="K11" s="756">
        <f>IF('TdB Péremptions'!$H$9="X", 'Prix 10-2011 GPRM $'!$O$128, IF('TdB Péremptions'!$H$10="X", 'Prix 10-2011 GPRM $'!$Q$128, IF('TdB Péremptions'!$H$11="X", 'Prix VPP 102012 convert'!$O$128, IF('TdB Péremptions'!$H$12="X", 'Prix VPP 102012 convert'!$Q$128, IF('TdB Péremptions'!$H$13="X", 'Prix spécifiques'!$J$11, 0)))))</f>
        <v>2.67</v>
      </c>
      <c r="L11" s="756">
        <f>(1+'TdB Péremptions'!$H$14)*K11</f>
        <v>2.9370000000000003</v>
      </c>
      <c r="M11" s="1916">
        <f>Calculs!O157</f>
        <v>0</v>
      </c>
      <c r="N11" s="1916">
        <f>Calculs!N211</f>
        <v>0</v>
      </c>
      <c r="O11" s="1916">
        <f>'Saisie données stocks'!N23</f>
        <v>743</v>
      </c>
      <c r="P11" s="1917" t="str">
        <f>IF(SUM('Saisie données stocks'!R23+'Saisie données stocks'!T23+'Saisie données stocks'!V23+'Saisie données stocks'!X23+'Saisie données stocks'!Z23+'Saisie données stocks'!AB23+'Saisie données stocks'!AD23)='Calculs Péremption FA'!O11,  "OK", 'TRAD-Saisie données stocks'!$B$70)</f>
        <v>OK</v>
      </c>
      <c r="Q11" s="1918" t="str">
        <f>IF(AND(O11&gt;0, M11=0, N11=0), 'TRAD-Calculs Péremption FA'!$B$76, "")</f>
        <v>Produit en stock mais sans aucune utilisation</v>
      </c>
      <c r="R11" s="1919">
        <f>'Saisie données stocks'!Q23</f>
        <v>42186</v>
      </c>
      <c r="S11" s="1920">
        <f>'Saisie données stocks'!R23</f>
        <v>743</v>
      </c>
      <c r="T11" s="1921">
        <f>IF(AND(R11=0, S11=0), "ND", IF((R11-Paramétrage!$H$19)&gt;0, (R11-Paramétrage!$H$19)/(365/12), "Date non renseignée ou produit périmé"))</f>
        <v>8.7780821917808218</v>
      </c>
      <c r="U11" s="1922">
        <f t="shared" si="18"/>
        <v>0</v>
      </c>
      <c r="V11" s="1922">
        <f t="shared" si="19"/>
        <v>743</v>
      </c>
      <c r="W11" s="1921" t="str">
        <f t="shared" si="20"/>
        <v>ATTENTION SURSTOCK et risque de péremption</v>
      </c>
      <c r="X11" s="1924">
        <f t="shared" si="21"/>
        <v>2182.1910000000003</v>
      </c>
      <c r="Y11" s="1919">
        <f>'Saisie données stocks'!S23</f>
        <v>0</v>
      </c>
      <c r="Z11" s="1920">
        <f>'Saisie données stocks'!T23</f>
        <v>0</v>
      </c>
      <c r="AA11" s="1923">
        <f t="shared" si="22"/>
        <v>0</v>
      </c>
      <c r="AB11" s="1923" t="str">
        <f>IF(AND(Y11=0, Z11=0), "ND", IF((Y11-Paramétrage!$H$19)&gt;0, (Y11-Paramétrage!$H$19)/(365/12), "Date non renseignée ou produit périmé"))</f>
        <v>ND</v>
      </c>
      <c r="AC11" s="1923" t="str">
        <f t="shared" si="23"/>
        <v>ND</v>
      </c>
      <c r="AD11" s="1923" t="str">
        <f t="shared" si="24"/>
        <v>ND</v>
      </c>
      <c r="AE11" s="1921" t="str">
        <f t="shared" si="25"/>
        <v>ND</v>
      </c>
      <c r="AF11" s="1924" t="str">
        <f t="shared" si="26"/>
        <v>ND</v>
      </c>
      <c r="AG11" s="1919">
        <f>'Saisie données stocks'!U23</f>
        <v>0</v>
      </c>
      <c r="AH11" s="1920">
        <f>'Saisie données stocks'!V23</f>
        <v>0</v>
      </c>
      <c r="AI11" s="1923">
        <f t="shared" si="27"/>
        <v>0</v>
      </c>
      <c r="AJ11" s="1923" t="str">
        <f>IF(AND(AG11=0, AH11=0), "ND", IF((AG11-Paramétrage!$H$19)&gt;0, (AG11-Paramétrage!$H$19)/(365/12), "Date non renseignée ou produit périmé"))</f>
        <v>ND</v>
      </c>
      <c r="AK11" s="1923" t="str">
        <f t="shared" si="28"/>
        <v>ND</v>
      </c>
      <c r="AL11" s="1923" t="str">
        <f t="shared" si="29"/>
        <v>ND</v>
      </c>
      <c r="AM11" s="1923" t="str">
        <f t="shared" si="30"/>
        <v>ND</v>
      </c>
      <c r="AN11" s="1924" t="str">
        <f t="shared" si="31"/>
        <v>ND</v>
      </c>
      <c r="AO11" s="1919">
        <f>'Saisie données stocks'!W23</f>
        <v>0</v>
      </c>
      <c r="AP11" s="1920">
        <f>'Saisie données stocks'!X23</f>
        <v>0</v>
      </c>
      <c r="AQ11" s="1923">
        <f t="shared" si="32"/>
        <v>0</v>
      </c>
      <c r="AR11" s="1923" t="str">
        <f>IF(AND(AO11=0, AP11=0), "ND", IF((AO11-Paramétrage!$H$19)&gt;0, (AO11-Paramétrage!$H$19)/(365/12), "Date non renseignée ou produit périmé"))</f>
        <v>ND</v>
      </c>
      <c r="AS11" s="1923" t="str">
        <f t="shared" si="33"/>
        <v>ND</v>
      </c>
      <c r="AT11" s="1923" t="str">
        <f t="shared" si="34"/>
        <v>ND</v>
      </c>
      <c r="AU11" s="1923" t="str">
        <f t="shared" si="35"/>
        <v>ND</v>
      </c>
      <c r="AV11" s="1924" t="str">
        <f t="shared" si="36"/>
        <v>ND</v>
      </c>
      <c r="AW11" s="1919">
        <f>'Saisie données stocks'!Y23</f>
        <v>0</v>
      </c>
      <c r="AX11" s="1920">
        <f>'Saisie données stocks'!Z23</f>
        <v>0</v>
      </c>
      <c r="AY11" s="1923">
        <f t="shared" si="37"/>
        <v>0</v>
      </c>
      <c r="AZ11" s="1923" t="str">
        <f>IF(AND(AW11=0, AX11=0), "ND", IF((AW11-Paramétrage!$H$19)&gt;0, (AW11-Paramétrage!$H$19)/(365/12), "Date non renseignée ou produit périmé"))</f>
        <v>ND</v>
      </c>
      <c r="BA11" s="1923" t="str">
        <f t="shared" si="38"/>
        <v>ND</v>
      </c>
      <c r="BB11" s="1923" t="str">
        <f t="shared" si="39"/>
        <v>ND</v>
      </c>
      <c r="BC11" s="1923" t="str">
        <f t="shared" si="40"/>
        <v>ND</v>
      </c>
      <c r="BD11" s="1924" t="str">
        <f t="shared" si="41"/>
        <v>ND</v>
      </c>
      <c r="BE11" s="1919">
        <f>'Saisie données stocks'!AA23</f>
        <v>0</v>
      </c>
      <c r="BF11" s="1920">
        <f>'Saisie données stocks'!AB23</f>
        <v>0</v>
      </c>
      <c r="BG11" s="1923">
        <f t="shared" si="42"/>
        <v>0</v>
      </c>
      <c r="BH11" s="1923" t="str">
        <f>IF(AND(BE11=0, BF11=0), "ND", IF((BE11-Paramétrage!$H$19)&gt;0, (BE11-Paramétrage!$H$19)/(365/12), "Date non renseignée ou produit périmé"))</f>
        <v>ND</v>
      </c>
      <c r="BI11" s="1923" t="str">
        <f t="shared" si="43"/>
        <v>ND</v>
      </c>
      <c r="BJ11" s="1923" t="str">
        <f t="shared" si="44"/>
        <v>ND</v>
      </c>
      <c r="BK11" s="1923" t="str">
        <f t="shared" si="45"/>
        <v>ND</v>
      </c>
      <c r="BL11" s="1924" t="str">
        <f t="shared" si="46"/>
        <v>ND</v>
      </c>
      <c r="BM11" s="1919">
        <f>'Saisie données stocks'!AC23</f>
        <v>0</v>
      </c>
      <c r="BN11" s="1920">
        <f>'Saisie données stocks'!AD23</f>
        <v>0</v>
      </c>
      <c r="BO11" s="1923">
        <f t="shared" si="47"/>
        <v>0</v>
      </c>
      <c r="BP11" s="1923" t="str">
        <f>IF(AND(BM11=0, BN11=0), "ND", IF((BM11-Paramétrage!$H$19)&gt;0, (BM11-Paramétrage!$H$19)/(365/12), "Date non renseignée ou produit périmé"))</f>
        <v>ND</v>
      </c>
      <c r="BQ11" s="1923" t="str">
        <f t="shared" si="48"/>
        <v>ND</v>
      </c>
      <c r="BR11" s="1923" t="str">
        <f t="shared" si="49"/>
        <v>ND</v>
      </c>
      <c r="BS11" s="1923" t="str">
        <f t="shared" si="50"/>
        <v>ND</v>
      </c>
      <c r="BT11" s="1924" t="str">
        <f t="shared" si="51"/>
        <v>ND</v>
      </c>
      <c r="BU11" s="1925">
        <f>IF('Saisie données stocks'!$O$10='TRAD-Saisie données stocks'!$B$51, IF(P11="OK", IF(AND(BR11&gt;0, ISNUMBER(BR11)), (BO11-BR11), (BO11)), O11), O11)</f>
        <v>0</v>
      </c>
      <c r="BV11" s="1925">
        <f t="shared" si="52"/>
        <v>743</v>
      </c>
      <c r="BW11" s="2045">
        <f t="shared" si="53"/>
        <v>42186</v>
      </c>
      <c r="BX11" s="2045">
        <f>IF('Saisie données stocks'!$O$10='TRAD-Saisie données stocks'!$B$51, IF('Calculs Péremption FA'!P11="OK", IF(BU11=O11, MAX(Paramétrage!$H$19+('Saisie données stocks'!$N$14*(365/12)), BM11, BE11, AW11, AO11, AG11, Y11, R11), BW11), Paramétrage!$H$19+('Saisie données stocks'!$N$14*(365/12))), Paramétrage!$H$19+('Saisie données stocks'!$N$14*(365/12)))</f>
        <v>42186</v>
      </c>
      <c r="BY11" s="2046">
        <f t="shared" si="54"/>
        <v>1</v>
      </c>
      <c r="BZ11" s="2046">
        <f t="shared" si="55"/>
        <v>7</v>
      </c>
      <c r="CA11" s="2046">
        <f t="shared" si="56"/>
        <v>2015</v>
      </c>
      <c r="CB11" s="2046">
        <f>IF(BX11="", "", (BX11-Paramétrage!$H$19)/(365/12))</f>
        <v>8.7780821917808218</v>
      </c>
      <c r="CC11" s="2046" t="str">
        <f>IF(CB11='Saisie données stocks'!N$14, 'TRAD-Calculs Péremption FA'!$B$74, CONCATENATE("DLU - ", BY11, "/", BZ11, "/", CA11))</f>
        <v>DLU - 1/7/2015</v>
      </c>
    </row>
    <row r="12" spans="1:81" ht="38.25" x14ac:dyDescent="0.2">
      <c r="B12" s="374"/>
      <c r="C12" s="375"/>
      <c r="D12" s="1912" t="s">
        <v>474</v>
      </c>
      <c r="E12" s="1913" t="str">
        <f>'TRAD-Calculs Péremption FA'!B9</f>
        <v>Cp</v>
      </c>
      <c r="F12" s="1913" t="s">
        <v>478</v>
      </c>
      <c r="G12" s="1914" t="s">
        <v>642</v>
      </c>
      <c r="H12" s="379" t="str">
        <f t="shared" si="17"/>
        <v>3TC+ABC - 300/600 mg</v>
      </c>
      <c r="I12" s="505">
        <v>30</v>
      </c>
      <c r="J12" s="657"/>
      <c r="K12" s="756">
        <f>IF('TdB Péremptions'!$H$9="X", 'Prix 10-2011 GPRM $'!$O$33, IF('TdB Péremptions'!$H$10="X", 'Prix 10-2011 GPRM $'!$Q$33, IF('TdB Péremptions'!$H$11="X", 'Prix VPP 102012 convert'!$O$33, IF('TdB Péremptions'!$H$12="X", 'Prix VPP 102012 convert'!$Q$33, IF('TdB Péremptions'!$H$13="X", 'Prix spécifiques'!$J$12, 0)))))</f>
        <v>19</v>
      </c>
      <c r="L12" s="756">
        <f>(1+'TdB Péremptions'!$H$14)*K12</f>
        <v>20.900000000000002</v>
      </c>
      <c r="M12" s="1916">
        <f>Calculs!O158</f>
        <v>0</v>
      </c>
      <c r="N12" s="1916">
        <f>Calculs!N212</f>
        <v>0</v>
      </c>
      <c r="O12" s="1916">
        <f>'Saisie données stocks'!N24</f>
        <v>147</v>
      </c>
      <c r="P12" s="1917" t="str">
        <f>IF(SUM('Saisie données stocks'!R24+'Saisie données stocks'!T24+'Saisie données stocks'!V24+'Saisie données stocks'!X24+'Saisie données stocks'!Z24+'Saisie données stocks'!AB24+'Saisie données stocks'!AD24)='Calculs Péremption FA'!O12,  "OK", 'TRAD-Saisie données stocks'!$B$70)</f>
        <v>OK</v>
      </c>
      <c r="Q12" s="1918" t="str">
        <f>IF(AND(O12&gt;0, M12=0, N12=0), 'TRAD-Calculs Péremption FA'!$B$76, "")</f>
        <v>Produit en stock mais sans aucune utilisation</v>
      </c>
      <c r="R12" s="1919">
        <f>'Saisie données stocks'!Q24</f>
        <v>42461</v>
      </c>
      <c r="S12" s="1920">
        <f>'Saisie données stocks'!R24</f>
        <v>147</v>
      </c>
      <c r="T12" s="1921">
        <f>IF(AND(R12=0, S12=0), "ND", IF((R12-Paramétrage!$H$19)&gt;0, (R12-Paramétrage!$H$19)/(365/12), "Date non renseignée ou produit périmé"))</f>
        <v>17.81917808219178</v>
      </c>
      <c r="U12" s="1922">
        <f t="shared" si="18"/>
        <v>0</v>
      </c>
      <c r="V12" s="1922">
        <f t="shared" si="19"/>
        <v>147</v>
      </c>
      <c r="W12" s="1921" t="str">
        <f t="shared" si="20"/>
        <v>ATTENTION SURSTOCK et risque de péremption</v>
      </c>
      <c r="X12" s="1924">
        <f t="shared" si="21"/>
        <v>3072.3</v>
      </c>
      <c r="Y12" s="1919">
        <f>'Saisie données stocks'!S24</f>
        <v>0</v>
      </c>
      <c r="Z12" s="1920">
        <f>'Saisie données stocks'!T24</f>
        <v>0</v>
      </c>
      <c r="AA12" s="1923">
        <f t="shared" si="22"/>
        <v>0</v>
      </c>
      <c r="AB12" s="1923" t="str">
        <f>IF(AND(Y12=0, Z12=0), "ND", IF((Y12-Paramétrage!$H$19)&gt;0, (Y12-Paramétrage!$H$19)/(365/12), "Date non renseignée ou produit périmé"))</f>
        <v>ND</v>
      </c>
      <c r="AC12" s="1923" t="str">
        <f t="shared" si="23"/>
        <v>ND</v>
      </c>
      <c r="AD12" s="1923" t="str">
        <f t="shared" si="24"/>
        <v>ND</v>
      </c>
      <c r="AE12" s="1921" t="str">
        <f t="shared" si="25"/>
        <v>ND</v>
      </c>
      <c r="AF12" s="1924" t="str">
        <f t="shared" si="26"/>
        <v>ND</v>
      </c>
      <c r="AG12" s="1919">
        <f>'Saisie données stocks'!U24</f>
        <v>0</v>
      </c>
      <c r="AH12" s="1920">
        <f>'Saisie données stocks'!V24</f>
        <v>0</v>
      </c>
      <c r="AI12" s="1923">
        <f t="shared" si="27"/>
        <v>0</v>
      </c>
      <c r="AJ12" s="1923" t="str">
        <f>IF(AND(AG12=0, AH12=0), "ND", IF((AG12-Paramétrage!$H$19)&gt;0, (AG12-Paramétrage!$H$19)/(365/12), "Date non renseignée ou produit périmé"))</f>
        <v>ND</v>
      </c>
      <c r="AK12" s="1923" t="str">
        <f t="shared" si="28"/>
        <v>ND</v>
      </c>
      <c r="AL12" s="1923" t="str">
        <f t="shared" si="29"/>
        <v>ND</v>
      </c>
      <c r="AM12" s="1923" t="str">
        <f t="shared" si="30"/>
        <v>ND</v>
      </c>
      <c r="AN12" s="1924" t="str">
        <f t="shared" si="31"/>
        <v>ND</v>
      </c>
      <c r="AO12" s="1919">
        <f>'Saisie données stocks'!W24</f>
        <v>0</v>
      </c>
      <c r="AP12" s="1920">
        <f>'Saisie données stocks'!X24</f>
        <v>0</v>
      </c>
      <c r="AQ12" s="1923">
        <f t="shared" si="32"/>
        <v>0</v>
      </c>
      <c r="AR12" s="1923" t="str">
        <f>IF(AND(AO12=0, AP12=0), "ND", IF((AO12-Paramétrage!$H$19)&gt;0, (AO12-Paramétrage!$H$19)/(365/12), "Date non renseignée ou produit périmé"))</f>
        <v>ND</v>
      </c>
      <c r="AS12" s="1923" t="str">
        <f t="shared" si="33"/>
        <v>ND</v>
      </c>
      <c r="AT12" s="1923" t="str">
        <f t="shared" si="34"/>
        <v>ND</v>
      </c>
      <c r="AU12" s="1923" t="str">
        <f t="shared" si="35"/>
        <v>ND</v>
      </c>
      <c r="AV12" s="1924" t="str">
        <f t="shared" si="36"/>
        <v>ND</v>
      </c>
      <c r="AW12" s="1919">
        <f>'Saisie données stocks'!Y24</f>
        <v>0</v>
      </c>
      <c r="AX12" s="1920">
        <f>'Saisie données stocks'!Z24</f>
        <v>0</v>
      </c>
      <c r="AY12" s="1923">
        <f t="shared" si="37"/>
        <v>0</v>
      </c>
      <c r="AZ12" s="1923" t="str">
        <f>IF(AND(AW12=0, AX12=0), "ND", IF((AW12-Paramétrage!$H$19)&gt;0, (AW12-Paramétrage!$H$19)/(365/12), "Date non renseignée ou produit périmé"))</f>
        <v>ND</v>
      </c>
      <c r="BA12" s="1923" t="str">
        <f t="shared" si="38"/>
        <v>ND</v>
      </c>
      <c r="BB12" s="1923" t="str">
        <f t="shared" si="39"/>
        <v>ND</v>
      </c>
      <c r="BC12" s="1923" t="str">
        <f t="shared" si="40"/>
        <v>ND</v>
      </c>
      <c r="BD12" s="1924" t="str">
        <f t="shared" si="41"/>
        <v>ND</v>
      </c>
      <c r="BE12" s="1919">
        <f>'Saisie données stocks'!AA24</f>
        <v>0</v>
      </c>
      <c r="BF12" s="1920">
        <f>'Saisie données stocks'!AB24</f>
        <v>0</v>
      </c>
      <c r="BG12" s="1923">
        <f t="shared" si="42"/>
        <v>0</v>
      </c>
      <c r="BH12" s="1923" t="str">
        <f>IF(AND(BE12=0, BF12=0), "ND", IF((BE12-Paramétrage!$H$19)&gt;0, (BE12-Paramétrage!$H$19)/(365/12), "Date non renseignée ou produit périmé"))</f>
        <v>ND</v>
      </c>
      <c r="BI12" s="1923" t="str">
        <f t="shared" si="43"/>
        <v>ND</v>
      </c>
      <c r="BJ12" s="1923" t="str">
        <f t="shared" si="44"/>
        <v>ND</v>
      </c>
      <c r="BK12" s="1923" t="str">
        <f t="shared" si="45"/>
        <v>ND</v>
      </c>
      <c r="BL12" s="1924" t="str">
        <f t="shared" si="46"/>
        <v>ND</v>
      </c>
      <c r="BM12" s="1919">
        <f>'Saisie données stocks'!AC24</f>
        <v>0</v>
      </c>
      <c r="BN12" s="1920">
        <f>'Saisie données stocks'!AD24</f>
        <v>0</v>
      </c>
      <c r="BO12" s="1923">
        <f t="shared" si="47"/>
        <v>0</v>
      </c>
      <c r="BP12" s="1923" t="str">
        <f>IF(AND(BM12=0, BN12=0), "ND", IF((BM12-Paramétrage!$H$19)&gt;0, (BM12-Paramétrage!$H$19)/(365/12), "Date non renseignée ou produit périmé"))</f>
        <v>ND</v>
      </c>
      <c r="BQ12" s="1923" t="str">
        <f t="shared" si="48"/>
        <v>ND</v>
      </c>
      <c r="BR12" s="1923" t="str">
        <f t="shared" si="49"/>
        <v>ND</v>
      </c>
      <c r="BS12" s="1923" t="str">
        <f t="shared" si="50"/>
        <v>ND</v>
      </c>
      <c r="BT12" s="1924" t="str">
        <f t="shared" si="51"/>
        <v>ND</v>
      </c>
      <c r="BU12" s="1925">
        <f>IF('Saisie données stocks'!$O$10='TRAD-Saisie données stocks'!$B$51, IF(P12="OK", IF(AND(BR12&gt;0, ISNUMBER(BR12)), (BO12-BR12), (BO12)), O12), O12)</f>
        <v>0</v>
      </c>
      <c r="BV12" s="1925">
        <f t="shared" si="52"/>
        <v>147</v>
      </c>
      <c r="BW12" s="2045">
        <f t="shared" si="53"/>
        <v>42461</v>
      </c>
      <c r="BX12" s="2045">
        <f>IF('Saisie données stocks'!$O$10='TRAD-Saisie données stocks'!$B$51, IF('Calculs Péremption FA'!P12="OK", IF(BU12=O12, MAX(Paramétrage!$H$19+('Saisie données stocks'!$N$14*(365/12)), BM12, BE12, AW12, AO12, AG12, Y12, R12), BW12), Paramétrage!$H$19+('Saisie données stocks'!$N$14*(365/12))), Paramétrage!$H$19+('Saisie données stocks'!$N$14*(365/12)))</f>
        <v>42461</v>
      </c>
      <c r="BY12" s="2046">
        <f t="shared" si="54"/>
        <v>1</v>
      </c>
      <c r="BZ12" s="2046">
        <f t="shared" si="55"/>
        <v>4</v>
      </c>
      <c r="CA12" s="2046">
        <f t="shared" si="56"/>
        <v>2016</v>
      </c>
      <c r="CB12" s="2046">
        <f>IF(BX12="", "", (BX12-Paramétrage!$H$19)/(365/12))</f>
        <v>17.81917808219178</v>
      </c>
      <c r="CC12" s="2046" t="str">
        <f>IF(CB12='Saisie données stocks'!N$14, 'TRAD-Calculs Péremption FA'!$B$74, CONCATENATE("DLU - ", BY12, "/", BZ12, "/", CA12))</f>
        <v>DLU - 1/4/2016</v>
      </c>
    </row>
    <row r="13" spans="1:81" ht="38.25" x14ac:dyDescent="0.2">
      <c r="B13" s="374"/>
      <c r="C13" s="375"/>
      <c r="D13" s="1912" t="s">
        <v>474</v>
      </c>
      <c r="E13" s="1913" t="str">
        <f>'TRAD-Calculs Péremption FA'!B9</f>
        <v>Cp</v>
      </c>
      <c r="F13" s="1913" t="s">
        <v>610</v>
      </c>
      <c r="G13" s="1914" t="s">
        <v>642</v>
      </c>
      <c r="H13" s="379" t="str">
        <f t="shared" si="17"/>
        <v>3TC+ABC - 30/60 mg</v>
      </c>
      <c r="I13" s="505">
        <v>60</v>
      </c>
      <c r="J13" s="657"/>
      <c r="K13" s="756">
        <f>IF('TdB Péremptions'!$H$9="X", 'Prix 10-2011 GPRM $'!$O$129, IF('TdB Péremptions'!$H$10="X", 'Prix 10-2011 GPRM $'!$Q$129, IF('TdB Péremptions'!$H$11="X", 'Prix VPP 102012 convert'!$O$129, IF('TdB Péremptions'!$H$12="X", 'Prix VPP 102012 convert'!$Q$129, IF('TdB Péremptions'!$H$13="X", 'Prix spécifiques'!$J$13, 0)))))</f>
        <v>5.8</v>
      </c>
      <c r="L13" s="756">
        <f>(1+'TdB Péremptions'!$H$14)*K13</f>
        <v>6.38</v>
      </c>
      <c r="M13" s="1916">
        <f>Calculs!O159</f>
        <v>0</v>
      </c>
      <c r="N13" s="1916">
        <f>Calculs!N213</f>
        <v>0</v>
      </c>
      <c r="O13" s="1916">
        <f>'Saisie données stocks'!N25</f>
        <v>231</v>
      </c>
      <c r="P13" s="1917" t="str">
        <f>IF(SUM('Saisie données stocks'!R25+'Saisie données stocks'!T25+'Saisie données stocks'!V25+'Saisie données stocks'!X25+'Saisie données stocks'!Z25+'Saisie données stocks'!AB25+'Saisie données stocks'!AD25)='Calculs Péremption FA'!O13,  "OK", 'TRAD-Saisie données stocks'!$B$70)</f>
        <v>OK</v>
      </c>
      <c r="Q13" s="1918" t="str">
        <f>IF(AND(O13&gt;0, M13=0, N13=0), 'TRAD-Calculs Péremption FA'!$B$76, "")</f>
        <v>Produit en stock mais sans aucune utilisation</v>
      </c>
      <c r="R13" s="1919">
        <f>'Saisie données stocks'!Q25</f>
        <v>42036</v>
      </c>
      <c r="S13" s="1920">
        <f>'Saisie données stocks'!R25</f>
        <v>231</v>
      </c>
      <c r="T13" s="1921">
        <f>IF(AND(R13=0, S13=0), "ND", IF((R13-Paramétrage!$H$19)&gt;0, (R13-Paramétrage!$H$19)/(365/12), "Date non renseignée ou produit périmé"))</f>
        <v>3.8465753424657532</v>
      </c>
      <c r="U13" s="1922">
        <f t="shared" si="18"/>
        <v>0</v>
      </c>
      <c r="V13" s="1922">
        <f t="shared" si="19"/>
        <v>231</v>
      </c>
      <c r="W13" s="1921" t="str">
        <f t="shared" si="20"/>
        <v>ATTENTION SURSTOCK et risque de péremption</v>
      </c>
      <c r="X13" s="1924">
        <f t="shared" si="21"/>
        <v>1473.78</v>
      </c>
      <c r="Y13" s="1919">
        <f>'Saisie données stocks'!S25</f>
        <v>0</v>
      </c>
      <c r="Z13" s="1920">
        <f>'Saisie données stocks'!T25</f>
        <v>0</v>
      </c>
      <c r="AA13" s="1923">
        <f t="shared" si="22"/>
        <v>0</v>
      </c>
      <c r="AB13" s="1923" t="str">
        <f>IF(AND(Y13=0, Z13=0), "ND", IF((Y13-Paramétrage!$H$19)&gt;0, (Y13-Paramétrage!$H$19)/(365/12), "Date non renseignée ou produit périmé"))</f>
        <v>ND</v>
      </c>
      <c r="AC13" s="1923" t="str">
        <f t="shared" si="23"/>
        <v>ND</v>
      </c>
      <c r="AD13" s="1923" t="str">
        <f t="shared" si="24"/>
        <v>ND</v>
      </c>
      <c r="AE13" s="1921" t="str">
        <f t="shared" si="25"/>
        <v>ND</v>
      </c>
      <c r="AF13" s="1924" t="str">
        <f t="shared" si="26"/>
        <v>ND</v>
      </c>
      <c r="AG13" s="1919">
        <f>'Saisie données stocks'!U25</f>
        <v>0</v>
      </c>
      <c r="AH13" s="1920">
        <f>'Saisie données stocks'!V25</f>
        <v>0</v>
      </c>
      <c r="AI13" s="1923">
        <f t="shared" si="27"/>
        <v>0</v>
      </c>
      <c r="AJ13" s="1923" t="str">
        <f>IF(AND(AG13=0, AH13=0), "ND", IF((AG13-Paramétrage!$H$19)&gt;0, (AG13-Paramétrage!$H$19)/(365/12), "Date non renseignée ou produit périmé"))</f>
        <v>ND</v>
      </c>
      <c r="AK13" s="1923" t="str">
        <f t="shared" si="28"/>
        <v>ND</v>
      </c>
      <c r="AL13" s="1923" t="str">
        <f t="shared" si="29"/>
        <v>ND</v>
      </c>
      <c r="AM13" s="1923" t="str">
        <f t="shared" si="30"/>
        <v>ND</v>
      </c>
      <c r="AN13" s="1924" t="str">
        <f t="shared" si="31"/>
        <v>ND</v>
      </c>
      <c r="AO13" s="1919">
        <f>'Saisie données stocks'!W25</f>
        <v>0</v>
      </c>
      <c r="AP13" s="1920">
        <f>'Saisie données stocks'!X25</f>
        <v>0</v>
      </c>
      <c r="AQ13" s="1923">
        <f t="shared" si="32"/>
        <v>0</v>
      </c>
      <c r="AR13" s="1923" t="str">
        <f>IF(AND(AO13=0, AP13=0), "ND", IF((AO13-Paramétrage!$H$19)&gt;0, (AO13-Paramétrage!$H$19)/(365/12), "Date non renseignée ou produit périmé"))</f>
        <v>ND</v>
      </c>
      <c r="AS13" s="1923" t="str">
        <f t="shared" si="33"/>
        <v>ND</v>
      </c>
      <c r="AT13" s="1923" t="str">
        <f t="shared" si="34"/>
        <v>ND</v>
      </c>
      <c r="AU13" s="1923" t="str">
        <f t="shared" si="35"/>
        <v>ND</v>
      </c>
      <c r="AV13" s="1924" t="str">
        <f t="shared" si="36"/>
        <v>ND</v>
      </c>
      <c r="AW13" s="1919">
        <f>'Saisie données stocks'!Y25</f>
        <v>0</v>
      </c>
      <c r="AX13" s="1920">
        <f>'Saisie données stocks'!Z25</f>
        <v>0</v>
      </c>
      <c r="AY13" s="1923">
        <f t="shared" si="37"/>
        <v>0</v>
      </c>
      <c r="AZ13" s="1923" t="str">
        <f>IF(AND(AW13=0, AX13=0), "ND", IF((AW13-Paramétrage!$H$19)&gt;0, (AW13-Paramétrage!$H$19)/(365/12), "Date non renseignée ou produit périmé"))</f>
        <v>ND</v>
      </c>
      <c r="BA13" s="1923" t="str">
        <f t="shared" si="38"/>
        <v>ND</v>
      </c>
      <c r="BB13" s="1923" t="str">
        <f t="shared" si="39"/>
        <v>ND</v>
      </c>
      <c r="BC13" s="1923" t="str">
        <f t="shared" si="40"/>
        <v>ND</v>
      </c>
      <c r="BD13" s="1924" t="str">
        <f t="shared" si="41"/>
        <v>ND</v>
      </c>
      <c r="BE13" s="1919">
        <f>'Saisie données stocks'!AA25</f>
        <v>0</v>
      </c>
      <c r="BF13" s="1920">
        <f>'Saisie données stocks'!AB25</f>
        <v>0</v>
      </c>
      <c r="BG13" s="1923">
        <f t="shared" si="42"/>
        <v>0</v>
      </c>
      <c r="BH13" s="1923" t="str">
        <f>IF(AND(BE13=0, BF13=0), "ND", IF((BE13-Paramétrage!$H$19)&gt;0, (BE13-Paramétrage!$H$19)/(365/12), "Date non renseignée ou produit périmé"))</f>
        <v>ND</v>
      </c>
      <c r="BI13" s="1923" t="str">
        <f t="shared" si="43"/>
        <v>ND</v>
      </c>
      <c r="BJ13" s="1923" t="str">
        <f t="shared" si="44"/>
        <v>ND</v>
      </c>
      <c r="BK13" s="1923" t="str">
        <f t="shared" si="45"/>
        <v>ND</v>
      </c>
      <c r="BL13" s="1924" t="str">
        <f t="shared" si="46"/>
        <v>ND</v>
      </c>
      <c r="BM13" s="1919">
        <f>'Saisie données stocks'!AC25</f>
        <v>0</v>
      </c>
      <c r="BN13" s="1920">
        <f>'Saisie données stocks'!AD25</f>
        <v>0</v>
      </c>
      <c r="BO13" s="1923">
        <f t="shared" si="47"/>
        <v>0</v>
      </c>
      <c r="BP13" s="1923" t="str">
        <f>IF(AND(BM13=0, BN13=0), "ND", IF((BM13-Paramétrage!$H$19)&gt;0, (BM13-Paramétrage!$H$19)/(365/12), "Date non renseignée ou produit périmé"))</f>
        <v>ND</v>
      </c>
      <c r="BQ13" s="1923" t="str">
        <f t="shared" si="48"/>
        <v>ND</v>
      </c>
      <c r="BR13" s="1923" t="str">
        <f t="shared" si="49"/>
        <v>ND</v>
      </c>
      <c r="BS13" s="1923" t="str">
        <f t="shared" si="50"/>
        <v>ND</v>
      </c>
      <c r="BT13" s="1924" t="str">
        <f t="shared" si="51"/>
        <v>ND</v>
      </c>
      <c r="BU13" s="1925">
        <f>IF('Saisie données stocks'!$O$10='TRAD-Saisie données stocks'!$B$51, IF(P13="OK", IF(AND(BR13&gt;0, ISNUMBER(BR13)), (BO13-BR13), (BO13)), O13), O13)</f>
        <v>0</v>
      </c>
      <c r="BV13" s="1925">
        <f t="shared" si="52"/>
        <v>231</v>
      </c>
      <c r="BW13" s="2045">
        <f t="shared" si="53"/>
        <v>42036</v>
      </c>
      <c r="BX13" s="2045">
        <f>IF('Saisie données stocks'!$O$10='TRAD-Saisie données stocks'!$B$51, IF('Calculs Péremption FA'!P13="OK", IF(BU13=O13, MAX(Paramétrage!$H$19+('Saisie données stocks'!$N$14*(365/12)), BM13, BE13, AW13, AO13, AG13, Y13, R13), BW13), Paramétrage!$H$19+('Saisie données stocks'!$N$14*(365/12))), Paramétrage!$H$19+('Saisie données stocks'!$N$14*(365/12)))</f>
        <v>42036</v>
      </c>
      <c r="BY13" s="2046">
        <f t="shared" si="54"/>
        <v>1</v>
      </c>
      <c r="BZ13" s="2046">
        <f t="shared" si="55"/>
        <v>2</v>
      </c>
      <c r="CA13" s="2046">
        <f t="shared" si="56"/>
        <v>2015</v>
      </c>
      <c r="CB13" s="2046">
        <f>IF(BX13="", "", (BX13-Paramétrage!$H$19)/(365/12))</f>
        <v>3.8465753424657532</v>
      </c>
      <c r="CC13" s="2046" t="str">
        <f>IF(CB13='Saisie données stocks'!N$14, 'TRAD-Calculs Péremption FA'!$B$74, CONCATENATE("DLU - ", BY13, "/", BZ13, "/", CA13))</f>
        <v>DLU - 1/2/2015</v>
      </c>
    </row>
    <row r="14" spans="1:81" ht="38.25" x14ac:dyDescent="0.2">
      <c r="B14" s="374"/>
      <c r="C14" s="375"/>
      <c r="D14" s="1926" t="s">
        <v>2</v>
      </c>
      <c r="E14" s="1815" t="str">
        <f>'TRAD-Calculs Péremption FA'!B9</f>
        <v>Cp</v>
      </c>
      <c r="F14" s="1815" t="s">
        <v>21</v>
      </c>
      <c r="G14" s="1208" t="s">
        <v>643</v>
      </c>
      <c r="H14" s="1720" t="str">
        <f t="shared" si="17"/>
        <v>D4T+3TC+NVP - 30/150/200 mg</v>
      </c>
      <c r="I14" s="1385">
        <v>60</v>
      </c>
      <c r="J14" s="1645"/>
      <c r="K14" s="1628">
        <f>IF('TdB Péremptions'!$H$9="X", 'Prix 10-2011 GPRM $'!$O$29, IF('TdB Péremptions'!$H$10="X", 'Prix 10-2011 GPRM $'!$Q$29, IF('TdB Péremptions'!$H$11="X", 'Prix VPP 102012 convert'!$O$29, IF('TdB Péremptions'!$H$12="X", 'Prix VPP 102012 convert'!$Q$29, IF('TdB Péremptions'!$H$13="X", 'Prix spécifiques'!$J$14, 0)))))</f>
        <v>4.91</v>
      </c>
      <c r="L14" s="1628">
        <f>(1+'TdB Péremptions'!$H$14)*K14</f>
        <v>5.4010000000000007</v>
      </c>
      <c r="M14" s="1916">
        <f>Calculs!O160</f>
        <v>0</v>
      </c>
      <c r="N14" s="1916">
        <f>Calculs!N214</f>
        <v>0</v>
      </c>
      <c r="O14" s="1916">
        <f>'Saisie données stocks'!N26</f>
        <v>0</v>
      </c>
      <c r="P14" s="1917" t="str">
        <f>IF(SUM('Saisie données stocks'!R26+'Saisie données stocks'!T26+'Saisie données stocks'!V26+'Saisie données stocks'!X26+'Saisie données stocks'!Z26+'Saisie données stocks'!AB26+'Saisie données stocks'!AD26)='Calculs Péremption FA'!O14,  "OK", 'TRAD-Saisie données stocks'!$B$70)</f>
        <v>OK</v>
      </c>
      <c r="Q14" s="1918" t="str">
        <f>IF(AND(O14&gt;0, M14=0, N14=0), 'TRAD-Calculs Péremption FA'!$B$76, "")</f>
        <v/>
      </c>
      <c r="R14" s="1919">
        <f>'Saisie données stocks'!Q26</f>
        <v>0</v>
      </c>
      <c r="S14" s="1920">
        <f>'Saisie données stocks'!R26</f>
        <v>0</v>
      </c>
      <c r="T14" s="1921" t="str">
        <f>IF(AND(R14=0, S14=0), "ND", IF((R14-Paramétrage!$H$19)&gt;0, (R14-Paramétrage!$H$19)/(365/12), "Date non renseignée ou produit périmé"))</f>
        <v>ND</v>
      </c>
      <c r="U14" s="1922" t="str">
        <f t="shared" si="18"/>
        <v>ND</v>
      </c>
      <c r="V14" s="1922" t="str">
        <f t="shared" si="19"/>
        <v>ND</v>
      </c>
      <c r="W14" s="1921" t="str">
        <f t="shared" si="20"/>
        <v>ND</v>
      </c>
      <c r="X14" s="1924" t="str">
        <f t="shared" si="21"/>
        <v>ND</v>
      </c>
      <c r="Y14" s="1919">
        <f>'Saisie données stocks'!S26</f>
        <v>0</v>
      </c>
      <c r="Z14" s="1920">
        <f>'Saisie données stocks'!T26</f>
        <v>0</v>
      </c>
      <c r="AA14" s="1923">
        <f t="shared" si="22"/>
        <v>0</v>
      </c>
      <c r="AB14" s="1923" t="str">
        <f>IF(AND(Y14=0, Z14=0), "ND", IF((Y14-Paramétrage!$H$19)&gt;0, (Y14-Paramétrage!$H$19)/(365/12), "Date non renseignée ou produit périmé"))</f>
        <v>ND</v>
      </c>
      <c r="AC14" s="1923" t="str">
        <f t="shared" si="23"/>
        <v>ND</v>
      </c>
      <c r="AD14" s="1923" t="str">
        <f t="shared" si="24"/>
        <v>ND</v>
      </c>
      <c r="AE14" s="1921" t="str">
        <f t="shared" si="25"/>
        <v>ND</v>
      </c>
      <c r="AF14" s="1924" t="str">
        <f t="shared" si="26"/>
        <v>ND</v>
      </c>
      <c r="AG14" s="1919">
        <f>'Saisie données stocks'!U26</f>
        <v>0</v>
      </c>
      <c r="AH14" s="1920">
        <f>'Saisie données stocks'!V26</f>
        <v>0</v>
      </c>
      <c r="AI14" s="1923">
        <f t="shared" si="27"/>
        <v>0</v>
      </c>
      <c r="AJ14" s="1923" t="str">
        <f>IF(AND(AG14=0, AH14=0), "ND", IF((AG14-Paramétrage!$H$19)&gt;0, (AG14-Paramétrage!$H$19)/(365/12), "Date non renseignée ou produit périmé"))</f>
        <v>ND</v>
      </c>
      <c r="AK14" s="1923" t="str">
        <f t="shared" si="28"/>
        <v>ND</v>
      </c>
      <c r="AL14" s="1923" t="str">
        <f t="shared" si="29"/>
        <v>ND</v>
      </c>
      <c r="AM14" s="1923" t="str">
        <f t="shared" si="30"/>
        <v>ND</v>
      </c>
      <c r="AN14" s="1924" t="str">
        <f t="shared" si="31"/>
        <v>ND</v>
      </c>
      <c r="AO14" s="1919">
        <f>'Saisie données stocks'!W26</f>
        <v>0</v>
      </c>
      <c r="AP14" s="1920">
        <f>'Saisie données stocks'!X26</f>
        <v>0</v>
      </c>
      <c r="AQ14" s="1923">
        <f t="shared" si="32"/>
        <v>0</v>
      </c>
      <c r="AR14" s="1923" t="str">
        <f>IF(AND(AO14=0, AP14=0), "ND", IF((AO14-Paramétrage!$H$19)&gt;0, (AO14-Paramétrage!$H$19)/(365/12), "Date non renseignée ou produit périmé"))</f>
        <v>ND</v>
      </c>
      <c r="AS14" s="1923" t="str">
        <f t="shared" si="33"/>
        <v>ND</v>
      </c>
      <c r="AT14" s="1923" t="str">
        <f t="shared" si="34"/>
        <v>ND</v>
      </c>
      <c r="AU14" s="1923" t="str">
        <f t="shared" si="35"/>
        <v>ND</v>
      </c>
      <c r="AV14" s="1924" t="str">
        <f t="shared" si="36"/>
        <v>ND</v>
      </c>
      <c r="AW14" s="1919">
        <f>'Saisie données stocks'!Y26</f>
        <v>0</v>
      </c>
      <c r="AX14" s="1920">
        <f>'Saisie données stocks'!Z26</f>
        <v>0</v>
      </c>
      <c r="AY14" s="1923">
        <f t="shared" si="37"/>
        <v>0</v>
      </c>
      <c r="AZ14" s="1923" t="str">
        <f>IF(AND(AW14=0, AX14=0), "ND", IF((AW14-Paramétrage!$H$19)&gt;0, (AW14-Paramétrage!$H$19)/(365/12), "Date non renseignée ou produit périmé"))</f>
        <v>ND</v>
      </c>
      <c r="BA14" s="1923" t="str">
        <f t="shared" si="38"/>
        <v>ND</v>
      </c>
      <c r="BB14" s="1923" t="str">
        <f t="shared" si="39"/>
        <v>ND</v>
      </c>
      <c r="BC14" s="1923" t="str">
        <f t="shared" si="40"/>
        <v>ND</v>
      </c>
      <c r="BD14" s="1924" t="str">
        <f t="shared" si="41"/>
        <v>ND</v>
      </c>
      <c r="BE14" s="1919">
        <f>'Saisie données stocks'!AA26</f>
        <v>0</v>
      </c>
      <c r="BF14" s="1920">
        <f>'Saisie données stocks'!AB26</f>
        <v>0</v>
      </c>
      <c r="BG14" s="1923">
        <f t="shared" si="42"/>
        <v>0</v>
      </c>
      <c r="BH14" s="1923" t="str">
        <f>IF(AND(BE14=0, BF14=0), "ND", IF((BE14-Paramétrage!$H$19)&gt;0, (BE14-Paramétrage!$H$19)/(365/12), "Date non renseignée ou produit périmé"))</f>
        <v>ND</v>
      </c>
      <c r="BI14" s="1923" t="str">
        <f t="shared" si="43"/>
        <v>ND</v>
      </c>
      <c r="BJ14" s="1923" t="str">
        <f t="shared" si="44"/>
        <v>ND</v>
      </c>
      <c r="BK14" s="1923" t="str">
        <f t="shared" si="45"/>
        <v>ND</v>
      </c>
      <c r="BL14" s="1924" t="str">
        <f t="shared" si="46"/>
        <v>ND</v>
      </c>
      <c r="BM14" s="1919">
        <f>'Saisie données stocks'!AC26</f>
        <v>0</v>
      </c>
      <c r="BN14" s="1920">
        <f>'Saisie données stocks'!AD26</f>
        <v>0</v>
      </c>
      <c r="BO14" s="1923">
        <f t="shared" si="47"/>
        <v>0</v>
      </c>
      <c r="BP14" s="1923" t="str">
        <f>IF(AND(BM14=0, BN14=0), "ND", IF((BM14-Paramétrage!$H$19)&gt;0, (BM14-Paramétrage!$H$19)/(365/12), "Date non renseignée ou produit périmé"))</f>
        <v>ND</v>
      </c>
      <c r="BQ14" s="1923" t="str">
        <f t="shared" si="48"/>
        <v>ND</v>
      </c>
      <c r="BR14" s="1923" t="str">
        <f t="shared" si="49"/>
        <v>ND</v>
      </c>
      <c r="BS14" s="1923" t="str">
        <f t="shared" si="50"/>
        <v>ND</v>
      </c>
      <c r="BT14" s="1924" t="str">
        <f t="shared" si="51"/>
        <v>ND</v>
      </c>
      <c r="BU14" s="1925">
        <f>IF('Saisie données stocks'!$O$10='TRAD-Saisie données stocks'!$B$51, IF(P14="OK", IF(AND(BR14&gt;0, ISNUMBER(BR14)), (BO14-BR14), (BO14)), O14), O14)</f>
        <v>0</v>
      </c>
      <c r="BV14" s="1925">
        <f t="shared" si="52"/>
        <v>0</v>
      </c>
      <c r="BW14" s="2045" t="str">
        <f t="shared" si="53"/>
        <v/>
      </c>
      <c r="BX14" s="2045">
        <f>IF('Saisie données stocks'!$O$10='TRAD-Saisie données stocks'!$B$51, IF('Calculs Péremption FA'!P14="OK", IF(BU14=O14, MAX(Paramétrage!$H$19+('Saisie données stocks'!$N$14*(365/12)), BM14, BE14, AW14, AO14, AG14, Y14, R14), BW14), Paramétrage!$H$19+('Saisie données stocks'!$N$14*(365/12))), Paramétrage!$H$19+('Saisie données stocks'!$N$14*(365/12)))</f>
        <v>42101.5</v>
      </c>
      <c r="BY14" s="2046">
        <f t="shared" si="54"/>
        <v>7</v>
      </c>
      <c r="BZ14" s="2046">
        <f t="shared" si="55"/>
        <v>4</v>
      </c>
      <c r="CA14" s="2046">
        <f t="shared" si="56"/>
        <v>2015</v>
      </c>
      <c r="CB14" s="2046">
        <f>IF(BX14="", "", (BX14-Paramétrage!$H$19)/(365/12))</f>
        <v>6</v>
      </c>
      <c r="CC14" s="2046" t="str">
        <f>IF(CB14='Saisie données stocks'!N$14, 'TRAD-Calculs Péremption FA'!$B$74, CONCATENATE("DLU - ", BY14, "/", BZ14, "/", CA14))</f>
        <v>Durée de vie max</v>
      </c>
    </row>
    <row r="15" spans="1:81" ht="38.25" x14ac:dyDescent="0.2">
      <c r="B15" s="374"/>
      <c r="C15" s="375"/>
      <c r="D15" s="1926" t="s">
        <v>2</v>
      </c>
      <c r="E15" s="1815" t="str">
        <f>'TRAD-Calculs Péremption FA'!B9</f>
        <v>Cp</v>
      </c>
      <c r="F15" s="1815" t="s">
        <v>102</v>
      </c>
      <c r="G15" s="1208" t="s">
        <v>643</v>
      </c>
      <c r="H15" s="1720" t="str">
        <f t="shared" si="17"/>
        <v>D4T+3TC+NVP - 6/30/50 mg</v>
      </c>
      <c r="I15" s="1385">
        <v>60</v>
      </c>
      <c r="J15" s="1645"/>
      <c r="K15" s="1628">
        <f>IF('TdB Péremptions'!$H$9="X", 'Prix 10-2011 GPRM $'!$O$109, IF('TdB Péremptions'!$H$10="X", 'Prix 10-2011 GPRM $'!$Q$109, IF('TdB Péremptions'!$H$11="X", 'Prix VPP 102012 convert'!$O$109, IF('TdB Péremptions'!$H$12="X", 'Prix VPP 102012 convert'!$Q$109, IF('TdB Péremptions'!$H$13="X", 'Prix spécifiques'!$J$15, 0)))))</f>
        <v>2.25</v>
      </c>
      <c r="L15" s="1628">
        <f>(1+'TdB Péremptions'!$H$14)*K15</f>
        <v>2.4750000000000001</v>
      </c>
      <c r="M15" s="1916">
        <f>Calculs!O161</f>
        <v>0</v>
      </c>
      <c r="N15" s="1916">
        <f>Calculs!N215</f>
        <v>0</v>
      </c>
      <c r="O15" s="1916">
        <f>'Saisie données stocks'!N27</f>
        <v>91</v>
      </c>
      <c r="P15" s="1917" t="str">
        <f>IF(SUM('Saisie données stocks'!R27+'Saisie données stocks'!T27+'Saisie données stocks'!V27+'Saisie données stocks'!X27+'Saisie données stocks'!Z27+'Saisie données stocks'!AB27+'Saisie données stocks'!AD27)='Calculs Péremption FA'!O15,  "OK", 'TRAD-Saisie données stocks'!$B$70)</f>
        <v>OK</v>
      </c>
      <c r="Q15" s="1918" t="str">
        <f>IF(AND(O15&gt;0, M15=0, N15=0), 'TRAD-Calculs Péremption FA'!$B$76, "")</f>
        <v>Produit en stock mais sans aucune utilisation</v>
      </c>
      <c r="R15" s="1919">
        <f>'Saisie données stocks'!Q27</f>
        <v>41944</v>
      </c>
      <c r="S15" s="1920">
        <f>'Saisie données stocks'!R27</f>
        <v>91</v>
      </c>
      <c r="T15" s="1921">
        <f>IF(AND(R15=0, S15=0), "ND", IF((R15-Paramétrage!$H$19)&gt;0, (R15-Paramétrage!$H$19)/(365/12), "Date non renseignée ou produit périmé"))</f>
        <v>0.82191780821917804</v>
      </c>
      <c r="U15" s="1922">
        <f t="shared" si="18"/>
        <v>0</v>
      </c>
      <c r="V15" s="1922">
        <f t="shared" si="19"/>
        <v>91</v>
      </c>
      <c r="W15" s="1921" t="str">
        <f t="shared" si="20"/>
        <v>ATTENTION SURSTOCK et risque de péremption</v>
      </c>
      <c r="X15" s="1924">
        <f t="shared" si="21"/>
        <v>225.22499999999999</v>
      </c>
      <c r="Y15" s="1919">
        <f>'Saisie données stocks'!S27</f>
        <v>0</v>
      </c>
      <c r="Z15" s="1920">
        <f>'Saisie données stocks'!T27</f>
        <v>0</v>
      </c>
      <c r="AA15" s="1923">
        <f t="shared" si="22"/>
        <v>0</v>
      </c>
      <c r="AB15" s="1923" t="str">
        <f>IF(AND(Y15=0, Z15=0), "ND", IF((Y15-Paramétrage!$H$19)&gt;0, (Y15-Paramétrage!$H$19)/(365/12), "Date non renseignée ou produit périmé"))</f>
        <v>ND</v>
      </c>
      <c r="AC15" s="1923" t="str">
        <f t="shared" si="23"/>
        <v>ND</v>
      </c>
      <c r="AD15" s="1923" t="str">
        <f t="shared" si="24"/>
        <v>ND</v>
      </c>
      <c r="AE15" s="1921" t="str">
        <f t="shared" si="25"/>
        <v>ND</v>
      </c>
      <c r="AF15" s="1924" t="str">
        <f t="shared" si="26"/>
        <v>ND</v>
      </c>
      <c r="AG15" s="1919">
        <f>'Saisie données stocks'!U27</f>
        <v>0</v>
      </c>
      <c r="AH15" s="1920">
        <f>'Saisie données stocks'!V27</f>
        <v>0</v>
      </c>
      <c r="AI15" s="1923">
        <f t="shared" si="27"/>
        <v>0</v>
      </c>
      <c r="AJ15" s="1923" t="str">
        <f>IF(AND(AG15=0, AH15=0), "ND", IF((AG15-Paramétrage!$H$19)&gt;0, (AG15-Paramétrage!$H$19)/(365/12), "Date non renseignée ou produit périmé"))</f>
        <v>ND</v>
      </c>
      <c r="AK15" s="1923" t="str">
        <f t="shared" si="28"/>
        <v>ND</v>
      </c>
      <c r="AL15" s="1923" t="str">
        <f t="shared" si="29"/>
        <v>ND</v>
      </c>
      <c r="AM15" s="1923" t="str">
        <f t="shared" si="30"/>
        <v>ND</v>
      </c>
      <c r="AN15" s="1924" t="str">
        <f t="shared" si="31"/>
        <v>ND</v>
      </c>
      <c r="AO15" s="1919">
        <f>'Saisie données stocks'!W27</f>
        <v>0</v>
      </c>
      <c r="AP15" s="1920">
        <f>'Saisie données stocks'!X27</f>
        <v>0</v>
      </c>
      <c r="AQ15" s="1923">
        <f t="shared" si="32"/>
        <v>0</v>
      </c>
      <c r="AR15" s="1923" t="str">
        <f>IF(AND(AO15=0, AP15=0), "ND", IF((AO15-Paramétrage!$H$19)&gt;0, (AO15-Paramétrage!$H$19)/(365/12), "Date non renseignée ou produit périmé"))</f>
        <v>ND</v>
      </c>
      <c r="AS15" s="1923" t="str">
        <f t="shared" si="33"/>
        <v>ND</v>
      </c>
      <c r="AT15" s="1923" t="str">
        <f t="shared" si="34"/>
        <v>ND</v>
      </c>
      <c r="AU15" s="1923" t="str">
        <f t="shared" si="35"/>
        <v>ND</v>
      </c>
      <c r="AV15" s="1924" t="str">
        <f t="shared" si="36"/>
        <v>ND</v>
      </c>
      <c r="AW15" s="1919">
        <f>'Saisie données stocks'!Y27</f>
        <v>0</v>
      </c>
      <c r="AX15" s="1920">
        <f>'Saisie données stocks'!Z27</f>
        <v>0</v>
      </c>
      <c r="AY15" s="1923">
        <f t="shared" si="37"/>
        <v>0</v>
      </c>
      <c r="AZ15" s="1923" t="str">
        <f>IF(AND(AW15=0, AX15=0), "ND", IF((AW15-Paramétrage!$H$19)&gt;0, (AW15-Paramétrage!$H$19)/(365/12), "Date non renseignée ou produit périmé"))</f>
        <v>ND</v>
      </c>
      <c r="BA15" s="1923" t="str">
        <f t="shared" si="38"/>
        <v>ND</v>
      </c>
      <c r="BB15" s="1923" t="str">
        <f t="shared" si="39"/>
        <v>ND</v>
      </c>
      <c r="BC15" s="1923" t="str">
        <f t="shared" si="40"/>
        <v>ND</v>
      </c>
      <c r="BD15" s="1924" t="str">
        <f t="shared" si="41"/>
        <v>ND</v>
      </c>
      <c r="BE15" s="1919">
        <f>'Saisie données stocks'!AA27</f>
        <v>0</v>
      </c>
      <c r="BF15" s="1920">
        <f>'Saisie données stocks'!AB27</f>
        <v>0</v>
      </c>
      <c r="BG15" s="1923">
        <f t="shared" si="42"/>
        <v>0</v>
      </c>
      <c r="BH15" s="1923" t="str">
        <f>IF(AND(BE15=0, BF15=0), "ND", IF((BE15-Paramétrage!$H$19)&gt;0, (BE15-Paramétrage!$H$19)/(365/12), "Date non renseignée ou produit périmé"))</f>
        <v>ND</v>
      </c>
      <c r="BI15" s="1923" t="str">
        <f t="shared" si="43"/>
        <v>ND</v>
      </c>
      <c r="BJ15" s="1923" t="str">
        <f t="shared" si="44"/>
        <v>ND</v>
      </c>
      <c r="BK15" s="1923" t="str">
        <f t="shared" si="45"/>
        <v>ND</v>
      </c>
      <c r="BL15" s="1924" t="str">
        <f t="shared" si="46"/>
        <v>ND</v>
      </c>
      <c r="BM15" s="1919">
        <f>'Saisie données stocks'!AC27</f>
        <v>0</v>
      </c>
      <c r="BN15" s="1920">
        <f>'Saisie données stocks'!AD27</f>
        <v>0</v>
      </c>
      <c r="BO15" s="1923">
        <f t="shared" si="47"/>
        <v>0</v>
      </c>
      <c r="BP15" s="1923" t="str">
        <f>IF(AND(BM15=0, BN15=0), "ND", IF((BM15-Paramétrage!$H$19)&gt;0, (BM15-Paramétrage!$H$19)/(365/12), "Date non renseignée ou produit périmé"))</f>
        <v>ND</v>
      </c>
      <c r="BQ15" s="1923" t="str">
        <f t="shared" si="48"/>
        <v>ND</v>
      </c>
      <c r="BR15" s="1923" t="str">
        <f t="shared" si="49"/>
        <v>ND</v>
      </c>
      <c r="BS15" s="1923" t="str">
        <f t="shared" si="50"/>
        <v>ND</v>
      </c>
      <c r="BT15" s="1924" t="str">
        <f t="shared" si="51"/>
        <v>ND</v>
      </c>
      <c r="BU15" s="1925">
        <f>IF('Saisie données stocks'!$O$10='TRAD-Saisie données stocks'!$B$51, IF(P15="OK", IF(AND(BR15&gt;0, ISNUMBER(BR15)), (BO15-BR15), (BO15)), O15), O15)</f>
        <v>0</v>
      </c>
      <c r="BV15" s="1925">
        <f t="shared" si="52"/>
        <v>91</v>
      </c>
      <c r="BW15" s="2045">
        <f t="shared" si="53"/>
        <v>41944</v>
      </c>
      <c r="BX15" s="2045">
        <f>IF('Saisie données stocks'!$O$10='TRAD-Saisie données stocks'!$B$51, IF('Calculs Péremption FA'!P15="OK", IF(BU15=O15, MAX(Paramétrage!$H$19+('Saisie données stocks'!$N$14*(365/12)), BM15, BE15, AW15, AO15, AG15, Y15, R15), BW15), Paramétrage!$H$19+('Saisie données stocks'!$N$14*(365/12))), Paramétrage!$H$19+('Saisie données stocks'!$N$14*(365/12)))</f>
        <v>41944</v>
      </c>
      <c r="BY15" s="2046">
        <f t="shared" si="54"/>
        <v>1</v>
      </c>
      <c r="BZ15" s="2046">
        <f t="shared" si="55"/>
        <v>11</v>
      </c>
      <c r="CA15" s="2046">
        <f t="shared" si="56"/>
        <v>2014</v>
      </c>
      <c r="CB15" s="2046">
        <f>IF(BX15="", "", (BX15-Paramétrage!$H$19)/(365/12))</f>
        <v>0.82191780821917804</v>
      </c>
      <c r="CC15" s="2046" t="str">
        <f>IF(CB15='Saisie données stocks'!N$14, 'TRAD-Calculs Péremption FA'!$B$74, CONCATENATE("DLU - ", BY15, "/", BZ15, "/", CA15))</f>
        <v>DLU - 1/11/2014</v>
      </c>
    </row>
    <row r="16" spans="1:81" ht="38.25" x14ac:dyDescent="0.2">
      <c r="B16" s="374"/>
      <c r="C16" s="375"/>
      <c r="D16" s="1926" t="s">
        <v>22</v>
      </c>
      <c r="E16" s="1815" t="str">
        <f>'TRAD-Calculs Péremption FA'!B9</f>
        <v>Cp</v>
      </c>
      <c r="F16" s="1815" t="s">
        <v>23</v>
      </c>
      <c r="G16" s="377" t="s">
        <v>644</v>
      </c>
      <c r="H16" s="379" t="str">
        <f t="shared" si="17"/>
        <v>D4T+3TC - 30/150 mg</v>
      </c>
      <c r="I16" s="1385">
        <v>60</v>
      </c>
      <c r="J16" s="1645"/>
      <c r="K16" s="1628">
        <f>IF('TdB Péremptions'!$H$9="X", 'Prix 10-2011 GPRM $'!$O$30, IF('TdB Péremptions'!$H$10="X", 'Prix 10-2011 GPRM $'!$Q$30, IF('TdB Péremptions'!$H$11="X", 'Prix VPP 102012 convert'!$O$30, IF('TdB Péremptions'!$H$12="X", 'Prix VPP 102012 convert'!$Q$30, IF('TdB Péremptions'!$H$13="X", 'Prix spécifiques'!$J$16, 0)))))</f>
        <v>2.9249999999999998</v>
      </c>
      <c r="L16" s="1628">
        <f>(1+'TdB Péremptions'!$H$14)*K16</f>
        <v>3.2175000000000002</v>
      </c>
      <c r="M16" s="1916">
        <f>Calculs!O162</f>
        <v>0</v>
      </c>
      <c r="N16" s="1916">
        <f>Calculs!N216</f>
        <v>0</v>
      </c>
      <c r="O16" s="1916">
        <f>'Saisie données stocks'!N28</f>
        <v>2</v>
      </c>
      <c r="P16" s="1917" t="str">
        <f>IF(SUM('Saisie données stocks'!R28+'Saisie données stocks'!T28+'Saisie données stocks'!V28+'Saisie données stocks'!X28+'Saisie données stocks'!Z28+'Saisie données stocks'!AB28+'Saisie données stocks'!AD28)='Calculs Péremption FA'!O16,  "OK", 'TRAD-Saisie données stocks'!$B$70)</f>
        <v>OK</v>
      </c>
      <c r="Q16" s="1918" t="str">
        <f>IF(AND(O16&gt;0, M16=0, N16=0), 'TRAD-Calculs Péremption FA'!$B$76, "")</f>
        <v>Produit en stock mais sans aucune utilisation</v>
      </c>
      <c r="R16" s="1919">
        <f>'Saisie données stocks'!Q28</f>
        <v>42005</v>
      </c>
      <c r="S16" s="1920">
        <f>'Saisie données stocks'!R28</f>
        <v>2</v>
      </c>
      <c r="T16" s="1921">
        <f>IF(AND(R16=0, S16=0), "ND", IF((R16-Paramétrage!$H$19)&gt;0, (R16-Paramétrage!$H$19)/(365/12), "Date non renseignée ou produit périmé"))</f>
        <v>2.8273972602739725</v>
      </c>
      <c r="U16" s="1922">
        <f t="shared" si="18"/>
        <v>0</v>
      </c>
      <c r="V16" s="1922">
        <f t="shared" si="19"/>
        <v>2</v>
      </c>
      <c r="W16" s="1921" t="str">
        <f t="shared" si="20"/>
        <v>ATTENTION SURSTOCK et risque de péremption</v>
      </c>
      <c r="X16" s="1924">
        <f t="shared" si="21"/>
        <v>6.4350000000000005</v>
      </c>
      <c r="Y16" s="1919">
        <f>'Saisie données stocks'!S28</f>
        <v>0</v>
      </c>
      <c r="Z16" s="1920">
        <f>'Saisie données stocks'!T28</f>
        <v>0</v>
      </c>
      <c r="AA16" s="1923">
        <f t="shared" si="22"/>
        <v>0</v>
      </c>
      <c r="AB16" s="1923" t="str">
        <f>IF(AND(Y16=0, Z16=0), "ND", IF((Y16-Paramétrage!$H$19)&gt;0, (Y16-Paramétrage!$H$19)/(365/12), "Date non renseignée ou produit périmé"))</f>
        <v>ND</v>
      </c>
      <c r="AC16" s="1923" t="str">
        <f t="shared" si="23"/>
        <v>ND</v>
      </c>
      <c r="AD16" s="1923" t="str">
        <f t="shared" si="24"/>
        <v>ND</v>
      </c>
      <c r="AE16" s="1921" t="str">
        <f t="shared" si="25"/>
        <v>ND</v>
      </c>
      <c r="AF16" s="1924" t="str">
        <f t="shared" si="26"/>
        <v>ND</v>
      </c>
      <c r="AG16" s="1919">
        <f>'Saisie données stocks'!U28</f>
        <v>0</v>
      </c>
      <c r="AH16" s="1920">
        <f>'Saisie données stocks'!V28</f>
        <v>0</v>
      </c>
      <c r="AI16" s="1923">
        <f t="shared" si="27"/>
        <v>0</v>
      </c>
      <c r="AJ16" s="1923" t="str">
        <f>IF(AND(AG16=0, AH16=0), "ND", IF((AG16-Paramétrage!$H$19)&gt;0, (AG16-Paramétrage!$H$19)/(365/12), "Date non renseignée ou produit périmé"))</f>
        <v>ND</v>
      </c>
      <c r="AK16" s="1923" t="str">
        <f t="shared" si="28"/>
        <v>ND</v>
      </c>
      <c r="AL16" s="1923" t="str">
        <f t="shared" si="29"/>
        <v>ND</v>
      </c>
      <c r="AM16" s="1923" t="str">
        <f t="shared" si="30"/>
        <v>ND</v>
      </c>
      <c r="AN16" s="1924" t="str">
        <f t="shared" si="31"/>
        <v>ND</v>
      </c>
      <c r="AO16" s="1919">
        <f>'Saisie données stocks'!W28</f>
        <v>0</v>
      </c>
      <c r="AP16" s="1920">
        <f>'Saisie données stocks'!X28</f>
        <v>0</v>
      </c>
      <c r="AQ16" s="1923">
        <f t="shared" si="32"/>
        <v>0</v>
      </c>
      <c r="AR16" s="1923" t="str">
        <f>IF(AND(AO16=0, AP16=0), "ND", IF((AO16-Paramétrage!$H$19)&gt;0, (AO16-Paramétrage!$H$19)/(365/12), "Date non renseignée ou produit périmé"))</f>
        <v>ND</v>
      </c>
      <c r="AS16" s="1923" t="str">
        <f t="shared" si="33"/>
        <v>ND</v>
      </c>
      <c r="AT16" s="1923" t="str">
        <f t="shared" si="34"/>
        <v>ND</v>
      </c>
      <c r="AU16" s="1923" t="str">
        <f t="shared" si="35"/>
        <v>ND</v>
      </c>
      <c r="AV16" s="1924" t="str">
        <f t="shared" si="36"/>
        <v>ND</v>
      </c>
      <c r="AW16" s="1919">
        <f>'Saisie données stocks'!Y28</f>
        <v>0</v>
      </c>
      <c r="AX16" s="1920">
        <f>'Saisie données stocks'!Z28</f>
        <v>0</v>
      </c>
      <c r="AY16" s="1923">
        <f t="shared" si="37"/>
        <v>0</v>
      </c>
      <c r="AZ16" s="1923" t="str">
        <f>IF(AND(AW16=0, AX16=0), "ND", IF((AW16-Paramétrage!$H$19)&gt;0, (AW16-Paramétrage!$H$19)/(365/12), "Date non renseignée ou produit périmé"))</f>
        <v>ND</v>
      </c>
      <c r="BA16" s="1923" t="str">
        <f t="shared" si="38"/>
        <v>ND</v>
      </c>
      <c r="BB16" s="1923" t="str">
        <f t="shared" si="39"/>
        <v>ND</v>
      </c>
      <c r="BC16" s="1923" t="str">
        <f t="shared" si="40"/>
        <v>ND</v>
      </c>
      <c r="BD16" s="1924" t="str">
        <f t="shared" si="41"/>
        <v>ND</v>
      </c>
      <c r="BE16" s="1919">
        <f>'Saisie données stocks'!AA28</f>
        <v>0</v>
      </c>
      <c r="BF16" s="1920">
        <f>'Saisie données stocks'!AB28</f>
        <v>0</v>
      </c>
      <c r="BG16" s="1923">
        <f t="shared" si="42"/>
        <v>0</v>
      </c>
      <c r="BH16" s="1923" t="str">
        <f>IF(AND(BE16=0, BF16=0), "ND", IF((BE16-Paramétrage!$H$19)&gt;0, (BE16-Paramétrage!$H$19)/(365/12), "Date non renseignée ou produit périmé"))</f>
        <v>ND</v>
      </c>
      <c r="BI16" s="1923" t="str">
        <f t="shared" si="43"/>
        <v>ND</v>
      </c>
      <c r="BJ16" s="1923" t="str">
        <f t="shared" si="44"/>
        <v>ND</v>
      </c>
      <c r="BK16" s="1923" t="str">
        <f t="shared" si="45"/>
        <v>ND</v>
      </c>
      <c r="BL16" s="1924" t="str">
        <f t="shared" si="46"/>
        <v>ND</v>
      </c>
      <c r="BM16" s="1919">
        <f>'Saisie données stocks'!AC28</f>
        <v>0</v>
      </c>
      <c r="BN16" s="1920">
        <f>'Saisie données stocks'!AD28</f>
        <v>0</v>
      </c>
      <c r="BO16" s="1923">
        <f t="shared" si="47"/>
        <v>0</v>
      </c>
      <c r="BP16" s="1923" t="str">
        <f>IF(AND(BM16=0, BN16=0), "ND", IF((BM16-Paramétrage!$H$19)&gt;0, (BM16-Paramétrage!$H$19)/(365/12), "Date non renseignée ou produit périmé"))</f>
        <v>ND</v>
      </c>
      <c r="BQ16" s="1923" t="str">
        <f t="shared" si="48"/>
        <v>ND</v>
      </c>
      <c r="BR16" s="1923" t="str">
        <f t="shared" si="49"/>
        <v>ND</v>
      </c>
      <c r="BS16" s="1923" t="str">
        <f t="shared" si="50"/>
        <v>ND</v>
      </c>
      <c r="BT16" s="1924" t="str">
        <f t="shared" si="51"/>
        <v>ND</v>
      </c>
      <c r="BU16" s="1925">
        <f>IF('Saisie données stocks'!$O$10='TRAD-Saisie données stocks'!$B$51, IF(P16="OK", IF(AND(BR16&gt;0, ISNUMBER(BR16)), (BO16-BR16), (BO16)), O16), O16)</f>
        <v>0</v>
      </c>
      <c r="BV16" s="1925">
        <f t="shared" si="52"/>
        <v>2</v>
      </c>
      <c r="BW16" s="2045">
        <f t="shared" si="53"/>
        <v>42005</v>
      </c>
      <c r="BX16" s="2045">
        <f>IF('Saisie données stocks'!$O$10='TRAD-Saisie données stocks'!$B$51, IF('Calculs Péremption FA'!P16="OK", IF(BU16=O16, MAX(Paramétrage!$H$19+('Saisie données stocks'!$N$14*(365/12)), BM16, BE16, AW16, AO16, AG16, Y16, R16), BW16), Paramétrage!$H$19+('Saisie données stocks'!$N$14*(365/12))), Paramétrage!$H$19+('Saisie données stocks'!$N$14*(365/12)))</f>
        <v>42005</v>
      </c>
      <c r="BY16" s="2046">
        <f t="shared" si="54"/>
        <v>1</v>
      </c>
      <c r="BZ16" s="2046">
        <f t="shared" si="55"/>
        <v>1</v>
      </c>
      <c r="CA16" s="2046">
        <f t="shared" si="56"/>
        <v>2015</v>
      </c>
      <c r="CB16" s="2046">
        <f>IF(BX16="", "", (BX16-Paramétrage!$H$19)/(365/12))</f>
        <v>2.8273972602739725</v>
      </c>
      <c r="CC16" s="2046" t="str">
        <f>IF(CB16='Saisie données stocks'!N$14, 'TRAD-Calculs Péremption FA'!$B$74, CONCATENATE("DLU - ", BY16, "/", BZ16, "/", CA16))</f>
        <v>DLU - 1/1/2015</v>
      </c>
    </row>
    <row r="17" spans="2:81" ht="38.25" x14ac:dyDescent="0.2">
      <c r="B17" s="374"/>
      <c r="C17" s="375"/>
      <c r="D17" s="1926" t="s">
        <v>9</v>
      </c>
      <c r="E17" s="1815" t="str">
        <f>'TRAD-Calculs Péremption FA'!B9</f>
        <v>Cp</v>
      </c>
      <c r="F17" s="1815" t="s">
        <v>130</v>
      </c>
      <c r="G17" s="377" t="s">
        <v>645</v>
      </c>
      <c r="H17" s="379" t="str">
        <f t="shared" si="17"/>
        <v>TDF+FTC+EFV - 300/200/600 mg</v>
      </c>
      <c r="I17" s="1385">
        <v>30</v>
      </c>
      <c r="J17" s="1645"/>
      <c r="K17" s="1628">
        <f>IF('TdB Péremptions'!$H$9="X", 'Prix 10-2011 GPRM $'!$O$34, IF('TdB Péremptions'!$H$10="X", 'Prix 10-2011 GPRM $'!$Q$34, IF('TdB Péremptions'!$H$11="X", 'Prix VPP 102012 convert'!$O$34, IF('TdB Péremptions'!$H$12="X", 'Prix VPP 102012 convert'!$Q$34, IF('TdB Péremptions'!$H$13="X", 'Prix spécifiques'!$J$17, 0)))))</f>
        <v>13.45</v>
      </c>
      <c r="L17" s="1628">
        <f>(1+'TdB Péremptions'!$H$14)*K17</f>
        <v>14.795</v>
      </c>
      <c r="M17" s="1916">
        <f>Calculs!O163</f>
        <v>0</v>
      </c>
      <c r="N17" s="1916">
        <f>Calculs!N217</f>
        <v>0</v>
      </c>
      <c r="O17" s="1916">
        <f>'Saisie données stocks'!N29</f>
        <v>0</v>
      </c>
      <c r="P17" s="1917" t="str">
        <f>IF(SUM('Saisie données stocks'!R29+'Saisie données stocks'!T29+'Saisie données stocks'!V29+'Saisie données stocks'!X29+'Saisie données stocks'!Z29+'Saisie données stocks'!AB29+'Saisie données stocks'!AD29)='Calculs Péremption FA'!O17,  "OK", 'TRAD-Saisie données stocks'!$B$70)</f>
        <v>OK</v>
      </c>
      <c r="Q17" s="1918" t="str">
        <f>IF(AND(O17&gt;0, M17=0, N17=0), 'TRAD-Calculs Péremption FA'!$B$76, "")</f>
        <v/>
      </c>
      <c r="R17" s="1919">
        <f>'Saisie données stocks'!Q29</f>
        <v>0</v>
      </c>
      <c r="S17" s="1920">
        <f>'Saisie données stocks'!R29</f>
        <v>0</v>
      </c>
      <c r="T17" s="1921" t="str">
        <f>IF(AND(R17=0, S17=0), "ND", IF((R17-Paramétrage!$H$19)&gt;0, (R17-Paramétrage!$H$19)/(365/12), "Date non renseignée ou produit périmé"))</f>
        <v>ND</v>
      </c>
      <c r="U17" s="1922" t="str">
        <f t="shared" si="18"/>
        <v>ND</v>
      </c>
      <c r="V17" s="1922" t="str">
        <f t="shared" si="19"/>
        <v>ND</v>
      </c>
      <c r="W17" s="1921" t="str">
        <f t="shared" si="20"/>
        <v>ND</v>
      </c>
      <c r="X17" s="1924" t="str">
        <f t="shared" si="21"/>
        <v>ND</v>
      </c>
      <c r="Y17" s="1919">
        <f>'Saisie données stocks'!S29</f>
        <v>0</v>
      </c>
      <c r="Z17" s="1920">
        <f>'Saisie données stocks'!T29</f>
        <v>0</v>
      </c>
      <c r="AA17" s="1923">
        <f t="shared" si="22"/>
        <v>0</v>
      </c>
      <c r="AB17" s="1923" t="str">
        <f>IF(AND(Y17=0, Z17=0), "ND", IF((Y17-Paramétrage!$H$19)&gt;0, (Y17-Paramétrage!$H$19)/(365/12), "Date non renseignée ou produit périmé"))</f>
        <v>ND</v>
      </c>
      <c r="AC17" s="1923" t="str">
        <f t="shared" si="23"/>
        <v>ND</v>
      </c>
      <c r="AD17" s="1923" t="str">
        <f t="shared" si="24"/>
        <v>ND</v>
      </c>
      <c r="AE17" s="1921" t="str">
        <f t="shared" si="25"/>
        <v>ND</v>
      </c>
      <c r="AF17" s="1924" t="str">
        <f t="shared" si="26"/>
        <v>ND</v>
      </c>
      <c r="AG17" s="1919">
        <f>'Saisie données stocks'!U29</f>
        <v>0</v>
      </c>
      <c r="AH17" s="1920">
        <f>'Saisie données stocks'!V29</f>
        <v>0</v>
      </c>
      <c r="AI17" s="1923">
        <f t="shared" si="27"/>
        <v>0</v>
      </c>
      <c r="AJ17" s="1923" t="str">
        <f>IF(AND(AG17=0, AH17=0), "ND", IF((AG17-Paramétrage!$H$19)&gt;0, (AG17-Paramétrage!$H$19)/(365/12), "Date non renseignée ou produit périmé"))</f>
        <v>ND</v>
      </c>
      <c r="AK17" s="1923" t="str">
        <f t="shared" si="28"/>
        <v>ND</v>
      </c>
      <c r="AL17" s="1923" t="str">
        <f t="shared" si="29"/>
        <v>ND</v>
      </c>
      <c r="AM17" s="1923" t="str">
        <f t="shared" si="30"/>
        <v>ND</v>
      </c>
      <c r="AN17" s="1924" t="str">
        <f t="shared" si="31"/>
        <v>ND</v>
      </c>
      <c r="AO17" s="1919">
        <f>'Saisie données stocks'!W29</f>
        <v>0</v>
      </c>
      <c r="AP17" s="1920">
        <f>'Saisie données stocks'!X29</f>
        <v>0</v>
      </c>
      <c r="AQ17" s="1923">
        <f t="shared" si="32"/>
        <v>0</v>
      </c>
      <c r="AR17" s="1923" t="str">
        <f>IF(AND(AO17=0, AP17=0), "ND", IF((AO17-Paramétrage!$H$19)&gt;0, (AO17-Paramétrage!$H$19)/(365/12), "Date non renseignée ou produit périmé"))</f>
        <v>ND</v>
      </c>
      <c r="AS17" s="1923" t="str">
        <f t="shared" si="33"/>
        <v>ND</v>
      </c>
      <c r="AT17" s="1923" t="str">
        <f t="shared" si="34"/>
        <v>ND</v>
      </c>
      <c r="AU17" s="1923" t="str">
        <f t="shared" si="35"/>
        <v>ND</v>
      </c>
      <c r="AV17" s="1924" t="str">
        <f t="shared" si="36"/>
        <v>ND</v>
      </c>
      <c r="AW17" s="1919">
        <f>'Saisie données stocks'!Y29</f>
        <v>0</v>
      </c>
      <c r="AX17" s="1920">
        <f>'Saisie données stocks'!Z29</f>
        <v>0</v>
      </c>
      <c r="AY17" s="1923">
        <f t="shared" si="37"/>
        <v>0</v>
      </c>
      <c r="AZ17" s="1923" t="str">
        <f>IF(AND(AW17=0, AX17=0), "ND", IF((AW17-Paramétrage!$H$19)&gt;0, (AW17-Paramétrage!$H$19)/(365/12), "Date non renseignée ou produit périmé"))</f>
        <v>ND</v>
      </c>
      <c r="BA17" s="1923" t="str">
        <f t="shared" si="38"/>
        <v>ND</v>
      </c>
      <c r="BB17" s="1923" t="str">
        <f t="shared" si="39"/>
        <v>ND</v>
      </c>
      <c r="BC17" s="1923" t="str">
        <f t="shared" si="40"/>
        <v>ND</v>
      </c>
      <c r="BD17" s="1924" t="str">
        <f t="shared" si="41"/>
        <v>ND</v>
      </c>
      <c r="BE17" s="1919">
        <f>'Saisie données stocks'!AA29</f>
        <v>0</v>
      </c>
      <c r="BF17" s="1920">
        <f>'Saisie données stocks'!AB29</f>
        <v>0</v>
      </c>
      <c r="BG17" s="1923">
        <f t="shared" si="42"/>
        <v>0</v>
      </c>
      <c r="BH17" s="1923" t="str">
        <f>IF(AND(BE17=0, BF17=0), "ND", IF((BE17-Paramétrage!$H$19)&gt;0, (BE17-Paramétrage!$H$19)/(365/12), "Date non renseignée ou produit périmé"))</f>
        <v>ND</v>
      </c>
      <c r="BI17" s="1923" t="str">
        <f t="shared" si="43"/>
        <v>ND</v>
      </c>
      <c r="BJ17" s="1923" t="str">
        <f t="shared" si="44"/>
        <v>ND</v>
      </c>
      <c r="BK17" s="1923" t="str">
        <f t="shared" si="45"/>
        <v>ND</v>
      </c>
      <c r="BL17" s="1924" t="str">
        <f t="shared" si="46"/>
        <v>ND</v>
      </c>
      <c r="BM17" s="1919">
        <f>'Saisie données stocks'!AC29</f>
        <v>0</v>
      </c>
      <c r="BN17" s="1920">
        <f>'Saisie données stocks'!AD29</f>
        <v>0</v>
      </c>
      <c r="BO17" s="1923">
        <f t="shared" si="47"/>
        <v>0</v>
      </c>
      <c r="BP17" s="1923" t="str">
        <f>IF(AND(BM17=0, BN17=0), "ND", IF((BM17-Paramétrage!$H$19)&gt;0, (BM17-Paramétrage!$H$19)/(365/12), "Date non renseignée ou produit périmé"))</f>
        <v>ND</v>
      </c>
      <c r="BQ17" s="1923" t="str">
        <f t="shared" si="48"/>
        <v>ND</v>
      </c>
      <c r="BR17" s="1923" t="str">
        <f t="shared" si="49"/>
        <v>ND</v>
      </c>
      <c r="BS17" s="1923" t="str">
        <f t="shared" si="50"/>
        <v>ND</v>
      </c>
      <c r="BT17" s="1924" t="str">
        <f t="shared" si="51"/>
        <v>ND</v>
      </c>
      <c r="BU17" s="1925">
        <f>IF('Saisie données stocks'!$O$10='TRAD-Saisie données stocks'!$B$51, IF(P17="OK", IF(AND(BR17&gt;0, ISNUMBER(BR17)), (BO17-BR17), (BO17)), O17), O17)</f>
        <v>0</v>
      </c>
      <c r="BV17" s="1925">
        <f t="shared" si="52"/>
        <v>0</v>
      </c>
      <c r="BW17" s="2045" t="str">
        <f t="shared" si="53"/>
        <v/>
      </c>
      <c r="BX17" s="2045">
        <f>IF('Saisie données stocks'!$O$10='TRAD-Saisie données stocks'!$B$51, IF('Calculs Péremption FA'!P17="OK", IF(BU17=O17, MAX(Paramétrage!$H$19+('Saisie données stocks'!$N$14*(365/12)), BM17, BE17, AW17, AO17, AG17, Y17, R17), BW17), Paramétrage!$H$19+('Saisie données stocks'!$N$14*(365/12))), Paramétrage!$H$19+('Saisie données stocks'!$N$14*(365/12)))</f>
        <v>42101.5</v>
      </c>
      <c r="BY17" s="2046">
        <f t="shared" si="54"/>
        <v>7</v>
      </c>
      <c r="BZ17" s="2046">
        <f t="shared" si="55"/>
        <v>4</v>
      </c>
      <c r="CA17" s="2046">
        <f t="shared" si="56"/>
        <v>2015</v>
      </c>
      <c r="CB17" s="2046">
        <f>IF(BX17="", "", (BX17-Paramétrage!$H$19)/(365/12))</f>
        <v>6</v>
      </c>
      <c r="CC17" s="2046" t="str">
        <f>IF(CB17='Saisie données stocks'!N$14, 'TRAD-Calculs Péremption FA'!$B$74, CONCATENATE("DLU - ", BY17, "/", BZ17, "/", CA17))</f>
        <v>Durée de vie max</v>
      </c>
    </row>
    <row r="18" spans="2:81" ht="25.5" x14ac:dyDescent="0.2">
      <c r="B18" s="374"/>
      <c r="C18" s="375"/>
      <c r="D18" s="1926" t="s">
        <v>121</v>
      </c>
      <c r="E18" s="1815" t="str">
        <f>'TRAD-Calculs Péremption FA'!B9</f>
        <v>Cp</v>
      </c>
      <c r="F18" s="1815" t="s">
        <v>25</v>
      </c>
      <c r="G18" s="377" t="s">
        <v>646</v>
      </c>
      <c r="H18" s="379" t="str">
        <f t="shared" si="17"/>
        <v>TDF+FTC - 300/200 mg</v>
      </c>
      <c r="I18" s="1385">
        <v>30</v>
      </c>
      <c r="J18" s="1645"/>
      <c r="K18" s="1628">
        <f>IF('TdB Péremptions'!$H$9="X", 'Prix 10-2011 GPRM $'!$O$36, IF('TdB Péremptions'!$H$10="X", 'Prix 10-2011 GPRM $'!$Q$36, IF('TdB Péremptions'!$H$11="X", 'Prix VPP 102012 convert'!$O$36, IF('TdB Péremptions'!$H$12="X", 'Prix VPP 102012 convert'!$Q$36, IF('TdB Péremptions'!$H$13="X", 'Prix spécifiques'!$J$18, 0)))))</f>
        <v>16.22</v>
      </c>
      <c r="L18" s="1628">
        <f>(1+'TdB Péremptions'!$H$14)*K18</f>
        <v>17.841999999999999</v>
      </c>
      <c r="M18" s="1916">
        <f>Calculs!O164</f>
        <v>0</v>
      </c>
      <c r="N18" s="1916">
        <f>Calculs!N218</f>
        <v>0</v>
      </c>
      <c r="O18" s="1916">
        <f>'Saisie données stocks'!N30</f>
        <v>0</v>
      </c>
      <c r="P18" s="1917" t="str">
        <f>IF(SUM('Saisie données stocks'!R30+'Saisie données stocks'!T30+'Saisie données stocks'!V30+'Saisie données stocks'!X30+'Saisie données stocks'!Z30+'Saisie données stocks'!AB30+'Saisie données stocks'!AD30)='Calculs Péremption FA'!O18,  "OK", 'TRAD-Saisie données stocks'!$B$70)</f>
        <v>OK</v>
      </c>
      <c r="Q18" s="1918" t="str">
        <f>IF(AND(O18&gt;0, M18=0, N18=0), 'TRAD-Calculs Péremption FA'!$B$76, "")</f>
        <v/>
      </c>
      <c r="R18" s="1919">
        <f>'Saisie données stocks'!Q30</f>
        <v>0</v>
      </c>
      <c r="S18" s="1920">
        <f>'Saisie données stocks'!R30</f>
        <v>0</v>
      </c>
      <c r="T18" s="1921" t="str">
        <f>IF(AND(R18=0, S18=0), "ND", IF((R18-Paramétrage!$H$19)&gt;0, (R18-Paramétrage!$H$19)/(365/12), "Date non renseignée ou produit périmé"))</f>
        <v>ND</v>
      </c>
      <c r="U18" s="1922" t="str">
        <f t="shared" si="18"/>
        <v>ND</v>
      </c>
      <c r="V18" s="1922" t="str">
        <f t="shared" si="19"/>
        <v>ND</v>
      </c>
      <c r="W18" s="1921" t="str">
        <f t="shared" si="20"/>
        <v>ND</v>
      </c>
      <c r="X18" s="1924" t="str">
        <f t="shared" si="21"/>
        <v>ND</v>
      </c>
      <c r="Y18" s="1919">
        <f>'Saisie données stocks'!S30</f>
        <v>0</v>
      </c>
      <c r="Z18" s="1920">
        <f>'Saisie données stocks'!T30</f>
        <v>0</v>
      </c>
      <c r="AA18" s="1923">
        <f t="shared" si="22"/>
        <v>0</v>
      </c>
      <c r="AB18" s="1923" t="str">
        <f>IF(AND(Y18=0, Z18=0), "ND", IF((Y18-Paramétrage!$H$19)&gt;0, (Y18-Paramétrage!$H$19)/(365/12), "Date non renseignée ou produit périmé"))</f>
        <v>ND</v>
      </c>
      <c r="AC18" s="1923" t="str">
        <f t="shared" si="23"/>
        <v>ND</v>
      </c>
      <c r="AD18" s="1923" t="str">
        <f t="shared" si="24"/>
        <v>ND</v>
      </c>
      <c r="AE18" s="1921" t="str">
        <f t="shared" si="25"/>
        <v>ND</v>
      </c>
      <c r="AF18" s="1924" t="str">
        <f t="shared" si="26"/>
        <v>ND</v>
      </c>
      <c r="AG18" s="1919">
        <f>'Saisie données stocks'!U30</f>
        <v>0</v>
      </c>
      <c r="AH18" s="1920">
        <f>'Saisie données stocks'!V30</f>
        <v>0</v>
      </c>
      <c r="AI18" s="1923">
        <f t="shared" si="27"/>
        <v>0</v>
      </c>
      <c r="AJ18" s="1923" t="str">
        <f>IF(AND(AG18=0, AH18=0), "ND", IF((AG18-Paramétrage!$H$19)&gt;0, (AG18-Paramétrage!$H$19)/(365/12), "Date non renseignée ou produit périmé"))</f>
        <v>ND</v>
      </c>
      <c r="AK18" s="1923" t="str">
        <f t="shared" si="28"/>
        <v>ND</v>
      </c>
      <c r="AL18" s="1923" t="str">
        <f t="shared" si="29"/>
        <v>ND</v>
      </c>
      <c r="AM18" s="1923" t="str">
        <f t="shared" si="30"/>
        <v>ND</v>
      </c>
      <c r="AN18" s="1924" t="str">
        <f t="shared" si="31"/>
        <v>ND</v>
      </c>
      <c r="AO18" s="1919">
        <f>'Saisie données stocks'!W30</f>
        <v>0</v>
      </c>
      <c r="AP18" s="1920">
        <f>'Saisie données stocks'!X30</f>
        <v>0</v>
      </c>
      <c r="AQ18" s="1923">
        <f t="shared" si="32"/>
        <v>0</v>
      </c>
      <c r="AR18" s="1923" t="str">
        <f>IF(AND(AO18=0, AP18=0), "ND", IF((AO18-Paramétrage!$H$19)&gt;0, (AO18-Paramétrage!$H$19)/(365/12), "Date non renseignée ou produit périmé"))</f>
        <v>ND</v>
      </c>
      <c r="AS18" s="1923" t="str">
        <f t="shared" si="33"/>
        <v>ND</v>
      </c>
      <c r="AT18" s="1923" t="str">
        <f t="shared" si="34"/>
        <v>ND</v>
      </c>
      <c r="AU18" s="1923" t="str">
        <f t="shared" si="35"/>
        <v>ND</v>
      </c>
      <c r="AV18" s="1924" t="str">
        <f t="shared" si="36"/>
        <v>ND</v>
      </c>
      <c r="AW18" s="1919">
        <f>'Saisie données stocks'!Y30</f>
        <v>0</v>
      </c>
      <c r="AX18" s="1920">
        <f>'Saisie données stocks'!Z30</f>
        <v>0</v>
      </c>
      <c r="AY18" s="1923">
        <f t="shared" si="37"/>
        <v>0</v>
      </c>
      <c r="AZ18" s="1923" t="str">
        <f>IF(AND(AW18=0, AX18=0), "ND", IF((AW18-Paramétrage!$H$19)&gt;0, (AW18-Paramétrage!$H$19)/(365/12), "Date non renseignée ou produit périmé"))</f>
        <v>ND</v>
      </c>
      <c r="BA18" s="1923" t="str">
        <f t="shared" si="38"/>
        <v>ND</v>
      </c>
      <c r="BB18" s="1923" t="str">
        <f t="shared" si="39"/>
        <v>ND</v>
      </c>
      <c r="BC18" s="1923" t="str">
        <f t="shared" si="40"/>
        <v>ND</v>
      </c>
      <c r="BD18" s="1924" t="str">
        <f t="shared" si="41"/>
        <v>ND</v>
      </c>
      <c r="BE18" s="1919">
        <f>'Saisie données stocks'!AA30</f>
        <v>0</v>
      </c>
      <c r="BF18" s="1920">
        <f>'Saisie données stocks'!AB30</f>
        <v>0</v>
      </c>
      <c r="BG18" s="1923">
        <f t="shared" si="42"/>
        <v>0</v>
      </c>
      <c r="BH18" s="1923" t="str">
        <f>IF(AND(BE18=0, BF18=0), "ND", IF((BE18-Paramétrage!$H$19)&gt;0, (BE18-Paramétrage!$H$19)/(365/12), "Date non renseignée ou produit périmé"))</f>
        <v>ND</v>
      </c>
      <c r="BI18" s="1923" t="str">
        <f t="shared" si="43"/>
        <v>ND</v>
      </c>
      <c r="BJ18" s="1923" t="str">
        <f t="shared" si="44"/>
        <v>ND</v>
      </c>
      <c r="BK18" s="1923" t="str">
        <f t="shared" si="45"/>
        <v>ND</v>
      </c>
      <c r="BL18" s="1924" t="str">
        <f t="shared" si="46"/>
        <v>ND</v>
      </c>
      <c r="BM18" s="1919">
        <f>'Saisie données stocks'!AC30</f>
        <v>0</v>
      </c>
      <c r="BN18" s="1920">
        <f>'Saisie données stocks'!AD30</f>
        <v>0</v>
      </c>
      <c r="BO18" s="1923">
        <f t="shared" si="47"/>
        <v>0</v>
      </c>
      <c r="BP18" s="1923" t="str">
        <f>IF(AND(BM18=0, BN18=0), "ND", IF((BM18-Paramétrage!$H$19)&gt;0, (BM18-Paramétrage!$H$19)/(365/12), "Date non renseignée ou produit périmé"))</f>
        <v>ND</v>
      </c>
      <c r="BQ18" s="1923" t="str">
        <f t="shared" si="48"/>
        <v>ND</v>
      </c>
      <c r="BR18" s="1923" t="str">
        <f t="shared" si="49"/>
        <v>ND</v>
      </c>
      <c r="BS18" s="1923" t="str">
        <f t="shared" si="50"/>
        <v>ND</v>
      </c>
      <c r="BT18" s="1924" t="str">
        <f t="shared" si="51"/>
        <v>ND</v>
      </c>
      <c r="BU18" s="1925">
        <f>IF('Saisie données stocks'!$O$10='TRAD-Saisie données stocks'!$B$51, IF(P18="OK", IF(AND(BR18&gt;0, ISNUMBER(BR18)), (BO18-BR18), (BO18)), O18), O18)</f>
        <v>0</v>
      </c>
      <c r="BV18" s="1925">
        <f t="shared" si="52"/>
        <v>0</v>
      </c>
      <c r="BW18" s="2045" t="str">
        <f t="shared" si="53"/>
        <v/>
      </c>
      <c r="BX18" s="2045">
        <f>IF('Saisie données stocks'!$O$10='TRAD-Saisie données stocks'!$B$51, IF('Calculs Péremption FA'!P18="OK", IF(BU18=O18, MAX(Paramétrage!$H$19+('Saisie données stocks'!$N$14*(365/12)), BM18, BE18, AW18, AO18, AG18, Y18, R18), BW18), Paramétrage!$H$19+('Saisie données stocks'!$N$14*(365/12))), Paramétrage!$H$19+('Saisie données stocks'!$N$14*(365/12)))</f>
        <v>42101.5</v>
      </c>
      <c r="BY18" s="2046">
        <f t="shared" si="54"/>
        <v>7</v>
      </c>
      <c r="BZ18" s="2046">
        <f t="shared" si="55"/>
        <v>4</v>
      </c>
      <c r="CA18" s="2046">
        <f t="shared" si="56"/>
        <v>2015</v>
      </c>
      <c r="CB18" s="2046">
        <f>IF(BX18="", "", (BX18-Paramétrage!$H$19)/(365/12))</f>
        <v>6</v>
      </c>
      <c r="CC18" s="2046" t="str">
        <f>IF(CB18='Saisie données stocks'!N$14, 'TRAD-Calculs Péremption FA'!$B$74, CONCATENATE("DLU - ", BY18, "/", BZ18, "/", CA18))</f>
        <v>Durée de vie max</v>
      </c>
    </row>
    <row r="19" spans="2:81" ht="38.25" x14ac:dyDescent="0.2">
      <c r="B19" s="374"/>
      <c r="C19" s="407"/>
      <c r="D19" s="1926" t="s">
        <v>4</v>
      </c>
      <c r="E19" s="1815" t="str">
        <f>'TRAD-Calculs Péremption FA'!B9</f>
        <v>Cp</v>
      </c>
      <c r="F19" s="1815" t="s">
        <v>130</v>
      </c>
      <c r="G19" s="377" t="s">
        <v>647</v>
      </c>
      <c r="H19" s="1720" t="str">
        <f t="shared" si="17"/>
        <v>TDF+3TC+EFV - 300/200/600 mg</v>
      </c>
      <c r="I19" s="1385">
        <v>30</v>
      </c>
      <c r="J19" s="1645"/>
      <c r="K19" s="1628">
        <f>IF('TdB Péremptions'!$H$9="X", 'Prix 10-2011 GPRM $'!$O$35, IF('TdB Péremptions'!$H$10="X", 'Prix 10-2011 GPRM $'!$Q$35, IF('TdB Péremptions'!$H$11="X", 'Prix VPP 102012 convert'!$O$35, IF('TdB Péremptions'!$H$12="X", 'Prix VPP 102012 convert'!$Q$35, IF('TdB Péremptions'!$H$13="X", 'Prix spécifiques'!$J$19, 0)))))</f>
        <v>11.99</v>
      </c>
      <c r="L19" s="1628">
        <f>(1+'TdB Péremptions'!$H$14)*K19</f>
        <v>13.189000000000002</v>
      </c>
      <c r="M19" s="1916">
        <f>Calculs!O165</f>
        <v>0</v>
      </c>
      <c r="N19" s="1916">
        <f>Calculs!N219</f>
        <v>0</v>
      </c>
      <c r="O19" s="1916">
        <f>'Saisie données stocks'!N31</f>
        <v>36034</v>
      </c>
      <c r="P19" s="1917" t="str">
        <f>IF(SUM('Saisie données stocks'!R31+'Saisie données stocks'!T31+'Saisie données stocks'!V31+'Saisie données stocks'!X31+'Saisie données stocks'!Z31+'Saisie données stocks'!AB31+'Saisie données stocks'!AD31)='Calculs Péremption FA'!O19,  "OK", 'TRAD-Saisie données stocks'!$B$70)</f>
        <v>OK</v>
      </c>
      <c r="Q19" s="1918" t="str">
        <f>IF(AND(O19&gt;0, M19=0, N19=0), 'TRAD-Calculs Péremption FA'!$B$76, "")</f>
        <v>Produit en stock mais sans aucune utilisation</v>
      </c>
      <c r="R19" s="1919">
        <f>'Saisie données stocks'!Q31</f>
        <v>42339</v>
      </c>
      <c r="S19" s="1920">
        <f>'Saisie données stocks'!R31</f>
        <v>36034</v>
      </c>
      <c r="T19" s="1921">
        <f>IF(AND(R19=0, S19=0), "ND", IF((R19-Paramétrage!$H$19)&gt;0, (R19-Paramétrage!$H$19)/(365/12), "Date non renseignée ou produit périmé"))</f>
        <v>13.808219178082192</v>
      </c>
      <c r="U19" s="1922">
        <f t="shared" si="18"/>
        <v>0</v>
      </c>
      <c r="V19" s="1922">
        <f t="shared" si="19"/>
        <v>36034</v>
      </c>
      <c r="W19" s="1921" t="str">
        <f t="shared" si="20"/>
        <v>ATTENTION SURSTOCK et risque de péremption</v>
      </c>
      <c r="X19" s="1924">
        <f t="shared" si="21"/>
        <v>475252.42600000009</v>
      </c>
      <c r="Y19" s="1919">
        <f>'Saisie données stocks'!S31</f>
        <v>0</v>
      </c>
      <c r="Z19" s="1920">
        <f>'Saisie données stocks'!T31</f>
        <v>0</v>
      </c>
      <c r="AA19" s="1923">
        <f t="shared" si="22"/>
        <v>0</v>
      </c>
      <c r="AB19" s="1923" t="str">
        <f>IF(AND(Y19=0, Z19=0), "ND", IF((Y19-Paramétrage!$H$19)&gt;0, (Y19-Paramétrage!$H$19)/(365/12), "Date non renseignée ou produit périmé"))</f>
        <v>ND</v>
      </c>
      <c r="AC19" s="1923" t="str">
        <f t="shared" si="23"/>
        <v>ND</v>
      </c>
      <c r="AD19" s="1923" t="str">
        <f t="shared" si="24"/>
        <v>ND</v>
      </c>
      <c r="AE19" s="1921" t="str">
        <f t="shared" si="25"/>
        <v>ND</v>
      </c>
      <c r="AF19" s="1924" t="str">
        <f t="shared" si="26"/>
        <v>ND</v>
      </c>
      <c r="AG19" s="1919">
        <f>'Saisie données stocks'!U31</f>
        <v>0</v>
      </c>
      <c r="AH19" s="1920">
        <f>'Saisie données stocks'!V31</f>
        <v>0</v>
      </c>
      <c r="AI19" s="1923">
        <f t="shared" si="27"/>
        <v>0</v>
      </c>
      <c r="AJ19" s="1923" t="str">
        <f>IF(AND(AG19=0, AH19=0), "ND", IF((AG19-Paramétrage!$H$19)&gt;0, (AG19-Paramétrage!$H$19)/(365/12), "Date non renseignée ou produit périmé"))</f>
        <v>ND</v>
      </c>
      <c r="AK19" s="1923" t="str">
        <f t="shared" si="28"/>
        <v>ND</v>
      </c>
      <c r="AL19" s="1923" t="str">
        <f t="shared" si="29"/>
        <v>ND</v>
      </c>
      <c r="AM19" s="1923" t="str">
        <f t="shared" si="30"/>
        <v>ND</v>
      </c>
      <c r="AN19" s="1924" t="str">
        <f t="shared" si="31"/>
        <v>ND</v>
      </c>
      <c r="AO19" s="1919">
        <f>'Saisie données stocks'!W31</f>
        <v>0</v>
      </c>
      <c r="AP19" s="1920">
        <f>'Saisie données stocks'!X31</f>
        <v>0</v>
      </c>
      <c r="AQ19" s="1923">
        <f t="shared" si="32"/>
        <v>0</v>
      </c>
      <c r="AR19" s="1923" t="str">
        <f>IF(AND(AO19=0, AP19=0), "ND", IF((AO19-Paramétrage!$H$19)&gt;0, (AO19-Paramétrage!$H$19)/(365/12), "Date non renseignée ou produit périmé"))</f>
        <v>ND</v>
      </c>
      <c r="AS19" s="1923" t="str">
        <f t="shared" si="33"/>
        <v>ND</v>
      </c>
      <c r="AT19" s="1923" t="str">
        <f t="shared" si="34"/>
        <v>ND</v>
      </c>
      <c r="AU19" s="1923" t="str">
        <f t="shared" si="35"/>
        <v>ND</v>
      </c>
      <c r="AV19" s="1924" t="str">
        <f t="shared" si="36"/>
        <v>ND</v>
      </c>
      <c r="AW19" s="1919">
        <f>'Saisie données stocks'!Y31</f>
        <v>0</v>
      </c>
      <c r="AX19" s="1920">
        <f>'Saisie données stocks'!Z31</f>
        <v>0</v>
      </c>
      <c r="AY19" s="1923">
        <f t="shared" si="37"/>
        <v>0</v>
      </c>
      <c r="AZ19" s="1923" t="str">
        <f>IF(AND(AW19=0, AX19=0), "ND", IF((AW19-Paramétrage!$H$19)&gt;0, (AW19-Paramétrage!$H$19)/(365/12), "Date non renseignée ou produit périmé"))</f>
        <v>ND</v>
      </c>
      <c r="BA19" s="1923" t="str">
        <f t="shared" si="38"/>
        <v>ND</v>
      </c>
      <c r="BB19" s="1923" t="str">
        <f t="shared" si="39"/>
        <v>ND</v>
      </c>
      <c r="BC19" s="1923" t="str">
        <f t="shared" si="40"/>
        <v>ND</v>
      </c>
      <c r="BD19" s="1924" t="str">
        <f t="shared" si="41"/>
        <v>ND</v>
      </c>
      <c r="BE19" s="1919">
        <f>'Saisie données stocks'!AA31</f>
        <v>0</v>
      </c>
      <c r="BF19" s="1920">
        <f>'Saisie données stocks'!AB31</f>
        <v>0</v>
      </c>
      <c r="BG19" s="1923">
        <f t="shared" si="42"/>
        <v>0</v>
      </c>
      <c r="BH19" s="1923" t="str">
        <f>IF(AND(BE19=0, BF19=0), "ND", IF((BE19-Paramétrage!$H$19)&gt;0, (BE19-Paramétrage!$H$19)/(365/12), "Date non renseignée ou produit périmé"))</f>
        <v>ND</v>
      </c>
      <c r="BI19" s="1923" t="str">
        <f t="shared" si="43"/>
        <v>ND</v>
      </c>
      <c r="BJ19" s="1923" t="str">
        <f t="shared" si="44"/>
        <v>ND</v>
      </c>
      <c r="BK19" s="1923" t="str">
        <f t="shared" si="45"/>
        <v>ND</v>
      </c>
      <c r="BL19" s="1924" t="str">
        <f t="shared" si="46"/>
        <v>ND</v>
      </c>
      <c r="BM19" s="1919">
        <f>'Saisie données stocks'!AC31</f>
        <v>0</v>
      </c>
      <c r="BN19" s="1920">
        <f>'Saisie données stocks'!AD31</f>
        <v>0</v>
      </c>
      <c r="BO19" s="1923">
        <f t="shared" si="47"/>
        <v>0</v>
      </c>
      <c r="BP19" s="1923" t="str">
        <f>IF(AND(BM19=0, BN19=0), "ND", IF((BM19-Paramétrage!$H$19)&gt;0, (BM19-Paramétrage!$H$19)/(365/12), "Date non renseignée ou produit périmé"))</f>
        <v>ND</v>
      </c>
      <c r="BQ19" s="1923" t="str">
        <f t="shared" si="48"/>
        <v>ND</v>
      </c>
      <c r="BR19" s="1923" t="str">
        <f t="shared" si="49"/>
        <v>ND</v>
      </c>
      <c r="BS19" s="1923" t="str">
        <f t="shared" si="50"/>
        <v>ND</v>
      </c>
      <c r="BT19" s="1924" t="str">
        <f t="shared" si="51"/>
        <v>ND</v>
      </c>
      <c r="BU19" s="1925">
        <f>IF('Saisie données stocks'!$O$10='TRAD-Saisie données stocks'!$B$51, IF(P19="OK", IF(AND(BR19&gt;0, ISNUMBER(BR19)), (BO19-BR19), (BO19)), O19), O19)</f>
        <v>0</v>
      </c>
      <c r="BV19" s="1925">
        <f t="shared" si="52"/>
        <v>36034</v>
      </c>
      <c r="BW19" s="2045">
        <f t="shared" si="53"/>
        <v>42339</v>
      </c>
      <c r="BX19" s="2045">
        <f>IF('Saisie données stocks'!$O$10='TRAD-Saisie données stocks'!$B$51, IF('Calculs Péremption FA'!P19="OK", IF(BU19=O19, MAX(Paramétrage!$H$19+('Saisie données stocks'!$N$14*(365/12)), BM19, BE19, AW19, AO19, AG19, Y19, R19), BW19), Paramétrage!$H$19+('Saisie données stocks'!$N$14*(365/12))), Paramétrage!$H$19+('Saisie données stocks'!$N$14*(365/12)))</f>
        <v>42339</v>
      </c>
      <c r="BY19" s="2046">
        <f t="shared" si="54"/>
        <v>1</v>
      </c>
      <c r="BZ19" s="2046">
        <f t="shared" si="55"/>
        <v>12</v>
      </c>
      <c r="CA19" s="2046">
        <f t="shared" si="56"/>
        <v>2015</v>
      </c>
      <c r="CB19" s="2046">
        <f>IF(BX19="", "", (BX19-Paramétrage!$H$19)/(365/12))</f>
        <v>13.808219178082192</v>
      </c>
      <c r="CC19" s="2046" t="str">
        <f>IF(CB19='Saisie données stocks'!N$14, 'TRAD-Calculs Péremption FA'!$B$74, CONCATENATE("DLU - ", BY19, "/", BZ19, "/", CA19))</f>
        <v>DLU - 1/12/2015</v>
      </c>
    </row>
    <row r="20" spans="2:81" ht="38.25" x14ac:dyDescent="0.2">
      <c r="B20" s="374"/>
      <c r="C20" s="407"/>
      <c r="D20" s="1926" t="s">
        <v>228</v>
      </c>
      <c r="E20" s="1815" t="str">
        <f>'TRAD-Calculs Péremption FA'!B9</f>
        <v>Cp</v>
      </c>
      <c r="F20" s="1815" t="s">
        <v>25</v>
      </c>
      <c r="G20" s="377" t="s">
        <v>648</v>
      </c>
      <c r="H20" s="1795" t="str">
        <f t="shared" si="17"/>
        <v>TDF+3TC - 300/200 mg</v>
      </c>
      <c r="I20" s="1385">
        <v>30</v>
      </c>
      <c r="J20" s="1796"/>
      <c r="K20" s="1797">
        <f>IF('TdB Péremptions'!$H$9="X", 'Prix 10-2011 GPRM $'!$O$37, IF('TdB Péremptions'!$H$10="X", 'Prix 10-2011 GPRM $'!$Q$37, IF('TdB Péremptions'!$H$11="X", 'Prix VPP 102012 convert'!$O$37, IF('TdB Péremptions'!$H$12="X", 'Prix VPP 102012 convert'!$Q$37, IF('TdB Péremptions'!$H$13="X", 'Prix spécifiques'!$J$20, 0)))))</f>
        <v>5.0299999999999994</v>
      </c>
      <c r="L20" s="1797">
        <f>(1+'TdB Péremptions'!$H$14)*K20</f>
        <v>5.5329999999999995</v>
      </c>
      <c r="M20" s="1916">
        <f>Calculs!O166</f>
        <v>0</v>
      </c>
      <c r="N20" s="1916">
        <f>Calculs!N220</f>
        <v>0</v>
      </c>
      <c r="O20" s="1916">
        <f>'Saisie données stocks'!N32</f>
        <v>505</v>
      </c>
      <c r="P20" s="1917" t="str">
        <f>IF(SUM('Saisie données stocks'!R32+'Saisie données stocks'!T32+'Saisie données stocks'!V32+'Saisie données stocks'!X32+'Saisie données stocks'!Z32+'Saisie données stocks'!AB32+'Saisie données stocks'!AD32)='Calculs Péremption FA'!O20,  "OK", 'TRAD-Saisie données stocks'!$B$70)</f>
        <v>OK</v>
      </c>
      <c r="Q20" s="1918" t="str">
        <f>IF(AND(O20&gt;0, M20=0, N20=0), 'TRAD-Calculs Péremption FA'!$B$76, "")</f>
        <v>Produit en stock mais sans aucune utilisation</v>
      </c>
      <c r="R20" s="1919">
        <f>'Saisie données stocks'!Q32</f>
        <v>42064</v>
      </c>
      <c r="S20" s="1920">
        <f>'Saisie données stocks'!R32</f>
        <v>505</v>
      </c>
      <c r="T20" s="1921">
        <f>IF(AND(R20=0, S20=0), "ND", IF((R20-Paramétrage!$H$19)&gt;0, (R20-Paramétrage!$H$19)/(365/12), "Date non renseignée ou produit périmé"))</f>
        <v>4.7671232876712324</v>
      </c>
      <c r="U20" s="1922">
        <f t="shared" si="18"/>
        <v>0</v>
      </c>
      <c r="V20" s="1922">
        <f t="shared" si="19"/>
        <v>505</v>
      </c>
      <c r="W20" s="1921" t="str">
        <f t="shared" si="20"/>
        <v>ATTENTION SURSTOCK et risque de péremption</v>
      </c>
      <c r="X20" s="1924">
        <f t="shared" si="21"/>
        <v>2794.1649999999995</v>
      </c>
      <c r="Y20" s="1919">
        <f>'Saisie données stocks'!S32</f>
        <v>0</v>
      </c>
      <c r="Z20" s="1920">
        <f>'Saisie données stocks'!T32</f>
        <v>0</v>
      </c>
      <c r="AA20" s="1923">
        <f t="shared" si="22"/>
        <v>0</v>
      </c>
      <c r="AB20" s="1923" t="str">
        <f>IF(AND(Y20=0, Z20=0), "ND", IF((Y20-Paramétrage!$H$19)&gt;0, (Y20-Paramétrage!$H$19)/(365/12), "Date non renseignée ou produit périmé"))</f>
        <v>ND</v>
      </c>
      <c r="AC20" s="1923" t="str">
        <f t="shared" si="23"/>
        <v>ND</v>
      </c>
      <c r="AD20" s="1923" t="str">
        <f t="shared" si="24"/>
        <v>ND</v>
      </c>
      <c r="AE20" s="1921" t="str">
        <f t="shared" si="25"/>
        <v>ND</v>
      </c>
      <c r="AF20" s="1924" t="str">
        <f t="shared" si="26"/>
        <v>ND</v>
      </c>
      <c r="AG20" s="1919">
        <f>'Saisie données stocks'!U32</f>
        <v>0</v>
      </c>
      <c r="AH20" s="1920">
        <f>'Saisie données stocks'!V32</f>
        <v>0</v>
      </c>
      <c r="AI20" s="1923">
        <f t="shared" si="27"/>
        <v>0</v>
      </c>
      <c r="AJ20" s="1923" t="str">
        <f>IF(AND(AG20=0, AH20=0), "ND", IF((AG20-Paramétrage!$H$19)&gt;0, (AG20-Paramétrage!$H$19)/(365/12), "Date non renseignée ou produit périmé"))</f>
        <v>ND</v>
      </c>
      <c r="AK20" s="1923" t="str">
        <f t="shared" si="28"/>
        <v>ND</v>
      </c>
      <c r="AL20" s="1923" t="str">
        <f t="shared" si="29"/>
        <v>ND</v>
      </c>
      <c r="AM20" s="1923" t="str">
        <f t="shared" si="30"/>
        <v>ND</v>
      </c>
      <c r="AN20" s="1924" t="str">
        <f t="shared" si="31"/>
        <v>ND</v>
      </c>
      <c r="AO20" s="1919">
        <f>'Saisie données stocks'!W32</f>
        <v>0</v>
      </c>
      <c r="AP20" s="1920">
        <f>'Saisie données stocks'!X32</f>
        <v>0</v>
      </c>
      <c r="AQ20" s="1923">
        <f t="shared" si="32"/>
        <v>0</v>
      </c>
      <c r="AR20" s="1923" t="str">
        <f>IF(AND(AO20=0, AP20=0), "ND", IF((AO20-Paramétrage!$H$19)&gt;0, (AO20-Paramétrage!$H$19)/(365/12), "Date non renseignée ou produit périmé"))</f>
        <v>ND</v>
      </c>
      <c r="AS20" s="1923" t="str">
        <f t="shared" si="33"/>
        <v>ND</v>
      </c>
      <c r="AT20" s="1923" t="str">
        <f t="shared" si="34"/>
        <v>ND</v>
      </c>
      <c r="AU20" s="1923" t="str">
        <f t="shared" si="35"/>
        <v>ND</v>
      </c>
      <c r="AV20" s="1924" t="str">
        <f t="shared" si="36"/>
        <v>ND</v>
      </c>
      <c r="AW20" s="1919">
        <f>'Saisie données stocks'!Y32</f>
        <v>0</v>
      </c>
      <c r="AX20" s="1920">
        <f>'Saisie données stocks'!Z32</f>
        <v>0</v>
      </c>
      <c r="AY20" s="1923">
        <f t="shared" si="37"/>
        <v>0</v>
      </c>
      <c r="AZ20" s="1923" t="str">
        <f>IF(AND(AW20=0, AX20=0), "ND", IF((AW20-Paramétrage!$H$19)&gt;0, (AW20-Paramétrage!$H$19)/(365/12), "Date non renseignée ou produit périmé"))</f>
        <v>ND</v>
      </c>
      <c r="BA20" s="1923" t="str">
        <f t="shared" si="38"/>
        <v>ND</v>
      </c>
      <c r="BB20" s="1923" t="str">
        <f t="shared" si="39"/>
        <v>ND</v>
      </c>
      <c r="BC20" s="1923" t="str">
        <f t="shared" si="40"/>
        <v>ND</v>
      </c>
      <c r="BD20" s="1924" t="str">
        <f t="shared" si="41"/>
        <v>ND</v>
      </c>
      <c r="BE20" s="1919">
        <f>'Saisie données stocks'!AA32</f>
        <v>0</v>
      </c>
      <c r="BF20" s="1920">
        <f>'Saisie données stocks'!AB32</f>
        <v>0</v>
      </c>
      <c r="BG20" s="1923">
        <f t="shared" si="42"/>
        <v>0</v>
      </c>
      <c r="BH20" s="1923" t="str">
        <f>IF(AND(BE20=0, BF20=0), "ND", IF((BE20-Paramétrage!$H$19)&gt;0, (BE20-Paramétrage!$H$19)/(365/12), "Date non renseignée ou produit périmé"))</f>
        <v>ND</v>
      </c>
      <c r="BI20" s="1923" t="str">
        <f t="shared" si="43"/>
        <v>ND</v>
      </c>
      <c r="BJ20" s="1923" t="str">
        <f t="shared" si="44"/>
        <v>ND</v>
      </c>
      <c r="BK20" s="1923" t="str">
        <f t="shared" si="45"/>
        <v>ND</v>
      </c>
      <c r="BL20" s="1924" t="str">
        <f t="shared" si="46"/>
        <v>ND</v>
      </c>
      <c r="BM20" s="1919">
        <f>'Saisie données stocks'!AC32</f>
        <v>0</v>
      </c>
      <c r="BN20" s="1920">
        <f>'Saisie données stocks'!AD32</f>
        <v>0</v>
      </c>
      <c r="BO20" s="1923">
        <f t="shared" si="47"/>
        <v>0</v>
      </c>
      <c r="BP20" s="1923" t="str">
        <f>IF(AND(BM20=0, BN20=0), "ND", IF((BM20-Paramétrage!$H$19)&gt;0, (BM20-Paramétrage!$H$19)/(365/12), "Date non renseignée ou produit périmé"))</f>
        <v>ND</v>
      </c>
      <c r="BQ20" s="1923" t="str">
        <f t="shared" si="48"/>
        <v>ND</v>
      </c>
      <c r="BR20" s="1923" t="str">
        <f t="shared" si="49"/>
        <v>ND</v>
      </c>
      <c r="BS20" s="1923" t="str">
        <f t="shared" si="50"/>
        <v>ND</v>
      </c>
      <c r="BT20" s="1924" t="str">
        <f t="shared" si="51"/>
        <v>ND</v>
      </c>
      <c r="BU20" s="1925">
        <f>IF('Saisie données stocks'!$O$10='TRAD-Saisie données stocks'!$B$51, IF(P20="OK", IF(AND(BR20&gt;0, ISNUMBER(BR20)), (BO20-BR20), (BO20)), O20), O20)</f>
        <v>0</v>
      </c>
      <c r="BV20" s="1925">
        <f t="shared" si="52"/>
        <v>505</v>
      </c>
      <c r="BW20" s="2045">
        <f t="shared" si="53"/>
        <v>42064</v>
      </c>
      <c r="BX20" s="2045">
        <f>IF('Saisie données stocks'!$O$10='TRAD-Saisie données stocks'!$B$51, IF('Calculs Péremption FA'!P20="OK", IF(BU20=O20, MAX(Paramétrage!$H$19+('Saisie données stocks'!$N$14*(365/12)), BM20, BE20, AW20, AO20, AG20, Y20, R20), BW20), Paramétrage!$H$19+('Saisie données stocks'!$N$14*(365/12))), Paramétrage!$H$19+('Saisie données stocks'!$N$14*(365/12)))</f>
        <v>42064</v>
      </c>
      <c r="BY20" s="2046">
        <f t="shared" si="54"/>
        <v>1</v>
      </c>
      <c r="BZ20" s="2046">
        <f t="shared" si="55"/>
        <v>3</v>
      </c>
      <c r="CA20" s="2046">
        <f t="shared" si="56"/>
        <v>2015</v>
      </c>
      <c r="CB20" s="2046">
        <f>IF(BX20="", "", (BX20-Paramétrage!$H$19)/(365/12))</f>
        <v>4.7671232876712324</v>
      </c>
      <c r="CC20" s="2046" t="str">
        <f>IF(CB20='Saisie données stocks'!N$14, 'TRAD-Calculs Péremption FA'!$B$74, CONCATENATE("DLU - ", BY20, "/", BZ20, "/", CA20))</f>
        <v>DLU - 1/3/2015</v>
      </c>
    </row>
    <row r="21" spans="2:81" ht="39" thickBot="1" x14ac:dyDescent="0.25">
      <c r="B21" s="388"/>
      <c r="C21" s="389"/>
      <c r="D21" s="1927" t="s">
        <v>612</v>
      </c>
      <c r="E21" s="1928" t="str">
        <f>'TRAD-Calculs Péremption FA'!B10</f>
        <v>Cp coblister</v>
      </c>
      <c r="F21" s="1928" t="s">
        <v>613</v>
      </c>
      <c r="G21" s="410" t="s">
        <v>649</v>
      </c>
      <c r="H21" s="658" t="str">
        <f t="shared" si="17"/>
        <v>[TDF+3TC]+ATV/r - [300/300]+300/100 mg</v>
      </c>
      <c r="I21" s="1798">
        <v>30</v>
      </c>
      <c r="J21" s="1799"/>
      <c r="K21" s="1800">
        <f>IF('TdB Péremptions'!$H$9="X", 'Prix 10-2011 GPRM $'!$L$70, IF('TdB Péremptions'!$H$10="X", 'Prix 10-2011 GPRM $'!$L$70, IF('TdB Péremptions'!$H$11="X", 'Prix VPP 102012 convert'!$L$70, IF('TdB Péremptions'!$H$12="X", 'Prix VPP 102012 convert'!$L$70, IF('TdB Péremptions'!$H$13="X", 'Prix spécifiques'!$J$21, 0)))))</f>
        <v>30</v>
      </c>
      <c r="L21" s="1800">
        <f>(1+'TdB Péremptions'!$H$14)*K21</f>
        <v>33</v>
      </c>
      <c r="M21" s="1929">
        <f>Calculs!O167</f>
        <v>0</v>
      </c>
      <c r="N21" s="1929">
        <f>Calculs!N221</f>
        <v>0</v>
      </c>
      <c r="O21" s="1929">
        <f>'Saisie données stocks'!N33</f>
        <v>0</v>
      </c>
      <c r="P21" s="1930" t="str">
        <f>IF(SUM('Saisie données stocks'!R33+'Saisie données stocks'!T33+'Saisie données stocks'!V33+'Saisie données stocks'!X33+'Saisie données stocks'!Z33+'Saisie données stocks'!AB33+'Saisie données stocks'!AD33)='Calculs Péremption FA'!O21,  "OK", 'TRAD-Saisie données stocks'!$B$70)</f>
        <v>OK</v>
      </c>
      <c r="Q21" s="1931" t="str">
        <f>IF(AND(O21&gt;0, M21=0, N21=0), 'TRAD-Calculs Péremption FA'!$B$76, "")</f>
        <v/>
      </c>
      <c r="R21" s="1932">
        <f>'Saisie données stocks'!Q33</f>
        <v>0</v>
      </c>
      <c r="S21" s="1933">
        <f>'Saisie données stocks'!R33</f>
        <v>0</v>
      </c>
      <c r="T21" s="1934" t="str">
        <f>IF(AND(R21=0, S21=0), "ND", IF((R21-Paramétrage!$H$19)&gt;0, (R21-Paramétrage!$H$19)/(365/12), "Date non renseignée ou produit périmé"))</f>
        <v>ND</v>
      </c>
      <c r="U21" s="1935" t="str">
        <f t="shared" si="18"/>
        <v>ND</v>
      </c>
      <c r="V21" s="1935" t="str">
        <f t="shared" si="19"/>
        <v>ND</v>
      </c>
      <c r="W21" s="1934" t="str">
        <f t="shared" si="20"/>
        <v>ND</v>
      </c>
      <c r="X21" s="1937" t="str">
        <f t="shared" si="21"/>
        <v>ND</v>
      </c>
      <c r="Y21" s="1932">
        <f>'Saisie données stocks'!S33</f>
        <v>0</v>
      </c>
      <c r="Z21" s="1933">
        <f>'Saisie données stocks'!T33</f>
        <v>0</v>
      </c>
      <c r="AA21" s="1936">
        <f t="shared" si="22"/>
        <v>0</v>
      </c>
      <c r="AB21" s="1936" t="str">
        <f>IF(AND(Y21=0, Z21=0), "ND", IF((Y21-Paramétrage!$H$19)&gt;0, (Y21-Paramétrage!$H$19)/(365/12), "Date non renseignée ou produit périmé"))</f>
        <v>ND</v>
      </c>
      <c r="AC21" s="1936" t="str">
        <f t="shared" si="23"/>
        <v>ND</v>
      </c>
      <c r="AD21" s="1936" t="str">
        <f t="shared" si="24"/>
        <v>ND</v>
      </c>
      <c r="AE21" s="1934" t="str">
        <f t="shared" si="25"/>
        <v>ND</v>
      </c>
      <c r="AF21" s="1937" t="str">
        <f t="shared" si="26"/>
        <v>ND</v>
      </c>
      <c r="AG21" s="1932">
        <f>'Saisie données stocks'!U33</f>
        <v>0</v>
      </c>
      <c r="AH21" s="1933">
        <f>'Saisie données stocks'!V33</f>
        <v>0</v>
      </c>
      <c r="AI21" s="1936">
        <f t="shared" si="27"/>
        <v>0</v>
      </c>
      <c r="AJ21" s="1936" t="str">
        <f>IF(AND(AG21=0, AH21=0), "ND", IF((AG21-Paramétrage!$H$19)&gt;0, (AG21-Paramétrage!$H$19)/(365/12), "Date non renseignée ou produit périmé"))</f>
        <v>ND</v>
      </c>
      <c r="AK21" s="1936" t="str">
        <f t="shared" si="28"/>
        <v>ND</v>
      </c>
      <c r="AL21" s="1936" t="str">
        <f t="shared" si="29"/>
        <v>ND</v>
      </c>
      <c r="AM21" s="1936" t="str">
        <f t="shared" si="30"/>
        <v>ND</v>
      </c>
      <c r="AN21" s="1937" t="str">
        <f t="shared" si="31"/>
        <v>ND</v>
      </c>
      <c r="AO21" s="1932">
        <f>'Saisie données stocks'!W33</f>
        <v>0</v>
      </c>
      <c r="AP21" s="1933">
        <f>'Saisie données stocks'!X33</f>
        <v>0</v>
      </c>
      <c r="AQ21" s="1936">
        <f t="shared" si="32"/>
        <v>0</v>
      </c>
      <c r="AR21" s="1936" t="str">
        <f>IF(AND(AO21=0, AP21=0), "ND", IF((AO21-Paramétrage!$H$19)&gt;0, (AO21-Paramétrage!$H$19)/(365/12), "Date non renseignée ou produit périmé"))</f>
        <v>ND</v>
      </c>
      <c r="AS21" s="1936" t="str">
        <f t="shared" si="33"/>
        <v>ND</v>
      </c>
      <c r="AT21" s="1936" t="str">
        <f t="shared" si="34"/>
        <v>ND</v>
      </c>
      <c r="AU21" s="1936" t="str">
        <f t="shared" si="35"/>
        <v>ND</v>
      </c>
      <c r="AV21" s="1937" t="str">
        <f t="shared" si="36"/>
        <v>ND</v>
      </c>
      <c r="AW21" s="1932">
        <f>'Saisie données stocks'!Y33</f>
        <v>0</v>
      </c>
      <c r="AX21" s="1933">
        <f>'Saisie données stocks'!Z33</f>
        <v>0</v>
      </c>
      <c r="AY21" s="1936">
        <f t="shared" si="37"/>
        <v>0</v>
      </c>
      <c r="AZ21" s="1936" t="str">
        <f>IF(AND(AW21=0, AX21=0), "ND", IF((AW21-Paramétrage!$H$19)&gt;0, (AW21-Paramétrage!$H$19)/(365/12), "Date non renseignée ou produit périmé"))</f>
        <v>ND</v>
      </c>
      <c r="BA21" s="1936" t="str">
        <f t="shared" si="38"/>
        <v>ND</v>
      </c>
      <c r="BB21" s="1936" t="str">
        <f t="shared" si="39"/>
        <v>ND</v>
      </c>
      <c r="BC21" s="1936" t="str">
        <f t="shared" si="40"/>
        <v>ND</v>
      </c>
      <c r="BD21" s="1937" t="str">
        <f t="shared" si="41"/>
        <v>ND</v>
      </c>
      <c r="BE21" s="1932">
        <f>'Saisie données stocks'!AA33</f>
        <v>0</v>
      </c>
      <c r="BF21" s="1933">
        <f>'Saisie données stocks'!AB33</f>
        <v>0</v>
      </c>
      <c r="BG21" s="1936">
        <f t="shared" si="42"/>
        <v>0</v>
      </c>
      <c r="BH21" s="1936" t="str">
        <f>IF(AND(BE21=0, BF21=0), "ND", IF((BE21-Paramétrage!$H$19)&gt;0, (BE21-Paramétrage!$H$19)/(365/12), "Date non renseignée ou produit périmé"))</f>
        <v>ND</v>
      </c>
      <c r="BI21" s="1936" t="str">
        <f t="shared" si="43"/>
        <v>ND</v>
      </c>
      <c r="BJ21" s="1936" t="str">
        <f t="shared" si="44"/>
        <v>ND</v>
      </c>
      <c r="BK21" s="1936" t="str">
        <f t="shared" si="45"/>
        <v>ND</v>
      </c>
      <c r="BL21" s="1937" t="str">
        <f t="shared" si="46"/>
        <v>ND</v>
      </c>
      <c r="BM21" s="1932">
        <f>'Saisie données stocks'!AC33</f>
        <v>0</v>
      </c>
      <c r="BN21" s="1933">
        <f>'Saisie données stocks'!AD33</f>
        <v>0</v>
      </c>
      <c r="BO21" s="1936">
        <f t="shared" si="47"/>
        <v>0</v>
      </c>
      <c r="BP21" s="1936" t="str">
        <f>IF(AND(BM21=0, BN21=0), "ND", IF((BM21-Paramétrage!$H$19)&gt;0, (BM21-Paramétrage!$H$19)/(365/12), "Date non renseignée ou produit périmé"))</f>
        <v>ND</v>
      </c>
      <c r="BQ21" s="1936" t="str">
        <f t="shared" si="48"/>
        <v>ND</v>
      </c>
      <c r="BR21" s="1936" t="str">
        <f t="shared" si="49"/>
        <v>ND</v>
      </c>
      <c r="BS21" s="1936" t="str">
        <f t="shared" si="50"/>
        <v>ND</v>
      </c>
      <c r="BT21" s="1937" t="str">
        <f t="shared" si="51"/>
        <v>ND</v>
      </c>
      <c r="BU21" s="1938">
        <f>IF('Saisie données stocks'!$O$10='TRAD-Saisie données stocks'!$B$51, IF(P21="OK", IF(AND(BR21&gt;0, ISNUMBER(BR21)), (BO21-BR21), (BO21)), O21), O21)</f>
        <v>0</v>
      </c>
      <c r="BV21" s="1938">
        <f t="shared" si="52"/>
        <v>0</v>
      </c>
      <c r="BW21" s="2047" t="str">
        <f t="shared" si="53"/>
        <v/>
      </c>
      <c r="BX21" s="2047">
        <f>IF('Saisie données stocks'!$O$10='TRAD-Saisie données stocks'!$B$51, IF('Calculs Péremption FA'!P21="OK", IF(BU21=O21, MAX(Paramétrage!$H$19+('Saisie données stocks'!$N$14*(365/12)), BM21, BE21, AW21, AO21, AG21, Y21, R21), BW21), Paramétrage!$H$19+('Saisie données stocks'!$N$14*(365/12))), Paramétrage!$H$19+('Saisie données stocks'!$N$14*(365/12)))</f>
        <v>42101.5</v>
      </c>
      <c r="BY21" s="2048">
        <f t="shared" si="54"/>
        <v>7</v>
      </c>
      <c r="BZ21" s="2048">
        <f t="shared" si="55"/>
        <v>4</v>
      </c>
      <c r="CA21" s="2048">
        <f t="shared" si="56"/>
        <v>2015</v>
      </c>
      <c r="CB21" s="2048">
        <f>IF(BX21="", "", (BX21-Paramétrage!$H$19)/(365/12))</f>
        <v>6</v>
      </c>
      <c r="CC21" s="2048" t="str">
        <f>IF(CB21='Saisie données stocks'!N$14, 'TRAD-Calculs Péremption FA'!$B$74, CONCATENATE("DLU - ", BY21, "/", BZ21, "/", CA21))</f>
        <v>Durée de vie max</v>
      </c>
    </row>
    <row r="22" spans="2:81" ht="25.5" x14ac:dyDescent="0.2">
      <c r="B22" s="374"/>
      <c r="C22" s="375" t="s">
        <v>26</v>
      </c>
      <c r="D22" s="1900" t="s">
        <v>27</v>
      </c>
      <c r="E22" s="1901" t="s">
        <v>104</v>
      </c>
      <c r="F22" s="1901" t="s">
        <v>105</v>
      </c>
      <c r="G22" s="369" t="s">
        <v>621</v>
      </c>
      <c r="H22" s="371" t="str">
        <f t="shared" si="17"/>
        <v>EFV - 50 mg</v>
      </c>
      <c r="I22" s="113">
        <v>30</v>
      </c>
      <c r="J22" s="656"/>
      <c r="K22" s="755">
        <f>IF('TdB Péremptions'!$H$9="X", 'Prix 10-2011 GPRM $'!$O$136, IF('TdB Péremptions'!$H$10="X", 'Prix 10-2011 GPRM $'!$Q$136, IF('TdB Péremptions'!$H$11="X", 'Prix VPP 102012 convert'!$O$136, IF('TdB Péremptions'!$H$12="X", 'Prix VPP 102012 convert'!$Q$136, IF('TdB Péremptions'!$H$13="X", 'Prix spécifiques'!$J$22, 0)))))</f>
        <v>1.49</v>
      </c>
      <c r="L22" s="755">
        <f>(1+'TdB Péremptions'!$H$14)*K22</f>
        <v>1.639</v>
      </c>
      <c r="M22" s="1902">
        <f>Calculs!O168</f>
        <v>0</v>
      </c>
      <c r="N22" s="1902">
        <f>Calculs!N222</f>
        <v>0</v>
      </c>
      <c r="O22" s="1902">
        <f>'Saisie données stocks'!N34</f>
        <v>0</v>
      </c>
      <c r="P22" s="1903" t="str">
        <f>IF(SUM('Saisie données stocks'!R34+'Saisie données stocks'!T34+'Saisie données stocks'!V34+'Saisie données stocks'!X34+'Saisie données stocks'!Z34+'Saisie données stocks'!AB34+'Saisie données stocks'!AD34)='Calculs Péremption FA'!O22,  "OK", 'TRAD-Saisie données stocks'!$B$70)</f>
        <v>OK</v>
      </c>
      <c r="Q22" s="1904" t="str">
        <f>IF(AND(O22&gt;0, M22=0, N22=0), 'TRAD-Calculs Péremption FA'!$B$76, "")</f>
        <v/>
      </c>
      <c r="R22" s="1939">
        <f>'Saisie données stocks'!Q34</f>
        <v>0</v>
      </c>
      <c r="S22" s="1906">
        <f>'Saisie données stocks'!R34</f>
        <v>0</v>
      </c>
      <c r="T22" s="1907" t="str">
        <f>IF(AND(R22=0, S22=0), "ND", IF((R22-Paramétrage!$H$19)&gt;0, (R22-Paramétrage!$H$19)/(365/12), "Date non renseignée ou produit périmé"))</f>
        <v>ND</v>
      </c>
      <c r="U22" s="1908" t="str">
        <f t="shared" si="18"/>
        <v>ND</v>
      </c>
      <c r="V22" s="1908" t="str">
        <f t="shared" si="19"/>
        <v>ND</v>
      </c>
      <c r="W22" s="1907" t="str">
        <f t="shared" si="20"/>
        <v>ND</v>
      </c>
      <c r="X22" s="1909" t="str">
        <f t="shared" si="21"/>
        <v>ND</v>
      </c>
      <c r="Y22" s="1939">
        <f>'Saisie données stocks'!S34</f>
        <v>0</v>
      </c>
      <c r="Z22" s="1906">
        <f>'Saisie données stocks'!T34</f>
        <v>0</v>
      </c>
      <c r="AA22" s="1910">
        <f t="shared" si="22"/>
        <v>0</v>
      </c>
      <c r="AB22" s="1910" t="str">
        <f>IF(AND(Y22=0, Z22=0), "ND", IF((Y22-Paramétrage!$H$19)&gt;0, (Y22-Paramétrage!$H$19)/(365/12), "Date non renseignée ou produit périmé"))</f>
        <v>ND</v>
      </c>
      <c r="AC22" s="1910" t="str">
        <f t="shared" si="23"/>
        <v>ND</v>
      </c>
      <c r="AD22" s="1910" t="str">
        <f t="shared" si="24"/>
        <v>ND</v>
      </c>
      <c r="AE22" s="1907" t="str">
        <f t="shared" si="25"/>
        <v>ND</v>
      </c>
      <c r="AF22" s="1909" t="str">
        <f t="shared" si="26"/>
        <v>ND</v>
      </c>
      <c r="AG22" s="1939">
        <f>'Saisie données stocks'!U34</f>
        <v>0</v>
      </c>
      <c r="AH22" s="1906">
        <f>'Saisie données stocks'!V34</f>
        <v>0</v>
      </c>
      <c r="AI22" s="1910">
        <f t="shared" si="27"/>
        <v>0</v>
      </c>
      <c r="AJ22" s="1910" t="str">
        <f>IF(AND(AG22=0, AH22=0), "ND", IF((AG22-Paramétrage!$H$19)&gt;0, (AG22-Paramétrage!$H$19)/(365/12), "Date non renseignée ou produit périmé"))</f>
        <v>ND</v>
      </c>
      <c r="AK22" s="1910" t="str">
        <f t="shared" si="28"/>
        <v>ND</v>
      </c>
      <c r="AL22" s="1910" t="str">
        <f t="shared" si="29"/>
        <v>ND</v>
      </c>
      <c r="AM22" s="1910" t="str">
        <f t="shared" si="30"/>
        <v>ND</v>
      </c>
      <c r="AN22" s="1909" t="str">
        <f t="shared" si="31"/>
        <v>ND</v>
      </c>
      <c r="AO22" s="1939">
        <f>'Saisie données stocks'!W34</f>
        <v>0</v>
      </c>
      <c r="AP22" s="1906">
        <f>'Saisie données stocks'!X34</f>
        <v>0</v>
      </c>
      <c r="AQ22" s="1910">
        <f t="shared" si="32"/>
        <v>0</v>
      </c>
      <c r="AR22" s="1910" t="str">
        <f>IF(AND(AO22=0, AP22=0), "ND", IF((AO22-Paramétrage!$H$19)&gt;0, (AO22-Paramétrage!$H$19)/(365/12), "Date non renseignée ou produit périmé"))</f>
        <v>ND</v>
      </c>
      <c r="AS22" s="1910" t="str">
        <f t="shared" si="33"/>
        <v>ND</v>
      </c>
      <c r="AT22" s="1910" t="str">
        <f t="shared" si="34"/>
        <v>ND</v>
      </c>
      <c r="AU22" s="1910" t="str">
        <f t="shared" si="35"/>
        <v>ND</v>
      </c>
      <c r="AV22" s="1909" t="str">
        <f t="shared" si="36"/>
        <v>ND</v>
      </c>
      <c r="AW22" s="1939">
        <f>'Saisie données stocks'!Y34</f>
        <v>0</v>
      </c>
      <c r="AX22" s="1906">
        <f>'Saisie données stocks'!Z34</f>
        <v>0</v>
      </c>
      <c r="AY22" s="1910">
        <f t="shared" si="37"/>
        <v>0</v>
      </c>
      <c r="AZ22" s="1910" t="str">
        <f>IF(AND(AW22=0, AX22=0), "ND", IF((AW22-Paramétrage!$H$19)&gt;0, (AW22-Paramétrage!$H$19)/(365/12), "Date non renseignée ou produit périmé"))</f>
        <v>ND</v>
      </c>
      <c r="BA22" s="1910" t="str">
        <f t="shared" si="38"/>
        <v>ND</v>
      </c>
      <c r="BB22" s="1910" t="str">
        <f t="shared" si="39"/>
        <v>ND</v>
      </c>
      <c r="BC22" s="1910" t="str">
        <f t="shared" si="40"/>
        <v>ND</v>
      </c>
      <c r="BD22" s="1909" t="str">
        <f t="shared" si="41"/>
        <v>ND</v>
      </c>
      <c r="BE22" s="1939">
        <f>'Saisie données stocks'!AA34</f>
        <v>0</v>
      </c>
      <c r="BF22" s="1906">
        <f>'Saisie données stocks'!AB34</f>
        <v>0</v>
      </c>
      <c r="BG22" s="1910">
        <f t="shared" si="42"/>
        <v>0</v>
      </c>
      <c r="BH22" s="1910" t="str">
        <f>IF(AND(BE22=0, BF22=0), "ND", IF((BE22-Paramétrage!$H$19)&gt;0, (BE22-Paramétrage!$H$19)/(365/12), "Date non renseignée ou produit périmé"))</f>
        <v>ND</v>
      </c>
      <c r="BI22" s="1910" t="str">
        <f t="shared" si="43"/>
        <v>ND</v>
      </c>
      <c r="BJ22" s="1910" t="str">
        <f t="shared" si="44"/>
        <v>ND</v>
      </c>
      <c r="BK22" s="1910" t="str">
        <f t="shared" si="45"/>
        <v>ND</v>
      </c>
      <c r="BL22" s="1909" t="str">
        <f t="shared" si="46"/>
        <v>ND</v>
      </c>
      <c r="BM22" s="1939">
        <f>'Saisie données stocks'!AC34</f>
        <v>0</v>
      </c>
      <c r="BN22" s="1906">
        <f>'Saisie données stocks'!AD34</f>
        <v>0</v>
      </c>
      <c r="BO22" s="1910">
        <f t="shared" si="47"/>
        <v>0</v>
      </c>
      <c r="BP22" s="1910" t="str">
        <f>IF(AND(BM22=0, BN22=0), "ND", IF((BM22-Paramétrage!$H$19)&gt;0, (BM22-Paramétrage!$H$19)/(365/12), "Date non renseignée ou produit périmé"))</f>
        <v>ND</v>
      </c>
      <c r="BQ22" s="1910" t="str">
        <f t="shared" si="48"/>
        <v>ND</v>
      </c>
      <c r="BR22" s="1910" t="str">
        <f t="shared" si="49"/>
        <v>ND</v>
      </c>
      <c r="BS22" s="1910" t="str">
        <f t="shared" si="50"/>
        <v>ND</v>
      </c>
      <c r="BT22" s="1909" t="str">
        <f t="shared" si="51"/>
        <v>ND</v>
      </c>
      <c r="BU22" s="1911">
        <f>IF('Saisie données stocks'!$O$10='TRAD-Saisie données stocks'!$B$51, IF(P22="OK", IF(AND(BR22&gt;0, ISNUMBER(BR22)), (BO22-BR22), (BO22)), O22), O22)</f>
        <v>0</v>
      </c>
      <c r="BV22" s="1911">
        <f t="shared" si="52"/>
        <v>0</v>
      </c>
      <c r="BW22" s="2042" t="str">
        <f t="shared" si="53"/>
        <v/>
      </c>
      <c r="BX22" s="2042">
        <f>IF('Saisie données stocks'!$O$10='TRAD-Saisie données stocks'!$B$51, IF('Calculs Péremption FA'!P22="OK", IF(BU22=O22, MAX(Paramétrage!$H$19+('Saisie données stocks'!$N$14*(365/12)), BM22, BE22, AW22, AO22, AG22, Y22, R22), BW22), Paramétrage!$H$19+('Saisie données stocks'!$N$14*(365/12))), Paramétrage!$H$19+('Saisie données stocks'!$N$14*(365/12)))</f>
        <v>42101.5</v>
      </c>
      <c r="BY22" s="2043">
        <f t="shared" si="54"/>
        <v>7</v>
      </c>
      <c r="BZ22" s="2043">
        <f t="shared" si="55"/>
        <v>4</v>
      </c>
      <c r="CA22" s="2043">
        <f t="shared" si="56"/>
        <v>2015</v>
      </c>
      <c r="CB22" s="2043">
        <f>IF(BX22="", "", (BX22-Paramétrage!$H$19)/(365/12))</f>
        <v>6</v>
      </c>
      <c r="CC22" s="2043" t="str">
        <f>IF(CB22='Saisie données stocks'!N$14, 'TRAD-Calculs Péremption FA'!$B$74, CONCATENATE("DLU - ", BY22, "/", BZ22, "/", CA22))</f>
        <v>Durée de vie max</v>
      </c>
    </row>
    <row r="23" spans="2:81" ht="38.25" x14ac:dyDescent="0.2">
      <c r="B23" s="374"/>
      <c r="C23" s="375"/>
      <c r="D23" s="1926" t="s">
        <v>27</v>
      </c>
      <c r="E23" s="1815" t="s">
        <v>104</v>
      </c>
      <c r="F23" s="1815" t="s">
        <v>30</v>
      </c>
      <c r="G23" s="377" t="s">
        <v>621</v>
      </c>
      <c r="H23" s="379" t="str">
        <f t="shared" si="17"/>
        <v>EFV - 200 mg</v>
      </c>
      <c r="I23" s="1385">
        <v>90</v>
      </c>
      <c r="J23" s="1645"/>
      <c r="K23" s="1628">
        <f>IF('TdB Péremptions'!$H$9="X", 'Prix 10-2011 GPRM $'!$O$44, IF('TdB Péremptions'!$H$10="X", 'Prix 10-2011 GPRM $'!$Q$44, IF('TdB Péremptions'!$H$11="X", 'Prix VPP 102012 convert'!$O$44, IF('TdB Péremptions'!$H$12="X", 'Prix VPP 102012 convert'!$Q$44, IF('TdB Péremptions'!$H$13="X", 'Prix spécifiques'!$J$23, 0)))))</f>
        <v>7.4</v>
      </c>
      <c r="L23" s="1628">
        <f>(1+'TdB Péremptions'!$H$14)*K23</f>
        <v>8.14</v>
      </c>
      <c r="M23" s="1916">
        <f>Calculs!O169</f>
        <v>0</v>
      </c>
      <c r="N23" s="1916">
        <f>Calculs!N223</f>
        <v>0</v>
      </c>
      <c r="O23" s="1916">
        <f>'Saisie données stocks'!N35</f>
        <v>2</v>
      </c>
      <c r="P23" s="1917" t="str">
        <f>IF(SUM('Saisie données stocks'!R35+'Saisie données stocks'!T35+'Saisie données stocks'!V35+'Saisie données stocks'!X35+'Saisie données stocks'!Z35+'Saisie données stocks'!AB35+'Saisie données stocks'!AD35)='Calculs Péremption FA'!O23,  "OK", 'TRAD-Saisie données stocks'!$B$70)</f>
        <v>OK</v>
      </c>
      <c r="Q23" s="1918" t="str">
        <f>IF(AND(O23&gt;0, M23=0, N23=0), 'TRAD-Calculs Péremption FA'!$B$76, "")</f>
        <v>Produit en stock mais sans aucune utilisation</v>
      </c>
      <c r="R23" s="1919">
        <f>'Saisie données stocks'!Q35</f>
        <v>42095</v>
      </c>
      <c r="S23" s="1920">
        <f>'Saisie données stocks'!R35</f>
        <v>2</v>
      </c>
      <c r="T23" s="1921">
        <f>IF(AND(R23=0, S23=0), "ND", IF((R23-Paramétrage!$H$19)&gt;0, (R23-Paramétrage!$H$19)/(365/12), "Date non renseignée ou produit périmé"))</f>
        <v>5.7863013698630139</v>
      </c>
      <c r="U23" s="1922">
        <f t="shared" si="18"/>
        <v>0</v>
      </c>
      <c r="V23" s="1922">
        <f t="shared" si="19"/>
        <v>2</v>
      </c>
      <c r="W23" s="1921" t="str">
        <f t="shared" si="20"/>
        <v>ATTENTION SURSTOCK et risque de péremption</v>
      </c>
      <c r="X23" s="1924">
        <f t="shared" si="21"/>
        <v>16.28</v>
      </c>
      <c r="Y23" s="1919">
        <f>'Saisie données stocks'!S35</f>
        <v>0</v>
      </c>
      <c r="Z23" s="1920">
        <f>'Saisie données stocks'!T35</f>
        <v>0</v>
      </c>
      <c r="AA23" s="1923">
        <f t="shared" si="22"/>
        <v>0</v>
      </c>
      <c r="AB23" s="1923" t="str">
        <f>IF(AND(Y23=0, Z23=0), "ND", IF((Y23-Paramétrage!$H$19)&gt;0, (Y23-Paramétrage!$H$19)/(365/12), "Date non renseignée ou produit périmé"))</f>
        <v>ND</v>
      </c>
      <c r="AC23" s="1923" t="str">
        <f t="shared" si="23"/>
        <v>ND</v>
      </c>
      <c r="AD23" s="1923" t="str">
        <f t="shared" si="24"/>
        <v>ND</v>
      </c>
      <c r="AE23" s="1921" t="str">
        <f t="shared" si="25"/>
        <v>ND</v>
      </c>
      <c r="AF23" s="1924" t="str">
        <f t="shared" si="26"/>
        <v>ND</v>
      </c>
      <c r="AG23" s="1919">
        <f>'Saisie données stocks'!U35</f>
        <v>0</v>
      </c>
      <c r="AH23" s="1920">
        <f>'Saisie données stocks'!V35</f>
        <v>0</v>
      </c>
      <c r="AI23" s="1923">
        <f t="shared" si="27"/>
        <v>0</v>
      </c>
      <c r="AJ23" s="1923" t="str">
        <f>IF(AND(AG23=0, AH23=0), "ND", IF((AG23-Paramétrage!$H$19)&gt;0, (AG23-Paramétrage!$H$19)/(365/12), "Date non renseignée ou produit périmé"))</f>
        <v>ND</v>
      </c>
      <c r="AK23" s="1923" t="str">
        <f t="shared" si="28"/>
        <v>ND</v>
      </c>
      <c r="AL23" s="1923" t="str">
        <f t="shared" si="29"/>
        <v>ND</v>
      </c>
      <c r="AM23" s="1923" t="str">
        <f t="shared" si="30"/>
        <v>ND</v>
      </c>
      <c r="AN23" s="1924" t="str">
        <f t="shared" si="31"/>
        <v>ND</v>
      </c>
      <c r="AO23" s="1919">
        <f>'Saisie données stocks'!W35</f>
        <v>0</v>
      </c>
      <c r="AP23" s="1920">
        <f>'Saisie données stocks'!X35</f>
        <v>0</v>
      </c>
      <c r="AQ23" s="1923">
        <f t="shared" si="32"/>
        <v>0</v>
      </c>
      <c r="AR23" s="1923" t="str">
        <f>IF(AND(AO23=0, AP23=0), "ND", IF((AO23-Paramétrage!$H$19)&gt;0, (AO23-Paramétrage!$H$19)/(365/12), "Date non renseignée ou produit périmé"))</f>
        <v>ND</v>
      </c>
      <c r="AS23" s="1923" t="str">
        <f t="shared" si="33"/>
        <v>ND</v>
      </c>
      <c r="AT23" s="1923" t="str">
        <f t="shared" si="34"/>
        <v>ND</v>
      </c>
      <c r="AU23" s="1923" t="str">
        <f t="shared" si="35"/>
        <v>ND</v>
      </c>
      <c r="AV23" s="1924" t="str">
        <f t="shared" si="36"/>
        <v>ND</v>
      </c>
      <c r="AW23" s="1919">
        <f>'Saisie données stocks'!Y35</f>
        <v>0</v>
      </c>
      <c r="AX23" s="1920">
        <f>'Saisie données stocks'!Z35</f>
        <v>0</v>
      </c>
      <c r="AY23" s="1923">
        <f t="shared" si="37"/>
        <v>0</v>
      </c>
      <c r="AZ23" s="1923" t="str">
        <f>IF(AND(AW23=0, AX23=0), "ND", IF((AW23-Paramétrage!$H$19)&gt;0, (AW23-Paramétrage!$H$19)/(365/12), "Date non renseignée ou produit périmé"))</f>
        <v>ND</v>
      </c>
      <c r="BA23" s="1923" t="str">
        <f t="shared" si="38"/>
        <v>ND</v>
      </c>
      <c r="BB23" s="1923" t="str">
        <f t="shared" si="39"/>
        <v>ND</v>
      </c>
      <c r="BC23" s="1923" t="str">
        <f t="shared" si="40"/>
        <v>ND</v>
      </c>
      <c r="BD23" s="1924" t="str">
        <f t="shared" si="41"/>
        <v>ND</v>
      </c>
      <c r="BE23" s="1919">
        <f>'Saisie données stocks'!AA35</f>
        <v>0</v>
      </c>
      <c r="BF23" s="1920">
        <f>'Saisie données stocks'!AB35</f>
        <v>0</v>
      </c>
      <c r="BG23" s="1923">
        <f t="shared" si="42"/>
        <v>0</v>
      </c>
      <c r="BH23" s="1923" t="str">
        <f>IF(AND(BE23=0, BF23=0), "ND", IF((BE23-Paramétrage!$H$19)&gt;0, (BE23-Paramétrage!$H$19)/(365/12), "Date non renseignée ou produit périmé"))</f>
        <v>ND</v>
      </c>
      <c r="BI23" s="1923" t="str">
        <f t="shared" si="43"/>
        <v>ND</v>
      </c>
      <c r="BJ23" s="1923" t="str">
        <f t="shared" si="44"/>
        <v>ND</v>
      </c>
      <c r="BK23" s="1923" t="str">
        <f t="shared" si="45"/>
        <v>ND</v>
      </c>
      <c r="BL23" s="1924" t="str">
        <f t="shared" si="46"/>
        <v>ND</v>
      </c>
      <c r="BM23" s="1919">
        <f>'Saisie données stocks'!AC35</f>
        <v>0</v>
      </c>
      <c r="BN23" s="1920">
        <f>'Saisie données stocks'!AD35</f>
        <v>0</v>
      </c>
      <c r="BO23" s="1923">
        <f t="shared" si="47"/>
        <v>0</v>
      </c>
      <c r="BP23" s="1923" t="str">
        <f>IF(AND(BM23=0, BN23=0), "ND", IF((BM23-Paramétrage!$H$19)&gt;0, (BM23-Paramétrage!$H$19)/(365/12), "Date non renseignée ou produit périmé"))</f>
        <v>ND</v>
      </c>
      <c r="BQ23" s="1923" t="str">
        <f t="shared" si="48"/>
        <v>ND</v>
      </c>
      <c r="BR23" s="1923" t="str">
        <f t="shared" si="49"/>
        <v>ND</v>
      </c>
      <c r="BS23" s="1923" t="str">
        <f t="shared" si="50"/>
        <v>ND</v>
      </c>
      <c r="BT23" s="1924" t="str">
        <f t="shared" si="51"/>
        <v>ND</v>
      </c>
      <c r="BU23" s="1925">
        <f>IF('Saisie données stocks'!$O$10='TRAD-Saisie données stocks'!$B$51, IF(P23="OK", IF(AND(BR23&gt;0, ISNUMBER(BR23)), (BO23-BR23), (BO23)), O23), O23)</f>
        <v>0</v>
      </c>
      <c r="BV23" s="1925">
        <f t="shared" si="52"/>
        <v>2</v>
      </c>
      <c r="BW23" s="2045">
        <f t="shared" si="53"/>
        <v>42095</v>
      </c>
      <c r="BX23" s="2045">
        <f>IF('Saisie données stocks'!$O$10='TRAD-Saisie données stocks'!$B$51, IF('Calculs Péremption FA'!P23="OK", IF(BU23=O23, MAX(Paramétrage!$H$19+('Saisie données stocks'!$N$14*(365/12)), BM23, BE23, AW23, AO23, AG23, Y23, R23), BW23), Paramétrage!$H$19+('Saisie données stocks'!$N$14*(365/12))), Paramétrage!$H$19+('Saisie données stocks'!$N$14*(365/12)))</f>
        <v>42095</v>
      </c>
      <c r="BY23" s="2046">
        <f t="shared" si="54"/>
        <v>1</v>
      </c>
      <c r="BZ23" s="2046">
        <f t="shared" si="55"/>
        <v>4</v>
      </c>
      <c r="CA23" s="2046">
        <f t="shared" si="56"/>
        <v>2015</v>
      </c>
      <c r="CB23" s="2046">
        <f>IF(BX23="", "", (BX23-Paramétrage!$H$19)/(365/12))</f>
        <v>5.7863013698630139</v>
      </c>
      <c r="CC23" s="2046" t="str">
        <f>IF(CB23='Saisie données stocks'!N$14, 'TRAD-Calculs Péremption FA'!$B$74, CONCATENATE("DLU - ", BY23, "/", BZ23, "/", CA23))</f>
        <v>DLU - 1/4/2015</v>
      </c>
    </row>
    <row r="24" spans="2:81" ht="38.25" x14ac:dyDescent="0.2">
      <c r="B24" s="374"/>
      <c r="C24" s="375"/>
      <c r="D24" s="1940" t="s">
        <v>27</v>
      </c>
      <c r="E24" s="1941" t="str">
        <f>'TRAD-Calculs Péremption FA'!B9</f>
        <v>Cp</v>
      </c>
      <c r="F24" s="1941" t="s">
        <v>28</v>
      </c>
      <c r="G24" s="535" t="s">
        <v>621</v>
      </c>
      <c r="H24" s="379" t="str">
        <f t="shared" si="17"/>
        <v>EFV - 600 mg</v>
      </c>
      <c r="I24" s="1386">
        <v>30</v>
      </c>
      <c r="J24" s="1646"/>
      <c r="K24" s="1647">
        <f>IF('TdB Péremptions'!$H$9="X", 'Prix 10-2011 GPRM $'!$O$45, IF('TdB Péremptions'!$H$10="X", 'Prix 10-2011 GPRM $'!$Q$45, IF('TdB Péremptions'!$H$11="X", 'Prix VPP 102012 convert'!$O$45, IF('TdB Péremptions'!$H$12="X", 'Prix VPP 102012 convert'!$Q$45, IF('TdB Péremptions'!$H$13="X", 'Prix spécifiques'!$J$24, 0)))))</f>
        <v>6.4399999999999995</v>
      </c>
      <c r="L24" s="1647">
        <f>(1+'TdB Péremptions'!$H$14)*K24</f>
        <v>7.0839999999999996</v>
      </c>
      <c r="M24" s="1916">
        <f>Calculs!O170</f>
        <v>0</v>
      </c>
      <c r="N24" s="1916">
        <f>Calculs!N224</f>
        <v>0</v>
      </c>
      <c r="O24" s="1916">
        <f>'Saisie données stocks'!N36</f>
        <v>9356</v>
      </c>
      <c r="P24" s="1917" t="str">
        <f>IF(SUM('Saisie données stocks'!R36+'Saisie données stocks'!T36+'Saisie données stocks'!V36+'Saisie données stocks'!X36+'Saisie données stocks'!Z36+'Saisie données stocks'!AB36+'Saisie données stocks'!AD36)='Calculs Péremption FA'!O24,  "OK", 'TRAD-Saisie données stocks'!$B$70)</f>
        <v>OK</v>
      </c>
      <c r="Q24" s="1918" t="str">
        <f>IF(AND(O24&gt;0, M24=0, N24=0), 'TRAD-Calculs Péremption FA'!$B$76, "")</f>
        <v>Produit en stock mais sans aucune utilisation</v>
      </c>
      <c r="R24" s="1919">
        <f>'Saisie données stocks'!Q36</f>
        <v>42370</v>
      </c>
      <c r="S24" s="1920">
        <f>'Saisie données stocks'!R36</f>
        <v>1704</v>
      </c>
      <c r="T24" s="1921">
        <f>IF(AND(R24=0, S24=0), "ND", IF((R24-Paramétrage!$H$19)&gt;0, (R24-Paramétrage!$H$19)/(365/12), "Date non renseignée ou produit périmé"))</f>
        <v>14.827397260273973</v>
      </c>
      <c r="U24" s="1922">
        <f t="shared" si="18"/>
        <v>0</v>
      </c>
      <c r="V24" s="1922">
        <f t="shared" si="19"/>
        <v>1704</v>
      </c>
      <c r="W24" s="1921" t="str">
        <f t="shared" si="20"/>
        <v>ATTENTION SURSTOCK et risque de péremption</v>
      </c>
      <c r="X24" s="1924">
        <f t="shared" si="21"/>
        <v>12071.135999999999</v>
      </c>
      <c r="Y24" s="1919">
        <f>'Saisie données stocks'!S36</f>
        <v>42461</v>
      </c>
      <c r="Z24" s="1920">
        <f>'Saisie données stocks'!T36</f>
        <v>7652</v>
      </c>
      <c r="AA24" s="1923">
        <f t="shared" si="22"/>
        <v>7652</v>
      </c>
      <c r="AB24" s="1923">
        <f>IF(AND(Y24=0, Z24=0), "ND", IF((Y24-Paramétrage!$H$19)&gt;0, (Y24-Paramétrage!$H$19)/(365/12), "Date non renseignée ou produit périmé"))</f>
        <v>17.81917808219178</v>
      </c>
      <c r="AC24" s="1923">
        <f t="shared" si="23"/>
        <v>0</v>
      </c>
      <c r="AD24" s="1923">
        <f t="shared" si="24"/>
        <v>7652</v>
      </c>
      <c r="AE24" s="1921" t="str">
        <f t="shared" si="25"/>
        <v>ATTENTION SURSTOCK et risque de péremption</v>
      </c>
      <c r="AF24" s="1924">
        <f t="shared" si="26"/>
        <v>54206.767999999996</v>
      </c>
      <c r="AG24" s="1919">
        <f>'Saisie données stocks'!U36</f>
        <v>42552</v>
      </c>
      <c r="AH24" s="1920">
        <f>'Saisie données stocks'!V36</f>
        <v>0</v>
      </c>
      <c r="AI24" s="1923">
        <f t="shared" si="27"/>
        <v>0</v>
      </c>
      <c r="AJ24" s="1923">
        <f>IF(AND(AG24=0, AH24=0), "ND", IF((AG24-Paramétrage!$H$19)&gt;0, (AG24-Paramétrage!$H$19)/(365/12), "Date non renseignée ou produit périmé"))</f>
        <v>20.810958904109587</v>
      </c>
      <c r="AK24" s="1923">
        <f t="shared" si="28"/>
        <v>0</v>
      </c>
      <c r="AL24" s="1923">
        <f t="shared" si="29"/>
        <v>0</v>
      </c>
      <c r="AM24" s="1923" t="str">
        <f t="shared" si="30"/>
        <v>OK</v>
      </c>
      <c r="AN24" s="1924" t="str">
        <f t="shared" si="31"/>
        <v/>
      </c>
      <c r="AO24" s="1919">
        <f>'Saisie données stocks'!W36</f>
        <v>0</v>
      </c>
      <c r="AP24" s="1920">
        <f>'Saisie données stocks'!X36</f>
        <v>0</v>
      </c>
      <c r="AQ24" s="1923">
        <f t="shared" si="32"/>
        <v>0</v>
      </c>
      <c r="AR24" s="1923" t="str">
        <f>IF(AND(AO24=0, AP24=0), "ND", IF((AO24-Paramétrage!$H$19)&gt;0, (AO24-Paramétrage!$H$19)/(365/12), "Date non renseignée ou produit périmé"))</f>
        <v>ND</v>
      </c>
      <c r="AS24" s="1923" t="str">
        <f t="shared" si="33"/>
        <v>ND</v>
      </c>
      <c r="AT24" s="1923" t="str">
        <f t="shared" si="34"/>
        <v>ND</v>
      </c>
      <c r="AU24" s="1923" t="str">
        <f t="shared" si="35"/>
        <v>ND</v>
      </c>
      <c r="AV24" s="1924" t="str">
        <f t="shared" si="36"/>
        <v>ND</v>
      </c>
      <c r="AW24" s="1919">
        <f>'Saisie données stocks'!Y36</f>
        <v>0</v>
      </c>
      <c r="AX24" s="1920">
        <f>'Saisie données stocks'!Z36</f>
        <v>0</v>
      </c>
      <c r="AY24" s="1923">
        <f t="shared" si="37"/>
        <v>0</v>
      </c>
      <c r="AZ24" s="1923" t="str">
        <f>IF(AND(AW24=0, AX24=0), "ND", IF((AW24-Paramétrage!$H$19)&gt;0, (AW24-Paramétrage!$H$19)/(365/12), "Date non renseignée ou produit périmé"))</f>
        <v>ND</v>
      </c>
      <c r="BA24" s="1923" t="str">
        <f t="shared" si="38"/>
        <v>ND</v>
      </c>
      <c r="BB24" s="1923" t="str">
        <f t="shared" si="39"/>
        <v>ND</v>
      </c>
      <c r="BC24" s="1923" t="str">
        <f t="shared" si="40"/>
        <v>ND</v>
      </c>
      <c r="BD24" s="1924" t="str">
        <f t="shared" si="41"/>
        <v>ND</v>
      </c>
      <c r="BE24" s="1919">
        <f>'Saisie données stocks'!AA36</f>
        <v>0</v>
      </c>
      <c r="BF24" s="1920">
        <f>'Saisie données stocks'!AB36</f>
        <v>0</v>
      </c>
      <c r="BG24" s="1923">
        <f t="shared" si="42"/>
        <v>0</v>
      </c>
      <c r="BH24" s="1923" t="str">
        <f>IF(AND(BE24=0, BF24=0), "ND", IF((BE24-Paramétrage!$H$19)&gt;0, (BE24-Paramétrage!$H$19)/(365/12), "Date non renseignée ou produit périmé"))</f>
        <v>ND</v>
      </c>
      <c r="BI24" s="1923" t="str">
        <f t="shared" si="43"/>
        <v>ND</v>
      </c>
      <c r="BJ24" s="1923" t="str">
        <f t="shared" si="44"/>
        <v>ND</v>
      </c>
      <c r="BK24" s="1923" t="str">
        <f t="shared" si="45"/>
        <v>ND</v>
      </c>
      <c r="BL24" s="1924" t="str">
        <f t="shared" si="46"/>
        <v>ND</v>
      </c>
      <c r="BM24" s="1919">
        <f>'Saisie données stocks'!AC36</f>
        <v>0</v>
      </c>
      <c r="BN24" s="1920">
        <f>'Saisie données stocks'!AD36</f>
        <v>0</v>
      </c>
      <c r="BO24" s="1923">
        <f t="shared" si="47"/>
        <v>0</v>
      </c>
      <c r="BP24" s="1923" t="str">
        <f>IF(AND(BM24=0, BN24=0), "ND", IF((BM24-Paramétrage!$H$19)&gt;0, (BM24-Paramétrage!$H$19)/(365/12), "Date non renseignée ou produit périmé"))</f>
        <v>ND</v>
      </c>
      <c r="BQ24" s="1923" t="str">
        <f t="shared" si="48"/>
        <v>ND</v>
      </c>
      <c r="BR24" s="1923" t="str">
        <f t="shared" si="49"/>
        <v>ND</v>
      </c>
      <c r="BS24" s="1923" t="str">
        <f t="shared" si="50"/>
        <v>ND</v>
      </c>
      <c r="BT24" s="1924" t="str">
        <f t="shared" si="51"/>
        <v>ND</v>
      </c>
      <c r="BU24" s="1925">
        <f>IF('Saisie données stocks'!$O$10='TRAD-Saisie données stocks'!$B$51, IF(P24="OK", IF(AND(BR24&gt;0, ISNUMBER(BR24)), (BO24-BR24), (BO24)), O24), O24)</f>
        <v>0</v>
      </c>
      <c r="BV24" s="1925">
        <f t="shared" si="52"/>
        <v>9356</v>
      </c>
      <c r="BW24" s="2045">
        <f t="shared" si="53"/>
        <v>42461</v>
      </c>
      <c r="BX24" s="2045">
        <f>IF('Saisie données stocks'!$O$10='TRAD-Saisie données stocks'!$B$51, IF('Calculs Péremption FA'!P24="OK", IF(BU24=O24, MAX(Paramétrage!$H$19+('Saisie données stocks'!$N$14*(365/12)), BM24, BE24, AW24, AO24, AG24, Y24, R24), BW24), Paramétrage!$H$19+('Saisie données stocks'!$N$14*(365/12))), Paramétrage!$H$19+('Saisie données stocks'!$N$14*(365/12)))</f>
        <v>42461</v>
      </c>
      <c r="BY24" s="2046">
        <f t="shared" si="54"/>
        <v>1</v>
      </c>
      <c r="BZ24" s="2046">
        <f t="shared" si="55"/>
        <v>4</v>
      </c>
      <c r="CA24" s="2046">
        <f t="shared" si="56"/>
        <v>2016</v>
      </c>
      <c r="CB24" s="2046">
        <f>IF(BX24="", "", (BX24-Paramétrage!$H$19)/(365/12))</f>
        <v>17.81917808219178</v>
      </c>
      <c r="CC24" s="2046" t="str">
        <f>IF(CB24='Saisie données stocks'!N$14, 'TRAD-Calculs Péremption FA'!$B$74, CONCATENATE("DLU - ", BY24, "/", BZ24, "/", CA24))</f>
        <v>DLU - 1/4/2016</v>
      </c>
    </row>
    <row r="25" spans="2:81" ht="25.5" x14ac:dyDescent="0.2">
      <c r="B25" s="374"/>
      <c r="C25" s="375"/>
      <c r="D25" s="1940" t="s">
        <v>354</v>
      </c>
      <c r="E25" s="1941" t="str">
        <f>'TRAD-Calculs Péremption FA'!B9</f>
        <v>Cp</v>
      </c>
      <c r="F25" s="1941" t="s">
        <v>30</v>
      </c>
      <c r="G25" s="535" t="s">
        <v>622</v>
      </c>
      <c r="H25" s="533" t="str">
        <f t="shared" si="17"/>
        <v>ETV - 200 mg</v>
      </c>
      <c r="I25" s="1386"/>
      <c r="J25" s="1646"/>
      <c r="K25" s="1647">
        <f>IF('TdB Péremptions'!$H$9="X", 'Prix 10-2011 GPRM $'!$O$64, IF('TdB Péremptions'!$H$10="X", 'Prix 10-2011 GPRM $'!$Q$64, IF('TdB Péremptions'!$H$11="X", 'Prix VPP 102012 convert'!$O$64, IF('TdB Péremptions'!$H$12="X", 'Prix VPP 102012 convert'!$Q$64, IF('TdB Péremptions'!$H$13="X", 'Prix spécifiques'!$J$25, 0)))))</f>
        <v>38.36</v>
      </c>
      <c r="L25" s="1647">
        <f>(1+'TdB Péremptions'!$H$14)*K25</f>
        <v>42.196000000000005</v>
      </c>
      <c r="M25" s="1916">
        <f>Calculs!O171</f>
        <v>0</v>
      </c>
      <c r="N25" s="1916">
        <f>Calculs!N225</f>
        <v>0</v>
      </c>
      <c r="O25" s="1916">
        <f>'Saisie données stocks'!N37</f>
        <v>0</v>
      </c>
      <c r="P25" s="1917" t="str">
        <f>IF(SUM('Saisie données stocks'!R37+'Saisie données stocks'!T37+'Saisie données stocks'!V37+'Saisie données stocks'!X37+'Saisie données stocks'!Z37+'Saisie données stocks'!AB37+'Saisie données stocks'!AD37)='Calculs Péremption FA'!O25,  "OK", 'TRAD-Saisie données stocks'!$B$70)</f>
        <v>OK</v>
      </c>
      <c r="Q25" s="1918" t="str">
        <f>IF(AND(O25&gt;0, M25=0, N25=0), 'TRAD-Calculs Péremption FA'!$B$76, "")</f>
        <v/>
      </c>
      <c r="R25" s="1919">
        <f>'Saisie données stocks'!Q37</f>
        <v>0</v>
      </c>
      <c r="S25" s="1920">
        <f>'Saisie données stocks'!R37</f>
        <v>0</v>
      </c>
      <c r="T25" s="1921" t="str">
        <f>IF(AND(R25=0, S25=0), "ND", IF((R25-Paramétrage!$H$19)&gt;0, (R25-Paramétrage!$H$19)/(365/12), "Date non renseignée ou produit périmé"))</f>
        <v>ND</v>
      </c>
      <c r="U25" s="1922" t="str">
        <f t="shared" si="18"/>
        <v>ND</v>
      </c>
      <c r="V25" s="1922" t="str">
        <f t="shared" si="19"/>
        <v>ND</v>
      </c>
      <c r="W25" s="1921" t="str">
        <f t="shared" si="20"/>
        <v>ND</v>
      </c>
      <c r="X25" s="1924" t="str">
        <f t="shared" si="21"/>
        <v>ND</v>
      </c>
      <c r="Y25" s="1919">
        <f>'Saisie données stocks'!S37</f>
        <v>0</v>
      </c>
      <c r="Z25" s="1920">
        <f>'Saisie données stocks'!T37</f>
        <v>0</v>
      </c>
      <c r="AA25" s="1923">
        <f t="shared" si="22"/>
        <v>0</v>
      </c>
      <c r="AB25" s="1923" t="str">
        <f>IF(AND(Y25=0, Z25=0), "ND", IF((Y25-Paramétrage!$H$19)&gt;0, (Y25-Paramétrage!$H$19)/(365/12), "Date non renseignée ou produit périmé"))</f>
        <v>ND</v>
      </c>
      <c r="AC25" s="1923" t="str">
        <f t="shared" si="23"/>
        <v>ND</v>
      </c>
      <c r="AD25" s="1923" t="str">
        <f t="shared" si="24"/>
        <v>ND</v>
      </c>
      <c r="AE25" s="1921" t="str">
        <f t="shared" si="25"/>
        <v>ND</v>
      </c>
      <c r="AF25" s="1924" t="str">
        <f t="shared" si="26"/>
        <v>ND</v>
      </c>
      <c r="AG25" s="1919">
        <f>'Saisie données stocks'!U37</f>
        <v>0</v>
      </c>
      <c r="AH25" s="1920">
        <f>'Saisie données stocks'!V37</f>
        <v>0</v>
      </c>
      <c r="AI25" s="1923">
        <f t="shared" si="27"/>
        <v>0</v>
      </c>
      <c r="AJ25" s="1923" t="str">
        <f>IF(AND(AG25=0, AH25=0), "ND", IF((AG25-Paramétrage!$H$19)&gt;0, (AG25-Paramétrage!$H$19)/(365/12), "Date non renseignée ou produit périmé"))</f>
        <v>ND</v>
      </c>
      <c r="AK25" s="1923" t="str">
        <f t="shared" si="28"/>
        <v>ND</v>
      </c>
      <c r="AL25" s="1923" t="str">
        <f t="shared" si="29"/>
        <v>ND</v>
      </c>
      <c r="AM25" s="1923" t="str">
        <f t="shared" si="30"/>
        <v>ND</v>
      </c>
      <c r="AN25" s="1924" t="str">
        <f t="shared" si="31"/>
        <v>ND</v>
      </c>
      <c r="AO25" s="1919">
        <f>'Saisie données stocks'!W37</f>
        <v>0</v>
      </c>
      <c r="AP25" s="1920">
        <f>'Saisie données stocks'!X37</f>
        <v>0</v>
      </c>
      <c r="AQ25" s="1923">
        <f t="shared" si="32"/>
        <v>0</v>
      </c>
      <c r="AR25" s="1923" t="str">
        <f>IF(AND(AO25=0, AP25=0), "ND", IF((AO25-Paramétrage!$H$19)&gt;0, (AO25-Paramétrage!$H$19)/(365/12), "Date non renseignée ou produit périmé"))</f>
        <v>ND</v>
      </c>
      <c r="AS25" s="1923" t="str">
        <f t="shared" si="33"/>
        <v>ND</v>
      </c>
      <c r="AT25" s="1923" t="str">
        <f t="shared" si="34"/>
        <v>ND</v>
      </c>
      <c r="AU25" s="1923" t="str">
        <f t="shared" si="35"/>
        <v>ND</v>
      </c>
      <c r="AV25" s="1924" t="str">
        <f t="shared" si="36"/>
        <v>ND</v>
      </c>
      <c r="AW25" s="1919">
        <f>'Saisie données stocks'!Y37</f>
        <v>0</v>
      </c>
      <c r="AX25" s="1920">
        <f>'Saisie données stocks'!Z37</f>
        <v>0</v>
      </c>
      <c r="AY25" s="1923">
        <f t="shared" si="37"/>
        <v>0</v>
      </c>
      <c r="AZ25" s="1923" t="str">
        <f>IF(AND(AW25=0, AX25=0), "ND", IF((AW25-Paramétrage!$H$19)&gt;0, (AW25-Paramétrage!$H$19)/(365/12), "Date non renseignée ou produit périmé"))</f>
        <v>ND</v>
      </c>
      <c r="BA25" s="1923" t="str">
        <f t="shared" si="38"/>
        <v>ND</v>
      </c>
      <c r="BB25" s="1923" t="str">
        <f t="shared" si="39"/>
        <v>ND</v>
      </c>
      <c r="BC25" s="1923" t="str">
        <f t="shared" si="40"/>
        <v>ND</v>
      </c>
      <c r="BD25" s="1924" t="str">
        <f t="shared" si="41"/>
        <v>ND</v>
      </c>
      <c r="BE25" s="1919">
        <f>'Saisie données stocks'!AA37</f>
        <v>0</v>
      </c>
      <c r="BF25" s="1920">
        <f>'Saisie données stocks'!AB37</f>
        <v>0</v>
      </c>
      <c r="BG25" s="1923">
        <f t="shared" si="42"/>
        <v>0</v>
      </c>
      <c r="BH25" s="1923" t="str">
        <f>IF(AND(BE25=0, BF25=0), "ND", IF((BE25-Paramétrage!$H$19)&gt;0, (BE25-Paramétrage!$H$19)/(365/12), "Date non renseignée ou produit périmé"))</f>
        <v>ND</v>
      </c>
      <c r="BI25" s="1923" t="str">
        <f t="shared" si="43"/>
        <v>ND</v>
      </c>
      <c r="BJ25" s="1923" t="str">
        <f t="shared" si="44"/>
        <v>ND</v>
      </c>
      <c r="BK25" s="1923" t="str">
        <f t="shared" si="45"/>
        <v>ND</v>
      </c>
      <c r="BL25" s="1924" t="str">
        <f t="shared" si="46"/>
        <v>ND</v>
      </c>
      <c r="BM25" s="1919">
        <f>'Saisie données stocks'!AC37</f>
        <v>0</v>
      </c>
      <c r="BN25" s="1920">
        <f>'Saisie données stocks'!AD37</f>
        <v>0</v>
      </c>
      <c r="BO25" s="1923">
        <f t="shared" si="47"/>
        <v>0</v>
      </c>
      <c r="BP25" s="1923" t="str">
        <f>IF(AND(BM25=0, BN25=0), "ND", IF((BM25-Paramétrage!$H$19)&gt;0, (BM25-Paramétrage!$H$19)/(365/12), "Date non renseignée ou produit périmé"))</f>
        <v>ND</v>
      </c>
      <c r="BQ25" s="1923" t="str">
        <f t="shared" si="48"/>
        <v>ND</v>
      </c>
      <c r="BR25" s="1923" t="str">
        <f t="shared" si="49"/>
        <v>ND</v>
      </c>
      <c r="BS25" s="1923" t="str">
        <f t="shared" si="50"/>
        <v>ND</v>
      </c>
      <c r="BT25" s="1924" t="str">
        <f t="shared" si="51"/>
        <v>ND</v>
      </c>
      <c r="BU25" s="1925">
        <f>IF('Saisie données stocks'!$O$10='TRAD-Saisie données stocks'!$B$51, IF(P25="OK", IF(AND(BR25&gt;0, ISNUMBER(BR25)), (BO25-BR25), (BO25)), O25), O25)</f>
        <v>0</v>
      </c>
      <c r="BV25" s="1925">
        <f t="shared" si="52"/>
        <v>0</v>
      </c>
      <c r="BW25" s="2045" t="str">
        <f t="shared" si="53"/>
        <v/>
      </c>
      <c r="BX25" s="2045">
        <f>IF('Saisie données stocks'!$O$10='TRAD-Saisie données stocks'!$B$51, IF('Calculs Péremption FA'!P25="OK", IF(BU25=O25, MAX(Paramétrage!$H$19+('Saisie données stocks'!$N$14*(365/12)), BM25, BE25, AW25, AO25, AG25, Y25, R25), BW25), Paramétrage!$H$19+('Saisie données stocks'!$N$14*(365/12))), Paramétrage!$H$19+('Saisie données stocks'!$N$14*(365/12)))</f>
        <v>42101.5</v>
      </c>
      <c r="BY25" s="2046">
        <f t="shared" si="54"/>
        <v>7</v>
      </c>
      <c r="BZ25" s="2046">
        <f t="shared" si="55"/>
        <v>4</v>
      </c>
      <c r="CA25" s="2046">
        <f t="shared" si="56"/>
        <v>2015</v>
      </c>
      <c r="CB25" s="2046">
        <f>IF(BX25="", "", (BX25-Paramétrage!$H$19)/(365/12))</f>
        <v>6</v>
      </c>
      <c r="CC25" s="2046" t="str">
        <f>IF(CB25='Saisie données stocks'!N$14, 'TRAD-Calculs Péremption FA'!$B$74, CONCATENATE("DLU - ", BY25, "/", BZ25, "/", CA25))</f>
        <v>Durée de vie max</v>
      </c>
    </row>
    <row r="26" spans="2:81" ht="25.5" x14ac:dyDescent="0.2">
      <c r="B26" s="374"/>
      <c r="C26" s="407"/>
      <c r="D26" s="1926" t="s">
        <v>29</v>
      </c>
      <c r="E26" s="1815" t="str">
        <f>'TRAD-Calculs Péremption FA'!B9</f>
        <v>Cp</v>
      </c>
      <c r="F26" s="1815" t="s">
        <v>30</v>
      </c>
      <c r="G26" s="377" t="s">
        <v>623</v>
      </c>
      <c r="H26" s="392" t="str">
        <f t="shared" si="17"/>
        <v>NVP - 200 mg</v>
      </c>
      <c r="I26" s="1385">
        <v>60</v>
      </c>
      <c r="J26" s="1796"/>
      <c r="K26" s="1797">
        <f>IF('TdB Péremptions'!$H$9="X", 'Prix 10-2011 GPRM $'!$O$43, IF('TdB Péremptions'!$H$10="X", 'Prix 10-2011 GPRM $'!$Q$43, IF('TdB Péremptions'!$H$11="X", 'Prix VPP 102012 convert'!$O$43, IF('TdB Péremptions'!$H$12="X", 'Prix VPP 102012 convert'!$Q$43, IF('TdB Péremptions'!$H$13="X", 'Prix spécifiques'!$J$26, 0)))))</f>
        <v>2.7250000000000001</v>
      </c>
      <c r="L26" s="1797">
        <f>(1+'TdB Péremptions'!$H$14)*K26</f>
        <v>2.9975000000000005</v>
      </c>
      <c r="M26" s="1916">
        <f>Calculs!O172</f>
        <v>0</v>
      </c>
      <c r="N26" s="1916">
        <f>Calculs!N226</f>
        <v>0</v>
      </c>
      <c r="O26" s="1916">
        <f>'Saisie données stocks'!N38</f>
        <v>0</v>
      </c>
      <c r="P26" s="1917" t="str">
        <f>IF(SUM('Saisie données stocks'!R38+'Saisie données stocks'!T38+'Saisie données stocks'!V38+'Saisie données stocks'!X38+'Saisie données stocks'!Z38+'Saisie données stocks'!AB38+'Saisie données stocks'!AD38)='Calculs Péremption FA'!O26,  "OK", 'TRAD-Saisie données stocks'!$B$70)</f>
        <v>OK</v>
      </c>
      <c r="Q26" s="1918" t="str">
        <f>IF(AND(O26&gt;0, M26=0, N26=0), 'TRAD-Calculs Péremption FA'!$B$76, "")</f>
        <v/>
      </c>
      <c r="R26" s="1919">
        <f>'Saisie données stocks'!Q38</f>
        <v>0</v>
      </c>
      <c r="S26" s="1920">
        <f>'Saisie données stocks'!R38</f>
        <v>0</v>
      </c>
      <c r="T26" s="1921" t="str">
        <f>IF(AND(R26=0, S26=0), "ND", IF((R26-Paramétrage!$H$19)&gt;0, (R26-Paramétrage!$H$19)/(365/12), "Date non renseignée ou produit périmé"))</f>
        <v>ND</v>
      </c>
      <c r="U26" s="1922" t="str">
        <f t="shared" si="18"/>
        <v>ND</v>
      </c>
      <c r="V26" s="1922" t="str">
        <f t="shared" si="19"/>
        <v>ND</v>
      </c>
      <c r="W26" s="1921" t="str">
        <f t="shared" si="20"/>
        <v>ND</v>
      </c>
      <c r="X26" s="1924" t="str">
        <f t="shared" si="21"/>
        <v>ND</v>
      </c>
      <c r="Y26" s="1919">
        <f>'Saisie données stocks'!S38</f>
        <v>0</v>
      </c>
      <c r="Z26" s="1920">
        <f>'Saisie données stocks'!T38</f>
        <v>0</v>
      </c>
      <c r="AA26" s="1923">
        <f t="shared" si="22"/>
        <v>0</v>
      </c>
      <c r="AB26" s="1923" t="str">
        <f>IF(AND(Y26=0, Z26=0), "ND", IF((Y26-Paramétrage!$H$19)&gt;0, (Y26-Paramétrage!$H$19)/(365/12), "Date non renseignée ou produit périmé"))</f>
        <v>ND</v>
      </c>
      <c r="AC26" s="1923" t="str">
        <f t="shared" si="23"/>
        <v>ND</v>
      </c>
      <c r="AD26" s="1923" t="str">
        <f t="shared" si="24"/>
        <v>ND</v>
      </c>
      <c r="AE26" s="1921" t="str">
        <f t="shared" si="25"/>
        <v>ND</v>
      </c>
      <c r="AF26" s="1924" t="str">
        <f t="shared" si="26"/>
        <v>ND</v>
      </c>
      <c r="AG26" s="1919">
        <f>'Saisie données stocks'!U38</f>
        <v>0</v>
      </c>
      <c r="AH26" s="1920">
        <f>'Saisie données stocks'!V38</f>
        <v>0</v>
      </c>
      <c r="AI26" s="1923">
        <f t="shared" si="27"/>
        <v>0</v>
      </c>
      <c r="AJ26" s="1923" t="str">
        <f>IF(AND(AG26=0, AH26=0), "ND", IF((AG26-Paramétrage!$H$19)&gt;0, (AG26-Paramétrage!$H$19)/(365/12), "Date non renseignée ou produit périmé"))</f>
        <v>ND</v>
      </c>
      <c r="AK26" s="1923" t="str">
        <f t="shared" si="28"/>
        <v>ND</v>
      </c>
      <c r="AL26" s="1923" t="str">
        <f t="shared" si="29"/>
        <v>ND</v>
      </c>
      <c r="AM26" s="1923" t="str">
        <f t="shared" si="30"/>
        <v>ND</v>
      </c>
      <c r="AN26" s="1924" t="str">
        <f t="shared" si="31"/>
        <v>ND</v>
      </c>
      <c r="AO26" s="1919">
        <f>'Saisie données stocks'!W38</f>
        <v>0</v>
      </c>
      <c r="AP26" s="1920">
        <f>'Saisie données stocks'!X38</f>
        <v>0</v>
      </c>
      <c r="AQ26" s="1923">
        <f t="shared" si="32"/>
        <v>0</v>
      </c>
      <c r="AR26" s="1923" t="str">
        <f>IF(AND(AO26=0, AP26=0), "ND", IF((AO26-Paramétrage!$H$19)&gt;0, (AO26-Paramétrage!$H$19)/(365/12), "Date non renseignée ou produit périmé"))</f>
        <v>ND</v>
      </c>
      <c r="AS26" s="1923" t="str">
        <f t="shared" si="33"/>
        <v>ND</v>
      </c>
      <c r="AT26" s="1923" t="str">
        <f t="shared" si="34"/>
        <v>ND</v>
      </c>
      <c r="AU26" s="1923" t="str">
        <f t="shared" si="35"/>
        <v>ND</v>
      </c>
      <c r="AV26" s="1924" t="str">
        <f t="shared" si="36"/>
        <v>ND</v>
      </c>
      <c r="AW26" s="1919">
        <f>'Saisie données stocks'!Y38</f>
        <v>0</v>
      </c>
      <c r="AX26" s="1920">
        <f>'Saisie données stocks'!Z38</f>
        <v>0</v>
      </c>
      <c r="AY26" s="1923">
        <f t="shared" si="37"/>
        <v>0</v>
      </c>
      <c r="AZ26" s="1923" t="str">
        <f>IF(AND(AW26=0, AX26=0), "ND", IF((AW26-Paramétrage!$H$19)&gt;0, (AW26-Paramétrage!$H$19)/(365/12), "Date non renseignée ou produit périmé"))</f>
        <v>ND</v>
      </c>
      <c r="BA26" s="1923" t="str">
        <f t="shared" si="38"/>
        <v>ND</v>
      </c>
      <c r="BB26" s="1923" t="str">
        <f t="shared" si="39"/>
        <v>ND</v>
      </c>
      <c r="BC26" s="1923" t="str">
        <f t="shared" si="40"/>
        <v>ND</v>
      </c>
      <c r="BD26" s="1924" t="str">
        <f t="shared" si="41"/>
        <v>ND</v>
      </c>
      <c r="BE26" s="1919">
        <f>'Saisie données stocks'!AA38</f>
        <v>0</v>
      </c>
      <c r="BF26" s="1920">
        <f>'Saisie données stocks'!AB38</f>
        <v>0</v>
      </c>
      <c r="BG26" s="1923">
        <f t="shared" si="42"/>
        <v>0</v>
      </c>
      <c r="BH26" s="1923" t="str">
        <f>IF(AND(BE26=0, BF26=0), "ND", IF((BE26-Paramétrage!$H$19)&gt;0, (BE26-Paramétrage!$H$19)/(365/12), "Date non renseignée ou produit périmé"))</f>
        <v>ND</v>
      </c>
      <c r="BI26" s="1923" t="str">
        <f t="shared" si="43"/>
        <v>ND</v>
      </c>
      <c r="BJ26" s="1923" t="str">
        <f t="shared" si="44"/>
        <v>ND</v>
      </c>
      <c r="BK26" s="1923" t="str">
        <f t="shared" si="45"/>
        <v>ND</v>
      </c>
      <c r="BL26" s="1924" t="str">
        <f t="shared" si="46"/>
        <v>ND</v>
      </c>
      <c r="BM26" s="1919">
        <f>'Saisie données stocks'!AC38</f>
        <v>0</v>
      </c>
      <c r="BN26" s="1920">
        <f>'Saisie données stocks'!AD38</f>
        <v>0</v>
      </c>
      <c r="BO26" s="1923">
        <f t="shared" si="47"/>
        <v>0</v>
      </c>
      <c r="BP26" s="1923" t="str">
        <f>IF(AND(BM26=0, BN26=0), "ND", IF((BM26-Paramétrage!$H$19)&gt;0, (BM26-Paramétrage!$H$19)/(365/12), "Date non renseignée ou produit périmé"))</f>
        <v>ND</v>
      </c>
      <c r="BQ26" s="1923" t="str">
        <f t="shared" si="48"/>
        <v>ND</v>
      </c>
      <c r="BR26" s="1923" t="str">
        <f t="shared" si="49"/>
        <v>ND</v>
      </c>
      <c r="BS26" s="1923" t="str">
        <f t="shared" si="50"/>
        <v>ND</v>
      </c>
      <c r="BT26" s="1924" t="str">
        <f t="shared" si="51"/>
        <v>ND</v>
      </c>
      <c r="BU26" s="1925">
        <f>IF('Saisie données stocks'!$O$10='TRAD-Saisie données stocks'!$B$51, IF(P26="OK", IF(AND(BR26&gt;0, ISNUMBER(BR26)), (BO26-BR26), (BO26)), O26), O26)</f>
        <v>0</v>
      </c>
      <c r="BV26" s="1925">
        <f t="shared" si="52"/>
        <v>0</v>
      </c>
      <c r="BW26" s="2045" t="str">
        <f t="shared" si="53"/>
        <v/>
      </c>
      <c r="BX26" s="2045">
        <f>IF('Saisie données stocks'!$O$10='TRAD-Saisie données stocks'!$B$51, IF('Calculs Péremption FA'!P26="OK", IF(BU26=O26, MAX(Paramétrage!$H$19+('Saisie données stocks'!$N$14*(365/12)), BM26, BE26, AW26, AO26, AG26, Y26, R26), BW26), Paramétrage!$H$19+('Saisie données stocks'!$N$14*(365/12))), Paramétrage!$H$19+('Saisie données stocks'!$N$14*(365/12)))</f>
        <v>42101.5</v>
      </c>
      <c r="BY26" s="2046">
        <f t="shared" si="54"/>
        <v>7</v>
      </c>
      <c r="BZ26" s="2046">
        <f t="shared" si="55"/>
        <v>4</v>
      </c>
      <c r="CA26" s="2046">
        <f t="shared" si="56"/>
        <v>2015</v>
      </c>
      <c r="CB26" s="2046">
        <f>IF(BX26="", "", (BX26-Paramétrage!$H$19)/(365/12))</f>
        <v>6</v>
      </c>
      <c r="CC26" s="2046" t="str">
        <f>IF(CB26='Saisie données stocks'!N$14, 'TRAD-Calculs Péremption FA'!$B$74, CONCATENATE("DLU - ", BY26, "/", BZ26, "/", CA26))</f>
        <v>Durée de vie max</v>
      </c>
    </row>
    <row r="27" spans="2:81" ht="26.25" thickBot="1" x14ac:dyDescent="0.25">
      <c r="B27" s="388"/>
      <c r="C27" s="389"/>
      <c r="D27" s="1927" t="s">
        <v>619</v>
      </c>
      <c r="E27" s="1928" t="str">
        <f>'TRAD-Calculs Péremption FA'!B9</f>
        <v>Cp</v>
      </c>
      <c r="F27" s="1928" t="s">
        <v>620</v>
      </c>
      <c r="G27" s="410" t="s">
        <v>624</v>
      </c>
      <c r="H27" s="658" t="str">
        <f t="shared" si="17"/>
        <v>RPV - 25 mg</v>
      </c>
      <c r="I27" s="1798"/>
      <c r="J27" s="1799"/>
      <c r="K27" s="1800">
        <f>IF('TdB Péremptions'!$H$9="X", 'Prix 10-2011 GPRM $'!$L$74, IF('TdB Péremptions'!$H$10="X", 'Prix 10-2011 GPRM $'!$L$74, IF('TdB Péremptions'!$H$11="X", 'Prix VPP 102012 convert'!$L$74, IF('TdB Péremptions'!$H$12="X", 'Prix VPP 102012 convert'!$L$74,IF('TdB Péremptions'!$H$13="X", 'Prix spécifiques'!$J$27, 0)))))</f>
        <v>30</v>
      </c>
      <c r="L27" s="1800">
        <f>(1+'TdB Péremptions'!$H$14)*K27</f>
        <v>33</v>
      </c>
      <c r="M27" s="1929">
        <f>Calculs!O173</f>
        <v>0</v>
      </c>
      <c r="N27" s="1929">
        <f>Calculs!N227</f>
        <v>0</v>
      </c>
      <c r="O27" s="1929">
        <f>'Saisie données stocks'!N39</f>
        <v>0</v>
      </c>
      <c r="P27" s="1930" t="str">
        <f>IF(SUM('Saisie données stocks'!R39+'Saisie données stocks'!T39+'Saisie données stocks'!V39+'Saisie données stocks'!X39+'Saisie données stocks'!Z39+'Saisie données stocks'!AB39+'Saisie données stocks'!AD39)='Calculs Péremption FA'!O27,  "OK", 'TRAD-Saisie données stocks'!$B$70)</f>
        <v>OK</v>
      </c>
      <c r="Q27" s="1931" t="str">
        <f>IF(AND(O27&gt;0, M27=0, N27=0), 'TRAD-Calculs Péremption FA'!$B$76, "")</f>
        <v/>
      </c>
      <c r="R27" s="1932">
        <f>'Saisie données stocks'!Q39</f>
        <v>0</v>
      </c>
      <c r="S27" s="1933">
        <f>'Saisie données stocks'!R39</f>
        <v>0</v>
      </c>
      <c r="T27" s="1934" t="str">
        <f>IF(AND(R27=0, S27=0), "ND", IF((R27-Paramétrage!$H$19)&gt;0, (R27-Paramétrage!$H$19)/(365/12), "Date non renseignée ou produit périmé"))</f>
        <v>ND</v>
      </c>
      <c r="U27" s="1935" t="str">
        <f t="shared" si="18"/>
        <v>ND</v>
      </c>
      <c r="V27" s="1935" t="str">
        <f t="shared" si="19"/>
        <v>ND</v>
      </c>
      <c r="W27" s="1934" t="str">
        <f t="shared" si="20"/>
        <v>ND</v>
      </c>
      <c r="X27" s="1937" t="str">
        <f t="shared" si="21"/>
        <v>ND</v>
      </c>
      <c r="Y27" s="1932">
        <f>'Saisie données stocks'!S39</f>
        <v>0</v>
      </c>
      <c r="Z27" s="1933">
        <f>'Saisie données stocks'!T39</f>
        <v>0</v>
      </c>
      <c r="AA27" s="1936">
        <f t="shared" si="22"/>
        <v>0</v>
      </c>
      <c r="AB27" s="1936" t="str">
        <f>IF(AND(Y27=0, Z27=0), "ND", IF((Y27-Paramétrage!$H$19)&gt;0, (Y27-Paramétrage!$H$19)/(365/12), "Date non renseignée ou produit périmé"))</f>
        <v>ND</v>
      </c>
      <c r="AC27" s="1936" t="str">
        <f t="shared" si="23"/>
        <v>ND</v>
      </c>
      <c r="AD27" s="1936" t="str">
        <f t="shared" si="24"/>
        <v>ND</v>
      </c>
      <c r="AE27" s="1934" t="str">
        <f t="shared" si="25"/>
        <v>ND</v>
      </c>
      <c r="AF27" s="1937" t="str">
        <f t="shared" si="26"/>
        <v>ND</v>
      </c>
      <c r="AG27" s="1932">
        <f>'Saisie données stocks'!U39</f>
        <v>0</v>
      </c>
      <c r="AH27" s="1933">
        <f>'Saisie données stocks'!V39</f>
        <v>0</v>
      </c>
      <c r="AI27" s="1936">
        <f t="shared" si="27"/>
        <v>0</v>
      </c>
      <c r="AJ27" s="1936" t="str">
        <f>IF(AND(AG27=0, AH27=0), "ND", IF((AG27-Paramétrage!$H$19)&gt;0, (AG27-Paramétrage!$H$19)/(365/12), "Date non renseignée ou produit périmé"))</f>
        <v>ND</v>
      </c>
      <c r="AK27" s="1936" t="str">
        <f t="shared" si="28"/>
        <v>ND</v>
      </c>
      <c r="AL27" s="1936" t="str">
        <f t="shared" si="29"/>
        <v>ND</v>
      </c>
      <c r="AM27" s="1936" t="str">
        <f t="shared" si="30"/>
        <v>ND</v>
      </c>
      <c r="AN27" s="1937" t="str">
        <f t="shared" si="31"/>
        <v>ND</v>
      </c>
      <c r="AO27" s="1932">
        <f>'Saisie données stocks'!W39</f>
        <v>0</v>
      </c>
      <c r="AP27" s="1933">
        <f>'Saisie données stocks'!X39</f>
        <v>0</v>
      </c>
      <c r="AQ27" s="1936">
        <f t="shared" si="32"/>
        <v>0</v>
      </c>
      <c r="AR27" s="1936" t="str">
        <f>IF(AND(AO27=0, AP27=0), "ND", IF((AO27-Paramétrage!$H$19)&gt;0, (AO27-Paramétrage!$H$19)/(365/12), "Date non renseignée ou produit périmé"))</f>
        <v>ND</v>
      </c>
      <c r="AS27" s="1936" t="str">
        <f t="shared" si="33"/>
        <v>ND</v>
      </c>
      <c r="AT27" s="1936" t="str">
        <f t="shared" si="34"/>
        <v>ND</v>
      </c>
      <c r="AU27" s="1936" t="str">
        <f t="shared" si="35"/>
        <v>ND</v>
      </c>
      <c r="AV27" s="1937" t="str">
        <f t="shared" si="36"/>
        <v>ND</v>
      </c>
      <c r="AW27" s="1932">
        <f>'Saisie données stocks'!Y39</f>
        <v>0</v>
      </c>
      <c r="AX27" s="1933">
        <f>'Saisie données stocks'!Z39</f>
        <v>0</v>
      </c>
      <c r="AY27" s="1936">
        <f t="shared" si="37"/>
        <v>0</v>
      </c>
      <c r="AZ27" s="1936" t="str">
        <f>IF(AND(AW27=0, AX27=0), "ND", IF((AW27-Paramétrage!$H$19)&gt;0, (AW27-Paramétrage!$H$19)/(365/12), "Date non renseignée ou produit périmé"))</f>
        <v>ND</v>
      </c>
      <c r="BA27" s="1936" t="str">
        <f t="shared" si="38"/>
        <v>ND</v>
      </c>
      <c r="BB27" s="1936" t="str">
        <f t="shared" si="39"/>
        <v>ND</v>
      </c>
      <c r="BC27" s="1936" t="str">
        <f t="shared" si="40"/>
        <v>ND</v>
      </c>
      <c r="BD27" s="1937" t="str">
        <f t="shared" si="41"/>
        <v>ND</v>
      </c>
      <c r="BE27" s="1932">
        <f>'Saisie données stocks'!AA39</f>
        <v>0</v>
      </c>
      <c r="BF27" s="1933">
        <f>'Saisie données stocks'!AB39</f>
        <v>0</v>
      </c>
      <c r="BG27" s="1936">
        <f t="shared" si="42"/>
        <v>0</v>
      </c>
      <c r="BH27" s="1936" t="str">
        <f>IF(AND(BE27=0, BF27=0), "ND", IF((BE27-Paramétrage!$H$19)&gt;0, (BE27-Paramétrage!$H$19)/(365/12), "Date non renseignée ou produit périmé"))</f>
        <v>ND</v>
      </c>
      <c r="BI27" s="1936" t="str">
        <f t="shared" si="43"/>
        <v>ND</v>
      </c>
      <c r="BJ27" s="1936" t="str">
        <f t="shared" si="44"/>
        <v>ND</v>
      </c>
      <c r="BK27" s="1936" t="str">
        <f t="shared" si="45"/>
        <v>ND</v>
      </c>
      <c r="BL27" s="1937" t="str">
        <f t="shared" si="46"/>
        <v>ND</v>
      </c>
      <c r="BM27" s="1932">
        <f>'Saisie données stocks'!AC39</f>
        <v>0</v>
      </c>
      <c r="BN27" s="1933">
        <f>'Saisie données stocks'!AD39</f>
        <v>0</v>
      </c>
      <c r="BO27" s="1936">
        <f t="shared" si="47"/>
        <v>0</v>
      </c>
      <c r="BP27" s="1936" t="str">
        <f>IF(AND(BM27=0, BN27=0), "ND", IF((BM27-Paramétrage!$H$19)&gt;0, (BM27-Paramétrage!$H$19)/(365/12), "Date non renseignée ou produit périmé"))</f>
        <v>ND</v>
      </c>
      <c r="BQ27" s="1936" t="str">
        <f t="shared" si="48"/>
        <v>ND</v>
      </c>
      <c r="BR27" s="1936" t="str">
        <f t="shared" si="49"/>
        <v>ND</v>
      </c>
      <c r="BS27" s="1936" t="str">
        <f t="shared" si="50"/>
        <v>ND</v>
      </c>
      <c r="BT27" s="1937" t="str">
        <f t="shared" si="51"/>
        <v>ND</v>
      </c>
      <c r="BU27" s="1938">
        <f>IF('Saisie données stocks'!$O$10='TRAD-Saisie données stocks'!$B$51, IF(P27="OK", IF(AND(BR27&gt;0, ISNUMBER(BR27)), (BO27-BR27), (BO27)), O27), O27)</f>
        <v>0</v>
      </c>
      <c r="BV27" s="1938">
        <f t="shared" si="52"/>
        <v>0</v>
      </c>
      <c r="BW27" s="2047" t="str">
        <f t="shared" si="53"/>
        <v/>
      </c>
      <c r="BX27" s="2047">
        <f>IF('Saisie données stocks'!$O$10='TRAD-Saisie données stocks'!$B$51, IF('Calculs Péremption FA'!P27="OK", IF(BU27=O27, MAX(Paramétrage!$H$19+('Saisie données stocks'!$N$14*(365/12)), BM27, BE27, AW27, AO27, AG27, Y27, R27), BW27), Paramétrage!$H$19+('Saisie données stocks'!$N$14*(365/12))), Paramétrage!$H$19+('Saisie données stocks'!$N$14*(365/12)))</f>
        <v>42101.5</v>
      </c>
      <c r="BY27" s="2048">
        <f t="shared" si="54"/>
        <v>7</v>
      </c>
      <c r="BZ27" s="2048">
        <f t="shared" si="55"/>
        <v>4</v>
      </c>
      <c r="CA27" s="2048">
        <f t="shared" si="56"/>
        <v>2015</v>
      </c>
      <c r="CB27" s="2048">
        <f>IF(BX27="", "", (BX27-Paramétrage!$H$19)/(365/12))</f>
        <v>6</v>
      </c>
      <c r="CC27" s="2048" t="str">
        <f>IF(CB27='Saisie données stocks'!N$14, 'TRAD-Calculs Péremption FA'!$B$74, CONCATENATE("DLU - ", BY27, "/", BZ27, "/", CA27))</f>
        <v>Durée de vie max</v>
      </c>
    </row>
    <row r="28" spans="2:81" ht="38.25" x14ac:dyDescent="0.2">
      <c r="B28" s="374"/>
      <c r="C28" s="407" t="s">
        <v>31</v>
      </c>
      <c r="D28" s="1900" t="s">
        <v>36</v>
      </c>
      <c r="E28" s="1901" t="str">
        <f>'TRAD-Calculs Péremption FA'!B9</f>
        <v>Cp</v>
      </c>
      <c r="F28" s="1901" t="s">
        <v>33</v>
      </c>
      <c r="G28" s="369" t="s">
        <v>625</v>
      </c>
      <c r="H28" s="371" t="str">
        <f t="shared" si="17"/>
        <v>ABC - 300 mg</v>
      </c>
      <c r="I28" s="113">
        <v>60</v>
      </c>
      <c r="J28" s="656"/>
      <c r="K28" s="755">
        <f>IF('TdB Péremptions'!$H$9="X", 'Prix 10-2011 GPRM $'!$O$46, IF('TdB Péremptions'!$H$10="X", 'Prix 10-2011 GPRM $'!$Q$46, IF('TdB Péremptions'!$H$11="X", 'Prix VPP 102012 convert'!$O$46, IF('TdB Péremptions'!$H$12="X", 'Prix VPP 102012 convert'!$Q$46,IF('TdB Péremptions'!$H$13="X", 'Prix spécifiques'!$J$28, 0)))))</f>
        <v>16.745000000000001</v>
      </c>
      <c r="L28" s="755">
        <f>(1+'TdB Péremptions'!$H$14)*K28</f>
        <v>18.419500000000003</v>
      </c>
      <c r="M28" s="1902">
        <f>Calculs!O174</f>
        <v>0</v>
      </c>
      <c r="N28" s="1902">
        <f>Calculs!N228</f>
        <v>0</v>
      </c>
      <c r="O28" s="1902">
        <f>'Saisie données stocks'!N40</f>
        <v>1093</v>
      </c>
      <c r="P28" s="1903" t="str">
        <f>IF(SUM('Saisie données stocks'!R40+'Saisie données stocks'!T40+'Saisie données stocks'!V40+'Saisie données stocks'!X40+'Saisie données stocks'!Z40+'Saisie données stocks'!AB40+'Saisie données stocks'!AD40)='Calculs Péremption FA'!O28,  "OK", 'TRAD-Saisie données stocks'!$B$70)</f>
        <v>OK</v>
      </c>
      <c r="Q28" s="1904" t="str">
        <f>IF(AND(O28&gt;0, M28=0, N28=0), 'TRAD-Calculs Péremption FA'!$B$76, "")</f>
        <v>Produit en stock mais sans aucune utilisation</v>
      </c>
      <c r="R28" s="1939">
        <f>'Saisie données stocks'!Q40</f>
        <v>42036</v>
      </c>
      <c r="S28" s="1906">
        <f>'Saisie données stocks'!R40</f>
        <v>1093</v>
      </c>
      <c r="T28" s="1907">
        <f>IF(AND(R28=0, S28=0), "ND", IF((R28-Paramétrage!$H$19)&gt;0, (R28-Paramétrage!$H$19)/(365/12), "Date non renseignée ou produit périmé"))</f>
        <v>3.8465753424657532</v>
      </c>
      <c r="U28" s="1908">
        <f t="shared" si="18"/>
        <v>0</v>
      </c>
      <c r="V28" s="1908">
        <f t="shared" si="19"/>
        <v>1093</v>
      </c>
      <c r="W28" s="1907" t="str">
        <f t="shared" si="20"/>
        <v>ATTENTION SURSTOCK et risque de péremption</v>
      </c>
      <c r="X28" s="1909">
        <f t="shared" si="21"/>
        <v>20132.513500000005</v>
      </c>
      <c r="Y28" s="1939">
        <f>'Saisie données stocks'!S40</f>
        <v>0</v>
      </c>
      <c r="Z28" s="1906">
        <f>'Saisie données stocks'!T40</f>
        <v>0</v>
      </c>
      <c r="AA28" s="1910">
        <f t="shared" si="22"/>
        <v>0</v>
      </c>
      <c r="AB28" s="1910" t="str">
        <f>IF(AND(Y28=0, Z28=0), "ND", IF((Y28-Paramétrage!$H$19)&gt;0, (Y28-Paramétrage!$H$19)/(365/12), "Date non renseignée ou produit périmé"))</f>
        <v>ND</v>
      </c>
      <c r="AC28" s="1910" t="str">
        <f t="shared" si="23"/>
        <v>ND</v>
      </c>
      <c r="AD28" s="1910" t="str">
        <f t="shared" si="24"/>
        <v>ND</v>
      </c>
      <c r="AE28" s="1907" t="str">
        <f t="shared" si="25"/>
        <v>ND</v>
      </c>
      <c r="AF28" s="1909" t="str">
        <f t="shared" si="26"/>
        <v>ND</v>
      </c>
      <c r="AG28" s="1939">
        <f>'Saisie données stocks'!U40</f>
        <v>0</v>
      </c>
      <c r="AH28" s="1906">
        <f>'Saisie données stocks'!V40</f>
        <v>0</v>
      </c>
      <c r="AI28" s="1910">
        <f t="shared" si="27"/>
        <v>0</v>
      </c>
      <c r="AJ28" s="1910" t="str">
        <f>IF(AND(AG28=0, AH28=0), "ND", IF((AG28-Paramétrage!$H$19)&gt;0, (AG28-Paramétrage!$H$19)/(365/12), "Date non renseignée ou produit périmé"))</f>
        <v>ND</v>
      </c>
      <c r="AK28" s="1910" t="str">
        <f t="shared" si="28"/>
        <v>ND</v>
      </c>
      <c r="AL28" s="1910" t="str">
        <f t="shared" si="29"/>
        <v>ND</v>
      </c>
      <c r="AM28" s="1910" t="str">
        <f t="shared" si="30"/>
        <v>ND</v>
      </c>
      <c r="AN28" s="1909" t="str">
        <f t="shared" si="31"/>
        <v>ND</v>
      </c>
      <c r="AO28" s="1939">
        <f>'Saisie données stocks'!W40</f>
        <v>0</v>
      </c>
      <c r="AP28" s="1906">
        <f>'Saisie données stocks'!X40</f>
        <v>0</v>
      </c>
      <c r="AQ28" s="1910">
        <f t="shared" si="32"/>
        <v>0</v>
      </c>
      <c r="AR28" s="1910" t="str">
        <f>IF(AND(AO28=0, AP28=0), "ND", IF((AO28-Paramétrage!$H$19)&gt;0, (AO28-Paramétrage!$H$19)/(365/12), "Date non renseignée ou produit périmé"))</f>
        <v>ND</v>
      </c>
      <c r="AS28" s="1910" t="str">
        <f t="shared" si="33"/>
        <v>ND</v>
      </c>
      <c r="AT28" s="1910" t="str">
        <f t="shared" si="34"/>
        <v>ND</v>
      </c>
      <c r="AU28" s="1910" t="str">
        <f t="shared" si="35"/>
        <v>ND</v>
      </c>
      <c r="AV28" s="1909" t="str">
        <f t="shared" si="36"/>
        <v>ND</v>
      </c>
      <c r="AW28" s="1939">
        <f>'Saisie données stocks'!Y40</f>
        <v>0</v>
      </c>
      <c r="AX28" s="1906">
        <f>'Saisie données stocks'!Z40</f>
        <v>0</v>
      </c>
      <c r="AY28" s="1910">
        <f t="shared" si="37"/>
        <v>0</v>
      </c>
      <c r="AZ28" s="1910" t="str">
        <f>IF(AND(AW28=0, AX28=0), "ND", IF((AW28-Paramétrage!$H$19)&gt;0, (AW28-Paramétrage!$H$19)/(365/12), "Date non renseignée ou produit périmé"))</f>
        <v>ND</v>
      </c>
      <c r="BA28" s="1910" t="str">
        <f t="shared" si="38"/>
        <v>ND</v>
      </c>
      <c r="BB28" s="1910" t="str">
        <f t="shared" si="39"/>
        <v>ND</v>
      </c>
      <c r="BC28" s="1910" t="str">
        <f t="shared" si="40"/>
        <v>ND</v>
      </c>
      <c r="BD28" s="1909" t="str">
        <f t="shared" si="41"/>
        <v>ND</v>
      </c>
      <c r="BE28" s="1939">
        <f>'Saisie données stocks'!AA40</f>
        <v>0</v>
      </c>
      <c r="BF28" s="1906">
        <f>'Saisie données stocks'!AB40</f>
        <v>0</v>
      </c>
      <c r="BG28" s="1910">
        <f t="shared" si="42"/>
        <v>0</v>
      </c>
      <c r="BH28" s="1910" t="str">
        <f>IF(AND(BE28=0, BF28=0), "ND", IF((BE28-Paramétrage!$H$19)&gt;0, (BE28-Paramétrage!$H$19)/(365/12), "Date non renseignée ou produit périmé"))</f>
        <v>ND</v>
      </c>
      <c r="BI28" s="1910" t="str">
        <f t="shared" si="43"/>
        <v>ND</v>
      </c>
      <c r="BJ28" s="1910" t="str">
        <f t="shared" si="44"/>
        <v>ND</v>
      </c>
      <c r="BK28" s="1910" t="str">
        <f t="shared" si="45"/>
        <v>ND</v>
      </c>
      <c r="BL28" s="1909" t="str">
        <f t="shared" si="46"/>
        <v>ND</v>
      </c>
      <c r="BM28" s="1939">
        <f>'Saisie données stocks'!AC40</f>
        <v>0</v>
      </c>
      <c r="BN28" s="1906">
        <f>'Saisie données stocks'!AD40</f>
        <v>0</v>
      </c>
      <c r="BO28" s="1910">
        <f t="shared" si="47"/>
        <v>0</v>
      </c>
      <c r="BP28" s="1910" t="str">
        <f>IF(AND(BM28=0, BN28=0), "ND", IF((BM28-Paramétrage!$H$19)&gt;0, (BM28-Paramétrage!$H$19)/(365/12), "Date non renseignée ou produit périmé"))</f>
        <v>ND</v>
      </c>
      <c r="BQ28" s="1910" t="str">
        <f t="shared" si="48"/>
        <v>ND</v>
      </c>
      <c r="BR28" s="1910" t="str">
        <f t="shared" si="49"/>
        <v>ND</v>
      </c>
      <c r="BS28" s="1910" t="str">
        <f t="shared" si="50"/>
        <v>ND</v>
      </c>
      <c r="BT28" s="1909" t="str">
        <f t="shared" si="51"/>
        <v>ND</v>
      </c>
      <c r="BU28" s="1911">
        <f>IF('Saisie données stocks'!$O$10='TRAD-Saisie données stocks'!$B$51, IF(P28="OK", IF(AND(BR28&gt;0, ISNUMBER(BR28)), (BO28-BR28), (BO28)), O28), O28)</f>
        <v>0</v>
      </c>
      <c r="BV28" s="1911">
        <f t="shared" si="52"/>
        <v>1093</v>
      </c>
      <c r="BW28" s="2042">
        <f t="shared" si="53"/>
        <v>42036</v>
      </c>
      <c r="BX28" s="2042">
        <f>IF('Saisie données stocks'!$O$10='TRAD-Saisie données stocks'!$B$51, IF('Calculs Péremption FA'!P28="OK", IF(BU28=O28, MAX(Paramétrage!$H$19+('Saisie données stocks'!$N$14*(365/12)), BM28, BE28, AW28, AO28, AG28, Y28, R28), BW28), Paramétrage!$H$19+('Saisie données stocks'!$N$14*(365/12))), Paramétrage!$H$19+('Saisie données stocks'!$N$14*(365/12)))</f>
        <v>42036</v>
      </c>
      <c r="BY28" s="2043">
        <f t="shared" si="54"/>
        <v>1</v>
      </c>
      <c r="BZ28" s="2043">
        <f t="shared" si="55"/>
        <v>2</v>
      </c>
      <c r="CA28" s="2043">
        <f t="shared" si="56"/>
        <v>2015</v>
      </c>
      <c r="CB28" s="2043">
        <f>IF(BX28="", "", (BX28-Paramétrage!$H$19)/(365/12))</f>
        <v>3.8465753424657532</v>
      </c>
      <c r="CC28" s="2043" t="str">
        <f>IF(CB28='Saisie données stocks'!N$14, 'TRAD-Calculs Péremption FA'!$B$74, CONCATENATE("DLU - ", BY28, "/", BZ28, "/", CA28))</f>
        <v>DLU - 1/2/2015</v>
      </c>
    </row>
    <row r="29" spans="2:81" ht="25.5" x14ac:dyDescent="0.2">
      <c r="B29" s="374"/>
      <c r="C29" s="375"/>
      <c r="D29" s="1669" t="s">
        <v>36</v>
      </c>
      <c r="E29" s="1670" t="str">
        <f>'TRAD-Calculs Péremption FA'!B9</f>
        <v>Cp</v>
      </c>
      <c r="F29" s="1670" t="s">
        <v>611</v>
      </c>
      <c r="G29" s="377" t="s">
        <v>625</v>
      </c>
      <c r="H29" s="379" t="str">
        <f t="shared" si="17"/>
        <v>ABC - 60 mg</v>
      </c>
      <c r="I29" s="114"/>
      <c r="J29" s="657"/>
      <c r="K29" s="756">
        <f>IF('TdB Péremptions'!$H$9="X", 'Prix 10-2011 GPRM $'!$O$139, IF('TdB Péremptions'!$H$10="X", 'Prix 10-2011 GPRM $'!$Q$139, IF('TdB Péremptions'!$H$11="X", 'Prix VPP 102012 convert'!$O$139, IF('TdB Péremptions'!$H$12="X", 'Prix VPP 102012 convert'!$Q$139, IF('TdB Péremptions'!$H$13="X", 'Prix spécifiques'!$J$29, 0)))))</f>
        <v>5.25</v>
      </c>
      <c r="L29" s="756">
        <f>(1+'TdB Péremptions'!$H$14)*K29</f>
        <v>5.7750000000000004</v>
      </c>
      <c r="M29" s="1916">
        <f>Calculs!O175</f>
        <v>0</v>
      </c>
      <c r="N29" s="1916">
        <f>Calculs!N229</f>
        <v>0</v>
      </c>
      <c r="O29" s="1916">
        <f>'Saisie données stocks'!N41</f>
        <v>0</v>
      </c>
      <c r="P29" s="1917" t="str">
        <f>IF(SUM('Saisie données stocks'!R41+'Saisie données stocks'!T41+'Saisie données stocks'!V41+'Saisie données stocks'!X41+'Saisie données stocks'!Z41+'Saisie données stocks'!AB41+'Saisie données stocks'!AD41)='Calculs Péremption FA'!O29,  "OK", 'TRAD-Saisie données stocks'!$B$70)</f>
        <v>OK</v>
      </c>
      <c r="Q29" s="1918" t="str">
        <f>IF(AND(O29&gt;0, M29=0, N29=0), 'TRAD-Calculs Péremption FA'!$B$76, "")</f>
        <v/>
      </c>
      <c r="R29" s="1919">
        <f>'Saisie données stocks'!Q41</f>
        <v>0</v>
      </c>
      <c r="S29" s="1920">
        <f>'Saisie données stocks'!R41</f>
        <v>0</v>
      </c>
      <c r="T29" s="1921" t="str">
        <f>IF(AND(R29=0, S29=0), "ND", IF((R29-Paramétrage!$H$19)&gt;0, (R29-Paramétrage!$H$19)/(365/12), "Date non renseignée ou produit périmé"))</f>
        <v>ND</v>
      </c>
      <c r="U29" s="1922" t="str">
        <f t="shared" si="18"/>
        <v>ND</v>
      </c>
      <c r="V29" s="1922" t="str">
        <f t="shared" si="19"/>
        <v>ND</v>
      </c>
      <c r="W29" s="1921" t="str">
        <f t="shared" si="20"/>
        <v>ND</v>
      </c>
      <c r="X29" s="1924" t="str">
        <f t="shared" si="21"/>
        <v>ND</v>
      </c>
      <c r="Y29" s="1919">
        <f>'Saisie données stocks'!S41</f>
        <v>0</v>
      </c>
      <c r="Z29" s="1920">
        <f>'Saisie données stocks'!T41</f>
        <v>0</v>
      </c>
      <c r="AA29" s="1923">
        <f t="shared" si="22"/>
        <v>0</v>
      </c>
      <c r="AB29" s="1923" t="str">
        <f>IF(AND(Y29=0, Z29=0), "ND", IF((Y29-Paramétrage!$H$19)&gt;0, (Y29-Paramétrage!$H$19)/(365/12), "Date non renseignée ou produit périmé"))</f>
        <v>ND</v>
      </c>
      <c r="AC29" s="1923" t="str">
        <f t="shared" si="23"/>
        <v>ND</v>
      </c>
      <c r="AD29" s="1923" t="str">
        <f t="shared" si="24"/>
        <v>ND</v>
      </c>
      <c r="AE29" s="1921" t="str">
        <f t="shared" si="25"/>
        <v>ND</v>
      </c>
      <c r="AF29" s="1924" t="str">
        <f t="shared" si="26"/>
        <v>ND</v>
      </c>
      <c r="AG29" s="1919">
        <f>'Saisie données stocks'!U41</f>
        <v>0</v>
      </c>
      <c r="AH29" s="1920">
        <f>'Saisie données stocks'!V41</f>
        <v>0</v>
      </c>
      <c r="AI29" s="1923">
        <f t="shared" si="27"/>
        <v>0</v>
      </c>
      <c r="AJ29" s="1923" t="str">
        <f>IF(AND(AG29=0, AH29=0), "ND", IF((AG29-Paramétrage!$H$19)&gt;0, (AG29-Paramétrage!$H$19)/(365/12), "Date non renseignée ou produit périmé"))</f>
        <v>ND</v>
      </c>
      <c r="AK29" s="1923" t="str">
        <f t="shared" si="28"/>
        <v>ND</v>
      </c>
      <c r="AL29" s="1923" t="str">
        <f t="shared" si="29"/>
        <v>ND</v>
      </c>
      <c r="AM29" s="1923" t="str">
        <f t="shared" si="30"/>
        <v>ND</v>
      </c>
      <c r="AN29" s="1924" t="str">
        <f t="shared" si="31"/>
        <v>ND</v>
      </c>
      <c r="AO29" s="1919">
        <f>'Saisie données stocks'!W41</f>
        <v>0</v>
      </c>
      <c r="AP29" s="1920">
        <f>'Saisie données stocks'!X41</f>
        <v>0</v>
      </c>
      <c r="AQ29" s="1923">
        <f t="shared" si="32"/>
        <v>0</v>
      </c>
      <c r="AR29" s="1923" t="str">
        <f>IF(AND(AO29=0, AP29=0), "ND", IF((AO29-Paramétrage!$H$19)&gt;0, (AO29-Paramétrage!$H$19)/(365/12), "Date non renseignée ou produit périmé"))</f>
        <v>ND</v>
      </c>
      <c r="AS29" s="1923" t="str">
        <f t="shared" si="33"/>
        <v>ND</v>
      </c>
      <c r="AT29" s="1923" t="str">
        <f t="shared" si="34"/>
        <v>ND</v>
      </c>
      <c r="AU29" s="1923" t="str">
        <f t="shared" si="35"/>
        <v>ND</v>
      </c>
      <c r="AV29" s="1924" t="str">
        <f t="shared" si="36"/>
        <v>ND</v>
      </c>
      <c r="AW29" s="1919">
        <f>'Saisie données stocks'!Y41</f>
        <v>0</v>
      </c>
      <c r="AX29" s="1920">
        <f>'Saisie données stocks'!Z41</f>
        <v>0</v>
      </c>
      <c r="AY29" s="1923">
        <f t="shared" si="37"/>
        <v>0</v>
      </c>
      <c r="AZ29" s="1923" t="str">
        <f>IF(AND(AW29=0, AX29=0), "ND", IF((AW29-Paramétrage!$H$19)&gt;0, (AW29-Paramétrage!$H$19)/(365/12), "Date non renseignée ou produit périmé"))</f>
        <v>ND</v>
      </c>
      <c r="BA29" s="1923" t="str">
        <f t="shared" si="38"/>
        <v>ND</v>
      </c>
      <c r="BB29" s="1923" t="str">
        <f t="shared" si="39"/>
        <v>ND</v>
      </c>
      <c r="BC29" s="1923" t="str">
        <f t="shared" si="40"/>
        <v>ND</v>
      </c>
      <c r="BD29" s="1924" t="str">
        <f t="shared" si="41"/>
        <v>ND</v>
      </c>
      <c r="BE29" s="1919">
        <f>'Saisie données stocks'!AA41</f>
        <v>0</v>
      </c>
      <c r="BF29" s="1920">
        <f>'Saisie données stocks'!AB41</f>
        <v>0</v>
      </c>
      <c r="BG29" s="1923">
        <f t="shared" si="42"/>
        <v>0</v>
      </c>
      <c r="BH29" s="1923" t="str">
        <f>IF(AND(BE29=0, BF29=0), "ND", IF((BE29-Paramétrage!$H$19)&gt;0, (BE29-Paramétrage!$H$19)/(365/12), "Date non renseignée ou produit périmé"))</f>
        <v>ND</v>
      </c>
      <c r="BI29" s="1923" t="str">
        <f t="shared" si="43"/>
        <v>ND</v>
      </c>
      <c r="BJ29" s="1923" t="str">
        <f t="shared" si="44"/>
        <v>ND</v>
      </c>
      <c r="BK29" s="1923" t="str">
        <f t="shared" si="45"/>
        <v>ND</v>
      </c>
      <c r="BL29" s="1924" t="str">
        <f t="shared" si="46"/>
        <v>ND</v>
      </c>
      <c r="BM29" s="1919">
        <f>'Saisie données stocks'!AC41</f>
        <v>0</v>
      </c>
      <c r="BN29" s="1920">
        <f>'Saisie données stocks'!AD41</f>
        <v>0</v>
      </c>
      <c r="BO29" s="1923">
        <f t="shared" si="47"/>
        <v>0</v>
      </c>
      <c r="BP29" s="1923" t="str">
        <f>IF(AND(BM29=0, BN29=0), "ND", IF((BM29-Paramétrage!$H$19)&gt;0, (BM29-Paramétrage!$H$19)/(365/12), "Date non renseignée ou produit périmé"))</f>
        <v>ND</v>
      </c>
      <c r="BQ29" s="1923" t="str">
        <f t="shared" si="48"/>
        <v>ND</v>
      </c>
      <c r="BR29" s="1923" t="str">
        <f t="shared" si="49"/>
        <v>ND</v>
      </c>
      <c r="BS29" s="1923" t="str">
        <f t="shared" si="50"/>
        <v>ND</v>
      </c>
      <c r="BT29" s="1924" t="str">
        <f t="shared" si="51"/>
        <v>ND</v>
      </c>
      <c r="BU29" s="1925">
        <f>IF('Saisie données stocks'!$O$10='TRAD-Saisie données stocks'!$B$51, IF(P29="OK", IF(AND(BR29&gt;0, ISNUMBER(BR29)), (BO29-BR29), (BO29)), O29), O29)</f>
        <v>0</v>
      </c>
      <c r="BV29" s="1925">
        <f t="shared" si="52"/>
        <v>0</v>
      </c>
      <c r="BW29" s="2045" t="str">
        <f t="shared" si="53"/>
        <v/>
      </c>
      <c r="BX29" s="2045">
        <f>IF('Saisie données stocks'!$O$10='TRAD-Saisie données stocks'!$B$51, IF('Calculs Péremption FA'!P29="OK", IF(BU29=O29, MAX(Paramétrage!$H$19+('Saisie données stocks'!$N$14*(365/12)), BM29, BE29, AW29, AO29, AG29, Y29, R29), BW29), Paramétrage!$H$19+('Saisie données stocks'!$N$14*(365/12))), Paramétrage!$H$19+('Saisie données stocks'!$N$14*(365/12)))</f>
        <v>42101.5</v>
      </c>
      <c r="BY29" s="2046">
        <f t="shared" si="54"/>
        <v>7</v>
      </c>
      <c r="BZ29" s="2046">
        <f t="shared" si="55"/>
        <v>4</v>
      </c>
      <c r="CA29" s="2046">
        <f t="shared" si="56"/>
        <v>2015</v>
      </c>
      <c r="CB29" s="2046">
        <f>IF(BX29="", "", (BX29-Paramétrage!$H$19)/(365/12))</f>
        <v>6</v>
      </c>
      <c r="CC29" s="2046" t="str">
        <f>IF(CB29='Saisie données stocks'!N$14, 'TRAD-Calculs Péremption FA'!$B$74, CONCATENATE("DLU - ", BY29, "/", BZ29, "/", CA29))</f>
        <v>Durée de vie max</v>
      </c>
    </row>
    <row r="30" spans="2:81" ht="25.5" x14ac:dyDescent="0.2">
      <c r="B30" s="374"/>
      <c r="C30" s="375"/>
      <c r="D30" s="1669" t="s">
        <v>32</v>
      </c>
      <c r="E30" s="1670" t="str">
        <f>'TRAD-Calculs Péremption FA'!B9</f>
        <v>Cp</v>
      </c>
      <c r="F30" s="1815" t="s">
        <v>33</v>
      </c>
      <c r="G30" s="377" t="s">
        <v>626</v>
      </c>
      <c r="H30" s="379" t="str">
        <f t="shared" si="17"/>
        <v>AZT - 300 mg</v>
      </c>
      <c r="I30" s="114">
        <v>60</v>
      </c>
      <c r="J30" s="657"/>
      <c r="K30" s="756">
        <f>IF('TdB Péremptions'!$H$9="X", 'Prix 10-2011 GPRM $'!$O$38, IF('TdB Péremptions'!$H$10="X", 'Prix 10-2011 GPRM $'!$Q$38, IF('TdB Péremptions'!$H$11="X", 'Prix VPP 102012 convert'!$O$38, IF('TdB Péremptions'!$H$12="X", 'Prix VPP 102012 convert'!$Q$38, IF('TdB Péremptions'!$H$13="X", 'Prix spécifiques'!$J$30, 0)))))</f>
        <v>6.42</v>
      </c>
      <c r="L30" s="756">
        <f>(1+'TdB Péremptions'!$H$14)*K30</f>
        <v>7.0620000000000003</v>
      </c>
      <c r="M30" s="1916">
        <f>Calculs!O176</f>
        <v>0</v>
      </c>
      <c r="N30" s="1916">
        <f>Calculs!N230</f>
        <v>0</v>
      </c>
      <c r="O30" s="1916">
        <f>'Saisie données stocks'!N42</f>
        <v>0</v>
      </c>
      <c r="P30" s="1917" t="str">
        <f>IF(SUM('Saisie données stocks'!R42+'Saisie données stocks'!T42+'Saisie données stocks'!V42+'Saisie données stocks'!X42+'Saisie données stocks'!Z42+'Saisie données stocks'!AB42+'Saisie données stocks'!AD42)='Calculs Péremption FA'!O30,  "OK", 'TRAD-Saisie données stocks'!$B$70)</f>
        <v>OK</v>
      </c>
      <c r="Q30" s="1918" t="str">
        <f>IF(AND(O30&gt;0, M30=0, N30=0), 'TRAD-Calculs Péremption FA'!$B$76, "")</f>
        <v/>
      </c>
      <c r="R30" s="1919">
        <f>'Saisie données stocks'!Q42</f>
        <v>41944</v>
      </c>
      <c r="S30" s="1920">
        <f>'Saisie données stocks'!R42</f>
        <v>0</v>
      </c>
      <c r="T30" s="1921">
        <f>IF(AND(R30=0, S30=0), "ND", IF((R30-Paramétrage!$H$19)&gt;0, (R30-Paramétrage!$H$19)/(365/12), "Date non renseignée ou produit périmé"))</f>
        <v>0.82191780821917804</v>
      </c>
      <c r="U30" s="1922">
        <f t="shared" si="18"/>
        <v>0</v>
      </c>
      <c r="V30" s="1922">
        <f t="shared" si="19"/>
        <v>0</v>
      </c>
      <c r="W30" s="1921" t="str">
        <f t="shared" si="20"/>
        <v>OK</v>
      </c>
      <c r="X30" s="1924" t="str">
        <f t="shared" si="21"/>
        <v/>
      </c>
      <c r="Y30" s="1919">
        <f>'Saisie données stocks'!S42</f>
        <v>0</v>
      </c>
      <c r="Z30" s="1920">
        <f>'Saisie données stocks'!T42</f>
        <v>0</v>
      </c>
      <c r="AA30" s="1923">
        <f t="shared" si="22"/>
        <v>0</v>
      </c>
      <c r="AB30" s="1923" t="str">
        <f>IF(AND(Y30=0, Z30=0), "ND", IF((Y30-Paramétrage!$H$19)&gt;0, (Y30-Paramétrage!$H$19)/(365/12), "Date non renseignée ou produit périmé"))</f>
        <v>ND</v>
      </c>
      <c r="AC30" s="1923" t="str">
        <f t="shared" si="23"/>
        <v>ND</v>
      </c>
      <c r="AD30" s="1923" t="str">
        <f t="shared" si="24"/>
        <v>ND</v>
      </c>
      <c r="AE30" s="1921" t="str">
        <f t="shared" si="25"/>
        <v>ND</v>
      </c>
      <c r="AF30" s="1924" t="str">
        <f t="shared" si="26"/>
        <v>ND</v>
      </c>
      <c r="AG30" s="1919">
        <f>'Saisie données stocks'!U42</f>
        <v>0</v>
      </c>
      <c r="AH30" s="1920">
        <f>'Saisie données stocks'!V42</f>
        <v>0</v>
      </c>
      <c r="AI30" s="1923">
        <f t="shared" si="27"/>
        <v>0</v>
      </c>
      <c r="AJ30" s="1923" t="str">
        <f>IF(AND(AG30=0, AH30=0), "ND", IF((AG30-Paramétrage!$H$19)&gt;0, (AG30-Paramétrage!$H$19)/(365/12), "Date non renseignée ou produit périmé"))</f>
        <v>ND</v>
      </c>
      <c r="AK30" s="1923" t="str">
        <f t="shared" si="28"/>
        <v>ND</v>
      </c>
      <c r="AL30" s="1923" t="str">
        <f t="shared" si="29"/>
        <v>ND</v>
      </c>
      <c r="AM30" s="1923" t="str">
        <f t="shared" si="30"/>
        <v>ND</v>
      </c>
      <c r="AN30" s="1924" t="str">
        <f t="shared" si="31"/>
        <v>ND</v>
      </c>
      <c r="AO30" s="1919">
        <f>'Saisie données stocks'!W42</f>
        <v>0</v>
      </c>
      <c r="AP30" s="1920">
        <f>'Saisie données stocks'!X42</f>
        <v>0</v>
      </c>
      <c r="AQ30" s="1923">
        <f t="shared" si="32"/>
        <v>0</v>
      </c>
      <c r="AR30" s="1923" t="str">
        <f>IF(AND(AO30=0, AP30=0), "ND", IF((AO30-Paramétrage!$H$19)&gt;0, (AO30-Paramétrage!$H$19)/(365/12), "Date non renseignée ou produit périmé"))</f>
        <v>ND</v>
      </c>
      <c r="AS30" s="1923" t="str">
        <f t="shared" si="33"/>
        <v>ND</v>
      </c>
      <c r="AT30" s="1923" t="str">
        <f t="shared" si="34"/>
        <v>ND</v>
      </c>
      <c r="AU30" s="1923" t="str">
        <f t="shared" si="35"/>
        <v>ND</v>
      </c>
      <c r="AV30" s="1924" t="str">
        <f t="shared" si="36"/>
        <v>ND</v>
      </c>
      <c r="AW30" s="1919">
        <f>'Saisie données stocks'!Y42</f>
        <v>0</v>
      </c>
      <c r="AX30" s="1920">
        <f>'Saisie données stocks'!Z42</f>
        <v>0</v>
      </c>
      <c r="AY30" s="1923">
        <f t="shared" si="37"/>
        <v>0</v>
      </c>
      <c r="AZ30" s="1923" t="str">
        <f>IF(AND(AW30=0, AX30=0), "ND", IF((AW30-Paramétrage!$H$19)&gt;0, (AW30-Paramétrage!$H$19)/(365/12), "Date non renseignée ou produit périmé"))</f>
        <v>ND</v>
      </c>
      <c r="BA30" s="1923" t="str">
        <f t="shared" si="38"/>
        <v>ND</v>
      </c>
      <c r="BB30" s="1923" t="str">
        <f t="shared" si="39"/>
        <v>ND</v>
      </c>
      <c r="BC30" s="1923" t="str">
        <f t="shared" si="40"/>
        <v>ND</v>
      </c>
      <c r="BD30" s="1924" t="str">
        <f t="shared" si="41"/>
        <v>ND</v>
      </c>
      <c r="BE30" s="1919">
        <f>'Saisie données stocks'!AA42</f>
        <v>0</v>
      </c>
      <c r="BF30" s="1920">
        <f>'Saisie données stocks'!AB42</f>
        <v>0</v>
      </c>
      <c r="BG30" s="1923">
        <f t="shared" si="42"/>
        <v>0</v>
      </c>
      <c r="BH30" s="1923" t="str">
        <f>IF(AND(BE30=0, BF30=0), "ND", IF((BE30-Paramétrage!$H$19)&gt;0, (BE30-Paramétrage!$H$19)/(365/12), "Date non renseignée ou produit périmé"))</f>
        <v>ND</v>
      </c>
      <c r="BI30" s="1923" t="str">
        <f t="shared" si="43"/>
        <v>ND</v>
      </c>
      <c r="BJ30" s="1923" t="str">
        <f t="shared" si="44"/>
        <v>ND</v>
      </c>
      <c r="BK30" s="1923" t="str">
        <f t="shared" si="45"/>
        <v>ND</v>
      </c>
      <c r="BL30" s="1924" t="str">
        <f t="shared" si="46"/>
        <v>ND</v>
      </c>
      <c r="BM30" s="1919">
        <f>'Saisie données stocks'!AC42</f>
        <v>0</v>
      </c>
      <c r="BN30" s="1920">
        <f>'Saisie données stocks'!AD42</f>
        <v>0</v>
      </c>
      <c r="BO30" s="1923">
        <f t="shared" si="47"/>
        <v>0</v>
      </c>
      <c r="BP30" s="1923" t="str">
        <f>IF(AND(BM30=0, BN30=0), "ND", IF((BM30-Paramétrage!$H$19)&gt;0, (BM30-Paramétrage!$H$19)/(365/12), "Date non renseignée ou produit périmé"))</f>
        <v>ND</v>
      </c>
      <c r="BQ30" s="1923" t="str">
        <f t="shared" si="48"/>
        <v>ND</v>
      </c>
      <c r="BR30" s="1923" t="str">
        <f t="shared" si="49"/>
        <v>ND</v>
      </c>
      <c r="BS30" s="1923" t="str">
        <f t="shared" si="50"/>
        <v>ND</v>
      </c>
      <c r="BT30" s="1924" t="str">
        <f t="shared" si="51"/>
        <v>ND</v>
      </c>
      <c r="BU30" s="1925">
        <f>IF('Saisie données stocks'!$O$10='TRAD-Saisie données stocks'!$B$51, IF(P30="OK", IF(AND(BR30&gt;0, ISNUMBER(BR30)), (BO30-BR30), (BO30)), O30), O30)</f>
        <v>0</v>
      </c>
      <c r="BV30" s="1925">
        <f t="shared" si="52"/>
        <v>0</v>
      </c>
      <c r="BW30" s="2045" t="str">
        <f t="shared" si="53"/>
        <v/>
      </c>
      <c r="BX30" s="2045">
        <f>IF('Saisie données stocks'!$O$10='TRAD-Saisie données stocks'!$B$51, IF('Calculs Péremption FA'!P30="OK", IF(BU30=O30, MAX(Paramétrage!$H$19+('Saisie données stocks'!$N$14*(365/12)), BM30, BE30, AW30, AO30, AG30, Y30, R30), BW30), Paramétrage!$H$19+('Saisie données stocks'!$N$14*(365/12))), Paramétrage!$H$19+('Saisie données stocks'!$N$14*(365/12)))</f>
        <v>42101.5</v>
      </c>
      <c r="BY30" s="2046">
        <f t="shared" si="54"/>
        <v>7</v>
      </c>
      <c r="BZ30" s="2046">
        <f t="shared" si="55"/>
        <v>4</v>
      </c>
      <c r="CA30" s="2046">
        <f t="shared" si="56"/>
        <v>2015</v>
      </c>
      <c r="CB30" s="2046">
        <f>IF(BX30="", "", (BX30-Paramétrage!$H$19)/(365/12))</f>
        <v>6</v>
      </c>
      <c r="CC30" s="2046" t="str">
        <f>IF(CB30='Saisie données stocks'!N$14, 'TRAD-Calculs Péremption FA'!$B$74, CONCATENATE("DLU - ", BY30, "/", BZ30, "/", CA30))</f>
        <v>Durée de vie max</v>
      </c>
    </row>
    <row r="31" spans="2:81" ht="25.5" x14ac:dyDescent="0.2">
      <c r="B31" s="374"/>
      <c r="C31" s="375"/>
      <c r="D31" s="1669" t="s">
        <v>32</v>
      </c>
      <c r="E31" s="1670" t="str">
        <f>'TRAD-Calculs Péremption FA'!B9</f>
        <v>Cp</v>
      </c>
      <c r="F31" s="1815" t="s">
        <v>46</v>
      </c>
      <c r="G31" s="377" t="s">
        <v>626</v>
      </c>
      <c r="H31" s="379" t="str">
        <f t="shared" si="17"/>
        <v>AZT - 100 mg</v>
      </c>
      <c r="I31" s="114">
        <v>100</v>
      </c>
      <c r="J31" s="657"/>
      <c r="K31" s="756">
        <f>IF('TdB Péremptions'!$H$9="X", 'Prix 10-2011 GPRM $'!$O$130, IF('TdB Péremptions'!$H$10="X", 'Prix 10-2011 GPRM $'!$Q$130, IF('TdB Péremptions'!$H$11="X", 'Prix VPP 102012 convert'!$O$130, IF('TdB Péremptions'!$H$12="X", 'Prix VPP 102012 convert'!$Q$130, IF('TdB Péremptions'!$H$13="X", 'Prix spécifiques'!$J$31, 0)))))</f>
        <v>4.57</v>
      </c>
      <c r="L31" s="756">
        <f>(1+'TdB Péremptions'!$H$14)*K31</f>
        <v>5.027000000000001</v>
      </c>
      <c r="M31" s="1916">
        <f>Calculs!O177</f>
        <v>0</v>
      </c>
      <c r="N31" s="1916">
        <f>Calculs!N231</f>
        <v>0</v>
      </c>
      <c r="O31" s="1916">
        <f>'Saisie données stocks'!N43</f>
        <v>0</v>
      </c>
      <c r="P31" s="1917" t="str">
        <f>IF(SUM('Saisie données stocks'!R43+'Saisie données stocks'!T43+'Saisie données stocks'!V43+'Saisie données stocks'!X43+'Saisie données stocks'!Z43+'Saisie données stocks'!AB43+'Saisie données stocks'!AD43)='Calculs Péremption FA'!O31,  "OK", 'TRAD-Saisie données stocks'!$B$70)</f>
        <v>OK</v>
      </c>
      <c r="Q31" s="1918" t="str">
        <f>IF(AND(O31&gt;0, M31=0, N31=0), 'TRAD-Calculs Péremption FA'!$B$76, "")</f>
        <v/>
      </c>
      <c r="R31" s="1919">
        <f>'Saisie données stocks'!Q43</f>
        <v>0</v>
      </c>
      <c r="S31" s="1920">
        <f>'Saisie données stocks'!R43</f>
        <v>0</v>
      </c>
      <c r="T31" s="1921" t="str">
        <f>IF(AND(R31=0, S31=0), "ND", IF((R31-Paramétrage!$H$19)&gt;0, (R31-Paramétrage!$H$19)/(365/12), "Date non renseignée ou produit périmé"))</f>
        <v>ND</v>
      </c>
      <c r="U31" s="1922" t="str">
        <f t="shared" si="18"/>
        <v>ND</v>
      </c>
      <c r="V31" s="1922" t="str">
        <f t="shared" si="19"/>
        <v>ND</v>
      </c>
      <c r="W31" s="1921" t="str">
        <f t="shared" si="20"/>
        <v>ND</v>
      </c>
      <c r="X31" s="1924" t="str">
        <f t="shared" si="21"/>
        <v>ND</v>
      </c>
      <c r="Y31" s="1919">
        <f>'Saisie données stocks'!S43</f>
        <v>0</v>
      </c>
      <c r="Z31" s="1920">
        <f>'Saisie données stocks'!T43</f>
        <v>0</v>
      </c>
      <c r="AA31" s="1923">
        <f t="shared" si="22"/>
        <v>0</v>
      </c>
      <c r="AB31" s="1923" t="str">
        <f>IF(AND(Y31=0, Z31=0), "ND", IF((Y31-Paramétrage!$H$19)&gt;0, (Y31-Paramétrage!$H$19)/(365/12), "Date non renseignée ou produit périmé"))</f>
        <v>ND</v>
      </c>
      <c r="AC31" s="1923" t="str">
        <f t="shared" si="23"/>
        <v>ND</v>
      </c>
      <c r="AD31" s="1923" t="str">
        <f t="shared" si="24"/>
        <v>ND</v>
      </c>
      <c r="AE31" s="1921" t="str">
        <f t="shared" si="25"/>
        <v>ND</v>
      </c>
      <c r="AF31" s="1924" t="str">
        <f t="shared" si="26"/>
        <v>ND</v>
      </c>
      <c r="AG31" s="1919">
        <f>'Saisie données stocks'!U43</f>
        <v>0</v>
      </c>
      <c r="AH31" s="1920">
        <f>'Saisie données stocks'!V43</f>
        <v>0</v>
      </c>
      <c r="AI31" s="1923">
        <f t="shared" si="27"/>
        <v>0</v>
      </c>
      <c r="AJ31" s="1923" t="str">
        <f>IF(AND(AG31=0, AH31=0), "ND", IF((AG31-Paramétrage!$H$19)&gt;0, (AG31-Paramétrage!$H$19)/(365/12), "Date non renseignée ou produit périmé"))</f>
        <v>ND</v>
      </c>
      <c r="AK31" s="1923" t="str">
        <f t="shared" si="28"/>
        <v>ND</v>
      </c>
      <c r="AL31" s="1923" t="str">
        <f t="shared" si="29"/>
        <v>ND</v>
      </c>
      <c r="AM31" s="1923" t="str">
        <f t="shared" si="30"/>
        <v>ND</v>
      </c>
      <c r="AN31" s="1924" t="str">
        <f t="shared" si="31"/>
        <v>ND</v>
      </c>
      <c r="AO31" s="1919">
        <f>'Saisie données stocks'!W43</f>
        <v>0</v>
      </c>
      <c r="AP31" s="1920">
        <f>'Saisie données stocks'!X43</f>
        <v>0</v>
      </c>
      <c r="AQ31" s="1923">
        <f t="shared" si="32"/>
        <v>0</v>
      </c>
      <c r="AR31" s="1923" t="str">
        <f>IF(AND(AO31=0, AP31=0), "ND", IF((AO31-Paramétrage!$H$19)&gt;0, (AO31-Paramétrage!$H$19)/(365/12), "Date non renseignée ou produit périmé"))</f>
        <v>ND</v>
      </c>
      <c r="AS31" s="1923" t="str">
        <f t="shared" si="33"/>
        <v>ND</v>
      </c>
      <c r="AT31" s="1923" t="str">
        <f t="shared" si="34"/>
        <v>ND</v>
      </c>
      <c r="AU31" s="1923" t="str">
        <f t="shared" si="35"/>
        <v>ND</v>
      </c>
      <c r="AV31" s="1924" t="str">
        <f t="shared" si="36"/>
        <v>ND</v>
      </c>
      <c r="AW31" s="1919">
        <f>'Saisie données stocks'!Y43</f>
        <v>0</v>
      </c>
      <c r="AX31" s="1920">
        <f>'Saisie données stocks'!Z43</f>
        <v>0</v>
      </c>
      <c r="AY31" s="1923">
        <f t="shared" si="37"/>
        <v>0</v>
      </c>
      <c r="AZ31" s="1923" t="str">
        <f>IF(AND(AW31=0, AX31=0), "ND", IF((AW31-Paramétrage!$H$19)&gt;0, (AW31-Paramétrage!$H$19)/(365/12), "Date non renseignée ou produit périmé"))</f>
        <v>ND</v>
      </c>
      <c r="BA31" s="1923" t="str">
        <f t="shared" si="38"/>
        <v>ND</v>
      </c>
      <c r="BB31" s="1923" t="str">
        <f t="shared" si="39"/>
        <v>ND</v>
      </c>
      <c r="BC31" s="1923" t="str">
        <f t="shared" si="40"/>
        <v>ND</v>
      </c>
      <c r="BD31" s="1924" t="str">
        <f t="shared" si="41"/>
        <v>ND</v>
      </c>
      <c r="BE31" s="1919">
        <f>'Saisie données stocks'!AA43</f>
        <v>0</v>
      </c>
      <c r="BF31" s="1920">
        <f>'Saisie données stocks'!AB43</f>
        <v>0</v>
      </c>
      <c r="BG31" s="1923">
        <f t="shared" si="42"/>
        <v>0</v>
      </c>
      <c r="BH31" s="1923" t="str">
        <f>IF(AND(BE31=0, BF31=0), "ND", IF((BE31-Paramétrage!$H$19)&gt;0, (BE31-Paramétrage!$H$19)/(365/12), "Date non renseignée ou produit périmé"))</f>
        <v>ND</v>
      </c>
      <c r="BI31" s="1923" t="str">
        <f t="shared" si="43"/>
        <v>ND</v>
      </c>
      <c r="BJ31" s="1923" t="str">
        <f t="shared" si="44"/>
        <v>ND</v>
      </c>
      <c r="BK31" s="1923" t="str">
        <f t="shared" si="45"/>
        <v>ND</v>
      </c>
      <c r="BL31" s="1924" t="str">
        <f t="shared" si="46"/>
        <v>ND</v>
      </c>
      <c r="BM31" s="1919">
        <f>'Saisie données stocks'!AC43</f>
        <v>0</v>
      </c>
      <c r="BN31" s="1920">
        <f>'Saisie données stocks'!AD43</f>
        <v>0</v>
      </c>
      <c r="BO31" s="1923">
        <f t="shared" si="47"/>
        <v>0</v>
      </c>
      <c r="BP31" s="1923" t="str">
        <f>IF(AND(BM31=0, BN31=0), "ND", IF((BM31-Paramétrage!$H$19)&gt;0, (BM31-Paramétrage!$H$19)/(365/12), "Date non renseignée ou produit périmé"))</f>
        <v>ND</v>
      </c>
      <c r="BQ31" s="1923" t="str">
        <f t="shared" si="48"/>
        <v>ND</v>
      </c>
      <c r="BR31" s="1923" t="str">
        <f t="shared" si="49"/>
        <v>ND</v>
      </c>
      <c r="BS31" s="1923" t="str">
        <f t="shared" si="50"/>
        <v>ND</v>
      </c>
      <c r="BT31" s="1924" t="str">
        <f t="shared" si="51"/>
        <v>ND</v>
      </c>
      <c r="BU31" s="1925">
        <f>IF('Saisie données stocks'!$O$10='TRAD-Saisie données stocks'!$B$51, IF(P31="OK", IF(AND(BR31&gt;0, ISNUMBER(BR31)), (BO31-BR31), (BO31)), O31), O31)</f>
        <v>0</v>
      </c>
      <c r="BV31" s="1925">
        <f t="shared" si="52"/>
        <v>0</v>
      </c>
      <c r="BW31" s="2045" t="str">
        <f t="shared" si="53"/>
        <v/>
      </c>
      <c r="BX31" s="2045">
        <f>IF('Saisie données stocks'!$O$10='TRAD-Saisie données stocks'!$B$51, IF('Calculs Péremption FA'!P31="OK", IF(BU31=O31, MAX(Paramétrage!$H$19+('Saisie données stocks'!$N$14*(365/12)), BM31, BE31, AW31, AO31, AG31, Y31, R31), BW31), Paramétrage!$H$19+('Saisie données stocks'!$N$14*(365/12))), Paramétrage!$H$19+('Saisie données stocks'!$N$14*(365/12)))</f>
        <v>42101.5</v>
      </c>
      <c r="BY31" s="2046">
        <f t="shared" si="54"/>
        <v>7</v>
      </c>
      <c r="BZ31" s="2046">
        <f t="shared" si="55"/>
        <v>4</v>
      </c>
      <c r="CA31" s="2046">
        <f t="shared" si="56"/>
        <v>2015</v>
      </c>
      <c r="CB31" s="2046">
        <f>IF(BX31="", "", (BX31-Paramétrage!$H$19)/(365/12))</f>
        <v>6</v>
      </c>
      <c r="CC31" s="2046" t="str">
        <f>IF(CB31='Saisie données stocks'!N$14, 'TRAD-Calculs Péremption FA'!$B$74, CONCATENATE("DLU - ", BY31, "/", BZ31, "/", CA31))</f>
        <v>Durée de vie max</v>
      </c>
    </row>
    <row r="32" spans="2:81" ht="25.5" x14ac:dyDescent="0.2">
      <c r="B32" s="374"/>
      <c r="C32" s="375"/>
      <c r="D32" s="1669" t="s">
        <v>32</v>
      </c>
      <c r="E32" s="1670" t="str">
        <f>'TRAD-Calculs Péremption FA'!B9</f>
        <v>Cp</v>
      </c>
      <c r="F32" s="1815" t="s">
        <v>611</v>
      </c>
      <c r="G32" s="377" t="s">
        <v>626</v>
      </c>
      <c r="H32" s="379" t="str">
        <f t="shared" si="17"/>
        <v>AZT - 60 mg</v>
      </c>
      <c r="I32" s="114">
        <v>60</v>
      </c>
      <c r="J32" s="657"/>
      <c r="K32" s="756">
        <f>IF('TdB Péremptions'!$H$9="X", 'Prix 10-2011 GPRM $'!$O$131, IF('TdB Péremptions'!$H$10="X", 'Prix 10-2011 GPRM $'!$Q$131, IF('TdB Péremptions'!$H$11="X", 'Prix VPP 102012 convert'!$O$131, IF('TdB Péremptions'!$H$12="X", 'Prix VPP 102012 convert'!$Q$131, IF('TdB Péremptions'!$H$13="X", 'Prix spécifiques'!$J$32, 0)))))</f>
        <v>3.75</v>
      </c>
      <c r="L32" s="756">
        <f>(1+'TdB Péremptions'!$H$14)*K32</f>
        <v>4.125</v>
      </c>
      <c r="M32" s="1916">
        <f>Calculs!O178</f>
        <v>0</v>
      </c>
      <c r="N32" s="1916">
        <f>Calculs!N232</f>
        <v>0</v>
      </c>
      <c r="O32" s="1916">
        <f>'Saisie données stocks'!N44</f>
        <v>0</v>
      </c>
      <c r="P32" s="1917" t="str">
        <f>IF(SUM('Saisie données stocks'!R44+'Saisie données stocks'!T44+'Saisie données stocks'!V44+'Saisie données stocks'!X44+'Saisie données stocks'!Z44+'Saisie données stocks'!AB44+'Saisie données stocks'!AD44)='Calculs Péremption FA'!O32,  "OK", 'TRAD-Saisie données stocks'!$B$70)</f>
        <v>OK</v>
      </c>
      <c r="Q32" s="1918" t="str">
        <f>IF(AND(O32&gt;0, M32=0, N32=0), 'TRAD-Calculs Péremption FA'!$B$76, "")</f>
        <v/>
      </c>
      <c r="R32" s="1919">
        <f>'Saisie données stocks'!Q44</f>
        <v>0</v>
      </c>
      <c r="S32" s="1920">
        <f>'Saisie données stocks'!R44</f>
        <v>0</v>
      </c>
      <c r="T32" s="1921" t="str">
        <f>IF(AND(R32=0, S32=0), "ND", IF((R32-Paramétrage!$H$19)&gt;0, (R32-Paramétrage!$H$19)/(365/12), "Date non renseignée ou produit périmé"))</f>
        <v>ND</v>
      </c>
      <c r="U32" s="1922" t="str">
        <f t="shared" si="18"/>
        <v>ND</v>
      </c>
      <c r="V32" s="1922" t="str">
        <f t="shared" si="19"/>
        <v>ND</v>
      </c>
      <c r="W32" s="1921" t="str">
        <f t="shared" si="20"/>
        <v>ND</v>
      </c>
      <c r="X32" s="1924" t="str">
        <f t="shared" si="21"/>
        <v>ND</v>
      </c>
      <c r="Y32" s="1919">
        <f>'Saisie données stocks'!S44</f>
        <v>0</v>
      </c>
      <c r="Z32" s="1920">
        <f>'Saisie données stocks'!T44</f>
        <v>0</v>
      </c>
      <c r="AA32" s="1923">
        <f t="shared" si="22"/>
        <v>0</v>
      </c>
      <c r="AB32" s="1923" t="str">
        <f>IF(AND(Y32=0, Z32=0), "ND", IF((Y32-Paramétrage!$H$19)&gt;0, (Y32-Paramétrage!$H$19)/(365/12), "Date non renseignée ou produit périmé"))</f>
        <v>ND</v>
      </c>
      <c r="AC32" s="1923" t="str">
        <f t="shared" si="23"/>
        <v>ND</v>
      </c>
      <c r="AD32" s="1923" t="str">
        <f t="shared" si="24"/>
        <v>ND</v>
      </c>
      <c r="AE32" s="1921" t="str">
        <f t="shared" si="25"/>
        <v>ND</v>
      </c>
      <c r="AF32" s="1924" t="str">
        <f t="shared" si="26"/>
        <v>ND</v>
      </c>
      <c r="AG32" s="1919">
        <f>'Saisie données stocks'!U44</f>
        <v>0</v>
      </c>
      <c r="AH32" s="1920">
        <f>'Saisie données stocks'!V44</f>
        <v>0</v>
      </c>
      <c r="AI32" s="1923">
        <f t="shared" si="27"/>
        <v>0</v>
      </c>
      <c r="AJ32" s="1923" t="str">
        <f>IF(AND(AG32=0, AH32=0), "ND", IF((AG32-Paramétrage!$H$19)&gt;0, (AG32-Paramétrage!$H$19)/(365/12), "Date non renseignée ou produit périmé"))</f>
        <v>ND</v>
      </c>
      <c r="AK32" s="1923" t="str">
        <f t="shared" si="28"/>
        <v>ND</v>
      </c>
      <c r="AL32" s="1923" t="str">
        <f t="shared" si="29"/>
        <v>ND</v>
      </c>
      <c r="AM32" s="1923" t="str">
        <f t="shared" si="30"/>
        <v>ND</v>
      </c>
      <c r="AN32" s="1924" t="str">
        <f t="shared" si="31"/>
        <v>ND</v>
      </c>
      <c r="AO32" s="1919">
        <f>'Saisie données stocks'!W44</f>
        <v>0</v>
      </c>
      <c r="AP32" s="1920">
        <f>'Saisie données stocks'!X44</f>
        <v>0</v>
      </c>
      <c r="AQ32" s="1923">
        <f t="shared" si="32"/>
        <v>0</v>
      </c>
      <c r="AR32" s="1923" t="str">
        <f>IF(AND(AO32=0, AP32=0), "ND", IF((AO32-Paramétrage!$H$19)&gt;0, (AO32-Paramétrage!$H$19)/(365/12), "Date non renseignée ou produit périmé"))</f>
        <v>ND</v>
      </c>
      <c r="AS32" s="1923" t="str">
        <f t="shared" si="33"/>
        <v>ND</v>
      </c>
      <c r="AT32" s="1923" t="str">
        <f t="shared" si="34"/>
        <v>ND</v>
      </c>
      <c r="AU32" s="1923" t="str">
        <f t="shared" si="35"/>
        <v>ND</v>
      </c>
      <c r="AV32" s="1924" t="str">
        <f t="shared" si="36"/>
        <v>ND</v>
      </c>
      <c r="AW32" s="1919">
        <f>'Saisie données stocks'!Y44</f>
        <v>0</v>
      </c>
      <c r="AX32" s="1920">
        <f>'Saisie données stocks'!Z44</f>
        <v>0</v>
      </c>
      <c r="AY32" s="1923">
        <f t="shared" si="37"/>
        <v>0</v>
      </c>
      <c r="AZ32" s="1923" t="str">
        <f>IF(AND(AW32=0, AX32=0), "ND", IF((AW32-Paramétrage!$H$19)&gt;0, (AW32-Paramétrage!$H$19)/(365/12), "Date non renseignée ou produit périmé"))</f>
        <v>ND</v>
      </c>
      <c r="BA32" s="1923" t="str">
        <f t="shared" si="38"/>
        <v>ND</v>
      </c>
      <c r="BB32" s="1923" t="str">
        <f t="shared" si="39"/>
        <v>ND</v>
      </c>
      <c r="BC32" s="1923" t="str">
        <f t="shared" si="40"/>
        <v>ND</v>
      </c>
      <c r="BD32" s="1924" t="str">
        <f t="shared" si="41"/>
        <v>ND</v>
      </c>
      <c r="BE32" s="1919">
        <f>'Saisie données stocks'!AA44</f>
        <v>0</v>
      </c>
      <c r="BF32" s="1920">
        <f>'Saisie données stocks'!AB44</f>
        <v>0</v>
      </c>
      <c r="BG32" s="1923">
        <f t="shared" si="42"/>
        <v>0</v>
      </c>
      <c r="BH32" s="1923" t="str">
        <f>IF(AND(BE32=0, BF32=0), "ND", IF((BE32-Paramétrage!$H$19)&gt;0, (BE32-Paramétrage!$H$19)/(365/12), "Date non renseignée ou produit périmé"))</f>
        <v>ND</v>
      </c>
      <c r="BI32" s="1923" t="str">
        <f t="shared" si="43"/>
        <v>ND</v>
      </c>
      <c r="BJ32" s="1923" t="str">
        <f t="shared" si="44"/>
        <v>ND</v>
      </c>
      <c r="BK32" s="1923" t="str">
        <f t="shared" si="45"/>
        <v>ND</v>
      </c>
      <c r="BL32" s="1924" t="str">
        <f t="shared" si="46"/>
        <v>ND</v>
      </c>
      <c r="BM32" s="1919">
        <f>'Saisie données stocks'!AC44</f>
        <v>0</v>
      </c>
      <c r="BN32" s="1920">
        <f>'Saisie données stocks'!AD44</f>
        <v>0</v>
      </c>
      <c r="BO32" s="1923">
        <f t="shared" si="47"/>
        <v>0</v>
      </c>
      <c r="BP32" s="1923" t="str">
        <f>IF(AND(BM32=0, BN32=0), "ND", IF((BM32-Paramétrage!$H$19)&gt;0, (BM32-Paramétrage!$H$19)/(365/12), "Date non renseignée ou produit périmé"))</f>
        <v>ND</v>
      </c>
      <c r="BQ32" s="1923" t="str">
        <f t="shared" si="48"/>
        <v>ND</v>
      </c>
      <c r="BR32" s="1923" t="str">
        <f t="shared" si="49"/>
        <v>ND</v>
      </c>
      <c r="BS32" s="1923" t="str">
        <f t="shared" si="50"/>
        <v>ND</v>
      </c>
      <c r="BT32" s="1924" t="str">
        <f t="shared" si="51"/>
        <v>ND</v>
      </c>
      <c r="BU32" s="1925">
        <f>IF('Saisie données stocks'!$O$10='TRAD-Saisie données stocks'!$B$51, IF(P32="OK", IF(AND(BR32&gt;0, ISNUMBER(BR32)), (BO32-BR32), (BO32)), O32), O32)</f>
        <v>0</v>
      </c>
      <c r="BV32" s="1925">
        <f t="shared" si="52"/>
        <v>0</v>
      </c>
      <c r="BW32" s="2045" t="str">
        <f t="shared" si="53"/>
        <v/>
      </c>
      <c r="BX32" s="2045">
        <f>IF('Saisie données stocks'!$O$10='TRAD-Saisie données stocks'!$B$51, IF('Calculs Péremption FA'!P32="OK", IF(BU32=O32, MAX(Paramétrage!$H$19+('Saisie données stocks'!$N$14*(365/12)), BM32, BE32, AW32, AO32, AG32, Y32, R32), BW32), Paramétrage!$H$19+('Saisie données stocks'!$N$14*(365/12))), Paramétrage!$H$19+('Saisie données stocks'!$N$14*(365/12)))</f>
        <v>42101.5</v>
      </c>
      <c r="BY32" s="2046">
        <f t="shared" si="54"/>
        <v>7</v>
      </c>
      <c r="BZ32" s="2046">
        <f t="shared" si="55"/>
        <v>4</v>
      </c>
      <c r="CA32" s="2046">
        <f t="shared" si="56"/>
        <v>2015</v>
      </c>
      <c r="CB32" s="2046">
        <f>IF(BX32="", "", (BX32-Paramétrage!$H$19)/(365/12))</f>
        <v>6</v>
      </c>
      <c r="CC32" s="2046" t="str">
        <f>IF(CB32='Saisie données stocks'!N$14, 'TRAD-Calculs Péremption FA'!$B$74, CONCATENATE("DLU - ", BY32, "/", BZ32, "/", CA32))</f>
        <v>Durée de vie max</v>
      </c>
    </row>
    <row r="33" spans="2:81" ht="25.5" x14ac:dyDescent="0.2">
      <c r="B33" s="374"/>
      <c r="C33" s="375"/>
      <c r="D33" s="1669" t="s">
        <v>82</v>
      </c>
      <c r="E33" s="1670" t="str">
        <f>'TRAD-Calculs Péremption FA'!B9</f>
        <v>Cp</v>
      </c>
      <c r="F33" s="1815" t="s">
        <v>222</v>
      </c>
      <c r="G33" s="377" t="s">
        <v>627</v>
      </c>
      <c r="H33" s="379" t="str">
        <f t="shared" si="17"/>
        <v>D4T - 30 mg</v>
      </c>
      <c r="I33" s="114">
        <v>60</v>
      </c>
      <c r="J33" s="657"/>
      <c r="K33" s="756">
        <f>IF('TdB Péremptions'!$H$9="X", 'Prix 10-2011 GPRM $'!$O$39, IF('TdB Péremptions'!$H$10="X", 'Prix 10-2011 GPRM $'!$Q$39, IF('TdB Péremptions'!$H$11="X", 'Prix VPP 102012 convert'!$O$39, IF('TdB Péremptions'!$H$12="X", 'Prix VPP 102012 convert'!$Q$39, IF('TdB Péremptions'!$H$13="X", 'Prix spécifiques'!$J$33, 0)))))</f>
        <v>1.5649999999999999</v>
      </c>
      <c r="L33" s="756">
        <f>(1+'TdB Péremptions'!$H$14)*K33</f>
        <v>1.7215</v>
      </c>
      <c r="M33" s="1916">
        <f>Calculs!O179</f>
        <v>0</v>
      </c>
      <c r="N33" s="1916">
        <f>Calculs!N233</f>
        <v>0</v>
      </c>
      <c r="O33" s="1916">
        <f>'Saisie données stocks'!N45</f>
        <v>0</v>
      </c>
      <c r="P33" s="1917" t="str">
        <f>IF(SUM('Saisie données stocks'!R45+'Saisie données stocks'!T45+'Saisie données stocks'!V45+'Saisie données stocks'!X45+'Saisie données stocks'!Z45+'Saisie données stocks'!AB45+'Saisie données stocks'!AD45)='Calculs Péremption FA'!O33,  "OK", 'TRAD-Saisie données stocks'!$B$70)</f>
        <v>OK</v>
      </c>
      <c r="Q33" s="1918" t="str">
        <f>IF(AND(O33&gt;0, M33=0, N33=0), 'TRAD-Calculs Péremption FA'!$B$76, "")</f>
        <v/>
      </c>
      <c r="R33" s="1919">
        <f>'Saisie données stocks'!Q45</f>
        <v>0</v>
      </c>
      <c r="S33" s="1920">
        <f>'Saisie données stocks'!R45</f>
        <v>0</v>
      </c>
      <c r="T33" s="1921" t="str">
        <f>IF(AND(R33=0, S33=0), "ND", IF((R33-Paramétrage!$H$19)&gt;0, (R33-Paramétrage!$H$19)/(365/12), "Date non renseignée ou produit périmé"))</f>
        <v>ND</v>
      </c>
      <c r="U33" s="1922" t="str">
        <f t="shared" si="18"/>
        <v>ND</v>
      </c>
      <c r="V33" s="1922" t="str">
        <f t="shared" si="19"/>
        <v>ND</v>
      </c>
      <c r="W33" s="1921" t="str">
        <f t="shared" si="20"/>
        <v>ND</v>
      </c>
      <c r="X33" s="1924" t="str">
        <f t="shared" si="21"/>
        <v>ND</v>
      </c>
      <c r="Y33" s="1919">
        <f>'Saisie données stocks'!S45</f>
        <v>0</v>
      </c>
      <c r="Z33" s="1920">
        <f>'Saisie données stocks'!T45</f>
        <v>0</v>
      </c>
      <c r="AA33" s="1923">
        <f t="shared" si="22"/>
        <v>0</v>
      </c>
      <c r="AB33" s="1923" t="str">
        <f>IF(AND(Y33=0, Z33=0), "ND", IF((Y33-Paramétrage!$H$19)&gt;0, (Y33-Paramétrage!$H$19)/(365/12), "Date non renseignée ou produit périmé"))</f>
        <v>ND</v>
      </c>
      <c r="AC33" s="1923" t="str">
        <f t="shared" si="23"/>
        <v>ND</v>
      </c>
      <c r="AD33" s="1923" t="str">
        <f t="shared" si="24"/>
        <v>ND</v>
      </c>
      <c r="AE33" s="1921" t="str">
        <f t="shared" si="25"/>
        <v>ND</v>
      </c>
      <c r="AF33" s="1924" t="str">
        <f t="shared" si="26"/>
        <v>ND</v>
      </c>
      <c r="AG33" s="1919">
        <f>'Saisie données stocks'!U45</f>
        <v>0</v>
      </c>
      <c r="AH33" s="1920">
        <f>'Saisie données stocks'!V45</f>
        <v>0</v>
      </c>
      <c r="AI33" s="1923">
        <f t="shared" si="27"/>
        <v>0</v>
      </c>
      <c r="AJ33" s="1923" t="str">
        <f>IF(AND(AG33=0, AH33=0), "ND", IF((AG33-Paramétrage!$H$19)&gt;0, (AG33-Paramétrage!$H$19)/(365/12), "Date non renseignée ou produit périmé"))</f>
        <v>ND</v>
      </c>
      <c r="AK33" s="1923" t="str">
        <f t="shared" si="28"/>
        <v>ND</v>
      </c>
      <c r="AL33" s="1923" t="str">
        <f t="shared" si="29"/>
        <v>ND</v>
      </c>
      <c r="AM33" s="1923" t="str">
        <f t="shared" si="30"/>
        <v>ND</v>
      </c>
      <c r="AN33" s="1924" t="str">
        <f t="shared" si="31"/>
        <v>ND</v>
      </c>
      <c r="AO33" s="1919">
        <f>'Saisie données stocks'!W45</f>
        <v>0</v>
      </c>
      <c r="AP33" s="1920">
        <f>'Saisie données stocks'!X45</f>
        <v>0</v>
      </c>
      <c r="AQ33" s="1923">
        <f t="shared" si="32"/>
        <v>0</v>
      </c>
      <c r="AR33" s="1923" t="str">
        <f>IF(AND(AO33=0, AP33=0), "ND", IF((AO33-Paramétrage!$H$19)&gt;0, (AO33-Paramétrage!$H$19)/(365/12), "Date non renseignée ou produit périmé"))</f>
        <v>ND</v>
      </c>
      <c r="AS33" s="1923" t="str">
        <f t="shared" si="33"/>
        <v>ND</v>
      </c>
      <c r="AT33" s="1923" t="str">
        <f t="shared" si="34"/>
        <v>ND</v>
      </c>
      <c r="AU33" s="1923" t="str">
        <f t="shared" si="35"/>
        <v>ND</v>
      </c>
      <c r="AV33" s="1924" t="str">
        <f t="shared" si="36"/>
        <v>ND</v>
      </c>
      <c r="AW33" s="1919">
        <f>'Saisie données stocks'!Y45</f>
        <v>0</v>
      </c>
      <c r="AX33" s="1920">
        <f>'Saisie données stocks'!Z45</f>
        <v>0</v>
      </c>
      <c r="AY33" s="1923">
        <f t="shared" si="37"/>
        <v>0</v>
      </c>
      <c r="AZ33" s="1923" t="str">
        <f>IF(AND(AW33=0, AX33=0), "ND", IF((AW33-Paramétrage!$H$19)&gt;0, (AW33-Paramétrage!$H$19)/(365/12), "Date non renseignée ou produit périmé"))</f>
        <v>ND</v>
      </c>
      <c r="BA33" s="1923" t="str">
        <f t="shared" si="38"/>
        <v>ND</v>
      </c>
      <c r="BB33" s="1923" t="str">
        <f t="shared" si="39"/>
        <v>ND</v>
      </c>
      <c r="BC33" s="1923" t="str">
        <f t="shared" si="40"/>
        <v>ND</v>
      </c>
      <c r="BD33" s="1924" t="str">
        <f t="shared" si="41"/>
        <v>ND</v>
      </c>
      <c r="BE33" s="1919">
        <f>'Saisie données stocks'!AA45</f>
        <v>0</v>
      </c>
      <c r="BF33" s="1920">
        <f>'Saisie données stocks'!AB45</f>
        <v>0</v>
      </c>
      <c r="BG33" s="1923">
        <f t="shared" si="42"/>
        <v>0</v>
      </c>
      <c r="BH33" s="1923" t="str">
        <f>IF(AND(BE33=0, BF33=0), "ND", IF((BE33-Paramétrage!$H$19)&gt;0, (BE33-Paramétrage!$H$19)/(365/12), "Date non renseignée ou produit périmé"))</f>
        <v>ND</v>
      </c>
      <c r="BI33" s="1923" t="str">
        <f t="shared" si="43"/>
        <v>ND</v>
      </c>
      <c r="BJ33" s="1923" t="str">
        <f t="shared" si="44"/>
        <v>ND</v>
      </c>
      <c r="BK33" s="1923" t="str">
        <f t="shared" si="45"/>
        <v>ND</v>
      </c>
      <c r="BL33" s="1924" t="str">
        <f t="shared" si="46"/>
        <v>ND</v>
      </c>
      <c r="BM33" s="1919">
        <f>'Saisie données stocks'!AC45</f>
        <v>0</v>
      </c>
      <c r="BN33" s="1920">
        <f>'Saisie données stocks'!AD45</f>
        <v>0</v>
      </c>
      <c r="BO33" s="1923">
        <f t="shared" si="47"/>
        <v>0</v>
      </c>
      <c r="BP33" s="1923" t="str">
        <f>IF(AND(BM33=0, BN33=0), "ND", IF((BM33-Paramétrage!$H$19)&gt;0, (BM33-Paramétrage!$H$19)/(365/12), "Date non renseignée ou produit périmé"))</f>
        <v>ND</v>
      </c>
      <c r="BQ33" s="1923" t="str">
        <f t="shared" si="48"/>
        <v>ND</v>
      </c>
      <c r="BR33" s="1923" t="str">
        <f t="shared" si="49"/>
        <v>ND</v>
      </c>
      <c r="BS33" s="1923" t="str">
        <f t="shared" si="50"/>
        <v>ND</v>
      </c>
      <c r="BT33" s="1924" t="str">
        <f t="shared" si="51"/>
        <v>ND</v>
      </c>
      <c r="BU33" s="1925">
        <f>IF('Saisie données stocks'!$O$10='TRAD-Saisie données stocks'!$B$51, IF(P33="OK", IF(AND(BR33&gt;0, ISNUMBER(BR33)), (BO33-BR33), (BO33)), O33), O33)</f>
        <v>0</v>
      </c>
      <c r="BV33" s="1925">
        <f t="shared" si="52"/>
        <v>0</v>
      </c>
      <c r="BW33" s="2045" t="str">
        <f t="shared" si="53"/>
        <v/>
      </c>
      <c r="BX33" s="2045">
        <f>IF('Saisie données stocks'!$O$10='TRAD-Saisie données stocks'!$B$51, IF('Calculs Péremption FA'!P33="OK", IF(BU33=O33, MAX(Paramétrage!$H$19+('Saisie données stocks'!$N$14*(365/12)), BM33, BE33, AW33, AO33, AG33, Y33, R33), BW33), Paramétrage!$H$19+('Saisie données stocks'!$N$14*(365/12))), Paramétrage!$H$19+('Saisie données stocks'!$N$14*(365/12)))</f>
        <v>42101.5</v>
      </c>
      <c r="BY33" s="2046">
        <f t="shared" si="54"/>
        <v>7</v>
      </c>
      <c r="BZ33" s="2046">
        <f t="shared" si="55"/>
        <v>4</v>
      </c>
      <c r="CA33" s="2046">
        <f t="shared" si="56"/>
        <v>2015</v>
      </c>
      <c r="CB33" s="2046">
        <f>IF(BX33="", "", (BX33-Paramétrage!$H$19)/(365/12))</f>
        <v>6</v>
      </c>
      <c r="CC33" s="2046" t="str">
        <f>IF(CB33='Saisie données stocks'!N$14, 'TRAD-Calculs Péremption FA'!$B$74, CONCATENATE("DLU - ", BY33, "/", BZ33, "/", CA33))</f>
        <v>Durée de vie max</v>
      </c>
    </row>
    <row r="34" spans="2:81" ht="25.5" x14ac:dyDescent="0.2">
      <c r="B34" s="374"/>
      <c r="C34" s="375"/>
      <c r="D34" s="1669" t="s">
        <v>34</v>
      </c>
      <c r="E34" s="1670" t="str">
        <f>'TRAD-Calculs Péremption FA'!B9</f>
        <v>Cp</v>
      </c>
      <c r="F34" s="1815" t="s">
        <v>35</v>
      </c>
      <c r="G34" s="377" t="s">
        <v>628</v>
      </c>
      <c r="H34" s="379" t="str">
        <f t="shared" si="17"/>
        <v>3TC - 150 mg</v>
      </c>
      <c r="I34" s="114">
        <v>60</v>
      </c>
      <c r="J34" s="657"/>
      <c r="K34" s="756">
        <f>IF('TdB Péremptions'!$H$9="X", 'Prix 10-2011 GPRM $'!$O$40, IF('TdB Péremptions'!$H$10="X", 'Prix 10-2011 GPRM $'!$Q$40, IF('TdB Péremptions'!$H$11="X", 'Prix VPP 102012 convert'!$O$40, IF('TdB Péremptions'!$H$12="X", 'Prix VPP 102012 convert'!$Q$40,IF('TdB Péremptions'!$H$13="X", 'Prix spécifiques'!$J$34, 0)))))</f>
        <v>2.2650000000000001</v>
      </c>
      <c r="L34" s="756">
        <f>(1+'TdB Péremptions'!$H$14)*K34</f>
        <v>2.4915000000000003</v>
      </c>
      <c r="M34" s="1916">
        <f>Calculs!O180</f>
        <v>0</v>
      </c>
      <c r="N34" s="1916">
        <f>Calculs!N234</f>
        <v>0</v>
      </c>
      <c r="O34" s="1916">
        <f>'Saisie données stocks'!N46</f>
        <v>0</v>
      </c>
      <c r="P34" s="1917" t="str">
        <f>IF(SUM('Saisie données stocks'!R46+'Saisie données stocks'!T46+'Saisie données stocks'!V46+'Saisie données stocks'!X46+'Saisie données stocks'!Z46+'Saisie données stocks'!AB46+'Saisie données stocks'!AD46)='Calculs Péremption FA'!O34,  "OK", 'TRAD-Saisie données stocks'!$B$70)</f>
        <v>OK</v>
      </c>
      <c r="Q34" s="1918" t="str">
        <f>IF(AND(O34&gt;0, M34=0, N34=0), 'TRAD-Calculs Péremption FA'!$B$76, "")</f>
        <v/>
      </c>
      <c r="R34" s="1919">
        <f>'Saisie données stocks'!Q46</f>
        <v>0</v>
      </c>
      <c r="S34" s="1920">
        <f>'Saisie données stocks'!R46</f>
        <v>0</v>
      </c>
      <c r="T34" s="1921" t="str">
        <f>IF(AND(R34=0, S34=0), "ND", IF((R34-Paramétrage!$H$19)&gt;0, (R34-Paramétrage!$H$19)/(365/12), "Date non renseignée ou produit périmé"))</f>
        <v>ND</v>
      </c>
      <c r="U34" s="1922" t="str">
        <f t="shared" si="18"/>
        <v>ND</v>
      </c>
      <c r="V34" s="1922" t="str">
        <f t="shared" si="19"/>
        <v>ND</v>
      </c>
      <c r="W34" s="1921" t="str">
        <f t="shared" si="20"/>
        <v>ND</v>
      </c>
      <c r="X34" s="1924" t="str">
        <f t="shared" si="21"/>
        <v>ND</v>
      </c>
      <c r="Y34" s="1919">
        <f>'Saisie données stocks'!S46</f>
        <v>0</v>
      </c>
      <c r="Z34" s="1920">
        <f>'Saisie données stocks'!T46</f>
        <v>0</v>
      </c>
      <c r="AA34" s="1923">
        <f t="shared" si="22"/>
        <v>0</v>
      </c>
      <c r="AB34" s="1923" t="str">
        <f>IF(AND(Y34=0, Z34=0), "ND", IF((Y34-Paramétrage!$H$19)&gt;0, (Y34-Paramétrage!$H$19)/(365/12), "Date non renseignée ou produit périmé"))</f>
        <v>ND</v>
      </c>
      <c r="AC34" s="1923" t="str">
        <f t="shared" si="23"/>
        <v>ND</v>
      </c>
      <c r="AD34" s="1923" t="str">
        <f t="shared" si="24"/>
        <v>ND</v>
      </c>
      <c r="AE34" s="1921" t="str">
        <f t="shared" si="25"/>
        <v>ND</v>
      </c>
      <c r="AF34" s="1924" t="str">
        <f t="shared" si="26"/>
        <v>ND</v>
      </c>
      <c r="AG34" s="1919">
        <f>'Saisie données stocks'!U46</f>
        <v>0</v>
      </c>
      <c r="AH34" s="1920">
        <f>'Saisie données stocks'!V46</f>
        <v>0</v>
      </c>
      <c r="AI34" s="1923">
        <f t="shared" si="27"/>
        <v>0</v>
      </c>
      <c r="AJ34" s="1923" t="str">
        <f>IF(AND(AG34=0, AH34=0), "ND", IF((AG34-Paramétrage!$H$19)&gt;0, (AG34-Paramétrage!$H$19)/(365/12), "Date non renseignée ou produit périmé"))</f>
        <v>ND</v>
      </c>
      <c r="AK34" s="1923" t="str">
        <f t="shared" si="28"/>
        <v>ND</v>
      </c>
      <c r="AL34" s="1923" t="str">
        <f t="shared" si="29"/>
        <v>ND</v>
      </c>
      <c r="AM34" s="1923" t="str">
        <f t="shared" si="30"/>
        <v>ND</v>
      </c>
      <c r="AN34" s="1924" t="str">
        <f t="shared" si="31"/>
        <v>ND</v>
      </c>
      <c r="AO34" s="1919">
        <f>'Saisie données stocks'!W46</f>
        <v>0</v>
      </c>
      <c r="AP34" s="1920">
        <f>'Saisie données stocks'!X46</f>
        <v>0</v>
      </c>
      <c r="AQ34" s="1923">
        <f t="shared" si="32"/>
        <v>0</v>
      </c>
      <c r="AR34" s="1923" t="str">
        <f>IF(AND(AO34=0, AP34=0), "ND", IF((AO34-Paramétrage!$H$19)&gt;0, (AO34-Paramétrage!$H$19)/(365/12), "Date non renseignée ou produit périmé"))</f>
        <v>ND</v>
      </c>
      <c r="AS34" s="1923" t="str">
        <f t="shared" si="33"/>
        <v>ND</v>
      </c>
      <c r="AT34" s="1923" t="str">
        <f t="shared" si="34"/>
        <v>ND</v>
      </c>
      <c r="AU34" s="1923" t="str">
        <f t="shared" si="35"/>
        <v>ND</v>
      </c>
      <c r="AV34" s="1924" t="str">
        <f t="shared" si="36"/>
        <v>ND</v>
      </c>
      <c r="AW34" s="1919">
        <f>'Saisie données stocks'!Y46</f>
        <v>0</v>
      </c>
      <c r="AX34" s="1920">
        <f>'Saisie données stocks'!Z46</f>
        <v>0</v>
      </c>
      <c r="AY34" s="1923">
        <f t="shared" si="37"/>
        <v>0</v>
      </c>
      <c r="AZ34" s="1923" t="str">
        <f>IF(AND(AW34=0, AX34=0), "ND", IF((AW34-Paramétrage!$H$19)&gt;0, (AW34-Paramétrage!$H$19)/(365/12), "Date non renseignée ou produit périmé"))</f>
        <v>ND</v>
      </c>
      <c r="BA34" s="1923" t="str">
        <f t="shared" si="38"/>
        <v>ND</v>
      </c>
      <c r="BB34" s="1923" t="str">
        <f t="shared" si="39"/>
        <v>ND</v>
      </c>
      <c r="BC34" s="1923" t="str">
        <f t="shared" si="40"/>
        <v>ND</v>
      </c>
      <c r="BD34" s="1924" t="str">
        <f t="shared" si="41"/>
        <v>ND</v>
      </c>
      <c r="BE34" s="1919">
        <f>'Saisie données stocks'!AA46</f>
        <v>0</v>
      </c>
      <c r="BF34" s="1920">
        <f>'Saisie données stocks'!AB46</f>
        <v>0</v>
      </c>
      <c r="BG34" s="1923">
        <f t="shared" si="42"/>
        <v>0</v>
      </c>
      <c r="BH34" s="1923" t="str">
        <f>IF(AND(BE34=0, BF34=0), "ND", IF((BE34-Paramétrage!$H$19)&gt;0, (BE34-Paramétrage!$H$19)/(365/12), "Date non renseignée ou produit périmé"))</f>
        <v>ND</v>
      </c>
      <c r="BI34" s="1923" t="str">
        <f t="shared" si="43"/>
        <v>ND</v>
      </c>
      <c r="BJ34" s="1923" t="str">
        <f t="shared" si="44"/>
        <v>ND</v>
      </c>
      <c r="BK34" s="1923" t="str">
        <f t="shared" si="45"/>
        <v>ND</v>
      </c>
      <c r="BL34" s="1924" t="str">
        <f t="shared" si="46"/>
        <v>ND</v>
      </c>
      <c r="BM34" s="1919">
        <f>'Saisie données stocks'!AC46</f>
        <v>0</v>
      </c>
      <c r="BN34" s="1920">
        <f>'Saisie données stocks'!AD46</f>
        <v>0</v>
      </c>
      <c r="BO34" s="1923">
        <f t="shared" si="47"/>
        <v>0</v>
      </c>
      <c r="BP34" s="1923" t="str">
        <f>IF(AND(BM34=0, BN34=0), "ND", IF((BM34-Paramétrage!$H$19)&gt;0, (BM34-Paramétrage!$H$19)/(365/12), "Date non renseignée ou produit périmé"))</f>
        <v>ND</v>
      </c>
      <c r="BQ34" s="1923" t="str">
        <f t="shared" si="48"/>
        <v>ND</v>
      </c>
      <c r="BR34" s="1923" t="str">
        <f t="shared" si="49"/>
        <v>ND</v>
      </c>
      <c r="BS34" s="1923" t="str">
        <f t="shared" si="50"/>
        <v>ND</v>
      </c>
      <c r="BT34" s="1924" t="str">
        <f t="shared" si="51"/>
        <v>ND</v>
      </c>
      <c r="BU34" s="1925">
        <f>IF('Saisie données stocks'!$O$10='TRAD-Saisie données stocks'!$B$51, IF(P34="OK", IF(AND(BR34&gt;0, ISNUMBER(BR34)), (BO34-BR34), (BO34)), O34), O34)</f>
        <v>0</v>
      </c>
      <c r="BV34" s="1925">
        <f t="shared" si="52"/>
        <v>0</v>
      </c>
      <c r="BW34" s="2045" t="str">
        <f t="shared" si="53"/>
        <v/>
      </c>
      <c r="BX34" s="2045">
        <f>IF('Saisie données stocks'!$O$10='TRAD-Saisie données stocks'!$B$51, IF('Calculs Péremption FA'!P34="OK", IF(BU34=O34, MAX(Paramétrage!$H$19+('Saisie données stocks'!$N$14*(365/12)), BM34, BE34, AW34, AO34, AG34, Y34, R34), BW34), Paramétrage!$H$19+('Saisie données stocks'!$N$14*(365/12))), Paramétrage!$H$19+('Saisie données stocks'!$N$14*(365/12)))</f>
        <v>42101.5</v>
      </c>
      <c r="BY34" s="2046">
        <f t="shared" si="54"/>
        <v>7</v>
      </c>
      <c r="BZ34" s="2046">
        <f t="shared" si="55"/>
        <v>4</v>
      </c>
      <c r="CA34" s="2046">
        <f t="shared" si="56"/>
        <v>2015</v>
      </c>
      <c r="CB34" s="2046">
        <f>IF(BX34="", "", (BX34-Paramétrage!$H$19)/(365/12))</f>
        <v>6</v>
      </c>
      <c r="CC34" s="2046" t="str">
        <f>IF(CB34='Saisie données stocks'!N$14, 'TRAD-Calculs Péremption FA'!$B$74, CONCATENATE("DLU - ", BY34, "/", BZ34, "/", CA34))</f>
        <v>Durée de vie max</v>
      </c>
    </row>
    <row r="35" spans="2:81" ht="25.5" x14ac:dyDescent="0.2">
      <c r="B35" s="374"/>
      <c r="C35" s="375"/>
      <c r="D35" s="1669" t="s">
        <v>34</v>
      </c>
      <c r="E35" s="1670" t="str">
        <f>'TRAD-Calculs Péremption FA'!B9</f>
        <v>Cp</v>
      </c>
      <c r="F35" s="1815" t="s">
        <v>222</v>
      </c>
      <c r="G35" s="377" t="s">
        <v>628</v>
      </c>
      <c r="H35" s="379" t="str">
        <f t="shared" si="17"/>
        <v>3TC - 30 mg</v>
      </c>
      <c r="I35" s="114">
        <v>60</v>
      </c>
      <c r="J35" s="657"/>
      <c r="K35" s="756">
        <f>IF('TdB Péremptions'!$H$9="X", 'Prix 10-2011 GPRM $'!$O$132, IF('TdB Péremptions'!$H$10="X", 'Prix 10-2011 GPRM $'!$Q$132, IF('TdB Péremptions'!$H$11="X", 'Prix VPP 102012 convert'!$O$132, IF('TdB Péremptions'!$H$12="X", 'Prix VPP 102012 convert'!$Q$132, IF('TdB Péremptions'!$H$13="X", 'Prix spécifiques'!$J$35, 0)))))</f>
        <v>3.5342465753424657</v>
      </c>
      <c r="L35" s="756">
        <f>(1+'TdB Péremptions'!$H$14)*K35</f>
        <v>3.8876712328767127</v>
      </c>
      <c r="M35" s="1916">
        <f>Calculs!O181</f>
        <v>0</v>
      </c>
      <c r="N35" s="1916">
        <f>Calculs!N235</f>
        <v>0</v>
      </c>
      <c r="O35" s="1916">
        <f>'Saisie données stocks'!N47</f>
        <v>0</v>
      </c>
      <c r="P35" s="1917" t="str">
        <f>IF(SUM('Saisie données stocks'!R47+'Saisie données stocks'!T47+'Saisie données stocks'!V47+'Saisie données stocks'!X47+'Saisie données stocks'!Z47+'Saisie données stocks'!AB47+'Saisie données stocks'!AD47)='Calculs Péremption FA'!O35,  "OK", 'TRAD-Saisie données stocks'!$B$70)</f>
        <v>OK</v>
      </c>
      <c r="Q35" s="1918" t="str">
        <f>IF(AND(O35&gt;0, M35=0, N35=0), 'TRAD-Calculs Péremption FA'!$B$76, "")</f>
        <v/>
      </c>
      <c r="R35" s="1919">
        <f>'Saisie données stocks'!Q47</f>
        <v>0</v>
      </c>
      <c r="S35" s="1920">
        <f>'Saisie données stocks'!R47</f>
        <v>0</v>
      </c>
      <c r="T35" s="1921" t="str">
        <f>IF(AND(R35=0, S35=0), "ND", IF((R35-Paramétrage!$H$19)&gt;0, (R35-Paramétrage!$H$19)/(365/12), "Date non renseignée ou produit périmé"))</f>
        <v>ND</v>
      </c>
      <c r="U35" s="1922" t="str">
        <f t="shared" si="18"/>
        <v>ND</v>
      </c>
      <c r="V35" s="1922" t="str">
        <f t="shared" si="19"/>
        <v>ND</v>
      </c>
      <c r="W35" s="1921" t="str">
        <f t="shared" si="20"/>
        <v>ND</v>
      </c>
      <c r="X35" s="1924" t="str">
        <f t="shared" si="21"/>
        <v>ND</v>
      </c>
      <c r="Y35" s="1919">
        <f>'Saisie données stocks'!S47</f>
        <v>0</v>
      </c>
      <c r="Z35" s="1920">
        <f>'Saisie données stocks'!T47</f>
        <v>0</v>
      </c>
      <c r="AA35" s="1923">
        <f t="shared" si="22"/>
        <v>0</v>
      </c>
      <c r="AB35" s="1923" t="str">
        <f>IF(AND(Y35=0, Z35=0), "ND", IF((Y35-Paramétrage!$H$19)&gt;0, (Y35-Paramétrage!$H$19)/(365/12), "Date non renseignée ou produit périmé"))</f>
        <v>ND</v>
      </c>
      <c r="AC35" s="1923" t="str">
        <f t="shared" si="23"/>
        <v>ND</v>
      </c>
      <c r="AD35" s="1923" t="str">
        <f t="shared" si="24"/>
        <v>ND</v>
      </c>
      <c r="AE35" s="1921" t="str">
        <f t="shared" si="25"/>
        <v>ND</v>
      </c>
      <c r="AF35" s="1924" t="str">
        <f t="shared" si="26"/>
        <v>ND</v>
      </c>
      <c r="AG35" s="1919">
        <f>'Saisie données stocks'!U47</f>
        <v>0</v>
      </c>
      <c r="AH35" s="1920">
        <f>'Saisie données stocks'!V47</f>
        <v>0</v>
      </c>
      <c r="AI35" s="1923">
        <f t="shared" si="27"/>
        <v>0</v>
      </c>
      <c r="AJ35" s="1923" t="str">
        <f>IF(AND(AG35=0, AH35=0), "ND", IF((AG35-Paramétrage!$H$19)&gt;0, (AG35-Paramétrage!$H$19)/(365/12), "Date non renseignée ou produit périmé"))</f>
        <v>ND</v>
      </c>
      <c r="AK35" s="1923" t="str">
        <f t="shared" si="28"/>
        <v>ND</v>
      </c>
      <c r="AL35" s="1923" t="str">
        <f t="shared" si="29"/>
        <v>ND</v>
      </c>
      <c r="AM35" s="1923" t="str">
        <f t="shared" si="30"/>
        <v>ND</v>
      </c>
      <c r="AN35" s="1924" t="str">
        <f t="shared" si="31"/>
        <v>ND</v>
      </c>
      <c r="AO35" s="1919">
        <f>'Saisie données stocks'!W47</f>
        <v>0</v>
      </c>
      <c r="AP35" s="1920">
        <f>'Saisie données stocks'!X47</f>
        <v>0</v>
      </c>
      <c r="AQ35" s="1923">
        <f t="shared" si="32"/>
        <v>0</v>
      </c>
      <c r="AR35" s="1923" t="str">
        <f>IF(AND(AO35=0, AP35=0), "ND", IF((AO35-Paramétrage!$H$19)&gt;0, (AO35-Paramétrage!$H$19)/(365/12), "Date non renseignée ou produit périmé"))</f>
        <v>ND</v>
      </c>
      <c r="AS35" s="1923" t="str">
        <f t="shared" si="33"/>
        <v>ND</v>
      </c>
      <c r="AT35" s="1923" t="str">
        <f t="shared" si="34"/>
        <v>ND</v>
      </c>
      <c r="AU35" s="1923" t="str">
        <f t="shared" si="35"/>
        <v>ND</v>
      </c>
      <c r="AV35" s="1924" t="str">
        <f t="shared" si="36"/>
        <v>ND</v>
      </c>
      <c r="AW35" s="1919">
        <f>'Saisie données stocks'!Y47</f>
        <v>0</v>
      </c>
      <c r="AX35" s="1920">
        <f>'Saisie données stocks'!Z47</f>
        <v>0</v>
      </c>
      <c r="AY35" s="1923">
        <f t="shared" si="37"/>
        <v>0</v>
      </c>
      <c r="AZ35" s="1923" t="str">
        <f>IF(AND(AW35=0, AX35=0), "ND", IF((AW35-Paramétrage!$H$19)&gt;0, (AW35-Paramétrage!$H$19)/(365/12), "Date non renseignée ou produit périmé"))</f>
        <v>ND</v>
      </c>
      <c r="BA35" s="1923" t="str">
        <f t="shared" si="38"/>
        <v>ND</v>
      </c>
      <c r="BB35" s="1923" t="str">
        <f t="shared" si="39"/>
        <v>ND</v>
      </c>
      <c r="BC35" s="1923" t="str">
        <f t="shared" si="40"/>
        <v>ND</v>
      </c>
      <c r="BD35" s="1924" t="str">
        <f t="shared" si="41"/>
        <v>ND</v>
      </c>
      <c r="BE35" s="1919">
        <f>'Saisie données stocks'!AA47</f>
        <v>0</v>
      </c>
      <c r="BF35" s="1920">
        <f>'Saisie données stocks'!AB47</f>
        <v>0</v>
      </c>
      <c r="BG35" s="1923">
        <f t="shared" si="42"/>
        <v>0</v>
      </c>
      <c r="BH35" s="1923" t="str">
        <f>IF(AND(BE35=0, BF35=0), "ND", IF((BE35-Paramétrage!$H$19)&gt;0, (BE35-Paramétrage!$H$19)/(365/12), "Date non renseignée ou produit périmé"))</f>
        <v>ND</v>
      </c>
      <c r="BI35" s="1923" t="str">
        <f t="shared" si="43"/>
        <v>ND</v>
      </c>
      <c r="BJ35" s="1923" t="str">
        <f t="shared" si="44"/>
        <v>ND</v>
      </c>
      <c r="BK35" s="1923" t="str">
        <f t="shared" si="45"/>
        <v>ND</v>
      </c>
      <c r="BL35" s="1924" t="str">
        <f t="shared" si="46"/>
        <v>ND</v>
      </c>
      <c r="BM35" s="1919">
        <f>'Saisie données stocks'!AC47</f>
        <v>0</v>
      </c>
      <c r="BN35" s="1920">
        <f>'Saisie données stocks'!AD47</f>
        <v>0</v>
      </c>
      <c r="BO35" s="1923">
        <f t="shared" si="47"/>
        <v>0</v>
      </c>
      <c r="BP35" s="1923" t="str">
        <f>IF(AND(BM35=0, BN35=0), "ND", IF((BM35-Paramétrage!$H$19)&gt;0, (BM35-Paramétrage!$H$19)/(365/12), "Date non renseignée ou produit périmé"))</f>
        <v>ND</v>
      </c>
      <c r="BQ35" s="1923" t="str">
        <f t="shared" si="48"/>
        <v>ND</v>
      </c>
      <c r="BR35" s="1923" t="str">
        <f t="shared" si="49"/>
        <v>ND</v>
      </c>
      <c r="BS35" s="1923" t="str">
        <f t="shared" si="50"/>
        <v>ND</v>
      </c>
      <c r="BT35" s="1924" t="str">
        <f t="shared" si="51"/>
        <v>ND</v>
      </c>
      <c r="BU35" s="1925">
        <f>IF('Saisie données stocks'!$O$10='TRAD-Saisie données stocks'!$B$51, IF(P35="OK", IF(AND(BR35&gt;0, ISNUMBER(BR35)), (BO35-BR35), (BO35)), O35), O35)</f>
        <v>0</v>
      </c>
      <c r="BV35" s="1925">
        <f t="shared" si="52"/>
        <v>0</v>
      </c>
      <c r="BW35" s="2045" t="str">
        <f t="shared" si="53"/>
        <v/>
      </c>
      <c r="BX35" s="2045">
        <f>IF('Saisie données stocks'!$O$10='TRAD-Saisie données stocks'!$B$51, IF('Calculs Péremption FA'!P35="OK", IF(BU35=O35, MAX(Paramétrage!$H$19+('Saisie données stocks'!$N$14*(365/12)), BM35, BE35, AW35, AO35, AG35, Y35, R35), BW35), Paramétrage!$H$19+('Saisie données stocks'!$N$14*(365/12))), Paramétrage!$H$19+('Saisie données stocks'!$N$14*(365/12)))</f>
        <v>42101.5</v>
      </c>
      <c r="BY35" s="2046">
        <f t="shared" si="54"/>
        <v>7</v>
      </c>
      <c r="BZ35" s="2046">
        <f t="shared" si="55"/>
        <v>4</v>
      </c>
      <c r="CA35" s="2046">
        <f t="shared" si="56"/>
        <v>2015</v>
      </c>
      <c r="CB35" s="2046">
        <f>IF(BX35="", "", (BX35-Paramétrage!$H$19)/(365/12))</f>
        <v>6</v>
      </c>
      <c r="CC35" s="2046" t="str">
        <f>IF(CB35='Saisie données stocks'!N$14, 'TRAD-Calculs Péremption FA'!$B$74, CONCATENATE("DLU - ", BY35, "/", BZ35, "/", CA35))</f>
        <v>Durée de vie max</v>
      </c>
    </row>
    <row r="36" spans="2:81" ht="25.5" x14ac:dyDescent="0.2">
      <c r="B36" s="374"/>
      <c r="C36" s="375"/>
      <c r="D36" s="1926" t="s">
        <v>37</v>
      </c>
      <c r="E36" s="1815" t="str">
        <f>'TRAD-Calculs Péremption FA'!B9</f>
        <v>Cp</v>
      </c>
      <c r="F36" s="1815" t="s">
        <v>38</v>
      </c>
      <c r="G36" s="1208" t="s">
        <v>629</v>
      </c>
      <c r="H36" s="1720" t="str">
        <f t="shared" si="17"/>
        <v>DDI - 250 mg</v>
      </c>
      <c r="I36" s="1385">
        <v>30</v>
      </c>
      <c r="J36" s="1645"/>
      <c r="K36" s="1628">
        <f>IF('TdB Péremptions'!$H$9="X", 'Prix 10-2011 GPRM $'!$O$50, IF('TdB Péremptions'!$H$10="X", 'Prix 10-2011 GPRM $'!$Q$50, IF('TdB Péremptions'!$H$11="X", 'Prix VPP 102012 convert'!$O$50, IF('TdB Péremptions'!$H$12="X", 'Prix VPP 102012 convert'!$Q$50, IF('TdB Péremptions'!$H$13="X", 'Prix spécifiques'!$J$36, 0)))))</f>
        <v>13.57</v>
      </c>
      <c r="L36" s="1628">
        <f>(1+'TdB Péremptions'!$H$14)*K36</f>
        <v>14.927000000000001</v>
      </c>
      <c r="M36" s="1916">
        <f>Calculs!O182</f>
        <v>0</v>
      </c>
      <c r="N36" s="1916">
        <f>Calculs!N236</f>
        <v>0</v>
      </c>
      <c r="O36" s="1916">
        <f>'Saisie données stocks'!N48</f>
        <v>0</v>
      </c>
      <c r="P36" s="1917" t="str">
        <f>IF(SUM('Saisie données stocks'!R48+'Saisie données stocks'!T48+'Saisie données stocks'!V48+'Saisie données stocks'!X48+'Saisie données stocks'!Z48+'Saisie données stocks'!AB48+'Saisie données stocks'!AD48)='Calculs Péremption FA'!O36,  "OK", 'TRAD-Saisie données stocks'!$B$70)</f>
        <v>OK</v>
      </c>
      <c r="Q36" s="1918" t="str">
        <f>IF(AND(O36&gt;0, M36=0, N36=0), 'TRAD-Calculs Péremption FA'!$B$76, "")</f>
        <v/>
      </c>
      <c r="R36" s="1919">
        <f>'Saisie données stocks'!Q48</f>
        <v>0</v>
      </c>
      <c r="S36" s="1920">
        <f>'Saisie données stocks'!R48</f>
        <v>0</v>
      </c>
      <c r="T36" s="1921" t="str">
        <f>IF(AND(R36=0, S36=0), "ND", IF((R36-Paramétrage!$H$19)&gt;0, (R36-Paramétrage!$H$19)/(365/12), "Date non renseignée ou produit périmé"))</f>
        <v>ND</v>
      </c>
      <c r="U36" s="1922" t="str">
        <f t="shared" si="18"/>
        <v>ND</v>
      </c>
      <c r="V36" s="1922" t="str">
        <f t="shared" si="19"/>
        <v>ND</v>
      </c>
      <c r="W36" s="1921" t="str">
        <f t="shared" si="20"/>
        <v>ND</v>
      </c>
      <c r="X36" s="1924" t="str">
        <f t="shared" si="21"/>
        <v>ND</v>
      </c>
      <c r="Y36" s="1919">
        <f>'Saisie données stocks'!S48</f>
        <v>0</v>
      </c>
      <c r="Z36" s="1920">
        <f>'Saisie données stocks'!T48</f>
        <v>0</v>
      </c>
      <c r="AA36" s="1923">
        <f t="shared" si="22"/>
        <v>0</v>
      </c>
      <c r="AB36" s="1923" t="str">
        <f>IF(AND(Y36=0, Z36=0), "ND", IF((Y36-Paramétrage!$H$19)&gt;0, (Y36-Paramétrage!$H$19)/(365/12), "Date non renseignée ou produit périmé"))</f>
        <v>ND</v>
      </c>
      <c r="AC36" s="1923" t="str">
        <f t="shared" si="23"/>
        <v>ND</v>
      </c>
      <c r="AD36" s="1923" t="str">
        <f t="shared" si="24"/>
        <v>ND</v>
      </c>
      <c r="AE36" s="1921" t="str">
        <f t="shared" si="25"/>
        <v>ND</v>
      </c>
      <c r="AF36" s="1924" t="str">
        <f t="shared" si="26"/>
        <v>ND</v>
      </c>
      <c r="AG36" s="1919">
        <f>'Saisie données stocks'!U48</f>
        <v>0</v>
      </c>
      <c r="AH36" s="1920">
        <f>'Saisie données stocks'!V48</f>
        <v>0</v>
      </c>
      <c r="AI36" s="1923">
        <f t="shared" si="27"/>
        <v>0</v>
      </c>
      <c r="AJ36" s="1923" t="str">
        <f>IF(AND(AG36=0, AH36=0), "ND", IF((AG36-Paramétrage!$H$19)&gt;0, (AG36-Paramétrage!$H$19)/(365/12), "Date non renseignée ou produit périmé"))</f>
        <v>ND</v>
      </c>
      <c r="AK36" s="1923" t="str">
        <f t="shared" si="28"/>
        <v>ND</v>
      </c>
      <c r="AL36" s="1923" t="str">
        <f t="shared" si="29"/>
        <v>ND</v>
      </c>
      <c r="AM36" s="1923" t="str">
        <f t="shared" si="30"/>
        <v>ND</v>
      </c>
      <c r="AN36" s="1924" t="str">
        <f t="shared" si="31"/>
        <v>ND</v>
      </c>
      <c r="AO36" s="1919">
        <f>'Saisie données stocks'!W48</f>
        <v>0</v>
      </c>
      <c r="AP36" s="1920">
        <f>'Saisie données stocks'!X48</f>
        <v>0</v>
      </c>
      <c r="AQ36" s="1923">
        <f t="shared" si="32"/>
        <v>0</v>
      </c>
      <c r="AR36" s="1923" t="str">
        <f>IF(AND(AO36=0, AP36=0), "ND", IF((AO36-Paramétrage!$H$19)&gt;0, (AO36-Paramétrage!$H$19)/(365/12), "Date non renseignée ou produit périmé"))</f>
        <v>ND</v>
      </c>
      <c r="AS36" s="1923" t="str">
        <f t="shared" si="33"/>
        <v>ND</v>
      </c>
      <c r="AT36" s="1923" t="str">
        <f t="shared" si="34"/>
        <v>ND</v>
      </c>
      <c r="AU36" s="1923" t="str">
        <f t="shared" si="35"/>
        <v>ND</v>
      </c>
      <c r="AV36" s="1924" t="str">
        <f t="shared" si="36"/>
        <v>ND</v>
      </c>
      <c r="AW36" s="1919">
        <f>'Saisie données stocks'!Y48</f>
        <v>0</v>
      </c>
      <c r="AX36" s="1920">
        <f>'Saisie données stocks'!Z48</f>
        <v>0</v>
      </c>
      <c r="AY36" s="1923">
        <f t="shared" si="37"/>
        <v>0</v>
      </c>
      <c r="AZ36" s="1923" t="str">
        <f>IF(AND(AW36=0, AX36=0), "ND", IF((AW36-Paramétrage!$H$19)&gt;0, (AW36-Paramétrage!$H$19)/(365/12), "Date non renseignée ou produit périmé"))</f>
        <v>ND</v>
      </c>
      <c r="BA36" s="1923" t="str">
        <f t="shared" si="38"/>
        <v>ND</v>
      </c>
      <c r="BB36" s="1923" t="str">
        <f t="shared" si="39"/>
        <v>ND</v>
      </c>
      <c r="BC36" s="1923" t="str">
        <f t="shared" si="40"/>
        <v>ND</v>
      </c>
      <c r="BD36" s="1924" t="str">
        <f t="shared" si="41"/>
        <v>ND</v>
      </c>
      <c r="BE36" s="1919">
        <f>'Saisie données stocks'!AA48</f>
        <v>0</v>
      </c>
      <c r="BF36" s="1920">
        <f>'Saisie données stocks'!AB48</f>
        <v>0</v>
      </c>
      <c r="BG36" s="1923">
        <f t="shared" si="42"/>
        <v>0</v>
      </c>
      <c r="BH36" s="1923" t="str">
        <f>IF(AND(BE36=0, BF36=0), "ND", IF((BE36-Paramétrage!$H$19)&gt;0, (BE36-Paramétrage!$H$19)/(365/12), "Date non renseignée ou produit périmé"))</f>
        <v>ND</v>
      </c>
      <c r="BI36" s="1923" t="str">
        <f t="shared" si="43"/>
        <v>ND</v>
      </c>
      <c r="BJ36" s="1923" t="str">
        <f t="shared" si="44"/>
        <v>ND</v>
      </c>
      <c r="BK36" s="1923" t="str">
        <f t="shared" si="45"/>
        <v>ND</v>
      </c>
      <c r="BL36" s="1924" t="str">
        <f t="shared" si="46"/>
        <v>ND</v>
      </c>
      <c r="BM36" s="1919">
        <f>'Saisie données stocks'!AC48</f>
        <v>0</v>
      </c>
      <c r="BN36" s="1920">
        <f>'Saisie données stocks'!AD48</f>
        <v>0</v>
      </c>
      <c r="BO36" s="1923">
        <f t="shared" si="47"/>
        <v>0</v>
      </c>
      <c r="BP36" s="1923" t="str">
        <f>IF(AND(BM36=0, BN36=0), "ND", IF((BM36-Paramétrage!$H$19)&gt;0, (BM36-Paramétrage!$H$19)/(365/12), "Date non renseignée ou produit périmé"))</f>
        <v>ND</v>
      </c>
      <c r="BQ36" s="1923" t="str">
        <f t="shared" si="48"/>
        <v>ND</v>
      </c>
      <c r="BR36" s="1923" t="str">
        <f t="shared" si="49"/>
        <v>ND</v>
      </c>
      <c r="BS36" s="1923" t="str">
        <f t="shared" si="50"/>
        <v>ND</v>
      </c>
      <c r="BT36" s="1924" t="str">
        <f t="shared" si="51"/>
        <v>ND</v>
      </c>
      <c r="BU36" s="1925">
        <f>IF('Saisie données stocks'!$O$10='TRAD-Saisie données stocks'!$B$51, IF(P36="OK", IF(AND(BR36&gt;0, ISNUMBER(BR36)), (BO36-BR36), (BO36)), O36), O36)</f>
        <v>0</v>
      </c>
      <c r="BV36" s="1925">
        <f t="shared" si="52"/>
        <v>0</v>
      </c>
      <c r="BW36" s="2045" t="str">
        <f t="shared" si="53"/>
        <v/>
      </c>
      <c r="BX36" s="2045">
        <f>IF('Saisie données stocks'!$O$10='TRAD-Saisie données stocks'!$B$51, IF('Calculs Péremption FA'!P36="OK", IF(BU36=O36, MAX(Paramétrage!$H$19+('Saisie données stocks'!$N$14*(365/12)), BM36, BE36, AW36, AO36, AG36, Y36, R36), BW36), Paramétrage!$H$19+('Saisie données stocks'!$N$14*(365/12))), Paramétrage!$H$19+('Saisie données stocks'!$N$14*(365/12)))</f>
        <v>42101.5</v>
      </c>
      <c r="BY36" s="2046">
        <f t="shared" si="54"/>
        <v>7</v>
      </c>
      <c r="BZ36" s="2046">
        <f t="shared" si="55"/>
        <v>4</v>
      </c>
      <c r="CA36" s="2046">
        <f t="shared" si="56"/>
        <v>2015</v>
      </c>
      <c r="CB36" s="2046">
        <f>IF(BX36="", "", (BX36-Paramétrage!$H$19)/(365/12))</f>
        <v>6</v>
      </c>
      <c r="CC36" s="2046" t="str">
        <f>IF(CB36='Saisie données stocks'!N$14, 'TRAD-Calculs Péremption FA'!$B$74, CONCATENATE("DLU - ", BY36, "/", BZ36, "/", CA36))</f>
        <v>Durée de vie max</v>
      </c>
    </row>
    <row r="37" spans="2:81" ht="38.25" x14ac:dyDescent="0.2">
      <c r="B37" s="374"/>
      <c r="C37" s="375"/>
      <c r="D37" s="1926" t="s">
        <v>37</v>
      </c>
      <c r="E37" s="1815" t="str">
        <f>'TRAD-Calculs Péremption FA'!B9</f>
        <v>Cp</v>
      </c>
      <c r="F37" s="1941" t="s">
        <v>39</v>
      </c>
      <c r="G37" s="1844" t="s">
        <v>629</v>
      </c>
      <c r="H37" s="1720" t="str">
        <f t="shared" si="17"/>
        <v>DDI - 400 mg</v>
      </c>
      <c r="I37" s="1386">
        <v>30</v>
      </c>
      <c r="J37" s="1646"/>
      <c r="K37" s="1647">
        <f>IF('TdB Péremptions'!$H$9="X", 'Prix 10-2011 GPRM $'!$O$51, IF('TdB Péremptions'!$H$10="X", 'Prix 10-2011 GPRM $'!$Q$51, IF('TdB Péremptions'!$H$11="X", 'Prix VPP 102012 convert'!$O$51, IF('TdB Péremptions'!$H$12="X", 'Prix VPP 102012 convert'!$Q$51, IF('TdB Péremptions'!$H$13="X", 'Prix spécifiques'!$J$37, 0)))))</f>
        <v>20.990000000000002</v>
      </c>
      <c r="L37" s="1647">
        <f>(1+'TdB Péremptions'!$H$14)*K37</f>
        <v>23.089000000000006</v>
      </c>
      <c r="M37" s="1916">
        <f>Calculs!O183</f>
        <v>0</v>
      </c>
      <c r="N37" s="1916">
        <f>Calculs!N237</f>
        <v>0</v>
      </c>
      <c r="O37" s="1916">
        <f>'Saisie données stocks'!N49</f>
        <v>956</v>
      </c>
      <c r="P37" s="1917" t="str">
        <f>IF(SUM('Saisie données stocks'!R49+'Saisie données stocks'!T49+'Saisie données stocks'!V49+'Saisie données stocks'!X49+'Saisie données stocks'!Z49+'Saisie données stocks'!AB49+'Saisie données stocks'!AD49)='Calculs Péremption FA'!O37,  "OK", 'TRAD-Saisie données stocks'!$B$70)</f>
        <v>OK</v>
      </c>
      <c r="Q37" s="1918" t="str">
        <f>IF(AND(O37&gt;0, M37=0, N37=0), 'TRAD-Calculs Péremption FA'!$B$76, "")</f>
        <v>Produit en stock mais sans aucune utilisation</v>
      </c>
      <c r="R37" s="1919">
        <f>'Saisie données stocks'!Q49</f>
        <v>41974</v>
      </c>
      <c r="S37" s="1920">
        <f>'Saisie données stocks'!R49</f>
        <v>780</v>
      </c>
      <c r="T37" s="1921">
        <f>IF(AND(R37=0, S37=0), "ND", IF((R37-Paramétrage!$H$19)&gt;0, (R37-Paramétrage!$H$19)/(365/12), "Date non renseignée ou produit périmé"))</f>
        <v>1.8082191780821917</v>
      </c>
      <c r="U37" s="1922">
        <f t="shared" si="18"/>
        <v>0</v>
      </c>
      <c r="V37" s="1922">
        <f t="shared" si="19"/>
        <v>780</v>
      </c>
      <c r="W37" s="1921" t="str">
        <f t="shared" si="20"/>
        <v>ATTENTION SURSTOCK et risque de péremption</v>
      </c>
      <c r="X37" s="1924">
        <f t="shared" si="21"/>
        <v>18009.420000000006</v>
      </c>
      <c r="Y37" s="1919">
        <f>'Saisie données stocks'!S49</f>
        <v>42095</v>
      </c>
      <c r="Z37" s="1920">
        <f>'Saisie données stocks'!T49</f>
        <v>126</v>
      </c>
      <c r="AA37" s="1923">
        <f t="shared" si="22"/>
        <v>126</v>
      </c>
      <c r="AB37" s="1923">
        <f>IF(AND(Y37=0, Z37=0), "ND", IF((Y37-Paramétrage!$H$19)&gt;0, (Y37-Paramétrage!$H$19)/(365/12), "Date non renseignée ou produit périmé"))</f>
        <v>5.7863013698630139</v>
      </c>
      <c r="AC37" s="1923">
        <f t="shared" si="23"/>
        <v>0</v>
      </c>
      <c r="AD37" s="1923">
        <f t="shared" si="24"/>
        <v>126</v>
      </c>
      <c r="AE37" s="1921" t="str">
        <f t="shared" si="25"/>
        <v>ATTENTION SURSTOCK et risque de péremption</v>
      </c>
      <c r="AF37" s="1924">
        <f t="shared" si="26"/>
        <v>2909.2140000000009</v>
      </c>
      <c r="AG37" s="1919">
        <f>'Saisie données stocks'!U49</f>
        <v>42217</v>
      </c>
      <c r="AH37" s="1920">
        <f>'Saisie données stocks'!V49</f>
        <v>50</v>
      </c>
      <c r="AI37" s="1923">
        <f t="shared" si="27"/>
        <v>50</v>
      </c>
      <c r="AJ37" s="1923">
        <f>IF(AND(AG37=0, AH37=0), "ND", IF((AG37-Paramétrage!$H$19)&gt;0, (AG37-Paramétrage!$H$19)/(365/12), "Date non renseignée ou produit périmé"))</f>
        <v>9.7972602739726025</v>
      </c>
      <c r="AK37" s="1923">
        <f t="shared" si="28"/>
        <v>0</v>
      </c>
      <c r="AL37" s="1923">
        <f t="shared" si="29"/>
        <v>50</v>
      </c>
      <c r="AM37" s="1923" t="str">
        <f t="shared" si="30"/>
        <v>ATTENTION SURSTOCK et risque de péremption</v>
      </c>
      <c r="AN37" s="1924">
        <f t="shared" si="31"/>
        <v>1154.4500000000003</v>
      </c>
      <c r="AO37" s="1919">
        <f>'Saisie données stocks'!W49</f>
        <v>0</v>
      </c>
      <c r="AP37" s="1920">
        <f>'Saisie données stocks'!X49</f>
        <v>0</v>
      </c>
      <c r="AQ37" s="1923">
        <f t="shared" si="32"/>
        <v>0</v>
      </c>
      <c r="AR37" s="1923" t="str">
        <f>IF(AND(AO37=0, AP37=0), "ND", IF((AO37-Paramétrage!$H$19)&gt;0, (AO37-Paramétrage!$H$19)/(365/12), "Date non renseignée ou produit périmé"))</f>
        <v>ND</v>
      </c>
      <c r="AS37" s="1923" t="str">
        <f t="shared" si="33"/>
        <v>ND</v>
      </c>
      <c r="AT37" s="1923" t="str">
        <f t="shared" si="34"/>
        <v>ND</v>
      </c>
      <c r="AU37" s="1923" t="str">
        <f t="shared" si="35"/>
        <v>ND</v>
      </c>
      <c r="AV37" s="1924" t="str">
        <f t="shared" si="36"/>
        <v>ND</v>
      </c>
      <c r="AW37" s="1919">
        <f>'Saisie données stocks'!Y49</f>
        <v>0</v>
      </c>
      <c r="AX37" s="1920">
        <f>'Saisie données stocks'!Z49</f>
        <v>0</v>
      </c>
      <c r="AY37" s="1923">
        <f t="shared" si="37"/>
        <v>0</v>
      </c>
      <c r="AZ37" s="1923" t="str">
        <f>IF(AND(AW37=0, AX37=0), "ND", IF((AW37-Paramétrage!$H$19)&gt;0, (AW37-Paramétrage!$H$19)/(365/12), "Date non renseignée ou produit périmé"))</f>
        <v>ND</v>
      </c>
      <c r="BA37" s="1923" t="str">
        <f t="shared" si="38"/>
        <v>ND</v>
      </c>
      <c r="BB37" s="1923" t="str">
        <f t="shared" si="39"/>
        <v>ND</v>
      </c>
      <c r="BC37" s="1923" t="str">
        <f t="shared" si="40"/>
        <v>ND</v>
      </c>
      <c r="BD37" s="1924" t="str">
        <f t="shared" si="41"/>
        <v>ND</v>
      </c>
      <c r="BE37" s="1919">
        <f>'Saisie données stocks'!AA49</f>
        <v>0</v>
      </c>
      <c r="BF37" s="1920">
        <f>'Saisie données stocks'!AB49</f>
        <v>0</v>
      </c>
      <c r="BG37" s="1923">
        <f t="shared" si="42"/>
        <v>0</v>
      </c>
      <c r="BH37" s="1923" t="str">
        <f>IF(AND(BE37=0, BF37=0), "ND", IF((BE37-Paramétrage!$H$19)&gt;0, (BE37-Paramétrage!$H$19)/(365/12), "Date non renseignée ou produit périmé"))</f>
        <v>ND</v>
      </c>
      <c r="BI37" s="1923" t="str">
        <f t="shared" si="43"/>
        <v>ND</v>
      </c>
      <c r="BJ37" s="1923" t="str">
        <f t="shared" si="44"/>
        <v>ND</v>
      </c>
      <c r="BK37" s="1923" t="str">
        <f t="shared" si="45"/>
        <v>ND</v>
      </c>
      <c r="BL37" s="1924" t="str">
        <f t="shared" si="46"/>
        <v>ND</v>
      </c>
      <c r="BM37" s="1919">
        <f>'Saisie données stocks'!AC49</f>
        <v>0</v>
      </c>
      <c r="BN37" s="1920">
        <f>'Saisie données stocks'!AD49</f>
        <v>0</v>
      </c>
      <c r="BO37" s="1923">
        <f t="shared" si="47"/>
        <v>0</v>
      </c>
      <c r="BP37" s="1923" t="str">
        <f>IF(AND(BM37=0, BN37=0), "ND", IF((BM37-Paramétrage!$H$19)&gt;0, (BM37-Paramétrage!$H$19)/(365/12), "Date non renseignée ou produit périmé"))</f>
        <v>ND</v>
      </c>
      <c r="BQ37" s="1923" t="str">
        <f t="shared" si="48"/>
        <v>ND</v>
      </c>
      <c r="BR37" s="1923" t="str">
        <f t="shared" si="49"/>
        <v>ND</v>
      </c>
      <c r="BS37" s="1923" t="str">
        <f t="shared" si="50"/>
        <v>ND</v>
      </c>
      <c r="BT37" s="1924" t="str">
        <f t="shared" si="51"/>
        <v>ND</v>
      </c>
      <c r="BU37" s="1925">
        <f>IF('Saisie données stocks'!$O$10='TRAD-Saisie données stocks'!$B$51, IF(P37="OK", IF(AND(BR37&gt;0, ISNUMBER(BR37)), (BO37-BR37), (BO37)), O37), O37)</f>
        <v>0</v>
      </c>
      <c r="BV37" s="1925">
        <f t="shared" si="52"/>
        <v>956</v>
      </c>
      <c r="BW37" s="2045">
        <f t="shared" si="53"/>
        <v>42217</v>
      </c>
      <c r="BX37" s="2045">
        <f>IF('Saisie données stocks'!$O$10='TRAD-Saisie données stocks'!$B$51, IF('Calculs Péremption FA'!P37="OK", IF(BU37=O37, MAX(Paramétrage!$H$19+('Saisie données stocks'!$N$14*(365/12)), BM37, BE37, AW37, AO37, AG37, Y37, R37), BW37), Paramétrage!$H$19+('Saisie données stocks'!$N$14*(365/12))), Paramétrage!$H$19+('Saisie données stocks'!$N$14*(365/12)))</f>
        <v>42217</v>
      </c>
      <c r="BY37" s="2046">
        <f t="shared" si="54"/>
        <v>1</v>
      </c>
      <c r="BZ37" s="2046">
        <f t="shared" si="55"/>
        <v>8</v>
      </c>
      <c r="CA37" s="2046">
        <f t="shared" si="56"/>
        <v>2015</v>
      </c>
      <c r="CB37" s="2046">
        <f>IF(BX37="", "", (BX37-Paramétrage!$H$19)/(365/12))</f>
        <v>9.7972602739726025</v>
      </c>
      <c r="CC37" s="2046" t="str">
        <f>IF(CB37='Saisie données stocks'!N$14, 'TRAD-Calculs Péremption FA'!$B$74, CONCATENATE("DLU - ", BY37, "/", BZ37, "/", CA37))</f>
        <v>DLU - 1/8/2015</v>
      </c>
    </row>
    <row r="38" spans="2:81" ht="26.25" thickBot="1" x14ac:dyDescent="0.25">
      <c r="B38" s="388"/>
      <c r="C38" s="389"/>
      <c r="D38" s="1927" t="s">
        <v>40</v>
      </c>
      <c r="E38" s="1928" t="str">
        <f>'TRAD-Calculs Péremption FA'!B9</f>
        <v>Cp</v>
      </c>
      <c r="F38" s="1928" t="s">
        <v>33</v>
      </c>
      <c r="G38" s="1942" t="s">
        <v>630</v>
      </c>
      <c r="H38" s="1801" t="str">
        <f t="shared" si="17"/>
        <v>TDF - 300 mg</v>
      </c>
      <c r="I38" s="1798">
        <v>30</v>
      </c>
      <c r="J38" s="1802"/>
      <c r="K38" s="1803">
        <f>IF('TdB Péremptions'!$H$9="X", 'Prix 10-2011 GPRM $'!$O$42, IF('TdB Péremptions'!$H$10="X", 'Prix 10-2011 GPRM $'!$Q$42, IF('TdB Péremptions'!$H$11="X", 'Prix VPP 102012 convert'!$O$42, IF('TdB Péremptions'!$H$12="X", 'Prix VPP 102012 convert'!$Q$42, IF('TdB Péremptions'!$H$13="X", 'Prix spécifiques'!$J$38, 0)))))</f>
        <v>10.5</v>
      </c>
      <c r="L38" s="1803">
        <f>(1+'TdB Péremptions'!$H$14)*K38</f>
        <v>11.55</v>
      </c>
      <c r="M38" s="1929">
        <f>Calculs!O184</f>
        <v>0</v>
      </c>
      <c r="N38" s="1929">
        <f>Calculs!N238</f>
        <v>0</v>
      </c>
      <c r="O38" s="1929">
        <f>'Saisie données stocks'!N50</f>
        <v>0</v>
      </c>
      <c r="P38" s="1930" t="str">
        <f>IF(SUM('Saisie données stocks'!R50+'Saisie données stocks'!T50+'Saisie données stocks'!V50+'Saisie données stocks'!X50+'Saisie données stocks'!Z50+'Saisie données stocks'!AB50+'Saisie données stocks'!AD50)='Calculs Péremption FA'!O38,  "OK", 'TRAD-Saisie données stocks'!$B$70)</f>
        <v>OK</v>
      </c>
      <c r="Q38" s="1931" t="str">
        <f>IF(AND(O38&gt;0, M38=0, N38=0), 'TRAD-Calculs Péremption FA'!$B$76, "")</f>
        <v/>
      </c>
      <c r="R38" s="1932">
        <f>'Saisie données stocks'!Q50</f>
        <v>0</v>
      </c>
      <c r="S38" s="1933">
        <f>'Saisie données stocks'!R50</f>
        <v>0</v>
      </c>
      <c r="T38" s="1934" t="str">
        <f>IF(AND(R38=0, S38=0), "ND", IF((R38-Paramétrage!$H$19)&gt;0, (R38-Paramétrage!$H$19)/(365/12), "Date non renseignée ou produit périmé"))</f>
        <v>ND</v>
      </c>
      <c r="U38" s="1935" t="str">
        <f t="shared" si="18"/>
        <v>ND</v>
      </c>
      <c r="V38" s="1935" t="str">
        <f t="shared" si="19"/>
        <v>ND</v>
      </c>
      <c r="W38" s="1934" t="str">
        <f t="shared" si="20"/>
        <v>ND</v>
      </c>
      <c r="X38" s="1937" t="str">
        <f t="shared" si="21"/>
        <v>ND</v>
      </c>
      <c r="Y38" s="1932">
        <f>'Saisie données stocks'!S50</f>
        <v>0</v>
      </c>
      <c r="Z38" s="1933">
        <f>'Saisie données stocks'!T50</f>
        <v>0</v>
      </c>
      <c r="AA38" s="1936">
        <f t="shared" si="22"/>
        <v>0</v>
      </c>
      <c r="AB38" s="1936" t="str">
        <f>IF(AND(Y38=0, Z38=0), "ND", IF((Y38-Paramétrage!$H$19)&gt;0, (Y38-Paramétrage!$H$19)/(365/12), "Date non renseignée ou produit périmé"))</f>
        <v>ND</v>
      </c>
      <c r="AC38" s="1936" t="str">
        <f t="shared" si="23"/>
        <v>ND</v>
      </c>
      <c r="AD38" s="1936" t="str">
        <f t="shared" si="24"/>
        <v>ND</v>
      </c>
      <c r="AE38" s="1934" t="str">
        <f t="shared" si="25"/>
        <v>ND</v>
      </c>
      <c r="AF38" s="1937" t="str">
        <f t="shared" si="26"/>
        <v>ND</v>
      </c>
      <c r="AG38" s="1932">
        <f>'Saisie données stocks'!U50</f>
        <v>0</v>
      </c>
      <c r="AH38" s="1933">
        <f>'Saisie données stocks'!V50</f>
        <v>0</v>
      </c>
      <c r="AI38" s="1936">
        <f t="shared" si="27"/>
        <v>0</v>
      </c>
      <c r="AJ38" s="1936" t="str">
        <f>IF(AND(AG38=0, AH38=0), "ND", IF((AG38-Paramétrage!$H$19)&gt;0, (AG38-Paramétrage!$H$19)/(365/12), "Date non renseignée ou produit périmé"))</f>
        <v>ND</v>
      </c>
      <c r="AK38" s="1936" t="str">
        <f t="shared" si="28"/>
        <v>ND</v>
      </c>
      <c r="AL38" s="1936" t="str">
        <f t="shared" si="29"/>
        <v>ND</v>
      </c>
      <c r="AM38" s="1936" t="str">
        <f t="shared" si="30"/>
        <v>ND</v>
      </c>
      <c r="AN38" s="1937" t="str">
        <f t="shared" si="31"/>
        <v>ND</v>
      </c>
      <c r="AO38" s="1932">
        <f>'Saisie données stocks'!W50</f>
        <v>0</v>
      </c>
      <c r="AP38" s="1933">
        <f>'Saisie données stocks'!X50</f>
        <v>0</v>
      </c>
      <c r="AQ38" s="1936">
        <f t="shared" si="32"/>
        <v>0</v>
      </c>
      <c r="AR38" s="1936" t="str">
        <f>IF(AND(AO38=0, AP38=0), "ND", IF((AO38-Paramétrage!$H$19)&gt;0, (AO38-Paramétrage!$H$19)/(365/12), "Date non renseignée ou produit périmé"))</f>
        <v>ND</v>
      </c>
      <c r="AS38" s="1936" t="str">
        <f t="shared" si="33"/>
        <v>ND</v>
      </c>
      <c r="AT38" s="1936" t="str">
        <f t="shared" si="34"/>
        <v>ND</v>
      </c>
      <c r="AU38" s="1936" t="str">
        <f t="shared" si="35"/>
        <v>ND</v>
      </c>
      <c r="AV38" s="1937" t="str">
        <f t="shared" si="36"/>
        <v>ND</v>
      </c>
      <c r="AW38" s="1932">
        <f>'Saisie données stocks'!Y50</f>
        <v>0</v>
      </c>
      <c r="AX38" s="1933">
        <f>'Saisie données stocks'!Z50</f>
        <v>0</v>
      </c>
      <c r="AY38" s="1936">
        <f t="shared" si="37"/>
        <v>0</v>
      </c>
      <c r="AZ38" s="1936" t="str">
        <f>IF(AND(AW38=0, AX38=0), "ND", IF((AW38-Paramétrage!$H$19)&gt;0, (AW38-Paramétrage!$H$19)/(365/12), "Date non renseignée ou produit périmé"))</f>
        <v>ND</v>
      </c>
      <c r="BA38" s="1936" t="str">
        <f t="shared" si="38"/>
        <v>ND</v>
      </c>
      <c r="BB38" s="1936" t="str">
        <f t="shared" si="39"/>
        <v>ND</v>
      </c>
      <c r="BC38" s="1936" t="str">
        <f t="shared" si="40"/>
        <v>ND</v>
      </c>
      <c r="BD38" s="1937" t="str">
        <f t="shared" si="41"/>
        <v>ND</v>
      </c>
      <c r="BE38" s="1932">
        <f>'Saisie données stocks'!AA50</f>
        <v>0</v>
      </c>
      <c r="BF38" s="1933">
        <f>'Saisie données stocks'!AB50</f>
        <v>0</v>
      </c>
      <c r="BG38" s="1936">
        <f t="shared" si="42"/>
        <v>0</v>
      </c>
      <c r="BH38" s="1936" t="str">
        <f>IF(AND(BE38=0, BF38=0), "ND", IF((BE38-Paramétrage!$H$19)&gt;0, (BE38-Paramétrage!$H$19)/(365/12), "Date non renseignée ou produit périmé"))</f>
        <v>ND</v>
      </c>
      <c r="BI38" s="1936" t="str">
        <f t="shared" si="43"/>
        <v>ND</v>
      </c>
      <c r="BJ38" s="1936" t="str">
        <f t="shared" si="44"/>
        <v>ND</v>
      </c>
      <c r="BK38" s="1936" t="str">
        <f t="shared" si="45"/>
        <v>ND</v>
      </c>
      <c r="BL38" s="1937" t="str">
        <f t="shared" si="46"/>
        <v>ND</v>
      </c>
      <c r="BM38" s="1932">
        <f>'Saisie données stocks'!AC50</f>
        <v>0</v>
      </c>
      <c r="BN38" s="1933">
        <f>'Saisie données stocks'!AD50</f>
        <v>0</v>
      </c>
      <c r="BO38" s="1936">
        <f t="shared" si="47"/>
        <v>0</v>
      </c>
      <c r="BP38" s="1936" t="str">
        <f>IF(AND(BM38=0, BN38=0), "ND", IF((BM38-Paramétrage!$H$19)&gt;0, (BM38-Paramétrage!$H$19)/(365/12), "Date non renseignée ou produit périmé"))</f>
        <v>ND</v>
      </c>
      <c r="BQ38" s="1936" t="str">
        <f t="shared" si="48"/>
        <v>ND</v>
      </c>
      <c r="BR38" s="1936" t="str">
        <f t="shared" si="49"/>
        <v>ND</v>
      </c>
      <c r="BS38" s="1936" t="str">
        <f t="shared" si="50"/>
        <v>ND</v>
      </c>
      <c r="BT38" s="1937" t="str">
        <f t="shared" si="51"/>
        <v>ND</v>
      </c>
      <c r="BU38" s="1938">
        <f>IF('Saisie données stocks'!$O$10='TRAD-Saisie données stocks'!$B$51, IF(P38="OK", IF(AND(BR38&gt;0, ISNUMBER(BR38)), (BO38-BR38), (BO38)), O38), O38)</f>
        <v>0</v>
      </c>
      <c r="BV38" s="1938">
        <f t="shared" si="52"/>
        <v>0</v>
      </c>
      <c r="BW38" s="2047" t="str">
        <f t="shared" si="53"/>
        <v/>
      </c>
      <c r="BX38" s="2047">
        <f>IF('Saisie données stocks'!$O$10='TRAD-Saisie données stocks'!$B$51, IF('Calculs Péremption FA'!P38="OK", IF(BU38=O38, MAX(Paramétrage!$H$19+('Saisie données stocks'!$N$14*(365/12)), BM38, BE38, AW38, AO38, AG38, Y38, R38), BW38), Paramétrage!$H$19+('Saisie données stocks'!$N$14*(365/12))), Paramétrage!$H$19+('Saisie données stocks'!$N$14*(365/12)))</f>
        <v>42101.5</v>
      </c>
      <c r="BY38" s="2048">
        <f t="shared" si="54"/>
        <v>7</v>
      </c>
      <c r="BZ38" s="2048">
        <f t="shared" si="55"/>
        <v>4</v>
      </c>
      <c r="CA38" s="2048">
        <f t="shared" si="56"/>
        <v>2015</v>
      </c>
      <c r="CB38" s="2048">
        <f>IF(BX38="", "", (BX38-Paramétrage!$H$19)/(365/12))</f>
        <v>6</v>
      </c>
      <c r="CC38" s="2048" t="str">
        <f>IF(CB38='Saisie données stocks'!N$14, 'TRAD-Calculs Péremption FA'!$B$74, CONCATENATE("DLU - ", BY38, "/", BZ38, "/", CA38))</f>
        <v>Durée de vie max</v>
      </c>
    </row>
    <row r="39" spans="2:81" ht="38.25" x14ac:dyDescent="0.2">
      <c r="B39" s="374"/>
      <c r="C39" s="375" t="s">
        <v>41</v>
      </c>
      <c r="D39" s="1900" t="s">
        <v>42</v>
      </c>
      <c r="E39" s="1901" t="str">
        <f>'TRAD-Calculs Péremption FA'!B9</f>
        <v>Cp</v>
      </c>
      <c r="F39" s="1901" t="s">
        <v>43</v>
      </c>
      <c r="G39" s="369" t="s">
        <v>631</v>
      </c>
      <c r="H39" s="371" t="str">
        <f t="shared" si="17"/>
        <v>LPV/r - 200/50 mg</v>
      </c>
      <c r="I39" s="113">
        <v>120</v>
      </c>
      <c r="J39" s="656"/>
      <c r="K39" s="755">
        <f>IF('TdB Péremptions'!$H$9="X", 'Prix 10-2011 GPRM $'!$O$54, IF('TdB Péremptions'!$H$10="X", 'Prix 10-2011 GPRM $'!$Q$54, IF('TdB Péremptions'!$H$11="X", 'Prix VPP 102012 convert'!$O$54, IF('TdB Péremptions'!$H$12="X", 'Prix VPP 102012 convert'!$Q$54, IF('TdB Péremptions'!$H$13="X", 'Prix spécifiques'!$J$39, 0)))))</f>
        <v>29.645</v>
      </c>
      <c r="L39" s="755">
        <f>(1+'TdB Péremptions'!$H$14)*K39</f>
        <v>32.609500000000004</v>
      </c>
      <c r="M39" s="1902">
        <f>Calculs!O185</f>
        <v>0</v>
      </c>
      <c r="N39" s="1902">
        <f>Calculs!N239</f>
        <v>0</v>
      </c>
      <c r="O39" s="1902">
        <f>'Saisie données stocks'!N51</f>
        <v>750</v>
      </c>
      <c r="P39" s="1903" t="str">
        <f>IF(SUM('Saisie données stocks'!R51+'Saisie données stocks'!T51+'Saisie données stocks'!V51+'Saisie données stocks'!X51+'Saisie données stocks'!Z51+'Saisie données stocks'!AB51+'Saisie données stocks'!AD51)='Calculs Péremption FA'!O39,  "OK", 'TRAD-Saisie données stocks'!$B$70)</f>
        <v>OK</v>
      </c>
      <c r="Q39" s="1904" t="str">
        <f>IF(AND(O39&gt;0, M39=0, N39=0), 'TRAD-Calculs Péremption FA'!$B$76, "")</f>
        <v>Produit en stock mais sans aucune utilisation</v>
      </c>
      <c r="R39" s="1939">
        <f>'Saisie données stocks'!Q51</f>
        <v>42278</v>
      </c>
      <c r="S39" s="1906">
        <f>'Saisie données stocks'!R51</f>
        <v>750</v>
      </c>
      <c r="T39" s="1907">
        <f>IF(AND(R39=0, S39=0), "ND", IF((R39-Paramétrage!$H$19)&gt;0, (R39-Paramétrage!$H$19)/(365/12), "Date non renseignée ou produit périmé"))</f>
        <v>11.802739726027397</v>
      </c>
      <c r="U39" s="1908">
        <f t="shared" si="18"/>
        <v>0</v>
      </c>
      <c r="V39" s="1908">
        <f t="shared" si="19"/>
        <v>750</v>
      </c>
      <c r="W39" s="1907" t="str">
        <f t="shared" si="20"/>
        <v>ATTENTION SURSTOCK et risque de péremption</v>
      </c>
      <c r="X39" s="1909">
        <f t="shared" si="21"/>
        <v>24457.125000000004</v>
      </c>
      <c r="Y39" s="1939">
        <f>'Saisie données stocks'!S51</f>
        <v>0</v>
      </c>
      <c r="Z39" s="1906">
        <f>'Saisie données stocks'!T51</f>
        <v>0</v>
      </c>
      <c r="AA39" s="1910">
        <f t="shared" si="22"/>
        <v>0</v>
      </c>
      <c r="AB39" s="1910" t="str">
        <f>IF(AND(Y39=0, Z39=0), "ND", IF((Y39-Paramétrage!$H$19)&gt;0, (Y39-Paramétrage!$H$19)/(365/12), "Date non renseignée ou produit périmé"))</f>
        <v>ND</v>
      </c>
      <c r="AC39" s="1910" t="str">
        <f t="shared" si="23"/>
        <v>ND</v>
      </c>
      <c r="AD39" s="1910" t="str">
        <f t="shared" si="24"/>
        <v>ND</v>
      </c>
      <c r="AE39" s="1907" t="str">
        <f t="shared" si="25"/>
        <v>ND</v>
      </c>
      <c r="AF39" s="1909" t="str">
        <f t="shared" si="26"/>
        <v>ND</v>
      </c>
      <c r="AG39" s="1939">
        <f>'Saisie données stocks'!U51</f>
        <v>0</v>
      </c>
      <c r="AH39" s="1906">
        <f>'Saisie données stocks'!V51</f>
        <v>0</v>
      </c>
      <c r="AI39" s="1910">
        <f t="shared" si="27"/>
        <v>0</v>
      </c>
      <c r="AJ39" s="1910" t="str">
        <f>IF(AND(AG39=0, AH39=0), "ND", IF((AG39-Paramétrage!$H$19)&gt;0, (AG39-Paramétrage!$H$19)/(365/12), "Date non renseignée ou produit périmé"))</f>
        <v>ND</v>
      </c>
      <c r="AK39" s="1910" t="str">
        <f t="shared" si="28"/>
        <v>ND</v>
      </c>
      <c r="AL39" s="1910" t="str">
        <f t="shared" si="29"/>
        <v>ND</v>
      </c>
      <c r="AM39" s="1910" t="str">
        <f t="shared" si="30"/>
        <v>ND</v>
      </c>
      <c r="AN39" s="1909" t="str">
        <f t="shared" si="31"/>
        <v>ND</v>
      </c>
      <c r="AO39" s="1939">
        <f>'Saisie données stocks'!W51</f>
        <v>0</v>
      </c>
      <c r="AP39" s="1906">
        <f>'Saisie données stocks'!X51</f>
        <v>0</v>
      </c>
      <c r="AQ39" s="1910">
        <f t="shared" si="32"/>
        <v>0</v>
      </c>
      <c r="AR39" s="1910" t="str">
        <f>IF(AND(AO39=0, AP39=0), "ND", IF((AO39-Paramétrage!$H$19)&gt;0, (AO39-Paramétrage!$H$19)/(365/12), "Date non renseignée ou produit périmé"))</f>
        <v>ND</v>
      </c>
      <c r="AS39" s="1910" t="str">
        <f t="shared" si="33"/>
        <v>ND</v>
      </c>
      <c r="AT39" s="1910" t="str">
        <f t="shared" si="34"/>
        <v>ND</v>
      </c>
      <c r="AU39" s="1910" t="str">
        <f t="shared" si="35"/>
        <v>ND</v>
      </c>
      <c r="AV39" s="1909" t="str">
        <f t="shared" si="36"/>
        <v>ND</v>
      </c>
      <c r="AW39" s="1939">
        <f>'Saisie données stocks'!Y51</f>
        <v>0</v>
      </c>
      <c r="AX39" s="1906">
        <f>'Saisie données stocks'!Z51</f>
        <v>0</v>
      </c>
      <c r="AY39" s="1910">
        <f t="shared" si="37"/>
        <v>0</v>
      </c>
      <c r="AZ39" s="1910" t="str">
        <f>IF(AND(AW39=0, AX39=0), "ND", IF((AW39-Paramétrage!$H$19)&gt;0, (AW39-Paramétrage!$H$19)/(365/12), "Date non renseignée ou produit périmé"))</f>
        <v>ND</v>
      </c>
      <c r="BA39" s="1910" t="str">
        <f t="shared" si="38"/>
        <v>ND</v>
      </c>
      <c r="BB39" s="1910" t="str">
        <f t="shared" si="39"/>
        <v>ND</v>
      </c>
      <c r="BC39" s="1910" t="str">
        <f t="shared" si="40"/>
        <v>ND</v>
      </c>
      <c r="BD39" s="1909" t="str">
        <f t="shared" si="41"/>
        <v>ND</v>
      </c>
      <c r="BE39" s="1939">
        <f>'Saisie données stocks'!AA51</f>
        <v>0</v>
      </c>
      <c r="BF39" s="1906">
        <f>'Saisie données stocks'!AB51</f>
        <v>0</v>
      </c>
      <c r="BG39" s="1910">
        <f t="shared" si="42"/>
        <v>0</v>
      </c>
      <c r="BH39" s="1910" t="str">
        <f>IF(AND(BE39=0, BF39=0), "ND", IF((BE39-Paramétrage!$H$19)&gt;0, (BE39-Paramétrage!$H$19)/(365/12), "Date non renseignée ou produit périmé"))</f>
        <v>ND</v>
      </c>
      <c r="BI39" s="1910" t="str">
        <f t="shared" si="43"/>
        <v>ND</v>
      </c>
      <c r="BJ39" s="1910" t="str">
        <f t="shared" si="44"/>
        <v>ND</v>
      </c>
      <c r="BK39" s="1910" t="str">
        <f t="shared" si="45"/>
        <v>ND</v>
      </c>
      <c r="BL39" s="1909" t="str">
        <f t="shared" si="46"/>
        <v>ND</v>
      </c>
      <c r="BM39" s="1939">
        <f>'Saisie données stocks'!AC51</f>
        <v>0</v>
      </c>
      <c r="BN39" s="1906">
        <f>'Saisie données stocks'!AD51</f>
        <v>0</v>
      </c>
      <c r="BO39" s="1910">
        <f t="shared" si="47"/>
        <v>0</v>
      </c>
      <c r="BP39" s="1910" t="str">
        <f>IF(AND(BM39=0, BN39=0), "ND", IF((BM39-Paramétrage!$H$19)&gt;0, (BM39-Paramétrage!$H$19)/(365/12), "Date non renseignée ou produit périmé"))</f>
        <v>ND</v>
      </c>
      <c r="BQ39" s="1910" t="str">
        <f t="shared" si="48"/>
        <v>ND</v>
      </c>
      <c r="BR39" s="1910" t="str">
        <f t="shared" si="49"/>
        <v>ND</v>
      </c>
      <c r="BS39" s="1910" t="str">
        <f t="shared" si="50"/>
        <v>ND</v>
      </c>
      <c r="BT39" s="1909" t="str">
        <f t="shared" si="51"/>
        <v>ND</v>
      </c>
      <c r="BU39" s="1911">
        <f>IF('Saisie données stocks'!$O$10='TRAD-Saisie données stocks'!$B$51, IF(P39="OK", IF(AND(BR39&gt;0, ISNUMBER(BR39)), (BO39-BR39), (BO39)), O39), O39)</f>
        <v>0</v>
      </c>
      <c r="BV39" s="1911">
        <f t="shared" si="52"/>
        <v>750</v>
      </c>
      <c r="BW39" s="2042">
        <f t="shared" si="53"/>
        <v>42278</v>
      </c>
      <c r="BX39" s="2042">
        <f>IF('Saisie données stocks'!$O$10='TRAD-Saisie données stocks'!$B$51, IF('Calculs Péremption FA'!P39="OK", IF(BU39=O39, MAX(Paramétrage!$H$19+('Saisie données stocks'!$N$14*(365/12)), BM39, BE39, AW39, AO39, AG39, Y39, R39), BW39), Paramétrage!$H$19+('Saisie données stocks'!$N$14*(365/12))), Paramétrage!$H$19+('Saisie données stocks'!$N$14*(365/12)))</f>
        <v>42278</v>
      </c>
      <c r="BY39" s="2043">
        <f t="shared" si="54"/>
        <v>1</v>
      </c>
      <c r="BZ39" s="2043">
        <f t="shared" si="55"/>
        <v>10</v>
      </c>
      <c r="CA39" s="2043">
        <f t="shared" si="56"/>
        <v>2015</v>
      </c>
      <c r="CB39" s="2043">
        <f>IF(BX39="", "", (BX39-Paramétrage!$H$19)/(365/12))</f>
        <v>11.802739726027397</v>
      </c>
      <c r="CC39" s="2043" t="str">
        <f>IF(CB39='Saisie données stocks'!N$14, 'TRAD-Calculs Péremption FA'!$B$74, CONCATENATE("DLU - ", BY39, "/", BZ39, "/", CA39))</f>
        <v>DLU - 1/10/2015</v>
      </c>
    </row>
    <row r="40" spans="2:81" ht="38.25" x14ac:dyDescent="0.2">
      <c r="B40" s="374"/>
      <c r="C40" s="375"/>
      <c r="D40" s="1943" t="s">
        <v>42</v>
      </c>
      <c r="E40" s="1944" t="str">
        <f>'TRAD-Calculs Péremption FA'!B9</f>
        <v>Cp</v>
      </c>
      <c r="F40" s="1944" t="s">
        <v>496</v>
      </c>
      <c r="G40" s="535" t="s">
        <v>631</v>
      </c>
      <c r="H40" s="533" t="str">
        <f t="shared" si="17"/>
        <v>LPV/r - 100/25 mg</v>
      </c>
      <c r="I40" s="537">
        <v>60</v>
      </c>
      <c r="J40" s="1215"/>
      <c r="K40" s="1216">
        <f>IF('TdB Péremptions'!$H$9="X", 'Prix 10-2011 GPRM $'!$O$146, IF('TdB Péremptions'!$H$10="X", 'Prix 10-2011 GPRM $'!$Q$146, IF('TdB Péremptions'!$H$11="X", 'Prix VPP 102012 convert'!$O$146, IF('TdB Péremptions'!$H$12="X", 'Prix VPP 102012 convert'!$Q$146, IF('TdB Péremptions'!$H$13="X", 'Prix spécifiques'!$J$40, 0)))))</f>
        <v>7.2050000000000001</v>
      </c>
      <c r="L40" s="1216">
        <f>(1+'TdB Péremptions'!$H$14)*K40</f>
        <v>7.9255000000000004</v>
      </c>
      <c r="M40" s="1916">
        <f>Calculs!O186</f>
        <v>0</v>
      </c>
      <c r="N40" s="1916">
        <f>Calculs!N240</f>
        <v>0</v>
      </c>
      <c r="O40" s="1916">
        <f>'Saisie données stocks'!N52</f>
        <v>687</v>
      </c>
      <c r="P40" s="1917" t="str">
        <f>IF(SUM('Saisie données stocks'!R52+'Saisie données stocks'!T52+'Saisie données stocks'!V52+'Saisie données stocks'!X52+'Saisie données stocks'!Z52+'Saisie données stocks'!AB52+'Saisie données stocks'!AD52)='Calculs Péremption FA'!O40,  "OK", 'TRAD-Saisie données stocks'!$B$70)</f>
        <v>OK</v>
      </c>
      <c r="Q40" s="1918" t="str">
        <f>IF(AND(O40&gt;0, M40=0, N40=0), 'TRAD-Calculs Péremption FA'!$B$76, "")</f>
        <v>Produit en stock mais sans aucune utilisation</v>
      </c>
      <c r="R40" s="1919">
        <f>'Saisie données stocks'!Q52</f>
        <v>42095</v>
      </c>
      <c r="S40" s="1920">
        <f>'Saisie données stocks'!R52</f>
        <v>687</v>
      </c>
      <c r="T40" s="1921">
        <f>IF(AND(R40=0, S40=0), "ND", IF((R40-Paramétrage!$H$19)&gt;0, (R40-Paramétrage!$H$19)/(365/12), "Date non renseignée ou produit périmé"))</f>
        <v>5.7863013698630139</v>
      </c>
      <c r="U40" s="1922">
        <f t="shared" si="18"/>
        <v>0</v>
      </c>
      <c r="V40" s="1922">
        <f t="shared" si="19"/>
        <v>687</v>
      </c>
      <c r="W40" s="1921" t="str">
        <f t="shared" si="20"/>
        <v>ATTENTION SURSTOCK et risque de péremption</v>
      </c>
      <c r="X40" s="1924">
        <f t="shared" si="21"/>
        <v>5444.8185000000003</v>
      </c>
      <c r="Y40" s="1919">
        <f>'Saisie données stocks'!S52</f>
        <v>0</v>
      </c>
      <c r="Z40" s="1920">
        <f>'Saisie données stocks'!T52</f>
        <v>0</v>
      </c>
      <c r="AA40" s="1923">
        <f t="shared" si="22"/>
        <v>0</v>
      </c>
      <c r="AB40" s="1923" t="str">
        <f>IF(AND(Y40=0, Z40=0), "ND", IF((Y40-Paramétrage!$H$19)&gt;0, (Y40-Paramétrage!$H$19)/(365/12), "Date non renseignée ou produit périmé"))</f>
        <v>ND</v>
      </c>
      <c r="AC40" s="1923" t="str">
        <f t="shared" si="23"/>
        <v>ND</v>
      </c>
      <c r="AD40" s="1923" t="str">
        <f t="shared" si="24"/>
        <v>ND</v>
      </c>
      <c r="AE40" s="1921" t="str">
        <f t="shared" si="25"/>
        <v>ND</v>
      </c>
      <c r="AF40" s="1924" t="str">
        <f t="shared" si="26"/>
        <v>ND</v>
      </c>
      <c r="AG40" s="1919">
        <f>'Saisie données stocks'!U52</f>
        <v>0</v>
      </c>
      <c r="AH40" s="1920">
        <f>'Saisie données stocks'!V52</f>
        <v>0</v>
      </c>
      <c r="AI40" s="1923">
        <f t="shared" si="27"/>
        <v>0</v>
      </c>
      <c r="AJ40" s="1923" t="str">
        <f>IF(AND(AG40=0, AH40=0), "ND", IF((AG40-Paramétrage!$H$19)&gt;0, (AG40-Paramétrage!$H$19)/(365/12), "Date non renseignée ou produit périmé"))</f>
        <v>ND</v>
      </c>
      <c r="AK40" s="1923" t="str">
        <f t="shared" si="28"/>
        <v>ND</v>
      </c>
      <c r="AL40" s="1923" t="str">
        <f t="shared" si="29"/>
        <v>ND</v>
      </c>
      <c r="AM40" s="1923" t="str">
        <f t="shared" si="30"/>
        <v>ND</v>
      </c>
      <c r="AN40" s="1924" t="str">
        <f t="shared" si="31"/>
        <v>ND</v>
      </c>
      <c r="AO40" s="1919">
        <f>'Saisie données stocks'!W52</f>
        <v>0</v>
      </c>
      <c r="AP40" s="1920">
        <f>'Saisie données stocks'!X52</f>
        <v>0</v>
      </c>
      <c r="AQ40" s="1923">
        <f t="shared" si="32"/>
        <v>0</v>
      </c>
      <c r="AR40" s="1923" t="str">
        <f>IF(AND(AO40=0, AP40=0), "ND", IF((AO40-Paramétrage!$H$19)&gt;0, (AO40-Paramétrage!$H$19)/(365/12), "Date non renseignée ou produit périmé"))</f>
        <v>ND</v>
      </c>
      <c r="AS40" s="1923" t="str">
        <f t="shared" si="33"/>
        <v>ND</v>
      </c>
      <c r="AT40" s="1923" t="str">
        <f t="shared" si="34"/>
        <v>ND</v>
      </c>
      <c r="AU40" s="1923" t="str">
        <f t="shared" si="35"/>
        <v>ND</v>
      </c>
      <c r="AV40" s="1924" t="str">
        <f t="shared" si="36"/>
        <v>ND</v>
      </c>
      <c r="AW40" s="1919">
        <f>'Saisie données stocks'!Y52</f>
        <v>0</v>
      </c>
      <c r="AX40" s="1920">
        <f>'Saisie données stocks'!Z52</f>
        <v>0</v>
      </c>
      <c r="AY40" s="1923">
        <f t="shared" si="37"/>
        <v>0</v>
      </c>
      <c r="AZ40" s="1923" t="str">
        <f>IF(AND(AW40=0, AX40=0), "ND", IF((AW40-Paramétrage!$H$19)&gt;0, (AW40-Paramétrage!$H$19)/(365/12), "Date non renseignée ou produit périmé"))</f>
        <v>ND</v>
      </c>
      <c r="BA40" s="1923" t="str">
        <f t="shared" si="38"/>
        <v>ND</v>
      </c>
      <c r="BB40" s="1923" t="str">
        <f t="shared" si="39"/>
        <v>ND</v>
      </c>
      <c r="BC40" s="1923" t="str">
        <f t="shared" si="40"/>
        <v>ND</v>
      </c>
      <c r="BD40" s="1924" t="str">
        <f t="shared" si="41"/>
        <v>ND</v>
      </c>
      <c r="BE40" s="1919">
        <f>'Saisie données stocks'!AA52</f>
        <v>0</v>
      </c>
      <c r="BF40" s="1920">
        <f>'Saisie données stocks'!AB52</f>
        <v>0</v>
      </c>
      <c r="BG40" s="1923">
        <f t="shared" si="42"/>
        <v>0</v>
      </c>
      <c r="BH40" s="1923" t="str">
        <f>IF(AND(BE40=0, BF40=0), "ND", IF((BE40-Paramétrage!$H$19)&gt;0, (BE40-Paramétrage!$H$19)/(365/12), "Date non renseignée ou produit périmé"))</f>
        <v>ND</v>
      </c>
      <c r="BI40" s="1923" t="str">
        <f t="shared" si="43"/>
        <v>ND</v>
      </c>
      <c r="BJ40" s="1923" t="str">
        <f t="shared" si="44"/>
        <v>ND</v>
      </c>
      <c r="BK40" s="1923" t="str">
        <f t="shared" si="45"/>
        <v>ND</v>
      </c>
      <c r="BL40" s="1924" t="str">
        <f t="shared" si="46"/>
        <v>ND</v>
      </c>
      <c r="BM40" s="1919">
        <f>'Saisie données stocks'!AC52</f>
        <v>0</v>
      </c>
      <c r="BN40" s="1920">
        <f>'Saisie données stocks'!AD52</f>
        <v>0</v>
      </c>
      <c r="BO40" s="1923">
        <f t="shared" si="47"/>
        <v>0</v>
      </c>
      <c r="BP40" s="1923" t="str">
        <f>IF(AND(BM40=0, BN40=0), "ND", IF((BM40-Paramétrage!$H$19)&gt;0, (BM40-Paramétrage!$H$19)/(365/12), "Date non renseignée ou produit périmé"))</f>
        <v>ND</v>
      </c>
      <c r="BQ40" s="1923" t="str">
        <f t="shared" si="48"/>
        <v>ND</v>
      </c>
      <c r="BR40" s="1923" t="str">
        <f t="shared" si="49"/>
        <v>ND</v>
      </c>
      <c r="BS40" s="1923" t="str">
        <f t="shared" si="50"/>
        <v>ND</v>
      </c>
      <c r="BT40" s="1924" t="str">
        <f t="shared" si="51"/>
        <v>ND</v>
      </c>
      <c r="BU40" s="1925">
        <f>IF('Saisie données stocks'!$O$10='TRAD-Saisie données stocks'!$B$51, IF(P40="OK", IF(AND(BR40&gt;0, ISNUMBER(BR40)), (BO40-BR40), (BO40)), O40), O40)</f>
        <v>0</v>
      </c>
      <c r="BV40" s="1925">
        <f t="shared" si="52"/>
        <v>687</v>
      </c>
      <c r="BW40" s="2045">
        <f t="shared" si="53"/>
        <v>42095</v>
      </c>
      <c r="BX40" s="2045">
        <f>IF('Saisie données stocks'!$O$10='TRAD-Saisie données stocks'!$B$51, IF('Calculs Péremption FA'!P40="OK", IF(BU40=O40, MAX(Paramétrage!$H$19+('Saisie données stocks'!$N$14*(365/12)), BM40, BE40, AW40, AO40, AG40, Y40, R40), BW40), Paramétrage!$H$19+('Saisie données stocks'!$N$14*(365/12))), Paramétrage!$H$19+('Saisie données stocks'!$N$14*(365/12)))</f>
        <v>42095</v>
      </c>
      <c r="BY40" s="2046">
        <f t="shared" si="54"/>
        <v>1</v>
      </c>
      <c r="BZ40" s="2046">
        <f t="shared" si="55"/>
        <v>4</v>
      </c>
      <c r="CA40" s="2046">
        <f t="shared" si="56"/>
        <v>2015</v>
      </c>
      <c r="CB40" s="2046">
        <f>IF(BX40="", "", (BX40-Paramétrage!$H$19)/(365/12))</f>
        <v>5.7863013698630139</v>
      </c>
      <c r="CC40" s="2046" t="str">
        <f>IF(CB40='Saisie données stocks'!N$14, 'TRAD-Calculs Péremption FA'!$B$74, CONCATENATE("DLU - ", BY40, "/", BZ40, "/", CA40))</f>
        <v>DLU - 1/4/2015</v>
      </c>
    </row>
    <row r="41" spans="2:81" ht="38.25" x14ac:dyDescent="0.2">
      <c r="B41" s="374"/>
      <c r="C41" s="402"/>
      <c r="D41" s="1945" t="s">
        <v>601</v>
      </c>
      <c r="E41" s="1946" t="str">
        <f>'TRAD-Calculs Péremption FA'!B9</f>
        <v>Cp</v>
      </c>
      <c r="F41" s="1947" t="s">
        <v>607</v>
      </c>
      <c r="G41" s="1948" t="s">
        <v>632</v>
      </c>
      <c r="H41" s="1807" t="str">
        <f t="shared" si="17"/>
        <v>ATV/r - 300/100 mg</v>
      </c>
      <c r="I41" s="1388">
        <v>30</v>
      </c>
      <c r="J41" s="1646"/>
      <c r="K41" s="1647">
        <f>IF('TdB Péremptions'!$H$9="X", 'Prix 10-2011 GPRM $'!$L$69, IF('TdB Péremptions'!$H$10="X", 'Prix 10-2011 GPRM $'!$L$69, IF('TdB Péremptions'!$H$11="X", 'Prix VPP 102012 convert'!$O$55, IF('TdB Péremptions'!$H$12="X", 'Prix VPP 102012 convert'!$Q$55, IF('TdB Péremptions'!$H$13="X", 'Prix spécifiques'!$J$41, 0)))))</f>
        <v>22.5</v>
      </c>
      <c r="L41" s="1647">
        <f>(1+'TdB Péremptions'!$H$14)*K41</f>
        <v>24.750000000000004</v>
      </c>
      <c r="M41" s="1916">
        <f>Calculs!O187</f>
        <v>0</v>
      </c>
      <c r="N41" s="1916">
        <f>Calculs!N241</f>
        <v>0</v>
      </c>
      <c r="O41" s="1916">
        <f>'Saisie données stocks'!N53</f>
        <v>1705</v>
      </c>
      <c r="P41" s="1917" t="str">
        <f>IF(SUM('Saisie données stocks'!R53+'Saisie données stocks'!T53+'Saisie données stocks'!V53+'Saisie données stocks'!X53+'Saisie données stocks'!Z53+'Saisie données stocks'!AB53+'Saisie données stocks'!AD53)='Calculs Péremption FA'!O41,  "OK", 'TRAD-Saisie données stocks'!$B$70)</f>
        <v>OK</v>
      </c>
      <c r="Q41" s="1918" t="str">
        <f>IF(AND(O41&gt;0, M41=0, N41=0), 'TRAD-Calculs Péremption FA'!$B$76, "")</f>
        <v>Produit en stock mais sans aucune utilisation</v>
      </c>
      <c r="R41" s="1919">
        <f>'Saisie données stocks'!Q53</f>
        <v>42095</v>
      </c>
      <c r="S41" s="1920">
        <f>'Saisie données stocks'!R53</f>
        <v>1705</v>
      </c>
      <c r="T41" s="1921">
        <f>IF(AND(R41=0, S41=0), "ND", IF((R41-Paramétrage!$H$19)&gt;0, (R41-Paramétrage!$H$19)/(365/12), "Date non renseignée ou produit périmé"))</f>
        <v>5.7863013698630139</v>
      </c>
      <c r="U41" s="1922">
        <f t="shared" si="18"/>
        <v>0</v>
      </c>
      <c r="V41" s="1922">
        <f t="shared" si="19"/>
        <v>1705</v>
      </c>
      <c r="W41" s="1921" t="str">
        <f t="shared" si="20"/>
        <v>ATTENTION SURSTOCK et risque de péremption</v>
      </c>
      <c r="X41" s="1924">
        <f t="shared" si="21"/>
        <v>42198.750000000007</v>
      </c>
      <c r="Y41" s="1919">
        <f>'Saisie données stocks'!S53</f>
        <v>0</v>
      </c>
      <c r="Z41" s="1920">
        <f>'Saisie données stocks'!T53</f>
        <v>0</v>
      </c>
      <c r="AA41" s="1923">
        <f t="shared" si="22"/>
        <v>0</v>
      </c>
      <c r="AB41" s="1923" t="str">
        <f>IF(AND(Y41=0, Z41=0), "ND", IF((Y41-Paramétrage!$H$19)&gt;0, (Y41-Paramétrage!$H$19)/(365/12), "Date non renseignée ou produit périmé"))</f>
        <v>ND</v>
      </c>
      <c r="AC41" s="1923" t="str">
        <f t="shared" si="23"/>
        <v>ND</v>
      </c>
      <c r="AD41" s="1923" t="str">
        <f t="shared" si="24"/>
        <v>ND</v>
      </c>
      <c r="AE41" s="1921" t="str">
        <f t="shared" si="25"/>
        <v>ND</v>
      </c>
      <c r="AF41" s="1924" t="str">
        <f t="shared" si="26"/>
        <v>ND</v>
      </c>
      <c r="AG41" s="1919">
        <f>'Saisie données stocks'!U53</f>
        <v>0</v>
      </c>
      <c r="AH41" s="1920">
        <f>'Saisie données stocks'!V53</f>
        <v>0</v>
      </c>
      <c r="AI41" s="1923">
        <f t="shared" si="27"/>
        <v>0</v>
      </c>
      <c r="AJ41" s="1923" t="str">
        <f>IF(AND(AG41=0, AH41=0), "ND", IF((AG41-Paramétrage!$H$19)&gt;0, (AG41-Paramétrage!$H$19)/(365/12), "Date non renseignée ou produit périmé"))</f>
        <v>ND</v>
      </c>
      <c r="AK41" s="1923" t="str">
        <f t="shared" si="28"/>
        <v>ND</v>
      </c>
      <c r="AL41" s="1923" t="str">
        <f t="shared" si="29"/>
        <v>ND</v>
      </c>
      <c r="AM41" s="1923" t="str">
        <f t="shared" si="30"/>
        <v>ND</v>
      </c>
      <c r="AN41" s="1924" t="str">
        <f t="shared" si="31"/>
        <v>ND</v>
      </c>
      <c r="AO41" s="1919">
        <f>'Saisie données stocks'!W53</f>
        <v>0</v>
      </c>
      <c r="AP41" s="1920">
        <f>'Saisie données stocks'!X53</f>
        <v>0</v>
      </c>
      <c r="AQ41" s="1923">
        <f t="shared" si="32"/>
        <v>0</v>
      </c>
      <c r="AR41" s="1923" t="str">
        <f>IF(AND(AO41=0, AP41=0), "ND", IF((AO41-Paramétrage!$H$19)&gt;0, (AO41-Paramétrage!$H$19)/(365/12), "Date non renseignée ou produit périmé"))</f>
        <v>ND</v>
      </c>
      <c r="AS41" s="1923" t="str">
        <f t="shared" si="33"/>
        <v>ND</v>
      </c>
      <c r="AT41" s="1923" t="str">
        <f t="shared" si="34"/>
        <v>ND</v>
      </c>
      <c r="AU41" s="1923" t="str">
        <f t="shared" si="35"/>
        <v>ND</v>
      </c>
      <c r="AV41" s="1924" t="str">
        <f t="shared" si="36"/>
        <v>ND</v>
      </c>
      <c r="AW41" s="1919">
        <f>'Saisie données stocks'!Y53</f>
        <v>0</v>
      </c>
      <c r="AX41" s="1920">
        <f>'Saisie données stocks'!Z53</f>
        <v>0</v>
      </c>
      <c r="AY41" s="1923">
        <f t="shared" si="37"/>
        <v>0</v>
      </c>
      <c r="AZ41" s="1923" t="str">
        <f>IF(AND(AW41=0, AX41=0), "ND", IF((AW41-Paramétrage!$H$19)&gt;0, (AW41-Paramétrage!$H$19)/(365/12), "Date non renseignée ou produit périmé"))</f>
        <v>ND</v>
      </c>
      <c r="BA41" s="1923" t="str">
        <f t="shared" si="38"/>
        <v>ND</v>
      </c>
      <c r="BB41" s="1923" t="str">
        <f t="shared" si="39"/>
        <v>ND</v>
      </c>
      <c r="BC41" s="1923" t="str">
        <f t="shared" si="40"/>
        <v>ND</v>
      </c>
      <c r="BD41" s="1924" t="str">
        <f t="shared" si="41"/>
        <v>ND</v>
      </c>
      <c r="BE41" s="1919">
        <f>'Saisie données stocks'!AA53</f>
        <v>0</v>
      </c>
      <c r="BF41" s="1920">
        <f>'Saisie données stocks'!AB53</f>
        <v>0</v>
      </c>
      <c r="BG41" s="1923">
        <f t="shared" si="42"/>
        <v>0</v>
      </c>
      <c r="BH41" s="1923" t="str">
        <f>IF(AND(BE41=0, BF41=0), "ND", IF((BE41-Paramétrage!$H$19)&gt;0, (BE41-Paramétrage!$H$19)/(365/12), "Date non renseignée ou produit périmé"))</f>
        <v>ND</v>
      </c>
      <c r="BI41" s="1923" t="str">
        <f t="shared" si="43"/>
        <v>ND</v>
      </c>
      <c r="BJ41" s="1923" t="str">
        <f t="shared" si="44"/>
        <v>ND</v>
      </c>
      <c r="BK41" s="1923" t="str">
        <f t="shared" si="45"/>
        <v>ND</v>
      </c>
      <c r="BL41" s="1924" t="str">
        <f t="shared" si="46"/>
        <v>ND</v>
      </c>
      <c r="BM41" s="1919">
        <f>'Saisie données stocks'!AC53</f>
        <v>0</v>
      </c>
      <c r="BN41" s="1920">
        <f>'Saisie données stocks'!AD53</f>
        <v>0</v>
      </c>
      <c r="BO41" s="1923">
        <f t="shared" si="47"/>
        <v>0</v>
      </c>
      <c r="BP41" s="1923" t="str">
        <f>IF(AND(BM41=0, BN41=0), "ND", IF((BM41-Paramétrage!$H$19)&gt;0, (BM41-Paramétrage!$H$19)/(365/12), "Date non renseignée ou produit périmé"))</f>
        <v>ND</v>
      </c>
      <c r="BQ41" s="1923" t="str">
        <f t="shared" si="48"/>
        <v>ND</v>
      </c>
      <c r="BR41" s="1923" t="str">
        <f t="shared" si="49"/>
        <v>ND</v>
      </c>
      <c r="BS41" s="1923" t="str">
        <f t="shared" si="50"/>
        <v>ND</v>
      </c>
      <c r="BT41" s="1924" t="str">
        <f t="shared" si="51"/>
        <v>ND</v>
      </c>
      <c r="BU41" s="1925">
        <f>IF('Saisie données stocks'!$O$10='TRAD-Saisie données stocks'!$B$51, IF(P41="OK", IF(AND(BR41&gt;0, ISNUMBER(BR41)), (BO41-BR41), (BO41)), O41), O41)</f>
        <v>0</v>
      </c>
      <c r="BV41" s="1925">
        <f t="shared" si="52"/>
        <v>1705</v>
      </c>
      <c r="BW41" s="2045">
        <f t="shared" si="53"/>
        <v>42095</v>
      </c>
      <c r="BX41" s="2045">
        <f>IF('Saisie données stocks'!$O$10='TRAD-Saisie données stocks'!$B$51, IF('Calculs Péremption FA'!P41="OK", IF(BU41=O41, MAX(Paramétrage!$H$19+('Saisie données stocks'!$N$14*(365/12)), BM41, BE41, AW41, AO41, AG41, Y41, R41), BW41), Paramétrage!$H$19+('Saisie données stocks'!$N$14*(365/12))), Paramétrage!$H$19+('Saisie données stocks'!$N$14*(365/12)))</f>
        <v>42095</v>
      </c>
      <c r="BY41" s="2046">
        <f t="shared" si="54"/>
        <v>1</v>
      </c>
      <c r="BZ41" s="2046">
        <f t="shared" si="55"/>
        <v>4</v>
      </c>
      <c r="CA41" s="2046">
        <f t="shared" si="56"/>
        <v>2015</v>
      </c>
      <c r="CB41" s="2046">
        <f>IF(BX41="", "", (BX41-Paramétrage!$H$19)/(365/12))</f>
        <v>5.7863013698630139</v>
      </c>
      <c r="CC41" s="2046" t="str">
        <f>IF(CB41='Saisie données stocks'!N$14, 'TRAD-Calculs Péremption FA'!$B$74, CONCATENATE("DLU - ", BY41, "/", BZ41, "/", CA41))</f>
        <v>DLU - 1/4/2015</v>
      </c>
    </row>
    <row r="42" spans="2:81" ht="25.5" x14ac:dyDescent="0.2">
      <c r="B42" s="374"/>
      <c r="C42" s="402"/>
      <c r="D42" s="1949" t="s">
        <v>598</v>
      </c>
      <c r="E42" s="1947" t="str">
        <f>'TRAD-Calculs Péremption FA'!B9</f>
        <v>Cp</v>
      </c>
      <c r="F42" s="1947" t="s">
        <v>616</v>
      </c>
      <c r="G42" s="1948" t="s">
        <v>633</v>
      </c>
      <c r="H42" s="533" t="str">
        <f t="shared" si="17"/>
        <v>FPV - 700 mg</v>
      </c>
      <c r="I42" s="1388">
        <v>60</v>
      </c>
      <c r="J42" s="1215"/>
      <c r="K42" s="1216">
        <f>IF('TdB Péremptions'!$H$9="X", 'Prix 10-2011 GPRM $'!$O$61, IF('TdB Péremptions'!$H$10="X", 'Prix 10-2011 GPRM $'!$Q$61, IF('TdB Péremptions'!$H$11="X", 'Prix VPP 102012 convert'!$O$61, IF('TdB Péremptions'!$H$12="X", 'Prix VPP 102012 convert'!$Q$61, IF('TdB Péremptions'!$H$13="X", 'Prix spécifiques'!$J$42, 0)))))</f>
        <v>92.958904109589042</v>
      </c>
      <c r="L42" s="1216">
        <f>(1+'TdB Péremptions'!$H$14)*K42</f>
        <v>102.25479452054796</v>
      </c>
      <c r="M42" s="1916">
        <f>Calculs!O188</f>
        <v>0</v>
      </c>
      <c r="N42" s="1916">
        <f>Calculs!N242</f>
        <v>0</v>
      </c>
      <c r="O42" s="1916">
        <f>'Saisie données stocks'!N54</f>
        <v>0</v>
      </c>
      <c r="P42" s="1917" t="str">
        <f>IF(SUM('Saisie données stocks'!R54+'Saisie données stocks'!T54+'Saisie données stocks'!V54+'Saisie données stocks'!X54+'Saisie données stocks'!Z54+'Saisie données stocks'!AB54+'Saisie données stocks'!AD54)='Calculs Péremption FA'!O42,  "OK", 'TRAD-Saisie données stocks'!$B$70)</f>
        <v>OK</v>
      </c>
      <c r="Q42" s="1918" t="str">
        <f>IF(AND(O42&gt;0, M42=0, N42=0), 'TRAD-Calculs Péremption FA'!$B$76, "")</f>
        <v/>
      </c>
      <c r="R42" s="1919">
        <f>'Saisie données stocks'!Q54</f>
        <v>0</v>
      </c>
      <c r="S42" s="1920">
        <f>'Saisie données stocks'!R54</f>
        <v>0</v>
      </c>
      <c r="T42" s="1921" t="str">
        <f>IF(AND(R42=0, S42=0), "ND", IF((R42-Paramétrage!$H$19)&gt;0, (R42-Paramétrage!$H$19)/(365/12), "Date non renseignée ou produit périmé"))</f>
        <v>ND</v>
      </c>
      <c r="U42" s="1922" t="str">
        <f t="shared" si="18"/>
        <v>ND</v>
      </c>
      <c r="V42" s="1922" t="str">
        <f t="shared" si="19"/>
        <v>ND</v>
      </c>
      <c r="W42" s="1921" t="str">
        <f t="shared" si="20"/>
        <v>ND</v>
      </c>
      <c r="X42" s="1924" t="str">
        <f t="shared" si="21"/>
        <v>ND</v>
      </c>
      <c r="Y42" s="1919">
        <f>'Saisie données stocks'!S54</f>
        <v>0</v>
      </c>
      <c r="Z42" s="1920">
        <f>'Saisie données stocks'!T54</f>
        <v>0</v>
      </c>
      <c r="AA42" s="1923">
        <f t="shared" si="22"/>
        <v>0</v>
      </c>
      <c r="AB42" s="1923" t="str">
        <f>IF(AND(Y42=0, Z42=0), "ND", IF((Y42-Paramétrage!$H$19)&gt;0, (Y42-Paramétrage!$H$19)/(365/12), "Date non renseignée ou produit périmé"))</f>
        <v>ND</v>
      </c>
      <c r="AC42" s="1923" t="str">
        <f t="shared" si="23"/>
        <v>ND</v>
      </c>
      <c r="AD42" s="1923" t="str">
        <f t="shared" si="24"/>
        <v>ND</v>
      </c>
      <c r="AE42" s="1921" t="str">
        <f t="shared" si="25"/>
        <v>ND</v>
      </c>
      <c r="AF42" s="1924" t="str">
        <f t="shared" si="26"/>
        <v>ND</v>
      </c>
      <c r="AG42" s="1919">
        <f>'Saisie données stocks'!U54</f>
        <v>0</v>
      </c>
      <c r="AH42" s="1920">
        <f>'Saisie données stocks'!V54</f>
        <v>0</v>
      </c>
      <c r="AI42" s="1923">
        <f t="shared" si="27"/>
        <v>0</v>
      </c>
      <c r="AJ42" s="1923" t="str">
        <f>IF(AND(AG42=0, AH42=0), "ND", IF((AG42-Paramétrage!$H$19)&gt;0, (AG42-Paramétrage!$H$19)/(365/12), "Date non renseignée ou produit périmé"))</f>
        <v>ND</v>
      </c>
      <c r="AK42" s="1923" t="str">
        <f t="shared" si="28"/>
        <v>ND</v>
      </c>
      <c r="AL42" s="1923" t="str">
        <f t="shared" si="29"/>
        <v>ND</v>
      </c>
      <c r="AM42" s="1923" t="str">
        <f t="shared" si="30"/>
        <v>ND</v>
      </c>
      <c r="AN42" s="1924" t="str">
        <f t="shared" si="31"/>
        <v>ND</v>
      </c>
      <c r="AO42" s="1919">
        <f>'Saisie données stocks'!W54</f>
        <v>0</v>
      </c>
      <c r="AP42" s="1920">
        <f>'Saisie données stocks'!X54</f>
        <v>0</v>
      </c>
      <c r="AQ42" s="1923">
        <f t="shared" si="32"/>
        <v>0</v>
      </c>
      <c r="AR42" s="1923" t="str">
        <f>IF(AND(AO42=0, AP42=0), "ND", IF((AO42-Paramétrage!$H$19)&gt;0, (AO42-Paramétrage!$H$19)/(365/12), "Date non renseignée ou produit périmé"))</f>
        <v>ND</v>
      </c>
      <c r="AS42" s="1923" t="str">
        <f t="shared" si="33"/>
        <v>ND</v>
      </c>
      <c r="AT42" s="1923" t="str">
        <f t="shared" si="34"/>
        <v>ND</v>
      </c>
      <c r="AU42" s="1923" t="str">
        <f t="shared" si="35"/>
        <v>ND</v>
      </c>
      <c r="AV42" s="1924" t="str">
        <f t="shared" si="36"/>
        <v>ND</v>
      </c>
      <c r="AW42" s="1919">
        <f>'Saisie données stocks'!Y54</f>
        <v>0</v>
      </c>
      <c r="AX42" s="1920">
        <f>'Saisie données stocks'!Z54</f>
        <v>0</v>
      </c>
      <c r="AY42" s="1923">
        <f t="shared" si="37"/>
        <v>0</v>
      </c>
      <c r="AZ42" s="1923" t="str">
        <f>IF(AND(AW42=0, AX42=0), "ND", IF((AW42-Paramétrage!$H$19)&gt;0, (AW42-Paramétrage!$H$19)/(365/12), "Date non renseignée ou produit périmé"))</f>
        <v>ND</v>
      </c>
      <c r="BA42" s="1923" t="str">
        <f t="shared" si="38"/>
        <v>ND</v>
      </c>
      <c r="BB42" s="1923" t="str">
        <f t="shared" si="39"/>
        <v>ND</v>
      </c>
      <c r="BC42" s="1923" t="str">
        <f t="shared" si="40"/>
        <v>ND</v>
      </c>
      <c r="BD42" s="1924" t="str">
        <f t="shared" si="41"/>
        <v>ND</v>
      </c>
      <c r="BE42" s="1919">
        <f>'Saisie données stocks'!AA54</f>
        <v>0</v>
      </c>
      <c r="BF42" s="1920">
        <f>'Saisie données stocks'!AB54</f>
        <v>0</v>
      </c>
      <c r="BG42" s="1923">
        <f t="shared" si="42"/>
        <v>0</v>
      </c>
      <c r="BH42" s="1923" t="str">
        <f>IF(AND(BE42=0, BF42=0), "ND", IF((BE42-Paramétrage!$H$19)&gt;0, (BE42-Paramétrage!$H$19)/(365/12), "Date non renseignée ou produit périmé"))</f>
        <v>ND</v>
      </c>
      <c r="BI42" s="1923" t="str">
        <f t="shared" si="43"/>
        <v>ND</v>
      </c>
      <c r="BJ42" s="1923" t="str">
        <f t="shared" si="44"/>
        <v>ND</v>
      </c>
      <c r="BK42" s="1923" t="str">
        <f t="shared" si="45"/>
        <v>ND</v>
      </c>
      <c r="BL42" s="1924" t="str">
        <f t="shared" si="46"/>
        <v>ND</v>
      </c>
      <c r="BM42" s="1919">
        <f>'Saisie données stocks'!AC54</f>
        <v>0</v>
      </c>
      <c r="BN42" s="1920">
        <f>'Saisie données stocks'!AD54</f>
        <v>0</v>
      </c>
      <c r="BO42" s="1923">
        <f t="shared" si="47"/>
        <v>0</v>
      </c>
      <c r="BP42" s="1923" t="str">
        <f>IF(AND(BM42=0, BN42=0), "ND", IF((BM42-Paramétrage!$H$19)&gt;0, (BM42-Paramétrage!$H$19)/(365/12), "Date non renseignée ou produit périmé"))</f>
        <v>ND</v>
      </c>
      <c r="BQ42" s="1923" t="str">
        <f t="shared" si="48"/>
        <v>ND</v>
      </c>
      <c r="BR42" s="1923" t="str">
        <f t="shared" si="49"/>
        <v>ND</v>
      </c>
      <c r="BS42" s="1923" t="str">
        <f t="shared" si="50"/>
        <v>ND</v>
      </c>
      <c r="BT42" s="1924" t="str">
        <f t="shared" si="51"/>
        <v>ND</v>
      </c>
      <c r="BU42" s="1925">
        <f>IF('Saisie données stocks'!$O$10='TRAD-Saisie données stocks'!$B$51, IF(P42="OK", IF(AND(BR42&gt;0, ISNUMBER(BR42)), (BO42-BR42), (BO42)), O42), O42)</f>
        <v>0</v>
      </c>
      <c r="BV42" s="1925">
        <f t="shared" si="52"/>
        <v>0</v>
      </c>
      <c r="BW42" s="2045" t="str">
        <f t="shared" si="53"/>
        <v/>
      </c>
      <c r="BX42" s="2045">
        <f>IF('Saisie données stocks'!$O$10='TRAD-Saisie données stocks'!$B$51, IF('Calculs Péremption FA'!P42="OK", IF(BU42=O42, MAX(Paramétrage!$H$19+('Saisie données stocks'!$N$14*(365/12)), BM42, BE42, AW42, AO42, AG42, Y42, R42), BW42), Paramétrage!$H$19+('Saisie données stocks'!$N$14*(365/12))), Paramétrage!$H$19+('Saisie données stocks'!$N$14*(365/12)))</f>
        <v>42101.5</v>
      </c>
      <c r="BY42" s="2046">
        <f t="shared" si="54"/>
        <v>7</v>
      </c>
      <c r="BZ42" s="2046">
        <f t="shared" si="55"/>
        <v>4</v>
      </c>
      <c r="CA42" s="2046">
        <f t="shared" si="56"/>
        <v>2015</v>
      </c>
      <c r="CB42" s="2046">
        <f>IF(BX42="", "", (BX42-Paramétrage!$H$19)/(365/12))</f>
        <v>6</v>
      </c>
      <c r="CC42" s="2046" t="str">
        <f>IF(CB42='Saisie données stocks'!N$14, 'TRAD-Calculs Péremption FA'!$B$74, CONCATENATE("DLU - ", BY42, "/", BZ42, "/", CA42))</f>
        <v>Durée de vie max</v>
      </c>
    </row>
    <row r="43" spans="2:81" ht="25.5" x14ac:dyDescent="0.2">
      <c r="B43" s="374"/>
      <c r="C43" s="402"/>
      <c r="D43" s="1940" t="s">
        <v>44</v>
      </c>
      <c r="E43" s="1941" t="s">
        <v>104</v>
      </c>
      <c r="F43" s="1941" t="s">
        <v>39</v>
      </c>
      <c r="G43" s="1844" t="s">
        <v>634</v>
      </c>
      <c r="H43" s="1807" t="str">
        <f t="shared" si="17"/>
        <v>IDV - 400 mg</v>
      </c>
      <c r="I43" s="1386">
        <v>180</v>
      </c>
      <c r="J43" s="1646"/>
      <c r="K43" s="1647">
        <f>IF('TdB Péremptions'!$H$9="X", 'Prix 10-2011 GPRM $'!$O$53, IF('TdB Péremptions'!$H$10="X", 'Prix 10-2011 GPRM $'!$Q$53, IF('TdB Péremptions'!$H$11="X", 'Prix VPP 102012 convert'!$O$53, IF('TdB Péremptions'!$H$12="X", 'Prix VPP 102012 convert'!$Q$53, IF('TdB Péremptions'!$H$13="X", 'Prix spécifiques'!$J$43, 0)))))</f>
        <v>50.054794520547951</v>
      </c>
      <c r="L43" s="1647">
        <f>(1+'TdB Péremptions'!$H$14)*K43</f>
        <v>55.060273972602751</v>
      </c>
      <c r="M43" s="1916">
        <f>Calculs!O189</f>
        <v>0</v>
      </c>
      <c r="N43" s="1916">
        <f>Calculs!N243</f>
        <v>0</v>
      </c>
      <c r="O43" s="1916">
        <f>'Saisie données stocks'!N55</f>
        <v>0</v>
      </c>
      <c r="P43" s="1917" t="str">
        <f>IF(SUM('Saisie données stocks'!R55+'Saisie données stocks'!T55+'Saisie données stocks'!V55+'Saisie données stocks'!X55+'Saisie données stocks'!Z55+'Saisie données stocks'!AB55+'Saisie données stocks'!AD55)='Calculs Péremption FA'!O43,  "OK", 'TRAD-Saisie données stocks'!$B$70)</f>
        <v>OK</v>
      </c>
      <c r="Q43" s="1918" t="str">
        <f>IF(AND(O43&gt;0, M43=0, N43=0), 'TRAD-Calculs Péremption FA'!$B$76, "")</f>
        <v/>
      </c>
      <c r="R43" s="1919">
        <f>'Saisie données stocks'!Q55</f>
        <v>0</v>
      </c>
      <c r="S43" s="1920">
        <f>'Saisie données stocks'!R55</f>
        <v>0</v>
      </c>
      <c r="T43" s="1921" t="str">
        <f>IF(AND(R43=0, S43=0), "ND", IF((R43-Paramétrage!$H$19)&gt;0, (R43-Paramétrage!$H$19)/(365/12), "Date non renseignée ou produit périmé"))</f>
        <v>ND</v>
      </c>
      <c r="U43" s="1922" t="str">
        <f t="shared" si="18"/>
        <v>ND</v>
      </c>
      <c r="V43" s="1922" t="str">
        <f t="shared" si="19"/>
        <v>ND</v>
      </c>
      <c r="W43" s="1921" t="str">
        <f t="shared" si="20"/>
        <v>ND</v>
      </c>
      <c r="X43" s="1924" t="str">
        <f t="shared" si="21"/>
        <v>ND</v>
      </c>
      <c r="Y43" s="1919">
        <f>'Saisie données stocks'!S55</f>
        <v>0</v>
      </c>
      <c r="Z43" s="1920">
        <f>'Saisie données stocks'!T55</f>
        <v>0</v>
      </c>
      <c r="AA43" s="1923">
        <f t="shared" si="22"/>
        <v>0</v>
      </c>
      <c r="AB43" s="1923" t="str">
        <f>IF(AND(Y43=0, Z43=0), "ND", IF((Y43-Paramétrage!$H$19)&gt;0, (Y43-Paramétrage!$H$19)/(365/12), "Date non renseignée ou produit périmé"))</f>
        <v>ND</v>
      </c>
      <c r="AC43" s="1923" t="str">
        <f t="shared" si="23"/>
        <v>ND</v>
      </c>
      <c r="AD43" s="1923" t="str">
        <f t="shared" si="24"/>
        <v>ND</v>
      </c>
      <c r="AE43" s="1921" t="str">
        <f t="shared" si="25"/>
        <v>ND</v>
      </c>
      <c r="AF43" s="1924" t="str">
        <f t="shared" si="26"/>
        <v>ND</v>
      </c>
      <c r="AG43" s="1919">
        <f>'Saisie données stocks'!U55</f>
        <v>0</v>
      </c>
      <c r="AH43" s="1920">
        <f>'Saisie données stocks'!V55</f>
        <v>0</v>
      </c>
      <c r="AI43" s="1923">
        <f t="shared" si="27"/>
        <v>0</v>
      </c>
      <c r="AJ43" s="1923" t="str">
        <f>IF(AND(AG43=0, AH43=0), "ND", IF((AG43-Paramétrage!$H$19)&gt;0, (AG43-Paramétrage!$H$19)/(365/12), "Date non renseignée ou produit périmé"))</f>
        <v>ND</v>
      </c>
      <c r="AK43" s="1923" t="str">
        <f t="shared" si="28"/>
        <v>ND</v>
      </c>
      <c r="AL43" s="1923" t="str">
        <f t="shared" si="29"/>
        <v>ND</v>
      </c>
      <c r="AM43" s="1923" t="str">
        <f t="shared" si="30"/>
        <v>ND</v>
      </c>
      <c r="AN43" s="1924" t="str">
        <f t="shared" si="31"/>
        <v>ND</v>
      </c>
      <c r="AO43" s="1919">
        <f>'Saisie données stocks'!W55</f>
        <v>0</v>
      </c>
      <c r="AP43" s="1920">
        <f>'Saisie données stocks'!X55</f>
        <v>0</v>
      </c>
      <c r="AQ43" s="1923">
        <f t="shared" si="32"/>
        <v>0</v>
      </c>
      <c r="AR43" s="1923" t="str">
        <f>IF(AND(AO43=0, AP43=0), "ND", IF((AO43-Paramétrage!$H$19)&gt;0, (AO43-Paramétrage!$H$19)/(365/12), "Date non renseignée ou produit périmé"))</f>
        <v>ND</v>
      </c>
      <c r="AS43" s="1923" t="str">
        <f t="shared" si="33"/>
        <v>ND</v>
      </c>
      <c r="AT43" s="1923" t="str">
        <f t="shared" si="34"/>
        <v>ND</v>
      </c>
      <c r="AU43" s="1923" t="str">
        <f t="shared" si="35"/>
        <v>ND</v>
      </c>
      <c r="AV43" s="1924" t="str">
        <f t="shared" si="36"/>
        <v>ND</v>
      </c>
      <c r="AW43" s="1919">
        <f>'Saisie données stocks'!Y55</f>
        <v>0</v>
      </c>
      <c r="AX43" s="1920">
        <f>'Saisie données stocks'!Z55</f>
        <v>0</v>
      </c>
      <c r="AY43" s="1923">
        <f t="shared" si="37"/>
        <v>0</v>
      </c>
      <c r="AZ43" s="1923" t="str">
        <f>IF(AND(AW43=0, AX43=0), "ND", IF((AW43-Paramétrage!$H$19)&gt;0, (AW43-Paramétrage!$H$19)/(365/12), "Date non renseignée ou produit périmé"))</f>
        <v>ND</v>
      </c>
      <c r="BA43" s="1923" t="str">
        <f t="shared" si="38"/>
        <v>ND</v>
      </c>
      <c r="BB43" s="1923" t="str">
        <f t="shared" si="39"/>
        <v>ND</v>
      </c>
      <c r="BC43" s="1923" t="str">
        <f t="shared" si="40"/>
        <v>ND</v>
      </c>
      <c r="BD43" s="1924" t="str">
        <f t="shared" si="41"/>
        <v>ND</v>
      </c>
      <c r="BE43" s="1919">
        <f>'Saisie données stocks'!AA55</f>
        <v>0</v>
      </c>
      <c r="BF43" s="1920">
        <f>'Saisie données stocks'!AB55</f>
        <v>0</v>
      </c>
      <c r="BG43" s="1923">
        <f t="shared" si="42"/>
        <v>0</v>
      </c>
      <c r="BH43" s="1923" t="str">
        <f>IF(AND(BE43=0, BF43=0), "ND", IF((BE43-Paramétrage!$H$19)&gt;0, (BE43-Paramétrage!$H$19)/(365/12), "Date non renseignée ou produit périmé"))</f>
        <v>ND</v>
      </c>
      <c r="BI43" s="1923" t="str">
        <f t="shared" si="43"/>
        <v>ND</v>
      </c>
      <c r="BJ43" s="1923" t="str">
        <f t="shared" si="44"/>
        <v>ND</v>
      </c>
      <c r="BK43" s="1923" t="str">
        <f t="shared" si="45"/>
        <v>ND</v>
      </c>
      <c r="BL43" s="1924" t="str">
        <f t="shared" si="46"/>
        <v>ND</v>
      </c>
      <c r="BM43" s="1919">
        <f>'Saisie données stocks'!AC55</f>
        <v>0</v>
      </c>
      <c r="BN43" s="1920">
        <f>'Saisie données stocks'!AD55</f>
        <v>0</v>
      </c>
      <c r="BO43" s="1923">
        <f t="shared" si="47"/>
        <v>0</v>
      </c>
      <c r="BP43" s="1923" t="str">
        <f>IF(AND(BM43=0, BN43=0), "ND", IF((BM43-Paramétrage!$H$19)&gt;0, (BM43-Paramétrage!$H$19)/(365/12), "Date non renseignée ou produit périmé"))</f>
        <v>ND</v>
      </c>
      <c r="BQ43" s="1923" t="str">
        <f t="shared" si="48"/>
        <v>ND</v>
      </c>
      <c r="BR43" s="1923" t="str">
        <f t="shared" si="49"/>
        <v>ND</v>
      </c>
      <c r="BS43" s="1923" t="str">
        <f t="shared" si="50"/>
        <v>ND</v>
      </c>
      <c r="BT43" s="1924" t="str">
        <f t="shared" si="51"/>
        <v>ND</v>
      </c>
      <c r="BU43" s="1925">
        <f>IF('Saisie données stocks'!$O$10='TRAD-Saisie données stocks'!$B$51, IF(P43="OK", IF(AND(BR43&gt;0, ISNUMBER(BR43)), (BO43-BR43), (BO43)), O43), O43)</f>
        <v>0</v>
      </c>
      <c r="BV43" s="1925">
        <f t="shared" si="52"/>
        <v>0</v>
      </c>
      <c r="BW43" s="2045" t="str">
        <f t="shared" si="53"/>
        <v/>
      </c>
      <c r="BX43" s="2045">
        <f>IF('Saisie données stocks'!$O$10='TRAD-Saisie données stocks'!$B$51, IF('Calculs Péremption FA'!P43="OK", IF(BU43=O43, MAX(Paramétrage!$H$19+('Saisie données stocks'!$N$14*(365/12)), BM43, BE43, AW43, AO43, AG43, Y43, R43), BW43), Paramétrage!$H$19+('Saisie données stocks'!$N$14*(365/12))), Paramétrage!$H$19+('Saisie données stocks'!$N$14*(365/12)))</f>
        <v>42101.5</v>
      </c>
      <c r="BY43" s="2046">
        <f t="shared" si="54"/>
        <v>7</v>
      </c>
      <c r="BZ43" s="2046">
        <f t="shared" si="55"/>
        <v>4</v>
      </c>
      <c r="CA43" s="2046">
        <f t="shared" si="56"/>
        <v>2015</v>
      </c>
      <c r="CB43" s="2046">
        <f>IF(BX43="", "", (BX43-Paramétrage!$H$19)/(365/12))</f>
        <v>6</v>
      </c>
      <c r="CC43" s="2046" t="str">
        <f>IF(CB43='Saisie données stocks'!N$14, 'TRAD-Calculs Péremption FA'!$B$74, CONCATENATE("DLU - ", BY43, "/", BZ43, "/", CA43))</f>
        <v>Durée de vie max</v>
      </c>
    </row>
    <row r="44" spans="2:81" ht="25.5" x14ac:dyDescent="0.2">
      <c r="B44" s="374"/>
      <c r="C44" s="402"/>
      <c r="D44" s="1940" t="s">
        <v>264</v>
      </c>
      <c r="E44" s="1941" t="str">
        <f>'TRAD-Calculs Péremption FA'!B9</f>
        <v>Cp</v>
      </c>
      <c r="F44" s="1950" t="s">
        <v>33</v>
      </c>
      <c r="G44" s="1844" t="s">
        <v>635</v>
      </c>
      <c r="H44" s="1807" t="str">
        <f t="shared" si="17"/>
        <v>DRV - 300 mg</v>
      </c>
      <c r="I44" s="1386">
        <v>60</v>
      </c>
      <c r="J44" s="1646"/>
      <c r="K44" s="1647">
        <f>IF('TdB Péremptions'!$H$9="X", 'Prix 10-2011 GPRM $'!$O$62, IF('TdB Péremptions'!$H$10="X", 'Prix 10-2011 GPRM $'!$Q$62, IF('TdB Péremptions'!$H$11="X", 'Prix VPP 102012 convert'!$O$62, IF('TdB Péremptions'!$H$12="X", 'Prix VPP 102012 convert'!$Q$62, IF('TdB Péremptions'!$H$13="X", 'Prix spécifiques'!$J$44, 0)))))</f>
        <v>93.041095890410958</v>
      </c>
      <c r="L44" s="1647">
        <f>(1+'TdB Péremptions'!$H$14)*K44</f>
        <v>102.34520547945206</v>
      </c>
      <c r="M44" s="1916">
        <f>Calculs!O190</f>
        <v>0</v>
      </c>
      <c r="N44" s="1916">
        <f>Calculs!N244</f>
        <v>0</v>
      </c>
      <c r="O44" s="1916">
        <f>'Saisie données stocks'!N56</f>
        <v>0</v>
      </c>
      <c r="P44" s="1917" t="str">
        <f>IF(SUM('Saisie données stocks'!R56+'Saisie données stocks'!T56+'Saisie données stocks'!V56+'Saisie données stocks'!X56+'Saisie données stocks'!Z56+'Saisie données stocks'!AB56+'Saisie données stocks'!AD56)='Calculs Péremption FA'!O44,  "OK", 'TRAD-Saisie données stocks'!$B$70)</f>
        <v>OK</v>
      </c>
      <c r="Q44" s="1918" t="str">
        <f>IF(AND(O44&gt;0, M44=0, N44=0), 'TRAD-Calculs Péremption FA'!$B$76, "")</f>
        <v/>
      </c>
      <c r="R44" s="1919">
        <f>'Saisie données stocks'!Q56</f>
        <v>0</v>
      </c>
      <c r="S44" s="1920">
        <f>'Saisie données stocks'!R56</f>
        <v>0</v>
      </c>
      <c r="T44" s="1921" t="str">
        <f>IF(AND(R44=0, S44=0), "ND", IF((R44-Paramétrage!$H$19)&gt;0, (R44-Paramétrage!$H$19)/(365/12), "Date non renseignée ou produit périmé"))</f>
        <v>ND</v>
      </c>
      <c r="U44" s="1922" t="str">
        <f t="shared" si="18"/>
        <v>ND</v>
      </c>
      <c r="V44" s="1922" t="str">
        <f t="shared" si="19"/>
        <v>ND</v>
      </c>
      <c r="W44" s="1921" t="str">
        <f t="shared" si="20"/>
        <v>ND</v>
      </c>
      <c r="X44" s="1924" t="str">
        <f t="shared" si="21"/>
        <v>ND</v>
      </c>
      <c r="Y44" s="1919">
        <f>'Saisie données stocks'!S56</f>
        <v>0</v>
      </c>
      <c r="Z44" s="1920">
        <f>'Saisie données stocks'!T56</f>
        <v>0</v>
      </c>
      <c r="AA44" s="1923">
        <f t="shared" si="22"/>
        <v>0</v>
      </c>
      <c r="AB44" s="1923" t="str">
        <f>IF(AND(Y44=0, Z44=0), "ND", IF((Y44-Paramétrage!$H$19)&gt;0, (Y44-Paramétrage!$H$19)/(365/12), "Date non renseignée ou produit périmé"))</f>
        <v>ND</v>
      </c>
      <c r="AC44" s="1923" t="str">
        <f t="shared" si="23"/>
        <v>ND</v>
      </c>
      <c r="AD44" s="1923" t="str">
        <f t="shared" si="24"/>
        <v>ND</v>
      </c>
      <c r="AE44" s="1921" t="str">
        <f t="shared" si="25"/>
        <v>ND</v>
      </c>
      <c r="AF44" s="1924" t="str">
        <f t="shared" si="26"/>
        <v>ND</v>
      </c>
      <c r="AG44" s="1919">
        <f>'Saisie données stocks'!U56</f>
        <v>0</v>
      </c>
      <c r="AH44" s="1920">
        <f>'Saisie données stocks'!V56</f>
        <v>0</v>
      </c>
      <c r="AI44" s="1923">
        <f t="shared" si="27"/>
        <v>0</v>
      </c>
      <c r="AJ44" s="1923" t="str">
        <f>IF(AND(AG44=0, AH44=0), "ND", IF((AG44-Paramétrage!$H$19)&gt;0, (AG44-Paramétrage!$H$19)/(365/12), "Date non renseignée ou produit périmé"))</f>
        <v>ND</v>
      </c>
      <c r="AK44" s="1923" t="str">
        <f t="shared" si="28"/>
        <v>ND</v>
      </c>
      <c r="AL44" s="1923" t="str">
        <f t="shared" si="29"/>
        <v>ND</v>
      </c>
      <c r="AM44" s="1923" t="str">
        <f t="shared" si="30"/>
        <v>ND</v>
      </c>
      <c r="AN44" s="1924" t="str">
        <f t="shared" si="31"/>
        <v>ND</v>
      </c>
      <c r="AO44" s="1919">
        <f>'Saisie données stocks'!W56</f>
        <v>0</v>
      </c>
      <c r="AP44" s="1920">
        <f>'Saisie données stocks'!X56</f>
        <v>0</v>
      </c>
      <c r="AQ44" s="1923">
        <f t="shared" si="32"/>
        <v>0</v>
      </c>
      <c r="AR44" s="1923" t="str">
        <f>IF(AND(AO44=0, AP44=0), "ND", IF((AO44-Paramétrage!$H$19)&gt;0, (AO44-Paramétrage!$H$19)/(365/12), "Date non renseignée ou produit périmé"))</f>
        <v>ND</v>
      </c>
      <c r="AS44" s="1923" t="str">
        <f t="shared" si="33"/>
        <v>ND</v>
      </c>
      <c r="AT44" s="1923" t="str">
        <f t="shared" si="34"/>
        <v>ND</v>
      </c>
      <c r="AU44" s="1923" t="str">
        <f t="shared" si="35"/>
        <v>ND</v>
      </c>
      <c r="AV44" s="1924" t="str">
        <f t="shared" si="36"/>
        <v>ND</v>
      </c>
      <c r="AW44" s="1919">
        <f>'Saisie données stocks'!Y56</f>
        <v>0</v>
      </c>
      <c r="AX44" s="1920">
        <f>'Saisie données stocks'!Z56</f>
        <v>0</v>
      </c>
      <c r="AY44" s="1923">
        <f t="shared" si="37"/>
        <v>0</v>
      </c>
      <c r="AZ44" s="1923" t="str">
        <f>IF(AND(AW44=0, AX44=0), "ND", IF((AW44-Paramétrage!$H$19)&gt;0, (AW44-Paramétrage!$H$19)/(365/12), "Date non renseignée ou produit périmé"))</f>
        <v>ND</v>
      </c>
      <c r="BA44" s="1923" t="str">
        <f t="shared" si="38"/>
        <v>ND</v>
      </c>
      <c r="BB44" s="1923" t="str">
        <f t="shared" si="39"/>
        <v>ND</v>
      </c>
      <c r="BC44" s="1923" t="str">
        <f t="shared" si="40"/>
        <v>ND</v>
      </c>
      <c r="BD44" s="1924" t="str">
        <f t="shared" si="41"/>
        <v>ND</v>
      </c>
      <c r="BE44" s="1919">
        <f>'Saisie données stocks'!AA56</f>
        <v>0</v>
      </c>
      <c r="BF44" s="1920">
        <f>'Saisie données stocks'!AB56</f>
        <v>0</v>
      </c>
      <c r="BG44" s="1923">
        <f t="shared" si="42"/>
        <v>0</v>
      </c>
      <c r="BH44" s="1923" t="str">
        <f>IF(AND(BE44=0, BF44=0), "ND", IF((BE44-Paramétrage!$H$19)&gt;0, (BE44-Paramétrage!$H$19)/(365/12), "Date non renseignée ou produit périmé"))</f>
        <v>ND</v>
      </c>
      <c r="BI44" s="1923" t="str">
        <f t="shared" si="43"/>
        <v>ND</v>
      </c>
      <c r="BJ44" s="1923" t="str">
        <f t="shared" si="44"/>
        <v>ND</v>
      </c>
      <c r="BK44" s="1923" t="str">
        <f t="shared" si="45"/>
        <v>ND</v>
      </c>
      <c r="BL44" s="1924" t="str">
        <f t="shared" si="46"/>
        <v>ND</v>
      </c>
      <c r="BM44" s="1919">
        <f>'Saisie données stocks'!AC56</f>
        <v>0</v>
      </c>
      <c r="BN44" s="1920">
        <f>'Saisie données stocks'!AD56</f>
        <v>0</v>
      </c>
      <c r="BO44" s="1923">
        <f t="shared" si="47"/>
        <v>0</v>
      </c>
      <c r="BP44" s="1923" t="str">
        <f>IF(AND(BM44=0, BN44=0), "ND", IF((BM44-Paramétrage!$H$19)&gt;0, (BM44-Paramétrage!$H$19)/(365/12), "Date non renseignée ou produit périmé"))</f>
        <v>ND</v>
      </c>
      <c r="BQ44" s="1923" t="str">
        <f t="shared" si="48"/>
        <v>ND</v>
      </c>
      <c r="BR44" s="1923" t="str">
        <f t="shared" si="49"/>
        <v>ND</v>
      </c>
      <c r="BS44" s="1923" t="str">
        <f t="shared" si="50"/>
        <v>ND</v>
      </c>
      <c r="BT44" s="1924" t="str">
        <f t="shared" si="51"/>
        <v>ND</v>
      </c>
      <c r="BU44" s="1925">
        <f>IF('Saisie données stocks'!$O$10='TRAD-Saisie données stocks'!$B$51, IF(P44="OK", IF(AND(BR44&gt;0, ISNUMBER(BR44)), (BO44-BR44), (BO44)), O44), O44)</f>
        <v>0</v>
      </c>
      <c r="BV44" s="1925">
        <f t="shared" si="52"/>
        <v>0</v>
      </c>
      <c r="BW44" s="2045" t="str">
        <f t="shared" si="53"/>
        <v/>
      </c>
      <c r="BX44" s="2045">
        <f>IF('Saisie données stocks'!$O$10='TRAD-Saisie données stocks'!$B$51, IF('Calculs Péremption FA'!P44="OK", IF(BU44=O44, MAX(Paramétrage!$H$19+('Saisie données stocks'!$N$14*(365/12)), BM44, BE44, AW44, AO44, AG44, Y44, R44), BW44), Paramétrage!$H$19+('Saisie données stocks'!$N$14*(365/12))), Paramétrage!$H$19+('Saisie données stocks'!$N$14*(365/12)))</f>
        <v>42101.5</v>
      </c>
      <c r="BY44" s="2046">
        <f t="shared" si="54"/>
        <v>7</v>
      </c>
      <c r="BZ44" s="2046">
        <f t="shared" si="55"/>
        <v>4</v>
      </c>
      <c r="CA44" s="2046">
        <f t="shared" si="56"/>
        <v>2015</v>
      </c>
      <c r="CB44" s="2046">
        <f>IF(BX44="", "", (BX44-Paramétrage!$H$19)/(365/12))</f>
        <v>6</v>
      </c>
      <c r="CC44" s="2046" t="str">
        <f>IF(CB44='Saisie données stocks'!N$14, 'TRAD-Calculs Péremption FA'!$B$74, CONCATENATE("DLU - ", BY44, "/", BZ44, "/", CA44))</f>
        <v>Durée de vie max</v>
      </c>
    </row>
    <row r="45" spans="2:81" ht="25.5" x14ac:dyDescent="0.2">
      <c r="B45" s="374"/>
      <c r="C45" s="402"/>
      <c r="D45" s="1940" t="s">
        <v>126</v>
      </c>
      <c r="E45" s="1941" t="str">
        <f>'TRAD-Calculs Péremption FA'!B9</f>
        <v>Cp</v>
      </c>
      <c r="F45" s="1941" t="s">
        <v>134</v>
      </c>
      <c r="G45" s="1844" t="s">
        <v>636</v>
      </c>
      <c r="H45" s="1807" t="str">
        <f t="shared" si="17"/>
        <v>SQV - 500 mg</v>
      </c>
      <c r="I45" s="1386">
        <v>120</v>
      </c>
      <c r="J45" s="1646"/>
      <c r="K45" s="1647">
        <f>IF('TdB Péremptions'!$H$9="X", 'Prix 10-2011 GPRM $'!$O$58, IF('TdB Péremptions'!$H$10="X", 'Prix 10-2011 GPRM $'!$Q$58, IF('TdB Péremptions'!$H$11="X", 'Prix VPP 102012 convert'!$O$58, IF('TdB Péremptions'!$H$12="X", 'Prix VPP 102012 convert'!$Q$58, IF('TdB Péremptions'!$H$13="X", 'Prix spécifiques'!$J$45, 0)))))</f>
        <v>103.56164383561644</v>
      </c>
      <c r="L45" s="1647">
        <f>(1+'TdB Péremptions'!$H$14)*K45</f>
        <v>113.91780821917808</v>
      </c>
      <c r="M45" s="1916">
        <f>Calculs!O191</f>
        <v>0</v>
      </c>
      <c r="N45" s="1916">
        <f>Calculs!N245</f>
        <v>0</v>
      </c>
      <c r="O45" s="1916">
        <f>'Saisie données stocks'!N57</f>
        <v>0</v>
      </c>
      <c r="P45" s="1917" t="str">
        <f>IF(SUM('Saisie données stocks'!R57+'Saisie données stocks'!T57+'Saisie données stocks'!V57+'Saisie données stocks'!X57+'Saisie données stocks'!Z57+'Saisie données stocks'!AB57+'Saisie données stocks'!AD57)='Calculs Péremption FA'!O45,  "OK", 'TRAD-Saisie données stocks'!$B$70)</f>
        <v>OK</v>
      </c>
      <c r="Q45" s="1918" t="str">
        <f>IF(AND(O45&gt;0, M45=0, N45=0), 'TRAD-Calculs Péremption FA'!$B$76, "")</f>
        <v/>
      </c>
      <c r="R45" s="1919">
        <f>'Saisie données stocks'!Q57</f>
        <v>0</v>
      </c>
      <c r="S45" s="1920">
        <f>'Saisie données stocks'!R57</f>
        <v>0</v>
      </c>
      <c r="T45" s="1921" t="str">
        <f>IF(AND(R45=0, S45=0), "ND", IF((R45-Paramétrage!$H$19)&gt;0, (R45-Paramétrage!$H$19)/(365/12), "Date non renseignée ou produit périmé"))</f>
        <v>ND</v>
      </c>
      <c r="U45" s="1922" t="str">
        <f t="shared" si="18"/>
        <v>ND</v>
      </c>
      <c r="V45" s="1922" t="str">
        <f t="shared" si="19"/>
        <v>ND</v>
      </c>
      <c r="W45" s="1921" t="str">
        <f t="shared" si="20"/>
        <v>ND</v>
      </c>
      <c r="X45" s="1924" t="str">
        <f t="shared" si="21"/>
        <v>ND</v>
      </c>
      <c r="Y45" s="1919">
        <f>'Saisie données stocks'!S57</f>
        <v>0</v>
      </c>
      <c r="Z45" s="1920">
        <f>'Saisie données stocks'!T57</f>
        <v>0</v>
      </c>
      <c r="AA45" s="1923">
        <f t="shared" si="22"/>
        <v>0</v>
      </c>
      <c r="AB45" s="1923" t="str">
        <f>IF(AND(Y45=0, Z45=0), "ND", IF((Y45-Paramétrage!$H$19)&gt;0, (Y45-Paramétrage!$H$19)/(365/12), "Date non renseignée ou produit périmé"))</f>
        <v>ND</v>
      </c>
      <c r="AC45" s="1923" t="str">
        <f t="shared" si="23"/>
        <v>ND</v>
      </c>
      <c r="AD45" s="1923" t="str">
        <f t="shared" si="24"/>
        <v>ND</v>
      </c>
      <c r="AE45" s="1921" t="str">
        <f t="shared" si="25"/>
        <v>ND</v>
      </c>
      <c r="AF45" s="1924" t="str">
        <f t="shared" si="26"/>
        <v>ND</v>
      </c>
      <c r="AG45" s="1919">
        <f>'Saisie données stocks'!U57</f>
        <v>0</v>
      </c>
      <c r="AH45" s="1920">
        <f>'Saisie données stocks'!V57</f>
        <v>0</v>
      </c>
      <c r="AI45" s="1923">
        <f t="shared" si="27"/>
        <v>0</v>
      </c>
      <c r="AJ45" s="1923" t="str">
        <f>IF(AND(AG45=0, AH45=0), "ND", IF((AG45-Paramétrage!$H$19)&gt;0, (AG45-Paramétrage!$H$19)/(365/12), "Date non renseignée ou produit périmé"))</f>
        <v>ND</v>
      </c>
      <c r="AK45" s="1923" t="str">
        <f t="shared" si="28"/>
        <v>ND</v>
      </c>
      <c r="AL45" s="1923" t="str">
        <f t="shared" si="29"/>
        <v>ND</v>
      </c>
      <c r="AM45" s="1923" t="str">
        <f t="shared" si="30"/>
        <v>ND</v>
      </c>
      <c r="AN45" s="1924" t="str">
        <f t="shared" si="31"/>
        <v>ND</v>
      </c>
      <c r="AO45" s="1919">
        <f>'Saisie données stocks'!W57</f>
        <v>0</v>
      </c>
      <c r="AP45" s="1920">
        <f>'Saisie données stocks'!X57</f>
        <v>0</v>
      </c>
      <c r="AQ45" s="1923">
        <f t="shared" si="32"/>
        <v>0</v>
      </c>
      <c r="AR45" s="1923" t="str">
        <f>IF(AND(AO45=0, AP45=0), "ND", IF((AO45-Paramétrage!$H$19)&gt;0, (AO45-Paramétrage!$H$19)/(365/12), "Date non renseignée ou produit périmé"))</f>
        <v>ND</v>
      </c>
      <c r="AS45" s="1923" t="str">
        <f t="shared" si="33"/>
        <v>ND</v>
      </c>
      <c r="AT45" s="1923" t="str">
        <f t="shared" si="34"/>
        <v>ND</v>
      </c>
      <c r="AU45" s="1923" t="str">
        <f t="shared" si="35"/>
        <v>ND</v>
      </c>
      <c r="AV45" s="1924" t="str">
        <f t="shared" si="36"/>
        <v>ND</v>
      </c>
      <c r="AW45" s="1919">
        <f>'Saisie données stocks'!Y57</f>
        <v>0</v>
      </c>
      <c r="AX45" s="1920">
        <f>'Saisie données stocks'!Z57</f>
        <v>0</v>
      </c>
      <c r="AY45" s="1923">
        <f t="shared" si="37"/>
        <v>0</v>
      </c>
      <c r="AZ45" s="1923" t="str">
        <f>IF(AND(AW45=0, AX45=0), "ND", IF((AW45-Paramétrage!$H$19)&gt;0, (AW45-Paramétrage!$H$19)/(365/12), "Date non renseignée ou produit périmé"))</f>
        <v>ND</v>
      </c>
      <c r="BA45" s="1923" t="str">
        <f t="shared" si="38"/>
        <v>ND</v>
      </c>
      <c r="BB45" s="1923" t="str">
        <f t="shared" si="39"/>
        <v>ND</v>
      </c>
      <c r="BC45" s="1923" t="str">
        <f t="shared" si="40"/>
        <v>ND</v>
      </c>
      <c r="BD45" s="1924" t="str">
        <f t="shared" si="41"/>
        <v>ND</v>
      </c>
      <c r="BE45" s="1919">
        <f>'Saisie données stocks'!AA57</f>
        <v>0</v>
      </c>
      <c r="BF45" s="1920">
        <f>'Saisie données stocks'!AB57</f>
        <v>0</v>
      </c>
      <c r="BG45" s="1923">
        <f t="shared" si="42"/>
        <v>0</v>
      </c>
      <c r="BH45" s="1923" t="str">
        <f>IF(AND(BE45=0, BF45=0), "ND", IF((BE45-Paramétrage!$H$19)&gt;0, (BE45-Paramétrage!$H$19)/(365/12), "Date non renseignée ou produit périmé"))</f>
        <v>ND</v>
      </c>
      <c r="BI45" s="1923" t="str">
        <f t="shared" si="43"/>
        <v>ND</v>
      </c>
      <c r="BJ45" s="1923" t="str">
        <f t="shared" si="44"/>
        <v>ND</v>
      </c>
      <c r="BK45" s="1923" t="str">
        <f t="shared" si="45"/>
        <v>ND</v>
      </c>
      <c r="BL45" s="1924" t="str">
        <f t="shared" si="46"/>
        <v>ND</v>
      </c>
      <c r="BM45" s="1919">
        <f>'Saisie données stocks'!AC57</f>
        <v>0</v>
      </c>
      <c r="BN45" s="1920">
        <f>'Saisie données stocks'!AD57</f>
        <v>0</v>
      </c>
      <c r="BO45" s="1923">
        <f t="shared" si="47"/>
        <v>0</v>
      </c>
      <c r="BP45" s="1923" t="str">
        <f>IF(AND(BM45=0, BN45=0), "ND", IF((BM45-Paramétrage!$H$19)&gt;0, (BM45-Paramétrage!$H$19)/(365/12), "Date non renseignée ou produit périmé"))</f>
        <v>ND</v>
      </c>
      <c r="BQ45" s="1923" t="str">
        <f t="shared" si="48"/>
        <v>ND</v>
      </c>
      <c r="BR45" s="1923" t="str">
        <f t="shared" si="49"/>
        <v>ND</v>
      </c>
      <c r="BS45" s="1923" t="str">
        <f t="shared" si="50"/>
        <v>ND</v>
      </c>
      <c r="BT45" s="1924" t="str">
        <f t="shared" si="51"/>
        <v>ND</v>
      </c>
      <c r="BU45" s="1925">
        <f>IF('Saisie données stocks'!$O$10='TRAD-Saisie données stocks'!$B$51, IF(P45="OK", IF(AND(BR45&gt;0, ISNUMBER(BR45)), (BO45-BR45), (BO45)), O45), O45)</f>
        <v>0</v>
      </c>
      <c r="BV45" s="1925">
        <f t="shared" si="52"/>
        <v>0</v>
      </c>
      <c r="BW45" s="2045" t="str">
        <f t="shared" si="53"/>
        <v/>
      </c>
      <c r="BX45" s="2045">
        <f>IF('Saisie données stocks'!$O$10='TRAD-Saisie données stocks'!$B$51, IF('Calculs Péremption FA'!P45="OK", IF(BU45=O45, MAX(Paramétrage!$H$19+('Saisie données stocks'!$N$14*(365/12)), BM45, BE45, AW45, AO45, AG45, Y45, R45), BW45), Paramétrage!$H$19+('Saisie données stocks'!$N$14*(365/12))), Paramétrage!$H$19+('Saisie données stocks'!$N$14*(365/12)))</f>
        <v>42101.5</v>
      </c>
      <c r="BY45" s="2046">
        <f t="shared" si="54"/>
        <v>7</v>
      </c>
      <c r="BZ45" s="2046">
        <f t="shared" si="55"/>
        <v>4</v>
      </c>
      <c r="CA45" s="2046">
        <f t="shared" si="56"/>
        <v>2015</v>
      </c>
      <c r="CB45" s="2046">
        <f>IF(BX45="", "", (BX45-Paramétrage!$H$19)/(365/12))</f>
        <v>6</v>
      </c>
      <c r="CC45" s="2046" t="str">
        <f>IF(CB45='Saisie données stocks'!N$14, 'TRAD-Calculs Péremption FA'!$B$74, CONCATENATE("DLU - ", BY45, "/", BZ45, "/", CA45))</f>
        <v>Durée de vie max</v>
      </c>
    </row>
    <row r="46" spans="2:81" ht="26.25" thickBot="1" x14ac:dyDescent="0.25">
      <c r="B46" s="388"/>
      <c r="C46" s="389"/>
      <c r="D46" s="1927" t="s">
        <v>45</v>
      </c>
      <c r="E46" s="1928" t="str">
        <f>'TRAD-Calculs Péremption FA'!B9</f>
        <v>Cp</v>
      </c>
      <c r="F46" s="1928" t="s">
        <v>46</v>
      </c>
      <c r="G46" s="1942" t="s">
        <v>637</v>
      </c>
      <c r="H46" s="1801" t="str">
        <f t="shared" si="17"/>
        <v>RTV - 100 mg</v>
      </c>
      <c r="I46" s="1798">
        <v>84</v>
      </c>
      <c r="J46" s="1802"/>
      <c r="K46" s="1803">
        <f>IF('TdB Péremptions'!$H$9="X", 'Prix 10-2011 GPRM $'!$O$57, IF('TdB Péremptions'!$H$10="X", 'Prix 10-2011 GPRM $'!$Q$57, IF('TdB Péremptions'!$H$11="X", 'Prix VPP 102012 convert'!$O$57, IF('TdB Péremptions'!$H$12="X", 'Prix VPP 102012 convert'!$Q$57, IF('TdB Péremptions'!$H$13="X", 'Prix spécifiques'!$J$46, 0)))))</f>
        <v>5.35</v>
      </c>
      <c r="L46" s="1803">
        <f>(1+'TdB Péremptions'!$H$14)*K46</f>
        <v>5.8849999999999998</v>
      </c>
      <c r="M46" s="1929">
        <f>Calculs!O192</f>
        <v>0</v>
      </c>
      <c r="N46" s="1929">
        <f>Calculs!N246</f>
        <v>0</v>
      </c>
      <c r="O46" s="1929">
        <f>'Saisie données stocks'!N58</f>
        <v>0</v>
      </c>
      <c r="P46" s="1930" t="str">
        <f>IF(SUM('Saisie données stocks'!R58+'Saisie données stocks'!T58+'Saisie données stocks'!V58+'Saisie données stocks'!X58+'Saisie données stocks'!Z58+'Saisie données stocks'!AB58+'Saisie données stocks'!AD58)='Calculs Péremption FA'!O46,  "OK", 'TRAD-Saisie données stocks'!$B$70)</f>
        <v>OK</v>
      </c>
      <c r="Q46" s="1931" t="str">
        <f>IF(AND(O46&gt;0, M46=0, N46=0), 'TRAD-Calculs Péremption FA'!$B$76, "")</f>
        <v/>
      </c>
      <c r="R46" s="1932">
        <f>'Saisie données stocks'!Q58</f>
        <v>0</v>
      </c>
      <c r="S46" s="1933">
        <f>'Saisie données stocks'!R58</f>
        <v>0</v>
      </c>
      <c r="T46" s="1934" t="str">
        <f>IF(AND(R46=0, S46=0), "ND", IF((R46-Paramétrage!$H$19)&gt;0, (R46-Paramétrage!$H$19)/(365/12), "Date non renseignée ou produit périmé"))</f>
        <v>ND</v>
      </c>
      <c r="U46" s="1935" t="str">
        <f t="shared" si="18"/>
        <v>ND</v>
      </c>
      <c r="V46" s="1935" t="str">
        <f t="shared" si="19"/>
        <v>ND</v>
      </c>
      <c r="W46" s="1934" t="str">
        <f t="shared" si="20"/>
        <v>ND</v>
      </c>
      <c r="X46" s="1937" t="str">
        <f t="shared" si="21"/>
        <v>ND</v>
      </c>
      <c r="Y46" s="1932">
        <f>'Saisie données stocks'!S58</f>
        <v>0</v>
      </c>
      <c r="Z46" s="1933">
        <f>'Saisie données stocks'!T58</f>
        <v>0</v>
      </c>
      <c r="AA46" s="1936">
        <f t="shared" si="22"/>
        <v>0</v>
      </c>
      <c r="AB46" s="1936" t="str">
        <f>IF(AND(Y46=0, Z46=0), "ND", IF((Y46-Paramétrage!$H$19)&gt;0, (Y46-Paramétrage!$H$19)/(365/12), "Date non renseignée ou produit périmé"))</f>
        <v>ND</v>
      </c>
      <c r="AC46" s="1936" t="str">
        <f t="shared" si="23"/>
        <v>ND</v>
      </c>
      <c r="AD46" s="1936" t="str">
        <f t="shared" si="24"/>
        <v>ND</v>
      </c>
      <c r="AE46" s="1934" t="str">
        <f t="shared" si="25"/>
        <v>ND</v>
      </c>
      <c r="AF46" s="1937" t="str">
        <f t="shared" si="26"/>
        <v>ND</v>
      </c>
      <c r="AG46" s="1932">
        <f>'Saisie données stocks'!U58</f>
        <v>0</v>
      </c>
      <c r="AH46" s="1933">
        <f>'Saisie données stocks'!V58</f>
        <v>0</v>
      </c>
      <c r="AI46" s="1936">
        <f t="shared" si="27"/>
        <v>0</v>
      </c>
      <c r="AJ46" s="1936" t="str">
        <f>IF(AND(AG46=0, AH46=0), "ND", IF((AG46-Paramétrage!$H$19)&gt;0, (AG46-Paramétrage!$H$19)/(365/12), "Date non renseignée ou produit périmé"))</f>
        <v>ND</v>
      </c>
      <c r="AK46" s="1936" t="str">
        <f t="shared" si="28"/>
        <v>ND</v>
      </c>
      <c r="AL46" s="1936" t="str">
        <f t="shared" si="29"/>
        <v>ND</v>
      </c>
      <c r="AM46" s="1936" t="str">
        <f t="shared" si="30"/>
        <v>ND</v>
      </c>
      <c r="AN46" s="1937" t="str">
        <f t="shared" si="31"/>
        <v>ND</v>
      </c>
      <c r="AO46" s="1932">
        <f>'Saisie données stocks'!W58</f>
        <v>0</v>
      </c>
      <c r="AP46" s="1933">
        <f>'Saisie données stocks'!X58</f>
        <v>0</v>
      </c>
      <c r="AQ46" s="1936">
        <f t="shared" si="32"/>
        <v>0</v>
      </c>
      <c r="AR46" s="1936" t="str">
        <f>IF(AND(AO46=0, AP46=0), "ND", IF((AO46-Paramétrage!$H$19)&gt;0, (AO46-Paramétrage!$H$19)/(365/12), "Date non renseignée ou produit périmé"))</f>
        <v>ND</v>
      </c>
      <c r="AS46" s="1936" t="str">
        <f t="shared" si="33"/>
        <v>ND</v>
      </c>
      <c r="AT46" s="1936" t="str">
        <f t="shared" si="34"/>
        <v>ND</v>
      </c>
      <c r="AU46" s="1936" t="str">
        <f t="shared" si="35"/>
        <v>ND</v>
      </c>
      <c r="AV46" s="1937" t="str">
        <f t="shared" si="36"/>
        <v>ND</v>
      </c>
      <c r="AW46" s="1932">
        <f>'Saisie données stocks'!Y58</f>
        <v>0</v>
      </c>
      <c r="AX46" s="1933">
        <f>'Saisie données stocks'!Z58</f>
        <v>0</v>
      </c>
      <c r="AY46" s="1936">
        <f t="shared" si="37"/>
        <v>0</v>
      </c>
      <c r="AZ46" s="1936" t="str">
        <f>IF(AND(AW46=0, AX46=0), "ND", IF((AW46-Paramétrage!$H$19)&gt;0, (AW46-Paramétrage!$H$19)/(365/12), "Date non renseignée ou produit périmé"))</f>
        <v>ND</v>
      </c>
      <c r="BA46" s="1936" t="str">
        <f t="shared" si="38"/>
        <v>ND</v>
      </c>
      <c r="BB46" s="1936" t="str">
        <f t="shared" si="39"/>
        <v>ND</v>
      </c>
      <c r="BC46" s="1936" t="str">
        <f t="shared" si="40"/>
        <v>ND</v>
      </c>
      <c r="BD46" s="1937" t="str">
        <f t="shared" si="41"/>
        <v>ND</v>
      </c>
      <c r="BE46" s="1932">
        <f>'Saisie données stocks'!AA58</f>
        <v>0</v>
      </c>
      <c r="BF46" s="1933">
        <f>'Saisie données stocks'!AB58</f>
        <v>0</v>
      </c>
      <c r="BG46" s="1936">
        <f t="shared" si="42"/>
        <v>0</v>
      </c>
      <c r="BH46" s="1936" t="str">
        <f>IF(AND(BE46=0, BF46=0), "ND", IF((BE46-Paramétrage!$H$19)&gt;0, (BE46-Paramétrage!$H$19)/(365/12), "Date non renseignée ou produit périmé"))</f>
        <v>ND</v>
      </c>
      <c r="BI46" s="1936" t="str">
        <f t="shared" si="43"/>
        <v>ND</v>
      </c>
      <c r="BJ46" s="1936" t="str">
        <f t="shared" si="44"/>
        <v>ND</v>
      </c>
      <c r="BK46" s="1936" t="str">
        <f t="shared" si="45"/>
        <v>ND</v>
      </c>
      <c r="BL46" s="1937" t="str">
        <f t="shared" si="46"/>
        <v>ND</v>
      </c>
      <c r="BM46" s="1932">
        <f>'Saisie données stocks'!AC58</f>
        <v>0</v>
      </c>
      <c r="BN46" s="1933">
        <f>'Saisie données stocks'!AD58</f>
        <v>0</v>
      </c>
      <c r="BO46" s="1936">
        <f t="shared" si="47"/>
        <v>0</v>
      </c>
      <c r="BP46" s="1936" t="str">
        <f>IF(AND(BM46=0, BN46=0), "ND", IF((BM46-Paramétrage!$H$19)&gt;0, (BM46-Paramétrage!$H$19)/(365/12), "Date non renseignée ou produit périmé"))</f>
        <v>ND</v>
      </c>
      <c r="BQ46" s="1936" t="str">
        <f t="shared" si="48"/>
        <v>ND</v>
      </c>
      <c r="BR46" s="1936" t="str">
        <f t="shared" si="49"/>
        <v>ND</v>
      </c>
      <c r="BS46" s="1936" t="str">
        <f t="shared" si="50"/>
        <v>ND</v>
      </c>
      <c r="BT46" s="1937" t="str">
        <f t="shared" si="51"/>
        <v>ND</v>
      </c>
      <c r="BU46" s="1938">
        <f>IF('Saisie données stocks'!$O$10='TRAD-Saisie données stocks'!$B$51, IF(P46="OK", IF(AND(BR46&gt;0, ISNUMBER(BR46)), (BO46-BR46), (BO46)), O46), O46)</f>
        <v>0</v>
      </c>
      <c r="BV46" s="1938">
        <f t="shared" si="52"/>
        <v>0</v>
      </c>
      <c r="BW46" s="2047" t="str">
        <f t="shared" si="53"/>
        <v/>
      </c>
      <c r="BX46" s="2047">
        <f>IF('Saisie données stocks'!$O$10='TRAD-Saisie données stocks'!$B$51, IF('Calculs Péremption FA'!P46="OK", IF(BU46=O46, MAX(Paramétrage!$H$19+('Saisie données stocks'!$N$14*(365/12)), BM46, BE46, AW46, AO46, AG46, Y46, R46), BW46), Paramétrage!$H$19+('Saisie données stocks'!$N$14*(365/12))), Paramétrage!$H$19+('Saisie données stocks'!$N$14*(365/12)))</f>
        <v>42101.5</v>
      </c>
      <c r="BY46" s="2048">
        <f t="shared" si="54"/>
        <v>7</v>
      </c>
      <c r="BZ46" s="2048">
        <f t="shared" si="55"/>
        <v>4</v>
      </c>
      <c r="CA46" s="2048">
        <f t="shared" si="56"/>
        <v>2015</v>
      </c>
      <c r="CB46" s="2048">
        <f>IF(BX46="", "", (BX46-Paramétrage!$H$19)/(365/12))</f>
        <v>6</v>
      </c>
      <c r="CC46" s="2048" t="str">
        <f>IF(CB46='Saisie données stocks'!N$14, 'TRAD-Calculs Péremption FA'!$B$74, CONCATENATE("DLU - ", BY46, "/", BZ46, "/", CA46))</f>
        <v>Durée de vie max</v>
      </c>
    </row>
    <row r="47" spans="2:81" ht="26.25" thickBot="1" x14ac:dyDescent="0.25">
      <c r="B47" s="1951"/>
      <c r="C47" s="1952" t="s">
        <v>266</v>
      </c>
      <c r="D47" s="1953" t="s">
        <v>267</v>
      </c>
      <c r="E47" s="1954" t="str">
        <f>'TRAD-Calculs Péremption FA'!B9</f>
        <v>Cp</v>
      </c>
      <c r="F47" s="1954" t="s">
        <v>39</v>
      </c>
      <c r="G47" s="1955" t="s">
        <v>638</v>
      </c>
      <c r="H47" s="379" t="str">
        <f t="shared" si="17"/>
        <v>RLT = RAL - 400 mg</v>
      </c>
      <c r="I47" s="1804">
        <v>60</v>
      </c>
      <c r="J47" s="1805"/>
      <c r="K47" s="1806">
        <f>IF('TdB Péremptions'!$H$9="X", 'Prix 10-2011 GPRM $'!$O$63, IF('TdB Péremptions'!$H$10="X", 'Prix 10-2011 GPRM $'!$Q$63, IF('TdB Péremptions'!$H$11="X", 'Prix VPP 102012 convert'!$O$63, IF('TdB Péremptions'!$H$12="X", 'Prix VPP 102012 convert'!$Q$63, IF('TdB Péremptions'!$H$13="X", 'Prix spécifiques'!$J$47, 0)))))</f>
        <v>183.04109589041096</v>
      </c>
      <c r="L47" s="1806">
        <f>(1+'TdB Péremptions'!$H$14)*K47</f>
        <v>201.34520547945206</v>
      </c>
      <c r="M47" s="1956">
        <f>Calculs!O193</f>
        <v>0</v>
      </c>
      <c r="N47" s="1956">
        <f>Calculs!N247</f>
        <v>0</v>
      </c>
      <c r="O47" s="1956">
        <f>'Saisie données stocks'!N59</f>
        <v>0</v>
      </c>
      <c r="P47" s="1957" t="str">
        <f>IF(SUM('Saisie données stocks'!R59+'Saisie données stocks'!T59+'Saisie données stocks'!V59+'Saisie données stocks'!X59+'Saisie données stocks'!Z59+'Saisie données stocks'!AB59+'Saisie données stocks'!AD59)='Calculs Péremption FA'!O47,  "OK", 'TRAD-Saisie données stocks'!$B$70)</f>
        <v>OK</v>
      </c>
      <c r="Q47" s="1958" t="str">
        <f>IF(AND(O47&gt;0, M47=0, N47=0), 'TRAD-Calculs Péremption FA'!$B$76, "")</f>
        <v/>
      </c>
      <c r="R47" s="1959">
        <f>'Saisie données stocks'!Q59</f>
        <v>0</v>
      </c>
      <c r="S47" s="1960">
        <f>'Saisie données stocks'!R59</f>
        <v>0</v>
      </c>
      <c r="T47" s="1961" t="str">
        <f>IF(AND(R47=0, S47=0), "ND", IF((R47-Paramétrage!$H$19)&gt;0, (R47-Paramétrage!$H$19)/(365/12), "Date non renseignée ou produit périmé"))</f>
        <v>ND</v>
      </c>
      <c r="U47" s="1962" t="str">
        <f t="shared" si="18"/>
        <v>ND</v>
      </c>
      <c r="V47" s="1962" t="str">
        <f t="shared" si="19"/>
        <v>ND</v>
      </c>
      <c r="W47" s="1961" t="str">
        <f t="shared" si="20"/>
        <v>ND</v>
      </c>
      <c r="X47" s="2052" t="str">
        <f t="shared" si="21"/>
        <v>ND</v>
      </c>
      <c r="Y47" s="1959">
        <f>'Saisie données stocks'!S59</f>
        <v>0</v>
      </c>
      <c r="Z47" s="1960">
        <f>'Saisie données stocks'!T59</f>
        <v>0</v>
      </c>
      <c r="AA47" s="1963">
        <f t="shared" si="22"/>
        <v>0</v>
      </c>
      <c r="AB47" s="1963" t="str">
        <f>IF(AND(Y47=0, Z47=0), "ND", IF((Y47-Paramétrage!$H$19)&gt;0, (Y47-Paramétrage!$H$19)/(365/12), "Date non renseignée ou produit périmé"))</f>
        <v>ND</v>
      </c>
      <c r="AC47" s="1963" t="str">
        <f t="shared" si="23"/>
        <v>ND</v>
      </c>
      <c r="AD47" s="1963" t="str">
        <f t="shared" si="24"/>
        <v>ND</v>
      </c>
      <c r="AE47" s="1961" t="str">
        <f t="shared" si="25"/>
        <v>ND</v>
      </c>
      <c r="AF47" s="1964" t="str">
        <f t="shared" si="26"/>
        <v>ND</v>
      </c>
      <c r="AG47" s="1959">
        <f>'Saisie données stocks'!U59</f>
        <v>0</v>
      </c>
      <c r="AH47" s="1960">
        <f>'Saisie données stocks'!V59</f>
        <v>0</v>
      </c>
      <c r="AI47" s="1963">
        <f t="shared" si="27"/>
        <v>0</v>
      </c>
      <c r="AJ47" s="1963" t="str">
        <f>IF(AND(AG47=0, AH47=0), "ND", IF((AG47-Paramétrage!$H$19)&gt;0, (AG47-Paramétrage!$H$19)/(365/12), "Date non renseignée ou produit périmé"))</f>
        <v>ND</v>
      </c>
      <c r="AK47" s="1963" t="str">
        <f t="shared" si="28"/>
        <v>ND</v>
      </c>
      <c r="AL47" s="1963" t="str">
        <f t="shared" si="29"/>
        <v>ND</v>
      </c>
      <c r="AM47" s="1963" t="str">
        <f t="shared" si="30"/>
        <v>ND</v>
      </c>
      <c r="AN47" s="1964" t="str">
        <f t="shared" si="31"/>
        <v>ND</v>
      </c>
      <c r="AO47" s="1959">
        <f>'Saisie données stocks'!W59</f>
        <v>0</v>
      </c>
      <c r="AP47" s="1960">
        <f>'Saisie données stocks'!X59</f>
        <v>0</v>
      </c>
      <c r="AQ47" s="1963">
        <f t="shared" si="32"/>
        <v>0</v>
      </c>
      <c r="AR47" s="1963" t="str">
        <f>IF(AND(AO47=0, AP47=0), "ND", IF((AO47-Paramétrage!$H$19)&gt;0, (AO47-Paramétrage!$H$19)/(365/12), "Date non renseignée ou produit périmé"))</f>
        <v>ND</v>
      </c>
      <c r="AS47" s="1963" t="str">
        <f t="shared" si="33"/>
        <v>ND</v>
      </c>
      <c r="AT47" s="1963" t="str">
        <f t="shared" si="34"/>
        <v>ND</v>
      </c>
      <c r="AU47" s="1963" t="str">
        <f t="shared" si="35"/>
        <v>ND</v>
      </c>
      <c r="AV47" s="1964" t="str">
        <f t="shared" si="36"/>
        <v>ND</v>
      </c>
      <c r="AW47" s="1959">
        <f>'Saisie données stocks'!Y59</f>
        <v>0</v>
      </c>
      <c r="AX47" s="1960">
        <f>'Saisie données stocks'!Z59</f>
        <v>0</v>
      </c>
      <c r="AY47" s="1963">
        <f t="shared" si="37"/>
        <v>0</v>
      </c>
      <c r="AZ47" s="1963" t="str">
        <f>IF(AND(AW47=0, AX47=0), "ND", IF((AW47-Paramétrage!$H$19)&gt;0, (AW47-Paramétrage!$H$19)/(365/12), "Date non renseignée ou produit périmé"))</f>
        <v>ND</v>
      </c>
      <c r="BA47" s="1963" t="str">
        <f t="shared" si="38"/>
        <v>ND</v>
      </c>
      <c r="BB47" s="1963" t="str">
        <f t="shared" si="39"/>
        <v>ND</v>
      </c>
      <c r="BC47" s="1963" t="str">
        <f t="shared" si="40"/>
        <v>ND</v>
      </c>
      <c r="BD47" s="1964" t="str">
        <f t="shared" si="41"/>
        <v>ND</v>
      </c>
      <c r="BE47" s="1959">
        <f>'Saisie données stocks'!AA59</f>
        <v>0</v>
      </c>
      <c r="BF47" s="1960">
        <f>'Saisie données stocks'!AB59</f>
        <v>0</v>
      </c>
      <c r="BG47" s="1963">
        <f t="shared" si="42"/>
        <v>0</v>
      </c>
      <c r="BH47" s="1963" t="str">
        <f>IF(AND(BE47=0, BF47=0), "ND", IF((BE47-Paramétrage!$H$19)&gt;0, (BE47-Paramétrage!$H$19)/(365/12), "Date non renseignée ou produit périmé"))</f>
        <v>ND</v>
      </c>
      <c r="BI47" s="1963" t="str">
        <f t="shared" si="43"/>
        <v>ND</v>
      </c>
      <c r="BJ47" s="1963" t="str">
        <f t="shared" si="44"/>
        <v>ND</v>
      </c>
      <c r="BK47" s="1963" t="str">
        <f t="shared" si="45"/>
        <v>ND</v>
      </c>
      <c r="BL47" s="1964" t="str">
        <f t="shared" si="46"/>
        <v>ND</v>
      </c>
      <c r="BM47" s="1959">
        <f>'Saisie données stocks'!AC59</f>
        <v>0</v>
      </c>
      <c r="BN47" s="1960">
        <f>'Saisie données stocks'!AD59</f>
        <v>0</v>
      </c>
      <c r="BO47" s="1963">
        <f t="shared" si="47"/>
        <v>0</v>
      </c>
      <c r="BP47" s="1963" t="str">
        <f>IF(AND(BM47=0, BN47=0), "ND", IF((BM47-Paramétrage!$H$19)&gt;0, (BM47-Paramétrage!$H$19)/(365/12), "Date non renseignée ou produit périmé"))</f>
        <v>ND</v>
      </c>
      <c r="BQ47" s="1963" t="str">
        <f t="shared" si="48"/>
        <v>ND</v>
      </c>
      <c r="BR47" s="1963" t="str">
        <f t="shared" si="49"/>
        <v>ND</v>
      </c>
      <c r="BS47" s="1963" t="str">
        <f t="shared" si="50"/>
        <v>ND</v>
      </c>
      <c r="BT47" s="1964" t="str">
        <f t="shared" si="51"/>
        <v>ND</v>
      </c>
      <c r="BU47" s="1965">
        <f>IF('Saisie données stocks'!$O$10='TRAD-Saisie données stocks'!$B$51, IF(P47="OK", IF(AND(BR47&gt;0, ISNUMBER(BR47)), (BO47-BR47), (BO47)), O47), O47)</f>
        <v>0</v>
      </c>
      <c r="BV47" s="1965">
        <f t="shared" si="52"/>
        <v>0</v>
      </c>
      <c r="BW47" s="2049" t="str">
        <f t="shared" si="53"/>
        <v/>
      </c>
      <c r="BX47" s="2049">
        <f>IF('Saisie données stocks'!$O$10='TRAD-Saisie données stocks'!$B$51, IF('Calculs Péremption FA'!P47="OK", IF(BU47=O47, MAX(Paramétrage!$H$19+('Saisie données stocks'!$N$14*(365/12)), BM47, BE47, AW47, AO47, AG47, Y47, R47), BW47), Paramétrage!$H$19+('Saisie données stocks'!$N$14*(365/12))), Paramétrage!$H$19+('Saisie données stocks'!$N$14*(365/12)))</f>
        <v>42101.5</v>
      </c>
      <c r="BY47" s="2050">
        <f t="shared" si="54"/>
        <v>7</v>
      </c>
      <c r="BZ47" s="2050">
        <f t="shared" si="55"/>
        <v>4</v>
      </c>
      <c r="CA47" s="2050">
        <f t="shared" si="56"/>
        <v>2015</v>
      </c>
      <c r="CB47" s="2050">
        <f>IF(BX47="", "", (BX47-Paramétrage!$H$19)/(365/12))</f>
        <v>6</v>
      </c>
      <c r="CC47" s="2050" t="str">
        <f>IF(CB47='Saisie données stocks'!N$14, 'TRAD-Calculs Péremption FA'!$B$74, CONCATENATE("DLU - ", BY47, "/", BZ47, "/", CA47))</f>
        <v>Durée de vie max</v>
      </c>
    </row>
    <row r="48" spans="2:81" ht="102.75" thickBot="1" x14ac:dyDescent="0.25">
      <c r="B48" s="1966"/>
      <c r="C48" s="1967"/>
      <c r="D48" s="364" t="str">
        <f>'TRAD-Calculs Péremption FA'!B4</f>
        <v>Composition</v>
      </c>
      <c r="E48" s="365" t="str">
        <f>'TRAD-Calculs Péremption FA'!B5</f>
        <v>Forme galénique</v>
      </c>
      <c r="F48" s="365" t="str">
        <f>'TRAD-Calculs Péremption FA'!B6</f>
        <v>Dosage</v>
      </c>
      <c r="G48" s="365"/>
      <c r="H48" s="365" t="str">
        <f>'TRAD-Calculs Péremption FA'!B11</f>
        <v>Nom pour représentation graphique</v>
      </c>
      <c r="I48" s="365" t="str">
        <f>'TRAD-Calculs Péremption FA'!B12</f>
        <v>Volume Conditionnement</v>
      </c>
      <c r="J48" s="327" t="str">
        <f>'TRAD-Calculs Péremption FA'!B14</f>
        <v>conditionnement secondaire</v>
      </c>
      <c r="K48" s="1896" t="str">
        <f>'TRAD-Calculs Péremption FA'!B15</f>
        <v>Prix / boite (US$ - EXW)</v>
      </c>
      <c r="L48" s="1896" t="str">
        <f>'TRAD-Calculs Péremption FA'!B16</f>
        <v>Prix / boite (US$ - EXW+frais de gestion)</v>
      </c>
      <c r="M48" s="2057" t="str">
        <f>'TRAD-Calculs Péremption FA'!B17</f>
        <v>Besoin mensuel patients suivis selon méthode</v>
      </c>
      <c r="N48" s="2057" t="str">
        <f>'TRAD-Calculs Péremption FA'!B18</f>
        <v>Besoin mensuel patients initiés selon méthode</v>
      </c>
      <c r="O48" s="1968" t="str">
        <f>'TRAD-Calculs Péremption FA'!B19</f>
        <v>Quantités en stock central
(nb de boites)</v>
      </c>
      <c r="P48" s="1969" t="str">
        <f>'TRAD-Calculs Péremption FA'!B20</f>
        <v>Indicateur Détail des péremptions du stocks disponible</v>
      </c>
      <c r="Q48" s="1970"/>
      <c r="R48" s="1971" t="str">
        <f>'TRAD-Calculs Péremption FA'!B22</f>
        <v>Date de péremption 
1</v>
      </c>
      <c r="S48" s="1972" t="str">
        <f>'TRAD-Calculs Péremption FA'!B23</f>
        <v>Quantités 
(nb de boites) 
1</v>
      </c>
      <c r="T48" s="1969" t="str">
        <f>'TRAD-Calculs Péremption FA'!B24</f>
        <v>Durée d'utilisation (date péremption-date estimation) (nb de mois 30 j)</v>
      </c>
      <c r="U48" s="1969" t="str">
        <f>'TRAD-Calculs Péremption FA'!B25</f>
        <v>Estimation Quantités nécessaires pour la période (nb de boites)</v>
      </c>
      <c r="V48" s="1969" t="str">
        <f>'TRAD-Calculs Péremption FA'!B26</f>
        <v>Quantités du surstock (+) ou des besoins jusqu'à la DLU (-) (nb de boites)</v>
      </c>
      <c r="W48" s="1969" t="str">
        <f>'TRAD-Calculs Péremption FA'!B27</f>
        <v xml:space="preserve">Indicateur </v>
      </c>
      <c r="X48" s="1973" t="str">
        <f>'TRAD-Calculs Péremption FA'!B28</f>
        <v>Montant de la perte ($)</v>
      </c>
      <c r="Y48" s="1971" t="str">
        <f>'TRAD-Calculs Péremption FA'!B29</f>
        <v>Date de péremption 2</v>
      </c>
      <c r="Z48" s="1972" t="str">
        <f>'TRAD-Calculs Péremption FA'!B30</f>
        <v>Quantités (nb de boites) 2</v>
      </c>
      <c r="AA48" s="1969"/>
      <c r="AB48" s="1969" t="str">
        <f>'TRAD-Calculs Péremption FA'!B24</f>
        <v>Durée d'utilisation (date péremption-date estimation) (nb de mois 30 j)</v>
      </c>
      <c r="AC48" s="1969" t="str">
        <f>'TRAD-Calculs Péremption FA'!B39</f>
        <v xml:space="preserve">Estimation Quantités totales nécessaires pour la période date estimation - DLU2 (nb de boites) </v>
      </c>
      <c r="AD48" s="1969" t="str">
        <f>'TRAD-Calculs Péremption FA'!B26</f>
        <v>Quantités du surstock (+) ou des besoins jusqu'à la DLU (-) (nb de boites)</v>
      </c>
      <c r="AE48" s="1969" t="str">
        <f>'TRAD-Calculs Péremption FA'!B27</f>
        <v xml:space="preserve">Indicateur </v>
      </c>
      <c r="AF48" s="1973" t="str">
        <f>'TRAD-Calculs Péremption FA'!B28</f>
        <v>Montant de la perte ($)</v>
      </c>
      <c r="AG48" s="1971" t="str">
        <f>'TRAD-Calculs Péremption FA'!B40</f>
        <v>Date de péremption  3</v>
      </c>
      <c r="AH48" s="1972" t="str">
        <f>'TRAD-Calculs Péremption FA'!B41</f>
        <v>Quantités (nb de boites) 3</v>
      </c>
      <c r="AI48" s="1969"/>
      <c r="AJ48" s="1969" t="str">
        <f>'TRAD-Calculs Péremption FA'!B24</f>
        <v>Durée d'utilisation (date péremption-date estimation) (nb de mois 30 j)</v>
      </c>
      <c r="AK48" s="1969" t="str">
        <f>'TRAD-Calculs Péremption FA'!B43</f>
        <v xml:space="preserve">Estimation Quantités totales nécessaires pour la période date estimation - DLU3 (nb de boites) </v>
      </c>
      <c r="AL48" s="1969" t="str">
        <f>'TRAD-Calculs Péremption FA'!B26</f>
        <v>Quantités du surstock (+) ou des besoins jusqu'à la DLU (-) (nb de boites)</v>
      </c>
      <c r="AM48" s="1969" t="str">
        <f>'TRAD-Calculs Péremption FA'!B27</f>
        <v xml:space="preserve">Indicateur </v>
      </c>
      <c r="AN48" s="1973" t="str">
        <f>'TRAD-Calculs Péremption FA'!B28</f>
        <v>Montant de la perte ($)</v>
      </c>
      <c r="AO48" s="1971" t="str">
        <f>'TRAD-Calculs Péremption FA'!B44</f>
        <v>Date de péremption 4</v>
      </c>
      <c r="AP48" s="1972" t="str">
        <f>'TRAD-Calculs Péremption FA'!B45</f>
        <v>Quantités (nb de boites) 4</v>
      </c>
      <c r="AQ48" s="1969"/>
      <c r="AR48" s="1969" t="str">
        <f>'TRAD-Calculs Péremption FA'!B24</f>
        <v>Durée d'utilisation (date péremption-date estimation) (nb de mois 30 j)</v>
      </c>
      <c r="AS48" s="1969" t="str">
        <f>'TRAD-Calculs Péremption FA'!B47</f>
        <v xml:space="preserve">Estimation Quantités totales nécessaires pour la période date estimation - DLU4 (nb de boites) </v>
      </c>
      <c r="AT48" s="1969" t="str">
        <f>'TRAD-Calculs Péremption FA'!B26</f>
        <v>Quantités du surstock (+) ou des besoins jusqu'à la DLU (-) (nb de boites)</v>
      </c>
      <c r="AU48" s="1969" t="str">
        <f>'TRAD-Calculs Péremption FA'!B27</f>
        <v xml:space="preserve">Indicateur </v>
      </c>
      <c r="AV48" s="1973" t="str">
        <f>'TRAD-Calculs Péremption FA'!B28</f>
        <v>Montant de la perte ($)</v>
      </c>
      <c r="AW48" s="1971" t="str">
        <f>'TRAD-Calculs Péremption FA'!B50</f>
        <v>Date de péremption 5</v>
      </c>
      <c r="AX48" s="1972" t="str">
        <f>'TRAD-Calculs Péremption FA'!B48</f>
        <v>Quantités (nb de boites) 5</v>
      </c>
      <c r="AY48" s="1969"/>
      <c r="AZ48" s="1969" t="str">
        <f>'TRAD-Calculs Péremption FA'!B24</f>
        <v>Durée d'utilisation (date péremption-date estimation) (nb de mois 30 j)</v>
      </c>
      <c r="BA48" s="1969" t="str">
        <f>'TRAD-Calculs Péremption FA'!B52</f>
        <v xml:space="preserve">Estimation Quantités totales nécessaires pour la période date estimation - DLU5 (nb de boites) </v>
      </c>
      <c r="BB48" s="1969" t="str">
        <f>'TRAD-Calculs Péremption FA'!B26</f>
        <v>Quantités du surstock (+) ou des besoins jusqu'à la DLU (-) (nb de boites)</v>
      </c>
      <c r="BC48" s="1969" t="str">
        <f>'TRAD-Calculs Péremption FA'!B27</f>
        <v xml:space="preserve">Indicateur </v>
      </c>
      <c r="BD48" s="1973" t="str">
        <f>'TRAD-Calculs Péremption FA'!B28</f>
        <v>Montant de la perte ($)</v>
      </c>
      <c r="BE48" s="1971" t="str">
        <f>'TRAD-Calculs Péremption FA'!B54</f>
        <v>Date de péremption 6</v>
      </c>
      <c r="BF48" s="1972" t="str">
        <f>'TRAD-Calculs Péremption FA'!B53</f>
        <v>Quantités (nb de boites) 6</v>
      </c>
      <c r="BG48" s="1969"/>
      <c r="BH48" s="1969" t="str">
        <f>'TRAD-Calculs Péremption FA'!B24</f>
        <v>Durée d'utilisation (date péremption-date estimation) (nb de mois 30 j)</v>
      </c>
      <c r="BI48" s="1969" t="str">
        <f>'TRAD-Calculs Péremption FA'!B56</f>
        <v xml:space="preserve">Estimation Quantités totales nécessaires pour la période date estimation - DLU6 (nb de boites) </v>
      </c>
      <c r="BJ48" s="1969" t="str">
        <f>'TRAD-Calculs Péremption FA'!B26</f>
        <v>Quantités du surstock (+) ou des besoins jusqu'à la DLU (-) (nb de boites)</v>
      </c>
      <c r="BK48" s="1969" t="str">
        <f>'TRAD-Calculs Péremption FA'!B27</f>
        <v xml:space="preserve">Indicateur </v>
      </c>
      <c r="BL48" s="1973" t="str">
        <f>'TRAD-Calculs Péremption FA'!B28</f>
        <v>Montant de la perte ($)</v>
      </c>
      <c r="BM48" s="1971" t="str">
        <f>'TRAD-Calculs Péremption FA'!B59</f>
        <v>Date de péremption 7</v>
      </c>
      <c r="BN48" s="1972" t="str">
        <f>'TRAD-Calculs Péremption FA'!B57</f>
        <v>Quantités  (nb de boites) 7</v>
      </c>
      <c r="BO48" s="1969"/>
      <c r="BP48" s="1969" t="str">
        <f>'TRAD-Calculs Péremption FA'!B24</f>
        <v>Durée d'utilisation (date péremption-date estimation) (nb de mois 30 j)</v>
      </c>
      <c r="BQ48" s="1969" t="str">
        <f>'TRAD-Calculs Péremption FA'!B60</f>
        <v xml:space="preserve">Estimation Quantités totales nécessaires pour la période date estimation - DLU7 (nb de boites) </v>
      </c>
      <c r="BR48" s="1969" t="str">
        <f>'TRAD-Calculs Péremption FA'!B26</f>
        <v>Quantités du surstock (+) ou des besoins jusqu'à la DLU (-) (nb de boites)</v>
      </c>
      <c r="BS48" s="1969" t="str">
        <f>'TRAD-Calculs Péremption FA'!B27</f>
        <v xml:space="preserve">Indicateur </v>
      </c>
      <c r="BT48" s="1973" t="str">
        <f>'TRAD-Calculs Péremption FA'!B28</f>
        <v>Montant de la perte ($)</v>
      </c>
      <c r="BU48" s="1794" t="str">
        <f>'TRAD-Calculs Péremption FA'!B61</f>
        <v>Quantités totales UTILISABLES (nb cdt) selon paramétrage</v>
      </c>
      <c r="BV48" s="1794" t="str">
        <f>'TRAD-Calculs Péremption FA'!B62</f>
        <v>Pertes totales (nb cdt)</v>
      </c>
      <c r="BW48" s="1899" t="str">
        <f>'TRAD-Calculs Péremption FA'!B63</f>
        <v>Date de péremption maximale stock utilisable</v>
      </c>
      <c r="BX48" s="1899" t="str">
        <f>'TRAD-Calculs Péremption FA'!B64</f>
        <v>DLU Max ou calculée à partir de durée d'utilisation (date péremption-date estimation) saisie</v>
      </c>
      <c r="BY48" s="1794" t="str">
        <f>'TRAD-Calculs Péremption FA'!B65</f>
        <v>Jour</v>
      </c>
      <c r="BZ48" s="1794" t="str">
        <f>'TRAD-Calculs Péremption FA'!B66</f>
        <v>Mois</v>
      </c>
      <c r="CA48" s="1794" t="str">
        <f>'TRAD-Calculs Péremption FA'!B67</f>
        <v>Année</v>
      </c>
      <c r="CB48" s="1794" t="str">
        <f>'TRAD-Calculs Péremption FA'!B68</f>
        <v>Délai Aujdhui / DLU MAX (Mois)</v>
      </c>
      <c r="CC48" s="1794" t="str">
        <f>'TRAD-Calculs Péremption FA'!B69</f>
        <v>Indicateur si durée de vie max</v>
      </c>
    </row>
    <row r="49" spans="2:81" ht="25.5" x14ac:dyDescent="0.2">
      <c r="B49" s="1974" t="str">
        <f>'TRAD-Calculs Péremption FA'!B70</f>
        <v>Solutions buvables</v>
      </c>
      <c r="C49" s="1975" t="s">
        <v>31</v>
      </c>
      <c r="D49" s="1976" t="s">
        <v>32</v>
      </c>
      <c r="E49" s="1977" t="str">
        <f>'TRAD-Calculs Péremption FA'!B71</f>
        <v>sol buv</v>
      </c>
      <c r="F49" s="1977" t="s">
        <v>80</v>
      </c>
      <c r="G49" s="1977"/>
      <c r="H49" s="371" t="str">
        <f>CONCATENATE(D49, " - ", F49)</f>
        <v>AZT - 10 mg/mL</v>
      </c>
      <c r="I49" s="1978">
        <f>'Saisie données stocks'!$L$61</f>
        <v>240</v>
      </c>
      <c r="J49" s="1978">
        <f>'Saisie données stocks'!$M$61</f>
        <v>1</v>
      </c>
      <c r="K49" s="3159">
        <f>IF('TdB Péremptions'!$H$9="X", 'Prix 10-2011 GPRM $'!$L$91, IF('TdB Péremptions'!$H$10="X", 'Prix 10-2011 GPRM $'!$N$91, IF('TdB Péremptions'!$H$11="X", 'Prix VPP 102012 convert'!$L$91, IF('TdB Péremptions'!$H$12="X", 'Prix VPP 102012 convert'!$N$91, IF('TdB Péremptions'!$H$13="X", 'Prix spécifiques'!$I$49, 0)))))*I49</f>
        <v>2.25</v>
      </c>
      <c r="L49" s="3159">
        <f>(1+'TdB Péremptions'!$H$14)*K49</f>
        <v>2.4750000000000001</v>
      </c>
      <c r="M49" s="1980">
        <f>Calculs!O195</f>
        <v>0</v>
      </c>
      <c r="N49" s="1980">
        <f>Calculs!N249</f>
        <v>0</v>
      </c>
      <c r="O49" s="1980">
        <f>'Saisie données stocks'!N61</f>
        <v>0</v>
      </c>
      <c r="P49" s="1981" t="str">
        <f>IF(SUM('Saisie données stocks'!R61+'Saisie données stocks'!T61+'Saisie données stocks'!V61+'Saisie données stocks'!X61+'Saisie données stocks'!Z61+'Saisie données stocks'!AB61+'Saisie données stocks'!AD61)='Calculs Péremption FA'!O49,  "OK", 'TRAD-Saisie données stocks'!$B$70)</f>
        <v>OK</v>
      </c>
      <c r="Q49" s="1982" t="str">
        <f>IF(AND(O49&gt;0, M49=0, N49=0), 'TRAD-Calculs Péremption FA'!$B$76, "")</f>
        <v/>
      </c>
      <c r="R49" s="1983">
        <f>'Saisie données stocks'!Q61</f>
        <v>0</v>
      </c>
      <c r="S49" s="1984">
        <f>'Saisie données stocks'!R61</f>
        <v>0</v>
      </c>
      <c r="T49" s="1985" t="str">
        <f>IF(AND(R49=0, S49=0), "ND", IF((R49-Paramétrage!$H$19)&gt;0, (R49-Paramétrage!$H$19)/(365/12), "Date non renseignée ou produit périmé"))</f>
        <v>ND</v>
      </c>
      <c r="U49" s="1986" t="str">
        <f t="shared" ref="U49:U56" si="57">IF(ISERROR(T49*M49+(N49*(T49*(T49+1)/2))), "ND", (T49*M49+(N49*(T49*(T49+1)/2))))</f>
        <v>ND</v>
      </c>
      <c r="V49" s="1986" t="str">
        <f t="shared" ref="V49:V56" si="58">IF(ISERROR(S49-U49), "ND", (S49-U49))</f>
        <v>ND</v>
      </c>
      <c r="W49" s="1987" t="str">
        <f t="shared" ref="W49:W56" si="59">IF(V49="ND", "ND", IF(V49&gt;0, "ATTENTION SURSTOCK et risque de péremption", "OK"))</f>
        <v>ND</v>
      </c>
      <c r="X49" s="1988" t="str">
        <f t="shared" ref="X49:X56" si="60">IF(V49="ND", "ND", IF(V49&gt;0, V49*$L49, ""))</f>
        <v>ND</v>
      </c>
      <c r="Y49" s="1989">
        <f>'Saisie données stocks'!S61</f>
        <v>0</v>
      </c>
      <c r="Z49" s="1981">
        <f>'Saisie données stocks'!T61</f>
        <v>0</v>
      </c>
      <c r="AA49" s="1990">
        <f t="shared" ref="AA49:AA56" si="61">IF(AND(V49&gt;0, ISNUMBER(V49)), (Z49+S49-V49), (Z49+S49))</f>
        <v>0</v>
      </c>
      <c r="AB49" s="1990" t="str">
        <f>IF(AND(Y49=0, Z49=0), "ND", IF((Y49-Paramétrage!$H$19)&gt;0, (Y49-Paramétrage!$H$19)/(365/12), "Date non renseignée ou produit périmé"))</f>
        <v>ND</v>
      </c>
      <c r="AC49" s="1990" t="str">
        <f t="shared" ref="AC49:AC56" si="62">IF(ISERROR(AB49*M49+(N49*(AB49*(AB49+1)/2))), "ND", AB49*M49+(N49*(AB49*(AB49+1)/2)))</f>
        <v>ND</v>
      </c>
      <c r="AD49" s="1990" t="str">
        <f t="shared" ref="AD49:AD56" si="63">IF(AND(ISNUMBER(AA49), ISNUMBER(AC49)), (AA49-AC49), "ND")</f>
        <v>ND</v>
      </c>
      <c r="AE49" s="1985" t="str">
        <f t="shared" ref="AE49:AE56" si="64">IF(AD49="ND", "ND", IF(AD49&gt;0, "ATTENTION SURSTOCK et risque de péremption", "OK"))</f>
        <v>ND</v>
      </c>
      <c r="AF49" s="1988" t="str">
        <f t="shared" ref="AF49:AF56" si="65">IF(AD49="ND", "ND", IF(AD49&gt;0, AD49*$L49, ""))</f>
        <v>ND</v>
      </c>
      <c r="AG49" s="1991">
        <f>'Saisie données stocks'!U61</f>
        <v>0</v>
      </c>
      <c r="AH49" s="1981">
        <f>'Saisie données stocks'!V61</f>
        <v>0</v>
      </c>
      <c r="AI49" s="1992">
        <f t="shared" ref="AI49:AI56" si="66">IF(AND(AD49&gt;0, ISNUMBER(AD49)), (AA49+AH49-AD49), (AA49+AH49))</f>
        <v>0</v>
      </c>
      <c r="AJ49" s="1992" t="str">
        <f>IF(AND(AG49=0, AH49=0), "ND", IF((AG49-Paramétrage!$H$19)&gt;0, (AG49-Paramétrage!$H$19)/(365/12), "Date non renseignée ou produit périmé"))</f>
        <v>ND</v>
      </c>
      <c r="AK49" s="1992" t="str">
        <f t="shared" ref="AK49:AK56" si="67">IF(ISERROR(AJ49*M49+(N49*(AJ49*(AJ49+1)/2))), "ND", AJ49*M49+(N49*(AJ49*(AJ49+1)/2)))</f>
        <v>ND</v>
      </c>
      <c r="AL49" s="1990" t="str">
        <f t="shared" ref="AL49:AL56" si="68">IF(AND(ISNUMBER(AI49), ISNUMBER(AK49)), (AI49-AK49), "ND")</f>
        <v>ND</v>
      </c>
      <c r="AM49" s="1992" t="str">
        <f t="shared" ref="AM49:AM56" si="69">IF(AL49="ND", "ND", IF(AL49&gt;0, "ATTENTION SURSTOCK et risque de péremption", "OK"))</f>
        <v>ND</v>
      </c>
      <c r="AN49" s="1988" t="str">
        <f t="shared" ref="AN49:AN56" si="70">IF(AL49="ND", "ND", IF(AL49&gt;0, AL49*$L49, ""))</f>
        <v>ND</v>
      </c>
      <c r="AO49" s="1991">
        <f>'Saisie données stocks'!W61</f>
        <v>0</v>
      </c>
      <c r="AP49" s="1981">
        <f>'Saisie données stocks'!X61</f>
        <v>0</v>
      </c>
      <c r="AQ49" s="1990">
        <f t="shared" ref="AQ49:AQ56" si="71">IF(AND(AL49&gt;0, ISNUMBER(AL49)), (AI49+AP49-AL49), (AI49+AP49))</f>
        <v>0</v>
      </c>
      <c r="AR49" s="1990" t="str">
        <f>IF(AND(AO49=0, AP49=0), "ND", IF((AO49-Paramétrage!$H$19)&gt;0, (AO49-Paramétrage!$H$19)/(365/12), "Date non renseignée ou produit périmé"))</f>
        <v>ND</v>
      </c>
      <c r="AS49" s="1990" t="str">
        <f t="shared" ref="AS49:AS56" si="72">IF(ISERROR(AR49*M49+(N49*(AR49*(AR49+1)/2))), "ND", AR49*M49+(N49*(AR49*(AR49+1)/2)))</f>
        <v>ND</v>
      </c>
      <c r="AT49" s="1990" t="str">
        <f t="shared" ref="AT49:AT56" si="73">IF(AND(ISNUMBER(AQ49), ISNUMBER(AS49)), (AQ49-AS49), "ND")</f>
        <v>ND</v>
      </c>
      <c r="AU49" s="1990" t="str">
        <f t="shared" ref="AU49:AU56" si="74">IF(AT49="ND", "ND", IF(AT49&gt;0, "ATTENTION SURSTOCK et risque de péremption", "OK"))</f>
        <v>ND</v>
      </c>
      <c r="AV49" s="1988" t="str">
        <f t="shared" ref="AV49:AV56" si="75">IF(AT49="ND", "ND", IF(AT49&gt;0, AT49*$L49, ""))</f>
        <v>ND</v>
      </c>
      <c r="AW49" s="1991">
        <f>'Saisie données stocks'!Y61</f>
        <v>0</v>
      </c>
      <c r="AX49" s="1981">
        <f>'Saisie données stocks'!Z61</f>
        <v>0</v>
      </c>
      <c r="AY49" s="1990">
        <f t="shared" ref="AY49:AY56" si="76">IF(AND(AT49&gt;0, ISNUMBER(AT49)), (AQ49+AX49-AT49), (AQ49+AX49))</f>
        <v>0</v>
      </c>
      <c r="AZ49" s="1990" t="str">
        <f>IF(AND(AW49=0, AX49=0), "ND", IF((AW49-Paramétrage!$H$19)&gt;0, (AW49-Paramétrage!$H$19)/(365/12), "Date non renseignée ou produit périmé"))</f>
        <v>ND</v>
      </c>
      <c r="BA49" s="1990" t="str">
        <f t="shared" ref="BA49:BA56" si="77">IF(ISERROR(AZ49*M49+(N49*(AZ49*(AZ49+1)/2))), "ND", AZ49*M49+(N49*(AZ49*(AZ49+1)/2)))</f>
        <v>ND</v>
      </c>
      <c r="BB49" s="1990" t="str">
        <f t="shared" ref="BB49:BB56" si="78">IF(AND(ISNUMBER(AY49), ISNUMBER(BA49)), (AY49-BA49), "ND")</f>
        <v>ND</v>
      </c>
      <c r="BC49" s="1990" t="str">
        <f t="shared" ref="BC49:BC56" si="79">IF(BB49="ND", "ND", IF(BB49&gt;0, "ATTENTION SURSTOCK et risque de péremption", "OK"))</f>
        <v>ND</v>
      </c>
      <c r="BD49" s="1988" t="str">
        <f t="shared" ref="BD49:BD56" si="80">IF(BB49="ND", "ND", IF(BB49&gt;0, BB49*$L49, ""))</f>
        <v>ND</v>
      </c>
      <c r="BE49" s="1991">
        <f>'Saisie données stocks'!AA61</f>
        <v>0</v>
      </c>
      <c r="BF49" s="1981">
        <f>'Saisie données stocks'!AB61</f>
        <v>0</v>
      </c>
      <c r="BG49" s="1990">
        <f t="shared" ref="BG49:BG56" si="81">IF(AND(BB49&gt;0, ISNUMBER(BB49)), (AY49+BF49-BB49), (AY49+BF49))</f>
        <v>0</v>
      </c>
      <c r="BH49" s="1990" t="str">
        <f>IF(AND(BE49=0, BF49=0), "ND", IF((BE49-Paramétrage!$H$19)&gt;0, (BE49-Paramétrage!$H$19)/(365/12), "Date non renseignée ou produit périmé"))</f>
        <v>ND</v>
      </c>
      <c r="BI49" s="1993" t="str">
        <f t="shared" ref="BI49:BI56" si="82">IF(ISERROR(BH49*M49+(N49*(BH49*(BH49+1)/2))), "ND", BH49*M49+(N49*(BH49*(BH49+1)/2)))</f>
        <v>ND</v>
      </c>
      <c r="BJ49" s="1990" t="str">
        <f t="shared" ref="BJ49:BJ56" si="83">IF(AND(ISNUMBER(BG49), ISNUMBER(BI49)), (BG49-BI49), "ND")</f>
        <v>ND</v>
      </c>
      <c r="BK49" s="1990" t="str">
        <f t="shared" ref="BK49:BK56" si="84">IF(BJ49="ND", "ND", IF(BJ49&gt;0, "ATTENTION SURSTOCK et risque de péremption", "OK"))</f>
        <v>ND</v>
      </c>
      <c r="BL49" s="1988" t="str">
        <f t="shared" ref="BL49:BL56" si="85">IF(BJ49="ND", "ND", IF(BJ49&gt;0, BJ49*$L49, ""))</f>
        <v>ND</v>
      </c>
      <c r="BM49" s="1991">
        <f>'Saisie données stocks'!AC61</f>
        <v>0</v>
      </c>
      <c r="BN49" s="1981">
        <f>'Saisie données stocks'!AD61</f>
        <v>0</v>
      </c>
      <c r="BO49" s="1990">
        <f t="shared" ref="BO49:BO56" si="86">IF(AND(BJ49&gt;0, ISNUMBER(BJ49)), (BG49+BN49-BJ49), (BG49+BN49))</f>
        <v>0</v>
      </c>
      <c r="BP49" s="1990" t="str">
        <f>IF(AND(BM49=0, BN49=0), "ND", IF((BM49-Paramétrage!$H$19)&gt;0, (BM49-Paramétrage!$H$19)/(365/12), "Date non renseignée ou produit périmé"))</f>
        <v>ND</v>
      </c>
      <c r="BQ49" s="1990" t="str">
        <f t="shared" ref="BQ49:BQ56" si="87">IF(ISERROR(BP49*M49+(N49*(BP49*(BP49+1)/2))), "ND", BP49*M49+(N49*(BP49*(BP49+1)/2)))</f>
        <v>ND</v>
      </c>
      <c r="BR49" s="1990" t="str">
        <f t="shared" ref="BR49:BR56" si="88">IF(AND(ISNUMBER(BO49), ISNUMBER(BQ49)), (BO49-BQ49), "ND")</f>
        <v>ND</v>
      </c>
      <c r="BS49" s="1990" t="str">
        <f t="shared" ref="BS49:BS56" si="89">IF(BR49="ND", "ND", IF(BR49&gt;0, "ATTENTION SURSTOCK et risque de péremption", "OK"))</f>
        <v>ND</v>
      </c>
      <c r="BT49" s="1988" t="str">
        <f t="shared" ref="BT49:BT56" si="90">IF(BR49="ND", "ND", IF(BR49&gt;0, BR49*$L49, ""))</f>
        <v>ND</v>
      </c>
      <c r="BU49" s="1911">
        <f>IF('Saisie données stocks'!$O$10='TRAD-Saisie données stocks'!$B$51, IF(P49="OK", IF(AND(BR49&gt;0, ISNUMBER(BR49)), (BO49-BR49), (BO49)), O49), O49)</f>
        <v>0</v>
      </c>
      <c r="BV49" s="1911">
        <f t="shared" si="52"/>
        <v>0</v>
      </c>
      <c r="BW49" s="2044" t="str">
        <f t="shared" ref="BW49:BW56" si="91">IF(BU49=O49,"",IF(AND(BR49&gt;0, ISNUMBER(BR49)),BM49,IF(AND(BJ49&gt;0, ISNUMBER(BJ49)), BE49, IF(AND(BB49&gt;0, ISNUMBER(BB49)), AW49,IF(AND(AT49&gt;0, ISNUMBER(AT49)),AO49,IF(AND(AL49&gt;0, ISNUMBER(AL49)),AG49,IF(AND(AD49&gt;0, ISNUMBER(AD49)),Y49,IF(AND(V49&gt;0, ISNUMBER(V49)),R49,""))))))))</f>
        <v/>
      </c>
      <c r="BX49" s="2042">
        <f>IF('Saisie données stocks'!$O$10='TRAD-Saisie données stocks'!$B$51, IF('Calculs Péremption FA'!P49="OK", IF(BU49=O49, MAX(Paramétrage!$H$19+('Saisie données stocks'!$N$14*(365/12)), BM49, BE49, AW49, AO49, AG49, Y49, R49), BW49), Paramétrage!$H$19+('Saisie données stocks'!$N$14*(365/12))), Paramétrage!$H$19+('Saisie données stocks'!$N$14*(365/12)))</f>
        <v>42101.5</v>
      </c>
      <c r="BY49" s="2043">
        <f t="shared" ref="BY49:BY56" si="92">IF(BX49="", "", DAY(BX49))</f>
        <v>7</v>
      </c>
      <c r="BZ49" s="2043">
        <f t="shared" ref="BZ49:BZ56" si="93">IF(BX49="", "", MONTH(BX49))</f>
        <v>4</v>
      </c>
      <c r="CA49" s="2043">
        <f t="shared" ref="CA49:CA56" si="94">IF(BX49="", "", YEAR(BX49))</f>
        <v>2015</v>
      </c>
      <c r="CB49" s="2043">
        <f>IF(BX49="", "", (BX49-Paramétrage!$H$19)/(365/12))</f>
        <v>6</v>
      </c>
      <c r="CC49" s="2043" t="str">
        <f>IF(CB49='Saisie données stocks'!N$14, 'TRAD-Calculs Péremption FA'!$B$74, CONCATENATE("DLU - ", BY49, "/", BZ49, "/", CA49))</f>
        <v>Durée de vie max</v>
      </c>
    </row>
    <row r="50" spans="2:81" ht="25.5" x14ac:dyDescent="0.2">
      <c r="B50" s="1994"/>
      <c r="C50" s="1995"/>
      <c r="D50" s="1996" t="s">
        <v>82</v>
      </c>
      <c r="E50" s="1997" t="str">
        <f>'TRAD-Calculs Péremption FA'!B71</f>
        <v>sol buv</v>
      </c>
      <c r="F50" s="1997" t="s">
        <v>80</v>
      </c>
      <c r="G50" s="1997"/>
      <c r="H50" s="379" t="str">
        <f t="shared" ref="H50:H56" si="95">CONCATENATE(D50, " - ", F50)</f>
        <v>D4T - 10 mg/mL</v>
      </c>
      <c r="I50" s="1998">
        <f>'Saisie données stocks'!$L$62</f>
        <v>240</v>
      </c>
      <c r="J50" s="1999">
        <f>'Saisie données stocks'!$M$62</f>
        <v>1</v>
      </c>
      <c r="K50" s="2978">
        <f>IF('TdB Péremptions'!$H$9="X", 'Prix 10-2011 GPRM $'!$L$92, IF('TdB Péremptions'!$H$10="X", 'Prix 10-2011 GPRM $'!$N$92, IF('TdB Péremptions'!$H$11="X", 'Prix VPP 102012 convert'!$L$92, IF('TdB Péremptions'!$H$12="X", 'Prix VPP 102012 convert'!$N$92, IF('TdB Péremptions'!$H$13="X", 'Prix spécifiques'!$I$50, 0)))))*I50</f>
        <v>1.65</v>
      </c>
      <c r="L50" s="2978">
        <f>(1+'TdB Péremptions'!$H$14)*K50</f>
        <v>1.8149999999999999</v>
      </c>
      <c r="M50" s="2001">
        <f>Calculs!O196</f>
        <v>0</v>
      </c>
      <c r="N50" s="2001">
        <f>Calculs!N250</f>
        <v>0</v>
      </c>
      <c r="O50" s="2001">
        <f>'Saisie données stocks'!N62</f>
        <v>0</v>
      </c>
      <c r="P50" s="1920" t="str">
        <f>IF(SUM('Saisie données stocks'!R62+'Saisie données stocks'!T62+'Saisie données stocks'!V62+'Saisie données stocks'!X62+'Saisie données stocks'!Z62+'Saisie données stocks'!AB62+'Saisie données stocks'!AD62)='Calculs Péremption FA'!O50,  "OK", 'TRAD-Saisie données stocks'!$B$70)</f>
        <v>OK</v>
      </c>
      <c r="Q50" s="2002" t="str">
        <f>IF(AND(O50&gt;0, M50=0, N50=0), 'TRAD-Calculs Péremption FA'!$B$76, "")</f>
        <v/>
      </c>
      <c r="R50" s="2003">
        <f>'Saisie données stocks'!Q62</f>
        <v>0</v>
      </c>
      <c r="S50" s="2004">
        <f>'Saisie données stocks'!R62</f>
        <v>0</v>
      </c>
      <c r="T50" s="2005" t="str">
        <f>IF(AND(R50=0, S50=0), "ND", IF((R50-Paramétrage!$H$19)&gt;0, (R50-Paramétrage!$H$19)/(365/12), "Date non renseignée ou produit périmé"))</f>
        <v>ND</v>
      </c>
      <c r="U50" s="2006" t="str">
        <f t="shared" si="57"/>
        <v>ND</v>
      </c>
      <c r="V50" s="2006" t="str">
        <f t="shared" si="58"/>
        <v>ND</v>
      </c>
      <c r="W50" s="2007" t="str">
        <f t="shared" si="59"/>
        <v>ND</v>
      </c>
      <c r="X50" s="1924" t="str">
        <f t="shared" si="60"/>
        <v>ND</v>
      </c>
      <c r="Y50" s="2008">
        <f>'Saisie données stocks'!S62</f>
        <v>0</v>
      </c>
      <c r="Z50" s="1920">
        <f>'Saisie données stocks'!T62</f>
        <v>0</v>
      </c>
      <c r="AA50" s="1923">
        <f t="shared" si="61"/>
        <v>0</v>
      </c>
      <c r="AB50" s="1923" t="str">
        <f>IF(AND(Y50=0, Z50=0), "ND", IF((Y50-Paramétrage!$H$19)&gt;0, (Y50-Paramétrage!$H$19)/(365/12), "Date non renseignée ou produit périmé"))</f>
        <v>ND</v>
      </c>
      <c r="AC50" s="1923" t="str">
        <f t="shared" si="62"/>
        <v>ND</v>
      </c>
      <c r="AD50" s="1923" t="str">
        <f t="shared" si="63"/>
        <v>ND</v>
      </c>
      <c r="AE50" s="2005" t="str">
        <f t="shared" si="64"/>
        <v>ND</v>
      </c>
      <c r="AF50" s="1924" t="str">
        <f t="shared" si="65"/>
        <v>ND</v>
      </c>
      <c r="AG50" s="1919">
        <f>'Saisie données stocks'!U62</f>
        <v>0</v>
      </c>
      <c r="AH50" s="1920">
        <f>'Saisie données stocks'!V62</f>
        <v>0</v>
      </c>
      <c r="AI50" s="1923">
        <f t="shared" si="66"/>
        <v>0</v>
      </c>
      <c r="AJ50" s="1923" t="str">
        <f>IF(AND(AG50=0, AH50=0), "ND", IF((AG50-Paramétrage!$H$19)&gt;0, (AG50-Paramétrage!$H$19)/(365/12), "Date non renseignée ou produit périmé"))</f>
        <v>ND</v>
      </c>
      <c r="AK50" s="1923" t="str">
        <f t="shared" si="67"/>
        <v>ND</v>
      </c>
      <c r="AL50" s="1923" t="str">
        <f t="shared" si="68"/>
        <v>ND</v>
      </c>
      <c r="AM50" s="1923" t="str">
        <f t="shared" si="69"/>
        <v>ND</v>
      </c>
      <c r="AN50" s="1924" t="str">
        <f t="shared" si="70"/>
        <v>ND</v>
      </c>
      <c r="AO50" s="1919">
        <f>'Saisie données stocks'!W62</f>
        <v>0</v>
      </c>
      <c r="AP50" s="1920">
        <f>'Saisie données stocks'!X62</f>
        <v>0</v>
      </c>
      <c r="AQ50" s="1923">
        <f t="shared" si="71"/>
        <v>0</v>
      </c>
      <c r="AR50" s="1923" t="str">
        <f>IF(AND(AO50=0, AP50=0), "ND", IF((AO50-Paramétrage!$H$19)&gt;0, (AO50-Paramétrage!$H$19)/(365/12), "Date non renseignée ou produit périmé"))</f>
        <v>ND</v>
      </c>
      <c r="AS50" s="1923" t="str">
        <f t="shared" si="72"/>
        <v>ND</v>
      </c>
      <c r="AT50" s="1923" t="str">
        <f t="shared" si="73"/>
        <v>ND</v>
      </c>
      <c r="AU50" s="1923" t="str">
        <f t="shared" si="74"/>
        <v>ND</v>
      </c>
      <c r="AV50" s="1924" t="str">
        <f t="shared" si="75"/>
        <v>ND</v>
      </c>
      <c r="AW50" s="1919">
        <f>'Saisie données stocks'!Y62</f>
        <v>0</v>
      </c>
      <c r="AX50" s="1920">
        <f>'Saisie données stocks'!Z62</f>
        <v>0</v>
      </c>
      <c r="AY50" s="1923">
        <f t="shared" si="76"/>
        <v>0</v>
      </c>
      <c r="AZ50" s="1923" t="str">
        <f>IF(AND(AW50=0, AX50=0), "ND", IF((AW50-Paramétrage!$H$19)&gt;0, (AW50-Paramétrage!$H$19)/(365/12), "Date non renseignée ou produit périmé"))</f>
        <v>ND</v>
      </c>
      <c r="BA50" s="1923" t="str">
        <f t="shared" si="77"/>
        <v>ND</v>
      </c>
      <c r="BB50" s="1923" t="str">
        <f t="shared" si="78"/>
        <v>ND</v>
      </c>
      <c r="BC50" s="1923" t="str">
        <f t="shared" si="79"/>
        <v>ND</v>
      </c>
      <c r="BD50" s="1924" t="str">
        <f t="shared" si="80"/>
        <v>ND</v>
      </c>
      <c r="BE50" s="1919">
        <f>'Saisie données stocks'!AA62</f>
        <v>0</v>
      </c>
      <c r="BF50" s="1920">
        <f>'Saisie données stocks'!AB62</f>
        <v>0</v>
      </c>
      <c r="BG50" s="1923">
        <f t="shared" si="81"/>
        <v>0</v>
      </c>
      <c r="BH50" s="1923" t="str">
        <f>IF(AND(BE50=0, BF50=0), "ND", IF((BE50-Paramétrage!$H$19)&gt;0, (BE50-Paramétrage!$H$19)/(365/12), "Date non renseignée ou produit périmé"))</f>
        <v>ND</v>
      </c>
      <c r="BI50" s="1923" t="str">
        <f t="shared" si="82"/>
        <v>ND</v>
      </c>
      <c r="BJ50" s="1923" t="str">
        <f t="shared" si="83"/>
        <v>ND</v>
      </c>
      <c r="BK50" s="1923" t="str">
        <f t="shared" si="84"/>
        <v>ND</v>
      </c>
      <c r="BL50" s="1924" t="str">
        <f t="shared" si="85"/>
        <v>ND</v>
      </c>
      <c r="BM50" s="1919">
        <f>'Saisie données stocks'!AC62</f>
        <v>0</v>
      </c>
      <c r="BN50" s="1920">
        <f>'Saisie données stocks'!AD62</f>
        <v>0</v>
      </c>
      <c r="BO50" s="1923">
        <f t="shared" si="86"/>
        <v>0</v>
      </c>
      <c r="BP50" s="1923" t="str">
        <f>IF(AND(BM50=0, BN50=0), "ND", IF((BM50-Paramétrage!$H$19)&gt;0, (BM50-Paramétrage!$H$19)/(365/12), "Date non renseignée ou produit périmé"))</f>
        <v>ND</v>
      </c>
      <c r="BQ50" s="1923" t="str">
        <f t="shared" si="87"/>
        <v>ND</v>
      </c>
      <c r="BR50" s="1923" t="str">
        <f t="shared" si="88"/>
        <v>ND</v>
      </c>
      <c r="BS50" s="1923" t="str">
        <f t="shared" si="89"/>
        <v>ND</v>
      </c>
      <c r="BT50" s="1924" t="str">
        <f t="shared" si="90"/>
        <v>ND</v>
      </c>
      <c r="BU50" s="1925">
        <f>IF('Saisie données stocks'!$O$10='TRAD-Saisie données stocks'!$B$51, IF(P50="OK", IF(AND(BR50&gt;0, ISNUMBER(BR50)), (BO50-BR50), (BO50)), O50), O50)</f>
        <v>0</v>
      </c>
      <c r="BV50" s="1925">
        <f t="shared" si="52"/>
        <v>0</v>
      </c>
      <c r="BW50" s="2044" t="str">
        <f t="shared" si="91"/>
        <v/>
      </c>
      <c r="BX50" s="2045">
        <f>IF('Saisie données stocks'!$O$10='TRAD-Saisie données stocks'!$B$51, IF('Calculs Péremption FA'!P50="OK", IF(BU50=O50, MAX(Paramétrage!$H$19+('Saisie données stocks'!$N$14*(365/12)), BM50, BE50, AW50, AO50, AG50, Y50, R50), BW50), Paramétrage!$H$19+('Saisie données stocks'!$N$14*(365/12))), Paramétrage!$H$19+('Saisie données stocks'!$N$14*(365/12)))</f>
        <v>42101.5</v>
      </c>
      <c r="BY50" s="2046">
        <f t="shared" si="92"/>
        <v>7</v>
      </c>
      <c r="BZ50" s="2046">
        <f t="shared" si="93"/>
        <v>4</v>
      </c>
      <c r="CA50" s="2046">
        <f t="shared" si="94"/>
        <v>2015</v>
      </c>
      <c r="CB50" s="2046">
        <f>IF(BX50="", "", (BX50-Paramétrage!$H$19)/(365/12))</f>
        <v>6</v>
      </c>
      <c r="CC50" s="2046" t="str">
        <f>IF(CB50='Saisie données stocks'!N$14, 'TRAD-Calculs Péremption FA'!$B$74, CONCATENATE("DLU - ", BY50, "/", BZ50, "/", CA50))</f>
        <v>Durée de vie max</v>
      </c>
    </row>
    <row r="51" spans="2:81" ht="25.5" x14ac:dyDescent="0.2">
      <c r="B51" s="1994"/>
      <c r="C51" s="1995"/>
      <c r="D51" s="2009" t="s">
        <v>34</v>
      </c>
      <c r="E51" s="2010" t="str">
        <f>'TRAD-Calculs Péremption FA'!B71</f>
        <v>sol buv</v>
      </c>
      <c r="F51" s="2010" t="s">
        <v>80</v>
      </c>
      <c r="G51" s="2011"/>
      <c r="H51" s="385" t="str">
        <f t="shared" si="95"/>
        <v>3TC - 10 mg/mL</v>
      </c>
      <c r="I51" s="2012">
        <f>'Saisie données stocks'!$L$63</f>
        <v>240</v>
      </c>
      <c r="J51" s="2013">
        <f>'Saisie données stocks'!$M$63</f>
        <v>1</v>
      </c>
      <c r="K51" s="2979">
        <f>IF('TdB Péremptions'!$H$9="X", 'Prix 10-2011 GPRM $'!$L$93, IF('TdB Péremptions'!$H$10="X", 'Prix 10-2011 GPRM $'!$N$93,IF('TdB Péremptions'!$H$11="X", 'Prix VPP 102012 convert'!$L$93, IF('TdB Péremptions'!$H$12="X", 'Prix VPP 102012 convert'!$N$93, IF('TdB Péremptions'!$H$13="X", 'Prix spécifiques'!$I$51, 0) ))))*I51</f>
        <v>2.16</v>
      </c>
      <c r="L51" s="2979">
        <f>(1+'TdB Péremptions'!$H$14)*K51</f>
        <v>2.3760000000000003</v>
      </c>
      <c r="M51" s="2001">
        <f>Calculs!O197</f>
        <v>0</v>
      </c>
      <c r="N51" s="2001">
        <f>Calculs!N251</f>
        <v>0</v>
      </c>
      <c r="O51" s="2001">
        <f>'Saisie données stocks'!N63</f>
        <v>0</v>
      </c>
      <c r="P51" s="1920" t="str">
        <f>IF(SUM('Saisie données stocks'!R63+'Saisie données stocks'!T63+'Saisie données stocks'!V63+'Saisie données stocks'!X63+'Saisie données stocks'!Z63+'Saisie données stocks'!AB63+'Saisie données stocks'!AD63)='Calculs Péremption FA'!O51,  "OK", 'TRAD-Saisie données stocks'!$B$70)</f>
        <v>OK</v>
      </c>
      <c r="Q51" s="2002" t="str">
        <f>IF(AND(O51&gt;0, M51=0, N51=0), 'TRAD-Calculs Péremption FA'!$B$76, "")</f>
        <v/>
      </c>
      <c r="R51" s="2003">
        <f>'Saisie données stocks'!Q63</f>
        <v>0</v>
      </c>
      <c r="S51" s="2004">
        <f>'Saisie données stocks'!R63</f>
        <v>0</v>
      </c>
      <c r="T51" s="2005" t="str">
        <f>IF(AND(R51=0, S51=0), "ND", IF((R51-Paramétrage!$H$19)&gt;0, (R51-Paramétrage!$H$19)/(365/12), "Date non renseignée ou produit périmé"))</f>
        <v>ND</v>
      </c>
      <c r="U51" s="2006" t="str">
        <f t="shared" si="57"/>
        <v>ND</v>
      </c>
      <c r="V51" s="2006" t="str">
        <f t="shared" si="58"/>
        <v>ND</v>
      </c>
      <c r="W51" s="2007" t="str">
        <f t="shared" si="59"/>
        <v>ND</v>
      </c>
      <c r="X51" s="1924" t="str">
        <f t="shared" si="60"/>
        <v>ND</v>
      </c>
      <c r="Y51" s="2008">
        <f>'Saisie données stocks'!S63</f>
        <v>0</v>
      </c>
      <c r="Z51" s="1920">
        <f>'Saisie données stocks'!T63</f>
        <v>0</v>
      </c>
      <c r="AA51" s="1923">
        <f t="shared" si="61"/>
        <v>0</v>
      </c>
      <c r="AB51" s="1923" t="str">
        <f>IF(AND(Y51=0, Z51=0), "ND", IF((Y51-Paramétrage!$H$19)&gt;0, (Y51-Paramétrage!$H$19)/(365/12), "Date non renseignée ou produit périmé"))</f>
        <v>ND</v>
      </c>
      <c r="AC51" s="1923" t="str">
        <f t="shared" si="62"/>
        <v>ND</v>
      </c>
      <c r="AD51" s="1923" t="str">
        <f t="shared" si="63"/>
        <v>ND</v>
      </c>
      <c r="AE51" s="2005" t="str">
        <f t="shared" si="64"/>
        <v>ND</v>
      </c>
      <c r="AF51" s="1924" t="str">
        <f t="shared" si="65"/>
        <v>ND</v>
      </c>
      <c r="AG51" s="1919">
        <f>'Saisie données stocks'!U63</f>
        <v>0</v>
      </c>
      <c r="AH51" s="1920">
        <f>'Saisie données stocks'!V63</f>
        <v>0</v>
      </c>
      <c r="AI51" s="1923">
        <f t="shared" si="66"/>
        <v>0</v>
      </c>
      <c r="AJ51" s="1923" t="str">
        <f>IF(AND(AG51=0, AH51=0), "ND", IF((AG51-Paramétrage!$H$19)&gt;0, (AG51-Paramétrage!$H$19)/(365/12), "Date non renseignée ou produit périmé"))</f>
        <v>ND</v>
      </c>
      <c r="AK51" s="1923" t="str">
        <f t="shared" si="67"/>
        <v>ND</v>
      </c>
      <c r="AL51" s="1923" t="str">
        <f t="shared" si="68"/>
        <v>ND</v>
      </c>
      <c r="AM51" s="1923" t="str">
        <f t="shared" si="69"/>
        <v>ND</v>
      </c>
      <c r="AN51" s="1924" t="str">
        <f t="shared" si="70"/>
        <v>ND</v>
      </c>
      <c r="AO51" s="1919">
        <f>'Saisie données stocks'!W63</f>
        <v>0</v>
      </c>
      <c r="AP51" s="1920">
        <f>'Saisie données stocks'!X63</f>
        <v>0</v>
      </c>
      <c r="AQ51" s="1923">
        <f t="shared" si="71"/>
        <v>0</v>
      </c>
      <c r="AR51" s="1923" t="str">
        <f>IF(AND(AO51=0, AP51=0), "ND", IF((AO51-Paramétrage!$H$19)&gt;0, (AO51-Paramétrage!$H$19)/(365/12), "Date non renseignée ou produit périmé"))</f>
        <v>ND</v>
      </c>
      <c r="AS51" s="1923" t="str">
        <f t="shared" si="72"/>
        <v>ND</v>
      </c>
      <c r="AT51" s="1923" t="str">
        <f t="shared" si="73"/>
        <v>ND</v>
      </c>
      <c r="AU51" s="1923" t="str">
        <f t="shared" si="74"/>
        <v>ND</v>
      </c>
      <c r="AV51" s="1924" t="str">
        <f t="shared" si="75"/>
        <v>ND</v>
      </c>
      <c r="AW51" s="1919">
        <f>'Saisie données stocks'!Y63</f>
        <v>0</v>
      </c>
      <c r="AX51" s="1920">
        <f>'Saisie données stocks'!Z63</f>
        <v>0</v>
      </c>
      <c r="AY51" s="1923">
        <f t="shared" si="76"/>
        <v>0</v>
      </c>
      <c r="AZ51" s="1923" t="str">
        <f>IF(AND(AW51=0, AX51=0), "ND", IF((AW51-Paramétrage!$H$19)&gt;0, (AW51-Paramétrage!$H$19)/(365/12), "Date non renseignée ou produit périmé"))</f>
        <v>ND</v>
      </c>
      <c r="BA51" s="1923" t="str">
        <f t="shared" si="77"/>
        <v>ND</v>
      </c>
      <c r="BB51" s="1923" t="str">
        <f t="shared" si="78"/>
        <v>ND</v>
      </c>
      <c r="BC51" s="1923" t="str">
        <f t="shared" si="79"/>
        <v>ND</v>
      </c>
      <c r="BD51" s="1924" t="str">
        <f t="shared" si="80"/>
        <v>ND</v>
      </c>
      <c r="BE51" s="1919">
        <f>'Saisie données stocks'!AA63</f>
        <v>0</v>
      </c>
      <c r="BF51" s="1920">
        <f>'Saisie données stocks'!AB63</f>
        <v>0</v>
      </c>
      <c r="BG51" s="1923">
        <f t="shared" si="81"/>
        <v>0</v>
      </c>
      <c r="BH51" s="1923" t="str">
        <f>IF(AND(BE51=0, BF51=0), "ND", IF((BE51-Paramétrage!$H$19)&gt;0, (BE51-Paramétrage!$H$19)/(365/12), "Date non renseignée ou produit périmé"))</f>
        <v>ND</v>
      </c>
      <c r="BI51" s="1923" t="str">
        <f t="shared" si="82"/>
        <v>ND</v>
      </c>
      <c r="BJ51" s="1923" t="str">
        <f t="shared" si="83"/>
        <v>ND</v>
      </c>
      <c r="BK51" s="1923" t="str">
        <f t="shared" si="84"/>
        <v>ND</v>
      </c>
      <c r="BL51" s="1924" t="str">
        <f t="shared" si="85"/>
        <v>ND</v>
      </c>
      <c r="BM51" s="1919">
        <f>'Saisie données stocks'!AC63</f>
        <v>0</v>
      </c>
      <c r="BN51" s="1920">
        <f>'Saisie données stocks'!AD63</f>
        <v>0</v>
      </c>
      <c r="BO51" s="1923">
        <f t="shared" si="86"/>
        <v>0</v>
      </c>
      <c r="BP51" s="1923" t="str">
        <f>IF(AND(BM51=0, BN51=0), "ND", IF((BM51-Paramétrage!$H$19)&gt;0, (BM51-Paramétrage!$H$19)/(365/12), "Date non renseignée ou produit périmé"))</f>
        <v>ND</v>
      </c>
      <c r="BQ51" s="1923" t="str">
        <f t="shared" si="87"/>
        <v>ND</v>
      </c>
      <c r="BR51" s="1923" t="str">
        <f t="shared" si="88"/>
        <v>ND</v>
      </c>
      <c r="BS51" s="1923" t="str">
        <f t="shared" si="89"/>
        <v>ND</v>
      </c>
      <c r="BT51" s="1924" t="str">
        <f t="shared" si="90"/>
        <v>ND</v>
      </c>
      <c r="BU51" s="1925">
        <f>IF('Saisie données stocks'!$O$10='TRAD-Saisie données stocks'!$B$51, IF(P51="OK", IF(AND(BR51&gt;0, ISNUMBER(BR51)), (BO51-BR51), (BO51)), O51), O51)</f>
        <v>0</v>
      </c>
      <c r="BV51" s="1925">
        <f t="shared" si="52"/>
        <v>0</v>
      </c>
      <c r="BW51" s="2044" t="str">
        <f t="shared" si="91"/>
        <v/>
      </c>
      <c r="BX51" s="2045">
        <f>IF('Saisie données stocks'!$O$10='TRAD-Saisie données stocks'!$B$51, IF('Calculs Péremption FA'!P51="OK", IF(BU51=O51, MAX(Paramétrage!$H$19+('Saisie données stocks'!$N$14*(365/12)), BM51, BE51, AW51, AO51, AG51, Y51, R51), BW51), Paramétrage!$H$19+('Saisie données stocks'!$N$14*(365/12))), Paramétrage!$H$19+('Saisie données stocks'!$N$14*(365/12)))</f>
        <v>42101.5</v>
      </c>
      <c r="BY51" s="2046">
        <f t="shared" si="92"/>
        <v>7</v>
      </c>
      <c r="BZ51" s="2046">
        <f t="shared" si="93"/>
        <v>4</v>
      </c>
      <c r="CA51" s="2046">
        <f t="shared" si="94"/>
        <v>2015</v>
      </c>
      <c r="CB51" s="2046">
        <f>IF(BX51="", "", (BX51-Paramétrage!$H$19)/(365/12))</f>
        <v>6</v>
      </c>
      <c r="CC51" s="2046" t="str">
        <f>IF(CB51='Saisie données stocks'!N$14, 'TRAD-Calculs Péremption FA'!$B$74, CONCATENATE("DLU - ", BY51, "/", BZ51, "/", CA51))</f>
        <v>Durée de vie max</v>
      </c>
    </row>
    <row r="52" spans="2:81" ht="25.5" x14ac:dyDescent="0.2">
      <c r="B52" s="1994"/>
      <c r="C52" s="2015"/>
      <c r="D52" s="1996" t="s">
        <v>36</v>
      </c>
      <c r="E52" s="1997" t="str">
        <f>'TRAD-Calculs Péremption FA'!B71</f>
        <v>sol buv</v>
      </c>
      <c r="F52" s="1997" t="s">
        <v>88</v>
      </c>
      <c r="G52" s="1997"/>
      <c r="H52" s="379" t="str">
        <f t="shared" si="95"/>
        <v>ABC - 20 mg/mL</v>
      </c>
      <c r="I52" s="1998">
        <f>'Saisie données stocks'!$L$64</f>
        <v>240</v>
      </c>
      <c r="J52" s="1999">
        <f>'Saisie données stocks'!$M$64</f>
        <v>1</v>
      </c>
      <c r="K52" s="2978">
        <f>IF('TdB Péremptions'!$H$9="X", 'Prix 10-2011 GPRM $'!$L$98, IF('TdB Péremptions'!$H$10="X", 'Prix 10-2011 GPRM $'!$N$98, IF('TdB Péremptions'!$H$11="X", 'Prix VPP 102012 convert'!$L$98, IF('TdB Péremptions'!$H$12="X", 'Prix VPP 102012 convert'!$N$98, IF('TdB Péremptions'!$H$13="X", 'Prix spécifiques'!$I$52, 0)))))*I52</f>
        <v>9.75</v>
      </c>
      <c r="L52" s="2978">
        <f>(1+'TdB Péremptions'!$H$14)*K52</f>
        <v>10.725000000000001</v>
      </c>
      <c r="M52" s="2001">
        <f>Calculs!O198</f>
        <v>0</v>
      </c>
      <c r="N52" s="2001">
        <f>Calculs!N252</f>
        <v>0</v>
      </c>
      <c r="O52" s="2001">
        <f>'Saisie données stocks'!N64</f>
        <v>0</v>
      </c>
      <c r="P52" s="1920" t="str">
        <f>IF(SUM('Saisie données stocks'!R64+'Saisie données stocks'!T64+'Saisie données stocks'!V64+'Saisie données stocks'!X64+'Saisie données stocks'!Z64+'Saisie données stocks'!AB64+'Saisie données stocks'!AD64)='Calculs Péremption FA'!O52,  "OK", 'TRAD-Saisie données stocks'!$B$70)</f>
        <v>OK</v>
      </c>
      <c r="Q52" s="2002" t="str">
        <f>IF(AND(O52&gt;0, M52=0, N52=0), 'TRAD-Calculs Péremption FA'!$B$76, "")</f>
        <v/>
      </c>
      <c r="R52" s="2003">
        <f>'Saisie données stocks'!Q64</f>
        <v>0</v>
      </c>
      <c r="S52" s="2004">
        <f>'Saisie données stocks'!R64</f>
        <v>0</v>
      </c>
      <c r="T52" s="2005" t="str">
        <f>IF(AND(R52=0, S52=0), "ND", IF((R52-Paramétrage!$H$19)&gt;0, (R52-Paramétrage!$H$19)/(365/12), "Date non renseignée ou produit périmé"))</f>
        <v>ND</v>
      </c>
      <c r="U52" s="2006" t="str">
        <f t="shared" si="57"/>
        <v>ND</v>
      </c>
      <c r="V52" s="2006" t="str">
        <f t="shared" si="58"/>
        <v>ND</v>
      </c>
      <c r="W52" s="2007" t="str">
        <f t="shared" si="59"/>
        <v>ND</v>
      </c>
      <c r="X52" s="1924" t="str">
        <f t="shared" si="60"/>
        <v>ND</v>
      </c>
      <c r="Y52" s="2008">
        <f>'Saisie données stocks'!S64</f>
        <v>0</v>
      </c>
      <c r="Z52" s="1920">
        <f>'Saisie données stocks'!T64</f>
        <v>0</v>
      </c>
      <c r="AA52" s="1923">
        <f t="shared" si="61"/>
        <v>0</v>
      </c>
      <c r="AB52" s="1923" t="str">
        <f>IF(AND(Y52=0, Z52=0), "ND", IF((Y52-Paramétrage!$H$19)&gt;0, (Y52-Paramétrage!$H$19)/(365/12), "Date non renseignée ou produit périmé"))</f>
        <v>ND</v>
      </c>
      <c r="AC52" s="1923" t="str">
        <f t="shared" si="62"/>
        <v>ND</v>
      </c>
      <c r="AD52" s="1923" t="str">
        <f t="shared" si="63"/>
        <v>ND</v>
      </c>
      <c r="AE52" s="2005" t="str">
        <f t="shared" si="64"/>
        <v>ND</v>
      </c>
      <c r="AF52" s="1924" t="str">
        <f t="shared" si="65"/>
        <v>ND</v>
      </c>
      <c r="AG52" s="1919">
        <f>'Saisie données stocks'!U64</f>
        <v>0</v>
      </c>
      <c r="AH52" s="1920">
        <f>'Saisie données stocks'!V64</f>
        <v>0</v>
      </c>
      <c r="AI52" s="1923">
        <f t="shared" si="66"/>
        <v>0</v>
      </c>
      <c r="AJ52" s="1923" t="str">
        <f>IF(AND(AG52=0, AH52=0), "ND", IF((AG52-Paramétrage!$H$19)&gt;0, (AG52-Paramétrage!$H$19)/(365/12), "Date non renseignée ou produit périmé"))</f>
        <v>ND</v>
      </c>
      <c r="AK52" s="1923" t="str">
        <f t="shared" si="67"/>
        <v>ND</v>
      </c>
      <c r="AL52" s="1923" t="str">
        <f t="shared" si="68"/>
        <v>ND</v>
      </c>
      <c r="AM52" s="1923" t="str">
        <f t="shared" si="69"/>
        <v>ND</v>
      </c>
      <c r="AN52" s="1924" t="str">
        <f t="shared" si="70"/>
        <v>ND</v>
      </c>
      <c r="AO52" s="1919">
        <f>'Saisie données stocks'!W64</f>
        <v>0</v>
      </c>
      <c r="AP52" s="1920">
        <f>'Saisie données stocks'!X64</f>
        <v>0</v>
      </c>
      <c r="AQ52" s="1923">
        <f t="shared" si="71"/>
        <v>0</v>
      </c>
      <c r="AR52" s="1923" t="str">
        <f>IF(AND(AO52=0, AP52=0), "ND", IF((AO52-Paramétrage!$H$19)&gt;0, (AO52-Paramétrage!$H$19)/(365/12), "Date non renseignée ou produit périmé"))</f>
        <v>ND</v>
      </c>
      <c r="AS52" s="1923" t="str">
        <f t="shared" si="72"/>
        <v>ND</v>
      </c>
      <c r="AT52" s="1923" t="str">
        <f t="shared" si="73"/>
        <v>ND</v>
      </c>
      <c r="AU52" s="1923" t="str">
        <f t="shared" si="74"/>
        <v>ND</v>
      </c>
      <c r="AV52" s="1924" t="str">
        <f t="shared" si="75"/>
        <v>ND</v>
      </c>
      <c r="AW52" s="1919">
        <f>'Saisie données stocks'!Y64</f>
        <v>0</v>
      </c>
      <c r="AX52" s="1920">
        <f>'Saisie données stocks'!Z64</f>
        <v>0</v>
      </c>
      <c r="AY52" s="1923">
        <f t="shared" si="76"/>
        <v>0</v>
      </c>
      <c r="AZ52" s="1923" t="str">
        <f>IF(AND(AW52=0, AX52=0), "ND", IF((AW52-Paramétrage!$H$19)&gt;0, (AW52-Paramétrage!$H$19)/(365/12), "Date non renseignée ou produit périmé"))</f>
        <v>ND</v>
      </c>
      <c r="BA52" s="1923" t="str">
        <f t="shared" si="77"/>
        <v>ND</v>
      </c>
      <c r="BB52" s="1923" t="str">
        <f t="shared" si="78"/>
        <v>ND</v>
      </c>
      <c r="BC52" s="1923" t="str">
        <f t="shared" si="79"/>
        <v>ND</v>
      </c>
      <c r="BD52" s="1924" t="str">
        <f t="shared" si="80"/>
        <v>ND</v>
      </c>
      <c r="BE52" s="1919">
        <f>'Saisie données stocks'!AA64</f>
        <v>0</v>
      </c>
      <c r="BF52" s="1920">
        <f>'Saisie données stocks'!AB64</f>
        <v>0</v>
      </c>
      <c r="BG52" s="1923">
        <f t="shared" si="81"/>
        <v>0</v>
      </c>
      <c r="BH52" s="1923" t="str">
        <f>IF(AND(BE52=0, BF52=0), "ND", IF((BE52-Paramétrage!$H$19)&gt;0, (BE52-Paramétrage!$H$19)/(365/12), "Date non renseignée ou produit périmé"))</f>
        <v>ND</v>
      </c>
      <c r="BI52" s="1923" t="str">
        <f t="shared" si="82"/>
        <v>ND</v>
      </c>
      <c r="BJ52" s="1923" t="str">
        <f t="shared" si="83"/>
        <v>ND</v>
      </c>
      <c r="BK52" s="1923" t="str">
        <f t="shared" si="84"/>
        <v>ND</v>
      </c>
      <c r="BL52" s="1924" t="str">
        <f t="shared" si="85"/>
        <v>ND</v>
      </c>
      <c r="BM52" s="1919">
        <f>'Saisie données stocks'!AC64</f>
        <v>0</v>
      </c>
      <c r="BN52" s="1920">
        <f>'Saisie données stocks'!AD64</f>
        <v>0</v>
      </c>
      <c r="BO52" s="1923">
        <f t="shared" si="86"/>
        <v>0</v>
      </c>
      <c r="BP52" s="1923" t="str">
        <f>IF(AND(BM52=0, BN52=0), "ND", IF((BM52-Paramétrage!$H$19)&gt;0, (BM52-Paramétrage!$H$19)/(365/12), "Date non renseignée ou produit périmé"))</f>
        <v>ND</v>
      </c>
      <c r="BQ52" s="1923" t="str">
        <f t="shared" si="87"/>
        <v>ND</v>
      </c>
      <c r="BR52" s="1923" t="str">
        <f t="shared" si="88"/>
        <v>ND</v>
      </c>
      <c r="BS52" s="1923" t="str">
        <f t="shared" si="89"/>
        <v>ND</v>
      </c>
      <c r="BT52" s="1924" t="str">
        <f t="shared" si="90"/>
        <v>ND</v>
      </c>
      <c r="BU52" s="1925">
        <f>IF('Saisie données stocks'!$O$10='TRAD-Saisie données stocks'!$B$51, IF(P52="OK", IF(AND(BR52&gt;0, ISNUMBER(BR52)), (BO52-BR52), (BO52)), O52), O52)</f>
        <v>0</v>
      </c>
      <c r="BV52" s="1925">
        <f t="shared" si="52"/>
        <v>0</v>
      </c>
      <c r="BW52" s="2044" t="str">
        <f t="shared" si="91"/>
        <v/>
      </c>
      <c r="BX52" s="2045">
        <f>IF('Saisie données stocks'!$O$10='TRAD-Saisie données stocks'!$B$51, IF('Calculs Péremption FA'!P52="OK", IF(BU52=O52, MAX(Paramétrage!$H$19+('Saisie données stocks'!$N$14*(365/12)), BM52, BE52, AW52, AO52, AG52, Y52, R52), BW52), Paramétrage!$H$19+('Saisie données stocks'!$N$14*(365/12))), Paramétrage!$H$19+('Saisie données stocks'!$N$14*(365/12)))</f>
        <v>42101.5</v>
      </c>
      <c r="BY52" s="2046">
        <f t="shared" si="92"/>
        <v>7</v>
      </c>
      <c r="BZ52" s="2046">
        <f t="shared" si="93"/>
        <v>4</v>
      </c>
      <c r="CA52" s="2046">
        <f t="shared" si="94"/>
        <v>2015</v>
      </c>
      <c r="CB52" s="2046">
        <f>IF(BX52="", "", (BX52-Paramétrage!$H$19)/(365/12))</f>
        <v>6</v>
      </c>
      <c r="CC52" s="2046" t="str">
        <f>IF(CB52='Saisie données stocks'!N$14, 'TRAD-Calculs Péremption FA'!$B$74, CONCATENATE("DLU - ", BY52, "/", BZ52, "/", CA52))</f>
        <v>Durée de vie max</v>
      </c>
    </row>
    <row r="53" spans="2:81" ht="25.5" x14ac:dyDescent="0.2">
      <c r="B53" s="1994"/>
      <c r="C53" s="2016"/>
      <c r="D53" s="2017" t="s">
        <v>37</v>
      </c>
      <c r="E53" s="2018" t="str">
        <f>'TRAD-Calculs Péremption FA'!B72</f>
        <v>Poudre buvable</v>
      </c>
      <c r="F53" s="2018" t="s">
        <v>91</v>
      </c>
      <c r="G53" s="2019"/>
      <c r="H53" s="393" t="str">
        <f t="shared" si="95"/>
        <v>DDI - 2 g</v>
      </c>
      <c r="I53" s="2020">
        <f>'Saisie données stocks'!$L$65</f>
        <v>200</v>
      </c>
      <c r="J53" s="2021">
        <f>'Saisie données stocks'!$M$65</f>
        <v>1</v>
      </c>
      <c r="K53" s="2980">
        <f>IF('TdB Péremptions'!$H$9="X", 'Prix 10-2011 GPRM $'!$L$100, IF('TdB Péremptions'!$H$10="X", 'Prix 10-2011 GPRM $'!$N$100,IF('TdB Péremptions'!$H$11="X", 'Prix VPP 102012 convert'!$L$100, IF('TdB Péremptions'!$H$12="X", 'Prix VPP 102012 convert'!$N$100, IF('TdB Péremptions'!$H$13="X", 'Prix spécifiques'!$I$53, 0)))))*I53</f>
        <v>21.36986301369863</v>
      </c>
      <c r="L53" s="2980">
        <f>(1+'TdB Péremptions'!$H$14)*K53</f>
        <v>23.506849315068497</v>
      </c>
      <c r="M53" s="2001">
        <f>Calculs!O199</f>
        <v>0</v>
      </c>
      <c r="N53" s="2001">
        <f>Calculs!N253</f>
        <v>0</v>
      </c>
      <c r="O53" s="2001">
        <f>'Saisie données stocks'!N65</f>
        <v>0</v>
      </c>
      <c r="P53" s="1920" t="str">
        <f>IF(SUM('Saisie données stocks'!R65+'Saisie données stocks'!T65+'Saisie données stocks'!V65+'Saisie données stocks'!X65+'Saisie données stocks'!Z65+'Saisie données stocks'!AB65+'Saisie données stocks'!AD65)='Calculs Péremption FA'!O53,  "OK", 'TRAD-Saisie données stocks'!$B$70)</f>
        <v>OK</v>
      </c>
      <c r="Q53" s="2002" t="str">
        <f>IF(AND(O53&gt;0, M53=0, N53=0), 'TRAD-Calculs Péremption FA'!$B$76, "")</f>
        <v/>
      </c>
      <c r="R53" s="2003">
        <f>'Saisie données stocks'!Q65</f>
        <v>0</v>
      </c>
      <c r="S53" s="2004">
        <f>'Saisie données stocks'!R65</f>
        <v>0</v>
      </c>
      <c r="T53" s="2005" t="str">
        <f>IF(AND(R53=0, S53=0), "ND", IF((R53-Paramétrage!$H$19)&gt;0, (R53-Paramétrage!$H$19)/(365/12), "Date non renseignée ou produit périmé"))</f>
        <v>ND</v>
      </c>
      <c r="U53" s="2006" t="str">
        <f t="shared" si="57"/>
        <v>ND</v>
      </c>
      <c r="V53" s="2006" t="str">
        <f t="shared" si="58"/>
        <v>ND</v>
      </c>
      <c r="W53" s="2007" t="str">
        <f t="shared" si="59"/>
        <v>ND</v>
      </c>
      <c r="X53" s="1924" t="str">
        <f t="shared" si="60"/>
        <v>ND</v>
      </c>
      <c r="Y53" s="2008">
        <f>'Saisie données stocks'!S65</f>
        <v>0</v>
      </c>
      <c r="Z53" s="1920">
        <f>'Saisie données stocks'!T65</f>
        <v>0</v>
      </c>
      <c r="AA53" s="1923">
        <f t="shared" si="61"/>
        <v>0</v>
      </c>
      <c r="AB53" s="1923" t="str">
        <f>IF(AND(Y53=0, Z53=0), "ND", IF((Y53-Paramétrage!$H$19)&gt;0, (Y53-Paramétrage!$H$19)/(365/12), "Date non renseignée ou produit périmé"))</f>
        <v>ND</v>
      </c>
      <c r="AC53" s="1923" t="str">
        <f t="shared" si="62"/>
        <v>ND</v>
      </c>
      <c r="AD53" s="1923" t="str">
        <f t="shared" si="63"/>
        <v>ND</v>
      </c>
      <c r="AE53" s="2005" t="str">
        <f t="shared" si="64"/>
        <v>ND</v>
      </c>
      <c r="AF53" s="1924" t="str">
        <f t="shared" si="65"/>
        <v>ND</v>
      </c>
      <c r="AG53" s="1919">
        <f>'Saisie données stocks'!U65</f>
        <v>0</v>
      </c>
      <c r="AH53" s="1920">
        <f>'Saisie données stocks'!V65</f>
        <v>0</v>
      </c>
      <c r="AI53" s="1923">
        <f t="shared" si="66"/>
        <v>0</v>
      </c>
      <c r="AJ53" s="1923" t="str">
        <f>IF(AND(AG53=0, AH53=0), "ND", IF((AG53-Paramétrage!$H$19)&gt;0, (AG53-Paramétrage!$H$19)/(365/12), "Date non renseignée ou produit périmé"))</f>
        <v>ND</v>
      </c>
      <c r="AK53" s="1923" t="str">
        <f t="shared" si="67"/>
        <v>ND</v>
      </c>
      <c r="AL53" s="1923" t="str">
        <f t="shared" si="68"/>
        <v>ND</v>
      </c>
      <c r="AM53" s="1923" t="str">
        <f t="shared" si="69"/>
        <v>ND</v>
      </c>
      <c r="AN53" s="1924" t="str">
        <f t="shared" si="70"/>
        <v>ND</v>
      </c>
      <c r="AO53" s="1919">
        <f>'Saisie données stocks'!W65</f>
        <v>0</v>
      </c>
      <c r="AP53" s="1920">
        <f>'Saisie données stocks'!X65</f>
        <v>0</v>
      </c>
      <c r="AQ53" s="1923">
        <f t="shared" si="71"/>
        <v>0</v>
      </c>
      <c r="AR53" s="1923" t="str">
        <f>IF(AND(AO53=0, AP53=0), "ND", IF((AO53-Paramétrage!$H$19)&gt;0, (AO53-Paramétrage!$H$19)/(365/12), "Date non renseignée ou produit périmé"))</f>
        <v>ND</v>
      </c>
      <c r="AS53" s="1923" t="str">
        <f t="shared" si="72"/>
        <v>ND</v>
      </c>
      <c r="AT53" s="1923" t="str">
        <f t="shared" si="73"/>
        <v>ND</v>
      </c>
      <c r="AU53" s="1923" t="str">
        <f t="shared" si="74"/>
        <v>ND</v>
      </c>
      <c r="AV53" s="1924" t="str">
        <f t="shared" si="75"/>
        <v>ND</v>
      </c>
      <c r="AW53" s="1919">
        <f>'Saisie données stocks'!Y65</f>
        <v>0</v>
      </c>
      <c r="AX53" s="1920">
        <f>'Saisie données stocks'!Z65</f>
        <v>0</v>
      </c>
      <c r="AY53" s="1923">
        <f t="shared" si="76"/>
        <v>0</v>
      </c>
      <c r="AZ53" s="1923" t="str">
        <f>IF(AND(AW53=0, AX53=0), "ND", IF((AW53-Paramétrage!$H$19)&gt;0, (AW53-Paramétrage!$H$19)/(365/12), "Date non renseignée ou produit périmé"))</f>
        <v>ND</v>
      </c>
      <c r="BA53" s="1923" t="str">
        <f t="shared" si="77"/>
        <v>ND</v>
      </c>
      <c r="BB53" s="1923" t="str">
        <f t="shared" si="78"/>
        <v>ND</v>
      </c>
      <c r="BC53" s="1923" t="str">
        <f t="shared" si="79"/>
        <v>ND</v>
      </c>
      <c r="BD53" s="1924" t="str">
        <f t="shared" si="80"/>
        <v>ND</v>
      </c>
      <c r="BE53" s="1919">
        <f>'Saisie données stocks'!AA65</f>
        <v>0</v>
      </c>
      <c r="BF53" s="1920">
        <f>'Saisie données stocks'!AB65</f>
        <v>0</v>
      </c>
      <c r="BG53" s="1923">
        <f t="shared" si="81"/>
        <v>0</v>
      </c>
      <c r="BH53" s="1923" t="str">
        <f>IF(AND(BE53=0, BF53=0), "ND", IF((BE53-Paramétrage!$H$19)&gt;0, (BE53-Paramétrage!$H$19)/(365/12), "Date non renseignée ou produit périmé"))</f>
        <v>ND</v>
      </c>
      <c r="BI53" s="1923" t="str">
        <f t="shared" si="82"/>
        <v>ND</v>
      </c>
      <c r="BJ53" s="1923" t="str">
        <f t="shared" si="83"/>
        <v>ND</v>
      </c>
      <c r="BK53" s="1923" t="str">
        <f t="shared" si="84"/>
        <v>ND</v>
      </c>
      <c r="BL53" s="1924" t="str">
        <f t="shared" si="85"/>
        <v>ND</v>
      </c>
      <c r="BM53" s="1919">
        <f>'Saisie données stocks'!AC65</f>
        <v>0</v>
      </c>
      <c r="BN53" s="1920">
        <f>'Saisie données stocks'!AD65</f>
        <v>0</v>
      </c>
      <c r="BO53" s="1923">
        <f t="shared" si="86"/>
        <v>0</v>
      </c>
      <c r="BP53" s="1923" t="str">
        <f>IF(AND(BM53=0, BN53=0), "ND", IF((BM53-Paramétrage!$H$19)&gt;0, (BM53-Paramétrage!$H$19)/(365/12), "Date non renseignée ou produit périmé"))</f>
        <v>ND</v>
      </c>
      <c r="BQ53" s="1923" t="str">
        <f t="shared" si="87"/>
        <v>ND</v>
      </c>
      <c r="BR53" s="1923" t="str">
        <f t="shared" si="88"/>
        <v>ND</v>
      </c>
      <c r="BS53" s="1923" t="str">
        <f t="shared" si="89"/>
        <v>ND</v>
      </c>
      <c r="BT53" s="1924" t="str">
        <f t="shared" si="90"/>
        <v>ND</v>
      </c>
      <c r="BU53" s="1925">
        <f>IF('Saisie données stocks'!$O$10='TRAD-Saisie données stocks'!$B$51, IF(P53="OK", IF(AND(BR53&gt;0, ISNUMBER(BR53)), (BO53-BR53), (BO53)), O53), O53)</f>
        <v>0</v>
      </c>
      <c r="BV53" s="1925">
        <f t="shared" si="52"/>
        <v>0</v>
      </c>
      <c r="BW53" s="2044" t="str">
        <f t="shared" si="91"/>
        <v/>
      </c>
      <c r="BX53" s="2045">
        <f>IF('Saisie données stocks'!$O$10='TRAD-Saisie données stocks'!$B$51, IF('Calculs Péremption FA'!P53="OK", IF(BU53=O53, MAX(Paramétrage!$H$19+('Saisie données stocks'!$N$14*(365/12)), BM53, BE53, AW53, AO53, AG53, Y53, R53), BW53), Paramétrage!$H$19+('Saisie données stocks'!$N$14*(365/12))), Paramétrage!$H$19+('Saisie données stocks'!$N$14*(365/12)))</f>
        <v>42101.5</v>
      </c>
      <c r="BY53" s="2046">
        <f t="shared" si="92"/>
        <v>7</v>
      </c>
      <c r="BZ53" s="2046">
        <f t="shared" si="93"/>
        <v>4</v>
      </c>
      <c r="CA53" s="2046">
        <f t="shared" si="94"/>
        <v>2015</v>
      </c>
      <c r="CB53" s="2046">
        <f>IF(BX53="", "", (BX53-Paramétrage!$H$19)/(365/12))</f>
        <v>6</v>
      </c>
      <c r="CC53" s="2046" t="str">
        <f>IF(CB53='Saisie données stocks'!N$14, 'TRAD-Calculs Péremption FA'!$B$74, CONCATENATE("DLU - ", BY53, "/", BZ53, "/", CA53))</f>
        <v>Durée de vie max</v>
      </c>
    </row>
    <row r="54" spans="2:81" ht="38.25" x14ac:dyDescent="0.2">
      <c r="B54" s="1994"/>
      <c r="C54" s="1995" t="s">
        <v>26</v>
      </c>
      <c r="D54" s="1996" t="s">
        <v>29</v>
      </c>
      <c r="E54" s="1997" t="str">
        <f>'TRAD-Calculs Péremption FA'!B71</f>
        <v>sol buv</v>
      </c>
      <c r="F54" s="1997" t="s">
        <v>80</v>
      </c>
      <c r="G54" s="1997"/>
      <c r="H54" s="379" t="str">
        <f t="shared" si="95"/>
        <v>NVP - 10 mg/mL</v>
      </c>
      <c r="I54" s="1998">
        <f>'Saisie données stocks'!$L$66</f>
        <v>240</v>
      </c>
      <c r="J54" s="1999">
        <f>'Saisie données stocks'!$M$66</f>
        <v>1</v>
      </c>
      <c r="K54" s="2978">
        <f>IF('TdB Péremptions'!$H$9="X", 'Prix 10-2011 GPRM $'!$L$97, IF('TdB Péremptions'!$H$10="X", 'Prix 10-2011 GPRM $'!$N$97, IF('TdB Péremptions'!$H$11="X", 'Prix VPP 102012 convert'!$L$97, IF('TdB Péremptions'!$H$12="X", 'Prix VPP 102012 convert'!$N$97, IF('TdB Péremptions'!$H$13="X", 'Prix spécifiques'!$I$54, 0)))))*I54</f>
        <v>1.9500000000000002</v>
      </c>
      <c r="L54" s="2978">
        <f>(1+'TdB Péremptions'!$H$14)*K54</f>
        <v>2.1450000000000005</v>
      </c>
      <c r="M54" s="2001">
        <f>Calculs!O200</f>
        <v>0</v>
      </c>
      <c r="N54" s="2001">
        <f>Calculs!N254</f>
        <v>0</v>
      </c>
      <c r="O54" s="2001">
        <f>'Saisie données stocks'!N66</f>
        <v>3990</v>
      </c>
      <c r="P54" s="1920" t="str">
        <f>IF(SUM('Saisie données stocks'!R66+'Saisie données stocks'!T66+'Saisie données stocks'!V66+'Saisie données stocks'!X66+'Saisie données stocks'!Z66+'Saisie données stocks'!AB66+'Saisie données stocks'!AD66)='Calculs Péremption FA'!O54,  "OK", 'TRAD-Saisie données stocks'!$B$70)</f>
        <v>OK</v>
      </c>
      <c r="Q54" s="2002" t="str">
        <f>IF(AND(O54&gt;0, M54=0, N54=0), 'TRAD-Calculs Péremption FA'!$B$76, "")</f>
        <v>Produit en stock mais sans aucune utilisation</v>
      </c>
      <c r="R54" s="2003">
        <f>'Saisie données stocks'!Q66</f>
        <v>42278</v>
      </c>
      <c r="S54" s="2004">
        <f>'Saisie données stocks'!R66</f>
        <v>383</v>
      </c>
      <c r="T54" s="2005">
        <f>IF(AND(R54=0, S54=0), "ND", IF((R54-Paramétrage!$H$19)&gt;0, (R54-Paramétrage!$H$19)/(365/12), "Date non renseignée ou produit périmé"))</f>
        <v>11.802739726027397</v>
      </c>
      <c r="U54" s="2006">
        <f t="shared" si="57"/>
        <v>0</v>
      </c>
      <c r="V54" s="2006">
        <f t="shared" si="58"/>
        <v>383</v>
      </c>
      <c r="W54" s="2007" t="str">
        <f t="shared" si="59"/>
        <v>ATTENTION SURSTOCK et risque de péremption</v>
      </c>
      <c r="X54" s="1924">
        <f t="shared" si="60"/>
        <v>821.5350000000002</v>
      </c>
      <c r="Y54" s="2008">
        <f>'Saisie données stocks'!S66</f>
        <v>42309</v>
      </c>
      <c r="Z54" s="1920">
        <f>'Saisie données stocks'!T66</f>
        <v>1376</v>
      </c>
      <c r="AA54" s="1923">
        <f t="shared" si="61"/>
        <v>1376</v>
      </c>
      <c r="AB54" s="1923">
        <f>IF(AND(Y54=0, Z54=0), "ND", IF((Y54-Paramétrage!$H$19)&gt;0, (Y54-Paramétrage!$H$19)/(365/12), "Date non renseignée ou produit périmé"))</f>
        <v>12.821917808219178</v>
      </c>
      <c r="AC54" s="1923">
        <f t="shared" si="62"/>
        <v>0</v>
      </c>
      <c r="AD54" s="1923">
        <f t="shared" si="63"/>
        <v>1376</v>
      </c>
      <c r="AE54" s="2005" t="str">
        <f t="shared" si="64"/>
        <v>ATTENTION SURSTOCK et risque de péremption</v>
      </c>
      <c r="AF54" s="1924">
        <f t="shared" si="65"/>
        <v>2951.5200000000004</v>
      </c>
      <c r="AG54" s="1919">
        <f>'Saisie données stocks'!U66</f>
        <v>42795</v>
      </c>
      <c r="AH54" s="1920">
        <f>'Saisie données stocks'!V66</f>
        <v>2231</v>
      </c>
      <c r="AI54" s="1923">
        <f t="shared" si="66"/>
        <v>2231</v>
      </c>
      <c r="AJ54" s="1923">
        <f>IF(AND(AG54=0, AH54=0), "ND", IF((AG54-Paramétrage!$H$19)&gt;0, (AG54-Paramétrage!$H$19)/(365/12), "Date non renseignée ou produit périmé"))</f>
        <v>28.799999999999997</v>
      </c>
      <c r="AK54" s="1923">
        <f t="shared" si="67"/>
        <v>0</v>
      </c>
      <c r="AL54" s="1923">
        <f t="shared" si="68"/>
        <v>2231</v>
      </c>
      <c r="AM54" s="1923" t="str">
        <f t="shared" si="69"/>
        <v>ATTENTION SURSTOCK et risque de péremption</v>
      </c>
      <c r="AN54" s="1924">
        <f t="shared" si="70"/>
        <v>4785.4950000000008</v>
      </c>
      <c r="AO54" s="1919">
        <f>'Saisie données stocks'!W66</f>
        <v>0</v>
      </c>
      <c r="AP54" s="1920">
        <f>'Saisie données stocks'!X66</f>
        <v>0</v>
      </c>
      <c r="AQ54" s="1923">
        <f t="shared" si="71"/>
        <v>0</v>
      </c>
      <c r="AR54" s="1923" t="str">
        <f>IF(AND(AO54=0, AP54=0), "ND", IF((AO54-Paramétrage!$H$19)&gt;0, (AO54-Paramétrage!$H$19)/(365/12), "Date non renseignée ou produit périmé"))</f>
        <v>ND</v>
      </c>
      <c r="AS54" s="1923" t="str">
        <f t="shared" si="72"/>
        <v>ND</v>
      </c>
      <c r="AT54" s="1923" t="str">
        <f t="shared" si="73"/>
        <v>ND</v>
      </c>
      <c r="AU54" s="1923" t="str">
        <f t="shared" si="74"/>
        <v>ND</v>
      </c>
      <c r="AV54" s="1924" t="str">
        <f t="shared" si="75"/>
        <v>ND</v>
      </c>
      <c r="AW54" s="1919">
        <f>'Saisie données stocks'!Y66</f>
        <v>0</v>
      </c>
      <c r="AX54" s="1920">
        <f>'Saisie données stocks'!Z66</f>
        <v>0</v>
      </c>
      <c r="AY54" s="1923">
        <f t="shared" si="76"/>
        <v>0</v>
      </c>
      <c r="AZ54" s="1923" t="str">
        <f>IF(AND(AW54=0, AX54=0), "ND", IF((AW54-Paramétrage!$H$19)&gt;0, (AW54-Paramétrage!$H$19)/(365/12), "Date non renseignée ou produit périmé"))</f>
        <v>ND</v>
      </c>
      <c r="BA54" s="1923" t="str">
        <f t="shared" si="77"/>
        <v>ND</v>
      </c>
      <c r="BB54" s="1923" t="str">
        <f t="shared" si="78"/>
        <v>ND</v>
      </c>
      <c r="BC54" s="1923" t="str">
        <f t="shared" si="79"/>
        <v>ND</v>
      </c>
      <c r="BD54" s="1924" t="str">
        <f t="shared" si="80"/>
        <v>ND</v>
      </c>
      <c r="BE54" s="1919">
        <f>'Saisie données stocks'!AA66</f>
        <v>0</v>
      </c>
      <c r="BF54" s="1920">
        <f>'Saisie données stocks'!AB66</f>
        <v>0</v>
      </c>
      <c r="BG54" s="1923">
        <f t="shared" si="81"/>
        <v>0</v>
      </c>
      <c r="BH54" s="1923" t="str">
        <f>IF(AND(BE54=0, BF54=0), "ND", IF((BE54-Paramétrage!$H$19)&gt;0, (BE54-Paramétrage!$H$19)/(365/12), "Date non renseignée ou produit périmé"))</f>
        <v>ND</v>
      </c>
      <c r="BI54" s="1923" t="str">
        <f t="shared" si="82"/>
        <v>ND</v>
      </c>
      <c r="BJ54" s="1923" t="str">
        <f t="shared" si="83"/>
        <v>ND</v>
      </c>
      <c r="BK54" s="1923" t="str">
        <f t="shared" si="84"/>
        <v>ND</v>
      </c>
      <c r="BL54" s="1924" t="str">
        <f t="shared" si="85"/>
        <v>ND</v>
      </c>
      <c r="BM54" s="1919">
        <f>'Saisie données stocks'!AC66</f>
        <v>0</v>
      </c>
      <c r="BN54" s="1920">
        <f>'Saisie données stocks'!AD66</f>
        <v>0</v>
      </c>
      <c r="BO54" s="1923">
        <f t="shared" si="86"/>
        <v>0</v>
      </c>
      <c r="BP54" s="1923" t="str">
        <f>IF(AND(BM54=0, BN54=0), "ND", IF((BM54-Paramétrage!$H$19)&gt;0, (BM54-Paramétrage!$H$19)/(365/12), "Date non renseignée ou produit périmé"))</f>
        <v>ND</v>
      </c>
      <c r="BQ54" s="1923" t="str">
        <f t="shared" si="87"/>
        <v>ND</v>
      </c>
      <c r="BR54" s="1923" t="str">
        <f t="shared" si="88"/>
        <v>ND</v>
      </c>
      <c r="BS54" s="1923" t="str">
        <f t="shared" si="89"/>
        <v>ND</v>
      </c>
      <c r="BT54" s="1924" t="str">
        <f t="shared" si="90"/>
        <v>ND</v>
      </c>
      <c r="BU54" s="1925">
        <f>IF('Saisie données stocks'!$O$10='TRAD-Saisie données stocks'!$B$51, IF(P54="OK", IF(AND(BR54&gt;0, ISNUMBER(BR54)), (BO54-BR54), (BO54)), O54), O54)</f>
        <v>0</v>
      </c>
      <c r="BV54" s="1925">
        <f t="shared" si="52"/>
        <v>3990</v>
      </c>
      <c r="BW54" s="2044">
        <f t="shared" si="91"/>
        <v>42795</v>
      </c>
      <c r="BX54" s="2045">
        <f>IF('Saisie données stocks'!$O$10='TRAD-Saisie données stocks'!$B$51, IF('Calculs Péremption FA'!P54="OK", IF(BU54=O54, MAX(Paramétrage!$H$19+('Saisie données stocks'!$N$14*(365/12)), BM54, BE54, AW54, AO54, AG54, Y54, R54), BW54), Paramétrage!$H$19+('Saisie données stocks'!$N$14*(365/12))), Paramétrage!$H$19+('Saisie données stocks'!$N$14*(365/12)))</f>
        <v>42795</v>
      </c>
      <c r="BY54" s="2046">
        <f t="shared" si="92"/>
        <v>1</v>
      </c>
      <c r="BZ54" s="2046">
        <f t="shared" si="93"/>
        <v>3</v>
      </c>
      <c r="CA54" s="2046">
        <f t="shared" si="94"/>
        <v>2017</v>
      </c>
      <c r="CB54" s="2046">
        <f>IF(BX54="", "", (BX54-Paramétrage!$H$19)/(365/12))</f>
        <v>28.799999999999997</v>
      </c>
      <c r="CC54" s="2046" t="str">
        <f>IF(CB54='Saisie données stocks'!N$14, 'TRAD-Calculs Péremption FA'!$B$74, CONCATENATE("DLU - ", BY54, "/", BZ54, "/", CA54))</f>
        <v>DLU - 1/3/2017</v>
      </c>
    </row>
    <row r="55" spans="2:81" ht="25.5" x14ac:dyDescent="0.2">
      <c r="B55" s="1994"/>
      <c r="C55" s="2016"/>
      <c r="D55" s="2017" t="s">
        <v>27</v>
      </c>
      <c r="E55" s="2018" t="str">
        <f>'TRAD-Calculs Péremption FA'!B71</f>
        <v>sol buv</v>
      </c>
      <c r="F55" s="2018" t="s">
        <v>86</v>
      </c>
      <c r="G55" s="2019"/>
      <c r="H55" s="393" t="str">
        <f t="shared" si="95"/>
        <v>EFV - 30 mg/mL</v>
      </c>
      <c r="I55" s="2020">
        <f>'Saisie données stocks'!$L$67</f>
        <v>180</v>
      </c>
      <c r="J55" s="2021">
        <f>'Saisie données stocks'!$M$67</f>
        <v>1</v>
      </c>
      <c r="K55" s="2980">
        <f>IF('TdB Péremptions'!$H$9="X", 'Prix 10-2011 GPRM $'!$L$95, IF('TdB Péremptions'!$H$10="X", 'Prix 10-2011 GPRM $'!$N$95, IF('TdB Péremptions'!$H$11="X", 'Prix VPP 102012 convert'!$L$95, IF('TdB Péremptions'!$H$12="X", 'Prix VPP 102012 convert'!$N$95, IF('TdB Péremptions'!$H$13="X", 'Prix spécifiques'!$I$55, 0)))))*I55</f>
        <v>16.994731296101161</v>
      </c>
      <c r="L55" s="2980">
        <f>(1+'TdB Péremptions'!$H$14)*K55</f>
        <v>18.69420442571128</v>
      </c>
      <c r="M55" s="2001">
        <f>Calculs!O201</f>
        <v>0</v>
      </c>
      <c r="N55" s="2001">
        <f>Calculs!N255</f>
        <v>0</v>
      </c>
      <c r="O55" s="2001">
        <f>'Saisie données stocks'!N67</f>
        <v>0</v>
      </c>
      <c r="P55" s="1920" t="str">
        <f>IF(SUM('Saisie données stocks'!R67+'Saisie données stocks'!T67+'Saisie données stocks'!V67+'Saisie données stocks'!X67+'Saisie données stocks'!Z67+'Saisie données stocks'!AB67+'Saisie données stocks'!AD67)='Calculs Péremption FA'!O55,  "OK", 'TRAD-Saisie données stocks'!$B$70)</f>
        <v>OK</v>
      </c>
      <c r="Q55" s="2002" t="str">
        <f>IF(AND(O55&gt;0, M55=0, N55=0), 'TRAD-Calculs Péremption FA'!$B$76, "")</f>
        <v/>
      </c>
      <c r="R55" s="2003">
        <f>'Saisie données stocks'!Q67</f>
        <v>0</v>
      </c>
      <c r="S55" s="2004">
        <f>'Saisie données stocks'!R67</f>
        <v>0</v>
      </c>
      <c r="T55" s="2005" t="str">
        <f>IF(AND(R55=0, S55=0), "ND", IF((R55-Paramétrage!$H$19)&gt;0, (R55-Paramétrage!$H$19)/(365/12), "Date non renseignée ou produit périmé"))</f>
        <v>ND</v>
      </c>
      <c r="U55" s="2006" t="str">
        <f t="shared" si="57"/>
        <v>ND</v>
      </c>
      <c r="V55" s="2006" t="str">
        <f t="shared" si="58"/>
        <v>ND</v>
      </c>
      <c r="W55" s="2007" t="str">
        <f t="shared" si="59"/>
        <v>ND</v>
      </c>
      <c r="X55" s="1924" t="str">
        <f t="shared" si="60"/>
        <v>ND</v>
      </c>
      <c r="Y55" s="2008">
        <f>'Saisie données stocks'!S67</f>
        <v>0</v>
      </c>
      <c r="Z55" s="1920">
        <f>'Saisie données stocks'!T67</f>
        <v>0</v>
      </c>
      <c r="AA55" s="1923">
        <f t="shared" si="61"/>
        <v>0</v>
      </c>
      <c r="AB55" s="1923" t="str">
        <f>IF(AND(Y55=0, Z55=0), "ND", IF((Y55-Paramétrage!$H$19)&gt;0, (Y55-Paramétrage!$H$19)/(365/12), "Date non renseignée ou produit périmé"))</f>
        <v>ND</v>
      </c>
      <c r="AC55" s="1923" t="str">
        <f t="shared" si="62"/>
        <v>ND</v>
      </c>
      <c r="AD55" s="1923" t="str">
        <f t="shared" si="63"/>
        <v>ND</v>
      </c>
      <c r="AE55" s="2005" t="str">
        <f t="shared" si="64"/>
        <v>ND</v>
      </c>
      <c r="AF55" s="1924" t="str">
        <f t="shared" si="65"/>
        <v>ND</v>
      </c>
      <c r="AG55" s="1919">
        <f>'Saisie données stocks'!U67</f>
        <v>0</v>
      </c>
      <c r="AH55" s="1920">
        <f>'Saisie données stocks'!V67</f>
        <v>0</v>
      </c>
      <c r="AI55" s="1923">
        <f t="shared" si="66"/>
        <v>0</v>
      </c>
      <c r="AJ55" s="1923" t="str">
        <f>IF(AND(AG55=0, AH55=0), "ND", IF((AG55-Paramétrage!$H$19)&gt;0, (AG55-Paramétrage!$H$19)/(365/12), "Date non renseignée ou produit périmé"))</f>
        <v>ND</v>
      </c>
      <c r="AK55" s="1923" t="str">
        <f t="shared" si="67"/>
        <v>ND</v>
      </c>
      <c r="AL55" s="1923" t="str">
        <f t="shared" si="68"/>
        <v>ND</v>
      </c>
      <c r="AM55" s="1923" t="str">
        <f t="shared" si="69"/>
        <v>ND</v>
      </c>
      <c r="AN55" s="1924" t="str">
        <f t="shared" si="70"/>
        <v>ND</v>
      </c>
      <c r="AO55" s="1919">
        <f>'Saisie données stocks'!W67</f>
        <v>0</v>
      </c>
      <c r="AP55" s="1920">
        <f>'Saisie données stocks'!X67</f>
        <v>0</v>
      </c>
      <c r="AQ55" s="1923">
        <f t="shared" si="71"/>
        <v>0</v>
      </c>
      <c r="AR55" s="1923" t="str">
        <f>IF(AND(AO55=0, AP55=0), "ND", IF((AO55-Paramétrage!$H$19)&gt;0, (AO55-Paramétrage!$H$19)/(365/12), "Date non renseignée ou produit périmé"))</f>
        <v>ND</v>
      </c>
      <c r="AS55" s="1923" t="str">
        <f t="shared" si="72"/>
        <v>ND</v>
      </c>
      <c r="AT55" s="1923" t="str">
        <f t="shared" si="73"/>
        <v>ND</v>
      </c>
      <c r="AU55" s="1923" t="str">
        <f t="shared" si="74"/>
        <v>ND</v>
      </c>
      <c r="AV55" s="1924" t="str">
        <f t="shared" si="75"/>
        <v>ND</v>
      </c>
      <c r="AW55" s="1919">
        <f>'Saisie données stocks'!Y67</f>
        <v>0</v>
      </c>
      <c r="AX55" s="1920">
        <f>'Saisie données stocks'!Z67</f>
        <v>0</v>
      </c>
      <c r="AY55" s="1923">
        <f t="shared" si="76"/>
        <v>0</v>
      </c>
      <c r="AZ55" s="1923" t="str">
        <f>IF(AND(AW55=0, AX55=0), "ND", IF((AW55-Paramétrage!$H$19)&gt;0, (AW55-Paramétrage!$H$19)/(365/12), "Date non renseignée ou produit périmé"))</f>
        <v>ND</v>
      </c>
      <c r="BA55" s="1923" t="str">
        <f t="shared" si="77"/>
        <v>ND</v>
      </c>
      <c r="BB55" s="1923" t="str">
        <f t="shared" si="78"/>
        <v>ND</v>
      </c>
      <c r="BC55" s="1923" t="str">
        <f t="shared" si="79"/>
        <v>ND</v>
      </c>
      <c r="BD55" s="1924" t="str">
        <f t="shared" si="80"/>
        <v>ND</v>
      </c>
      <c r="BE55" s="1919">
        <f>'Saisie données stocks'!AA67</f>
        <v>0</v>
      </c>
      <c r="BF55" s="1920">
        <f>'Saisie données stocks'!AB67</f>
        <v>0</v>
      </c>
      <c r="BG55" s="1923">
        <f t="shared" si="81"/>
        <v>0</v>
      </c>
      <c r="BH55" s="1923" t="str">
        <f>IF(AND(BE55=0, BF55=0), "ND", IF((BE55-Paramétrage!$H$19)&gt;0, (BE55-Paramétrage!$H$19)/(365/12), "Date non renseignée ou produit périmé"))</f>
        <v>ND</v>
      </c>
      <c r="BI55" s="1923" t="str">
        <f t="shared" si="82"/>
        <v>ND</v>
      </c>
      <c r="BJ55" s="1923" t="str">
        <f t="shared" si="83"/>
        <v>ND</v>
      </c>
      <c r="BK55" s="1923" t="str">
        <f t="shared" si="84"/>
        <v>ND</v>
      </c>
      <c r="BL55" s="1924" t="str">
        <f t="shared" si="85"/>
        <v>ND</v>
      </c>
      <c r="BM55" s="1919">
        <f>'Saisie données stocks'!AC67</f>
        <v>0</v>
      </c>
      <c r="BN55" s="1920">
        <f>'Saisie données stocks'!AD67</f>
        <v>0</v>
      </c>
      <c r="BO55" s="1923">
        <f t="shared" si="86"/>
        <v>0</v>
      </c>
      <c r="BP55" s="1923" t="str">
        <f>IF(AND(BM55=0, BN55=0), "ND", IF((BM55-Paramétrage!$H$19)&gt;0, (BM55-Paramétrage!$H$19)/(365/12), "Date non renseignée ou produit périmé"))</f>
        <v>ND</v>
      </c>
      <c r="BQ55" s="1923" t="str">
        <f t="shared" si="87"/>
        <v>ND</v>
      </c>
      <c r="BR55" s="1923" t="str">
        <f t="shared" si="88"/>
        <v>ND</v>
      </c>
      <c r="BS55" s="1923" t="str">
        <f t="shared" si="89"/>
        <v>ND</v>
      </c>
      <c r="BT55" s="1924" t="str">
        <f t="shared" si="90"/>
        <v>ND</v>
      </c>
      <c r="BU55" s="1925">
        <f>IF('Saisie données stocks'!$O$10='TRAD-Saisie données stocks'!$B$51, IF(P55="OK", IF(AND(BR55&gt;0, ISNUMBER(BR55)), (BO55-BR55), (BO55)), O55), O55)</f>
        <v>0</v>
      </c>
      <c r="BV55" s="1925">
        <f t="shared" si="52"/>
        <v>0</v>
      </c>
      <c r="BW55" s="2044" t="str">
        <f t="shared" si="91"/>
        <v/>
      </c>
      <c r="BX55" s="2045">
        <f>IF('Saisie données stocks'!$O$10='TRAD-Saisie données stocks'!$B$51, IF('Calculs Péremption FA'!P55="OK", IF(BU55=O55, MAX(Paramétrage!$H$19+('Saisie données stocks'!$N$14*(365/12)), BM55, BE55, AW55, AO55, AG55, Y55, R55), BW55), Paramétrage!$H$19+('Saisie données stocks'!$N$14*(365/12))), Paramétrage!$H$19+('Saisie données stocks'!$N$14*(365/12)))</f>
        <v>42101.5</v>
      </c>
      <c r="BY55" s="2046">
        <f t="shared" si="92"/>
        <v>7</v>
      </c>
      <c r="BZ55" s="2046">
        <f t="shared" si="93"/>
        <v>4</v>
      </c>
      <c r="CA55" s="2046">
        <f t="shared" si="94"/>
        <v>2015</v>
      </c>
      <c r="CB55" s="2046">
        <f>IF(BX55="", "", (BX55-Paramétrage!$H$19)/(365/12))</f>
        <v>6</v>
      </c>
      <c r="CC55" s="2046" t="str">
        <f>IF(CB55='Saisie données stocks'!N$14, 'TRAD-Calculs Péremption FA'!$B$74, CONCATENATE("DLU - ", BY55, "/", BZ55, "/", CA55))</f>
        <v>Durée de vie max</v>
      </c>
    </row>
    <row r="56" spans="2:81" ht="26.25" thickBot="1" x14ac:dyDescent="0.25">
      <c r="B56" s="2023"/>
      <c r="C56" s="2024" t="s">
        <v>41</v>
      </c>
      <c r="D56" s="2025" t="s">
        <v>42</v>
      </c>
      <c r="E56" s="2026" t="str">
        <f>'TRAD-Calculs Péremption FA'!B71</f>
        <v>sol buv</v>
      </c>
      <c r="F56" s="2026" t="s">
        <v>93</v>
      </c>
      <c r="G56" s="2026"/>
      <c r="H56" s="658" t="str">
        <f t="shared" si="95"/>
        <v>LPV/r - 80/20 mg/mL</v>
      </c>
      <c r="I56" s="2027">
        <f>'Saisie données stocks'!$L$68</f>
        <v>60</v>
      </c>
      <c r="J56" s="2028">
        <f>'Saisie données stocks'!$M$68</f>
        <v>4</v>
      </c>
      <c r="K56" s="2981">
        <f>IF('TdB Péremptions'!$H$9="X", 'Prix 10-2011 GPRM $'!$L$102, IF('TdB Péremptions'!$H$10="X", 'Prix 10-2011 GPRM $'!$N$102, IF('TdB Péremptions'!$H$11="X", 'Prix VPP 102012 convert'!$L$102, IF('TdB Péremptions'!$H$12="X", 'Prix VPP 102012 convert'!$N$102, IF('TdB Péremptions'!$H$13="X", 'Prix spécifiques'!$I$56, 0)))))*I56</f>
        <v>6.1639999999999997</v>
      </c>
      <c r="L56" s="2981">
        <f>(1+'TdB Péremptions'!$H$14)*K56</f>
        <v>6.7804000000000002</v>
      </c>
      <c r="M56" s="2030">
        <f>Calculs!O202</f>
        <v>0</v>
      </c>
      <c r="N56" s="2030">
        <f>Calculs!N256</f>
        <v>0</v>
      </c>
      <c r="O56" s="2030">
        <f>'Saisie données stocks'!N68</f>
        <v>0</v>
      </c>
      <c r="P56" s="2031" t="str">
        <f>IF(SUM('Saisie données stocks'!R68+'Saisie données stocks'!T68+'Saisie données stocks'!V68+'Saisie données stocks'!X68+'Saisie données stocks'!Z68+'Saisie données stocks'!AB68+'Saisie données stocks'!AD68)='Calculs Péremption FA'!O56,  "OK", 'TRAD-Saisie données stocks'!$B$70)</f>
        <v>OK</v>
      </c>
      <c r="Q56" s="2032" t="str">
        <f>IF(AND(O56&gt;0, M56=0, N56=0), 'TRAD-Calculs Péremption FA'!$B$76, "")</f>
        <v/>
      </c>
      <c r="R56" s="2033">
        <f>'Saisie données stocks'!Q68</f>
        <v>0</v>
      </c>
      <c r="S56" s="2034">
        <f>'Saisie données stocks'!R68</f>
        <v>0</v>
      </c>
      <c r="T56" s="2035" t="str">
        <f>IF(AND(R56=0, S56=0), "ND", IF((R56-Paramétrage!$H$19)&gt;0, (R56-Paramétrage!$H$19)/(365/12), "Date non renseignée ou produit périmé"))</f>
        <v>ND</v>
      </c>
      <c r="U56" s="2036" t="str">
        <f t="shared" si="57"/>
        <v>ND</v>
      </c>
      <c r="V56" s="2036" t="str">
        <f t="shared" si="58"/>
        <v>ND</v>
      </c>
      <c r="W56" s="2037" t="str">
        <f t="shared" si="59"/>
        <v>ND</v>
      </c>
      <c r="X56" s="2038" t="str">
        <f t="shared" si="60"/>
        <v>ND</v>
      </c>
      <c r="Y56" s="2039">
        <f>'Saisie données stocks'!S68</f>
        <v>0</v>
      </c>
      <c r="Z56" s="2031">
        <f>'Saisie données stocks'!T68</f>
        <v>0</v>
      </c>
      <c r="AA56" s="2040">
        <f t="shared" si="61"/>
        <v>0</v>
      </c>
      <c r="AB56" s="2040" t="str">
        <f>IF(AND(Y56=0, Z56=0), "ND", IF((Y56-Paramétrage!$H$19)&gt;0, (Y56-Paramétrage!$H$19)/(365/12), "Date non renseignée ou produit périmé"))</f>
        <v>ND</v>
      </c>
      <c r="AC56" s="2040" t="str">
        <f t="shared" si="62"/>
        <v>ND</v>
      </c>
      <c r="AD56" s="2040" t="str">
        <f t="shared" si="63"/>
        <v>ND</v>
      </c>
      <c r="AE56" s="2035" t="str">
        <f t="shared" si="64"/>
        <v>ND</v>
      </c>
      <c r="AF56" s="2038" t="str">
        <f t="shared" si="65"/>
        <v>ND</v>
      </c>
      <c r="AG56" s="2041">
        <f>'Saisie données stocks'!U68</f>
        <v>0</v>
      </c>
      <c r="AH56" s="2031">
        <f>'Saisie données stocks'!V68</f>
        <v>0</v>
      </c>
      <c r="AI56" s="2040">
        <f t="shared" si="66"/>
        <v>0</v>
      </c>
      <c r="AJ56" s="2040" t="str">
        <f>IF(AND(AG56=0, AH56=0), "ND", IF((AG56-Paramétrage!$H$19)&gt;0, (AG56-Paramétrage!$H$19)/(365/12), "Date non renseignée ou produit périmé"))</f>
        <v>ND</v>
      </c>
      <c r="AK56" s="2040" t="str">
        <f t="shared" si="67"/>
        <v>ND</v>
      </c>
      <c r="AL56" s="2040" t="str">
        <f t="shared" si="68"/>
        <v>ND</v>
      </c>
      <c r="AM56" s="2040" t="str">
        <f t="shared" si="69"/>
        <v>ND</v>
      </c>
      <c r="AN56" s="2038" t="str">
        <f t="shared" si="70"/>
        <v>ND</v>
      </c>
      <c r="AO56" s="2041">
        <f>'Saisie données stocks'!W68</f>
        <v>0</v>
      </c>
      <c r="AP56" s="2031">
        <f>'Saisie données stocks'!X68</f>
        <v>0</v>
      </c>
      <c r="AQ56" s="2040">
        <f t="shared" si="71"/>
        <v>0</v>
      </c>
      <c r="AR56" s="2040" t="str">
        <f>IF(AND(AO56=0, AP56=0), "ND", IF((AO56-Paramétrage!$H$19)&gt;0, (AO56-Paramétrage!$H$19)/(365/12), "Date non renseignée ou produit périmé"))</f>
        <v>ND</v>
      </c>
      <c r="AS56" s="2040" t="str">
        <f t="shared" si="72"/>
        <v>ND</v>
      </c>
      <c r="AT56" s="2040" t="str">
        <f t="shared" si="73"/>
        <v>ND</v>
      </c>
      <c r="AU56" s="2040" t="str">
        <f t="shared" si="74"/>
        <v>ND</v>
      </c>
      <c r="AV56" s="2038" t="str">
        <f t="shared" si="75"/>
        <v>ND</v>
      </c>
      <c r="AW56" s="2041">
        <f>'Saisie données stocks'!Y68</f>
        <v>0</v>
      </c>
      <c r="AX56" s="2031">
        <f>'Saisie données stocks'!Z68</f>
        <v>0</v>
      </c>
      <c r="AY56" s="2040">
        <f t="shared" si="76"/>
        <v>0</v>
      </c>
      <c r="AZ56" s="2040" t="str">
        <f>IF(AND(AW56=0, AX56=0), "ND", IF((AW56-Paramétrage!$H$19)&gt;0, (AW56-Paramétrage!$H$19)/(365/12), "Date non renseignée ou produit périmé"))</f>
        <v>ND</v>
      </c>
      <c r="BA56" s="2040" t="str">
        <f t="shared" si="77"/>
        <v>ND</v>
      </c>
      <c r="BB56" s="2040" t="str">
        <f t="shared" si="78"/>
        <v>ND</v>
      </c>
      <c r="BC56" s="2040" t="str">
        <f t="shared" si="79"/>
        <v>ND</v>
      </c>
      <c r="BD56" s="2038" t="str">
        <f t="shared" si="80"/>
        <v>ND</v>
      </c>
      <c r="BE56" s="2041">
        <f>'Saisie données stocks'!AA68</f>
        <v>0</v>
      </c>
      <c r="BF56" s="2031">
        <f>'Saisie données stocks'!AB68</f>
        <v>0</v>
      </c>
      <c r="BG56" s="2040">
        <f t="shared" si="81"/>
        <v>0</v>
      </c>
      <c r="BH56" s="2040" t="str">
        <f>IF(AND(BE56=0, BF56=0), "ND", IF((BE56-Paramétrage!$H$19)&gt;0, (BE56-Paramétrage!$H$19)/(365/12), "Date non renseignée ou produit périmé"))</f>
        <v>ND</v>
      </c>
      <c r="BI56" s="2040" t="str">
        <f t="shared" si="82"/>
        <v>ND</v>
      </c>
      <c r="BJ56" s="2040" t="str">
        <f t="shared" si="83"/>
        <v>ND</v>
      </c>
      <c r="BK56" s="2040" t="str">
        <f t="shared" si="84"/>
        <v>ND</v>
      </c>
      <c r="BL56" s="2038" t="str">
        <f t="shared" si="85"/>
        <v>ND</v>
      </c>
      <c r="BM56" s="2041">
        <f>'Saisie données stocks'!AC68</f>
        <v>0</v>
      </c>
      <c r="BN56" s="2031">
        <f>'Saisie données stocks'!AD68</f>
        <v>0</v>
      </c>
      <c r="BO56" s="2040">
        <f t="shared" si="86"/>
        <v>0</v>
      </c>
      <c r="BP56" s="2040" t="str">
        <f>IF(AND(BM56=0, BN56=0), "ND", IF((BM56-Paramétrage!$H$19)&gt;0, (BM56-Paramétrage!$H$19)/(365/12), "Date non renseignée ou produit périmé"))</f>
        <v>ND</v>
      </c>
      <c r="BQ56" s="2040" t="str">
        <f t="shared" si="87"/>
        <v>ND</v>
      </c>
      <c r="BR56" s="2040" t="str">
        <f t="shared" si="88"/>
        <v>ND</v>
      </c>
      <c r="BS56" s="2040" t="str">
        <f t="shared" si="89"/>
        <v>ND</v>
      </c>
      <c r="BT56" s="2038" t="str">
        <f t="shared" si="90"/>
        <v>ND</v>
      </c>
      <c r="BU56" s="1938">
        <f>IF('Saisie données stocks'!$O$10='TRAD-Saisie données stocks'!$B$51, IF(P56="OK", IF(AND(BR56&gt;0, ISNUMBER(BR56)), (BO56-BR56), (BO56)), O56), O56)</f>
        <v>0</v>
      </c>
      <c r="BV56" s="1938">
        <f t="shared" si="52"/>
        <v>0</v>
      </c>
      <c r="BW56" s="2044" t="str">
        <f t="shared" si="91"/>
        <v/>
      </c>
      <c r="BX56" s="2047">
        <f>IF('Saisie données stocks'!$O$10='TRAD-Saisie données stocks'!$B$51, IF('Calculs Péremption FA'!P56="OK", IF(BU56=O56, MAX(Paramétrage!$H$19+('Saisie données stocks'!$N$14*(365/12)), BM56, BE56, AW56, AO56, AG56, Y56, R56), BW56), Paramétrage!$H$19+('Saisie données stocks'!$N$14*(365/12))), Paramétrage!$H$19+('Saisie données stocks'!$N$14*(365/12)))</f>
        <v>42101.5</v>
      </c>
      <c r="BY56" s="2048">
        <f t="shared" si="92"/>
        <v>7</v>
      </c>
      <c r="BZ56" s="2048">
        <f t="shared" si="93"/>
        <v>4</v>
      </c>
      <c r="CA56" s="2048">
        <f t="shared" si="94"/>
        <v>2015</v>
      </c>
      <c r="CB56" s="2048">
        <f>IF(BX56="", "", (BX56-Paramétrage!$H$19)/(365/12))</f>
        <v>6</v>
      </c>
      <c r="CC56" s="2048" t="str">
        <f>IF(CB56='Saisie données stocks'!N$14, 'TRAD-Calculs Péremption FA'!$B$74, CONCATENATE("DLU - ", BY56, "/", BZ56, "/", CA56))</f>
        <v>Durée de vie max</v>
      </c>
    </row>
  </sheetData>
  <sheetProtection password="D0E7" sheet="1" objects="1" scenarios="1" selectLockedCells="1"/>
  <mergeCells count="8">
    <mergeCell ref="A2:Q2"/>
    <mergeCell ref="BE5:BL5"/>
    <mergeCell ref="BM5:BT5"/>
    <mergeCell ref="R5:X5"/>
    <mergeCell ref="Y5:AF5"/>
    <mergeCell ref="AG5:AN5"/>
    <mergeCell ref="AO5:AV5"/>
    <mergeCell ref="AW5:BD5"/>
  </mergeCells>
  <conditionalFormatting sqref="BN4:BT4 BM4:BM5 BF4:BL4 BE4:BE5 AX4:BD4 AW4:AW5 AP4:AV4 AO4:AO5 AH4:AN4 AG4:AG5 S4:X4 Z4:AF4 P4:R5 Y4:Y5 BU48:BV48 P2:BU3 BU4:BU56 M2:N56 BV2:XFD56 BU6:BV6 A2:F40 G2:O5 A41:J56 G6:J40 K6:BU56">
    <cfRule type="cellIs" dxfId="144" priority="97" stopIfTrue="1" operator="equal">
      <formula>"ND"</formula>
    </cfRule>
    <cfRule type="cellIs" dxfId="143" priority="103" operator="equal">
      <formula>"ATTENTION le détail ne correspond pas à votre stock total"</formula>
    </cfRule>
    <cfRule type="cellIs" dxfId="142" priority="104" operator="equal">
      <formula>"ATTENTION SURSTOCK et risque de péremption"</formula>
    </cfRule>
    <cfRule type="cellIs" dxfId="141" priority="105" operator="equal">
      <formula>"OK"</formula>
    </cfRule>
  </conditionalFormatting>
  <conditionalFormatting sqref="BT49:BT56 BR49:BR56 BT7:BT47 BL49:BL56 BJ49:BJ56 BL7:BL47 BD49:BD56 BB49:BB56 BD7:BD47 AV49:AV56 AT49:AT56 AV7:AV47 AN49:AN56 AL49:AL56 AN7:AN47 AF49:AF56 AD49:AD56 AF7:AF47 AD7:AD47 X49:X56 V49:V56 X7:X47 V7:V47 AL7:AL47 AT7:AT47 BB7:BB47 BJ7:BJ47 BR7:BR47">
    <cfRule type="containsBlanks" priority="98" stopIfTrue="1">
      <formula>LEN(TRIM(V7))=0</formula>
    </cfRule>
    <cfRule type="cellIs" dxfId="140" priority="102" operator="greaterThan">
      <formula>0</formula>
    </cfRule>
  </conditionalFormatting>
  <conditionalFormatting sqref="Q7:Q56">
    <cfRule type="containsText" dxfId="139" priority="99" operator="containsText" text="Produit en stock mais sans aucune utilisation">
      <formula>NOT(ISERROR(SEARCH("Produit en stock mais sans aucune utilisation",Q7)))</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0"/>
  </sheetPr>
  <dimension ref="B1:CE76"/>
  <sheetViews>
    <sheetView workbookViewId="0">
      <selection activeCell="D20" sqref="D20"/>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83" x14ac:dyDescent="0.2">
      <c r="B1" s="2586" t="s">
        <v>865</v>
      </c>
      <c r="C1" s="2586"/>
      <c r="D1" s="2586" t="s">
        <v>866</v>
      </c>
      <c r="E1" s="2586"/>
      <c r="F1" s="2586" t="s">
        <v>867</v>
      </c>
      <c r="G1" s="2586"/>
      <c r="H1" s="2586"/>
      <c r="I1" s="2586"/>
      <c r="J1" s="2586"/>
      <c r="K1" s="2586"/>
    </row>
    <row r="2" spans="2:83" ht="38.25" x14ac:dyDescent="0.2">
      <c r="B2" s="2586" t="str">
        <f>IF(Présentation!$E$2="Français",'TRAD-Calculs Péremption FA'!D2,IF(Présentation!$E$2="Anglais",'TRAD-Calculs Péremption FA'!F2,""))</f>
        <v>Evaluation de l'utilisation selon les dates de péremption : Calculs à partir de la file active</v>
      </c>
      <c r="D2" s="2554" t="s">
        <v>1371</v>
      </c>
      <c r="E2" s="2554"/>
      <c r="F2" s="2554" t="s">
        <v>1377</v>
      </c>
      <c r="G2" s="2554"/>
      <c r="H2" s="2554"/>
      <c r="I2" s="2554"/>
      <c r="J2" s="2554"/>
      <c r="K2" s="2554"/>
      <c r="L2" s="2554"/>
      <c r="M2" s="2554"/>
      <c r="N2" s="2554"/>
      <c r="O2" s="2554"/>
      <c r="P2" s="2554"/>
      <c r="Q2" s="2554"/>
      <c r="R2" s="2554"/>
      <c r="S2" s="2554"/>
      <c r="T2" s="2554"/>
      <c r="U2" s="2555"/>
      <c r="V2" s="2554"/>
      <c r="W2" s="2554"/>
      <c r="X2" s="2554"/>
      <c r="Y2" s="2554"/>
      <c r="Z2" s="2554"/>
      <c r="AA2" s="2554"/>
      <c r="AB2" s="2554"/>
      <c r="AC2" s="2554"/>
      <c r="AD2" s="2554"/>
      <c r="AE2" s="2554"/>
      <c r="AF2" s="2554"/>
      <c r="AG2" s="2554"/>
      <c r="AH2" s="2554"/>
      <c r="AI2" s="2554"/>
      <c r="AJ2" s="2554"/>
      <c r="AK2" s="2554"/>
      <c r="AL2" s="2554"/>
      <c r="AM2" s="2554"/>
      <c r="AN2" s="2554"/>
      <c r="AO2" s="2554"/>
      <c r="AP2" s="2554"/>
      <c r="AQ2" s="2554"/>
      <c r="AR2" s="2554"/>
      <c r="AS2" s="2554"/>
      <c r="AT2" s="2554"/>
      <c r="AU2" s="2554"/>
      <c r="AV2" s="2554"/>
      <c r="AW2" s="2554"/>
      <c r="AX2" s="2554"/>
      <c r="AY2" s="2554"/>
      <c r="AZ2" s="2554"/>
      <c r="BA2" s="2554"/>
      <c r="BB2" s="2554"/>
      <c r="BC2" s="2554"/>
      <c r="BD2" s="2554"/>
      <c r="BE2" s="2554"/>
      <c r="BF2" s="2554"/>
      <c r="BG2" s="2554"/>
      <c r="BH2" s="2554"/>
      <c r="BI2" s="2554"/>
      <c r="BJ2" s="2554"/>
      <c r="BK2" s="2554"/>
      <c r="BL2" s="2554"/>
      <c r="BM2" s="2554"/>
      <c r="BN2" s="2554"/>
      <c r="BO2" s="2554"/>
      <c r="BP2" s="2554"/>
      <c r="BQ2" s="2554"/>
      <c r="BR2" s="2554"/>
      <c r="BS2" s="2554"/>
      <c r="BT2" s="2554"/>
      <c r="BU2" s="2554"/>
      <c r="BV2" s="2554"/>
      <c r="BW2" s="2554"/>
      <c r="BX2" s="2554"/>
      <c r="BY2" s="2573"/>
      <c r="BZ2" s="2573"/>
      <c r="CA2" s="2554"/>
      <c r="CB2" s="2554"/>
      <c r="CC2" s="2554"/>
      <c r="CD2" s="2554"/>
      <c r="CE2" s="2554"/>
    </row>
    <row r="3" spans="2:83" ht="25.5" x14ac:dyDescent="0.2">
      <c r="B3" s="2586" t="str">
        <f>IF(Présentation!$E$2="Français",'TRAD-Calculs Péremption FA'!D3,IF(Présentation!$E$2="Anglais",'TRAD-Calculs Péremption FA'!F3,""))</f>
        <v>Détail des dates de péremption et des Quantités (nb de boites)</v>
      </c>
      <c r="D3" s="2554" t="s">
        <v>305</v>
      </c>
      <c r="E3" s="2555"/>
      <c r="F3" s="2555" t="s">
        <v>1378</v>
      </c>
      <c r="G3" s="2555"/>
      <c r="H3" s="2555"/>
      <c r="I3" s="2555"/>
      <c r="J3" s="2555"/>
      <c r="K3" s="2555"/>
      <c r="L3" s="2555"/>
      <c r="M3" s="2555"/>
      <c r="N3" s="2555"/>
      <c r="O3" s="2555"/>
      <c r="P3" s="2555"/>
      <c r="Q3" s="2555"/>
      <c r="R3" s="2555"/>
      <c r="S3" s="2555"/>
      <c r="T3" s="2555"/>
      <c r="U3" s="2555"/>
      <c r="V3" s="2555"/>
      <c r="W3" s="2555"/>
      <c r="X3" s="2555"/>
      <c r="Y3" s="2555"/>
      <c r="Z3" s="2555"/>
      <c r="AA3" s="2555"/>
      <c r="AB3" s="2555"/>
      <c r="AC3" s="2555"/>
      <c r="AD3" s="2555"/>
      <c r="AE3" s="2555"/>
      <c r="AF3" s="2555"/>
      <c r="AG3" s="2555"/>
      <c r="AH3" s="2555"/>
      <c r="AI3" s="2555"/>
      <c r="AJ3" s="2555"/>
      <c r="AK3" s="2555"/>
      <c r="AL3" s="2555"/>
      <c r="AM3" s="2555"/>
      <c r="AN3" s="2555"/>
      <c r="AO3" s="2555"/>
      <c r="AP3" s="2555"/>
      <c r="AQ3" s="2555"/>
      <c r="AR3" s="2555"/>
      <c r="AS3" s="2555"/>
      <c r="AT3" s="2555"/>
      <c r="AU3" s="2555"/>
      <c r="AV3" s="2555"/>
      <c r="AW3" s="2555"/>
      <c r="AX3" s="2555"/>
      <c r="AY3" s="2555"/>
      <c r="AZ3" s="2555"/>
      <c r="BA3" s="2555"/>
      <c r="BB3" s="2555"/>
      <c r="BC3" s="2555"/>
      <c r="BD3" s="2555"/>
      <c r="BE3" s="2555"/>
      <c r="BF3" s="2555"/>
      <c r="BG3" s="2555"/>
      <c r="BH3" s="2555"/>
      <c r="BI3" s="2555"/>
      <c r="BJ3" s="2555"/>
      <c r="BK3" s="2555"/>
      <c r="BL3" s="2555"/>
      <c r="BM3" s="2555"/>
      <c r="BN3" s="2555"/>
      <c r="BO3" s="2555"/>
      <c r="BP3" s="2555"/>
      <c r="BQ3" s="2555"/>
      <c r="BR3" s="2555"/>
      <c r="BS3" s="2555"/>
      <c r="BT3" s="2555"/>
      <c r="BU3" s="2555"/>
      <c r="BV3" s="2555"/>
      <c r="BW3" s="2555"/>
      <c r="BX3" s="2555"/>
      <c r="BY3" s="2578"/>
      <c r="BZ3" s="2578"/>
      <c r="CA3" s="2555"/>
      <c r="CB3" s="2555"/>
      <c r="CC3" s="2555"/>
      <c r="CD3" s="2555"/>
      <c r="CE3" s="2555"/>
    </row>
    <row r="4" spans="2:83" x14ac:dyDescent="0.2">
      <c r="B4" s="2586" t="str">
        <f>IF(Présentation!$E$2="Français",'TRAD-Calculs Péremption FA'!D4,IF(Présentation!$E$2="Anglais",'TRAD-Calculs Péremption FA'!F4,""))</f>
        <v>Composition</v>
      </c>
      <c r="D4" s="2554" t="s">
        <v>12</v>
      </c>
      <c r="E4" s="2555"/>
      <c r="F4" s="2555" t="s">
        <v>12</v>
      </c>
      <c r="G4" s="2555"/>
      <c r="H4" s="2555"/>
      <c r="I4" s="2555"/>
      <c r="J4" s="2555"/>
      <c r="K4" s="2555"/>
      <c r="L4" s="2555"/>
      <c r="M4" s="2555"/>
      <c r="N4" s="2555"/>
      <c r="O4" s="2555"/>
      <c r="P4" s="2555"/>
      <c r="Q4" s="2555"/>
      <c r="R4" s="2555"/>
      <c r="S4" s="2555"/>
      <c r="U4" s="2554"/>
      <c r="V4" s="2554"/>
      <c r="W4" s="2554"/>
      <c r="X4" s="2554"/>
      <c r="Y4" s="2554"/>
      <c r="Z4" s="2554"/>
      <c r="AA4" s="2554"/>
      <c r="AB4" s="2554"/>
      <c r="AC4" s="2554"/>
      <c r="AD4" s="2554"/>
      <c r="AE4" s="2554"/>
      <c r="AF4" s="2554"/>
      <c r="AG4" s="2554"/>
      <c r="AH4" s="2554"/>
      <c r="AI4" s="2554"/>
      <c r="AJ4" s="2554"/>
      <c r="AK4" s="2554"/>
      <c r="AL4" s="2554"/>
      <c r="AM4" s="2554"/>
      <c r="AN4" s="2554"/>
      <c r="AO4" s="2554"/>
      <c r="AP4" s="2554"/>
      <c r="AQ4" s="2554"/>
      <c r="AR4" s="2554"/>
      <c r="AS4" s="2554"/>
      <c r="AT4" s="2554"/>
      <c r="AU4" s="2554"/>
      <c r="AV4" s="2554"/>
      <c r="AW4" s="2554"/>
      <c r="AX4" s="2554"/>
      <c r="AY4" s="2554"/>
      <c r="AZ4" s="2554"/>
      <c r="BA4" s="2554"/>
      <c r="BB4" s="2554"/>
      <c r="BC4" s="2554"/>
      <c r="BD4" s="2554"/>
      <c r="BE4" s="2554"/>
      <c r="BF4" s="2554"/>
      <c r="BG4" s="2554"/>
      <c r="BH4" s="2554"/>
      <c r="BI4" s="2554"/>
      <c r="BJ4" s="2554"/>
      <c r="BK4" s="2554"/>
      <c r="BL4" s="2554"/>
      <c r="BM4" s="2554"/>
      <c r="BN4" s="2554"/>
      <c r="BO4" s="2554"/>
      <c r="BP4" s="2554"/>
      <c r="BQ4" s="2554"/>
      <c r="BR4" s="2554"/>
      <c r="BS4" s="2554"/>
      <c r="BT4" s="2554"/>
      <c r="BU4" s="2554"/>
      <c r="BV4" s="2554"/>
      <c r="BW4" s="2555"/>
      <c r="BX4" s="2555"/>
      <c r="BY4" s="2578"/>
      <c r="BZ4" s="2578"/>
      <c r="CA4" s="2555"/>
      <c r="CB4" s="2555"/>
      <c r="CC4" s="2555"/>
      <c r="CD4" s="2555"/>
      <c r="CE4" s="2555"/>
    </row>
    <row r="5" spans="2:83" x14ac:dyDescent="0.2">
      <c r="B5" s="2586" t="str">
        <f>IF(Présentation!$E$2="Français",'TRAD-Calculs Péremption FA'!D5,IF(Présentation!$E$2="Anglais",'TRAD-Calculs Péremption FA'!F5,""))</f>
        <v>Forme galénique</v>
      </c>
      <c r="D5" s="2554" t="s">
        <v>13</v>
      </c>
      <c r="F5" s="2558" t="s">
        <v>980</v>
      </c>
      <c r="P5" s="2555"/>
      <c r="Q5" s="2555"/>
      <c r="R5" s="2555"/>
      <c r="S5" s="2555"/>
      <c r="U5" s="2554"/>
      <c r="V5" s="2554"/>
      <c r="W5" s="2554"/>
      <c r="X5" s="2554"/>
      <c r="Y5" s="2554"/>
      <c r="Z5" s="2554"/>
      <c r="AA5" s="2554"/>
      <c r="AB5" s="2554"/>
      <c r="AC5" s="2554"/>
      <c r="AD5" s="2554"/>
      <c r="AE5" s="2554"/>
      <c r="AF5" s="2554"/>
      <c r="AG5" s="2554"/>
      <c r="AH5" s="2554"/>
      <c r="AI5" s="2554"/>
      <c r="AJ5" s="2554"/>
      <c r="AK5" s="2554"/>
      <c r="AL5" s="2554"/>
      <c r="AM5" s="2554"/>
      <c r="AN5" s="2554"/>
      <c r="AO5" s="2554"/>
      <c r="AP5" s="2554"/>
      <c r="AQ5" s="2554"/>
      <c r="AR5" s="2554"/>
      <c r="AS5" s="2554"/>
      <c r="AT5" s="2554"/>
      <c r="AU5" s="2554"/>
      <c r="AV5" s="2554"/>
      <c r="AW5" s="2554"/>
      <c r="AX5" s="2554"/>
      <c r="AY5" s="2554"/>
      <c r="AZ5" s="2554"/>
      <c r="BA5" s="2554"/>
      <c r="BB5" s="2554"/>
      <c r="BC5" s="2554"/>
      <c r="BD5" s="2554"/>
      <c r="BE5" s="2554"/>
      <c r="BF5" s="2554"/>
      <c r="BG5" s="2554"/>
      <c r="BH5" s="2554"/>
      <c r="BI5" s="2554"/>
      <c r="BJ5" s="2554"/>
      <c r="BK5" s="2554"/>
      <c r="BL5" s="2554"/>
      <c r="BM5" s="2554"/>
      <c r="BN5" s="2554"/>
      <c r="BO5" s="2554"/>
      <c r="BP5" s="2554"/>
      <c r="BQ5" s="2554"/>
      <c r="BR5" s="2554"/>
      <c r="BS5" s="2554"/>
      <c r="BT5" s="2554"/>
      <c r="BU5" s="2554"/>
      <c r="BV5" s="2554"/>
      <c r="BW5" s="2555"/>
      <c r="BX5" s="2555"/>
      <c r="BY5" s="2578"/>
      <c r="BZ5" s="2578"/>
      <c r="CA5" s="2555"/>
      <c r="CB5" s="2555"/>
      <c r="CC5" s="2555"/>
      <c r="CD5" s="2555"/>
      <c r="CE5" s="2555"/>
    </row>
    <row r="6" spans="2:83" x14ac:dyDescent="0.2">
      <c r="B6" s="2586" t="str">
        <f>IF(Présentation!$E$2="Français",'TRAD-Calculs Péremption FA'!D6,IF(Présentation!$E$2="Anglais",'TRAD-Calculs Péremption FA'!F6,""))</f>
        <v>Dosage</v>
      </c>
      <c r="D6" s="2554" t="s">
        <v>14</v>
      </c>
      <c r="E6" s="2554"/>
      <c r="F6" s="2555" t="s">
        <v>1379</v>
      </c>
    </row>
    <row r="7" spans="2:83" x14ac:dyDescent="0.2">
      <c r="B7" s="2586" t="str">
        <f>IF(Présentation!$E$2="Français",'TRAD-Calculs Péremption FA'!D7,IF(Présentation!$E$2="Anglais",'TRAD-Calculs Péremption FA'!F7,""))</f>
        <v>DCI</v>
      </c>
      <c r="D7" s="2554" t="s">
        <v>318</v>
      </c>
      <c r="F7" s="2554" t="s">
        <v>982</v>
      </c>
      <c r="G7" s="2554"/>
      <c r="I7" s="2554"/>
      <c r="J7" s="2554"/>
      <c r="K7" s="2554"/>
      <c r="L7" s="2554"/>
      <c r="M7" s="2554"/>
      <c r="N7" s="2579"/>
      <c r="O7" s="2580"/>
      <c r="P7" s="2580"/>
      <c r="Q7" s="2580"/>
      <c r="R7" s="2581"/>
      <c r="S7" s="2581"/>
      <c r="T7" s="2573"/>
      <c r="U7" s="2580"/>
      <c r="V7" s="2581"/>
      <c r="W7" s="2582"/>
      <c r="X7" s="2582"/>
      <c r="Y7" s="2581"/>
      <c r="Z7" s="2583"/>
      <c r="AA7" s="2573"/>
      <c r="AB7" s="2580"/>
      <c r="AC7" s="2581"/>
      <c r="AD7" s="2581"/>
      <c r="AE7" s="2581"/>
      <c r="AF7" s="2580"/>
      <c r="AG7" s="2581"/>
      <c r="AH7" s="2583"/>
      <c r="AI7" s="2573"/>
      <c r="AJ7" s="2580"/>
      <c r="AK7" s="2581"/>
      <c r="AL7" s="2581"/>
      <c r="AM7" s="2581"/>
      <c r="AN7" s="2580"/>
      <c r="AO7" s="2581"/>
      <c r="AP7" s="2583"/>
      <c r="AQ7" s="2573"/>
      <c r="AR7" s="2580"/>
      <c r="AS7" s="2581"/>
      <c r="AT7" s="2581"/>
      <c r="AU7" s="2581"/>
      <c r="AV7" s="2580"/>
      <c r="AW7" s="2580"/>
      <c r="AX7" s="2583"/>
      <c r="AY7" s="2573"/>
      <c r="AZ7" s="2580"/>
      <c r="BA7" s="2581"/>
      <c r="BB7" s="2581"/>
      <c r="BC7" s="2581"/>
      <c r="BD7" s="2580"/>
      <c r="BE7" s="2580"/>
      <c r="BF7" s="2583"/>
      <c r="BG7" s="2573"/>
      <c r="BH7" s="2580"/>
      <c r="BI7" s="2581"/>
      <c r="BJ7" s="2581"/>
      <c r="BK7" s="2581"/>
      <c r="BL7" s="2580"/>
      <c r="BM7" s="2580"/>
      <c r="BN7" s="2583"/>
      <c r="BO7" s="2573"/>
      <c r="BP7" s="2580"/>
      <c r="BQ7" s="2581"/>
      <c r="BR7" s="2581"/>
      <c r="BS7" s="2581"/>
      <c r="BT7" s="2580"/>
      <c r="BU7" s="2580"/>
      <c r="BV7" s="2583"/>
      <c r="BW7" s="2580"/>
      <c r="BX7" s="2580"/>
      <c r="BY7" s="2573"/>
      <c r="BZ7" s="2573"/>
      <c r="CA7" s="2580"/>
      <c r="CB7" s="2580"/>
      <c r="CC7" s="2580"/>
      <c r="CD7" s="2580"/>
      <c r="CE7" s="2580"/>
    </row>
    <row r="8" spans="2:83" x14ac:dyDescent="0.2">
      <c r="B8" s="2586" t="str">
        <f>IF(Présentation!$E$2="Français",'TRAD-Calculs Péremption FA'!D8,IF(Présentation!$E$2="Anglais",'TRAD-Calculs Péremption FA'!F8,""))</f>
        <v>Comprimés</v>
      </c>
      <c r="D8" s="2554" t="s">
        <v>97</v>
      </c>
      <c r="E8" s="2554"/>
      <c r="F8" s="2554" t="s">
        <v>1007</v>
      </c>
      <c r="G8" s="2554"/>
      <c r="H8" s="2554"/>
      <c r="I8" s="2554"/>
      <c r="J8" s="2554"/>
      <c r="K8" s="2554"/>
      <c r="L8" s="2554"/>
      <c r="M8" s="2554"/>
      <c r="N8" s="2579"/>
      <c r="O8" s="2580"/>
      <c r="P8" s="2580"/>
      <c r="Q8" s="2580"/>
      <c r="R8" s="2581"/>
      <c r="S8" s="2581"/>
      <c r="T8" s="2573"/>
      <c r="U8" s="2580"/>
      <c r="V8" s="2581"/>
      <c r="W8" s="2582"/>
      <c r="X8" s="2582"/>
      <c r="Y8" s="2581"/>
      <c r="Z8" s="2583"/>
      <c r="AA8" s="2573"/>
      <c r="AB8" s="2580"/>
      <c r="AC8" s="2580"/>
      <c r="AD8" s="2580"/>
      <c r="AE8" s="2580"/>
      <c r="AF8" s="2580"/>
      <c r="AG8" s="2581"/>
      <c r="AH8" s="2583"/>
      <c r="AI8" s="2573"/>
      <c r="AJ8" s="2580"/>
      <c r="AK8" s="2580"/>
      <c r="AL8" s="2580"/>
      <c r="AM8" s="2580"/>
      <c r="AN8" s="2580"/>
      <c r="AO8" s="2580"/>
      <c r="AP8" s="2583"/>
      <c r="AQ8" s="2573"/>
      <c r="AR8" s="2580"/>
      <c r="AS8" s="2580"/>
      <c r="AT8" s="2580"/>
      <c r="AU8" s="2580"/>
      <c r="AV8" s="2580"/>
      <c r="AW8" s="2580"/>
      <c r="AX8" s="2583"/>
      <c r="AY8" s="2573"/>
      <c r="AZ8" s="2580"/>
      <c r="BA8" s="2580"/>
      <c r="BB8" s="2580"/>
      <c r="BC8" s="2580"/>
      <c r="BD8" s="2580"/>
      <c r="BE8" s="2580"/>
      <c r="BF8" s="2583"/>
      <c r="BG8" s="2573"/>
      <c r="BH8" s="2580"/>
      <c r="BI8" s="2580"/>
      <c r="BJ8" s="2580"/>
      <c r="BK8" s="2580"/>
      <c r="BL8" s="2580"/>
      <c r="BM8" s="2580"/>
      <c r="BN8" s="2583"/>
      <c r="BO8" s="2573"/>
      <c r="BP8" s="2580"/>
      <c r="BQ8" s="2580"/>
      <c r="BR8" s="2580"/>
      <c r="BS8" s="2580"/>
      <c r="BT8" s="2580"/>
      <c r="BU8" s="2580"/>
      <c r="BV8" s="2583"/>
      <c r="BW8" s="2580"/>
      <c r="BX8" s="2580"/>
      <c r="BY8" s="2573"/>
      <c r="BZ8" s="2573"/>
      <c r="CA8" s="2580"/>
      <c r="CB8" s="2580"/>
      <c r="CC8" s="2580"/>
      <c r="CD8" s="2580"/>
      <c r="CE8" s="2580"/>
    </row>
    <row r="9" spans="2:83" x14ac:dyDescent="0.2">
      <c r="B9" s="2586" t="str">
        <f>IF(Présentation!$E$2="Français",'TRAD-Calculs Péremption FA'!D9,IF(Présentation!$E$2="Anglais",'TRAD-Calculs Péremption FA'!F9,""))</f>
        <v>Cp</v>
      </c>
      <c r="D9" s="2554" t="s">
        <v>98</v>
      </c>
      <c r="E9" s="2554"/>
      <c r="F9" s="2554" t="s">
        <v>1380</v>
      </c>
      <c r="G9" s="2554"/>
      <c r="H9" s="2554"/>
      <c r="I9" s="2554"/>
      <c r="J9" s="2554"/>
      <c r="K9" s="2554"/>
      <c r="L9" s="2554"/>
      <c r="M9" s="2554"/>
      <c r="N9" s="2579"/>
      <c r="O9" s="2580"/>
      <c r="P9" s="2580"/>
      <c r="Q9" s="2580"/>
      <c r="R9" s="2581"/>
      <c r="S9" s="2581"/>
      <c r="T9" s="2573"/>
      <c r="U9" s="2580"/>
      <c r="V9" s="2581"/>
      <c r="W9" s="2582"/>
      <c r="X9" s="2582"/>
      <c r="Y9" s="2581"/>
      <c r="Z9" s="2583"/>
      <c r="AA9" s="2573"/>
      <c r="AB9" s="2580"/>
      <c r="AC9" s="2580"/>
      <c r="AD9" s="2580"/>
      <c r="AE9" s="2580"/>
      <c r="AF9" s="2580"/>
      <c r="AG9" s="2581"/>
      <c r="AH9" s="2583"/>
      <c r="AI9" s="2573"/>
      <c r="AJ9" s="2580"/>
      <c r="AK9" s="2580"/>
      <c r="AL9" s="2580"/>
      <c r="AM9" s="2580"/>
      <c r="AN9" s="2580"/>
      <c r="AO9" s="2580"/>
      <c r="AP9" s="2583"/>
      <c r="AQ9" s="2573"/>
      <c r="AR9" s="2580"/>
      <c r="AS9" s="2580"/>
      <c r="AT9" s="2580"/>
      <c r="AU9" s="2580"/>
      <c r="AV9" s="2580"/>
      <c r="AW9" s="2580"/>
      <c r="AX9" s="2583"/>
      <c r="AY9" s="2573"/>
      <c r="AZ9" s="2580"/>
      <c r="BA9" s="2580"/>
      <c r="BB9" s="2580"/>
      <c r="BC9" s="2580"/>
      <c r="BD9" s="2580"/>
      <c r="BE9" s="2580"/>
      <c r="BF9" s="2583"/>
      <c r="BG9" s="2573"/>
      <c r="BH9" s="2580"/>
      <c r="BI9" s="2580"/>
      <c r="BJ9" s="2580"/>
      <c r="BK9" s="2580"/>
      <c r="BL9" s="2580"/>
      <c r="BM9" s="2580"/>
      <c r="BN9" s="2583"/>
      <c r="BO9" s="2573"/>
      <c r="BP9" s="2580"/>
      <c r="BQ9" s="2580"/>
      <c r="BR9" s="2580"/>
      <c r="BS9" s="2580"/>
      <c r="BT9" s="2580"/>
      <c r="BU9" s="2580"/>
      <c r="BV9" s="2583"/>
      <c r="BW9" s="2580"/>
      <c r="BX9" s="2580"/>
      <c r="BY9" s="2573"/>
      <c r="BZ9" s="2573"/>
      <c r="CA9" s="2580"/>
      <c r="CB9" s="2580"/>
      <c r="CC9" s="2580"/>
      <c r="CD9" s="2580"/>
      <c r="CE9" s="2580"/>
    </row>
    <row r="10" spans="2:83" x14ac:dyDescent="0.2">
      <c r="B10" s="2586" t="str">
        <f>IF(Présentation!$E$2="Français",'TRAD-Calculs Péremption FA'!D10,IF(Présentation!$E$2="Anglais",'TRAD-Calculs Péremption FA'!F10,""))</f>
        <v>Cp coblister</v>
      </c>
      <c r="D10" s="2554" t="s">
        <v>1439</v>
      </c>
      <c r="E10" s="2554"/>
      <c r="F10" s="2554" t="s">
        <v>1440</v>
      </c>
      <c r="G10" s="2554"/>
      <c r="H10" s="2554"/>
      <c r="I10" s="2554"/>
      <c r="J10" s="2554"/>
      <c r="K10" s="2554"/>
      <c r="L10" s="2554"/>
      <c r="M10" s="2554"/>
      <c r="N10" s="2579"/>
      <c r="O10" s="2580"/>
      <c r="P10" s="2580"/>
      <c r="Q10" s="2580"/>
      <c r="R10" s="2581"/>
      <c r="S10" s="2581"/>
      <c r="T10" s="2573"/>
      <c r="U10" s="2580"/>
      <c r="V10" s="2581"/>
      <c r="W10" s="2582"/>
      <c r="X10" s="2582"/>
      <c r="Y10" s="2581"/>
      <c r="Z10" s="2583"/>
      <c r="AA10" s="2573"/>
      <c r="AB10" s="2580"/>
      <c r="AC10" s="2580"/>
      <c r="AD10" s="2580"/>
      <c r="AE10" s="2580"/>
      <c r="AF10" s="2580"/>
      <c r="AG10" s="2581"/>
      <c r="AH10" s="2583"/>
      <c r="AI10" s="2573"/>
      <c r="AJ10" s="2580"/>
      <c r="AK10" s="2580"/>
      <c r="AL10" s="2580"/>
      <c r="AM10" s="2580"/>
      <c r="AN10" s="2580"/>
      <c r="AO10" s="2580"/>
      <c r="AP10" s="2583"/>
      <c r="AQ10" s="2573"/>
      <c r="AR10" s="2580"/>
      <c r="AS10" s="2580"/>
      <c r="AT10" s="2580"/>
      <c r="AU10" s="2580"/>
      <c r="AV10" s="2580"/>
      <c r="AW10" s="2580"/>
      <c r="AX10" s="2583"/>
      <c r="AY10" s="2573"/>
      <c r="AZ10" s="2580"/>
      <c r="BA10" s="2580"/>
      <c r="BB10" s="2580"/>
      <c r="BC10" s="2580"/>
      <c r="BD10" s="2580"/>
      <c r="BE10" s="2580"/>
      <c r="BF10" s="2583"/>
      <c r="BG10" s="2573"/>
      <c r="BH10" s="2580"/>
      <c r="BI10" s="2580"/>
      <c r="BJ10" s="2580"/>
      <c r="BK10" s="2580"/>
      <c r="BL10" s="2580"/>
      <c r="BM10" s="2580"/>
      <c r="BN10" s="2583"/>
      <c r="BO10" s="2573"/>
      <c r="BP10" s="2580"/>
      <c r="BQ10" s="2580"/>
      <c r="BR10" s="2580"/>
      <c r="BS10" s="2580"/>
      <c r="BT10" s="2580"/>
      <c r="BU10" s="2580"/>
      <c r="BV10" s="2583"/>
      <c r="BW10" s="2580"/>
      <c r="BX10" s="2580"/>
      <c r="BY10" s="2573"/>
      <c r="BZ10" s="2573"/>
      <c r="CA10" s="2580"/>
      <c r="CB10" s="2580"/>
      <c r="CC10" s="2580"/>
      <c r="CD10" s="2580"/>
      <c r="CE10" s="2580"/>
    </row>
    <row r="11" spans="2:83" x14ac:dyDescent="0.2">
      <c r="B11" s="2586" t="str">
        <f>IF(Présentation!$E$2="Français",'TRAD-Calculs Péremption FA'!D11,IF(Présentation!$E$2="Anglais",'TRAD-Calculs Péremption FA'!F11,""))</f>
        <v>Nom pour représentation graphique</v>
      </c>
      <c r="D11" s="2554" t="s">
        <v>189</v>
      </c>
      <c r="E11" s="2554"/>
      <c r="F11" s="2554" t="s">
        <v>1372</v>
      </c>
      <c r="G11" s="2554"/>
      <c r="H11" s="2554"/>
      <c r="I11" s="2554"/>
      <c r="J11" s="2554"/>
      <c r="K11" s="2554"/>
      <c r="L11" s="2554"/>
      <c r="M11" s="2554"/>
      <c r="N11" s="2579"/>
      <c r="O11" s="2580"/>
      <c r="P11" s="2580"/>
      <c r="Q11" s="2580"/>
      <c r="R11" s="2581"/>
      <c r="S11" s="2581"/>
      <c r="T11" s="2573"/>
      <c r="U11" s="2580"/>
      <c r="V11" s="2581"/>
      <c r="W11" s="2582"/>
      <c r="X11" s="2582"/>
      <c r="Y11" s="2581"/>
      <c r="Z11" s="2583"/>
      <c r="AA11" s="2573"/>
      <c r="AB11" s="2580"/>
      <c r="AC11" s="2580"/>
      <c r="AD11" s="2580"/>
      <c r="AE11" s="2580"/>
      <c r="AF11" s="2580"/>
      <c r="AG11" s="2581"/>
      <c r="AH11" s="2583"/>
      <c r="AI11" s="2573"/>
      <c r="AJ11" s="2580"/>
      <c r="AK11" s="2580"/>
      <c r="AL11" s="2580"/>
      <c r="AM11" s="2580"/>
      <c r="AN11" s="2580"/>
      <c r="AO11" s="2580"/>
      <c r="AP11" s="2583"/>
      <c r="AQ11" s="2573"/>
      <c r="AR11" s="2580"/>
      <c r="AS11" s="2580"/>
      <c r="AT11" s="2580"/>
      <c r="AU11" s="2580"/>
      <c r="AV11" s="2580"/>
      <c r="AW11" s="2580"/>
      <c r="AX11" s="2583"/>
      <c r="AY11" s="2573"/>
      <c r="AZ11" s="2580"/>
      <c r="BA11" s="2580"/>
      <c r="BB11" s="2580"/>
      <c r="BC11" s="2580"/>
      <c r="BD11" s="2580"/>
      <c r="BE11" s="2580"/>
      <c r="BF11" s="2583"/>
      <c r="BG11" s="2573"/>
      <c r="BH11" s="2580"/>
      <c r="BI11" s="2580"/>
      <c r="BJ11" s="2580"/>
      <c r="BK11" s="2580"/>
      <c r="BL11" s="2580"/>
      <c r="BM11" s="2580"/>
      <c r="BN11" s="2583"/>
      <c r="BO11" s="2573"/>
      <c r="BP11" s="2580"/>
      <c r="BQ11" s="2580"/>
      <c r="BR11" s="2580"/>
      <c r="BS11" s="2580"/>
      <c r="BT11" s="2580"/>
      <c r="BU11" s="2580"/>
      <c r="BV11" s="2583"/>
      <c r="BW11" s="2580"/>
      <c r="BX11" s="2580"/>
      <c r="BY11" s="2573"/>
      <c r="BZ11" s="2573"/>
      <c r="CA11" s="2580"/>
      <c r="CB11" s="2580"/>
      <c r="CC11" s="2580"/>
      <c r="CD11" s="2580"/>
      <c r="CE11" s="2580"/>
    </row>
    <row r="12" spans="2:83" x14ac:dyDescent="0.2">
      <c r="B12" s="2586" t="str">
        <f>IF(Présentation!$E$2="Français",'TRAD-Calculs Péremption FA'!D12,IF(Présentation!$E$2="Anglais",'TRAD-Calculs Péremption FA'!F12,""))</f>
        <v>Volume Conditionnement</v>
      </c>
      <c r="D12" s="2554" t="s">
        <v>1369</v>
      </c>
      <c r="E12" s="2554"/>
      <c r="F12" s="2554" t="s">
        <v>1381</v>
      </c>
      <c r="G12" s="2554"/>
      <c r="H12" s="2554"/>
      <c r="I12" s="2554"/>
      <c r="J12" s="2554"/>
      <c r="K12" s="2554"/>
      <c r="L12" s="2554"/>
      <c r="M12" s="2554"/>
      <c r="N12" s="2579"/>
      <c r="O12" s="2580"/>
      <c r="P12" s="2580"/>
      <c r="Q12" s="2580"/>
      <c r="R12" s="2581"/>
      <c r="S12" s="2581"/>
      <c r="T12" s="2573"/>
      <c r="U12" s="2580"/>
      <c r="V12" s="2581"/>
      <c r="W12" s="2582"/>
      <c r="X12" s="2582"/>
      <c r="Y12" s="2581"/>
      <c r="Z12" s="2583"/>
      <c r="AA12" s="2573"/>
      <c r="AB12" s="2580"/>
      <c r="AC12" s="2580"/>
      <c r="AD12" s="2580"/>
      <c r="AE12" s="2580"/>
      <c r="AF12" s="2580"/>
      <c r="AG12" s="2581"/>
      <c r="AH12" s="2583"/>
      <c r="AI12" s="2573"/>
      <c r="AJ12" s="2580"/>
      <c r="AK12" s="2580"/>
      <c r="AL12" s="2580"/>
      <c r="AM12" s="2580"/>
      <c r="AN12" s="2580"/>
      <c r="AO12" s="2580"/>
      <c r="AP12" s="2583"/>
      <c r="AQ12" s="2573"/>
      <c r="AR12" s="2580"/>
      <c r="AS12" s="2580"/>
      <c r="AT12" s="2580"/>
      <c r="AU12" s="2580"/>
      <c r="AV12" s="2580"/>
      <c r="AW12" s="2580"/>
      <c r="AX12" s="2583"/>
      <c r="AY12" s="2573"/>
      <c r="AZ12" s="2580"/>
      <c r="BA12" s="2580"/>
      <c r="BB12" s="2580"/>
      <c r="BC12" s="2580"/>
      <c r="BD12" s="2580"/>
      <c r="BE12" s="2580"/>
      <c r="BF12" s="2583"/>
      <c r="BG12" s="2573"/>
      <c r="BH12" s="2580"/>
      <c r="BI12" s="2580"/>
      <c r="BJ12" s="2580"/>
      <c r="BK12" s="2580"/>
      <c r="BL12" s="2580"/>
      <c r="BM12" s="2580"/>
      <c r="BN12" s="2583"/>
      <c r="BO12" s="2573"/>
      <c r="BP12" s="2580"/>
      <c r="BQ12" s="2580"/>
      <c r="BR12" s="2580"/>
      <c r="BS12" s="2580"/>
      <c r="BT12" s="2580"/>
      <c r="BU12" s="2580"/>
      <c r="BV12" s="2583"/>
      <c r="BW12" s="2580"/>
      <c r="BX12" s="2580"/>
      <c r="BY12" s="2573"/>
      <c r="BZ12" s="2573"/>
      <c r="CA12" s="2580"/>
      <c r="CB12" s="2580"/>
      <c r="CC12" s="2580"/>
      <c r="CD12" s="2580"/>
      <c r="CE12" s="2580"/>
    </row>
    <row r="13" spans="2:83" x14ac:dyDescent="0.2">
      <c r="B13" s="2586" t="str">
        <f>IF(Présentation!$E$2="Français",'TRAD-Calculs Péremption FA'!D13,IF(Présentation!$E$2="Anglais",'TRAD-Calculs Péremption FA'!F13,""))</f>
        <v xml:space="preserve">conditionnement </v>
      </c>
      <c r="D13" s="2554" t="s">
        <v>1434</v>
      </c>
      <c r="E13" s="2554"/>
      <c r="F13" s="2554" t="s">
        <v>1435</v>
      </c>
      <c r="G13" s="2554"/>
      <c r="H13" s="2554"/>
      <c r="I13" s="2554"/>
      <c r="J13" s="2554"/>
      <c r="K13" s="2554"/>
      <c r="L13" s="2554"/>
      <c r="M13" s="2554"/>
      <c r="N13" s="2579"/>
      <c r="O13" s="2580"/>
      <c r="P13" s="2580"/>
      <c r="Q13" s="2580"/>
      <c r="R13" s="2581"/>
      <c r="S13" s="2581"/>
      <c r="T13" s="2573"/>
      <c r="U13" s="2580"/>
      <c r="V13" s="2581"/>
      <c r="W13" s="2582"/>
      <c r="X13" s="2582"/>
      <c r="Y13" s="2581"/>
      <c r="Z13" s="2583"/>
      <c r="AA13" s="2573"/>
      <c r="AB13" s="2580"/>
      <c r="AC13" s="2580"/>
      <c r="AD13" s="2580"/>
      <c r="AE13" s="2580"/>
      <c r="AF13" s="2580"/>
      <c r="AG13" s="2581"/>
      <c r="AH13" s="2583"/>
      <c r="AI13" s="2573"/>
      <c r="AJ13" s="2580"/>
      <c r="AK13" s="2580"/>
      <c r="AL13" s="2580"/>
      <c r="AM13" s="2580"/>
      <c r="AN13" s="2580"/>
      <c r="AO13" s="2580"/>
      <c r="AP13" s="2583"/>
      <c r="AQ13" s="2573"/>
      <c r="AR13" s="2580"/>
      <c r="AS13" s="2580"/>
      <c r="AT13" s="2580"/>
      <c r="AU13" s="2580"/>
      <c r="AV13" s="2580"/>
      <c r="AW13" s="2580"/>
      <c r="AX13" s="2583"/>
      <c r="AY13" s="2573"/>
      <c r="AZ13" s="2580"/>
      <c r="BA13" s="2580"/>
      <c r="BB13" s="2580"/>
      <c r="BC13" s="2580"/>
      <c r="BD13" s="2580"/>
      <c r="BE13" s="2580"/>
      <c r="BF13" s="2583"/>
      <c r="BG13" s="2573"/>
      <c r="BH13" s="2580"/>
      <c r="BI13" s="2580"/>
      <c r="BJ13" s="2580"/>
      <c r="BK13" s="2580"/>
      <c r="BL13" s="2580"/>
      <c r="BM13" s="2580"/>
      <c r="BN13" s="2583"/>
      <c r="BO13" s="2573"/>
      <c r="BP13" s="2580"/>
      <c r="BQ13" s="2580"/>
      <c r="BR13" s="2580"/>
      <c r="BS13" s="2580"/>
      <c r="BT13" s="2580"/>
      <c r="BU13" s="2580"/>
      <c r="BV13" s="2583"/>
      <c r="BW13" s="2580"/>
      <c r="BX13" s="2580"/>
      <c r="BY13" s="2573"/>
      <c r="BZ13" s="2573"/>
      <c r="CA13" s="2580"/>
      <c r="CB13" s="2580"/>
      <c r="CC13" s="2580"/>
      <c r="CD13" s="2580"/>
      <c r="CE13" s="2580"/>
    </row>
    <row r="14" spans="2:83" x14ac:dyDescent="0.2">
      <c r="B14" s="2586" t="str">
        <f>IF(Présentation!$E$2="Français",'TRAD-Calculs Péremption FA'!D14,IF(Présentation!$E$2="Anglais",'TRAD-Calculs Péremption FA'!F14,""))</f>
        <v>conditionnement secondaire</v>
      </c>
      <c r="D14" s="2554" t="s">
        <v>1370</v>
      </c>
      <c r="E14" s="2554"/>
      <c r="F14" s="2554" t="s">
        <v>1167</v>
      </c>
      <c r="G14" s="2554"/>
      <c r="H14" s="2554"/>
      <c r="I14" s="2554"/>
      <c r="J14" s="2554"/>
      <c r="K14" s="2554"/>
      <c r="L14" s="2554"/>
      <c r="M14" s="2554"/>
      <c r="N14" s="2579"/>
      <c r="O14" s="2580"/>
      <c r="P14" s="2580"/>
      <c r="Q14" s="2580"/>
      <c r="R14" s="2581"/>
      <c r="S14" s="2581"/>
      <c r="T14" s="2573"/>
      <c r="U14" s="2580"/>
      <c r="V14" s="2581"/>
      <c r="W14" s="2582"/>
      <c r="X14" s="2582"/>
      <c r="Y14" s="2581"/>
      <c r="Z14" s="2583"/>
      <c r="AA14" s="2573"/>
      <c r="AB14" s="2580"/>
      <c r="AC14" s="2580"/>
      <c r="AD14" s="2580"/>
      <c r="AE14" s="2580"/>
      <c r="AF14" s="2580"/>
      <c r="AG14" s="2581"/>
      <c r="AH14" s="2583"/>
      <c r="AI14" s="2573"/>
      <c r="AJ14" s="2580"/>
      <c r="AK14" s="2580"/>
      <c r="AL14" s="2580"/>
      <c r="AM14" s="2580"/>
      <c r="AN14" s="2580"/>
      <c r="AO14" s="2580"/>
      <c r="AP14" s="2583"/>
      <c r="AQ14" s="2573"/>
      <c r="AR14" s="2580"/>
      <c r="AS14" s="2580"/>
      <c r="AT14" s="2580"/>
      <c r="AU14" s="2580"/>
      <c r="AV14" s="2580"/>
      <c r="AW14" s="2580"/>
      <c r="AX14" s="2583"/>
      <c r="AY14" s="2573"/>
      <c r="AZ14" s="2580"/>
      <c r="BA14" s="2580"/>
      <c r="BB14" s="2580"/>
      <c r="BC14" s="2580"/>
      <c r="BD14" s="2580"/>
      <c r="BE14" s="2580"/>
      <c r="BF14" s="2583"/>
      <c r="BG14" s="2573"/>
      <c r="BH14" s="2580"/>
      <c r="BI14" s="2580"/>
      <c r="BJ14" s="2580"/>
      <c r="BK14" s="2580"/>
      <c r="BL14" s="2580"/>
      <c r="BM14" s="2580"/>
      <c r="BN14" s="2583"/>
      <c r="BO14" s="2573"/>
      <c r="BP14" s="2580"/>
      <c r="BQ14" s="2580"/>
      <c r="BR14" s="2580"/>
      <c r="BS14" s="2580"/>
      <c r="BT14" s="2580"/>
      <c r="BU14" s="2580"/>
      <c r="BV14" s="2583"/>
      <c r="BW14" s="2580"/>
      <c r="BX14" s="2580"/>
      <c r="BY14" s="2573"/>
      <c r="BZ14" s="2573"/>
      <c r="CA14" s="2580"/>
      <c r="CB14" s="2580"/>
      <c r="CC14" s="2580"/>
      <c r="CD14" s="2580"/>
      <c r="CE14" s="2580"/>
    </row>
    <row r="15" spans="2:83" x14ac:dyDescent="0.2">
      <c r="B15" s="2586" t="str">
        <f>IF(Présentation!$E$2="Français",'TRAD-Calculs Péremption FA'!D15,IF(Présentation!$E$2="Anglais",'TRAD-Calculs Péremption FA'!F15,""))</f>
        <v>Prix / boite (US$ - EXW)</v>
      </c>
      <c r="D15" s="2554" t="s">
        <v>1925</v>
      </c>
      <c r="E15" s="2554"/>
      <c r="F15" s="2554" t="s">
        <v>1928</v>
      </c>
      <c r="G15" s="2554"/>
      <c r="H15" s="2554"/>
      <c r="I15" s="2554"/>
      <c r="J15" s="2554"/>
      <c r="K15" s="2554"/>
      <c r="L15" s="2554"/>
      <c r="M15" s="2554"/>
      <c r="N15" s="2579"/>
      <c r="O15" s="2580"/>
      <c r="P15" s="2580"/>
      <c r="Q15" s="2580"/>
      <c r="R15" s="2581"/>
      <c r="S15" s="2581"/>
      <c r="T15" s="2573"/>
      <c r="U15" s="2580"/>
      <c r="V15" s="2581"/>
      <c r="W15" s="2582"/>
      <c r="X15" s="2582"/>
      <c r="Y15" s="2581"/>
      <c r="Z15" s="2583"/>
      <c r="AA15" s="2573"/>
      <c r="AB15" s="2580"/>
      <c r="AC15" s="2580"/>
      <c r="AD15" s="2580"/>
      <c r="AE15" s="2580"/>
      <c r="AF15" s="2580"/>
      <c r="AG15" s="2581"/>
      <c r="AH15" s="2583"/>
      <c r="AI15" s="2573"/>
      <c r="AJ15" s="2580"/>
      <c r="AK15" s="2580"/>
      <c r="AL15" s="2580"/>
      <c r="AM15" s="2580"/>
      <c r="AN15" s="2580"/>
      <c r="AO15" s="2580"/>
      <c r="AP15" s="2583"/>
      <c r="AQ15" s="2573"/>
      <c r="AR15" s="2580"/>
      <c r="AS15" s="2580"/>
      <c r="AT15" s="2580"/>
      <c r="AU15" s="2580"/>
      <c r="AV15" s="2580"/>
      <c r="AW15" s="2580"/>
      <c r="AX15" s="2583"/>
      <c r="AY15" s="2573"/>
      <c r="AZ15" s="2580"/>
      <c r="BA15" s="2580"/>
      <c r="BB15" s="2580"/>
      <c r="BC15" s="2580"/>
      <c r="BD15" s="2580"/>
      <c r="BE15" s="2580"/>
      <c r="BF15" s="2583"/>
      <c r="BG15" s="2573"/>
      <c r="BH15" s="2580"/>
      <c r="BI15" s="2580"/>
      <c r="BJ15" s="2580"/>
      <c r="BK15" s="2580"/>
      <c r="BL15" s="2580"/>
      <c r="BM15" s="2580"/>
      <c r="BN15" s="2583"/>
      <c r="BO15" s="2573"/>
      <c r="BP15" s="2580"/>
      <c r="BQ15" s="2580"/>
      <c r="BR15" s="2580"/>
      <c r="BS15" s="2580"/>
      <c r="BT15" s="2580"/>
      <c r="BU15" s="2580"/>
      <c r="BV15" s="2583"/>
      <c r="BW15" s="2580"/>
      <c r="BX15" s="2580"/>
      <c r="BY15" s="2573"/>
      <c r="BZ15" s="2573"/>
      <c r="CA15" s="2580"/>
      <c r="CB15" s="2580"/>
      <c r="CC15" s="2580"/>
      <c r="CD15" s="2580"/>
      <c r="CE15" s="2580"/>
    </row>
    <row r="16" spans="2:83" x14ac:dyDescent="0.2">
      <c r="B16" s="2586" t="str">
        <f>IF(Présentation!$E$2="Français",'TRAD-Calculs Péremption FA'!D16,IF(Présentation!$E$2="Anglais",'TRAD-Calculs Péremption FA'!F16,""))</f>
        <v>Prix / boite (US$ - EXW+frais de gestion)</v>
      </c>
      <c r="D16" s="2554" t="s">
        <v>1926</v>
      </c>
      <c r="E16" s="2554"/>
      <c r="F16" s="2554" t="s">
        <v>1927</v>
      </c>
      <c r="G16" s="2554"/>
      <c r="H16" s="2554"/>
      <c r="I16" s="2554"/>
      <c r="J16" s="2554"/>
      <c r="K16" s="2554"/>
      <c r="L16" s="2554"/>
      <c r="M16" s="2554"/>
      <c r="N16" s="2579"/>
      <c r="O16" s="2580"/>
      <c r="P16" s="2580"/>
      <c r="Q16" s="2580"/>
      <c r="R16" s="2581"/>
      <c r="S16" s="2581"/>
      <c r="T16" s="2573"/>
      <c r="U16" s="2580"/>
      <c r="V16" s="2581"/>
      <c r="W16" s="2582"/>
      <c r="X16" s="2582"/>
      <c r="Y16" s="2581"/>
      <c r="Z16" s="2583"/>
      <c r="AA16" s="2573"/>
      <c r="AB16" s="2580"/>
      <c r="AC16" s="2580"/>
      <c r="AD16" s="2580"/>
      <c r="AE16" s="2580"/>
      <c r="AF16" s="2580"/>
      <c r="AG16" s="2581"/>
      <c r="AH16" s="2583"/>
      <c r="AI16" s="2573"/>
      <c r="AJ16" s="2580"/>
      <c r="AK16" s="2580"/>
      <c r="AL16" s="2580"/>
      <c r="AM16" s="2580"/>
      <c r="AN16" s="2580"/>
      <c r="AO16" s="2580"/>
      <c r="AP16" s="2583"/>
      <c r="AQ16" s="2573"/>
      <c r="AR16" s="2580"/>
      <c r="AS16" s="2580"/>
      <c r="AT16" s="2580"/>
      <c r="AU16" s="2580"/>
      <c r="AV16" s="2580"/>
      <c r="AW16" s="2580"/>
      <c r="AX16" s="2583"/>
      <c r="AY16" s="2573"/>
      <c r="AZ16" s="2580"/>
      <c r="BA16" s="2580"/>
      <c r="BB16" s="2580"/>
      <c r="BC16" s="2580"/>
      <c r="BD16" s="2580"/>
      <c r="BE16" s="2580"/>
      <c r="BF16" s="2583"/>
      <c r="BG16" s="2573"/>
      <c r="BH16" s="2580"/>
      <c r="BI16" s="2580"/>
      <c r="BJ16" s="2580"/>
      <c r="BK16" s="2580"/>
      <c r="BL16" s="2580"/>
      <c r="BM16" s="2580"/>
      <c r="BN16" s="2583"/>
      <c r="BO16" s="2573"/>
      <c r="BP16" s="2580"/>
      <c r="BQ16" s="2580"/>
      <c r="BR16" s="2580"/>
      <c r="BS16" s="2580"/>
      <c r="BT16" s="2580"/>
      <c r="BU16" s="2580"/>
      <c r="BV16" s="2583"/>
      <c r="BW16" s="2580"/>
      <c r="BX16" s="2580"/>
      <c r="BY16" s="2573"/>
      <c r="BZ16" s="2573"/>
      <c r="CA16" s="2580"/>
      <c r="CB16" s="2580"/>
      <c r="CC16" s="2580"/>
      <c r="CD16" s="2580"/>
      <c r="CE16" s="2580"/>
    </row>
    <row r="17" spans="2:83" ht="25.5" x14ac:dyDescent="0.2">
      <c r="B17" s="2586" t="str">
        <f>IF(Présentation!$E$2="Français",'TRAD-Calculs Péremption FA'!D17,IF(Présentation!$E$2="Anglais",'TRAD-Calculs Péremption FA'!F17,""))</f>
        <v>Besoin mensuel patients suivis selon méthode</v>
      </c>
      <c r="D17" s="2555" t="s">
        <v>720</v>
      </c>
      <c r="E17" s="2554"/>
      <c r="F17" s="2554" t="s">
        <v>1382</v>
      </c>
      <c r="G17" s="2554"/>
      <c r="H17" s="2554"/>
      <c r="I17" s="2554"/>
      <c r="J17" s="2554"/>
      <c r="K17" s="2554"/>
      <c r="L17" s="2554"/>
      <c r="M17" s="2554"/>
      <c r="N17" s="2579"/>
      <c r="O17" s="2580"/>
      <c r="P17" s="2580"/>
      <c r="Q17" s="2580"/>
      <c r="R17" s="2581"/>
      <c r="S17" s="2581"/>
      <c r="T17" s="2573"/>
      <c r="U17" s="2580"/>
      <c r="V17" s="2581"/>
      <c r="W17" s="2582"/>
      <c r="X17" s="2582"/>
      <c r="Y17" s="2581"/>
      <c r="Z17" s="2583"/>
      <c r="AA17" s="2573"/>
      <c r="AB17" s="2580"/>
      <c r="AC17" s="2580"/>
      <c r="AD17" s="2580"/>
      <c r="AE17" s="2580"/>
      <c r="AF17" s="2580"/>
      <c r="AG17" s="2581"/>
      <c r="AH17" s="2583"/>
      <c r="AI17" s="2573"/>
      <c r="AJ17" s="2580"/>
      <c r="AK17" s="2580"/>
      <c r="AL17" s="2580"/>
      <c r="AM17" s="2580"/>
      <c r="AN17" s="2580"/>
      <c r="AO17" s="2580"/>
      <c r="AP17" s="2583"/>
      <c r="AQ17" s="2573"/>
      <c r="AR17" s="2580"/>
      <c r="AS17" s="2580"/>
      <c r="AT17" s="2580"/>
      <c r="AU17" s="2580"/>
      <c r="AV17" s="2580"/>
      <c r="AW17" s="2580"/>
      <c r="AX17" s="2583"/>
      <c r="AY17" s="2573"/>
      <c r="AZ17" s="2580"/>
      <c r="BA17" s="2580"/>
      <c r="BB17" s="2580"/>
      <c r="BC17" s="2580"/>
      <c r="BD17" s="2580"/>
      <c r="BE17" s="2580"/>
      <c r="BF17" s="2583"/>
      <c r="BG17" s="2573"/>
      <c r="BH17" s="2580"/>
      <c r="BI17" s="2580"/>
      <c r="BJ17" s="2580"/>
      <c r="BK17" s="2580"/>
      <c r="BL17" s="2580"/>
      <c r="BM17" s="2580"/>
      <c r="BN17" s="2583"/>
      <c r="BO17" s="2573"/>
      <c r="BP17" s="2580"/>
      <c r="BQ17" s="2580"/>
      <c r="BR17" s="2580"/>
      <c r="BS17" s="2580"/>
      <c r="BT17" s="2580"/>
      <c r="BU17" s="2580"/>
      <c r="BV17" s="2583"/>
      <c r="BW17" s="2580"/>
      <c r="BX17" s="2580"/>
      <c r="BY17" s="2573"/>
      <c r="BZ17" s="2573"/>
      <c r="CA17" s="2580"/>
      <c r="CB17" s="2580"/>
      <c r="CC17" s="2580"/>
      <c r="CD17" s="2580"/>
      <c r="CE17" s="2580"/>
    </row>
    <row r="18" spans="2:83" ht="25.5" x14ac:dyDescent="0.2">
      <c r="B18" s="2586" t="str">
        <f>IF(Présentation!$E$2="Français",'TRAD-Calculs Péremption FA'!D18,IF(Présentation!$E$2="Anglais",'TRAD-Calculs Péremption FA'!F18,""))</f>
        <v>Besoin mensuel patients initiés selon méthode</v>
      </c>
      <c r="D18" s="2555" t="s">
        <v>721</v>
      </c>
      <c r="E18" s="2554"/>
      <c r="F18" s="2554" t="s">
        <v>1383</v>
      </c>
      <c r="G18" s="2554"/>
      <c r="H18" s="2554"/>
      <c r="I18" s="2554"/>
      <c r="J18" s="2554"/>
      <c r="K18" s="2554"/>
      <c r="L18" s="2554"/>
      <c r="M18" s="2554"/>
      <c r="N18" s="2579"/>
      <c r="O18" s="2580"/>
      <c r="P18" s="2580"/>
      <c r="Q18" s="2580"/>
      <c r="R18" s="2581"/>
      <c r="S18" s="2581"/>
      <c r="T18" s="2573"/>
      <c r="U18" s="2580"/>
      <c r="V18" s="2581"/>
      <c r="W18" s="2582"/>
      <c r="X18" s="2582"/>
      <c r="Y18" s="2581"/>
      <c r="Z18" s="2583"/>
      <c r="AA18" s="2573"/>
      <c r="AB18" s="2580"/>
      <c r="AC18" s="2580"/>
      <c r="AD18" s="2580"/>
      <c r="AE18" s="2580"/>
      <c r="AF18" s="2580"/>
      <c r="AG18" s="2581"/>
      <c r="AH18" s="2583"/>
      <c r="AI18" s="2573"/>
      <c r="AJ18" s="2580"/>
      <c r="AK18" s="2580"/>
      <c r="AL18" s="2580"/>
      <c r="AM18" s="2580"/>
      <c r="AN18" s="2580"/>
      <c r="AO18" s="2580"/>
      <c r="AP18" s="2583"/>
      <c r="AQ18" s="2573"/>
      <c r="AR18" s="2580"/>
      <c r="AS18" s="2580"/>
      <c r="AT18" s="2580"/>
      <c r="AU18" s="2580"/>
      <c r="AV18" s="2580"/>
      <c r="AW18" s="2580"/>
      <c r="AX18" s="2583"/>
      <c r="AY18" s="2573"/>
      <c r="AZ18" s="2580"/>
      <c r="BA18" s="2580"/>
      <c r="BB18" s="2580"/>
      <c r="BC18" s="2580"/>
      <c r="BD18" s="2580"/>
      <c r="BE18" s="2580"/>
      <c r="BF18" s="2583"/>
      <c r="BG18" s="2573"/>
      <c r="BH18" s="2580"/>
      <c r="BI18" s="2580"/>
      <c r="BJ18" s="2580"/>
      <c r="BK18" s="2580"/>
      <c r="BL18" s="2580"/>
      <c r="BM18" s="2580"/>
      <c r="BN18" s="2583"/>
      <c r="BO18" s="2573"/>
      <c r="BP18" s="2580"/>
      <c r="BQ18" s="2580"/>
      <c r="BR18" s="2580"/>
      <c r="BS18" s="2580"/>
      <c r="BT18" s="2580"/>
      <c r="BU18" s="2580"/>
      <c r="BV18" s="2583"/>
      <c r="BW18" s="2580"/>
      <c r="BX18" s="2580"/>
      <c r="BY18" s="2573"/>
      <c r="BZ18" s="2573"/>
      <c r="CA18" s="2580"/>
      <c r="CB18" s="2580"/>
      <c r="CC18" s="2580"/>
      <c r="CD18" s="2580"/>
      <c r="CE18" s="2580"/>
    </row>
    <row r="19" spans="2:83" ht="25.5" x14ac:dyDescent="0.2">
      <c r="B19" s="2586" t="str">
        <f>IF(Présentation!$E$2="Français",'TRAD-Calculs Péremption FA'!D19,IF(Présentation!$E$2="Anglais",'TRAD-Calculs Péremption FA'!F19,""))</f>
        <v>Quantités en stock central
(nb de boites)</v>
      </c>
      <c r="D19" s="2555" t="s">
        <v>722</v>
      </c>
      <c r="E19" s="2554"/>
      <c r="F19" s="2554" t="s">
        <v>1384</v>
      </c>
      <c r="G19" s="2554"/>
      <c r="H19" s="2554"/>
      <c r="I19" s="2554"/>
      <c r="J19" s="2554"/>
      <c r="K19" s="2554"/>
      <c r="L19" s="2554"/>
      <c r="M19" s="2554"/>
      <c r="N19" s="2579"/>
      <c r="O19" s="2580"/>
      <c r="P19" s="2580"/>
      <c r="Q19" s="2580"/>
      <c r="R19" s="2581"/>
      <c r="S19" s="2581"/>
      <c r="T19" s="2573"/>
      <c r="U19" s="2580"/>
      <c r="V19" s="2581"/>
      <c r="W19" s="2582"/>
      <c r="X19" s="2582"/>
      <c r="Y19" s="2581"/>
      <c r="Z19" s="2583"/>
      <c r="AA19" s="2573"/>
      <c r="AB19" s="2580"/>
      <c r="AC19" s="2580"/>
      <c r="AD19" s="2580"/>
      <c r="AE19" s="2580"/>
      <c r="AF19" s="2580"/>
      <c r="AG19" s="2581"/>
      <c r="AH19" s="2583"/>
      <c r="AI19" s="2573"/>
      <c r="AJ19" s="2580"/>
      <c r="AK19" s="2580"/>
      <c r="AL19" s="2580"/>
      <c r="AM19" s="2580"/>
      <c r="AN19" s="2580"/>
      <c r="AO19" s="2580"/>
      <c r="AP19" s="2583"/>
      <c r="AQ19" s="2573"/>
      <c r="AR19" s="2580"/>
      <c r="AS19" s="2580"/>
      <c r="AT19" s="2580"/>
      <c r="AU19" s="2580"/>
      <c r="AV19" s="2580"/>
      <c r="AW19" s="2580"/>
      <c r="AX19" s="2583"/>
      <c r="AY19" s="2573"/>
      <c r="AZ19" s="2580"/>
      <c r="BA19" s="2580"/>
      <c r="BB19" s="2580"/>
      <c r="BC19" s="2580"/>
      <c r="BD19" s="2580"/>
      <c r="BE19" s="2580"/>
      <c r="BF19" s="2583"/>
      <c r="BG19" s="2573"/>
      <c r="BH19" s="2580"/>
      <c r="BI19" s="2580"/>
      <c r="BJ19" s="2580"/>
      <c r="BK19" s="2580"/>
      <c r="BL19" s="2580"/>
      <c r="BM19" s="2580"/>
      <c r="BN19" s="2583"/>
      <c r="BO19" s="2573"/>
      <c r="BP19" s="2580"/>
      <c r="BQ19" s="2580"/>
      <c r="BR19" s="2580"/>
      <c r="BS19" s="2580"/>
      <c r="BT19" s="2580"/>
      <c r="BU19" s="2580"/>
      <c r="BV19" s="2583"/>
      <c r="BW19" s="2580"/>
      <c r="BX19" s="2580"/>
      <c r="BY19" s="2573"/>
      <c r="BZ19" s="2573"/>
      <c r="CA19" s="2580"/>
      <c r="CB19" s="2580"/>
      <c r="CC19" s="2580"/>
      <c r="CD19" s="2580"/>
      <c r="CE19" s="2580"/>
    </row>
    <row r="20" spans="2:83" ht="25.5" x14ac:dyDescent="0.2">
      <c r="B20" s="2586" t="str">
        <f>IF(Présentation!$E$2="Français",'TRAD-Calculs Péremption FA'!D20,IF(Présentation!$E$2="Anglais",'TRAD-Calculs Péremption FA'!F20,""))</f>
        <v>Indicateur Détail des péremptions du stocks disponible</v>
      </c>
      <c r="D20" s="2554" t="s">
        <v>307</v>
      </c>
      <c r="E20" s="2554"/>
      <c r="F20" s="2554" t="s">
        <v>1385</v>
      </c>
      <c r="G20" s="2554"/>
      <c r="H20" s="2554"/>
      <c r="I20" s="2554"/>
      <c r="J20" s="2554"/>
      <c r="K20" s="2554"/>
      <c r="L20" s="2554"/>
      <c r="M20" s="2554"/>
      <c r="N20" s="2579"/>
      <c r="O20" s="2580"/>
      <c r="P20" s="2580"/>
      <c r="Q20" s="2580"/>
      <c r="R20" s="2581"/>
      <c r="S20" s="2581"/>
      <c r="T20" s="2573"/>
      <c r="U20" s="2580"/>
      <c r="V20" s="2581"/>
      <c r="W20" s="2582"/>
      <c r="X20" s="2582"/>
      <c r="Y20" s="2581"/>
      <c r="Z20" s="2583"/>
      <c r="AA20" s="2573"/>
      <c r="AB20" s="2580"/>
      <c r="AC20" s="2580"/>
      <c r="AD20" s="2580"/>
      <c r="AE20" s="2580"/>
      <c r="AF20" s="2580"/>
      <c r="AG20" s="2581"/>
      <c r="AH20" s="2583"/>
      <c r="AI20" s="2573"/>
      <c r="AJ20" s="2580"/>
      <c r="AK20" s="2580"/>
      <c r="AL20" s="2580"/>
      <c r="AM20" s="2580"/>
      <c r="AN20" s="2580"/>
      <c r="AO20" s="2580"/>
      <c r="AP20" s="2583"/>
      <c r="AQ20" s="2573"/>
      <c r="AR20" s="2580"/>
      <c r="AS20" s="2580"/>
      <c r="AT20" s="2580"/>
      <c r="AU20" s="2580"/>
      <c r="AV20" s="2580"/>
      <c r="AW20" s="2580"/>
      <c r="AX20" s="2583"/>
      <c r="AY20" s="2573"/>
      <c r="AZ20" s="2580"/>
      <c r="BA20" s="2580"/>
      <c r="BB20" s="2580"/>
      <c r="BC20" s="2580"/>
      <c r="BD20" s="2580"/>
      <c r="BE20" s="2580"/>
      <c r="BF20" s="2583"/>
      <c r="BG20" s="2573"/>
      <c r="BH20" s="2580"/>
      <c r="BI20" s="2580"/>
      <c r="BJ20" s="2580"/>
      <c r="BK20" s="2580"/>
      <c r="BL20" s="2580"/>
      <c r="BM20" s="2580"/>
      <c r="BN20" s="2583"/>
      <c r="BO20" s="2573"/>
      <c r="BP20" s="2580"/>
      <c r="BQ20" s="2580"/>
      <c r="BR20" s="2580"/>
      <c r="BS20" s="2580"/>
      <c r="BT20" s="2580"/>
      <c r="BU20" s="2580"/>
      <c r="BV20" s="2583"/>
      <c r="BW20" s="2580"/>
      <c r="BX20" s="2580"/>
      <c r="BY20" s="2573"/>
      <c r="BZ20" s="2573"/>
      <c r="CA20" s="2580"/>
      <c r="CB20" s="2580"/>
      <c r="CC20" s="2580"/>
      <c r="CD20" s="2580"/>
      <c r="CE20" s="2580"/>
    </row>
    <row r="21" spans="2:83" x14ac:dyDescent="0.2">
      <c r="B21" s="2586" t="str">
        <f>IF(Présentation!$E$2="Français",'TRAD-Calculs Péremption FA'!D21,IF(Présentation!$E$2="Anglais",'TRAD-Calculs Péremption FA'!F21,""))</f>
        <v>Stock inutilisé</v>
      </c>
      <c r="D21" s="2554" t="s">
        <v>406</v>
      </c>
      <c r="E21" s="2554"/>
      <c r="F21" s="2554" t="s">
        <v>1373</v>
      </c>
      <c r="G21" s="2554"/>
      <c r="H21" s="2554"/>
      <c r="I21" s="2554"/>
      <c r="J21" s="2554"/>
      <c r="K21" s="2554"/>
      <c r="L21" s="2554"/>
      <c r="M21" s="2554"/>
      <c r="N21" s="2579"/>
      <c r="O21" s="2580"/>
      <c r="P21" s="2580"/>
      <c r="Q21" s="2580"/>
      <c r="R21" s="2581"/>
      <c r="S21" s="2581"/>
      <c r="T21" s="2573"/>
      <c r="U21" s="2580"/>
      <c r="V21" s="2581"/>
      <c r="W21" s="2582"/>
      <c r="X21" s="2582"/>
      <c r="Y21" s="2581"/>
      <c r="Z21" s="2583"/>
      <c r="AA21" s="2573"/>
      <c r="AB21" s="2580"/>
      <c r="AC21" s="2580"/>
      <c r="AD21" s="2580"/>
      <c r="AE21" s="2580"/>
      <c r="AF21" s="2580"/>
      <c r="AG21" s="2581"/>
      <c r="AH21" s="2583"/>
      <c r="AI21" s="2573"/>
      <c r="AJ21" s="2580"/>
      <c r="AK21" s="2580"/>
      <c r="AL21" s="2580"/>
      <c r="AM21" s="2580"/>
      <c r="AN21" s="2580"/>
      <c r="AO21" s="2580"/>
      <c r="AP21" s="2583"/>
      <c r="AQ21" s="2573"/>
      <c r="AR21" s="2580"/>
      <c r="AS21" s="2580"/>
      <c r="AT21" s="2580"/>
      <c r="AU21" s="2580"/>
      <c r="AV21" s="2580"/>
      <c r="AW21" s="2580"/>
      <c r="AX21" s="2583"/>
      <c r="AY21" s="2573"/>
      <c r="AZ21" s="2580"/>
      <c r="BA21" s="2580"/>
      <c r="BB21" s="2580"/>
      <c r="BC21" s="2580"/>
      <c r="BD21" s="2580"/>
      <c r="BE21" s="2580"/>
      <c r="BF21" s="2583"/>
      <c r="BG21" s="2573"/>
      <c r="BH21" s="2580"/>
      <c r="BI21" s="2580"/>
      <c r="BJ21" s="2580"/>
      <c r="BK21" s="2580"/>
      <c r="BL21" s="2580"/>
      <c r="BM21" s="2580"/>
      <c r="BN21" s="2583"/>
      <c r="BO21" s="2573"/>
      <c r="BP21" s="2580"/>
      <c r="BQ21" s="2580"/>
      <c r="BR21" s="2580"/>
      <c r="BS21" s="2580"/>
      <c r="BT21" s="2580"/>
      <c r="BU21" s="2580"/>
      <c r="BV21" s="2583"/>
      <c r="BW21" s="2580"/>
      <c r="BX21" s="2580"/>
      <c r="BY21" s="2573"/>
      <c r="BZ21" s="2573"/>
      <c r="CA21" s="2580"/>
      <c r="CB21" s="2580"/>
      <c r="CC21" s="2580"/>
      <c r="CD21" s="2580"/>
      <c r="CE21" s="2580"/>
    </row>
    <row r="22" spans="2:83" ht="25.5" x14ac:dyDescent="0.2">
      <c r="B22" s="2586" t="str">
        <f>IF(Présentation!$E$2="Français",'TRAD-Calculs Péremption FA'!D22,IF(Présentation!$E$2="Anglais",'TRAD-Calculs Péremption FA'!F22,""))</f>
        <v>Date de péremption 
1</v>
      </c>
      <c r="D22" s="2554" t="s">
        <v>302</v>
      </c>
      <c r="E22" s="2554"/>
      <c r="F22" s="2554" t="s">
        <v>1387</v>
      </c>
      <c r="G22" s="2554"/>
      <c r="H22" s="2554"/>
      <c r="I22" s="2554"/>
      <c r="J22" s="2554"/>
      <c r="K22" s="2554"/>
      <c r="L22" s="2554"/>
      <c r="M22" s="2554"/>
      <c r="N22" s="2579"/>
      <c r="O22" s="2580"/>
      <c r="P22" s="2580"/>
      <c r="Q22" s="2580"/>
      <c r="R22" s="2581"/>
      <c r="S22" s="2581"/>
      <c r="T22" s="2573"/>
      <c r="U22" s="2580"/>
      <c r="V22" s="2581"/>
      <c r="W22" s="2582"/>
      <c r="X22" s="2582"/>
      <c r="Y22" s="2581"/>
      <c r="Z22" s="2583"/>
      <c r="AA22" s="2573"/>
      <c r="AB22" s="2580"/>
      <c r="AC22" s="2580"/>
      <c r="AD22" s="2580"/>
      <c r="AE22" s="2580"/>
      <c r="AF22" s="2580"/>
      <c r="AG22" s="2581"/>
      <c r="AH22" s="2583"/>
      <c r="AI22" s="2573"/>
      <c r="AJ22" s="2580"/>
      <c r="AK22" s="2580"/>
      <c r="AL22" s="2580"/>
      <c r="AM22" s="2580"/>
      <c r="AN22" s="2580"/>
      <c r="AO22" s="2580"/>
      <c r="AP22" s="2583"/>
      <c r="AQ22" s="2573"/>
      <c r="AR22" s="2580"/>
      <c r="AS22" s="2580"/>
      <c r="AT22" s="2580"/>
      <c r="AU22" s="2580"/>
      <c r="AV22" s="2580"/>
      <c r="AW22" s="2580"/>
      <c r="AX22" s="2583"/>
      <c r="AY22" s="2573"/>
      <c r="AZ22" s="2580"/>
      <c r="BA22" s="2580"/>
      <c r="BB22" s="2580"/>
      <c r="BC22" s="2580"/>
      <c r="BD22" s="2580"/>
      <c r="BE22" s="2580"/>
      <c r="BF22" s="2583"/>
      <c r="BG22" s="2573"/>
      <c r="BH22" s="2580"/>
      <c r="BI22" s="2580"/>
      <c r="BJ22" s="2580"/>
      <c r="BK22" s="2580"/>
      <c r="BL22" s="2580"/>
      <c r="BM22" s="2580"/>
      <c r="BN22" s="2583"/>
      <c r="BO22" s="2573"/>
      <c r="BP22" s="2580"/>
      <c r="BQ22" s="2580"/>
      <c r="BR22" s="2580"/>
      <c r="BS22" s="2580"/>
      <c r="BT22" s="2580"/>
      <c r="BU22" s="2580"/>
      <c r="BV22" s="2583"/>
      <c r="BW22" s="2580"/>
      <c r="BX22" s="2580"/>
      <c r="BY22" s="2573"/>
      <c r="BZ22" s="2573"/>
      <c r="CA22" s="2580"/>
      <c r="CB22" s="2580"/>
      <c r="CC22" s="2580"/>
      <c r="CD22" s="2580"/>
      <c r="CE22" s="2580"/>
    </row>
    <row r="23" spans="2:83" ht="38.25" x14ac:dyDescent="0.2">
      <c r="B23" s="2586" t="str">
        <f>IF(Présentation!$E$2="Français",'TRAD-Calculs Péremption FA'!D23,IF(Présentation!$E$2="Anglais",'TRAD-Calculs Péremption FA'!F23,""))</f>
        <v>Quantités 
(nb de boites) 
1</v>
      </c>
      <c r="D23" s="2554" t="s">
        <v>304</v>
      </c>
      <c r="E23" s="2554"/>
      <c r="F23" s="2554" t="s">
        <v>1386</v>
      </c>
      <c r="G23" s="2554"/>
      <c r="H23" s="2554"/>
      <c r="I23" s="2554"/>
      <c r="J23" s="2554"/>
      <c r="K23" s="2554"/>
      <c r="L23" s="2554"/>
      <c r="M23" s="2554"/>
      <c r="N23" s="2579"/>
      <c r="O23" s="2580"/>
      <c r="P23" s="2580"/>
      <c r="Q23" s="2580"/>
      <c r="R23" s="2581"/>
      <c r="S23" s="2581"/>
      <c r="T23" s="2573"/>
      <c r="U23" s="2580"/>
      <c r="V23" s="2581"/>
      <c r="W23" s="2582"/>
      <c r="X23" s="2582"/>
      <c r="Y23" s="2581"/>
      <c r="Z23" s="2583"/>
      <c r="AA23" s="2573"/>
      <c r="AB23" s="2580"/>
      <c r="AC23" s="2580"/>
      <c r="AD23" s="2580"/>
      <c r="AE23" s="2580"/>
      <c r="AF23" s="2580"/>
      <c r="AG23" s="2581"/>
      <c r="AH23" s="2583"/>
      <c r="AI23" s="2573"/>
      <c r="AJ23" s="2580"/>
      <c r="AK23" s="2580"/>
      <c r="AL23" s="2580"/>
      <c r="AM23" s="2580"/>
      <c r="AN23" s="2580"/>
      <c r="AO23" s="2580"/>
      <c r="AP23" s="2583"/>
      <c r="AQ23" s="2573"/>
      <c r="AR23" s="2580"/>
      <c r="AS23" s="2580"/>
      <c r="AT23" s="2580"/>
      <c r="AU23" s="2580"/>
      <c r="AV23" s="2580"/>
      <c r="AW23" s="2580"/>
      <c r="AX23" s="2583"/>
      <c r="AY23" s="2573"/>
      <c r="AZ23" s="2580"/>
      <c r="BA23" s="2580"/>
      <c r="BB23" s="2580"/>
      <c r="BC23" s="2580"/>
      <c r="BD23" s="2580"/>
      <c r="BE23" s="2580"/>
      <c r="BF23" s="2583"/>
      <c r="BG23" s="2573"/>
      <c r="BH23" s="2580"/>
      <c r="BI23" s="2580"/>
      <c r="BJ23" s="2580"/>
      <c r="BK23" s="2580"/>
      <c r="BL23" s="2580"/>
      <c r="BM23" s="2580"/>
      <c r="BN23" s="2583"/>
      <c r="BO23" s="2573"/>
      <c r="BP23" s="2580"/>
      <c r="BQ23" s="2580"/>
      <c r="BR23" s="2580"/>
      <c r="BS23" s="2580"/>
      <c r="BT23" s="2580"/>
      <c r="BU23" s="2580"/>
      <c r="BV23" s="2583"/>
      <c r="BW23" s="2580"/>
      <c r="BX23" s="2580"/>
      <c r="BY23" s="2573"/>
      <c r="BZ23" s="2573"/>
      <c r="CA23" s="2580"/>
      <c r="CB23" s="2580"/>
      <c r="CC23" s="2580"/>
      <c r="CD23" s="2580"/>
      <c r="CE23" s="2580"/>
    </row>
    <row r="24" spans="2:83" ht="25.5" x14ac:dyDescent="0.2">
      <c r="B24" s="2586" t="str">
        <f>IF(Présentation!$E$2="Français",'TRAD-Calculs Péremption FA'!D24,IF(Présentation!$E$2="Anglais",'TRAD-Calculs Péremption FA'!F24,""))</f>
        <v>Durée d'utilisation (date péremption-date estimation) (nb de mois 30 j)</v>
      </c>
      <c r="D24" s="2554" t="s">
        <v>718</v>
      </c>
      <c r="E24" s="2554"/>
      <c r="F24" s="2554" t="s">
        <v>1388</v>
      </c>
      <c r="G24" s="2554"/>
      <c r="H24" s="2554"/>
      <c r="I24" s="2554"/>
      <c r="J24" s="2554"/>
      <c r="K24" s="2554"/>
      <c r="L24" s="2554"/>
      <c r="M24" s="2554"/>
      <c r="N24" s="2579"/>
      <c r="O24" s="2580"/>
      <c r="P24" s="2580"/>
      <c r="Q24" s="2580"/>
      <c r="R24" s="2581"/>
      <c r="S24" s="2581"/>
      <c r="T24" s="2573"/>
      <c r="U24" s="2580"/>
      <c r="V24" s="2581"/>
      <c r="W24" s="2582"/>
      <c r="X24" s="2582"/>
      <c r="Y24" s="2581"/>
      <c r="Z24" s="2583"/>
      <c r="AA24" s="2573"/>
      <c r="AB24" s="2580"/>
      <c r="AC24" s="2580"/>
      <c r="AD24" s="2580"/>
      <c r="AE24" s="2580"/>
      <c r="AF24" s="2580"/>
      <c r="AG24" s="2581"/>
      <c r="AH24" s="2583"/>
      <c r="AI24" s="2573"/>
      <c r="AJ24" s="2580"/>
      <c r="AK24" s="2580"/>
      <c r="AL24" s="2580"/>
      <c r="AM24" s="2580"/>
      <c r="AN24" s="2580"/>
      <c r="AO24" s="2580"/>
      <c r="AP24" s="2583"/>
      <c r="AQ24" s="2573"/>
      <c r="AR24" s="2580"/>
      <c r="AS24" s="2580"/>
      <c r="AT24" s="2580"/>
      <c r="AU24" s="2580"/>
      <c r="AV24" s="2580"/>
      <c r="AW24" s="2580"/>
      <c r="AX24" s="2583"/>
      <c r="AY24" s="2573"/>
      <c r="AZ24" s="2580"/>
      <c r="BA24" s="2580"/>
      <c r="BB24" s="2580"/>
      <c r="BC24" s="2580"/>
      <c r="BD24" s="2580"/>
      <c r="BE24" s="2580"/>
      <c r="BF24" s="2583"/>
      <c r="BG24" s="2573"/>
      <c r="BH24" s="2580"/>
      <c r="BI24" s="2580"/>
      <c r="BJ24" s="2580"/>
      <c r="BK24" s="2580"/>
      <c r="BL24" s="2580"/>
      <c r="BM24" s="2580"/>
      <c r="BN24" s="2583"/>
      <c r="BO24" s="2573"/>
      <c r="BP24" s="2580"/>
      <c r="BQ24" s="2580"/>
      <c r="BR24" s="2580"/>
      <c r="BS24" s="2580"/>
      <c r="BT24" s="2580"/>
      <c r="BU24" s="2580"/>
      <c r="BV24" s="2583"/>
      <c r="BW24" s="2580"/>
      <c r="BX24" s="2580"/>
      <c r="BY24" s="2573"/>
      <c r="BZ24" s="2573"/>
      <c r="CA24" s="2580"/>
      <c r="CB24" s="2580"/>
      <c r="CC24" s="2580"/>
      <c r="CD24" s="2580"/>
      <c r="CE24" s="2580"/>
    </row>
    <row r="25" spans="2:83" ht="25.5" x14ac:dyDescent="0.2">
      <c r="B25" s="2586" t="str">
        <f>IF(Présentation!$E$2="Français",'TRAD-Calculs Péremption FA'!D25,IF(Présentation!$E$2="Anglais",'TRAD-Calculs Péremption FA'!F25,""))</f>
        <v>Estimation Quantités nécessaires pour la période (nb de boites)</v>
      </c>
      <c r="D25" s="2554" t="s">
        <v>407</v>
      </c>
      <c r="E25" s="2554"/>
      <c r="F25" s="2554" t="s">
        <v>1374</v>
      </c>
      <c r="G25" s="2554"/>
      <c r="H25" s="2554"/>
      <c r="I25" s="2554"/>
      <c r="J25" s="2554"/>
      <c r="K25" s="2554"/>
      <c r="L25" s="2554"/>
      <c r="M25" s="2554"/>
      <c r="N25" s="2579"/>
      <c r="O25" s="2580"/>
      <c r="P25" s="2580"/>
      <c r="Q25" s="2580"/>
      <c r="R25" s="2581"/>
      <c r="S25" s="2581"/>
      <c r="T25" s="2573"/>
      <c r="U25" s="2580"/>
      <c r="V25" s="2581"/>
      <c r="W25" s="2582"/>
      <c r="X25" s="2582"/>
      <c r="Y25" s="2581"/>
      <c r="Z25" s="2583"/>
      <c r="AA25" s="2573"/>
      <c r="AB25" s="2580"/>
      <c r="AC25" s="2580"/>
      <c r="AD25" s="2580"/>
      <c r="AE25" s="2580"/>
      <c r="AF25" s="2580"/>
      <c r="AG25" s="2581"/>
      <c r="AH25" s="2583"/>
      <c r="AI25" s="2573"/>
      <c r="AJ25" s="2580"/>
      <c r="AK25" s="2580"/>
      <c r="AL25" s="2580"/>
      <c r="AM25" s="2580"/>
      <c r="AN25" s="2580"/>
      <c r="AO25" s="2580"/>
      <c r="AP25" s="2583"/>
      <c r="AQ25" s="2573"/>
      <c r="AR25" s="2580"/>
      <c r="AS25" s="2580"/>
      <c r="AT25" s="2580"/>
      <c r="AU25" s="2580"/>
      <c r="AV25" s="2580"/>
      <c r="AW25" s="2580"/>
      <c r="AX25" s="2583"/>
      <c r="AY25" s="2573"/>
      <c r="AZ25" s="2580"/>
      <c r="BA25" s="2580"/>
      <c r="BB25" s="2580"/>
      <c r="BC25" s="2580"/>
      <c r="BD25" s="2580"/>
      <c r="BE25" s="2580"/>
      <c r="BF25" s="2583"/>
      <c r="BG25" s="2573"/>
      <c r="BH25" s="2580"/>
      <c r="BI25" s="2580"/>
      <c r="BJ25" s="2580"/>
      <c r="BK25" s="2580"/>
      <c r="BL25" s="2580"/>
      <c r="BM25" s="2580"/>
      <c r="BN25" s="2583"/>
      <c r="BO25" s="2573"/>
      <c r="BP25" s="2580"/>
      <c r="BQ25" s="2580"/>
      <c r="BR25" s="2580"/>
      <c r="BS25" s="2580"/>
      <c r="BT25" s="2580"/>
      <c r="BU25" s="2580"/>
      <c r="BV25" s="2583"/>
      <c r="BW25" s="2580"/>
      <c r="BX25" s="2580"/>
      <c r="BY25" s="2573"/>
      <c r="BZ25" s="2573"/>
      <c r="CA25" s="2580"/>
      <c r="CB25" s="2580"/>
      <c r="CC25" s="2580"/>
      <c r="CD25" s="2580"/>
      <c r="CE25" s="2580"/>
    </row>
    <row r="26" spans="2:83" ht="38.25" x14ac:dyDescent="0.2">
      <c r="B26" s="2586" t="str">
        <f>IF(Présentation!$E$2="Français",'TRAD-Calculs Péremption FA'!D26,IF(Présentation!$E$2="Anglais",'TRAD-Calculs Péremption FA'!F26,""))</f>
        <v>Quantités du surstock (+) ou des besoins jusqu'à la DLU (-) (nb de boites)</v>
      </c>
      <c r="D26" s="2554" t="s">
        <v>1405</v>
      </c>
      <c r="E26" s="2554"/>
      <c r="F26" s="2554" t="s">
        <v>1375</v>
      </c>
      <c r="G26" s="2554"/>
      <c r="H26" s="2554"/>
      <c r="I26" s="2554"/>
      <c r="J26" s="2554"/>
      <c r="K26" s="2554"/>
      <c r="L26" s="2554"/>
      <c r="M26" s="2554"/>
      <c r="N26" s="2579"/>
      <c r="O26" s="2580"/>
      <c r="P26" s="2580"/>
      <c r="Q26" s="2580"/>
      <c r="R26" s="2581"/>
      <c r="S26" s="2581"/>
      <c r="T26" s="2573"/>
      <c r="U26" s="2580"/>
      <c r="V26" s="2581"/>
      <c r="W26" s="2582"/>
      <c r="X26" s="2582"/>
      <c r="Y26" s="2581"/>
      <c r="Z26" s="2583"/>
      <c r="AA26" s="2573"/>
      <c r="AB26" s="2580"/>
      <c r="AC26" s="2580"/>
      <c r="AD26" s="2580"/>
      <c r="AE26" s="2580"/>
      <c r="AF26" s="2580"/>
      <c r="AG26" s="2581"/>
      <c r="AH26" s="2583"/>
      <c r="AI26" s="2573"/>
      <c r="AJ26" s="2580"/>
      <c r="AK26" s="2580"/>
      <c r="AL26" s="2580"/>
      <c r="AM26" s="2580"/>
      <c r="AN26" s="2580"/>
      <c r="AO26" s="2580"/>
      <c r="AP26" s="2583"/>
      <c r="AQ26" s="2573"/>
      <c r="AR26" s="2580"/>
      <c r="AS26" s="2580"/>
      <c r="AT26" s="2580"/>
      <c r="AU26" s="2580"/>
      <c r="AV26" s="2580"/>
      <c r="AW26" s="2580"/>
      <c r="AX26" s="2583"/>
      <c r="AY26" s="2573"/>
      <c r="AZ26" s="2580"/>
      <c r="BA26" s="2580"/>
      <c r="BB26" s="2580"/>
      <c r="BC26" s="2580"/>
      <c r="BD26" s="2580"/>
      <c r="BE26" s="2580"/>
      <c r="BF26" s="2583"/>
      <c r="BG26" s="2573"/>
      <c r="BH26" s="2580"/>
      <c r="BI26" s="2580"/>
      <c r="BJ26" s="2580"/>
      <c r="BK26" s="2580"/>
      <c r="BL26" s="2580"/>
      <c r="BM26" s="2580"/>
      <c r="BN26" s="2583"/>
      <c r="BO26" s="2573"/>
      <c r="BP26" s="2580"/>
      <c r="BQ26" s="2580"/>
      <c r="BR26" s="2580"/>
      <c r="BS26" s="2580"/>
      <c r="BT26" s="2580"/>
      <c r="BU26" s="2580"/>
      <c r="BV26" s="2583"/>
      <c r="BW26" s="2580"/>
      <c r="BX26" s="2580"/>
      <c r="BY26" s="2573"/>
      <c r="BZ26" s="2573"/>
      <c r="CA26" s="2580"/>
      <c r="CB26" s="2580"/>
      <c r="CC26" s="2580"/>
      <c r="CD26" s="2580"/>
      <c r="CE26" s="2580"/>
    </row>
    <row r="27" spans="2:83" x14ac:dyDescent="0.2">
      <c r="B27" s="2586" t="str">
        <f>IF(Présentation!$E$2="Français",'TRAD-Calculs Péremption FA'!D27,IF(Présentation!$E$2="Anglais",'TRAD-Calculs Péremption FA'!F27,""))</f>
        <v xml:space="preserve">Indicateur </v>
      </c>
      <c r="D27" s="2554" t="s">
        <v>1436</v>
      </c>
      <c r="E27" s="2554"/>
      <c r="F27" s="2554" t="s">
        <v>1389</v>
      </c>
      <c r="G27" s="2554"/>
      <c r="H27" s="2554"/>
      <c r="I27" s="2554"/>
      <c r="J27" s="2554"/>
      <c r="K27" s="2554"/>
      <c r="L27" s="2554"/>
      <c r="M27" s="2554"/>
      <c r="N27" s="2579"/>
      <c r="O27" s="2580"/>
      <c r="P27" s="2580"/>
      <c r="Q27" s="2580"/>
      <c r="R27" s="2581"/>
      <c r="S27" s="2581"/>
      <c r="T27" s="2573"/>
      <c r="U27" s="2580"/>
      <c r="V27" s="2581"/>
      <c r="W27" s="2582"/>
      <c r="X27" s="2582"/>
      <c r="Y27" s="2581"/>
      <c r="Z27" s="2583"/>
      <c r="AA27" s="2573"/>
      <c r="AB27" s="2580"/>
      <c r="AC27" s="2580"/>
      <c r="AD27" s="2580"/>
      <c r="AE27" s="2580"/>
      <c r="AF27" s="2580"/>
      <c r="AG27" s="2581"/>
      <c r="AH27" s="2583"/>
      <c r="AI27" s="2573"/>
      <c r="AJ27" s="2580"/>
      <c r="AK27" s="2580"/>
      <c r="AL27" s="2580"/>
      <c r="AM27" s="2580"/>
      <c r="AN27" s="2580"/>
      <c r="AO27" s="2580"/>
      <c r="AP27" s="2583"/>
      <c r="AQ27" s="2573"/>
      <c r="AR27" s="2580"/>
      <c r="AS27" s="2580"/>
      <c r="AT27" s="2580"/>
      <c r="AU27" s="2580"/>
      <c r="AV27" s="2580"/>
      <c r="AW27" s="2580"/>
      <c r="AX27" s="2583"/>
      <c r="AY27" s="2573"/>
      <c r="AZ27" s="2580"/>
      <c r="BA27" s="2580"/>
      <c r="BB27" s="2580"/>
      <c r="BC27" s="2580"/>
      <c r="BD27" s="2580"/>
      <c r="BE27" s="2580"/>
      <c r="BF27" s="2583"/>
      <c r="BG27" s="2573"/>
      <c r="BH27" s="2580"/>
      <c r="BI27" s="2580"/>
      <c r="BJ27" s="2580"/>
      <c r="BK27" s="2580"/>
      <c r="BL27" s="2580"/>
      <c r="BM27" s="2580"/>
      <c r="BN27" s="2583"/>
      <c r="BO27" s="2573"/>
      <c r="BP27" s="2580"/>
      <c r="BQ27" s="2580"/>
      <c r="BR27" s="2580"/>
      <c r="BS27" s="2580"/>
      <c r="BT27" s="2580"/>
      <c r="BU27" s="2580"/>
      <c r="BV27" s="2583"/>
      <c r="BW27" s="2580"/>
      <c r="BX27" s="2580"/>
      <c r="BY27" s="2573"/>
      <c r="BZ27" s="2573"/>
      <c r="CA27" s="2580"/>
      <c r="CB27" s="2580"/>
      <c r="CC27" s="2580"/>
      <c r="CD27" s="2580"/>
      <c r="CE27" s="2580"/>
    </row>
    <row r="28" spans="2:83" x14ac:dyDescent="0.2">
      <c r="B28" s="2586" t="str">
        <f>IF(Présentation!$E$2="Français",'TRAD-Calculs Péremption FA'!D28,IF(Présentation!$E$2="Anglais",'TRAD-Calculs Péremption FA'!F28,""))</f>
        <v>Montant de la perte ($)</v>
      </c>
      <c r="D28" s="2554" t="s">
        <v>382</v>
      </c>
      <c r="E28" s="2554"/>
      <c r="F28" s="2554" t="s">
        <v>1376</v>
      </c>
      <c r="G28" s="2554"/>
      <c r="H28" s="2554"/>
      <c r="I28" s="2554"/>
      <c r="J28" s="2554"/>
      <c r="K28" s="2554"/>
      <c r="L28" s="2554"/>
      <c r="M28" s="2554"/>
      <c r="N28" s="2579"/>
      <c r="O28" s="2580"/>
      <c r="P28" s="2580"/>
      <c r="Q28" s="2580"/>
      <c r="R28" s="2581"/>
      <c r="S28" s="2581"/>
      <c r="T28" s="2573"/>
      <c r="U28" s="2580"/>
      <c r="V28" s="2581"/>
      <c r="W28" s="2582"/>
      <c r="X28" s="2582"/>
      <c r="Y28" s="2581"/>
      <c r="Z28" s="2583"/>
      <c r="AA28" s="2573"/>
      <c r="AB28" s="2580"/>
      <c r="AC28" s="2580"/>
      <c r="AD28" s="2580"/>
      <c r="AE28" s="2580"/>
      <c r="AF28" s="2580"/>
      <c r="AG28" s="2581"/>
      <c r="AH28" s="2583"/>
      <c r="AI28" s="2573"/>
      <c r="AJ28" s="2580"/>
      <c r="AK28" s="2580"/>
      <c r="AL28" s="2580"/>
      <c r="AM28" s="2580"/>
      <c r="AN28" s="2580"/>
      <c r="AO28" s="2580"/>
      <c r="AP28" s="2583"/>
      <c r="AQ28" s="2573"/>
      <c r="AR28" s="2580"/>
      <c r="AS28" s="2580"/>
      <c r="AT28" s="2580"/>
      <c r="AU28" s="2580"/>
      <c r="AV28" s="2580"/>
      <c r="AW28" s="2580"/>
      <c r="AX28" s="2583"/>
      <c r="AY28" s="2573"/>
      <c r="AZ28" s="2580"/>
      <c r="BA28" s="2580"/>
      <c r="BB28" s="2580"/>
      <c r="BC28" s="2580"/>
      <c r="BD28" s="2580"/>
      <c r="BE28" s="2580"/>
      <c r="BF28" s="2583"/>
      <c r="BG28" s="2573"/>
      <c r="BH28" s="2580"/>
      <c r="BI28" s="2580"/>
      <c r="BJ28" s="2580"/>
      <c r="BK28" s="2580"/>
      <c r="BL28" s="2580"/>
      <c r="BM28" s="2580"/>
      <c r="BN28" s="2583"/>
      <c r="BO28" s="2573"/>
      <c r="BP28" s="2580"/>
      <c r="BQ28" s="2580"/>
      <c r="BR28" s="2580"/>
      <c r="BS28" s="2580"/>
      <c r="BT28" s="2580"/>
      <c r="BU28" s="2580"/>
      <c r="BV28" s="2583"/>
      <c r="BW28" s="2580"/>
      <c r="BX28" s="2580"/>
      <c r="BY28" s="2573"/>
      <c r="BZ28" s="2573"/>
      <c r="CA28" s="2580"/>
      <c r="CB28" s="2580"/>
      <c r="CC28" s="2580"/>
      <c r="CD28" s="2580"/>
      <c r="CE28" s="2580"/>
    </row>
    <row r="29" spans="2:83" x14ac:dyDescent="0.2">
      <c r="B29" s="2586" t="str">
        <f>IF(Présentation!$E$2="Français",'TRAD-Calculs Péremption FA'!D29,IF(Présentation!$E$2="Anglais",'TRAD-Calculs Péremption FA'!F29,""))</f>
        <v>Date de péremption 2</v>
      </c>
      <c r="D29" s="2554" t="s">
        <v>1390</v>
      </c>
      <c r="E29" s="2554"/>
      <c r="F29" s="2554" t="s">
        <v>1391</v>
      </c>
      <c r="G29" s="2554"/>
      <c r="H29" s="2554"/>
      <c r="I29" s="2554"/>
      <c r="J29" s="2554"/>
      <c r="K29" s="2554"/>
      <c r="L29" s="2554"/>
      <c r="M29" s="2554"/>
      <c r="N29" s="2579"/>
      <c r="O29" s="2580"/>
      <c r="P29" s="2580"/>
      <c r="Q29" s="2580"/>
      <c r="R29" s="2581"/>
      <c r="S29" s="2581"/>
      <c r="T29" s="2573"/>
      <c r="U29" s="2580"/>
      <c r="V29" s="2581"/>
      <c r="W29" s="2582"/>
      <c r="X29" s="2582"/>
      <c r="Y29" s="2581"/>
      <c r="Z29" s="2583"/>
      <c r="AA29" s="2573"/>
      <c r="AB29" s="2580"/>
      <c r="AC29" s="2580"/>
      <c r="AD29" s="2580"/>
      <c r="AE29" s="2580"/>
      <c r="AF29" s="2580"/>
      <c r="AG29" s="2581"/>
      <c r="AH29" s="2583"/>
      <c r="AI29" s="2573"/>
      <c r="AJ29" s="2580"/>
      <c r="AK29" s="2580"/>
      <c r="AL29" s="2580"/>
      <c r="AM29" s="2580"/>
      <c r="AN29" s="2580"/>
      <c r="AO29" s="2580"/>
      <c r="AP29" s="2583"/>
      <c r="AQ29" s="2573"/>
      <c r="AR29" s="2580"/>
      <c r="AS29" s="2580"/>
      <c r="AT29" s="2580"/>
      <c r="AU29" s="2580"/>
      <c r="AV29" s="2580"/>
      <c r="AW29" s="2580"/>
      <c r="AX29" s="2583"/>
      <c r="AY29" s="2573"/>
      <c r="AZ29" s="2580"/>
      <c r="BA29" s="2580"/>
      <c r="BB29" s="2580"/>
      <c r="BC29" s="2580"/>
      <c r="BD29" s="2580"/>
      <c r="BE29" s="2580"/>
      <c r="BF29" s="2583"/>
      <c r="BG29" s="2573"/>
      <c r="BH29" s="2580"/>
      <c r="BI29" s="2580"/>
      <c r="BJ29" s="2580"/>
      <c r="BK29" s="2580"/>
      <c r="BL29" s="2580"/>
      <c r="BM29" s="2580"/>
      <c r="BN29" s="2583"/>
      <c r="BO29" s="2573"/>
      <c r="BP29" s="2580"/>
      <c r="BQ29" s="2580"/>
      <c r="BR29" s="2580"/>
      <c r="BS29" s="2580"/>
      <c r="BT29" s="2580"/>
      <c r="BU29" s="2580"/>
      <c r="BV29" s="2583"/>
      <c r="BW29" s="2580"/>
      <c r="BX29" s="2580"/>
      <c r="BY29" s="2573"/>
      <c r="BZ29" s="2573"/>
      <c r="CA29" s="2580"/>
      <c r="CB29" s="2580"/>
      <c r="CC29" s="2580"/>
      <c r="CD29" s="2580"/>
      <c r="CE29" s="2580"/>
    </row>
    <row r="30" spans="2:83" x14ac:dyDescent="0.2">
      <c r="B30" s="2586" t="str">
        <f>IF(Présentation!$E$2="Français",'TRAD-Calculs Péremption FA'!D30,IF(Présentation!$E$2="Anglais",'TRAD-Calculs Péremption FA'!F30,""))</f>
        <v>Quantités (nb de boites) 2</v>
      </c>
      <c r="D30" s="2554" t="s">
        <v>991</v>
      </c>
      <c r="E30" s="2554"/>
      <c r="F30" s="2554" t="s">
        <v>1392</v>
      </c>
      <c r="G30" s="2554"/>
      <c r="H30" s="2554"/>
      <c r="I30" s="2554"/>
      <c r="J30" s="2554"/>
      <c r="K30" s="2554"/>
      <c r="L30" s="2554"/>
      <c r="M30" s="2554"/>
      <c r="N30" s="2579"/>
      <c r="O30" s="2580"/>
      <c r="P30" s="2580"/>
      <c r="Q30" s="2580"/>
      <c r="R30" s="2581"/>
      <c r="S30" s="2581"/>
      <c r="T30" s="2573"/>
      <c r="U30" s="2580"/>
      <c r="V30" s="2581"/>
      <c r="W30" s="2582"/>
      <c r="X30" s="2582"/>
      <c r="Y30" s="2581"/>
      <c r="Z30" s="2583"/>
      <c r="AA30" s="2573"/>
      <c r="AB30" s="2580"/>
      <c r="AC30" s="2580"/>
      <c r="AD30" s="2580"/>
      <c r="AE30" s="2580"/>
      <c r="AF30" s="2580"/>
      <c r="AG30" s="2581"/>
      <c r="AH30" s="2583"/>
      <c r="AI30" s="2573"/>
      <c r="AJ30" s="2580"/>
      <c r="AK30" s="2580"/>
      <c r="AL30" s="2580"/>
      <c r="AM30" s="2580"/>
      <c r="AN30" s="2580"/>
      <c r="AO30" s="2580"/>
      <c r="AP30" s="2583"/>
      <c r="AQ30" s="2573"/>
      <c r="AR30" s="2580"/>
      <c r="AS30" s="2580"/>
      <c r="AT30" s="2580"/>
      <c r="AU30" s="2580"/>
      <c r="AV30" s="2580"/>
      <c r="AW30" s="2580"/>
      <c r="AX30" s="2583"/>
      <c r="AY30" s="2573"/>
      <c r="AZ30" s="2580"/>
      <c r="BA30" s="2580"/>
      <c r="BB30" s="2580"/>
      <c r="BC30" s="2580"/>
      <c r="BD30" s="2580"/>
      <c r="BE30" s="2580"/>
      <c r="BF30" s="2583"/>
      <c r="BG30" s="2573"/>
      <c r="BH30" s="2580"/>
      <c r="BI30" s="2580"/>
      <c r="BJ30" s="2580"/>
      <c r="BK30" s="2580"/>
      <c r="BL30" s="2580"/>
      <c r="BM30" s="2580"/>
      <c r="BN30" s="2583"/>
      <c r="BO30" s="2573"/>
      <c r="BP30" s="2580"/>
      <c r="BQ30" s="2580"/>
      <c r="BR30" s="2580"/>
      <c r="BS30" s="2580"/>
      <c r="BT30" s="2580"/>
      <c r="BU30" s="2580"/>
      <c r="BV30" s="2583"/>
      <c r="BW30" s="2580"/>
      <c r="BX30" s="2580"/>
      <c r="BY30" s="2573"/>
      <c r="BZ30" s="2573"/>
      <c r="CA30" s="2580"/>
      <c r="CB30" s="2580"/>
      <c r="CC30" s="2580"/>
      <c r="CD30" s="2580"/>
      <c r="CE30" s="2580"/>
    </row>
    <row r="31" spans="2:83" ht="38.25" x14ac:dyDescent="0.2">
      <c r="B31" s="2586" t="str">
        <f>IF(Présentation!$E$2="Français",'TRAD-Calculs Péremption FA'!D31,IF(Présentation!$E$2="Anglais",'TRAD-Calculs Péremption FA'!F31,""))</f>
        <v>Quantités totales des lots 1&amp;2 non périmés à la date de péremption précédente</v>
      </c>
      <c r="D31" s="2554" t="s">
        <v>706</v>
      </c>
      <c r="E31" s="2554"/>
      <c r="F31" s="2554" t="s">
        <v>1393</v>
      </c>
      <c r="G31" s="2554"/>
      <c r="H31" s="2554"/>
      <c r="I31" s="2554"/>
      <c r="J31" s="2554"/>
      <c r="K31" s="2554"/>
      <c r="L31" s="2554"/>
      <c r="M31" s="2554"/>
      <c r="N31" s="2579"/>
      <c r="O31" s="2580"/>
      <c r="P31" s="2580"/>
      <c r="Q31" s="2580"/>
      <c r="R31" s="2581"/>
      <c r="S31" s="2581"/>
      <c r="T31" s="2573"/>
      <c r="U31" s="2580"/>
      <c r="V31" s="2581"/>
      <c r="W31" s="2582"/>
      <c r="X31" s="2582"/>
      <c r="Y31" s="2581"/>
      <c r="Z31" s="2583"/>
      <c r="AA31" s="2573"/>
      <c r="AB31" s="2580"/>
      <c r="AC31" s="2580"/>
      <c r="AD31" s="2580"/>
      <c r="AE31" s="2580"/>
      <c r="AF31" s="2580"/>
      <c r="AG31" s="2581"/>
      <c r="AH31" s="2583"/>
      <c r="AI31" s="2573"/>
      <c r="AJ31" s="2580"/>
      <c r="AK31" s="2580"/>
      <c r="AL31" s="2580"/>
      <c r="AM31" s="2580"/>
      <c r="AN31" s="2580"/>
      <c r="AO31" s="2580"/>
      <c r="AP31" s="2583"/>
      <c r="AQ31" s="2573"/>
      <c r="AR31" s="2580"/>
      <c r="AS31" s="2580"/>
      <c r="AT31" s="2580"/>
      <c r="AU31" s="2580"/>
      <c r="AV31" s="2580"/>
      <c r="AW31" s="2580"/>
      <c r="AX31" s="2583"/>
      <c r="AY31" s="2573"/>
      <c r="AZ31" s="2580"/>
      <c r="BA31" s="2580"/>
      <c r="BB31" s="2580"/>
      <c r="BC31" s="2580"/>
      <c r="BD31" s="2580"/>
      <c r="BE31" s="2580"/>
      <c r="BF31" s="2583"/>
      <c r="BG31" s="2573"/>
      <c r="BH31" s="2580"/>
      <c r="BI31" s="2580"/>
      <c r="BJ31" s="2580"/>
      <c r="BK31" s="2580"/>
      <c r="BL31" s="2580"/>
      <c r="BM31" s="2580"/>
      <c r="BN31" s="2583"/>
      <c r="BO31" s="2573"/>
      <c r="BP31" s="2580"/>
      <c r="BQ31" s="2580"/>
      <c r="BR31" s="2580"/>
      <c r="BS31" s="2580"/>
      <c r="BT31" s="2580"/>
      <c r="BU31" s="2580"/>
      <c r="BV31" s="2583"/>
      <c r="BW31" s="2580"/>
      <c r="BX31" s="2580"/>
      <c r="BY31" s="2573"/>
      <c r="BZ31" s="2573"/>
      <c r="CA31" s="2580"/>
      <c r="CB31" s="2580"/>
      <c r="CC31" s="2580"/>
      <c r="CD31" s="2580"/>
      <c r="CE31" s="2580"/>
    </row>
    <row r="32" spans="2:83" x14ac:dyDescent="0.2">
      <c r="B32" s="2586" t="str">
        <f>IF(Présentation!$E$2="Français",'TRAD-Calculs Péremption FA'!D32,IF(Présentation!$E$2="Anglais",'TRAD-Calculs Péremption FA'!F32,""))</f>
        <v>Calculs avec DLU 1</v>
      </c>
      <c r="D32" s="2554" t="s">
        <v>306</v>
      </c>
      <c r="E32" s="2554"/>
      <c r="F32" s="2554" t="s">
        <v>1394</v>
      </c>
      <c r="G32" s="2554"/>
      <c r="H32" s="2554"/>
      <c r="I32" s="2554"/>
      <c r="J32" s="2554"/>
      <c r="K32" s="2554"/>
      <c r="L32" s="2554"/>
      <c r="M32" s="2554"/>
      <c r="N32" s="2579"/>
      <c r="O32" s="2580"/>
      <c r="P32" s="2580"/>
      <c r="Q32" s="2580"/>
      <c r="R32" s="2581"/>
      <c r="S32" s="2581"/>
      <c r="T32" s="2573"/>
      <c r="U32" s="2580"/>
      <c r="V32" s="2581"/>
      <c r="W32" s="2582"/>
      <c r="X32" s="2582"/>
      <c r="Y32" s="2581"/>
      <c r="Z32" s="2583"/>
      <c r="AA32" s="2573"/>
      <c r="AB32" s="2580"/>
      <c r="AC32" s="2580"/>
      <c r="AD32" s="2580"/>
      <c r="AE32" s="2580"/>
      <c r="AF32" s="2580"/>
      <c r="AG32" s="2581"/>
      <c r="AH32" s="2583"/>
      <c r="AI32" s="2573"/>
      <c r="AJ32" s="2580"/>
      <c r="AK32" s="2580"/>
      <c r="AL32" s="2580"/>
      <c r="AM32" s="2580"/>
      <c r="AN32" s="2580"/>
      <c r="AO32" s="2580"/>
      <c r="AP32" s="2583"/>
      <c r="AQ32" s="2573"/>
      <c r="AR32" s="2580"/>
      <c r="AS32" s="2580"/>
      <c r="AT32" s="2580"/>
      <c r="AU32" s="2580"/>
      <c r="AV32" s="2580"/>
      <c r="AW32" s="2580"/>
      <c r="AX32" s="2583"/>
      <c r="AY32" s="2573"/>
      <c r="AZ32" s="2580"/>
      <c r="BA32" s="2580"/>
      <c r="BB32" s="2580"/>
      <c r="BC32" s="2580"/>
      <c r="BD32" s="2580"/>
      <c r="BE32" s="2580"/>
      <c r="BF32" s="2583"/>
      <c r="BG32" s="2573"/>
      <c r="BH32" s="2580"/>
      <c r="BI32" s="2580"/>
      <c r="BJ32" s="2580"/>
      <c r="BK32" s="2580"/>
      <c r="BL32" s="2580"/>
      <c r="BM32" s="2580"/>
      <c r="BN32" s="2583"/>
      <c r="BO32" s="2573"/>
      <c r="BP32" s="2580"/>
      <c r="BQ32" s="2580"/>
      <c r="BR32" s="2580"/>
      <c r="BS32" s="2580"/>
      <c r="BT32" s="2580"/>
      <c r="BU32" s="2580"/>
      <c r="BV32" s="2583"/>
      <c r="BW32" s="2580"/>
      <c r="BX32" s="2580"/>
      <c r="BY32" s="2573"/>
      <c r="BZ32" s="2573"/>
      <c r="CA32" s="2580"/>
      <c r="CB32" s="2580"/>
      <c r="CC32" s="2580"/>
      <c r="CD32" s="2580"/>
      <c r="CE32" s="2580"/>
    </row>
    <row r="33" spans="2:83" x14ac:dyDescent="0.2">
      <c r="B33" s="2586" t="str">
        <f>IF(Présentation!$E$2="Français",'TRAD-Calculs Péremption FA'!D33,IF(Présentation!$E$2="Anglais",'TRAD-Calculs Péremption FA'!F33,""))</f>
        <v>Calculs avec DLU 2</v>
      </c>
      <c r="D33" s="2554" t="s">
        <v>383</v>
      </c>
      <c r="E33" s="2554"/>
      <c r="F33" s="2554" t="s">
        <v>1395</v>
      </c>
      <c r="G33" s="2554"/>
      <c r="H33" s="2554"/>
      <c r="I33" s="2554"/>
      <c r="J33" s="2554"/>
      <c r="K33" s="2554"/>
      <c r="L33" s="2554"/>
      <c r="M33" s="2554"/>
      <c r="N33" s="2579"/>
      <c r="O33" s="2580"/>
      <c r="P33" s="2580"/>
      <c r="Q33" s="2580"/>
      <c r="R33" s="2581"/>
      <c r="S33" s="2581"/>
      <c r="T33" s="2573"/>
      <c r="U33" s="2580"/>
      <c r="V33" s="2581"/>
      <c r="W33" s="2582"/>
      <c r="X33" s="2582"/>
      <c r="Y33" s="2581"/>
      <c r="Z33" s="2583"/>
      <c r="AA33" s="2573"/>
      <c r="AB33" s="2580"/>
      <c r="AC33" s="2580"/>
      <c r="AD33" s="2580"/>
      <c r="AE33" s="2580"/>
      <c r="AF33" s="2580"/>
      <c r="AG33" s="2581"/>
      <c r="AH33" s="2583"/>
      <c r="AI33" s="2573"/>
      <c r="AJ33" s="2580"/>
      <c r="AK33" s="2580"/>
      <c r="AL33" s="2580"/>
      <c r="AM33" s="2580"/>
      <c r="AN33" s="2580"/>
      <c r="AO33" s="2580"/>
      <c r="AP33" s="2583"/>
      <c r="AQ33" s="2573"/>
      <c r="AR33" s="2580"/>
      <c r="AS33" s="2580"/>
      <c r="AT33" s="2580"/>
      <c r="AU33" s="2580"/>
      <c r="AV33" s="2580"/>
      <c r="AW33" s="2580"/>
      <c r="AX33" s="2583"/>
      <c r="AY33" s="2573"/>
      <c r="AZ33" s="2580"/>
      <c r="BA33" s="2580"/>
      <c r="BB33" s="2580"/>
      <c r="BC33" s="2580"/>
      <c r="BD33" s="2580"/>
      <c r="BE33" s="2580"/>
      <c r="BF33" s="2583"/>
      <c r="BG33" s="2573"/>
      <c r="BH33" s="2580"/>
      <c r="BI33" s="2580"/>
      <c r="BJ33" s="2580"/>
      <c r="BK33" s="2580"/>
      <c r="BL33" s="2580"/>
      <c r="BM33" s="2580"/>
      <c r="BN33" s="2583"/>
      <c r="BO33" s="2573"/>
      <c r="BP33" s="2580"/>
      <c r="BQ33" s="2580"/>
      <c r="BR33" s="2580"/>
      <c r="BS33" s="2580"/>
      <c r="BT33" s="2580"/>
      <c r="BU33" s="2580"/>
      <c r="BV33" s="2583"/>
      <c r="BW33" s="2580"/>
      <c r="BX33" s="2580"/>
      <c r="BY33" s="2573"/>
      <c r="BZ33" s="2573"/>
      <c r="CA33" s="2580"/>
      <c r="CB33" s="2580"/>
      <c r="CC33" s="2580"/>
      <c r="CD33" s="2580"/>
      <c r="CE33" s="2580"/>
    </row>
    <row r="34" spans="2:83" x14ac:dyDescent="0.2">
      <c r="B34" s="2586" t="str">
        <f>IF(Présentation!$E$2="Français",'TRAD-Calculs Péremption FA'!D34,IF(Présentation!$E$2="Anglais",'TRAD-Calculs Péremption FA'!F34,""))</f>
        <v>Calculs avec DLU 3</v>
      </c>
      <c r="D34" s="2554" t="s">
        <v>384</v>
      </c>
      <c r="E34" s="2554"/>
      <c r="F34" s="2554" t="s">
        <v>1396</v>
      </c>
      <c r="G34" s="2554"/>
      <c r="H34" s="2554"/>
      <c r="I34" s="2554"/>
      <c r="J34" s="2554"/>
      <c r="K34" s="2554"/>
      <c r="L34" s="2554"/>
      <c r="M34" s="2554"/>
      <c r="N34" s="2579"/>
      <c r="O34" s="2580"/>
      <c r="P34" s="2580"/>
      <c r="Q34" s="2580"/>
      <c r="R34" s="2581"/>
      <c r="S34" s="2581"/>
      <c r="T34" s="2573"/>
      <c r="U34" s="2580"/>
      <c r="V34" s="2581"/>
      <c r="W34" s="2582"/>
      <c r="X34" s="2582"/>
      <c r="Y34" s="2581"/>
      <c r="Z34" s="2583"/>
      <c r="AA34" s="2573"/>
      <c r="AB34" s="2580"/>
      <c r="AC34" s="2580"/>
      <c r="AD34" s="2580"/>
      <c r="AE34" s="2580"/>
      <c r="AF34" s="2580"/>
      <c r="AG34" s="2581"/>
      <c r="AH34" s="2583"/>
      <c r="AI34" s="2573"/>
      <c r="AJ34" s="2580"/>
      <c r="AK34" s="2580"/>
      <c r="AL34" s="2580"/>
      <c r="AM34" s="2580"/>
      <c r="AN34" s="2580"/>
      <c r="AO34" s="2580"/>
      <c r="AP34" s="2583"/>
      <c r="AQ34" s="2573"/>
      <c r="AR34" s="2580"/>
      <c r="AS34" s="2580"/>
      <c r="AT34" s="2580"/>
      <c r="AU34" s="2580"/>
      <c r="AV34" s="2580"/>
      <c r="AW34" s="2580"/>
      <c r="AX34" s="2583"/>
      <c r="AY34" s="2573"/>
      <c r="AZ34" s="2580"/>
      <c r="BA34" s="2580"/>
      <c r="BB34" s="2580"/>
      <c r="BC34" s="2580"/>
      <c r="BD34" s="2580"/>
      <c r="BE34" s="2580"/>
      <c r="BF34" s="2583"/>
      <c r="BG34" s="2573"/>
      <c r="BH34" s="2580"/>
      <c r="BI34" s="2580"/>
      <c r="BJ34" s="2580"/>
      <c r="BK34" s="2580"/>
      <c r="BL34" s="2580"/>
      <c r="BM34" s="2580"/>
      <c r="BN34" s="2583"/>
      <c r="BO34" s="2573"/>
      <c r="BP34" s="2580"/>
      <c r="BQ34" s="2580"/>
      <c r="BR34" s="2580"/>
      <c r="BS34" s="2580"/>
      <c r="BT34" s="2580"/>
      <c r="BU34" s="2580"/>
      <c r="BV34" s="2583"/>
      <c r="BW34" s="2580"/>
      <c r="BX34" s="2580"/>
      <c r="BY34" s="2573"/>
      <c r="BZ34" s="2573"/>
      <c r="CA34" s="2580"/>
      <c r="CB34" s="2580"/>
      <c r="CC34" s="2580"/>
      <c r="CD34" s="2580"/>
      <c r="CE34" s="2580"/>
    </row>
    <row r="35" spans="2:83" x14ac:dyDescent="0.2">
      <c r="B35" s="2586" t="str">
        <f>IF(Présentation!$E$2="Français",'TRAD-Calculs Péremption FA'!D35,IF(Présentation!$E$2="Anglais",'TRAD-Calculs Péremption FA'!F35,""))</f>
        <v>Calculs avec DLU 4</v>
      </c>
      <c r="D35" s="2554" t="s">
        <v>385</v>
      </c>
      <c r="E35" s="2554"/>
      <c r="F35" s="2554" t="s">
        <v>1397</v>
      </c>
      <c r="G35" s="2554"/>
      <c r="H35" s="2554"/>
      <c r="I35" s="2554"/>
      <c r="J35" s="2554"/>
      <c r="K35" s="2554"/>
      <c r="L35" s="2554"/>
      <c r="M35" s="2554"/>
      <c r="N35" s="2579"/>
      <c r="O35" s="2580"/>
      <c r="P35" s="2580"/>
      <c r="Q35" s="2580"/>
      <c r="R35" s="2581"/>
      <c r="S35" s="2581"/>
      <c r="T35" s="2573"/>
      <c r="U35" s="2580"/>
      <c r="V35" s="2581"/>
      <c r="W35" s="2582"/>
      <c r="X35" s="2582"/>
      <c r="Y35" s="2581"/>
      <c r="Z35" s="2583"/>
      <c r="AA35" s="2573"/>
      <c r="AB35" s="2580"/>
      <c r="AC35" s="2580"/>
      <c r="AD35" s="2580"/>
      <c r="AE35" s="2580"/>
      <c r="AF35" s="2580"/>
      <c r="AG35" s="2581"/>
      <c r="AH35" s="2583"/>
      <c r="AI35" s="2573"/>
      <c r="AJ35" s="2580"/>
      <c r="AK35" s="2580"/>
      <c r="AL35" s="2580"/>
      <c r="AM35" s="2580"/>
      <c r="AN35" s="2580"/>
      <c r="AO35" s="2580"/>
      <c r="AP35" s="2583"/>
      <c r="AQ35" s="2573"/>
      <c r="AR35" s="2580"/>
      <c r="AS35" s="2580"/>
      <c r="AT35" s="2580"/>
      <c r="AU35" s="2580"/>
      <c r="AV35" s="2580"/>
      <c r="AW35" s="2580"/>
      <c r="AX35" s="2583"/>
      <c r="AY35" s="2573"/>
      <c r="AZ35" s="2580"/>
      <c r="BA35" s="2580"/>
      <c r="BB35" s="2580"/>
      <c r="BC35" s="2580"/>
      <c r="BD35" s="2580"/>
      <c r="BE35" s="2580"/>
      <c r="BF35" s="2583"/>
      <c r="BG35" s="2573"/>
      <c r="BH35" s="2580"/>
      <c r="BI35" s="2580"/>
      <c r="BJ35" s="2580"/>
      <c r="BK35" s="2580"/>
      <c r="BL35" s="2580"/>
      <c r="BM35" s="2580"/>
      <c r="BN35" s="2583"/>
      <c r="BO35" s="2573"/>
      <c r="BP35" s="2580"/>
      <c r="BQ35" s="2580"/>
      <c r="BR35" s="2580"/>
      <c r="BS35" s="2580"/>
      <c r="BT35" s="2580"/>
      <c r="BU35" s="2580"/>
      <c r="BV35" s="2583"/>
      <c r="BW35" s="2580"/>
      <c r="BX35" s="2580"/>
      <c r="BY35" s="2573"/>
      <c r="BZ35" s="2573"/>
      <c r="CA35" s="2580"/>
      <c r="CB35" s="2580"/>
      <c r="CC35" s="2580"/>
      <c r="CD35" s="2580"/>
      <c r="CE35" s="2580"/>
    </row>
    <row r="36" spans="2:83" x14ac:dyDescent="0.2">
      <c r="B36" s="2586" t="str">
        <f>IF(Présentation!$E$2="Français",'TRAD-Calculs Péremption FA'!D36,IF(Présentation!$E$2="Anglais",'TRAD-Calculs Péremption FA'!F36,""))</f>
        <v>Calculs avec DLU 5</v>
      </c>
      <c r="D36" s="2554" t="s">
        <v>386</v>
      </c>
      <c r="E36" s="2554"/>
      <c r="F36" s="2554" t="s">
        <v>1398</v>
      </c>
      <c r="G36" s="2554"/>
      <c r="H36" s="2554"/>
      <c r="I36" s="2554"/>
      <c r="J36" s="2554"/>
      <c r="K36" s="2554"/>
      <c r="L36" s="2554"/>
      <c r="M36" s="2554"/>
      <c r="N36" s="2579"/>
      <c r="O36" s="2580"/>
      <c r="P36" s="2580"/>
      <c r="Q36" s="2580"/>
      <c r="R36" s="2581"/>
      <c r="S36" s="2581"/>
      <c r="T36" s="2573"/>
      <c r="U36" s="2580"/>
      <c r="V36" s="2581"/>
      <c r="W36" s="2582"/>
      <c r="X36" s="2582"/>
      <c r="Y36" s="2581"/>
      <c r="Z36" s="2583"/>
      <c r="AA36" s="2573"/>
      <c r="AB36" s="2580"/>
      <c r="AC36" s="2580"/>
      <c r="AD36" s="2580"/>
      <c r="AE36" s="2580"/>
      <c r="AF36" s="2580"/>
      <c r="AG36" s="2581"/>
      <c r="AH36" s="2583"/>
      <c r="AI36" s="2573"/>
      <c r="AJ36" s="2580"/>
      <c r="AK36" s="2580"/>
      <c r="AL36" s="2580"/>
      <c r="AM36" s="2580"/>
      <c r="AN36" s="2580"/>
      <c r="AO36" s="2580"/>
      <c r="AP36" s="2583"/>
      <c r="AQ36" s="2573"/>
      <c r="AR36" s="2580"/>
      <c r="AS36" s="2580"/>
      <c r="AT36" s="2580"/>
      <c r="AU36" s="2580"/>
      <c r="AV36" s="2580"/>
      <c r="AW36" s="2580"/>
      <c r="AX36" s="2583"/>
      <c r="AY36" s="2573"/>
      <c r="AZ36" s="2580"/>
      <c r="BA36" s="2580"/>
      <c r="BB36" s="2580"/>
      <c r="BC36" s="2580"/>
      <c r="BD36" s="2580"/>
      <c r="BE36" s="2580"/>
      <c r="BF36" s="2583"/>
      <c r="BG36" s="2573"/>
      <c r="BH36" s="2580"/>
      <c r="BI36" s="2580"/>
      <c r="BJ36" s="2580"/>
      <c r="BK36" s="2580"/>
      <c r="BL36" s="2580"/>
      <c r="BM36" s="2580"/>
      <c r="BN36" s="2583"/>
      <c r="BO36" s="2573"/>
      <c r="BP36" s="2580"/>
      <c r="BQ36" s="2580"/>
      <c r="BR36" s="2580"/>
      <c r="BS36" s="2580"/>
      <c r="BT36" s="2580"/>
      <c r="BU36" s="2580"/>
      <c r="BV36" s="2583"/>
      <c r="BW36" s="2580"/>
      <c r="BX36" s="2580"/>
      <c r="BY36" s="2573"/>
      <c r="BZ36" s="2573"/>
      <c r="CA36" s="2580"/>
      <c r="CB36" s="2580"/>
      <c r="CC36" s="2580"/>
      <c r="CD36" s="2580"/>
      <c r="CE36" s="2580"/>
    </row>
    <row r="37" spans="2:83" x14ac:dyDescent="0.2">
      <c r="B37" s="2586" t="str">
        <f>IF(Présentation!$E$2="Français",'TRAD-Calculs Péremption FA'!D37,IF(Présentation!$E$2="Anglais",'TRAD-Calculs Péremption FA'!F37,""))</f>
        <v>Calculs avec DLU 6</v>
      </c>
      <c r="D37" s="2554" t="s">
        <v>387</v>
      </c>
      <c r="E37" s="2554"/>
      <c r="F37" s="2554" t="s">
        <v>1399</v>
      </c>
      <c r="G37" s="2554"/>
      <c r="H37" s="2554"/>
      <c r="I37" s="2554"/>
      <c r="J37" s="2554"/>
      <c r="K37" s="2554"/>
      <c r="L37" s="2554"/>
      <c r="M37" s="2554"/>
      <c r="N37" s="2579"/>
      <c r="O37" s="2580"/>
      <c r="P37" s="2580"/>
      <c r="Q37" s="2580"/>
      <c r="R37" s="2581"/>
      <c r="S37" s="2581"/>
      <c r="T37" s="2573"/>
      <c r="U37" s="2580"/>
      <c r="V37" s="2581"/>
      <c r="W37" s="2582"/>
      <c r="X37" s="2582"/>
      <c r="Y37" s="2581"/>
      <c r="Z37" s="2583"/>
      <c r="AA37" s="2573"/>
      <c r="AB37" s="2580"/>
      <c r="AC37" s="2580"/>
      <c r="AD37" s="2580"/>
      <c r="AE37" s="2580"/>
      <c r="AF37" s="2580"/>
      <c r="AG37" s="2581"/>
      <c r="AH37" s="2583"/>
      <c r="AI37" s="2573"/>
      <c r="AJ37" s="2580"/>
      <c r="AK37" s="2580"/>
      <c r="AL37" s="2580"/>
      <c r="AM37" s="2580"/>
      <c r="AN37" s="2580"/>
      <c r="AO37" s="2580"/>
      <c r="AP37" s="2583"/>
      <c r="AQ37" s="2573"/>
      <c r="AR37" s="2580"/>
      <c r="AS37" s="2580"/>
      <c r="AT37" s="2580"/>
      <c r="AU37" s="2580"/>
      <c r="AV37" s="2580"/>
      <c r="AW37" s="2580"/>
      <c r="AX37" s="2583"/>
      <c r="AY37" s="2573"/>
      <c r="AZ37" s="2580"/>
      <c r="BA37" s="2580"/>
      <c r="BB37" s="2580"/>
      <c r="BC37" s="2580"/>
      <c r="BD37" s="2580"/>
      <c r="BE37" s="2580"/>
      <c r="BF37" s="2583"/>
      <c r="BG37" s="2573"/>
      <c r="BH37" s="2580"/>
      <c r="BI37" s="2580"/>
      <c r="BJ37" s="2580"/>
      <c r="BK37" s="2580"/>
      <c r="BL37" s="2580"/>
      <c r="BM37" s="2580"/>
      <c r="BN37" s="2583"/>
      <c r="BO37" s="2573"/>
      <c r="BP37" s="2580"/>
      <c r="BQ37" s="2580"/>
      <c r="BR37" s="2580"/>
      <c r="BS37" s="2580"/>
      <c r="BT37" s="2580"/>
      <c r="BU37" s="2580"/>
      <c r="BV37" s="2583"/>
      <c r="BW37" s="2580"/>
      <c r="BX37" s="2580"/>
      <c r="BY37" s="2573"/>
      <c r="BZ37" s="2573"/>
      <c r="CA37" s="2580"/>
      <c r="CB37" s="2580"/>
      <c r="CC37" s="2580"/>
      <c r="CD37" s="2580"/>
      <c r="CE37" s="2580"/>
    </row>
    <row r="38" spans="2:83" x14ac:dyDescent="0.2">
      <c r="B38" s="2586" t="str">
        <f>IF(Présentation!$E$2="Français",'TRAD-Calculs Péremption FA'!D38,IF(Présentation!$E$2="Anglais",'TRAD-Calculs Péremption FA'!F38,""))</f>
        <v>Calculs avec DLU 7</v>
      </c>
      <c r="D38" s="2554" t="s">
        <v>388</v>
      </c>
      <c r="E38" s="2554"/>
      <c r="F38" s="2554" t="s">
        <v>1400</v>
      </c>
      <c r="G38" s="2554"/>
      <c r="H38" s="2554"/>
      <c r="I38" s="2554"/>
      <c r="J38" s="2554"/>
      <c r="K38" s="2554"/>
      <c r="L38" s="2554"/>
      <c r="M38" s="2554"/>
      <c r="N38" s="2579"/>
      <c r="O38" s="2580"/>
      <c r="P38" s="2580"/>
      <c r="Q38" s="2580"/>
      <c r="R38" s="2581"/>
      <c r="S38" s="2581"/>
      <c r="T38" s="2573"/>
      <c r="U38" s="2580"/>
      <c r="V38" s="2581"/>
      <c r="W38" s="2582"/>
      <c r="X38" s="2582"/>
      <c r="Y38" s="2581"/>
      <c r="Z38" s="2583"/>
      <c r="AA38" s="2573"/>
      <c r="AB38" s="2580"/>
      <c r="AC38" s="2580"/>
      <c r="AD38" s="2580"/>
      <c r="AE38" s="2580"/>
      <c r="AF38" s="2580"/>
      <c r="AG38" s="2581"/>
      <c r="AH38" s="2583"/>
      <c r="AI38" s="2573"/>
      <c r="AJ38" s="2580"/>
      <c r="AK38" s="2580"/>
      <c r="AL38" s="2580"/>
      <c r="AM38" s="2580"/>
      <c r="AN38" s="2580"/>
      <c r="AO38" s="2580"/>
      <c r="AP38" s="2583"/>
      <c r="AQ38" s="2573"/>
      <c r="AR38" s="2580"/>
      <c r="AS38" s="2580"/>
      <c r="AT38" s="2580"/>
      <c r="AU38" s="2580"/>
      <c r="AV38" s="2580"/>
      <c r="AW38" s="2580"/>
      <c r="AX38" s="2583"/>
      <c r="AY38" s="2573"/>
      <c r="AZ38" s="2580"/>
      <c r="BA38" s="2580"/>
      <c r="BB38" s="2580"/>
      <c r="BC38" s="2580"/>
      <c r="BD38" s="2580"/>
      <c r="BE38" s="2580"/>
      <c r="BF38" s="2583"/>
      <c r="BG38" s="2573"/>
      <c r="BH38" s="2580"/>
      <c r="BI38" s="2580"/>
      <c r="BJ38" s="2580"/>
      <c r="BK38" s="2580"/>
      <c r="BL38" s="2580"/>
      <c r="BM38" s="2580"/>
      <c r="BN38" s="2583"/>
      <c r="BO38" s="2573"/>
      <c r="BP38" s="2580"/>
      <c r="BQ38" s="2580"/>
      <c r="BR38" s="2580"/>
      <c r="BS38" s="2580"/>
      <c r="BT38" s="2580"/>
      <c r="BU38" s="2580"/>
      <c r="BV38" s="2583"/>
      <c r="BW38" s="2580"/>
      <c r="BX38" s="2580"/>
      <c r="BY38" s="2573"/>
      <c r="BZ38" s="2573"/>
      <c r="CA38" s="2580"/>
      <c r="CB38" s="2580"/>
      <c r="CC38" s="2580"/>
      <c r="CD38" s="2580"/>
      <c r="CE38" s="2580"/>
    </row>
    <row r="39" spans="2:83" ht="38.25" x14ac:dyDescent="0.2">
      <c r="B39" s="2586" t="str">
        <f>IF(Présentation!$E$2="Français",'TRAD-Calculs Péremption FA'!D39,IF(Présentation!$E$2="Anglais",'TRAD-Calculs Péremption FA'!F39,""))</f>
        <v xml:space="preserve">Estimation Quantités totales nécessaires pour la période date estimation - DLU2 (nb de boites) </v>
      </c>
      <c r="D39" s="2554" t="s">
        <v>712</v>
      </c>
      <c r="E39" s="2554"/>
      <c r="F39" s="2554" t="s">
        <v>1401</v>
      </c>
      <c r="G39" s="2554"/>
      <c r="H39" s="2554"/>
      <c r="I39" s="2554"/>
      <c r="J39" s="2554"/>
      <c r="K39" s="2554"/>
      <c r="L39" s="2554"/>
      <c r="M39" s="2554"/>
      <c r="N39" s="2579"/>
      <c r="O39" s="2580"/>
      <c r="P39" s="2580"/>
      <c r="Q39" s="2580"/>
      <c r="R39" s="2581"/>
      <c r="S39" s="2581"/>
      <c r="T39" s="2573"/>
      <c r="U39" s="2580"/>
      <c r="V39" s="2581"/>
      <c r="W39" s="2582"/>
      <c r="X39" s="2582"/>
      <c r="Y39" s="2581"/>
      <c r="Z39" s="2583"/>
      <c r="AA39" s="2573"/>
      <c r="AB39" s="2580"/>
      <c r="AC39" s="2580"/>
      <c r="AD39" s="2580"/>
      <c r="AE39" s="2580"/>
      <c r="AF39" s="2580"/>
      <c r="AG39" s="2581"/>
      <c r="AH39" s="2583"/>
      <c r="AI39" s="2573"/>
      <c r="AJ39" s="2580"/>
      <c r="AK39" s="2580"/>
      <c r="AL39" s="2580"/>
      <c r="AM39" s="2580"/>
      <c r="AN39" s="2580"/>
      <c r="AO39" s="2580"/>
      <c r="AP39" s="2583"/>
      <c r="AQ39" s="2573"/>
      <c r="AR39" s="2580"/>
      <c r="AS39" s="2580"/>
      <c r="AT39" s="2580"/>
      <c r="AU39" s="2580"/>
      <c r="AV39" s="2580"/>
      <c r="AW39" s="2580"/>
      <c r="AX39" s="2583"/>
      <c r="AY39" s="2573"/>
      <c r="AZ39" s="2580"/>
      <c r="BA39" s="2580"/>
      <c r="BB39" s="2580"/>
      <c r="BC39" s="2580"/>
      <c r="BD39" s="2580"/>
      <c r="BE39" s="2580"/>
      <c r="BF39" s="2583"/>
      <c r="BG39" s="2573"/>
      <c r="BH39" s="2580"/>
      <c r="BI39" s="2580"/>
      <c r="BJ39" s="2580"/>
      <c r="BK39" s="2580"/>
      <c r="BL39" s="2580"/>
      <c r="BM39" s="2580"/>
      <c r="BN39" s="2583"/>
      <c r="BO39" s="2573"/>
      <c r="BP39" s="2580"/>
      <c r="BQ39" s="2580"/>
      <c r="BR39" s="2580"/>
      <c r="BS39" s="2580"/>
      <c r="BT39" s="2580"/>
      <c r="BU39" s="2580"/>
      <c r="BV39" s="2583"/>
      <c r="BW39" s="2580"/>
      <c r="BX39" s="2580"/>
      <c r="BY39" s="2573"/>
      <c r="BZ39" s="2573"/>
      <c r="CA39" s="2580"/>
      <c r="CB39" s="2580"/>
      <c r="CC39" s="2580"/>
      <c r="CD39" s="2580"/>
      <c r="CE39" s="2580"/>
    </row>
    <row r="40" spans="2:83" x14ac:dyDescent="0.2">
      <c r="B40" s="2586" t="str">
        <f>IF(Présentation!$E$2="Français",'TRAD-Calculs Péremption FA'!D40,IF(Présentation!$E$2="Anglais",'TRAD-Calculs Péremption FA'!F40,""))</f>
        <v>Date de péremption  3</v>
      </c>
      <c r="D40" s="2554" t="s">
        <v>1406</v>
      </c>
      <c r="E40" s="2554"/>
      <c r="F40" s="2554" t="s">
        <v>1407</v>
      </c>
      <c r="G40" s="2554"/>
      <c r="H40" s="2554"/>
      <c r="I40" s="2554"/>
      <c r="J40" s="2554"/>
      <c r="K40" s="2554"/>
      <c r="L40" s="2554"/>
      <c r="M40" s="2554"/>
      <c r="N40" s="2579"/>
      <c r="O40" s="2580"/>
      <c r="P40" s="2580"/>
      <c r="Q40" s="2580"/>
      <c r="R40" s="2581"/>
      <c r="S40" s="2581"/>
      <c r="T40" s="2573"/>
      <c r="U40" s="2580"/>
      <c r="V40" s="2581"/>
      <c r="W40" s="2582"/>
      <c r="X40" s="2582"/>
      <c r="Y40" s="2581"/>
      <c r="Z40" s="2583"/>
      <c r="AA40" s="2573"/>
      <c r="AB40" s="2580"/>
      <c r="AC40" s="2580"/>
      <c r="AD40" s="2580"/>
      <c r="AE40" s="2580"/>
      <c r="AF40" s="2580"/>
      <c r="AG40" s="2581"/>
      <c r="AH40" s="2583"/>
      <c r="AI40" s="2573"/>
      <c r="AJ40" s="2580"/>
      <c r="AK40" s="2580"/>
      <c r="AL40" s="2580"/>
      <c r="AM40" s="2580"/>
      <c r="AN40" s="2580"/>
      <c r="AO40" s="2580"/>
      <c r="AP40" s="2583"/>
      <c r="AQ40" s="2573"/>
      <c r="AR40" s="2580"/>
      <c r="AS40" s="2580"/>
      <c r="AT40" s="2580"/>
      <c r="AU40" s="2580"/>
      <c r="AV40" s="2580"/>
      <c r="AW40" s="2580"/>
      <c r="AX40" s="2583"/>
      <c r="AY40" s="2573"/>
      <c r="AZ40" s="2580"/>
      <c r="BA40" s="2580"/>
      <c r="BB40" s="2580"/>
      <c r="BC40" s="2580"/>
      <c r="BD40" s="2580"/>
      <c r="BE40" s="2580"/>
      <c r="BF40" s="2583"/>
      <c r="BG40" s="2573"/>
      <c r="BH40" s="2580"/>
      <c r="BI40" s="2580"/>
      <c r="BJ40" s="2580"/>
      <c r="BK40" s="2580"/>
      <c r="BL40" s="2580"/>
      <c r="BM40" s="2580"/>
      <c r="BN40" s="2583"/>
      <c r="BO40" s="2573"/>
      <c r="BP40" s="2580"/>
      <c r="BQ40" s="2580"/>
      <c r="BR40" s="2580"/>
      <c r="BS40" s="2580"/>
      <c r="BT40" s="2580"/>
      <c r="BU40" s="2580"/>
      <c r="BV40" s="2583"/>
      <c r="BW40" s="2580"/>
      <c r="BX40" s="2580"/>
      <c r="BY40" s="2573"/>
      <c r="BZ40" s="2573"/>
      <c r="CA40" s="2580"/>
      <c r="CB40" s="2580"/>
      <c r="CC40" s="2580"/>
      <c r="CD40" s="2580"/>
      <c r="CE40" s="2580"/>
    </row>
    <row r="41" spans="2:83" x14ac:dyDescent="0.2">
      <c r="B41" s="2586" t="str">
        <f>IF(Présentation!$E$2="Français",'TRAD-Calculs Péremption FA'!D41,IF(Présentation!$E$2="Anglais",'TRAD-Calculs Péremption FA'!F41,""))</f>
        <v>Quantités (nb de boites) 3</v>
      </c>
      <c r="D41" s="2554" t="s">
        <v>994</v>
      </c>
      <c r="E41" s="2554"/>
      <c r="F41" s="2554" t="s">
        <v>1408</v>
      </c>
      <c r="G41" s="2554"/>
      <c r="H41" s="2554"/>
      <c r="I41" s="2554"/>
      <c r="J41" s="2554"/>
      <c r="K41" s="2554"/>
      <c r="L41" s="2554"/>
      <c r="M41" s="2554"/>
      <c r="N41" s="2579"/>
      <c r="O41" s="2580"/>
      <c r="P41" s="2580"/>
      <c r="Q41" s="2580"/>
      <c r="R41" s="2581"/>
      <c r="S41" s="2581"/>
      <c r="T41" s="2573"/>
      <c r="U41" s="2580"/>
      <c r="V41" s="2581"/>
      <c r="W41" s="2582"/>
      <c r="X41" s="2582"/>
      <c r="Y41" s="2581"/>
      <c r="Z41" s="2583"/>
      <c r="AA41" s="2573"/>
      <c r="AB41" s="2580"/>
      <c r="AC41" s="2580"/>
      <c r="AD41" s="2580"/>
      <c r="AE41" s="2580"/>
      <c r="AF41" s="2580"/>
      <c r="AG41" s="2581"/>
      <c r="AH41" s="2583"/>
      <c r="AI41" s="2573"/>
      <c r="AJ41" s="2580"/>
      <c r="AK41" s="2580"/>
      <c r="AL41" s="2580"/>
      <c r="AM41" s="2580"/>
      <c r="AN41" s="2580"/>
      <c r="AO41" s="2580"/>
      <c r="AP41" s="2583"/>
      <c r="AQ41" s="2573"/>
      <c r="AR41" s="2580"/>
      <c r="AS41" s="2580"/>
      <c r="AT41" s="2580"/>
      <c r="AU41" s="2580"/>
      <c r="AV41" s="2580"/>
      <c r="AW41" s="2580"/>
      <c r="AX41" s="2583"/>
      <c r="AY41" s="2573"/>
      <c r="AZ41" s="2580"/>
      <c r="BA41" s="2580"/>
      <c r="BB41" s="2580"/>
      <c r="BC41" s="2580"/>
      <c r="BD41" s="2580"/>
      <c r="BE41" s="2580"/>
      <c r="BF41" s="2583"/>
      <c r="BG41" s="2573"/>
      <c r="BH41" s="2580"/>
      <c r="BI41" s="2580"/>
      <c r="BJ41" s="2580"/>
      <c r="BK41" s="2580"/>
      <c r="BL41" s="2580"/>
      <c r="BM41" s="2580"/>
      <c r="BN41" s="2583"/>
      <c r="BO41" s="2573"/>
      <c r="BP41" s="2580"/>
      <c r="BQ41" s="2580"/>
      <c r="BR41" s="2580"/>
      <c r="BS41" s="2580"/>
      <c r="BT41" s="2580"/>
      <c r="BU41" s="2580"/>
      <c r="BV41" s="2583"/>
      <c r="BW41" s="2580"/>
      <c r="BX41" s="2580"/>
      <c r="BY41" s="2573"/>
      <c r="BZ41" s="2573"/>
      <c r="CA41" s="2580"/>
      <c r="CB41" s="2580"/>
      <c r="CC41" s="2580"/>
      <c r="CD41" s="2580"/>
      <c r="CE41" s="2580"/>
    </row>
    <row r="42" spans="2:83" ht="38.25" x14ac:dyDescent="0.2">
      <c r="B42" s="2586" t="str">
        <f>IF(Présentation!$E$2="Français",'TRAD-Calculs Péremption FA'!D42,IF(Présentation!$E$2="Anglais",'TRAD-Calculs Péremption FA'!F42,""))</f>
        <v>Quantités totales des lots 1,2&amp;3 non périmés à la date de péremption précédente</v>
      </c>
      <c r="D42" s="2554" t="s">
        <v>707</v>
      </c>
      <c r="E42" s="2554"/>
      <c r="F42" s="2554" t="s">
        <v>1409</v>
      </c>
      <c r="G42" s="2554"/>
      <c r="H42" s="2554"/>
      <c r="I42" s="2554"/>
      <c r="J42" s="2554"/>
      <c r="K42" s="2554"/>
      <c r="L42" s="2554"/>
      <c r="M42" s="2554"/>
      <c r="N42" s="2579"/>
      <c r="O42" s="2580"/>
      <c r="P42" s="2580"/>
      <c r="Q42" s="2580"/>
      <c r="R42" s="2581"/>
      <c r="S42" s="2581"/>
      <c r="T42" s="2573"/>
      <c r="U42" s="2580"/>
      <c r="V42" s="2581"/>
      <c r="W42" s="2582"/>
      <c r="X42" s="2582"/>
      <c r="Y42" s="2581"/>
      <c r="Z42" s="2583"/>
      <c r="AA42" s="2573"/>
      <c r="AB42" s="2580"/>
      <c r="AC42" s="2580"/>
      <c r="AD42" s="2580"/>
      <c r="AE42" s="2580"/>
      <c r="AF42" s="2580"/>
      <c r="AG42" s="2581"/>
      <c r="AH42" s="2583"/>
      <c r="AI42" s="2573"/>
      <c r="AJ42" s="2580"/>
      <c r="AK42" s="2580"/>
      <c r="AL42" s="2580"/>
      <c r="AM42" s="2580"/>
      <c r="AN42" s="2580"/>
      <c r="AO42" s="2580"/>
      <c r="AP42" s="2583"/>
      <c r="AQ42" s="2573"/>
      <c r="AR42" s="2580"/>
      <c r="AS42" s="2580"/>
      <c r="AT42" s="2580"/>
      <c r="AU42" s="2580"/>
      <c r="AV42" s="2580"/>
      <c r="AW42" s="2580"/>
      <c r="AX42" s="2583"/>
      <c r="AY42" s="2573"/>
      <c r="AZ42" s="2580"/>
      <c r="BA42" s="2580"/>
      <c r="BB42" s="2580"/>
      <c r="BC42" s="2580"/>
      <c r="BD42" s="2580"/>
      <c r="BE42" s="2580"/>
      <c r="BF42" s="2583"/>
      <c r="BG42" s="2573"/>
      <c r="BH42" s="2580"/>
      <c r="BI42" s="2580"/>
      <c r="BJ42" s="2580"/>
      <c r="BK42" s="2580"/>
      <c r="BL42" s="2580"/>
      <c r="BM42" s="2580"/>
      <c r="BN42" s="2583"/>
      <c r="BO42" s="2573"/>
      <c r="BP42" s="2580"/>
      <c r="BQ42" s="2580"/>
      <c r="BR42" s="2580"/>
      <c r="BS42" s="2580"/>
      <c r="BT42" s="2580"/>
      <c r="BU42" s="2580"/>
      <c r="BV42" s="2583"/>
      <c r="BW42" s="2580"/>
      <c r="BX42" s="2580"/>
      <c r="BY42" s="2573"/>
      <c r="BZ42" s="2573"/>
      <c r="CA42" s="2580"/>
      <c r="CB42" s="2580"/>
      <c r="CC42" s="2580"/>
      <c r="CD42" s="2580"/>
      <c r="CE42" s="2580"/>
    </row>
    <row r="43" spans="2:83" ht="38.25" x14ac:dyDescent="0.2">
      <c r="B43" s="2586" t="str">
        <f>IF(Présentation!$E$2="Français",'TRAD-Calculs Péremption FA'!D43,IF(Présentation!$E$2="Anglais",'TRAD-Calculs Péremption FA'!F43,""))</f>
        <v xml:space="preserve">Estimation Quantités totales nécessaires pour la période date estimation - DLU3 (nb de boites) </v>
      </c>
      <c r="D43" s="2554" t="s">
        <v>713</v>
      </c>
      <c r="E43" s="2554"/>
      <c r="F43" s="2554" t="s">
        <v>1402</v>
      </c>
      <c r="G43" s="2554"/>
      <c r="H43" s="2554"/>
      <c r="I43" s="2554"/>
      <c r="J43" s="2554"/>
      <c r="K43" s="2554"/>
      <c r="L43" s="2554"/>
      <c r="M43" s="2554"/>
      <c r="N43" s="2579"/>
      <c r="O43" s="2580"/>
      <c r="P43" s="2580"/>
      <c r="Q43" s="2580"/>
      <c r="R43" s="2581"/>
      <c r="S43" s="2581"/>
      <c r="T43" s="2573"/>
      <c r="U43" s="2580"/>
      <c r="V43" s="2581"/>
      <c r="W43" s="2582"/>
      <c r="X43" s="2582"/>
      <c r="Y43" s="2581"/>
      <c r="Z43" s="2583"/>
      <c r="AA43" s="2573"/>
      <c r="AB43" s="2580"/>
      <c r="AC43" s="2580"/>
      <c r="AD43" s="2580"/>
      <c r="AE43" s="2580"/>
      <c r="AF43" s="2580"/>
      <c r="AG43" s="2581"/>
      <c r="AH43" s="2583"/>
      <c r="AI43" s="2573"/>
      <c r="AJ43" s="2580"/>
      <c r="AK43" s="2580"/>
      <c r="AL43" s="2580"/>
      <c r="AM43" s="2580"/>
      <c r="AN43" s="2580"/>
      <c r="AO43" s="2580"/>
      <c r="AP43" s="2583"/>
      <c r="AQ43" s="2573"/>
      <c r="AR43" s="2580"/>
      <c r="AS43" s="2580"/>
      <c r="AT43" s="2580"/>
      <c r="AU43" s="2580"/>
      <c r="AV43" s="2580"/>
      <c r="AW43" s="2580"/>
      <c r="AX43" s="2583"/>
      <c r="AY43" s="2573"/>
      <c r="AZ43" s="2580"/>
      <c r="BA43" s="2580"/>
      <c r="BB43" s="2580"/>
      <c r="BC43" s="2580"/>
      <c r="BD43" s="2580"/>
      <c r="BE43" s="2580"/>
      <c r="BF43" s="2583"/>
      <c r="BG43" s="2573"/>
      <c r="BH43" s="2580"/>
      <c r="BI43" s="2580"/>
      <c r="BJ43" s="2580"/>
      <c r="BK43" s="2580"/>
      <c r="BL43" s="2580"/>
      <c r="BM43" s="2580"/>
      <c r="BN43" s="2583"/>
      <c r="BO43" s="2573"/>
      <c r="BP43" s="2580"/>
      <c r="BQ43" s="2580"/>
      <c r="BR43" s="2580"/>
      <c r="BS43" s="2580"/>
      <c r="BT43" s="2580"/>
      <c r="BU43" s="2580"/>
      <c r="BV43" s="2583"/>
      <c r="BW43" s="2580"/>
      <c r="BX43" s="2580"/>
      <c r="BY43" s="2573"/>
      <c r="BZ43" s="2573"/>
      <c r="CA43" s="2580"/>
      <c r="CB43" s="2580"/>
      <c r="CC43" s="2580"/>
      <c r="CD43" s="2580"/>
      <c r="CE43" s="2580"/>
    </row>
    <row r="44" spans="2:83" x14ac:dyDescent="0.2">
      <c r="B44" s="2586" t="str">
        <f>IF(Présentation!$E$2="Français",'TRAD-Calculs Péremption FA'!D44,IF(Présentation!$E$2="Anglais",'TRAD-Calculs Péremption FA'!F44,""))</f>
        <v>Date de péremption 4</v>
      </c>
      <c r="D44" s="2554" t="s">
        <v>1410</v>
      </c>
      <c r="E44" s="2554"/>
      <c r="F44" s="2554" t="s">
        <v>1411</v>
      </c>
      <c r="G44" s="2554"/>
      <c r="H44" s="2554"/>
      <c r="I44" s="2554"/>
      <c r="J44" s="2554"/>
      <c r="K44" s="2554"/>
      <c r="L44" s="2554"/>
      <c r="M44" s="2554"/>
      <c r="N44" s="2579"/>
      <c r="O44" s="2580"/>
      <c r="P44" s="2580"/>
      <c r="Q44" s="2580"/>
      <c r="R44" s="2581"/>
      <c r="S44" s="2581"/>
      <c r="T44" s="2573"/>
      <c r="U44" s="2580"/>
      <c r="V44" s="2581"/>
      <c r="W44" s="2582"/>
      <c r="X44" s="2582"/>
      <c r="Y44" s="2581"/>
      <c r="Z44" s="2583"/>
      <c r="AA44" s="2573"/>
      <c r="AB44" s="2580"/>
      <c r="AC44" s="2580"/>
      <c r="AD44" s="2580"/>
      <c r="AE44" s="2580"/>
      <c r="AF44" s="2580"/>
      <c r="AG44" s="2581"/>
      <c r="AH44" s="2583"/>
      <c r="AI44" s="2573"/>
      <c r="AJ44" s="2580"/>
      <c r="AK44" s="2580"/>
      <c r="AL44" s="2580"/>
      <c r="AM44" s="2580"/>
      <c r="AN44" s="2580"/>
      <c r="AO44" s="2580"/>
      <c r="AP44" s="2583"/>
      <c r="AQ44" s="2573"/>
      <c r="AR44" s="2580"/>
      <c r="AS44" s="2580"/>
      <c r="AT44" s="2580"/>
      <c r="AU44" s="2580"/>
      <c r="AV44" s="2580"/>
      <c r="AW44" s="2580"/>
      <c r="AX44" s="2583"/>
      <c r="AY44" s="2573"/>
      <c r="AZ44" s="2580"/>
      <c r="BA44" s="2580"/>
      <c r="BB44" s="2580"/>
      <c r="BC44" s="2580"/>
      <c r="BD44" s="2580"/>
      <c r="BE44" s="2580"/>
      <c r="BF44" s="2583"/>
      <c r="BG44" s="2573"/>
      <c r="BH44" s="2580"/>
      <c r="BI44" s="2580"/>
      <c r="BJ44" s="2580"/>
      <c r="BK44" s="2580"/>
      <c r="BL44" s="2580"/>
      <c r="BM44" s="2580"/>
      <c r="BN44" s="2583"/>
      <c r="BO44" s="2573"/>
      <c r="BP44" s="2580"/>
      <c r="BQ44" s="2580"/>
      <c r="BR44" s="2580"/>
      <c r="BS44" s="2580"/>
      <c r="BT44" s="2580"/>
      <c r="BU44" s="2580"/>
      <c r="BV44" s="2583"/>
      <c r="BW44" s="2580"/>
      <c r="BX44" s="2580"/>
      <c r="BY44" s="2573"/>
      <c r="BZ44" s="2573"/>
      <c r="CA44" s="2580"/>
      <c r="CB44" s="2580"/>
      <c r="CC44" s="2580"/>
      <c r="CD44" s="2580"/>
      <c r="CE44" s="2580"/>
    </row>
    <row r="45" spans="2:83" x14ac:dyDescent="0.2">
      <c r="B45" s="2586" t="str">
        <f>IF(Présentation!$E$2="Français",'TRAD-Calculs Péremption FA'!D45,IF(Présentation!$E$2="Anglais",'TRAD-Calculs Péremption FA'!F45,""))</f>
        <v>Quantités (nb de boites) 4</v>
      </c>
      <c r="D45" s="2554" t="s">
        <v>998</v>
      </c>
      <c r="E45" s="2554"/>
      <c r="F45" s="2554" t="s">
        <v>1412</v>
      </c>
      <c r="G45" s="2554"/>
      <c r="H45" s="2554"/>
      <c r="I45" s="2554"/>
      <c r="J45" s="2554"/>
      <c r="K45" s="2554"/>
      <c r="L45" s="2554"/>
      <c r="M45" s="2554"/>
      <c r="N45" s="2554"/>
      <c r="O45" s="2555"/>
      <c r="P45" s="2555"/>
      <c r="Q45" s="2555"/>
      <c r="R45" s="2554"/>
      <c r="S45" s="2554"/>
      <c r="T45" s="2554"/>
      <c r="U45" s="2554"/>
      <c r="V45" s="2554"/>
      <c r="W45" s="2554"/>
      <c r="X45" s="2554"/>
      <c r="Y45" s="2554"/>
      <c r="Z45" s="2554"/>
      <c r="AA45" s="2554"/>
      <c r="AB45" s="2554"/>
      <c r="AC45" s="2554"/>
      <c r="AD45" s="2554"/>
      <c r="AE45" s="2554"/>
      <c r="AF45" s="2554"/>
      <c r="AG45" s="2554"/>
      <c r="AH45" s="2554"/>
      <c r="AI45" s="2554"/>
      <c r="AJ45" s="2554"/>
      <c r="AK45" s="2554"/>
      <c r="AL45" s="2554"/>
      <c r="AM45" s="2554"/>
      <c r="AN45" s="2554"/>
      <c r="AO45" s="2554"/>
      <c r="AP45" s="2554"/>
      <c r="AQ45" s="2554"/>
      <c r="AR45" s="2554"/>
      <c r="AS45" s="2554"/>
      <c r="AT45" s="2554"/>
      <c r="AU45" s="2554"/>
      <c r="AV45" s="2554"/>
      <c r="AW45" s="2554"/>
      <c r="AX45" s="2554"/>
      <c r="AY45" s="2554"/>
      <c r="AZ45" s="2554"/>
      <c r="BA45" s="2554"/>
      <c r="BB45" s="2554"/>
      <c r="BC45" s="2554"/>
      <c r="BD45" s="2554"/>
      <c r="BE45" s="2554"/>
      <c r="BF45" s="2554"/>
      <c r="BG45" s="2554"/>
      <c r="BH45" s="2554"/>
      <c r="BI45" s="2554"/>
      <c r="BJ45" s="2554"/>
      <c r="BK45" s="2554"/>
      <c r="BL45" s="2554"/>
      <c r="BM45" s="2554"/>
      <c r="BN45" s="2554"/>
      <c r="BO45" s="2554"/>
      <c r="BP45" s="2554"/>
      <c r="BQ45" s="2554"/>
      <c r="BR45" s="2554"/>
      <c r="BS45" s="2554"/>
      <c r="BT45" s="2554"/>
      <c r="BU45" s="2554"/>
      <c r="BV45" s="2554"/>
      <c r="BW45" s="2554"/>
      <c r="BX45" s="2554"/>
      <c r="BY45" s="2573"/>
      <c r="BZ45" s="2573"/>
      <c r="CA45" s="2554"/>
      <c r="CB45" s="2554"/>
      <c r="CC45" s="2554"/>
      <c r="CD45" s="2554"/>
      <c r="CE45" s="2554"/>
    </row>
    <row r="46" spans="2:83" ht="204" x14ac:dyDescent="0.2">
      <c r="B46" s="2586" t="str">
        <f>IF(Présentation!$E$2="Français",'TRAD-Calculs Péremption FA'!D46,IF(Présentation!$E$2="Anglais",'TRAD-Calculs Péremption FA'!F46,""))</f>
        <v>Quantités totales des lots 1,2,3&amp;4 non périmés à la date de péremption précédente</v>
      </c>
      <c r="D46" s="2554" t="s">
        <v>708</v>
      </c>
      <c r="E46" s="2554" t="s">
        <v>78</v>
      </c>
      <c r="F46" s="2554" t="s">
        <v>1413</v>
      </c>
      <c r="G46" s="2554"/>
      <c r="H46" s="2554"/>
      <c r="I46" s="2554"/>
      <c r="J46" s="2554"/>
      <c r="K46" s="2554"/>
      <c r="L46" s="2554"/>
      <c r="M46" s="2554"/>
      <c r="N46" s="2579"/>
      <c r="O46" s="2580"/>
      <c r="P46" s="2580"/>
      <c r="Q46" s="2580"/>
      <c r="R46" s="2580"/>
      <c r="S46" s="2580"/>
      <c r="T46" s="2573"/>
      <c r="U46" s="2580"/>
      <c r="V46" s="2581"/>
      <c r="W46" s="2582"/>
      <c r="X46" s="2582"/>
      <c r="Y46" s="2581"/>
      <c r="Z46" s="2583"/>
      <c r="AA46" s="2573"/>
      <c r="AB46" s="2580"/>
      <c r="AC46" s="2580"/>
      <c r="AD46" s="2580"/>
      <c r="AE46" s="2580"/>
      <c r="AF46" s="2580"/>
      <c r="AG46" s="2581"/>
      <c r="AH46" s="2583"/>
      <c r="AI46" s="2573"/>
      <c r="AJ46" s="2580"/>
      <c r="AK46" s="2581"/>
      <c r="AL46" s="2581"/>
      <c r="AM46" s="2581"/>
      <c r="AN46" s="2580"/>
      <c r="AO46" s="2581"/>
      <c r="AP46" s="2583"/>
      <c r="AQ46" s="2573"/>
      <c r="AR46" s="2580"/>
      <c r="AS46" s="2580"/>
      <c r="AT46" s="2580"/>
      <c r="AU46" s="2580"/>
      <c r="AV46" s="2580"/>
      <c r="AW46" s="2580"/>
      <c r="AX46" s="2583"/>
      <c r="AY46" s="2573"/>
      <c r="AZ46" s="2580"/>
      <c r="BA46" s="2580"/>
      <c r="BB46" s="2580"/>
      <c r="BC46" s="2580"/>
      <c r="BD46" s="2580"/>
      <c r="BE46" s="2580"/>
      <c r="BF46" s="2583"/>
      <c r="BG46" s="2573"/>
      <c r="BH46" s="2580"/>
      <c r="BI46" s="2580"/>
      <c r="BJ46" s="2580"/>
      <c r="BK46" s="2580"/>
      <c r="BL46" s="2580"/>
      <c r="BM46" s="2580"/>
      <c r="BN46" s="2583"/>
      <c r="BO46" s="2573"/>
      <c r="BP46" s="2580"/>
      <c r="BQ46" s="2580"/>
      <c r="BR46" s="2580"/>
      <c r="BS46" s="2580"/>
      <c r="BT46" s="2580"/>
      <c r="BU46" s="2580"/>
      <c r="BV46" s="2583"/>
      <c r="BW46" s="2580"/>
      <c r="BX46" s="2580"/>
      <c r="BY46" s="2573"/>
      <c r="BZ46" s="2573"/>
      <c r="CA46" s="2580"/>
      <c r="CB46" s="2580"/>
      <c r="CC46" s="2580"/>
      <c r="CD46" s="2580"/>
      <c r="CE46" s="2580"/>
    </row>
    <row r="47" spans="2:83" ht="38.25" x14ac:dyDescent="0.2">
      <c r="B47" s="2586" t="str">
        <f>IF(Présentation!$E$2="Français",'TRAD-Calculs Péremption FA'!D47,IF(Présentation!$E$2="Anglais",'TRAD-Calculs Péremption FA'!F47,""))</f>
        <v xml:space="preserve">Estimation Quantités totales nécessaires pour la période date estimation - DLU4 (nb de boites) </v>
      </c>
      <c r="D47" s="2554" t="s">
        <v>714</v>
      </c>
      <c r="E47" s="2554"/>
      <c r="F47" s="2554" t="s">
        <v>1403</v>
      </c>
      <c r="G47" s="2554"/>
      <c r="H47" s="2554"/>
      <c r="I47" s="2554"/>
      <c r="J47" s="2554"/>
      <c r="K47" s="2554"/>
      <c r="L47" s="2554"/>
      <c r="M47" s="2554"/>
      <c r="N47" s="2579"/>
      <c r="O47" s="2580"/>
      <c r="P47" s="2580"/>
      <c r="Q47" s="2580"/>
      <c r="R47" s="2580"/>
      <c r="S47" s="2580"/>
      <c r="T47" s="2573"/>
      <c r="U47" s="2580"/>
      <c r="V47" s="2581"/>
      <c r="W47" s="2582"/>
      <c r="X47" s="2582"/>
      <c r="Y47" s="2581"/>
      <c r="Z47" s="2583"/>
      <c r="AA47" s="2573"/>
      <c r="AB47" s="2580"/>
      <c r="AC47" s="2580"/>
      <c r="AD47" s="2580"/>
      <c r="AE47" s="2580"/>
      <c r="AF47" s="2580"/>
      <c r="AG47" s="2581"/>
      <c r="AH47" s="2583"/>
      <c r="AI47" s="2573"/>
      <c r="AJ47" s="2580"/>
      <c r="AK47" s="2580"/>
      <c r="AL47" s="2580"/>
      <c r="AM47" s="2580"/>
      <c r="AN47" s="2580"/>
      <c r="AO47" s="2580"/>
      <c r="AP47" s="2583"/>
      <c r="AQ47" s="2573"/>
      <c r="AR47" s="2580"/>
      <c r="AS47" s="2580"/>
      <c r="AT47" s="2580"/>
      <c r="AU47" s="2580"/>
      <c r="AV47" s="2580"/>
      <c r="AW47" s="2580"/>
      <c r="AX47" s="2583"/>
      <c r="AY47" s="2573"/>
      <c r="AZ47" s="2580"/>
      <c r="BA47" s="2580"/>
      <c r="BB47" s="2580"/>
      <c r="BC47" s="2580"/>
      <c r="BD47" s="2580"/>
      <c r="BE47" s="2580"/>
      <c r="BF47" s="2583"/>
      <c r="BG47" s="2573"/>
      <c r="BH47" s="2580"/>
      <c r="BI47" s="2580"/>
      <c r="BJ47" s="2580"/>
      <c r="BK47" s="2580"/>
      <c r="BL47" s="2580"/>
      <c r="BM47" s="2580"/>
      <c r="BN47" s="2583"/>
      <c r="BO47" s="2573"/>
      <c r="BP47" s="2580"/>
      <c r="BQ47" s="2580"/>
      <c r="BR47" s="2580"/>
      <c r="BS47" s="2580"/>
      <c r="BT47" s="2580"/>
      <c r="BU47" s="2580"/>
      <c r="BV47" s="2583"/>
      <c r="BW47" s="2580"/>
      <c r="BX47" s="2580"/>
      <c r="BY47" s="2573"/>
      <c r="BZ47" s="2573"/>
      <c r="CA47" s="2580"/>
      <c r="CB47" s="2580"/>
      <c r="CC47" s="2580"/>
      <c r="CD47" s="2580"/>
      <c r="CE47" s="2580"/>
    </row>
    <row r="48" spans="2:83" x14ac:dyDescent="0.2">
      <c r="B48" s="2586" t="str">
        <f>IF(Présentation!$E$2="Français",'TRAD-Calculs Péremption FA'!D48,IF(Présentation!$E$2="Anglais",'TRAD-Calculs Péremption FA'!F48,""))</f>
        <v>Quantités (nb de boites) 5</v>
      </c>
      <c r="D48" s="2554" t="s">
        <v>997</v>
      </c>
      <c r="E48" s="2554"/>
      <c r="F48" s="2554" t="s">
        <v>1414</v>
      </c>
      <c r="G48" s="2554"/>
      <c r="H48" s="2554"/>
      <c r="I48" s="2554"/>
      <c r="J48" s="2554"/>
      <c r="K48" s="2554"/>
      <c r="L48" s="2554"/>
      <c r="M48" s="2554"/>
      <c r="N48" s="2579"/>
      <c r="O48" s="2580"/>
      <c r="P48" s="2580"/>
      <c r="Q48" s="2580"/>
      <c r="R48" s="2580"/>
      <c r="S48" s="2580"/>
      <c r="T48" s="2573"/>
      <c r="U48" s="2580"/>
      <c r="V48" s="2581"/>
      <c r="W48" s="2582"/>
      <c r="X48" s="2582"/>
      <c r="Y48" s="2581"/>
      <c r="Z48" s="2583"/>
      <c r="AA48" s="2573"/>
      <c r="AB48" s="2580"/>
      <c r="AC48" s="2580"/>
      <c r="AD48" s="2580"/>
      <c r="AE48" s="2580"/>
      <c r="AF48" s="2580"/>
      <c r="AG48" s="2581"/>
      <c r="AH48" s="2583"/>
      <c r="AI48" s="2573"/>
      <c r="AJ48" s="2580"/>
      <c r="AK48" s="2580"/>
      <c r="AL48" s="2580"/>
      <c r="AM48" s="2580"/>
      <c r="AN48" s="2580"/>
      <c r="AO48" s="2580"/>
      <c r="AP48" s="2583"/>
      <c r="AQ48" s="2573"/>
      <c r="AR48" s="2580"/>
      <c r="AS48" s="2580"/>
      <c r="AT48" s="2580"/>
      <c r="AU48" s="2580"/>
      <c r="AV48" s="2580"/>
      <c r="AW48" s="2580"/>
      <c r="AX48" s="2583"/>
      <c r="AY48" s="2573"/>
      <c r="AZ48" s="2580"/>
      <c r="BA48" s="2580"/>
      <c r="BB48" s="2580"/>
      <c r="BC48" s="2580"/>
      <c r="BD48" s="2580"/>
      <c r="BE48" s="2580"/>
      <c r="BF48" s="2583"/>
      <c r="BG48" s="2573"/>
      <c r="BH48" s="2580"/>
      <c r="BI48" s="2580"/>
      <c r="BJ48" s="2580"/>
      <c r="BK48" s="2580"/>
      <c r="BL48" s="2580"/>
      <c r="BM48" s="2580"/>
      <c r="BN48" s="2583"/>
      <c r="BO48" s="2573"/>
      <c r="BP48" s="2580"/>
      <c r="BQ48" s="2580"/>
      <c r="BR48" s="2580"/>
      <c r="BS48" s="2580"/>
      <c r="BT48" s="2580"/>
      <c r="BU48" s="2580"/>
      <c r="BV48" s="2583"/>
      <c r="BW48" s="2580"/>
      <c r="BX48" s="2580"/>
      <c r="BY48" s="2573"/>
      <c r="BZ48" s="2573"/>
      <c r="CA48" s="2580"/>
      <c r="CB48" s="2580"/>
      <c r="CC48" s="2580"/>
      <c r="CD48" s="2580"/>
      <c r="CE48" s="2580"/>
    </row>
    <row r="49" spans="2:83" ht="38.25" x14ac:dyDescent="0.2">
      <c r="B49" s="2586" t="str">
        <f>IF(Présentation!$E$2="Français",'TRAD-Calculs Péremption FA'!D49,IF(Présentation!$E$2="Anglais",'TRAD-Calculs Péremption FA'!F49,""))</f>
        <v>Quantités totales des lots 1,2,3,4&amp;5 non périmés à la date de péremption précédente</v>
      </c>
      <c r="D49" s="2554" t="s">
        <v>709</v>
      </c>
      <c r="E49" s="2554"/>
      <c r="F49" s="2558" t="s">
        <v>1437</v>
      </c>
      <c r="G49" s="2554"/>
      <c r="H49" s="2554"/>
      <c r="I49" s="2554"/>
      <c r="J49" s="2554"/>
      <c r="K49" s="2554"/>
      <c r="L49" s="2554"/>
      <c r="M49" s="2554"/>
      <c r="N49" s="2579"/>
      <c r="O49" s="2580"/>
      <c r="P49" s="2580"/>
      <c r="Q49" s="2580"/>
      <c r="R49" s="2580"/>
      <c r="S49" s="2580"/>
      <c r="T49" s="2573"/>
      <c r="U49" s="2580"/>
      <c r="V49" s="2581"/>
      <c r="W49" s="2582"/>
      <c r="X49" s="2582"/>
      <c r="Y49" s="2581"/>
      <c r="Z49" s="2583"/>
      <c r="AA49" s="2573"/>
      <c r="AB49" s="2580"/>
      <c r="AC49" s="2580"/>
      <c r="AD49" s="2580"/>
      <c r="AE49" s="2580"/>
      <c r="AF49" s="2580"/>
      <c r="AG49" s="2581"/>
      <c r="AH49" s="2583"/>
      <c r="AI49" s="2573"/>
      <c r="AJ49" s="2580"/>
      <c r="AK49" s="2580"/>
      <c r="AL49" s="2580"/>
      <c r="AM49" s="2580"/>
      <c r="AN49" s="2580"/>
      <c r="AO49" s="2580"/>
      <c r="AP49" s="2583"/>
      <c r="AQ49" s="2573"/>
      <c r="AR49" s="2580"/>
      <c r="AS49" s="2580"/>
      <c r="AT49" s="2580"/>
      <c r="AU49" s="2580"/>
      <c r="AV49" s="2580"/>
      <c r="AW49" s="2580"/>
      <c r="AX49" s="2583"/>
      <c r="AY49" s="2573"/>
      <c r="AZ49" s="2580"/>
      <c r="BA49" s="2580"/>
      <c r="BB49" s="2580"/>
      <c r="BC49" s="2580"/>
      <c r="BD49" s="2580"/>
      <c r="BE49" s="2580"/>
      <c r="BF49" s="2583"/>
      <c r="BG49" s="2573"/>
      <c r="BH49" s="2580"/>
      <c r="BI49" s="2580"/>
      <c r="BJ49" s="2580"/>
      <c r="BK49" s="2580"/>
      <c r="BL49" s="2580"/>
      <c r="BM49" s="2580"/>
      <c r="BN49" s="2583"/>
      <c r="BO49" s="2573"/>
      <c r="BP49" s="2580"/>
      <c r="BQ49" s="2580"/>
      <c r="BR49" s="2580"/>
      <c r="BS49" s="2580"/>
      <c r="BT49" s="2580"/>
      <c r="BU49" s="2580"/>
      <c r="BV49" s="2583"/>
      <c r="BW49" s="2580"/>
      <c r="BX49" s="2580"/>
      <c r="BY49" s="2573"/>
      <c r="BZ49" s="2573"/>
      <c r="CA49" s="2580"/>
      <c r="CB49" s="2580"/>
      <c r="CC49" s="2580"/>
      <c r="CD49" s="2580"/>
      <c r="CE49" s="2580"/>
    </row>
    <row r="50" spans="2:83" x14ac:dyDescent="0.2">
      <c r="B50" s="2586" t="str">
        <f>IF(Présentation!$E$2="Français",'TRAD-Calculs Péremption FA'!D50,IF(Présentation!$E$2="Anglais",'TRAD-Calculs Péremption FA'!F50,""))</f>
        <v>Date de péremption 5</v>
      </c>
      <c r="D50" s="2554" t="s">
        <v>1415</v>
      </c>
      <c r="E50" s="2554"/>
      <c r="F50" s="2554" t="s">
        <v>1416</v>
      </c>
      <c r="G50" s="2554"/>
      <c r="H50" s="2554"/>
      <c r="I50" s="2554"/>
      <c r="J50" s="2554"/>
      <c r="K50" s="2554"/>
      <c r="L50" s="2554"/>
      <c r="M50" s="2554"/>
      <c r="N50" s="2579"/>
      <c r="O50" s="2580"/>
      <c r="P50" s="2580"/>
      <c r="Q50" s="2580"/>
      <c r="R50" s="2580"/>
      <c r="S50" s="2580"/>
      <c r="T50" s="2573"/>
      <c r="U50" s="2580"/>
      <c r="V50" s="2581"/>
      <c r="W50" s="2582"/>
      <c r="X50" s="2582"/>
      <c r="Y50" s="2581"/>
      <c r="Z50" s="2583"/>
      <c r="AA50" s="2573"/>
      <c r="AB50" s="2580"/>
      <c r="AC50" s="2580"/>
      <c r="AD50" s="2580"/>
      <c r="AE50" s="2580"/>
      <c r="AF50" s="2580"/>
      <c r="AG50" s="2581"/>
      <c r="AH50" s="2583"/>
      <c r="AI50" s="2573"/>
      <c r="AJ50" s="2580"/>
      <c r="AK50" s="2580"/>
      <c r="AL50" s="2580"/>
      <c r="AM50" s="2580"/>
      <c r="AN50" s="2580"/>
      <c r="AO50" s="2580"/>
      <c r="AP50" s="2583"/>
      <c r="AQ50" s="2573"/>
      <c r="AR50" s="2580"/>
      <c r="AS50" s="2580"/>
      <c r="AT50" s="2580"/>
      <c r="AU50" s="2580"/>
      <c r="AV50" s="2580"/>
      <c r="AW50" s="2580"/>
      <c r="AX50" s="2583"/>
      <c r="AY50" s="2573"/>
      <c r="AZ50" s="2580"/>
      <c r="BA50" s="2580"/>
      <c r="BB50" s="2580"/>
      <c r="BC50" s="2580"/>
      <c r="BD50" s="2580"/>
      <c r="BE50" s="2580"/>
      <c r="BF50" s="2583"/>
      <c r="BG50" s="2573"/>
      <c r="BH50" s="2580"/>
      <c r="BI50" s="2580"/>
      <c r="BJ50" s="2580"/>
      <c r="BK50" s="2580"/>
      <c r="BL50" s="2580"/>
      <c r="BM50" s="2580"/>
      <c r="BN50" s="2583"/>
      <c r="BO50" s="2573"/>
      <c r="BP50" s="2580"/>
      <c r="BQ50" s="2580"/>
      <c r="BR50" s="2580"/>
      <c r="BS50" s="2580"/>
      <c r="BT50" s="2580"/>
      <c r="BU50" s="2580"/>
      <c r="BV50" s="2583"/>
      <c r="BW50" s="2580"/>
      <c r="BX50" s="2580"/>
      <c r="BY50" s="2573"/>
      <c r="BZ50" s="2573"/>
      <c r="CA50" s="2580"/>
      <c r="CB50" s="2580"/>
      <c r="CC50" s="2580"/>
      <c r="CD50" s="2580"/>
      <c r="CE50" s="2580"/>
    </row>
    <row r="51" spans="2:83" ht="25.5" x14ac:dyDescent="0.2">
      <c r="B51" s="2586" t="str">
        <f>IF(Présentation!$E$2="Français",'TRAD-Calculs Péremption FA'!D51,IF(Présentation!$E$2="Anglais",'TRAD-Calculs Péremption FA'!F51,""))</f>
        <v>Durée d'utilisation (date péremption-date estimation) (nb de mois 30 j)</v>
      </c>
      <c r="D51" s="2554" t="s">
        <v>718</v>
      </c>
      <c r="E51" s="2554"/>
      <c r="F51" s="2554" t="s">
        <v>1404</v>
      </c>
      <c r="G51" s="2554"/>
      <c r="H51" s="2554"/>
      <c r="I51" s="2554"/>
      <c r="J51" s="2554"/>
      <c r="K51" s="2554"/>
      <c r="L51" s="2554"/>
      <c r="M51" s="2554"/>
      <c r="N51" s="2579"/>
      <c r="O51" s="2580"/>
      <c r="P51" s="2580"/>
      <c r="Q51" s="2580"/>
      <c r="R51" s="2580"/>
      <c r="S51" s="2580"/>
      <c r="T51" s="2573"/>
      <c r="U51" s="2580"/>
      <c r="V51" s="2581"/>
      <c r="W51" s="2582"/>
      <c r="X51" s="2582"/>
      <c r="Y51" s="2581"/>
      <c r="Z51" s="2583"/>
      <c r="AA51" s="2573"/>
      <c r="AB51" s="2580"/>
      <c r="AC51" s="2580"/>
      <c r="AD51" s="2580"/>
      <c r="AE51" s="2580"/>
      <c r="AF51" s="2580"/>
      <c r="AG51" s="2581"/>
      <c r="AH51" s="2583"/>
      <c r="AI51" s="2573"/>
      <c r="AJ51" s="2580"/>
      <c r="AK51" s="2580"/>
      <c r="AL51" s="2580"/>
      <c r="AM51" s="2580"/>
      <c r="AN51" s="2580"/>
      <c r="AO51" s="2580"/>
      <c r="AP51" s="2583"/>
      <c r="AQ51" s="2573"/>
      <c r="AR51" s="2580"/>
      <c r="AS51" s="2580"/>
      <c r="AT51" s="2580"/>
      <c r="AU51" s="2580"/>
      <c r="AV51" s="2580"/>
      <c r="AW51" s="2580"/>
      <c r="AX51" s="2583"/>
      <c r="AY51" s="2573"/>
      <c r="AZ51" s="2580"/>
      <c r="BA51" s="2580"/>
      <c r="BB51" s="2580"/>
      <c r="BC51" s="2580"/>
      <c r="BD51" s="2580"/>
      <c r="BE51" s="2580"/>
      <c r="BF51" s="2583"/>
      <c r="BG51" s="2573"/>
      <c r="BH51" s="2580"/>
      <c r="BI51" s="2580"/>
      <c r="BJ51" s="2580"/>
      <c r="BK51" s="2580"/>
      <c r="BL51" s="2580"/>
      <c r="BM51" s="2580"/>
      <c r="BN51" s="2583"/>
      <c r="BO51" s="2573"/>
      <c r="BP51" s="2580"/>
      <c r="BQ51" s="2580"/>
      <c r="BR51" s="2580"/>
      <c r="BS51" s="2580"/>
      <c r="BT51" s="2580"/>
      <c r="BU51" s="2580"/>
      <c r="BV51" s="2583"/>
      <c r="BW51" s="2580"/>
      <c r="BX51" s="2580"/>
      <c r="BY51" s="2573"/>
      <c r="BZ51" s="2573"/>
      <c r="CA51" s="2580"/>
      <c r="CB51" s="2580"/>
      <c r="CC51" s="2580"/>
      <c r="CD51" s="2580"/>
      <c r="CE51" s="2580"/>
    </row>
    <row r="52" spans="2:83" ht="38.25" x14ac:dyDescent="0.2">
      <c r="B52" s="2586" t="str">
        <f>IF(Présentation!$E$2="Français",'TRAD-Calculs Péremption FA'!D52,IF(Présentation!$E$2="Anglais",'TRAD-Calculs Péremption FA'!F52,""))</f>
        <v xml:space="preserve">Estimation Quantités totales nécessaires pour la période date estimation - DLU5 (nb de boites) </v>
      </c>
      <c r="D52" s="2554" t="s">
        <v>715</v>
      </c>
      <c r="E52" s="2554"/>
      <c r="F52" s="2554" t="s">
        <v>1418</v>
      </c>
      <c r="G52" s="2554"/>
      <c r="H52" s="2554"/>
      <c r="I52" s="2554"/>
      <c r="J52" s="2554"/>
      <c r="K52" s="2554"/>
      <c r="L52" s="2554"/>
      <c r="M52" s="2554"/>
      <c r="N52" s="2579"/>
      <c r="O52" s="2580"/>
      <c r="P52" s="2580"/>
      <c r="Q52" s="2580"/>
      <c r="R52" s="2580"/>
      <c r="S52" s="2580"/>
      <c r="T52" s="2573"/>
      <c r="U52" s="2580"/>
      <c r="V52" s="2581"/>
      <c r="W52" s="2582"/>
      <c r="X52" s="2582"/>
      <c r="Y52" s="2581"/>
      <c r="Z52" s="2583"/>
      <c r="AA52" s="2573"/>
      <c r="AB52" s="2580"/>
      <c r="AC52" s="2580"/>
      <c r="AD52" s="2580"/>
      <c r="AE52" s="2580"/>
      <c r="AF52" s="2580"/>
      <c r="AG52" s="2581"/>
      <c r="AH52" s="2583"/>
      <c r="AI52" s="2573"/>
      <c r="AJ52" s="2580"/>
      <c r="AK52" s="2580"/>
      <c r="AL52" s="2580"/>
      <c r="AM52" s="2580"/>
      <c r="AN52" s="2580"/>
      <c r="AO52" s="2580"/>
      <c r="AP52" s="2583"/>
      <c r="AQ52" s="2573"/>
      <c r="AR52" s="2580"/>
      <c r="AS52" s="2580"/>
      <c r="AT52" s="2580"/>
      <c r="AU52" s="2580"/>
      <c r="AV52" s="2580"/>
      <c r="AW52" s="2580"/>
      <c r="AX52" s="2583"/>
      <c r="AY52" s="2573"/>
      <c r="AZ52" s="2580"/>
      <c r="BA52" s="2580"/>
      <c r="BB52" s="2580"/>
      <c r="BC52" s="2580"/>
      <c r="BD52" s="2580"/>
      <c r="BE52" s="2580"/>
      <c r="BF52" s="2583"/>
      <c r="BG52" s="2573"/>
      <c r="BH52" s="2580"/>
      <c r="BI52" s="2580"/>
      <c r="BJ52" s="2580"/>
      <c r="BK52" s="2580"/>
      <c r="BL52" s="2580"/>
      <c r="BM52" s="2580"/>
      <c r="BN52" s="2583"/>
      <c r="BO52" s="2573"/>
      <c r="BP52" s="2580"/>
      <c r="BQ52" s="2580"/>
      <c r="BR52" s="2580"/>
      <c r="BS52" s="2580"/>
      <c r="BT52" s="2580"/>
      <c r="BU52" s="2580"/>
      <c r="BV52" s="2583"/>
      <c r="BW52" s="2580"/>
      <c r="BX52" s="2580"/>
      <c r="BY52" s="2573"/>
      <c r="BZ52" s="2573"/>
      <c r="CA52" s="2580"/>
      <c r="CB52" s="2580"/>
      <c r="CC52" s="2580"/>
      <c r="CD52" s="2580"/>
      <c r="CE52" s="2580"/>
    </row>
    <row r="53" spans="2:83" x14ac:dyDescent="0.2">
      <c r="B53" s="2586" t="str">
        <f>IF(Présentation!$E$2="Français",'TRAD-Calculs Péremption FA'!D53,IF(Présentation!$E$2="Anglais",'TRAD-Calculs Péremption FA'!F53,""))</f>
        <v>Quantités (nb de boites) 6</v>
      </c>
      <c r="D53" s="2554" t="s">
        <v>1004</v>
      </c>
      <c r="E53" s="2554"/>
      <c r="F53" s="2554" t="s">
        <v>1419</v>
      </c>
      <c r="G53" s="2554"/>
      <c r="H53" s="2554"/>
      <c r="I53" s="2554"/>
      <c r="J53" s="2554"/>
      <c r="K53" s="2554"/>
      <c r="L53" s="2554"/>
      <c r="M53" s="2554"/>
      <c r="N53" s="2579"/>
      <c r="O53" s="2580"/>
      <c r="P53" s="2580"/>
      <c r="Q53" s="2580"/>
      <c r="R53" s="2580"/>
      <c r="S53" s="2580"/>
      <c r="T53" s="2573"/>
      <c r="U53" s="2580"/>
      <c r="V53" s="2581"/>
      <c r="W53" s="2582"/>
      <c r="X53" s="2582"/>
      <c r="Y53" s="2581"/>
      <c r="Z53" s="2583"/>
      <c r="AA53" s="2573"/>
      <c r="AB53" s="2580"/>
      <c r="AC53" s="2580"/>
      <c r="AD53" s="2580"/>
      <c r="AE53" s="2580"/>
      <c r="AF53" s="2580"/>
      <c r="AG53" s="2581"/>
      <c r="AH53" s="2583"/>
      <c r="AI53" s="2573"/>
      <c r="AJ53" s="2580"/>
      <c r="AK53" s="2580"/>
      <c r="AL53" s="2580"/>
      <c r="AM53" s="2580"/>
      <c r="AN53" s="2580"/>
      <c r="AO53" s="2580"/>
      <c r="AP53" s="2583"/>
      <c r="AQ53" s="2573"/>
      <c r="AR53" s="2580"/>
      <c r="AS53" s="2580"/>
      <c r="AT53" s="2580"/>
      <c r="AU53" s="2580"/>
      <c r="AV53" s="2580"/>
      <c r="AW53" s="2580"/>
      <c r="AX53" s="2583"/>
      <c r="AY53" s="2573"/>
      <c r="AZ53" s="2580"/>
      <c r="BA53" s="2580"/>
      <c r="BB53" s="2580"/>
      <c r="BC53" s="2580"/>
      <c r="BD53" s="2580"/>
      <c r="BE53" s="2580"/>
      <c r="BF53" s="2583"/>
      <c r="BG53" s="2573"/>
      <c r="BH53" s="2580"/>
      <c r="BI53" s="2580"/>
      <c r="BJ53" s="2580"/>
      <c r="BK53" s="2580"/>
      <c r="BL53" s="2580"/>
      <c r="BM53" s="2580"/>
      <c r="BN53" s="2583"/>
      <c r="BO53" s="2573"/>
      <c r="BP53" s="2580"/>
      <c r="BQ53" s="2580"/>
      <c r="BR53" s="2580"/>
      <c r="BS53" s="2580"/>
      <c r="BT53" s="2580"/>
      <c r="BU53" s="2580"/>
      <c r="BV53" s="2583"/>
      <c r="BW53" s="2580"/>
      <c r="BX53" s="2580"/>
      <c r="BY53" s="2573"/>
      <c r="BZ53" s="2573"/>
      <c r="CA53" s="2580"/>
      <c r="CB53" s="2580"/>
      <c r="CC53" s="2580"/>
      <c r="CD53" s="2580"/>
      <c r="CE53" s="2580"/>
    </row>
    <row r="54" spans="2:83" x14ac:dyDescent="0.2">
      <c r="B54" s="2586" t="str">
        <f>IF(Présentation!$E$2="Français",'TRAD-Calculs Péremption FA'!D54,IF(Présentation!$E$2="Anglais",'TRAD-Calculs Péremption FA'!F54,""))</f>
        <v>Date de péremption 6</v>
      </c>
      <c r="C54" s="2591"/>
      <c r="D54" s="2554" t="s">
        <v>1000</v>
      </c>
      <c r="F54" s="2558" t="s">
        <v>1426</v>
      </c>
      <c r="G54" s="2554"/>
      <c r="H54" s="2554"/>
      <c r="I54" s="2554"/>
      <c r="J54" s="2554"/>
      <c r="K54" s="2554"/>
      <c r="O54" s="2554"/>
      <c r="Q54" s="2554"/>
      <c r="R54" s="2554"/>
      <c r="S54" s="2554"/>
    </row>
    <row r="55" spans="2:83" ht="38.25" x14ac:dyDescent="0.2">
      <c r="B55" s="2586" t="str">
        <f>IF(Présentation!$E$2="Français",'TRAD-Calculs Péremption FA'!D55,IF(Présentation!$E$2="Anglais",'TRAD-Calculs Péremption FA'!F55,""))</f>
        <v>Quantités totales des lots 1,2,3,4,5&amp;6 non périmés à la date de péremption précédente</v>
      </c>
      <c r="D55" s="2554" t="s">
        <v>710</v>
      </c>
      <c r="F55" s="2558" t="s">
        <v>1429</v>
      </c>
    </row>
    <row r="56" spans="2:83" ht="38.25" x14ac:dyDescent="0.2">
      <c r="B56" s="2586" t="str">
        <f>IF(Présentation!$E$2="Français",'TRAD-Calculs Péremption FA'!D56,IF(Présentation!$E$2="Anglais",'TRAD-Calculs Péremption FA'!F56,""))</f>
        <v xml:space="preserve">Estimation Quantités totales nécessaires pour la période date estimation - DLU6 (nb de boites) </v>
      </c>
      <c r="D56" s="2554" t="s">
        <v>716</v>
      </c>
      <c r="F56" s="2558" t="s">
        <v>1420</v>
      </c>
    </row>
    <row r="57" spans="2:83" x14ac:dyDescent="0.2">
      <c r="B57" s="2586" t="str">
        <f>IF(Présentation!$E$2="Français",'TRAD-Calculs Péremption FA'!D57,IF(Présentation!$E$2="Anglais",'TRAD-Calculs Péremption FA'!F57,""))</f>
        <v>Quantités  (nb de boites) 7</v>
      </c>
      <c r="D57" s="2554" t="s">
        <v>1417</v>
      </c>
      <c r="F57" s="2558" t="s">
        <v>1421</v>
      </c>
    </row>
    <row r="58" spans="2:83" ht="38.25" x14ac:dyDescent="0.2">
      <c r="B58" s="2586" t="str">
        <f>IF(Présentation!$E$2="Français",'TRAD-Calculs Péremption FA'!D58,IF(Présentation!$E$2="Anglais",'TRAD-Calculs Péremption FA'!F58,""))</f>
        <v>Quantités totales des lots 1,2,3,4,5,6&amp;7 non périmés à la date de péremption précédente</v>
      </c>
      <c r="D58" s="2554" t="s">
        <v>711</v>
      </c>
      <c r="F58" s="2558" t="s">
        <v>1438</v>
      </c>
    </row>
    <row r="59" spans="2:83" x14ac:dyDescent="0.2">
      <c r="B59" s="2586" t="str">
        <f>IF(Présentation!$E$2="Français",'TRAD-Calculs Péremption FA'!D59,IF(Présentation!$E$2="Anglais",'TRAD-Calculs Péremption FA'!F59,""))</f>
        <v>Date de péremption 7</v>
      </c>
      <c r="D59" s="2554" t="s">
        <v>1005</v>
      </c>
      <c r="F59" s="2558" t="s">
        <v>1427</v>
      </c>
    </row>
    <row r="60" spans="2:83" ht="38.25" x14ac:dyDescent="0.2">
      <c r="B60" s="2586" t="str">
        <f>IF(Présentation!$E$2="Français",'TRAD-Calculs Péremption FA'!D60,IF(Présentation!$E$2="Anglais",'TRAD-Calculs Péremption FA'!F60,""))</f>
        <v xml:space="preserve">Estimation Quantités totales nécessaires pour la période date estimation - DLU7 (nb de boites) </v>
      </c>
      <c r="D60" s="2554" t="s">
        <v>717</v>
      </c>
      <c r="F60" s="2558" t="s">
        <v>1422</v>
      </c>
    </row>
    <row r="61" spans="2:83" ht="25.5" x14ac:dyDescent="0.2">
      <c r="B61" s="2586" t="str">
        <f>IF(Présentation!$E$2="Français",'TRAD-Calculs Péremption FA'!D61,IF(Présentation!$E$2="Anglais",'TRAD-Calculs Péremption FA'!F61,""))</f>
        <v>Quantités totales UTILISABLES (nb cdt) selon paramétrage</v>
      </c>
      <c r="D61" s="2554" t="s">
        <v>726</v>
      </c>
      <c r="F61" s="2558" t="s">
        <v>1430</v>
      </c>
    </row>
    <row r="62" spans="2:83" x14ac:dyDescent="0.2">
      <c r="B62" s="2586" t="str">
        <f>IF(Présentation!$E$2="Français",'TRAD-Calculs Péremption FA'!D62,IF(Présentation!$E$2="Anglais",'TRAD-Calculs Péremption FA'!F62,""))</f>
        <v>Pertes totales (nb cdt)</v>
      </c>
      <c r="D62" s="2554" t="s">
        <v>725</v>
      </c>
      <c r="F62" s="2558" t="s">
        <v>1443</v>
      </c>
    </row>
    <row r="63" spans="2:83" ht="25.5" x14ac:dyDescent="0.2">
      <c r="B63" s="2586" t="str">
        <f>IF(Présentation!$E$2="Français",'TRAD-Calculs Péremption FA'!D63,IF(Présentation!$E$2="Anglais",'TRAD-Calculs Péremption FA'!F63,""))</f>
        <v>Date de péremption maximale stock utilisable</v>
      </c>
      <c r="D63" s="2573" t="s">
        <v>705</v>
      </c>
      <c r="F63" s="2558" t="s">
        <v>1428</v>
      </c>
    </row>
    <row r="64" spans="2:83" ht="38.25" x14ac:dyDescent="0.2">
      <c r="B64" s="2586" t="str">
        <f>IF(Présentation!$E$2="Français",'TRAD-Calculs Péremption FA'!D64,IF(Présentation!$E$2="Anglais",'TRAD-Calculs Péremption FA'!F64,""))</f>
        <v>DLU Max ou calculée à partir de durée d'utilisation (date péremption-date estimation) saisie</v>
      </c>
      <c r="D64" s="2573" t="s">
        <v>719</v>
      </c>
      <c r="F64" s="2558" t="s">
        <v>1431</v>
      </c>
    </row>
    <row r="65" spans="2:6" x14ac:dyDescent="0.2">
      <c r="B65" s="2586" t="str">
        <f>IF(Présentation!$E$2="Français",'TRAD-Calculs Péremption FA'!D65,IF(Présentation!$E$2="Anglais",'TRAD-Calculs Péremption FA'!F65,""))</f>
        <v>Jour</v>
      </c>
      <c r="D65" s="2554" t="s">
        <v>448</v>
      </c>
      <c r="F65" s="2558" t="s">
        <v>1423</v>
      </c>
    </row>
    <row r="66" spans="2:6" x14ac:dyDescent="0.2">
      <c r="B66" s="2586" t="str">
        <f>IF(Présentation!$E$2="Français",'TRAD-Calculs Péremption FA'!D66,IF(Présentation!$E$2="Anglais",'TRAD-Calculs Péremption FA'!F66,""))</f>
        <v>Mois</v>
      </c>
      <c r="D66" s="2554" t="s">
        <v>449</v>
      </c>
      <c r="F66" s="2558" t="s">
        <v>1424</v>
      </c>
    </row>
    <row r="67" spans="2:6" x14ac:dyDescent="0.2">
      <c r="B67" s="2586" t="str">
        <f>IF(Présentation!$E$2="Français",'TRAD-Calculs Péremption FA'!D67,IF(Présentation!$E$2="Anglais",'TRAD-Calculs Péremption FA'!F67,""))</f>
        <v>Année</v>
      </c>
      <c r="D67" s="2554" t="s">
        <v>450</v>
      </c>
      <c r="F67" s="2558" t="s">
        <v>1425</v>
      </c>
    </row>
    <row r="68" spans="2:6" x14ac:dyDescent="0.2">
      <c r="B68" s="2586" t="str">
        <f>IF(Présentation!$E$2="Français",'TRAD-Calculs Péremption FA'!D68,IF(Présentation!$E$2="Anglais",'TRAD-Calculs Péremption FA'!F68,""))</f>
        <v>Délai Aujdhui / DLU MAX (Mois)</v>
      </c>
      <c r="D68" s="2554" t="s">
        <v>452</v>
      </c>
      <c r="F68" s="2558" t="s">
        <v>1432</v>
      </c>
    </row>
    <row r="69" spans="2:6" x14ac:dyDescent="0.2">
      <c r="B69" s="2586" t="str">
        <f>IF(Présentation!$E$2="Français",'TRAD-Calculs Péremption FA'!D69,IF(Présentation!$E$2="Anglais",'TRAD-Calculs Péremption FA'!F69,""))</f>
        <v>Indicateur si durée de vie max</v>
      </c>
      <c r="D69" s="2554" t="s">
        <v>704</v>
      </c>
      <c r="F69" s="2558" t="s">
        <v>1433</v>
      </c>
    </row>
    <row r="70" spans="2:6" x14ac:dyDescent="0.2">
      <c r="B70" s="2586" t="str">
        <f>IF(Présentation!$E$2="Français",'TRAD-Calculs Péremption FA'!D70,IF(Présentation!$E$2="Anglais",'TRAD-Calculs Péremption FA'!F70,""))</f>
        <v>Solutions buvables</v>
      </c>
      <c r="D70" s="2554" t="s">
        <v>78</v>
      </c>
      <c r="F70" s="2554" t="s">
        <v>1251</v>
      </c>
    </row>
    <row r="71" spans="2:6" x14ac:dyDescent="0.2">
      <c r="B71" s="2586" t="str">
        <f>IF(Présentation!$E$2="Français",'TRAD-Calculs Péremption FA'!D71,IF(Présentation!$E$2="Anglais",'TRAD-Calculs Péremption FA'!F71,""))</f>
        <v>sol buv</v>
      </c>
      <c r="D71" s="2554" t="s">
        <v>79</v>
      </c>
      <c r="F71" s="2554" t="s">
        <v>1442</v>
      </c>
    </row>
    <row r="72" spans="2:6" x14ac:dyDescent="0.2">
      <c r="B72" s="2586" t="str">
        <f>IF(Présentation!$E$2="Français",'TRAD-Calculs Péremption FA'!D72,IF(Présentation!$E$2="Anglais",'TRAD-Calculs Péremption FA'!F72,""))</f>
        <v>Poudre buvable</v>
      </c>
      <c r="D72" s="2554" t="s">
        <v>1441</v>
      </c>
      <c r="F72" s="2554" t="s">
        <v>1336</v>
      </c>
    </row>
    <row r="73" spans="2:6" ht="25.5" x14ac:dyDescent="0.2">
      <c r="B73" s="2586" t="str">
        <f>IF(Présentation!$E$2="Français",'TRAD-Calculs Péremption FA'!D73,IF(Présentation!$E$2="Anglais",'TRAD-Calculs Péremption FA'!F73,""))</f>
        <v>ATTENTION SURSTOCK et risque de péremption</v>
      </c>
      <c r="D73" s="2554" t="s">
        <v>1748</v>
      </c>
      <c r="E73" s="2554"/>
      <c r="F73" s="2554" t="s">
        <v>1749</v>
      </c>
    </row>
    <row r="74" spans="2:6" x14ac:dyDescent="0.2">
      <c r="B74" s="2586" t="str">
        <f>IF(Présentation!$E$2="Français",'TRAD-Calculs Péremption FA'!D74,IF(Présentation!$E$2="Anglais",'TRAD-Calculs Péremption FA'!F74,""))</f>
        <v>Durée de vie max</v>
      </c>
      <c r="D74" s="2558" t="s">
        <v>1750</v>
      </c>
      <c r="F74" s="2558" t="s">
        <v>1751</v>
      </c>
    </row>
    <row r="75" spans="2:6" ht="25.5" x14ac:dyDescent="0.2">
      <c r="B75" s="2586" t="str">
        <f>IF(Présentation!$E$2="Français",'TRAD-Calculs Péremption FA'!D75,IF(Présentation!$E$2="Anglais",'TRAD-Calculs Péremption FA'!F75,""))</f>
        <v>ATTENTION le détail ne correspond pas à votre stock total</v>
      </c>
      <c r="D75" s="2558" t="s">
        <v>1752</v>
      </c>
      <c r="F75" s="2558" t="s">
        <v>1754</v>
      </c>
    </row>
    <row r="76" spans="2:6" ht="25.5" x14ac:dyDescent="0.2">
      <c r="B76" s="2586" t="str">
        <f>IF(Présentation!$E$2="Français",'TRAD-Calculs Péremption FA'!D76,IF(Présentation!$E$2="Anglais",'TRAD-Calculs Péremption FA'!F76,""))</f>
        <v>Produit en stock mais sans aucune utilisation</v>
      </c>
      <c r="D76" s="2558" t="s">
        <v>1753</v>
      </c>
      <c r="F76" s="2558" t="s">
        <v>1755</v>
      </c>
    </row>
  </sheetData>
  <sheetProtection sheet="1" objects="1" scenarios="1"/>
  <conditionalFormatting sqref="G54:K54 O54 Q54:S54 D55:D68 E8:E39 BP4:BV4 BO4:BO5 BH4:BN4 BG4:BG5 AZ4:BF4 AY4:AY5 AR4:AX4 AQ4:AQ5 AJ4:AP4 AI4:AI5 BX2:CE5 D40:CE48 U4:Z4 AB4:AH4 R4:S5 AA4:AA5 R2:BW3 BW4:BW5 G7:G39 I7:CE39 H8:H39 E6 P2:Q5 E2:O4 F6:F39 D50:CE53 E49 G49:CE49 D2:D39 C54:D54 D73:F73 D16:F16">
    <cfRule type="cellIs" dxfId="138" priority="48" stopIfTrue="1" operator="equal">
      <formula>"ND"</formula>
    </cfRule>
    <cfRule type="cellIs" dxfId="137" priority="49" operator="equal">
      <formula>"ATTENTION le détail ne correspond pas à votre stock total"</formula>
    </cfRule>
    <cfRule type="cellIs" dxfId="136" priority="50" operator="equal">
      <formula>"ATTENTION SURSTOCK et risque de péremption"</formula>
    </cfRule>
    <cfRule type="cellIs" dxfId="135" priority="51" operator="equal">
      <formula>"OK"</formula>
    </cfRule>
  </conditionalFormatting>
  <conditionalFormatting sqref="BV46:BV53 BT46:BT53 BN46:BN53 BL46:BL53 BF46:BF53 BD46:BD53 AX46:AX53 AV46:AV53 AP46:AP53 AN46:AN53 AH46:AH53 AF46:AF53 Z46:Z53 X46:X53 BV7:BV44 BN7:BN44 BF7:BF44 AX7:AX44 AP7:AP44 AH7:AH44 AF7:AF44 Z7:Z44 X7:X44 AN7:AN44 AV7:AV44 BD7:BD44 BL7:BL44 BT7:BT44">
    <cfRule type="containsBlanks" priority="46" stopIfTrue="1">
      <formula>LEN(TRIM(X7))=0</formula>
    </cfRule>
    <cfRule type="cellIs" dxfId="134" priority="47" operator="greaterThan">
      <formula>0</formula>
    </cfRule>
  </conditionalFormatting>
  <conditionalFormatting sqref="S7:S53">
    <cfRule type="containsText" dxfId="133" priority="45" operator="containsText" text="Produit en stock mais sans aucune utilisation">
      <formula>NOT(ISERROR(SEARCH("Produit en stock mais sans aucune utilisation",S7)))</formula>
    </cfRule>
  </conditionalFormatting>
  <conditionalFormatting sqref="D49">
    <cfRule type="cellIs" dxfId="132" priority="25" stopIfTrue="1" operator="equal">
      <formula>"ND"</formula>
    </cfRule>
    <cfRule type="cellIs" dxfId="131" priority="26" operator="equal">
      <formula>"ATTENTION le détail ne correspond pas à votre stock total"</formula>
    </cfRule>
    <cfRule type="cellIs" dxfId="130" priority="27" operator="equal">
      <formula>"ATTENTION SURSTOCK et risque de péremption"</formula>
    </cfRule>
    <cfRule type="cellIs" dxfId="129" priority="28" operator="equal">
      <formula>"OK"</formula>
    </cfRule>
  </conditionalFormatting>
  <conditionalFormatting sqref="D69:D72">
    <cfRule type="cellIs" dxfId="128" priority="21" stopIfTrue="1" operator="equal">
      <formula>"ND"</formula>
    </cfRule>
    <cfRule type="cellIs" dxfId="127" priority="22" operator="equal">
      <formula>"ATTENTION le détail ne correspond pas à votre stock total"</formula>
    </cfRule>
    <cfRule type="cellIs" dxfId="126" priority="23" operator="equal">
      <formula>"ATTENTION SURSTOCK et risque de péremption"</formula>
    </cfRule>
    <cfRule type="cellIs" dxfId="125" priority="24" operator="equal">
      <formula>"OK"</formula>
    </cfRule>
  </conditionalFormatting>
  <conditionalFormatting sqref="F70:F72">
    <cfRule type="cellIs" dxfId="124" priority="17" stopIfTrue="1" operator="equal">
      <formula>"ND"</formula>
    </cfRule>
    <cfRule type="cellIs" dxfId="123" priority="18" operator="equal">
      <formula>"ATTENTION le détail ne correspond pas à votre stock total"</formula>
    </cfRule>
    <cfRule type="cellIs" dxfId="122" priority="19" operator="equal">
      <formula>"ATTENTION SURSTOCK et risque de péremption"</formula>
    </cfRule>
    <cfRule type="cellIs" dxfId="121" priority="20" operator="equal">
      <formula>"OK"</formula>
    </cfRule>
  </conditionalFormatting>
  <conditionalFormatting sqref="F73">
    <cfRule type="cellIs" dxfId="120" priority="13" stopIfTrue="1" operator="equal">
      <formula>"ND"</formula>
    </cfRule>
    <cfRule type="cellIs" dxfId="119" priority="14" operator="equal">
      <formula>"ATTENTION le détail ne correspond pas à votre stock total"</formula>
    </cfRule>
    <cfRule type="cellIs" dxfId="118" priority="15" operator="equal">
      <formula>"ATTENTION SURSTOCK et risque de péremption"</formula>
    </cfRule>
    <cfRule type="cellIs" dxfId="117" priority="16" operator="equal">
      <formula>"OK"</formula>
    </cfRule>
  </conditionalFormatting>
  <conditionalFormatting sqref="D73">
    <cfRule type="cellIs" dxfId="116" priority="9" stopIfTrue="1" operator="equal">
      <formula>"ND"</formula>
    </cfRule>
    <cfRule type="cellIs" dxfId="115" priority="10" operator="equal">
      <formula>"ATTENTION le détail ne correspond pas à votre stock total"</formula>
    </cfRule>
    <cfRule type="cellIs" dxfId="114" priority="11" operator="equal">
      <formula>"ATTENTION SURSTOCK et risque de péremption"</formula>
    </cfRule>
    <cfRule type="cellIs" dxfId="113" priority="12" operator="equal">
      <formula>"OK"</formula>
    </cfRule>
  </conditionalFormatting>
  <conditionalFormatting sqref="F73">
    <cfRule type="cellIs" dxfId="112" priority="5" stopIfTrue="1" operator="equal">
      <formula>"ND"</formula>
    </cfRule>
    <cfRule type="cellIs" dxfId="111" priority="6" operator="equal">
      <formula>"ATTENTION le détail ne correspond pas à votre stock total"</formula>
    </cfRule>
    <cfRule type="cellIs" dxfId="110" priority="7" operator="equal">
      <formula>"ATTENTION SURSTOCK et risque de péremption"</formula>
    </cfRule>
    <cfRule type="cellIs" dxfId="109" priority="8" operator="equal">
      <formula>"OK"</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993366"/>
  </sheetPr>
  <dimension ref="A2:CC56"/>
  <sheetViews>
    <sheetView showGridLines="0" topLeftCell="BM1" zoomScale="70" zoomScaleNormal="70" workbookViewId="0">
      <selection activeCell="A260" sqref="A1:XFD1048576"/>
    </sheetView>
  </sheetViews>
  <sheetFormatPr defaultColWidth="11.42578125" defaultRowHeight="12.75" x14ac:dyDescent="0.2"/>
  <cols>
    <col min="1" max="1" width="4.5703125" style="1889" customWidth="1"/>
    <col min="2" max="2" width="15.42578125" style="1889" bestFit="1" customWidth="1"/>
    <col min="3" max="3" width="7.5703125" style="1889" bestFit="1" customWidth="1"/>
    <col min="4" max="4" width="13.42578125" style="1889" bestFit="1" customWidth="1"/>
    <col min="5" max="5" width="9.5703125" style="1889" bestFit="1" customWidth="1"/>
    <col min="6" max="6" width="15.85546875" style="1889" customWidth="1"/>
    <col min="7" max="7" width="30" style="1889" bestFit="1" customWidth="1"/>
    <col min="8" max="8" width="14.85546875" style="1889" bestFit="1" customWidth="1"/>
    <col min="9" max="9" width="11.28515625" style="1889" bestFit="1" customWidth="1"/>
    <col min="10" max="10" width="11.42578125" style="1889" bestFit="1" customWidth="1"/>
    <col min="11" max="11" width="11.42578125" style="1889" customWidth="1"/>
    <col min="12" max="12" width="21.7109375" style="1889" bestFit="1" customWidth="1"/>
    <col min="13" max="14" width="21.7109375" style="1889" customWidth="1"/>
    <col min="15" max="15" width="19.140625" style="1890" bestFit="1" customWidth="1"/>
    <col min="16" max="16" width="16.7109375" style="1890" bestFit="1" customWidth="1"/>
    <col min="17" max="17" width="17.5703125" style="1889" bestFit="1" customWidth="1"/>
    <col min="18" max="18" width="16.140625" style="1889" bestFit="1" customWidth="1"/>
    <col min="19" max="19" width="18.28515625" style="1889" bestFit="1" customWidth="1"/>
    <col min="20" max="20" width="17.5703125" style="1889" bestFit="1" customWidth="1"/>
    <col min="21" max="21" width="19" style="1889" bestFit="1" customWidth="1"/>
    <col min="22" max="22" width="18.28515625" style="1890" bestFit="1" customWidth="1"/>
    <col min="23" max="23" width="26.140625" style="1889" bestFit="1" customWidth="1"/>
    <col min="24" max="24" width="16" style="1889" bestFit="1" customWidth="1"/>
    <col min="25" max="25" width="16.140625" style="1889" bestFit="1" customWidth="1"/>
    <col min="26" max="26" width="18.28515625" style="1889" bestFit="1" customWidth="1"/>
    <col min="27" max="27" width="19.28515625" style="1889" customWidth="1"/>
    <col min="28" max="28" width="19.28515625" style="1889" bestFit="1" customWidth="1"/>
    <col min="29" max="29" width="18.7109375" style="1889" bestFit="1" customWidth="1"/>
    <col min="30" max="30" width="18.28515625" style="1889" bestFit="1" customWidth="1"/>
    <col min="31" max="31" width="26.140625" style="1889" bestFit="1" customWidth="1"/>
    <col min="32" max="32" width="15.140625" style="1889" bestFit="1" customWidth="1"/>
    <col min="33" max="33" width="16.140625" style="1889" bestFit="1" customWidth="1"/>
    <col min="34" max="34" width="18.28515625" style="1889" bestFit="1" customWidth="1"/>
    <col min="35" max="35" width="19.28515625" style="1889" customWidth="1"/>
    <col min="36" max="36" width="19.28515625" style="1889" bestFit="1" customWidth="1"/>
    <col min="37" max="37" width="17.5703125" style="1889" bestFit="1" customWidth="1"/>
    <col min="38" max="38" width="18.28515625" style="1889" bestFit="1" customWidth="1"/>
    <col min="39" max="39" width="22.5703125" style="1889" bestFit="1" customWidth="1"/>
    <col min="40" max="40" width="16" style="1889" bestFit="1" customWidth="1"/>
    <col min="41" max="41" width="16.140625" style="1889" bestFit="1" customWidth="1"/>
    <col min="42" max="42" width="18.28515625" style="1889" bestFit="1" customWidth="1"/>
    <col min="43" max="43" width="19.28515625" style="1889" customWidth="1"/>
    <col min="44" max="44" width="19.28515625" style="1889" bestFit="1" customWidth="1"/>
    <col min="45" max="45" width="17.5703125" style="1889" bestFit="1" customWidth="1"/>
    <col min="46" max="47" width="16.28515625" style="1889" bestFit="1" customWidth="1"/>
    <col min="48" max="48" width="15.140625" style="1889" bestFit="1" customWidth="1"/>
    <col min="49" max="49" width="16.140625" style="1889" bestFit="1" customWidth="1"/>
    <col min="50" max="50" width="18.28515625" style="1889" bestFit="1" customWidth="1"/>
    <col min="51" max="51" width="19.28515625" style="1889" customWidth="1"/>
    <col min="52" max="52" width="19.28515625" style="1889" bestFit="1" customWidth="1"/>
    <col min="53" max="53" width="17.5703125" style="1889" bestFit="1" customWidth="1"/>
    <col min="54" max="54" width="16.28515625" style="1889" bestFit="1" customWidth="1"/>
    <col min="55" max="55" width="17.28515625" style="1889" bestFit="1" customWidth="1"/>
    <col min="56" max="56" width="15.140625" style="1889" bestFit="1" customWidth="1"/>
    <col min="57" max="57" width="16.140625" style="1889" bestFit="1" customWidth="1"/>
    <col min="58" max="58" width="18.28515625" style="1889" bestFit="1" customWidth="1"/>
    <col min="59" max="59" width="19.28515625" style="1889" customWidth="1"/>
    <col min="60" max="60" width="19.28515625" style="1889" bestFit="1" customWidth="1"/>
    <col min="61" max="61" width="17.5703125" style="1889" bestFit="1" customWidth="1"/>
    <col min="62" max="62" width="18.28515625" style="1889" bestFit="1" customWidth="1"/>
    <col min="63" max="63" width="26" style="1889" bestFit="1" customWidth="1"/>
    <col min="64" max="64" width="15.140625" style="1889" bestFit="1" customWidth="1"/>
    <col min="65" max="65" width="16.140625" style="1889" bestFit="1" customWidth="1"/>
    <col min="66" max="66" width="18.28515625" style="1889" bestFit="1" customWidth="1"/>
    <col min="67" max="67" width="19.28515625" style="1889" customWidth="1"/>
    <col min="68" max="68" width="19.28515625" style="1889" bestFit="1" customWidth="1"/>
    <col min="69" max="69" width="17.5703125" style="1889" bestFit="1" customWidth="1"/>
    <col min="70" max="70" width="16.140625" style="1889" customWidth="1"/>
    <col min="71" max="71" width="16" style="1889" bestFit="1" customWidth="1"/>
    <col min="72" max="72" width="11.42578125" style="1889"/>
    <col min="73" max="74" width="11.5703125" style="1889" bestFit="1" customWidth="1"/>
    <col min="75" max="75" width="13.140625" style="1891" bestFit="1" customWidth="1"/>
    <col min="76" max="76" width="14" style="1891" bestFit="1" customWidth="1"/>
    <col min="77" max="16384" width="11.42578125" style="1889"/>
  </cols>
  <sheetData>
    <row r="2" spans="1:81" s="358" customFormat="1" ht="15.75" thickBot="1" x14ac:dyDescent="0.25">
      <c r="A2" s="3257" t="str">
        <f>'TRAD-Calculs Péremption FA'!B2</f>
        <v>Evaluation de l'utilisation selon les dates de péremption : Calculs à partir de la file active</v>
      </c>
      <c r="B2" s="3257"/>
      <c r="C2" s="3257"/>
      <c r="D2" s="3257"/>
      <c r="E2" s="3257"/>
      <c r="F2" s="3257"/>
      <c r="G2" s="3257"/>
      <c r="H2" s="3257"/>
      <c r="I2" s="3257"/>
      <c r="J2" s="3257"/>
      <c r="K2" s="3257"/>
      <c r="L2" s="3257"/>
      <c r="M2" s="3257"/>
      <c r="N2" s="3257"/>
      <c r="O2" s="3257"/>
      <c r="P2" s="3257"/>
      <c r="Q2" s="3257"/>
      <c r="S2" s="356"/>
      <c r="BW2" s="1888"/>
      <c r="BX2" s="1888"/>
    </row>
    <row r="3" spans="1:81" ht="13.5" thickBot="1" x14ac:dyDescent="0.25"/>
    <row r="4" spans="1:81" ht="13.5" customHeight="1" thickBot="1" x14ac:dyDescent="0.25">
      <c r="M4" s="2514">
        <f>'TdB Péremptions'!$H$14</f>
        <v>0.1</v>
      </c>
      <c r="Q4" s="1890"/>
      <c r="R4" s="1892" t="str">
        <f>'TRAD-Calculs Péremption FA'!B3</f>
        <v>Détail des dates de péremption et des Quantités (nb de boites)</v>
      </c>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c r="AR4" s="1893"/>
      <c r="AS4" s="1893"/>
      <c r="AT4" s="1893"/>
      <c r="AU4" s="1893"/>
      <c r="AV4" s="1893"/>
      <c r="AW4" s="1893"/>
      <c r="AX4" s="1893"/>
      <c r="AY4" s="1893"/>
      <c r="AZ4" s="1893"/>
      <c r="BA4" s="1893"/>
      <c r="BB4" s="1893"/>
      <c r="BC4" s="1893"/>
      <c r="BD4" s="1893"/>
      <c r="BE4" s="1893"/>
      <c r="BF4" s="1893"/>
      <c r="BG4" s="1893"/>
      <c r="BH4" s="1893"/>
      <c r="BI4" s="1893"/>
      <c r="BJ4" s="1893"/>
      <c r="BK4" s="1893"/>
      <c r="BL4" s="1893"/>
      <c r="BM4" s="1893"/>
      <c r="BN4" s="1893"/>
      <c r="BO4" s="1893"/>
      <c r="BP4" s="1893"/>
      <c r="BQ4" s="1893"/>
      <c r="BR4" s="1893"/>
      <c r="BS4" s="1893"/>
      <c r="BT4" s="1894"/>
    </row>
    <row r="5" spans="1:81" ht="13.5" thickBot="1" x14ac:dyDescent="0.25">
      <c r="Q5" s="1890"/>
      <c r="R5" s="3280" t="str">
        <f>'TRAD-Calculs Péremption FA'!B32</f>
        <v>Calculs avec DLU 1</v>
      </c>
      <c r="S5" s="3281"/>
      <c r="T5" s="3281"/>
      <c r="U5" s="3281"/>
      <c r="V5" s="3281"/>
      <c r="W5" s="3281"/>
      <c r="X5" s="3282"/>
      <c r="Y5" s="3280" t="str">
        <f>'TRAD-Calculs Péremption FA'!B33</f>
        <v>Calculs avec DLU 2</v>
      </c>
      <c r="Z5" s="3281"/>
      <c r="AA5" s="3281"/>
      <c r="AB5" s="3281"/>
      <c r="AC5" s="3281"/>
      <c r="AD5" s="3281"/>
      <c r="AE5" s="3281"/>
      <c r="AF5" s="3282"/>
      <c r="AG5" s="3280" t="str">
        <f>'TRAD-Calculs Péremption FA'!B34</f>
        <v>Calculs avec DLU 3</v>
      </c>
      <c r="AH5" s="3281"/>
      <c r="AI5" s="3281"/>
      <c r="AJ5" s="3281"/>
      <c r="AK5" s="3281"/>
      <c r="AL5" s="3281"/>
      <c r="AM5" s="3281"/>
      <c r="AN5" s="3282"/>
      <c r="AO5" s="3280" t="str">
        <f>'TRAD-Calculs Péremption FA'!B35</f>
        <v>Calculs avec DLU 4</v>
      </c>
      <c r="AP5" s="3281"/>
      <c r="AQ5" s="3281"/>
      <c r="AR5" s="3281"/>
      <c r="AS5" s="3281"/>
      <c r="AT5" s="3281"/>
      <c r="AU5" s="3281"/>
      <c r="AV5" s="3282"/>
      <c r="AW5" s="3280" t="str">
        <f>'TRAD-Calculs Péremption FA'!B36</f>
        <v>Calculs avec DLU 5</v>
      </c>
      <c r="AX5" s="3281"/>
      <c r="AY5" s="3281"/>
      <c r="AZ5" s="3281"/>
      <c r="BA5" s="3281"/>
      <c r="BB5" s="3281"/>
      <c r="BC5" s="3281"/>
      <c r="BD5" s="3282"/>
      <c r="BE5" s="3280" t="str">
        <f>'TRAD-Calculs Péremption FA'!B37</f>
        <v>Calculs avec DLU 6</v>
      </c>
      <c r="BF5" s="3281"/>
      <c r="BG5" s="3281"/>
      <c r="BH5" s="3281"/>
      <c r="BI5" s="3281"/>
      <c r="BJ5" s="3281"/>
      <c r="BK5" s="3281"/>
      <c r="BL5" s="3282"/>
      <c r="BM5" s="3280" t="str">
        <f>'TRAD-Calculs Péremption FA'!B38</f>
        <v>Calculs avec DLU 7</v>
      </c>
      <c r="BN5" s="3281"/>
      <c r="BO5" s="3281"/>
      <c r="BP5" s="3281"/>
      <c r="BQ5" s="3281"/>
      <c r="BR5" s="3281"/>
      <c r="BS5" s="3281"/>
      <c r="BT5" s="3282"/>
    </row>
    <row r="6" spans="1:81" s="2054" customFormat="1" ht="115.5" thickBot="1" x14ac:dyDescent="0.25">
      <c r="B6" s="2055"/>
      <c r="C6" s="2056"/>
      <c r="D6" s="1895" t="str">
        <f>'TRAD-Calculs Péremption FA'!B4</f>
        <v>Composition</v>
      </c>
      <c r="E6" s="1794" t="str">
        <f>'TRAD-Calculs Péremption FA'!B5</f>
        <v>Forme galénique</v>
      </c>
      <c r="F6" s="1794" t="str">
        <f>'TRAD-Calculs Péremption FA'!B6</f>
        <v>Dosage</v>
      </c>
      <c r="G6" s="1794" t="str">
        <f>'TRAD-Calculs Péremption FA'!B7</f>
        <v>DCI</v>
      </c>
      <c r="H6" s="1794" t="str">
        <f>'TRAD-Calculs Péremption FA'!B11</f>
        <v>Nom pour représentation graphique</v>
      </c>
      <c r="I6" s="1794" t="str">
        <f>'TRAD-Calculs Péremption FA'!B13</f>
        <v xml:space="preserve">conditionnement </v>
      </c>
      <c r="J6" s="1896" t="str">
        <f>'TRAD-Calculs Péremption FA'!B14</f>
        <v>conditionnement secondaire</v>
      </c>
      <c r="K6" s="1896" t="str">
        <f>'TRAD-Calculs Péremption FA'!B15</f>
        <v>Prix / boite (US$ - EXW)</v>
      </c>
      <c r="L6" s="1896" t="str">
        <f>'TRAD-Calculs Péremption FA'!B16</f>
        <v>Prix / boite (US$ - EXW+frais de gestion)</v>
      </c>
      <c r="M6" s="2057" t="s">
        <v>720</v>
      </c>
      <c r="N6" s="2057" t="str">
        <f>'TRAD-Calculs Péremption FA'!B18</f>
        <v>Besoin mensuel patients initiés selon méthode</v>
      </c>
      <c r="O6" s="2057" t="str">
        <f>'TRAD-Calculs Péremption FA'!B19</f>
        <v>Quantités en stock central
(nb de boites)</v>
      </c>
      <c r="P6" s="1896" t="str">
        <f>'TRAD-Calculs Péremption FA'!B20</f>
        <v>Indicateur Détail des péremptions du stocks disponible</v>
      </c>
      <c r="Q6" s="1897" t="str">
        <f>'TRAD-Calculs Péremption FA'!B21</f>
        <v>Stock inutilisé</v>
      </c>
      <c r="R6" s="1895" t="str">
        <f>'TRAD-Calculs Péremption FA'!B22</f>
        <v>Date de péremption 
1</v>
      </c>
      <c r="S6" s="1794" t="str">
        <f>'TRAD-Calculs Péremption FA'!B23</f>
        <v>Quantités 
(nb de boites) 
1</v>
      </c>
      <c r="T6" s="1896" t="str">
        <f>'TRAD-Calculs Péremption FA'!B24</f>
        <v>Durée d'utilisation (date péremption-date estimation) (nb de mois 30 j)</v>
      </c>
      <c r="U6" s="1896" t="str">
        <f>'TRAD-Calculs Péremption FA'!B25</f>
        <v>Estimation Quantités nécessaires pour la période (nb de boites)</v>
      </c>
      <c r="V6" s="1896" t="str">
        <f>'TRAD-Calculs Péremption FA'!B26</f>
        <v>Quantités du surstock (+) ou des besoins jusqu'à la DLU (-) (nb de boites)</v>
      </c>
      <c r="W6" s="1896" t="str">
        <f>'TRAD-Calculs Péremption FA'!B27</f>
        <v xml:space="preserve">Indicateur </v>
      </c>
      <c r="X6" s="1898" t="str">
        <f>'TRAD-Calculs Péremption FA'!B28</f>
        <v>Montant de la perte ($)</v>
      </c>
      <c r="Y6" s="1895" t="str">
        <f>'TRAD-Calculs Péremption FA'!B29</f>
        <v>Date de péremption 2</v>
      </c>
      <c r="Z6" s="1794" t="str">
        <f>'TRAD-Calculs Péremption FA'!B30</f>
        <v>Quantités (nb de boites) 2</v>
      </c>
      <c r="AA6" s="1896" t="str">
        <f>'TRAD-Calculs Péremption FA'!B31</f>
        <v>Quantités totales des lots 1&amp;2 non périmés à la date de péremption précédente</v>
      </c>
      <c r="AB6" s="1896" t="str">
        <f>'TRAD-Calculs Péremption FA'!B24</f>
        <v>Durée d'utilisation (date péremption-date estimation) (nb de mois 30 j)</v>
      </c>
      <c r="AC6" s="1896" t="str">
        <f>'TRAD-Calculs Péremption FA'!B39</f>
        <v xml:space="preserve">Estimation Quantités totales nécessaires pour la période date estimation - DLU2 (nb de boites) </v>
      </c>
      <c r="AD6" s="1896" t="str">
        <f>'TRAD-Calculs Péremption FA'!B26</f>
        <v>Quantités du surstock (+) ou des besoins jusqu'à la DLU (-) (nb de boites)</v>
      </c>
      <c r="AE6" s="1896" t="str">
        <f>'TRAD-Calculs Péremption FA'!B27</f>
        <v xml:space="preserve">Indicateur </v>
      </c>
      <c r="AF6" s="1898" t="str">
        <f>'TRAD-Calculs Péremption FA'!B28</f>
        <v>Montant de la perte ($)</v>
      </c>
      <c r="AG6" s="1895" t="str">
        <f>'TRAD-Calculs Péremption FA'!B40</f>
        <v>Date de péremption  3</v>
      </c>
      <c r="AH6" s="1794" t="str">
        <f>'TRAD-Calculs Péremption FA'!B41</f>
        <v>Quantités (nb de boites) 3</v>
      </c>
      <c r="AI6" s="1896" t="str">
        <f>'TRAD-Calculs Péremption FA'!B42</f>
        <v>Quantités totales des lots 1,2&amp;3 non périmés à la date de péremption précédente</v>
      </c>
      <c r="AJ6" s="1896" t="str">
        <f>'TRAD-Calculs Péremption FA'!B24</f>
        <v>Durée d'utilisation (date péremption-date estimation) (nb de mois 30 j)</v>
      </c>
      <c r="AK6" s="1896" t="str">
        <f>'TRAD-Calculs Péremption FA'!B43</f>
        <v xml:space="preserve">Estimation Quantités totales nécessaires pour la période date estimation - DLU3 (nb de boites) </v>
      </c>
      <c r="AL6" s="1896" t="str">
        <f>'TRAD-Calculs Péremption FA'!B26</f>
        <v>Quantités du surstock (+) ou des besoins jusqu'à la DLU (-) (nb de boites)</v>
      </c>
      <c r="AM6" s="1896" t="str">
        <f>'TRAD-Calculs Péremption FA'!B27</f>
        <v xml:space="preserve">Indicateur </v>
      </c>
      <c r="AN6" s="1898" t="str">
        <f>'TRAD-Calculs Péremption FA'!B28</f>
        <v>Montant de la perte ($)</v>
      </c>
      <c r="AO6" s="1895" t="str">
        <f>'TRAD-Calculs Péremption FA'!B44</f>
        <v>Date de péremption 4</v>
      </c>
      <c r="AP6" s="1794" t="str">
        <f>'TRAD-Calculs Péremption FA'!B45</f>
        <v>Quantités (nb de boites) 4</v>
      </c>
      <c r="AQ6" s="1896" t="str">
        <f>'TRAD-Calculs Péremption FA'!B46</f>
        <v>Quantités totales des lots 1,2,3&amp;4 non périmés à la date de péremption précédente</v>
      </c>
      <c r="AR6" s="1896" t="str">
        <f>'TRAD-Calculs Péremption FA'!B24</f>
        <v>Durée d'utilisation (date péremption-date estimation) (nb de mois 30 j)</v>
      </c>
      <c r="AS6" s="1896" t="str">
        <f>'TRAD-Calculs Péremption FA'!B47</f>
        <v xml:space="preserve">Estimation Quantités totales nécessaires pour la période date estimation - DLU4 (nb de boites) </v>
      </c>
      <c r="AT6" s="1896" t="str">
        <f>'TRAD-Calculs Péremption FA'!B26</f>
        <v>Quantités du surstock (+) ou des besoins jusqu'à la DLU (-) (nb de boites)</v>
      </c>
      <c r="AU6" s="1896" t="str">
        <f>'TRAD-Calculs Péremption FA'!B27</f>
        <v xml:space="preserve">Indicateur </v>
      </c>
      <c r="AV6" s="1898" t="str">
        <f>'TRAD-Calculs Péremption FA'!B28</f>
        <v>Montant de la perte ($)</v>
      </c>
      <c r="AW6" s="1895" t="str">
        <f>'TRAD-Calculs Péremption FA'!B50</f>
        <v>Date de péremption 5</v>
      </c>
      <c r="AX6" s="1794" t="str">
        <f>'TRAD-Calculs Péremption FA'!B48</f>
        <v>Quantités (nb de boites) 5</v>
      </c>
      <c r="AY6" s="1896" t="str">
        <f>'TRAD-Calculs Péremption FA'!B49</f>
        <v>Quantités totales des lots 1,2,3,4&amp;5 non périmés à la date de péremption précédente</v>
      </c>
      <c r="AZ6" s="1896" t="str">
        <f>'TRAD-Calculs Péremption FA'!B24</f>
        <v>Durée d'utilisation (date péremption-date estimation) (nb de mois 30 j)</v>
      </c>
      <c r="BA6" s="1896" t="str">
        <f>'TRAD-Calculs Péremption FA'!B52</f>
        <v xml:space="preserve">Estimation Quantités totales nécessaires pour la période date estimation - DLU5 (nb de boites) </v>
      </c>
      <c r="BB6" s="1896" t="str">
        <f>'TRAD-Calculs Péremption FA'!B26</f>
        <v>Quantités du surstock (+) ou des besoins jusqu'à la DLU (-) (nb de boites)</v>
      </c>
      <c r="BC6" s="1896" t="str">
        <f>'TRAD-Calculs Péremption FA'!B27</f>
        <v xml:space="preserve">Indicateur </v>
      </c>
      <c r="BD6" s="1898" t="str">
        <f>'TRAD-Calculs Péremption FA'!B28</f>
        <v>Montant de la perte ($)</v>
      </c>
      <c r="BE6" s="1895" t="str">
        <f>'TRAD-Calculs Péremption FA'!B54</f>
        <v>Date de péremption 6</v>
      </c>
      <c r="BF6" s="1794" t="str">
        <f>'TRAD-Calculs Péremption FA'!B53</f>
        <v>Quantités (nb de boites) 6</v>
      </c>
      <c r="BG6" s="1896" t="str">
        <f>'TRAD-Calculs Péremption FA'!B55</f>
        <v>Quantités totales des lots 1,2,3,4,5&amp;6 non périmés à la date de péremption précédente</v>
      </c>
      <c r="BH6" s="1896" t="str">
        <f>'TRAD-Calculs Péremption FA'!B24</f>
        <v>Durée d'utilisation (date péremption-date estimation) (nb de mois 30 j)</v>
      </c>
      <c r="BI6" s="1896" t="str">
        <f>'TRAD-Calculs Péremption FA'!B56</f>
        <v xml:space="preserve">Estimation Quantités totales nécessaires pour la période date estimation - DLU6 (nb de boites) </v>
      </c>
      <c r="BJ6" s="1896" t="str">
        <f>'TRAD-Calculs Péremption FA'!B26</f>
        <v>Quantités du surstock (+) ou des besoins jusqu'à la DLU (-) (nb de boites)</v>
      </c>
      <c r="BK6" s="1896" t="str">
        <f>'TRAD-Calculs Péremption FA'!B27</f>
        <v xml:space="preserve">Indicateur </v>
      </c>
      <c r="BL6" s="1898" t="str">
        <f>'TRAD-Calculs Péremption FA'!B28</f>
        <v>Montant de la perte ($)</v>
      </c>
      <c r="BM6" s="1895" t="str">
        <f>'TRAD-Calculs Péremption FA'!B59</f>
        <v>Date de péremption 7</v>
      </c>
      <c r="BN6" s="1794" t="str">
        <f>'TRAD-Calculs Péremption FA'!B57</f>
        <v>Quantités  (nb de boites) 7</v>
      </c>
      <c r="BO6" s="1896" t="str">
        <f>'TRAD-Calculs Péremption FA'!B58</f>
        <v>Quantités totales des lots 1,2,3,4,5,6&amp;7 non périmés à la date de péremption précédente</v>
      </c>
      <c r="BP6" s="1896" t="str">
        <f>'TRAD-Calculs Péremption FA'!B24</f>
        <v>Durée d'utilisation (date péremption-date estimation) (nb de mois 30 j)</v>
      </c>
      <c r="BQ6" s="1896" t="str">
        <f>'TRAD-Calculs Péremption FA'!B60</f>
        <v xml:space="preserve">Estimation Quantités totales nécessaires pour la période date estimation - DLU7 (nb de boites) </v>
      </c>
      <c r="BR6" s="1896" t="str">
        <f>'TRAD-Calculs Péremption FA'!B26</f>
        <v>Quantités du surstock (+) ou des besoins jusqu'à la DLU (-) (nb de boites)</v>
      </c>
      <c r="BS6" s="1896" t="str">
        <f>'TRAD-Calculs Péremption FA'!B27</f>
        <v xml:space="preserve">Indicateur </v>
      </c>
      <c r="BT6" s="1898" t="str">
        <f>'TRAD-Calculs Péremption FA'!B28</f>
        <v>Montant de la perte ($)</v>
      </c>
      <c r="BU6" s="1794" t="str">
        <f>'TRAD-Calculs Péremption FA'!B61</f>
        <v>Quantités totales UTILISABLES (nb cdt) selon paramétrage</v>
      </c>
      <c r="BV6" s="1794" t="str">
        <f>'TRAD-Calculs Péremption FA'!B62</f>
        <v>Pertes totales (nb cdt)</v>
      </c>
      <c r="BW6" s="1899" t="str">
        <f>'TRAD-Calculs Péremption FA'!B63</f>
        <v>Date de péremption maximale stock utilisable</v>
      </c>
      <c r="BX6" s="1899" t="str">
        <f>'TRAD-Calculs Péremption FA'!B64</f>
        <v>DLU Max ou calculée à partir de durée d'utilisation (date péremption-date estimation) saisie</v>
      </c>
      <c r="BY6" s="1794" t="str">
        <f>'TRAD-Calculs Péremption FA'!B65</f>
        <v>Jour</v>
      </c>
      <c r="BZ6" s="1794" t="str">
        <f>'TRAD-Calculs Péremption FA'!B66</f>
        <v>Mois</v>
      </c>
      <c r="CA6" s="1794" t="str">
        <f>'TRAD-Calculs Péremption FA'!B67</f>
        <v>Année</v>
      </c>
      <c r="CB6" s="1794" t="str">
        <f>'TRAD-Calculs Péremption FA'!B68</f>
        <v>Délai Aujdhui / DLU MAX (Mois)</v>
      </c>
      <c r="CC6" s="1794" t="str">
        <f>'TRAD-Calculs Péremption FA'!B69</f>
        <v>Indicateur si durée de vie max</v>
      </c>
    </row>
    <row r="7" spans="1:81" ht="51" customHeight="1" thickBot="1" x14ac:dyDescent="0.25">
      <c r="B7" s="366" t="str">
        <f>'TRAD-Calculs Péremption FA'!B8</f>
        <v>Comprimés</v>
      </c>
      <c r="C7" s="367" t="s">
        <v>15</v>
      </c>
      <c r="D7" s="1900" t="s">
        <v>1</v>
      </c>
      <c r="E7" s="1901" t="str">
        <f>'TRAD-Calculs Péremption FA'!B9</f>
        <v>Cp</v>
      </c>
      <c r="F7" s="1901" t="s">
        <v>17</v>
      </c>
      <c r="G7" s="369" t="s">
        <v>639</v>
      </c>
      <c r="H7" s="371" t="str">
        <f>CONCATENATE(D7, " - ", F7)</f>
        <v>AZT+3TC+NVP - 300/150/200 mg</v>
      </c>
      <c r="I7" s="113">
        <v>60</v>
      </c>
      <c r="J7" s="656"/>
      <c r="K7" s="755">
        <f>IF('TdB Péremptions'!$H$9="X", 'Prix 10-2011 GPRM $'!$O$27, IF('TdB Péremptions'!$H$10="X", 'Prix 10-2011 GPRM $'!$Q$27, IF('TdB Péremptions'!$H$11="X", 'Prix VPP 102012 convert'!$O$27, IF('TdB Péremptions'!$H$12="X", 'Prix VPP 102012 convert'!$Q$27, IF('TdB Péremptions'!$H$13="X", 'Prix spécifiques'!$J$7, 0)))))</f>
        <v>12.364999999999998</v>
      </c>
      <c r="L7" s="755">
        <f>(1+'TdB Péremptions'!$H$14)*K7</f>
        <v>13.6015</v>
      </c>
      <c r="M7" s="1902">
        <f>Calculs!L317</f>
        <v>6338</v>
      </c>
      <c r="N7" s="1902">
        <f>Calculs!N317</f>
        <v>0</v>
      </c>
      <c r="O7" s="1902">
        <f>'Saisie données stocks'!N19</f>
        <v>62923</v>
      </c>
      <c r="P7" s="1903" t="str">
        <f>IF(SUM('Saisie données stocks'!R19+'Saisie données stocks'!T19+'Saisie données stocks'!V19+'Saisie données stocks'!X19+'Saisie données stocks'!Z19+'Saisie données stocks'!AB19+'Saisie données stocks'!AD19)='Calculs Péremption conso'!O7,  "OK", 'TRAD-Calculs Péremption FA'!$B$75)</f>
        <v>OK</v>
      </c>
      <c r="Q7" s="1904" t="str">
        <f>IF(AND(O7&gt;0, Calculs!L317=0, Calculs!N317=0), 'TRAD-Calculs Péremption FA'!$B$76, "")</f>
        <v/>
      </c>
      <c r="R7" s="1905">
        <f>'Saisie données stocks'!Q19</f>
        <v>42856</v>
      </c>
      <c r="S7" s="1906">
        <f>'Saisie données stocks'!R19</f>
        <v>62923</v>
      </c>
      <c r="T7" s="1907">
        <f>IF(AND(R7=0, S7=0), "ND", IF((R7-Paramétrage!$H$19)&gt;0, (R7-Paramétrage!$H$19)/(365/12), "Date non renseignée ou produit périmé"))</f>
        <v>30.805479452054794</v>
      </c>
      <c r="U7" s="1908">
        <f>IF(ISERROR(T7*M7+(N7*(T7*(T7+1)/2))), "ND", (T7*M7+(N7*(T7*(T7+1)/2))))</f>
        <v>195245.12876712327</v>
      </c>
      <c r="V7" s="1908">
        <f t="shared" ref="V7:V47" si="0">IF(ISERROR(S7-U7), "ND", (S7-U7))</f>
        <v>-132322.12876712327</v>
      </c>
      <c r="W7" s="2540" t="str">
        <f>IF(V7="ND", "ND", IF(V7&gt;0, 'TRAD-Calculs Péremption FA'!$B$73, "OK"))</f>
        <v>OK</v>
      </c>
      <c r="X7" s="1909" t="str">
        <f t="shared" ref="X7:X47" si="1">IF(V7="ND", "ND", IF(V7&gt;0, V7*$L7, ""))</f>
        <v/>
      </c>
      <c r="Y7" s="1905">
        <f>'Saisie données stocks'!S19</f>
        <v>0</v>
      </c>
      <c r="Z7" s="1906">
        <f>'Saisie données stocks'!T19</f>
        <v>0</v>
      </c>
      <c r="AA7" s="1907">
        <f>IF(AND(V7&gt;0, ISNUMBER(V7)), (Z7+S7-V7), (Z7+S7))</f>
        <v>62923</v>
      </c>
      <c r="AB7" s="1907" t="str">
        <f>IF(AND(Y7=0, Z7=0), "ND", IF((Y7-Paramétrage!$H$19)&gt;0, (Y7-Paramétrage!$H$19)/(365/12), "Date non renseignée ou produit périmé"))</f>
        <v>ND</v>
      </c>
      <c r="AC7" s="1907" t="str">
        <f>IF(ISERROR(AB7*M7+(N7*(AB7*(AB7+1)/2))), "ND", AB7*M7+(N7*(AB7*(AB7+1)/2)))</f>
        <v>ND</v>
      </c>
      <c r="AD7" s="1910" t="str">
        <f>IF(AND(ISNUMBER(AA7), ISNUMBER(AC7)), (AA7-AC7), "ND")</f>
        <v>ND</v>
      </c>
      <c r="AE7" s="2540" t="str">
        <f>IF(AD7="ND", "ND", IF(AD7&gt;0, 'TRAD-Calculs Péremption FA'!$B$73, "OK"))</f>
        <v>ND</v>
      </c>
      <c r="AF7" s="1909" t="str">
        <f t="shared" ref="AF7:AF47" si="2">IF(AD7="ND", "ND", IF(AD7&gt;0, AD7*$L7, ""))</f>
        <v>ND</v>
      </c>
      <c r="AG7" s="1905">
        <f>'Saisie données stocks'!U19</f>
        <v>0</v>
      </c>
      <c r="AH7" s="1906">
        <f>'Saisie données stocks'!V19</f>
        <v>0</v>
      </c>
      <c r="AI7" s="1907">
        <f>IF(AND(AD7&gt;0, ISNUMBER(AD7)), (AA7+AH7-AD7), (AA7+AH7))</f>
        <v>62923</v>
      </c>
      <c r="AJ7" s="1907" t="str">
        <f>IF(AND(AG7=0, AH7=0), "ND", IF((AG7-Paramétrage!$H$19)&gt;0, (AG7-Paramétrage!$H$19)/(365/12), "Date non renseignée ou produit périmé"))</f>
        <v>ND</v>
      </c>
      <c r="AK7" s="1907" t="str">
        <f>IF(ISERROR(AJ7*M7+(N7*(AJ7*(AJ7+1)/2))), "ND", AJ7*M7+(N7*(AJ7*(AJ7+1)/2)))</f>
        <v>ND</v>
      </c>
      <c r="AL7" s="1910" t="str">
        <f>IF(AND(ISNUMBER(AI7), ISNUMBER(AK7)), (AI7-AK7), "ND")</f>
        <v>ND</v>
      </c>
      <c r="AM7" s="2540" t="str">
        <f>IF(AL7="ND", "ND", IF(AL7&gt;0, 'TRAD-Calculs Péremption FA'!$B$73, "OK"))</f>
        <v>ND</v>
      </c>
      <c r="AN7" s="1909" t="str">
        <f t="shared" ref="AN7:AN47" si="3">IF(AL7="ND", "ND", IF(AL7&gt;0, AL7*$L7, ""))</f>
        <v>ND</v>
      </c>
      <c r="AO7" s="1905">
        <f>'Saisie données stocks'!W19</f>
        <v>0</v>
      </c>
      <c r="AP7" s="1906">
        <f>'Saisie données stocks'!X19</f>
        <v>0</v>
      </c>
      <c r="AQ7" s="1907">
        <f>IF(AND(AL7&gt;0, ISNUMBER(AL7)), (AI7+AP7-AL7), (AI7+AP7))</f>
        <v>62923</v>
      </c>
      <c r="AR7" s="1907" t="str">
        <f>IF(AND(AO7=0, AP7=0), "ND", IF((AO7-Paramétrage!$H$19)&gt;0, (AO7-Paramétrage!$H$19)/(365/12), "Date non renseignée ou produit périmé"))</f>
        <v>ND</v>
      </c>
      <c r="AS7" s="1907" t="str">
        <f>IF(ISERROR(AR7*M7+(N7*(AR7*(AR7+1)/2))), "ND", AR7*M7+(N7*(AR7*(AR7+1)/2)))</f>
        <v>ND</v>
      </c>
      <c r="AT7" s="1910" t="str">
        <f>IF(AND(ISNUMBER(AQ7), ISNUMBER(AS7)), (AQ7-AS7), "ND")</f>
        <v>ND</v>
      </c>
      <c r="AU7" s="2545" t="str">
        <f>IF(AT7="ND", "ND", IF(AT7&gt;0, 'TRAD-Calculs Péremption FA'!$B$73, "OK"))</f>
        <v>ND</v>
      </c>
      <c r="AV7" s="1909" t="str">
        <f t="shared" ref="AV7:AV47" si="4">IF(AT7="ND", "ND", IF(AT7&gt;0, AT7*$L7, ""))</f>
        <v>ND</v>
      </c>
      <c r="AW7" s="1905">
        <f>'Saisie données stocks'!Y19</f>
        <v>0</v>
      </c>
      <c r="AX7" s="1906">
        <f>'Saisie données stocks'!Z19</f>
        <v>0</v>
      </c>
      <c r="AY7" s="1907">
        <f>IF(AND(AT7&gt;0, ISNUMBER(AT7)), (AQ7+AX7-AT7), (AQ7+AX7))</f>
        <v>62923</v>
      </c>
      <c r="AZ7" s="1907" t="str">
        <f>IF(AND(AW7=0, AX7=0), "ND", IF((AW7-Paramétrage!$H$19)&gt;0, (AW7-Paramétrage!$H$19)/(365/12), "Date non renseignée ou produit périmé"))</f>
        <v>ND</v>
      </c>
      <c r="BA7" s="1907" t="str">
        <f>IF(ISERROR(AZ7*M7+(N7*(AZ7*(AZ7+1)/2))), "ND", AZ7*M7+(N7*(AZ7*(AZ7+1)/2)))</f>
        <v>ND</v>
      </c>
      <c r="BB7" s="1910" t="str">
        <f>IF(AND(ISNUMBER(AY7), ISNUMBER(BA7)), (AY7-BA7), "ND")</f>
        <v>ND</v>
      </c>
      <c r="BC7" s="2545" t="str">
        <f>IF(BB7="ND", "ND", IF(BB7&gt;0, 'TRAD-Calculs Péremption FA'!$B$73, "OK"))</f>
        <v>ND</v>
      </c>
      <c r="BD7" s="1909" t="str">
        <f t="shared" ref="BD7:BD47" si="5">IF(BB7="ND", "ND", IF(BB7&gt;0, BB7*$L7, ""))</f>
        <v>ND</v>
      </c>
      <c r="BE7" s="1905">
        <f>'Saisie données stocks'!AA19</f>
        <v>0</v>
      </c>
      <c r="BF7" s="1906">
        <f>'Saisie données stocks'!AB19</f>
        <v>0</v>
      </c>
      <c r="BG7" s="1907">
        <f>IF(AND(BB7&gt;0, ISNUMBER(BB7)), (AY7+BF7-BB7), (AY7+BF7))</f>
        <v>62923</v>
      </c>
      <c r="BH7" s="1907" t="str">
        <f>IF(AND(BE7=0, BF7=0), "ND", IF((BE7-Paramétrage!$H$19)&gt;0, (BE7-Paramétrage!$H$19)/(365/12), "Date non renseignée ou produit périmé"))</f>
        <v>ND</v>
      </c>
      <c r="BI7" s="1907" t="str">
        <f>IF(ISERROR(BH7*M7+(N7*(BH7*(BH7+1)/2))), "ND", BH7*M7+(N7*(BH7*(BH7+1)/2)))</f>
        <v>ND</v>
      </c>
      <c r="BJ7" s="1910" t="str">
        <f>IF(AND(ISNUMBER(BG7), ISNUMBER(BI7)), (BG7-BI7), "ND")</f>
        <v>ND</v>
      </c>
      <c r="BK7" s="2545" t="str">
        <f>IF(BJ7="ND", "ND", IF(BJ7&gt;0, 'TRAD-Calculs Péremption FA'!$B$73, "OK"))</f>
        <v>ND</v>
      </c>
      <c r="BL7" s="1909" t="str">
        <f t="shared" ref="BL7:BL47" si="6">IF(BJ7="ND", "ND", IF(BJ7&gt;0, BJ7*$L7, ""))</f>
        <v>ND</v>
      </c>
      <c r="BM7" s="1905">
        <f>'Saisie données stocks'!AC19</f>
        <v>0</v>
      </c>
      <c r="BN7" s="1906">
        <f>'Saisie données stocks'!AD19</f>
        <v>0</v>
      </c>
      <c r="BO7" s="1907">
        <f>IF(AND(BJ7&gt;0, ISNUMBER(BJ7)), (BG7+BN7-BJ7), (BG7+BN7))</f>
        <v>62923</v>
      </c>
      <c r="BP7" s="1907" t="str">
        <f>IF(AND(BM7=0, BN7=0), "ND", IF((BM7-Paramétrage!$H$19)&gt;0, (BM7-Paramétrage!$H$19)/(365/12), "Date non renseignée ou produit périmé"))</f>
        <v>ND</v>
      </c>
      <c r="BQ7" s="1907" t="str">
        <f>IF(ISERROR(BP7*M7+(N7*(BP7*(BP7+1)/2))), "ND", BP7*M7+(N7*(BP7*(BP7+1)/2)))</f>
        <v>ND</v>
      </c>
      <c r="BR7" s="1910" t="str">
        <f>IF(AND(ISNUMBER(BO7), ISNUMBER(BQ7)), (BO7-BQ7), "ND")</f>
        <v>ND</v>
      </c>
      <c r="BS7" s="2545" t="str">
        <f>IF(BR7="ND", "ND", IF(BR7&gt;0, 'TRAD-Calculs Péremption FA'!$B$73, "OK"))</f>
        <v>ND</v>
      </c>
      <c r="BT7" s="1909" t="str">
        <f t="shared" ref="BT7:BT47" si="7">IF(BR7="ND", "ND", IF(BR7&gt;0, BR7*$L7, ""))</f>
        <v>ND</v>
      </c>
      <c r="BU7" s="1911">
        <f>IF('Saisie données stocks'!$O$10='TRAD-Saisie données stocks'!$B$51, IF(P7="OK", IF(AND(BR7&gt;0, ISNUMBER(BR7)), (BO7-BR7), (BO7)), O7), O7)</f>
        <v>62923</v>
      </c>
      <c r="BV7" s="1911">
        <f t="shared" ref="BV7:BV47" si="8">IF(AND(BR7&gt;0, ISNUMBER(BR7)), BR7, "0")+IF(AND(BJ7&gt;0, ISNUMBER(BJ7)), BJ7, "0")+IF(AND(BB7&gt;0, ISNUMBER(BB7)), BB7, "0")+IF(AND(AT7&gt;0, ISNUMBER(AT7)), AT7, "0")+IF(AND(AL7&gt;0, ISNUMBER(AL7)), AL7, "0")+IF(AND(AD7&gt;0, ISNUMBER(AD7)), AD7, "0")+IF(AND(V7&gt;0, ISNUMBER(V7)), V7, "0")</f>
        <v>0</v>
      </c>
      <c r="BW7" s="2042" t="str">
        <f>IF(BU7=O7,"",IF(AND(BR7&gt;0, ISNUMBER(BR7)),BM7,IF(AND(BJ7&gt;0, ISNUMBER(BJ7)), BE7, IF(AND(BB7&gt;0, ISNUMBER(BB7)), AW7,IF(AND(AT7&gt;0, ISNUMBER(AT7)),AO7,IF(AND(AL7&gt;0, ISNUMBER(AL7)),AG7,IF(AND(AD7&gt;0, ISNUMBER(AD7)),Y7,IF(AND(V7&gt;0, ISNUMBER(V7)),R7,""))))))))</f>
        <v/>
      </c>
      <c r="BX7" s="2042">
        <f>IF('Saisie données stocks'!$O$10='TRAD-Saisie données stocks'!$B$51, IF('Calculs Péremption FA'!P7="OK", IF(BU7=O7, MAX(Paramétrage!$H$19+('Saisie données stocks'!$N$14*(365/12)), BM7, BE7, AW7, AO7, AG7, Y7, R7), BW7), Paramétrage!$H$19+('Saisie données stocks'!$N$14*(365/12))), Paramétrage!$H$19+('Saisie données stocks'!$N$14*(365/12)))</f>
        <v>42856</v>
      </c>
      <c r="BY7" s="2043">
        <f t="shared" ref="BY7:BY47" si="9">IF(BX7="", "", DAY(BX7))</f>
        <v>1</v>
      </c>
      <c r="BZ7" s="2043">
        <f t="shared" ref="BZ7:BZ47" si="10">IF(BX7="", "", MONTH(BX7))</f>
        <v>5</v>
      </c>
      <c r="CA7" s="2043">
        <f t="shared" ref="CA7:CA47" si="11">IF(BX7="", "", YEAR(BX7))</f>
        <v>2017</v>
      </c>
      <c r="CB7" s="2043">
        <f>IF(BX7="", "", (BX7-Paramétrage!$H$19)/(365/12))</f>
        <v>30.805479452054794</v>
      </c>
      <c r="CC7" s="2043" t="str">
        <f>IF(CB7='Saisie données stocks'!N$14, 'TRAD-Calculs Péremption FA'!$B$74, CONCATENATE("DLU - ", BY7, "/", BZ7, "/", CA7))</f>
        <v>DLU - 1/5/2017</v>
      </c>
    </row>
    <row r="8" spans="1:81" ht="39" thickBot="1" x14ac:dyDescent="0.25">
      <c r="B8" s="374"/>
      <c r="C8" s="375"/>
      <c r="D8" s="1912" t="s">
        <v>1</v>
      </c>
      <c r="E8" s="1913" t="str">
        <f>'TRAD-Calculs Péremption FA'!B9</f>
        <v>Cp</v>
      </c>
      <c r="F8" s="1913" t="s">
        <v>258</v>
      </c>
      <c r="G8" s="1914" t="s">
        <v>639</v>
      </c>
      <c r="H8" s="1915" t="str">
        <f t="shared" ref="H8:H47" si="12">CONCATENATE(D8, " - ", F8)</f>
        <v>AZT+3TC+NVP - 60/30/50 mg</v>
      </c>
      <c r="I8" s="505">
        <v>60</v>
      </c>
      <c r="J8" s="657"/>
      <c r="K8" s="756">
        <f>IF('TdB Péremptions'!$H$9="X", 'Prix 10-2011 GPRM $'!$O$124, IF('TdB Péremptions'!$H$10="X", 'Prix 10-2011 GPRM $'!$Q$124, IF('TdB Péremptions'!$H$11="X", 'Prix VPP 102012 convert'!$O$124, IF('TdB Péremptions'!$H$12="X", 'Prix VPP 102012 convert'!$Q$124, IF('TdB Péremptions'!$H$13="X", 'Prix spécifiques'!$J$8, 0)))))</f>
        <v>4.1500000000000004</v>
      </c>
      <c r="L8" s="756">
        <f>(1+'TdB Péremptions'!$H$14)*K8</f>
        <v>4.5650000000000004</v>
      </c>
      <c r="M8" s="1916">
        <f>Calculs!L318</f>
        <v>546</v>
      </c>
      <c r="N8" s="1916">
        <f>Calculs!N318</f>
        <v>0</v>
      </c>
      <c r="O8" s="1916">
        <f>'Saisie données stocks'!N20</f>
        <v>1032</v>
      </c>
      <c r="P8" s="1917" t="str">
        <f>IF(SUM('Saisie données stocks'!R20+'Saisie données stocks'!T20+'Saisie données stocks'!V20+'Saisie données stocks'!X20+'Saisie données stocks'!Z20+'Saisie données stocks'!AB20+'Saisie données stocks'!AD20)='Calculs Péremption conso'!O8,  "OK", 'TRAD-Calculs Péremption FA'!$B$75)</f>
        <v>OK</v>
      </c>
      <c r="Q8" s="1918" t="str">
        <f>IF(AND(O8&gt;0, Calculs!L318=0, Calculs!N318=0), 'TRAD-Calculs Péremption FA'!$B$76, "")</f>
        <v/>
      </c>
      <c r="R8" s="1919">
        <f>'Saisie données stocks'!Q20</f>
        <v>42339</v>
      </c>
      <c r="S8" s="1920">
        <f>'Saisie données stocks'!R20</f>
        <v>1032</v>
      </c>
      <c r="T8" s="1921">
        <f>IF(AND(R8=0, S8=0), "ND", IF((R8-Paramétrage!$H$19)&gt;0, (R8-Paramétrage!$H$19)/(365/12), "Date non renseignée ou produit périmé"))</f>
        <v>13.808219178082192</v>
      </c>
      <c r="U8" s="1922">
        <f t="shared" ref="U8:U47" si="13">IF(ISERROR(T8*M8+(N8*(T8*(T8+1)/2))), "ND", (T8*M8+(N8*(T8*(T8+1)/2))))</f>
        <v>7539.2876712328771</v>
      </c>
      <c r="V8" s="1922">
        <f t="shared" si="0"/>
        <v>-6507.2876712328771</v>
      </c>
      <c r="W8" s="1921" t="str">
        <f>IF(V8="ND", "ND", IF(V8&gt;0, 'TRAD-Calculs Péremption FA'!$B$73, "OK"))</f>
        <v>OK</v>
      </c>
      <c r="X8" s="1924" t="str">
        <f t="shared" si="1"/>
        <v/>
      </c>
      <c r="Y8" s="1919">
        <f>'Saisie données stocks'!S20</f>
        <v>0</v>
      </c>
      <c r="Z8" s="1920">
        <f>'Saisie données stocks'!T20</f>
        <v>0</v>
      </c>
      <c r="AA8" s="1923">
        <f t="shared" ref="AA8:AA47" si="14">IF(AND(V8&gt;0, ISNUMBER(V8)), (Z8+S8-V8), (Z8+S8))</f>
        <v>1032</v>
      </c>
      <c r="AB8" s="1923" t="str">
        <f>IF(AND(Y8=0, Z8=0), "ND", IF((Y8-Paramétrage!$H$19)&gt;0, (Y8-Paramétrage!$H$19)/(365/12), "Date non renseignée ou produit périmé"))</f>
        <v>ND</v>
      </c>
      <c r="AC8" s="1923" t="str">
        <f t="shared" ref="AC8:AC47" si="15">IF(ISERROR(AB8*M8+(N8*(AB8*(AB8+1)/2))), "ND", AB8*M8+(N8*(AB8*(AB8+1)/2)))</f>
        <v>ND</v>
      </c>
      <c r="AD8" s="1923" t="str">
        <f t="shared" ref="AD8:AD47" si="16">IF(AND(ISNUMBER(AA8), ISNUMBER(AC8)), (AA8-AC8), "ND")</f>
        <v>ND</v>
      </c>
      <c r="AE8" s="1921" t="str">
        <f>IF(AD8="ND", "ND", IF(AD8&gt;0, 'TRAD-Calculs Péremption FA'!$B$73, "OK"))</f>
        <v>ND</v>
      </c>
      <c r="AF8" s="1924" t="str">
        <f t="shared" si="2"/>
        <v>ND</v>
      </c>
      <c r="AG8" s="1919">
        <f>'Saisie données stocks'!U20</f>
        <v>0</v>
      </c>
      <c r="AH8" s="1920">
        <f>'Saisie données stocks'!V20</f>
        <v>0</v>
      </c>
      <c r="AI8" s="1923">
        <f t="shared" ref="AI8:AI47" si="17">IF(AND(AD8&gt;0, ISNUMBER(AD8)), (AA8+AH8-AD8), (AA8+AH8))</f>
        <v>1032</v>
      </c>
      <c r="AJ8" s="1923" t="str">
        <f>IF(AND(AG8=0, AH8=0), "ND", IF((AG8-Paramétrage!$H$19)&gt;0, (AG8-Paramétrage!$H$19)/(365/12), "Date non renseignée ou produit périmé"))</f>
        <v>ND</v>
      </c>
      <c r="AK8" s="1923" t="str">
        <f t="shared" ref="AK8:AK47" si="18">IF(ISERROR(AJ8*M8+(N8*(AJ8*(AJ8+1)/2))), "ND", AJ8*M8+(N8*(AJ8*(AJ8+1)/2)))</f>
        <v>ND</v>
      </c>
      <c r="AL8" s="1923" t="str">
        <f t="shared" ref="AL8:AL47" si="19">IF(AND(ISNUMBER(AI8), ISNUMBER(AK8)), (AI8-AK8), "ND")</f>
        <v>ND</v>
      </c>
      <c r="AM8" s="1923" t="str">
        <f>IF(AL8="ND", "ND", IF(AL8&gt;0, 'TRAD-Calculs Péremption FA'!$B$73, "OK"))</f>
        <v>ND</v>
      </c>
      <c r="AN8" s="1924" t="str">
        <f t="shared" si="3"/>
        <v>ND</v>
      </c>
      <c r="AO8" s="1919">
        <f>'Saisie données stocks'!W20</f>
        <v>0</v>
      </c>
      <c r="AP8" s="1920">
        <f>'Saisie données stocks'!X20</f>
        <v>0</v>
      </c>
      <c r="AQ8" s="1923">
        <f t="shared" ref="AQ8:AQ47" si="20">IF(AND(AL8&gt;0, ISNUMBER(AL8)), (AI8+AP8-AL8), (AI8+AP8))</f>
        <v>1032</v>
      </c>
      <c r="AR8" s="1923" t="str">
        <f>IF(AND(AO8=0, AP8=0), "ND", IF((AO8-Paramétrage!$H$19)&gt;0, (AO8-Paramétrage!$H$19)/(365/12), "Date non renseignée ou produit périmé"))</f>
        <v>ND</v>
      </c>
      <c r="AS8" s="1923" t="str">
        <f t="shared" ref="AS8:AS47" si="21">IF(ISERROR(AR8*M8+(N8*(AR8*(AR8+1)/2))), "ND", AR8*M8+(N8*(AR8*(AR8+1)/2)))</f>
        <v>ND</v>
      </c>
      <c r="AT8" s="1923" t="str">
        <f t="shared" ref="AT8:AT47" si="22">IF(AND(ISNUMBER(AQ8), ISNUMBER(AS8)), (AQ8-AS8), "ND")</f>
        <v>ND</v>
      </c>
      <c r="AU8" s="1923" t="str">
        <f>IF(AT8="ND", "ND", IF(AT8&gt;0, 'TRAD-Calculs Péremption FA'!$B$73, "OK"))</f>
        <v>ND</v>
      </c>
      <c r="AV8" s="1924" t="str">
        <f t="shared" si="4"/>
        <v>ND</v>
      </c>
      <c r="AW8" s="1919">
        <f>'Saisie données stocks'!Y20</f>
        <v>0</v>
      </c>
      <c r="AX8" s="1920">
        <f>'Saisie données stocks'!Z20</f>
        <v>0</v>
      </c>
      <c r="AY8" s="1923">
        <f t="shared" ref="AY8:AY47" si="23">IF(AND(AT8&gt;0, ISNUMBER(AT8)), (AQ8+AX8-AT8), (AQ8+AX8))</f>
        <v>1032</v>
      </c>
      <c r="AZ8" s="1923" t="str">
        <f>IF(AND(AW8=0, AX8=0), "ND", IF((AW8-Paramétrage!$H$19)&gt;0, (AW8-Paramétrage!$H$19)/(365/12), "Date non renseignée ou produit périmé"))</f>
        <v>ND</v>
      </c>
      <c r="BA8" s="1923" t="str">
        <f t="shared" ref="BA8:BA47" si="24">IF(ISERROR(AZ8*M8+(N8*(AZ8*(AZ8+1)/2))), "ND", AZ8*M8+(N8*(AZ8*(AZ8+1)/2)))</f>
        <v>ND</v>
      </c>
      <c r="BB8" s="1923" t="str">
        <f t="shared" ref="BB8:BB47" si="25">IF(AND(ISNUMBER(AY8), ISNUMBER(BA8)), (AY8-BA8), "ND")</f>
        <v>ND</v>
      </c>
      <c r="BC8" s="1923" t="str">
        <f>IF(BB8="ND", "ND", IF(BB8&gt;0, 'TRAD-Calculs Péremption FA'!$B$73, "OK"))</f>
        <v>ND</v>
      </c>
      <c r="BD8" s="1924" t="str">
        <f t="shared" si="5"/>
        <v>ND</v>
      </c>
      <c r="BE8" s="1919">
        <f>'Saisie données stocks'!AA20</f>
        <v>0</v>
      </c>
      <c r="BF8" s="1920">
        <f>'Saisie données stocks'!AB20</f>
        <v>0</v>
      </c>
      <c r="BG8" s="1923">
        <f t="shared" ref="BG8:BG47" si="26">IF(AND(BB8&gt;0, ISNUMBER(BB8)), (AY8+BF8-BB8), (AY8+BF8))</f>
        <v>1032</v>
      </c>
      <c r="BH8" s="1923" t="str">
        <f>IF(AND(BE8=0, BF8=0), "ND", IF((BE8-Paramétrage!$H$19)&gt;0, (BE8-Paramétrage!$H$19)/(365/12), "Date non renseignée ou produit périmé"))</f>
        <v>ND</v>
      </c>
      <c r="BI8" s="1923" t="str">
        <f t="shared" ref="BI8:BI47" si="27">IF(ISERROR(BH8*M8+(N8*(BH8*(BH8+1)/2))), "ND", BH8*M8+(N8*(BH8*(BH8+1)/2)))</f>
        <v>ND</v>
      </c>
      <c r="BJ8" s="1923" t="str">
        <f t="shared" ref="BJ8:BJ47" si="28">IF(AND(ISNUMBER(BG8), ISNUMBER(BI8)), (BG8-BI8), "ND")</f>
        <v>ND</v>
      </c>
      <c r="BK8" s="1923" t="str">
        <f>IF(BJ8="ND", "ND", IF(BJ8&gt;0, 'TRAD-Calculs Péremption FA'!$B$73, "OK"))</f>
        <v>ND</v>
      </c>
      <c r="BL8" s="1924" t="str">
        <f t="shared" si="6"/>
        <v>ND</v>
      </c>
      <c r="BM8" s="1919">
        <f>'Saisie données stocks'!AC20</f>
        <v>0</v>
      </c>
      <c r="BN8" s="1920">
        <f>'Saisie données stocks'!AD20</f>
        <v>0</v>
      </c>
      <c r="BO8" s="1923">
        <f t="shared" ref="BO8:BO47" si="29">IF(AND(BJ8&gt;0, ISNUMBER(BJ8)), (BG8+BN8-BJ8), (BG8+BN8))</f>
        <v>1032</v>
      </c>
      <c r="BP8" s="1923" t="str">
        <f>IF(AND(BM8=0, BN8=0), "ND", IF((BM8-Paramétrage!$H$19)&gt;0, (BM8-Paramétrage!$H$19)/(365/12), "Date non renseignée ou produit périmé"))</f>
        <v>ND</v>
      </c>
      <c r="BQ8" s="1923" t="str">
        <f t="shared" ref="BQ8:BQ47" si="30">IF(ISERROR(BP8*M8+(N8*(BP8*(BP8+1)/2))), "ND", BP8*M8+(N8*(BP8*(BP8+1)/2)))</f>
        <v>ND</v>
      </c>
      <c r="BR8" s="1923" t="str">
        <f t="shared" ref="BR8:BR47" si="31">IF(AND(ISNUMBER(BO8), ISNUMBER(BQ8)), (BO8-BQ8), "ND")</f>
        <v>ND</v>
      </c>
      <c r="BS8" s="1923" t="str">
        <f>IF(BR8="ND", "ND", IF(BR8&gt;0, 'TRAD-Calculs Péremption FA'!$B$73, "OK"))</f>
        <v>ND</v>
      </c>
      <c r="BT8" s="1924" t="str">
        <f t="shared" si="7"/>
        <v>ND</v>
      </c>
      <c r="BU8" s="1925">
        <f>IF('Saisie données stocks'!$O$10='TRAD-Saisie données stocks'!$B$51, IF(P8="OK", IF(AND(BR8&gt;0, ISNUMBER(BR8)), (BO8-BR8), (BO8)), O8), O8)</f>
        <v>1032</v>
      </c>
      <c r="BV8" s="1925">
        <f t="shared" si="8"/>
        <v>0</v>
      </c>
      <c r="BW8" s="2045" t="str">
        <f t="shared" ref="BW8:BW47" si="32">IF(BU8=O8,"",IF(AND(BR8&gt;0, ISNUMBER(BR8)),BM8,IF(AND(BJ8&gt;0, ISNUMBER(BJ8)), BE8, IF(AND(BB8&gt;0, ISNUMBER(BB8)), AW8,IF(AND(AT8&gt;0, ISNUMBER(AT8)),AO8,IF(AND(AL8&gt;0, ISNUMBER(AL8)),AG8,IF(AND(AD8&gt;0, ISNUMBER(AD8)),Y8,IF(AND(V8&gt;0, ISNUMBER(V8)),R8,""))))))))</f>
        <v/>
      </c>
      <c r="BX8" s="2045">
        <f>IF('Saisie données stocks'!$O$10='TRAD-Saisie données stocks'!$B$51, IF('Calculs Péremption FA'!P8="OK", IF(BU8=O8, MAX(Paramétrage!$H$19+('Saisie données stocks'!$N$14*(365/12)), BM8, BE8, AW8, AO8, AG8, Y8, R8), BW8), Paramétrage!$H$19+('Saisie données stocks'!$N$14*(365/12))), Paramétrage!$H$19+('Saisie données stocks'!$N$14*(365/12)))</f>
        <v>42339</v>
      </c>
      <c r="BY8" s="2046">
        <f t="shared" si="9"/>
        <v>1</v>
      </c>
      <c r="BZ8" s="2046">
        <f t="shared" si="10"/>
        <v>12</v>
      </c>
      <c r="CA8" s="2046">
        <f t="shared" si="11"/>
        <v>2015</v>
      </c>
      <c r="CB8" s="2046">
        <f>IF(BX8="", "", (BX8-Paramétrage!$H$19)/(365/12))</f>
        <v>13.808219178082192</v>
      </c>
      <c r="CC8" s="2043" t="str">
        <f>IF(CB8='Saisie données stocks'!N$14, 'TRAD-Calculs Péremption FA'!$B$74, CONCATENATE("DLU - ", BY8, "/", BZ8, "/", CA8))</f>
        <v>DLU - 1/12/2015</v>
      </c>
    </row>
    <row r="9" spans="1:81" ht="39" thickBot="1" x14ac:dyDescent="0.25">
      <c r="B9" s="374"/>
      <c r="C9" s="375"/>
      <c r="D9" s="1669" t="s">
        <v>3</v>
      </c>
      <c r="E9" s="1670" t="str">
        <f>'TRAD-Calculs Péremption FA'!B9</f>
        <v>Cp</v>
      </c>
      <c r="F9" s="1670" t="s">
        <v>137</v>
      </c>
      <c r="G9" s="377" t="s">
        <v>640</v>
      </c>
      <c r="H9" s="379" t="str">
        <f t="shared" si="12"/>
        <v>AZT+3TC+ABC - 300/150/300 mg</v>
      </c>
      <c r="I9" s="114">
        <v>60</v>
      </c>
      <c r="J9" s="657"/>
      <c r="K9" s="756">
        <f>IF('TdB Péremptions'!$H$9="X", 'Prix 10-2011 GPRM $'!$O$31, IF('TdB Péremptions'!$H$10="X", 'Prix 10-2011 GPRM $'!$Q$31, IF('TdB Péremptions'!$H$11="X", 'Prix VPP 102012 convert'!$O$31, IF('TdB Péremptions'!$H$12="X", 'Prix VPP 102012 convert'!$Q$31, IF('TdB Péremptions'!$H$13="X", 'Prix spécifiques'!$J$9, 0)))))</f>
        <v>33</v>
      </c>
      <c r="L9" s="756">
        <f>(1+'TdB Péremptions'!$H$14)*K9</f>
        <v>36.300000000000004</v>
      </c>
      <c r="M9" s="1916">
        <f>Calculs!L319</f>
        <v>27</v>
      </c>
      <c r="N9" s="1916">
        <f>Calculs!N319</f>
        <v>0</v>
      </c>
      <c r="O9" s="1916">
        <f>'Saisie données stocks'!N21</f>
        <v>666</v>
      </c>
      <c r="P9" s="2539" t="str">
        <f>IF(SUM('Saisie données stocks'!R21+'Saisie données stocks'!T21+'Saisie données stocks'!V21+'Saisie données stocks'!X21+'Saisie données stocks'!Z21+'Saisie données stocks'!AB21+'Saisie données stocks'!AD21)='Calculs Péremption conso'!O9,  "OK", 'TRAD-Calculs Péremption FA'!$B$75)</f>
        <v>OK</v>
      </c>
      <c r="Q9" s="2544" t="str">
        <f>IF(AND(O9&gt;0, Calculs!L319=0, Calculs!N319=0), 'TRAD-Calculs Péremption FA'!$B$76, "")</f>
        <v/>
      </c>
      <c r="R9" s="1919">
        <f>'Saisie données stocks'!Q21</f>
        <v>42186</v>
      </c>
      <c r="S9" s="1920">
        <f>'Saisie données stocks'!R21</f>
        <v>666</v>
      </c>
      <c r="T9" s="1921">
        <f>IF(AND(R9=0, S9=0), "ND", IF((R9-Paramétrage!$H$19)&gt;0, (R9-Paramétrage!$H$19)/(365/12), "Date non renseignée ou produit périmé"))</f>
        <v>8.7780821917808218</v>
      </c>
      <c r="U9" s="1922">
        <f t="shared" si="13"/>
        <v>237.00821917808219</v>
      </c>
      <c r="V9" s="1922">
        <f t="shared" si="0"/>
        <v>428.99178082191781</v>
      </c>
      <c r="W9" s="1921" t="str">
        <f>IF(V9="ND", "ND", IF(V9&gt;0, 'TRAD-Calculs Péremption FA'!$B$73, "OK"))</f>
        <v>ATTENTION SURSTOCK et risque de péremption</v>
      </c>
      <c r="X9" s="1924">
        <f t="shared" si="1"/>
        <v>15572.401643835619</v>
      </c>
      <c r="Y9" s="1919">
        <f>'Saisie données stocks'!S21</f>
        <v>0</v>
      </c>
      <c r="Z9" s="1920">
        <f>'Saisie données stocks'!T21</f>
        <v>0</v>
      </c>
      <c r="AA9" s="1923">
        <f t="shared" si="14"/>
        <v>237.00821917808219</v>
      </c>
      <c r="AB9" s="1923" t="str">
        <f>IF(AND(Y9=0, Z9=0), "ND", IF((Y9-Paramétrage!$H$19)&gt;0, (Y9-Paramétrage!$H$19)/(365/12), "Date non renseignée ou produit périmé"))</f>
        <v>ND</v>
      </c>
      <c r="AC9" s="1923" t="str">
        <f t="shared" si="15"/>
        <v>ND</v>
      </c>
      <c r="AD9" s="1923" t="str">
        <f t="shared" si="16"/>
        <v>ND</v>
      </c>
      <c r="AE9" s="1921" t="str">
        <f>IF(AD9="ND", "ND", IF(AD9&gt;0, 'TRAD-Calculs Péremption FA'!$B$73, "OK"))</f>
        <v>ND</v>
      </c>
      <c r="AF9" s="1924" t="str">
        <f t="shared" si="2"/>
        <v>ND</v>
      </c>
      <c r="AG9" s="1919">
        <f>'Saisie données stocks'!U21</f>
        <v>0</v>
      </c>
      <c r="AH9" s="1920">
        <f>'Saisie données stocks'!V21</f>
        <v>0</v>
      </c>
      <c r="AI9" s="1923">
        <f t="shared" si="17"/>
        <v>237.00821917808219</v>
      </c>
      <c r="AJ9" s="1923" t="str">
        <f>IF(AND(AG9=0, AH9=0), "ND", IF((AG9-Paramétrage!$H$19)&gt;0, (AG9-Paramétrage!$H$19)/(365/12), "Date non renseignée ou produit périmé"))</f>
        <v>ND</v>
      </c>
      <c r="AK9" s="1923" t="str">
        <f t="shared" si="18"/>
        <v>ND</v>
      </c>
      <c r="AL9" s="1923" t="str">
        <f t="shared" si="19"/>
        <v>ND</v>
      </c>
      <c r="AM9" s="1923" t="str">
        <f>IF(AL9="ND", "ND", IF(AL9&gt;0, 'TRAD-Calculs Péremption FA'!$B$73, "OK"))</f>
        <v>ND</v>
      </c>
      <c r="AN9" s="1924" t="str">
        <f t="shared" si="3"/>
        <v>ND</v>
      </c>
      <c r="AO9" s="1919">
        <f>'Saisie données stocks'!W21</f>
        <v>0</v>
      </c>
      <c r="AP9" s="1920">
        <f>'Saisie données stocks'!X21</f>
        <v>0</v>
      </c>
      <c r="AQ9" s="1923">
        <f t="shared" si="20"/>
        <v>237.00821917808219</v>
      </c>
      <c r="AR9" s="1923" t="str">
        <f>IF(AND(AO9=0, AP9=0), "ND", IF((AO9-Paramétrage!$H$19)&gt;0, (AO9-Paramétrage!$H$19)/(365/12), "Date non renseignée ou produit périmé"))</f>
        <v>ND</v>
      </c>
      <c r="AS9" s="1923" t="str">
        <f t="shared" si="21"/>
        <v>ND</v>
      </c>
      <c r="AT9" s="1923" t="str">
        <f t="shared" si="22"/>
        <v>ND</v>
      </c>
      <c r="AU9" s="1923" t="str">
        <f>IF(AT9="ND", "ND", IF(AT9&gt;0, 'TRAD-Calculs Péremption FA'!$B$73, "OK"))</f>
        <v>ND</v>
      </c>
      <c r="AV9" s="1924" t="str">
        <f t="shared" si="4"/>
        <v>ND</v>
      </c>
      <c r="AW9" s="1919">
        <f>'Saisie données stocks'!Y21</f>
        <v>0</v>
      </c>
      <c r="AX9" s="1920">
        <f>'Saisie données stocks'!Z21</f>
        <v>0</v>
      </c>
      <c r="AY9" s="1923">
        <f t="shared" si="23"/>
        <v>237.00821917808219</v>
      </c>
      <c r="AZ9" s="1923" t="str">
        <f>IF(AND(AW9=0, AX9=0), "ND", IF((AW9-Paramétrage!$H$19)&gt;0, (AW9-Paramétrage!$H$19)/(365/12), "Date non renseignée ou produit périmé"))</f>
        <v>ND</v>
      </c>
      <c r="BA9" s="1923" t="str">
        <f t="shared" si="24"/>
        <v>ND</v>
      </c>
      <c r="BB9" s="1923" t="str">
        <f t="shared" si="25"/>
        <v>ND</v>
      </c>
      <c r="BC9" s="1923" t="str">
        <f>IF(BB9="ND", "ND", IF(BB9&gt;0, 'TRAD-Calculs Péremption FA'!$B$73, "OK"))</f>
        <v>ND</v>
      </c>
      <c r="BD9" s="1924" t="str">
        <f t="shared" si="5"/>
        <v>ND</v>
      </c>
      <c r="BE9" s="1919">
        <f>'Saisie données stocks'!AA21</f>
        <v>0</v>
      </c>
      <c r="BF9" s="1920">
        <f>'Saisie données stocks'!AB21</f>
        <v>0</v>
      </c>
      <c r="BG9" s="1923">
        <f t="shared" si="26"/>
        <v>237.00821917808219</v>
      </c>
      <c r="BH9" s="1923" t="str">
        <f>IF(AND(BE9=0, BF9=0), "ND", IF((BE9-Paramétrage!$H$19)&gt;0, (BE9-Paramétrage!$H$19)/(365/12), "Date non renseignée ou produit périmé"))</f>
        <v>ND</v>
      </c>
      <c r="BI9" s="1923" t="str">
        <f t="shared" si="27"/>
        <v>ND</v>
      </c>
      <c r="BJ9" s="1923" t="str">
        <f t="shared" si="28"/>
        <v>ND</v>
      </c>
      <c r="BK9" s="1923" t="str">
        <f>IF(BJ9="ND", "ND", IF(BJ9&gt;0, 'TRAD-Calculs Péremption FA'!$B$73, "OK"))</f>
        <v>ND</v>
      </c>
      <c r="BL9" s="1924" t="str">
        <f t="shared" si="6"/>
        <v>ND</v>
      </c>
      <c r="BM9" s="1919">
        <f>'Saisie données stocks'!AC21</f>
        <v>0</v>
      </c>
      <c r="BN9" s="1920">
        <f>'Saisie données stocks'!AD21</f>
        <v>0</v>
      </c>
      <c r="BO9" s="1923">
        <f t="shared" si="29"/>
        <v>237.00821917808219</v>
      </c>
      <c r="BP9" s="1923" t="str">
        <f>IF(AND(BM9=0, BN9=0), "ND", IF((BM9-Paramétrage!$H$19)&gt;0, (BM9-Paramétrage!$H$19)/(365/12), "Date non renseignée ou produit périmé"))</f>
        <v>ND</v>
      </c>
      <c r="BQ9" s="1923" t="str">
        <f t="shared" si="30"/>
        <v>ND</v>
      </c>
      <c r="BR9" s="1923" t="str">
        <f t="shared" si="31"/>
        <v>ND</v>
      </c>
      <c r="BS9" s="1923" t="str">
        <f>IF(BR9="ND", "ND", IF(BR9&gt;0, 'TRAD-Calculs Péremption FA'!$B$73, "OK"))</f>
        <v>ND</v>
      </c>
      <c r="BT9" s="1924" t="str">
        <f t="shared" si="7"/>
        <v>ND</v>
      </c>
      <c r="BU9" s="1925">
        <f>IF('Saisie données stocks'!$O$10='TRAD-Saisie données stocks'!$B$51, IF(P9="OK", IF(AND(BR9&gt;0, ISNUMBER(BR9)), (BO9-BR9), (BO9)), O9), O9)</f>
        <v>237.00821917808219</v>
      </c>
      <c r="BV9" s="1925">
        <f t="shared" si="8"/>
        <v>428.99178082191781</v>
      </c>
      <c r="BW9" s="2045">
        <f t="shared" si="32"/>
        <v>42186</v>
      </c>
      <c r="BX9" s="2045">
        <f>IF('Saisie données stocks'!$O$10='TRAD-Saisie données stocks'!$B$51, IF('Calculs Péremption FA'!P9="OK", IF(BU9=O9, MAX(Paramétrage!$H$19+('Saisie données stocks'!$N$14*(365/12)), BM9, BE9, AW9, AO9, AG9, Y9, R9), BW9), Paramétrage!$H$19+('Saisie données stocks'!$N$14*(365/12))), Paramétrage!$H$19+('Saisie données stocks'!$N$14*(365/12)))</f>
        <v>42186</v>
      </c>
      <c r="BY9" s="2046">
        <f t="shared" si="9"/>
        <v>1</v>
      </c>
      <c r="BZ9" s="2046">
        <f t="shared" si="10"/>
        <v>7</v>
      </c>
      <c r="CA9" s="2046">
        <f t="shared" si="11"/>
        <v>2015</v>
      </c>
      <c r="CB9" s="2046">
        <f>IF(BX9="", "", (BX9-Paramétrage!$H$19)/(365/12))</f>
        <v>8.7780821917808218</v>
      </c>
      <c r="CC9" s="2043" t="str">
        <f>IF(CB9='Saisie données stocks'!N$14, 'TRAD-Calculs Péremption FA'!$B$74, CONCATENATE("DLU - ", BY9, "/", BZ9, "/", CA9))</f>
        <v>DLU - 1/7/2015</v>
      </c>
    </row>
    <row r="10" spans="1:81" ht="26.25" thickBot="1" x14ac:dyDescent="0.25">
      <c r="B10" s="374"/>
      <c r="C10" s="375"/>
      <c r="D10" s="1669" t="s">
        <v>18</v>
      </c>
      <c r="E10" s="1670" t="str">
        <f>'TRAD-Calculs Péremption FA'!B9</f>
        <v>Cp</v>
      </c>
      <c r="F10" s="1670" t="s">
        <v>19</v>
      </c>
      <c r="G10" s="377" t="s">
        <v>641</v>
      </c>
      <c r="H10" s="379" t="str">
        <f t="shared" si="12"/>
        <v>AZT+3TC - 300/150 mg</v>
      </c>
      <c r="I10" s="114">
        <v>60</v>
      </c>
      <c r="J10" s="657"/>
      <c r="K10" s="756">
        <f>IF('TdB Péremptions'!$H$9="X", 'Prix 10-2011 GPRM $'!$O$28, IF('TdB Péremptions'!$H$10="X", 'Prix 10-2011 GPRM $'!$Q$28, IF('TdB Péremptions'!$H$11="X", 'Prix VPP 102012 convert'!$O$28, IF('TdB Péremptions'!$H$12="X", 'Prix VPP 102012 convert'!$Q$28, IF('TdB Péremptions'!$H$13="X", 'Prix spécifiques'!$J$10, 0)))))</f>
        <v>9.9550000000000001</v>
      </c>
      <c r="L10" s="756">
        <f>(1+'TdB Péremptions'!$H$14)*K10</f>
        <v>10.950500000000002</v>
      </c>
      <c r="M10" s="1916">
        <f>Calculs!L320</f>
        <v>1267</v>
      </c>
      <c r="N10" s="1916">
        <f>Calculs!N320</f>
        <v>0</v>
      </c>
      <c r="O10" s="1916">
        <f>'Saisie données stocks'!N22</f>
        <v>11298</v>
      </c>
      <c r="P10" s="1917" t="str">
        <f>IF(SUM('Saisie données stocks'!R22+'Saisie données stocks'!T22+'Saisie données stocks'!V22+'Saisie données stocks'!X22+'Saisie données stocks'!Z22+'Saisie données stocks'!AB22+'Saisie données stocks'!AD22)='Calculs Péremption conso'!O10,  "OK", 'TRAD-Calculs Péremption FA'!$B$75)</f>
        <v>OK</v>
      </c>
      <c r="Q10" s="1918" t="str">
        <f>IF(AND(O10&gt;0, Calculs!L320=0, Calculs!N320=0), 'TRAD-Calculs Péremption FA'!$B$76, "")</f>
        <v/>
      </c>
      <c r="R10" s="1919">
        <f>'Saisie données stocks'!Q22</f>
        <v>42430</v>
      </c>
      <c r="S10" s="1920">
        <f>'Saisie données stocks'!R22</f>
        <v>4784</v>
      </c>
      <c r="T10" s="1921">
        <f>IF(AND(R10=0, S10=0), "ND", IF((R10-Paramétrage!$H$19)&gt;0, (R10-Paramétrage!$H$19)/(365/12), "Date non renseignée ou produit périmé"))</f>
        <v>16.8</v>
      </c>
      <c r="U10" s="1922">
        <f t="shared" si="13"/>
        <v>21285.600000000002</v>
      </c>
      <c r="V10" s="1922">
        <f t="shared" si="0"/>
        <v>-16501.600000000002</v>
      </c>
      <c r="W10" s="2539" t="str">
        <f>IF(V10="ND", "ND", IF(V10&gt;0, 'TRAD-Calculs Péremption FA'!$B$73, "OK"))</f>
        <v>OK</v>
      </c>
      <c r="X10" s="1924" t="str">
        <f t="shared" si="1"/>
        <v/>
      </c>
      <c r="Y10" s="1919">
        <f>'Saisie données stocks'!S22</f>
        <v>42705</v>
      </c>
      <c r="Z10" s="1920">
        <f>'Saisie données stocks'!T22</f>
        <v>6514</v>
      </c>
      <c r="AA10" s="1923">
        <f t="shared" si="14"/>
        <v>11298</v>
      </c>
      <c r="AB10" s="1923">
        <f>IF(AND(Y10=0, Z10=0), "ND", IF((Y10-Paramétrage!$H$19)&gt;0, (Y10-Paramétrage!$H$19)/(365/12), "Date non renseignée ou produit périmé"))</f>
        <v>25.841095890410958</v>
      </c>
      <c r="AC10" s="1923">
        <f t="shared" si="15"/>
        <v>32740.668493150686</v>
      </c>
      <c r="AD10" s="1923">
        <f t="shared" si="16"/>
        <v>-21442.668493150686</v>
      </c>
      <c r="AE10" s="1921" t="str">
        <f>IF(AD10="ND", "ND", IF(AD10&gt;0, 'TRAD-Calculs Péremption FA'!$B$73, "OK"))</f>
        <v>OK</v>
      </c>
      <c r="AF10" s="1924" t="str">
        <f t="shared" si="2"/>
        <v/>
      </c>
      <c r="AG10" s="1919">
        <f>'Saisie données stocks'!U22</f>
        <v>0</v>
      </c>
      <c r="AH10" s="1920">
        <f>'Saisie données stocks'!V22</f>
        <v>0</v>
      </c>
      <c r="AI10" s="1923">
        <f t="shared" si="17"/>
        <v>11298</v>
      </c>
      <c r="AJ10" s="1923" t="str">
        <f>IF(AND(AG10=0, AH10=0), "ND", IF((AG10-Paramétrage!$H$19)&gt;0, (AG10-Paramétrage!$H$19)/(365/12), "Date non renseignée ou produit périmé"))</f>
        <v>ND</v>
      </c>
      <c r="AK10" s="1923" t="str">
        <f t="shared" si="18"/>
        <v>ND</v>
      </c>
      <c r="AL10" s="1923" t="str">
        <f t="shared" si="19"/>
        <v>ND</v>
      </c>
      <c r="AM10" s="1923" t="str">
        <f>IF(AL10="ND", "ND", IF(AL10&gt;0, 'TRAD-Calculs Péremption FA'!$B$73, "OK"))</f>
        <v>ND</v>
      </c>
      <c r="AN10" s="1924" t="str">
        <f t="shared" si="3"/>
        <v>ND</v>
      </c>
      <c r="AO10" s="1919">
        <f>'Saisie données stocks'!W22</f>
        <v>0</v>
      </c>
      <c r="AP10" s="1920">
        <f>'Saisie données stocks'!X22</f>
        <v>0</v>
      </c>
      <c r="AQ10" s="1923">
        <f t="shared" si="20"/>
        <v>11298</v>
      </c>
      <c r="AR10" s="1923" t="str">
        <f>IF(AND(AO10=0, AP10=0), "ND", IF((AO10-Paramétrage!$H$19)&gt;0, (AO10-Paramétrage!$H$19)/(365/12), "Date non renseignée ou produit périmé"))</f>
        <v>ND</v>
      </c>
      <c r="AS10" s="1923" t="str">
        <f t="shared" si="21"/>
        <v>ND</v>
      </c>
      <c r="AT10" s="1923" t="str">
        <f t="shared" si="22"/>
        <v>ND</v>
      </c>
      <c r="AU10" s="1923" t="str">
        <f>IF(AT10="ND", "ND", IF(AT10&gt;0, 'TRAD-Calculs Péremption FA'!$B$73, "OK"))</f>
        <v>ND</v>
      </c>
      <c r="AV10" s="1924" t="str">
        <f t="shared" si="4"/>
        <v>ND</v>
      </c>
      <c r="AW10" s="1919">
        <f>'Saisie données stocks'!Y22</f>
        <v>0</v>
      </c>
      <c r="AX10" s="1920">
        <f>'Saisie données stocks'!Z22</f>
        <v>0</v>
      </c>
      <c r="AY10" s="1923">
        <f t="shared" si="23"/>
        <v>11298</v>
      </c>
      <c r="AZ10" s="1923" t="str">
        <f>IF(AND(AW10=0, AX10=0), "ND", IF((AW10-Paramétrage!$H$19)&gt;0, (AW10-Paramétrage!$H$19)/(365/12), "Date non renseignée ou produit périmé"))</f>
        <v>ND</v>
      </c>
      <c r="BA10" s="1923" t="str">
        <f t="shared" si="24"/>
        <v>ND</v>
      </c>
      <c r="BB10" s="1923" t="str">
        <f t="shared" si="25"/>
        <v>ND</v>
      </c>
      <c r="BC10" s="1923" t="str">
        <f>IF(BB10="ND", "ND", IF(BB10&gt;0, 'TRAD-Calculs Péremption FA'!$B$73, "OK"))</f>
        <v>ND</v>
      </c>
      <c r="BD10" s="1924" t="str">
        <f t="shared" si="5"/>
        <v>ND</v>
      </c>
      <c r="BE10" s="1919">
        <f>'Saisie données stocks'!AA22</f>
        <v>0</v>
      </c>
      <c r="BF10" s="1920">
        <f>'Saisie données stocks'!AB22</f>
        <v>0</v>
      </c>
      <c r="BG10" s="1923">
        <f t="shared" si="26"/>
        <v>11298</v>
      </c>
      <c r="BH10" s="1923" t="str">
        <f>IF(AND(BE10=0, BF10=0), "ND", IF((BE10-Paramétrage!$H$19)&gt;0, (BE10-Paramétrage!$H$19)/(365/12), "Date non renseignée ou produit périmé"))</f>
        <v>ND</v>
      </c>
      <c r="BI10" s="1923" t="str">
        <f t="shared" si="27"/>
        <v>ND</v>
      </c>
      <c r="BJ10" s="1923" t="str">
        <f t="shared" si="28"/>
        <v>ND</v>
      </c>
      <c r="BK10" s="1923" t="str">
        <f>IF(BJ10="ND", "ND", IF(BJ10&gt;0, 'TRAD-Calculs Péremption FA'!$B$73, "OK"))</f>
        <v>ND</v>
      </c>
      <c r="BL10" s="1924" t="str">
        <f t="shared" si="6"/>
        <v>ND</v>
      </c>
      <c r="BM10" s="1919">
        <f>'Saisie données stocks'!AC22</f>
        <v>0</v>
      </c>
      <c r="BN10" s="1920">
        <f>'Saisie données stocks'!AD22</f>
        <v>0</v>
      </c>
      <c r="BO10" s="1923">
        <f t="shared" si="29"/>
        <v>11298</v>
      </c>
      <c r="BP10" s="1923" t="str">
        <f>IF(AND(BM10=0, BN10=0), "ND", IF((BM10-Paramétrage!$H$19)&gt;0, (BM10-Paramétrage!$H$19)/(365/12), "Date non renseignée ou produit périmé"))</f>
        <v>ND</v>
      </c>
      <c r="BQ10" s="1923" t="str">
        <f t="shared" si="30"/>
        <v>ND</v>
      </c>
      <c r="BR10" s="1923" t="str">
        <f t="shared" si="31"/>
        <v>ND</v>
      </c>
      <c r="BS10" s="1923" t="str">
        <f>IF(BR10="ND", "ND", IF(BR10&gt;0, 'TRAD-Calculs Péremption FA'!$B$73, "OK"))</f>
        <v>ND</v>
      </c>
      <c r="BT10" s="1924" t="str">
        <f t="shared" si="7"/>
        <v>ND</v>
      </c>
      <c r="BU10" s="1925">
        <f>IF('Saisie données stocks'!$O$10='TRAD-Saisie données stocks'!$B$51, IF(P10="OK", IF(AND(BR10&gt;0, ISNUMBER(BR10)), (BO10-BR10), (BO10)), O10), O10)</f>
        <v>11298</v>
      </c>
      <c r="BV10" s="1925">
        <f t="shared" si="8"/>
        <v>0</v>
      </c>
      <c r="BW10" s="2045" t="str">
        <f t="shared" si="32"/>
        <v/>
      </c>
      <c r="BX10" s="2045">
        <f>IF('Saisie données stocks'!$O$10='TRAD-Saisie données stocks'!$B$51, IF('Calculs Péremption FA'!P10="OK", IF(BU10=O10, MAX(Paramétrage!$H$19+('Saisie données stocks'!$N$14*(365/12)), BM10, BE10, AW10, AO10, AG10, Y10, R10), BW10), Paramétrage!$H$19+('Saisie données stocks'!$N$14*(365/12))), Paramétrage!$H$19+('Saisie données stocks'!$N$14*(365/12)))</f>
        <v>42705</v>
      </c>
      <c r="BY10" s="2046">
        <f t="shared" si="9"/>
        <v>1</v>
      </c>
      <c r="BZ10" s="2046">
        <f t="shared" si="10"/>
        <v>12</v>
      </c>
      <c r="CA10" s="2046">
        <f t="shared" si="11"/>
        <v>2016</v>
      </c>
      <c r="CB10" s="2046">
        <f>IF(BX10="", "", (BX10-Paramétrage!$H$19)/(365/12))</f>
        <v>25.841095890410958</v>
      </c>
      <c r="CC10" s="2043" t="str">
        <f>IF(CB10='Saisie données stocks'!N$14, 'TRAD-Calculs Péremption FA'!$B$74, CONCATENATE("DLU - ", BY10, "/", BZ10, "/", CA10))</f>
        <v>DLU - 1/12/2016</v>
      </c>
    </row>
    <row r="11" spans="1:81" ht="26.25" thickBot="1" x14ac:dyDescent="0.25">
      <c r="B11" s="374"/>
      <c r="C11" s="375"/>
      <c r="D11" s="1912" t="s">
        <v>18</v>
      </c>
      <c r="E11" s="1913" t="str">
        <f>'TRAD-Calculs Péremption FA'!B9</f>
        <v>Cp</v>
      </c>
      <c r="F11" s="1913" t="s">
        <v>260</v>
      </c>
      <c r="G11" s="1914" t="s">
        <v>641</v>
      </c>
      <c r="H11" s="379" t="str">
        <f t="shared" si="12"/>
        <v>AZT+3TC - 60/30 mg</v>
      </c>
      <c r="I11" s="505">
        <v>60</v>
      </c>
      <c r="J11" s="657"/>
      <c r="K11" s="756">
        <f>IF('TdB Péremptions'!$H$9="X", 'Prix 10-2011 GPRM $'!$O$128, IF('TdB Péremptions'!$H$10="X", 'Prix 10-2011 GPRM $'!$Q$128, IF('TdB Péremptions'!$H$11="X", 'Prix VPP 102012 convert'!$O$128, IF('TdB Péremptions'!$H$12="X", 'Prix VPP 102012 convert'!$Q$128, IF('TdB Péremptions'!$H$13="X", 'Prix spécifiques'!$J$11, 0)))))</f>
        <v>2.67</v>
      </c>
      <c r="L11" s="756">
        <f>(1+'TdB Péremptions'!$H$14)*K11</f>
        <v>2.9370000000000003</v>
      </c>
      <c r="M11" s="1916">
        <f>Calculs!L321</f>
        <v>146</v>
      </c>
      <c r="N11" s="1916">
        <f>Calculs!N321</f>
        <v>0</v>
      </c>
      <c r="O11" s="1916">
        <f>'Saisie données stocks'!N23</f>
        <v>743</v>
      </c>
      <c r="P11" s="1917" t="str">
        <f>IF(SUM('Saisie données stocks'!R23+'Saisie données stocks'!T23+'Saisie données stocks'!V23+'Saisie données stocks'!X23+'Saisie données stocks'!Z23+'Saisie données stocks'!AB23+'Saisie données stocks'!AD23)='Calculs Péremption conso'!O11,  "OK", 'TRAD-Calculs Péremption FA'!$B$75)</f>
        <v>OK</v>
      </c>
      <c r="Q11" s="1918" t="str">
        <f>IF(AND(O11&gt;0, Calculs!L321=0, Calculs!N321=0), 'TRAD-Calculs Péremption FA'!$B$76, "")</f>
        <v/>
      </c>
      <c r="R11" s="1919">
        <f>'Saisie données stocks'!Q23</f>
        <v>42186</v>
      </c>
      <c r="S11" s="1920">
        <f>'Saisie données stocks'!R23</f>
        <v>743</v>
      </c>
      <c r="T11" s="1921">
        <f>IF(AND(R11=0, S11=0), "ND", IF((R11-Paramétrage!$H$19)&gt;0, (R11-Paramétrage!$H$19)/(365/12), "Date non renseignée ou produit périmé"))</f>
        <v>8.7780821917808218</v>
      </c>
      <c r="U11" s="1922">
        <f t="shared" si="13"/>
        <v>1281.5999999999999</v>
      </c>
      <c r="V11" s="1922">
        <f t="shared" si="0"/>
        <v>-538.59999999999991</v>
      </c>
      <c r="W11" s="1921" t="str">
        <f>IF(V11="ND", "ND", IF(V11&gt;0, 'TRAD-Calculs Péremption FA'!$B$73, "OK"))</f>
        <v>OK</v>
      </c>
      <c r="X11" s="1924" t="str">
        <f t="shared" si="1"/>
        <v/>
      </c>
      <c r="Y11" s="1919">
        <f>'Saisie données stocks'!S23</f>
        <v>0</v>
      </c>
      <c r="Z11" s="1920">
        <f>'Saisie données stocks'!T23</f>
        <v>0</v>
      </c>
      <c r="AA11" s="1923">
        <f t="shared" si="14"/>
        <v>743</v>
      </c>
      <c r="AB11" s="1923" t="str">
        <f>IF(AND(Y11=0, Z11=0), "ND", IF((Y11-Paramétrage!$H$19)&gt;0, (Y11-Paramétrage!$H$19)/(365/12), "Date non renseignée ou produit périmé"))</f>
        <v>ND</v>
      </c>
      <c r="AC11" s="1923" t="str">
        <f t="shared" si="15"/>
        <v>ND</v>
      </c>
      <c r="AD11" s="1923" t="str">
        <f t="shared" si="16"/>
        <v>ND</v>
      </c>
      <c r="AE11" s="1921" t="str">
        <f>IF(AD11="ND", "ND", IF(AD11&gt;0, 'TRAD-Calculs Péremption FA'!$B$73, "OK"))</f>
        <v>ND</v>
      </c>
      <c r="AF11" s="1924" t="str">
        <f t="shared" si="2"/>
        <v>ND</v>
      </c>
      <c r="AG11" s="1919">
        <f>'Saisie données stocks'!U23</f>
        <v>0</v>
      </c>
      <c r="AH11" s="1920">
        <f>'Saisie données stocks'!V23</f>
        <v>0</v>
      </c>
      <c r="AI11" s="1923">
        <f t="shared" si="17"/>
        <v>743</v>
      </c>
      <c r="AJ11" s="1923" t="str">
        <f>IF(AND(AG11=0, AH11=0), "ND", IF((AG11-Paramétrage!$H$19)&gt;0, (AG11-Paramétrage!$H$19)/(365/12), "Date non renseignée ou produit périmé"))</f>
        <v>ND</v>
      </c>
      <c r="AK11" s="1923" t="str">
        <f t="shared" si="18"/>
        <v>ND</v>
      </c>
      <c r="AL11" s="1923" t="str">
        <f t="shared" si="19"/>
        <v>ND</v>
      </c>
      <c r="AM11" s="1923" t="str">
        <f>IF(AL11="ND", "ND", IF(AL11&gt;0, 'TRAD-Calculs Péremption FA'!$B$73, "OK"))</f>
        <v>ND</v>
      </c>
      <c r="AN11" s="1924" t="str">
        <f t="shared" si="3"/>
        <v>ND</v>
      </c>
      <c r="AO11" s="1919">
        <f>'Saisie données stocks'!W23</f>
        <v>0</v>
      </c>
      <c r="AP11" s="1920">
        <f>'Saisie données stocks'!X23</f>
        <v>0</v>
      </c>
      <c r="AQ11" s="1923">
        <f t="shared" si="20"/>
        <v>743</v>
      </c>
      <c r="AR11" s="1923" t="str">
        <f>IF(AND(AO11=0, AP11=0), "ND", IF((AO11-Paramétrage!$H$19)&gt;0, (AO11-Paramétrage!$H$19)/(365/12), "Date non renseignée ou produit périmé"))</f>
        <v>ND</v>
      </c>
      <c r="AS11" s="1923" t="str">
        <f t="shared" si="21"/>
        <v>ND</v>
      </c>
      <c r="AT11" s="1923" t="str">
        <f t="shared" si="22"/>
        <v>ND</v>
      </c>
      <c r="AU11" s="1923" t="str">
        <f>IF(AT11="ND", "ND", IF(AT11&gt;0, 'TRAD-Calculs Péremption FA'!$B$73, "OK"))</f>
        <v>ND</v>
      </c>
      <c r="AV11" s="1924" t="str">
        <f t="shared" si="4"/>
        <v>ND</v>
      </c>
      <c r="AW11" s="1919">
        <f>'Saisie données stocks'!Y23</f>
        <v>0</v>
      </c>
      <c r="AX11" s="1920">
        <f>'Saisie données stocks'!Z23</f>
        <v>0</v>
      </c>
      <c r="AY11" s="1923">
        <f t="shared" si="23"/>
        <v>743</v>
      </c>
      <c r="AZ11" s="1923" t="str">
        <f>IF(AND(AW11=0, AX11=0), "ND", IF((AW11-Paramétrage!$H$19)&gt;0, (AW11-Paramétrage!$H$19)/(365/12), "Date non renseignée ou produit périmé"))</f>
        <v>ND</v>
      </c>
      <c r="BA11" s="1923" t="str">
        <f t="shared" si="24"/>
        <v>ND</v>
      </c>
      <c r="BB11" s="1923" t="str">
        <f t="shared" si="25"/>
        <v>ND</v>
      </c>
      <c r="BC11" s="1923" t="str">
        <f>IF(BB11="ND", "ND", IF(BB11&gt;0, 'TRAD-Calculs Péremption FA'!$B$73, "OK"))</f>
        <v>ND</v>
      </c>
      <c r="BD11" s="1924" t="str">
        <f t="shared" si="5"/>
        <v>ND</v>
      </c>
      <c r="BE11" s="1919">
        <f>'Saisie données stocks'!AA23</f>
        <v>0</v>
      </c>
      <c r="BF11" s="1920">
        <f>'Saisie données stocks'!AB23</f>
        <v>0</v>
      </c>
      <c r="BG11" s="1923">
        <f t="shared" si="26"/>
        <v>743</v>
      </c>
      <c r="BH11" s="1923" t="str">
        <f>IF(AND(BE11=0, BF11=0), "ND", IF((BE11-Paramétrage!$H$19)&gt;0, (BE11-Paramétrage!$H$19)/(365/12), "Date non renseignée ou produit périmé"))</f>
        <v>ND</v>
      </c>
      <c r="BI11" s="1923" t="str">
        <f t="shared" si="27"/>
        <v>ND</v>
      </c>
      <c r="BJ11" s="1923" t="str">
        <f t="shared" si="28"/>
        <v>ND</v>
      </c>
      <c r="BK11" s="1923" t="str">
        <f>IF(BJ11="ND", "ND", IF(BJ11&gt;0, 'TRAD-Calculs Péremption FA'!$B$73, "OK"))</f>
        <v>ND</v>
      </c>
      <c r="BL11" s="1924" t="str">
        <f t="shared" si="6"/>
        <v>ND</v>
      </c>
      <c r="BM11" s="1919">
        <f>'Saisie données stocks'!AC23</f>
        <v>0</v>
      </c>
      <c r="BN11" s="1920">
        <f>'Saisie données stocks'!AD23</f>
        <v>0</v>
      </c>
      <c r="BO11" s="1923">
        <f t="shared" si="29"/>
        <v>743</v>
      </c>
      <c r="BP11" s="1923" t="str">
        <f>IF(AND(BM11=0, BN11=0), "ND", IF((BM11-Paramétrage!$H$19)&gt;0, (BM11-Paramétrage!$H$19)/(365/12), "Date non renseignée ou produit périmé"))</f>
        <v>ND</v>
      </c>
      <c r="BQ11" s="1923" t="str">
        <f t="shared" si="30"/>
        <v>ND</v>
      </c>
      <c r="BR11" s="1923" t="str">
        <f t="shared" si="31"/>
        <v>ND</v>
      </c>
      <c r="BS11" s="1923" t="str">
        <f>IF(BR11="ND", "ND", IF(BR11&gt;0, 'TRAD-Calculs Péremption FA'!$B$73, "OK"))</f>
        <v>ND</v>
      </c>
      <c r="BT11" s="1924" t="str">
        <f t="shared" si="7"/>
        <v>ND</v>
      </c>
      <c r="BU11" s="1925">
        <f>IF('Saisie données stocks'!$O$10='TRAD-Saisie données stocks'!$B$51, IF(P11="OK", IF(AND(BR11&gt;0, ISNUMBER(BR11)), (BO11-BR11), (BO11)), O11), O11)</f>
        <v>743</v>
      </c>
      <c r="BV11" s="1925">
        <f t="shared" si="8"/>
        <v>0</v>
      </c>
      <c r="BW11" s="2045" t="str">
        <f t="shared" si="32"/>
        <v/>
      </c>
      <c r="BX11" s="2045">
        <f>IF('Saisie données stocks'!$O$10='TRAD-Saisie données stocks'!$B$51, IF('Calculs Péremption FA'!P11="OK", IF(BU11=O11, MAX(Paramétrage!$H$19+('Saisie données stocks'!$N$14*(365/12)), BM11, BE11, AW11, AO11, AG11, Y11, R11), BW11), Paramétrage!$H$19+('Saisie données stocks'!$N$14*(365/12))), Paramétrage!$H$19+('Saisie données stocks'!$N$14*(365/12)))</f>
        <v>42186</v>
      </c>
      <c r="BY11" s="2046">
        <f t="shared" si="9"/>
        <v>1</v>
      </c>
      <c r="BZ11" s="2046">
        <f t="shared" si="10"/>
        <v>7</v>
      </c>
      <c r="CA11" s="2046">
        <f t="shared" si="11"/>
        <v>2015</v>
      </c>
      <c r="CB11" s="2046">
        <f>IF(BX11="", "", (BX11-Paramétrage!$H$19)/(365/12))</f>
        <v>8.7780821917808218</v>
      </c>
      <c r="CC11" s="2043" t="str">
        <f>IF(CB11='Saisie données stocks'!N$14, 'TRAD-Calculs Péremption FA'!$B$74, CONCATENATE("DLU - ", BY11, "/", BZ11, "/", CA11))</f>
        <v>DLU - 1/7/2015</v>
      </c>
    </row>
    <row r="12" spans="1:81" ht="26.25" thickBot="1" x14ac:dyDescent="0.25">
      <c r="B12" s="374"/>
      <c r="C12" s="375"/>
      <c r="D12" s="1912" t="s">
        <v>474</v>
      </c>
      <c r="E12" s="1913" t="str">
        <f>'TRAD-Calculs Péremption FA'!B9</f>
        <v>Cp</v>
      </c>
      <c r="F12" s="1913" t="s">
        <v>478</v>
      </c>
      <c r="G12" s="1914" t="s">
        <v>642</v>
      </c>
      <c r="H12" s="379" t="str">
        <f t="shared" si="12"/>
        <v>3TC+ABC - 300/600 mg</v>
      </c>
      <c r="I12" s="505">
        <v>30</v>
      </c>
      <c r="J12" s="657"/>
      <c r="K12" s="756">
        <f>IF('TdB Péremptions'!$H$9="X", 'Prix 10-2011 GPRM $'!$O$33, IF('TdB Péremptions'!$H$10="X", 'Prix 10-2011 GPRM $'!$Q$33, IF('TdB Péremptions'!$H$11="X", 'Prix VPP 102012 convert'!$O$33, IF('TdB Péremptions'!$H$12="X", 'Prix VPP 102012 convert'!$Q$33, IF('TdB Péremptions'!$H$13="X", 'Prix spécifiques'!$J$12, 0)))))</f>
        <v>19</v>
      </c>
      <c r="L12" s="756">
        <f>(1+'TdB Péremptions'!$H$14)*K12</f>
        <v>20.900000000000002</v>
      </c>
      <c r="M12" s="1916">
        <f>Calculs!L322</f>
        <v>56</v>
      </c>
      <c r="N12" s="1916">
        <f>Calculs!N322</f>
        <v>0</v>
      </c>
      <c r="O12" s="1916">
        <f>'Saisie données stocks'!N24</f>
        <v>147</v>
      </c>
      <c r="P12" s="1917" t="str">
        <f>IF(SUM('Saisie données stocks'!R24+'Saisie données stocks'!T24+'Saisie données stocks'!V24+'Saisie données stocks'!X24+'Saisie données stocks'!Z24+'Saisie données stocks'!AB24+'Saisie données stocks'!AD24)='Calculs Péremption conso'!O12,  "OK", 'TRAD-Calculs Péremption FA'!$B$75)</f>
        <v>OK</v>
      </c>
      <c r="Q12" s="1918" t="str">
        <f>IF(AND(O12&gt;0, Calculs!L322=0, Calculs!N322=0), 'TRAD-Calculs Péremption FA'!$B$76, "")</f>
        <v/>
      </c>
      <c r="R12" s="1919">
        <f>'Saisie données stocks'!Q24</f>
        <v>42461</v>
      </c>
      <c r="S12" s="1920">
        <f>'Saisie données stocks'!R24</f>
        <v>147</v>
      </c>
      <c r="T12" s="1921">
        <f>IF(AND(R12=0, S12=0), "ND", IF((R12-Paramétrage!$H$19)&gt;0, (R12-Paramétrage!$H$19)/(365/12), "Date non renseignée ou produit périmé"))</f>
        <v>17.81917808219178</v>
      </c>
      <c r="U12" s="1922">
        <f t="shared" si="13"/>
        <v>997.87397260273963</v>
      </c>
      <c r="V12" s="1922">
        <f t="shared" si="0"/>
        <v>-850.87397260273963</v>
      </c>
      <c r="W12" s="1921" t="str">
        <f>IF(V12="ND", "ND", IF(V12&gt;0, 'TRAD-Calculs Péremption FA'!$B$73, "OK"))</f>
        <v>OK</v>
      </c>
      <c r="X12" s="1924" t="str">
        <f t="shared" si="1"/>
        <v/>
      </c>
      <c r="Y12" s="1919">
        <f>'Saisie données stocks'!S24</f>
        <v>0</v>
      </c>
      <c r="Z12" s="1920">
        <f>'Saisie données stocks'!T24</f>
        <v>0</v>
      </c>
      <c r="AA12" s="1923">
        <f t="shared" si="14"/>
        <v>147</v>
      </c>
      <c r="AB12" s="1923" t="str">
        <f>IF(AND(Y12=0, Z12=0), "ND", IF((Y12-Paramétrage!$H$19)&gt;0, (Y12-Paramétrage!$H$19)/(365/12), "Date non renseignée ou produit périmé"))</f>
        <v>ND</v>
      </c>
      <c r="AC12" s="1923" t="str">
        <f t="shared" si="15"/>
        <v>ND</v>
      </c>
      <c r="AD12" s="1923" t="str">
        <f t="shared" si="16"/>
        <v>ND</v>
      </c>
      <c r="AE12" s="1921" t="str">
        <f>IF(AD12="ND", "ND", IF(AD12&gt;0, 'TRAD-Calculs Péremption FA'!$B$73, "OK"))</f>
        <v>ND</v>
      </c>
      <c r="AF12" s="1924" t="str">
        <f t="shared" si="2"/>
        <v>ND</v>
      </c>
      <c r="AG12" s="1919">
        <f>'Saisie données stocks'!U24</f>
        <v>0</v>
      </c>
      <c r="AH12" s="1920">
        <f>'Saisie données stocks'!V24</f>
        <v>0</v>
      </c>
      <c r="AI12" s="1923">
        <f t="shared" si="17"/>
        <v>147</v>
      </c>
      <c r="AJ12" s="1923" t="str">
        <f>IF(AND(AG12=0, AH12=0), "ND", IF((AG12-Paramétrage!$H$19)&gt;0, (AG12-Paramétrage!$H$19)/(365/12), "Date non renseignée ou produit périmé"))</f>
        <v>ND</v>
      </c>
      <c r="AK12" s="1923" t="str">
        <f t="shared" si="18"/>
        <v>ND</v>
      </c>
      <c r="AL12" s="1923" t="str">
        <f t="shared" si="19"/>
        <v>ND</v>
      </c>
      <c r="AM12" s="1923" t="str">
        <f>IF(AL12="ND", "ND", IF(AL12&gt;0, 'TRAD-Calculs Péremption FA'!$B$73, "OK"))</f>
        <v>ND</v>
      </c>
      <c r="AN12" s="1924" t="str">
        <f t="shared" si="3"/>
        <v>ND</v>
      </c>
      <c r="AO12" s="1919">
        <f>'Saisie données stocks'!W24</f>
        <v>0</v>
      </c>
      <c r="AP12" s="1920">
        <f>'Saisie données stocks'!X24</f>
        <v>0</v>
      </c>
      <c r="AQ12" s="1923">
        <f t="shared" si="20"/>
        <v>147</v>
      </c>
      <c r="AR12" s="1923" t="str">
        <f>IF(AND(AO12=0, AP12=0), "ND", IF((AO12-Paramétrage!$H$19)&gt;0, (AO12-Paramétrage!$H$19)/(365/12), "Date non renseignée ou produit périmé"))</f>
        <v>ND</v>
      </c>
      <c r="AS12" s="1923" t="str">
        <f t="shared" si="21"/>
        <v>ND</v>
      </c>
      <c r="AT12" s="1923" t="str">
        <f t="shared" si="22"/>
        <v>ND</v>
      </c>
      <c r="AU12" s="1923" t="str">
        <f>IF(AT12="ND", "ND", IF(AT12&gt;0, 'TRAD-Calculs Péremption FA'!$B$73, "OK"))</f>
        <v>ND</v>
      </c>
      <c r="AV12" s="1924" t="str">
        <f t="shared" si="4"/>
        <v>ND</v>
      </c>
      <c r="AW12" s="1919">
        <f>'Saisie données stocks'!Y24</f>
        <v>0</v>
      </c>
      <c r="AX12" s="1920">
        <f>'Saisie données stocks'!Z24</f>
        <v>0</v>
      </c>
      <c r="AY12" s="1923">
        <f t="shared" si="23"/>
        <v>147</v>
      </c>
      <c r="AZ12" s="1923" t="str">
        <f>IF(AND(AW12=0, AX12=0), "ND", IF((AW12-Paramétrage!$H$19)&gt;0, (AW12-Paramétrage!$H$19)/(365/12), "Date non renseignée ou produit périmé"))</f>
        <v>ND</v>
      </c>
      <c r="BA12" s="1923" t="str">
        <f t="shared" si="24"/>
        <v>ND</v>
      </c>
      <c r="BB12" s="1923" t="str">
        <f t="shared" si="25"/>
        <v>ND</v>
      </c>
      <c r="BC12" s="1923" t="str">
        <f>IF(BB12="ND", "ND", IF(BB12&gt;0, 'TRAD-Calculs Péremption FA'!$B$73, "OK"))</f>
        <v>ND</v>
      </c>
      <c r="BD12" s="1924" t="str">
        <f t="shared" si="5"/>
        <v>ND</v>
      </c>
      <c r="BE12" s="1919">
        <f>'Saisie données stocks'!AA24</f>
        <v>0</v>
      </c>
      <c r="BF12" s="1920">
        <f>'Saisie données stocks'!AB24</f>
        <v>0</v>
      </c>
      <c r="BG12" s="1923">
        <f t="shared" si="26"/>
        <v>147</v>
      </c>
      <c r="BH12" s="1923" t="str">
        <f>IF(AND(BE12=0, BF12=0), "ND", IF((BE12-Paramétrage!$H$19)&gt;0, (BE12-Paramétrage!$H$19)/(365/12), "Date non renseignée ou produit périmé"))</f>
        <v>ND</v>
      </c>
      <c r="BI12" s="1923" t="str">
        <f t="shared" si="27"/>
        <v>ND</v>
      </c>
      <c r="BJ12" s="1923" t="str">
        <f t="shared" si="28"/>
        <v>ND</v>
      </c>
      <c r="BK12" s="1923" t="str">
        <f>IF(BJ12="ND", "ND", IF(BJ12&gt;0, 'TRAD-Calculs Péremption FA'!$B$73, "OK"))</f>
        <v>ND</v>
      </c>
      <c r="BL12" s="1924" t="str">
        <f t="shared" si="6"/>
        <v>ND</v>
      </c>
      <c r="BM12" s="1919">
        <f>'Saisie données stocks'!AC24</f>
        <v>0</v>
      </c>
      <c r="BN12" s="1920">
        <f>'Saisie données stocks'!AD24</f>
        <v>0</v>
      </c>
      <c r="BO12" s="1923">
        <f t="shared" si="29"/>
        <v>147</v>
      </c>
      <c r="BP12" s="1923" t="str">
        <f>IF(AND(BM12=0, BN12=0), "ND", IF((BM12-Paramétrage!$H$19)&gt;0, (BM12-Paramétrage!$H$19)/(365/12), "Date non renseignée ou produit périmé"))</f>
        <v>ND</v>
      </c>
      <c r="BQ12" s="1923" t="str">
        <f t="shared" si="30"/>
        <v>ND</v>
      </c>
      <c r="BR12" s="1923" t="str">
        <f t="shared" si="31"/>
        <v>ND</v>
      </c>
      <c r="BS12" s="1923" t="str">
        <f>IF(BR12="ND", "ND", IF(BR12&gt;0, 'TRAD-Calculs Péremption FA'!$B$73, "OK"))</f>
        <v>ND</v>
      </c>
      <c r="BT12" s="1924" t="str">
        <f t="shared" si="7"/>
        <v>ND</v>
      </c>
      <c r="BU12" s="1925">
        <f>IF('Saisie données stocks'!$O$10='TRAD-Saisie données stocks'!$B$51, IF(P12="OK", IF(AND(BR12&gt;0, ISNUMBER(BR12)), (BO12-BR12), (BO12)), O12), O12)</f>
        <v>147</v>
      </c>
      <c r="BV12" s="1925">
        <f t="shared" si="8"/>
        <v>0</v>
      </c>
      <c r="BW12" s="2045" t="str">
        <f t="shared" si="32"/>
        <v/>
      </c>
      <c r="BX12" s="2045">
        <f>IF('Saisie données stocks'!$O$10='TRAD-Saisie données stocks'!$B$51, IF('Calculs Péremption FA'!P12="OK", IF(BU12=O12, MAX(Paramétrage!$H$19+('Saisie données stocks'!$N$14*(365/12)), BM12, BE12, AW12, AO12, AG12, Y12, R12), BW12), Paramétrage!$H$19+('Saisie données stocks'!$N$14*(365/12))), Paramétrage!$H$19+('Saisie données stocks'!$N$14*(365/12)))</f>
        <v>42461</v>
      </c>
      <c r="BY12" s="2046">
        <f t="shared" si="9"/>
        <v>1</v>
      </c>
      <c r="BZ12" s="2046">
        <f t="shared" si="10"/>
        <v>4</v>
      </c>
      <c r="CA12" s="2046">
        <f t="shared" si="11"/>
        <v>2016</v>
      </c>
      <c r="CB12" s="2046">
        <f>IF(BX12="", "", (BX12-Paramétrage!$H$19)/(365/12))</f>
        <v>17.81917808219178</v>
      </c>
      <c r="CC12" s="2043" t="str">
        <f>IF(CB12='Saisie données stocks'!N$14, 'TRAD-Calculs Péremption FA'!$B$74, CONCATENATE("DLU - ", BY12, "/", BZ12, "/", CA12))</f>
        <v>DLU - 1/4/2016</v>
      </c>
    </row>
    <row r="13" spans="1:81" ht="26.25" thickBot="1" x14ac:dyDescent="0.25">
      <c r="B13" s="374"/>
      <c r="C13" s="375"/>
      <c r="D13" s="1912" t="s">
        <v>474</v>
      </c>
      <c r="E13" s="1913" t="str">
        <f>'TRAD-Calculs Péremption FA'!B9</f>
        <v>Cp</v>
      </c>
      <c r="F13" s="1913" t="s">
        <v>610</v>
      </c>
      <c r="G13" s="1914" t="s">
        <v>642</v>
      </c>
      <c r="H13" s="379" t="str">
        <f t="shared" si="12"/>
        <v>3TC+ABC - 30/60 mg</v>
      </c>
      <c r="I13" s="505">
        <v>60</v>
      </c>
      <c r="J13" s="657"/>
      <c r="K13" s="756">
        <f>IF('TdB Péremptions'!$H$9="X", 'Prix 10-2011 GPRM $'!$O$129, IF('TdB Péremptions'!$H$10="X", 'Prix 10-2011 GPRM $'!$Q$129, IF('TdB Péremptions'!$H$11="X", 'Prix VPP 102012 convert'!$O$129, IF('TdB Péremptions'!$H$12="X", 'Prix VPP 102012 convert'!$Q$129, IF('TdB Péremptions'!$H$13="X", 'Prix spécifiques'!$J$13, 0)))))</f>
        <v>5.8</v>
      </c>
      <c r="L13" s="756">
        <f>(1+'TdB Péremptions'!$H$14)*K13</f>
        <v>6.38</v>
      </c>
      <c r="M13" s="1916">
        <f>Calculs!L323</f>
        <v>22</v>
      </c>
      <c r="N13" s="1916">
        <f>Calculs!N323</f>
        <v>0</v>
      </c>
      <c r="O13" s="1916">
        <f>'Saisie données stocks'!N25</f>
        <v>231</v>
      </c>
      <c r="P13" s="1917" t="str">
        <f>IF(SUM('Saisie données stocks'!R25+'Saisie données stocks'!T25+'Saisie données stocks'!V25+'Saisie données stocks'!X25+'Saisie données stocks'!Z25+'Saisie données stocks'!AB25+'Saisie données stocks'!AD25)='Calculs Péremption conso'!O13,  "OK", 'TRAD-Calculs Péremption FA'!$B$75)</f>
        <v>OK</v>
      </c>
      <c r="Q13" s="1918" t="str">
        <f>IF(AND(O13&gt;0, Calculs!L323=0, Calculs!N323=0), 'TRAD-Calculs Péremption FA'!$B$76, "")</f>
        <v/>
      </c>
      <c r="R13" s="1919">
        <f>'Saisie données stocks'!Q25</f>
        <v>42036</v>
      </c>
      <c r="S13" s="1920">
        <f>'Saisie données stocks'!R25</f>
        <v>231</v>
      </c>
      <c r="T13" s="1921">
        <f>IF(AND(R13=0, S13=0), "ND", IF((R13-Paramétrage!$H$19)&gt;0, (R13-Paramétrage!$H$19)/(365/12), "Date non renseignée ou produit périmé"))</f>
        <v>3.8465753424657532</v>
      </c>
      <c r="U13" s="1922">
        <f t="shared" si="13"/>
        <v>84.624657534246566</v>
      </c>
      <c r="V13" s="1922">
        <f t="shared" si="0"/>
        <v>146.37534246575342</v>
      </c>
      <c r="W13" s="1921" t="str">
        <f>IF(V13="ND", "ND", IF(V13&gt;0, 'TRAD-Calculs Péremption FA'!$B$73, "OK"))</f>
        <v>ATTENTION SURSTOCK et risque de péremption</v>
      </c>
      <c r="X13" s="1924">
        <f t="shared" si="1"/>
        <v>933.87468493150675</v>
      </c>
      <c r="Y13" s="1919">
        <f>'Saisie données stocks'!S25</f>
        <v>0</v>
      </c>
      <c r="Z13" s="1920">
        <f>'Saisie données stocks'!T25</f>
        <v>0</v>
      </c>
      <c r="AA13" s="1923">
        <f t="shared" si="14"/>
        <v>84.62465753424658</v>
      </c>
      <c r="AB13" s="1923" t="str">
        <f>IF(AND(Y13=0, Z13=0), "ND", IF((Y13-Paramétrage!$H$19)&gt;0, (Y13-Paramétrage!$H$19)/(365/12), "Date non renseignée ou produit périmé"))</f>
        <v>ND</v>
      </c>
      <c r="AC13" s="1923" t="str">
        <f t="shared" si="15"/>
        <v>ND</v>
      </c>
      <c r="AD13" s="1923" t="str">
        <f t="shared" si="16"/>
        <v>ND</v>
      </c>
      <c r="AE13" s="1921" t="str">
        <f>IF(AD13="ND", "ND", IF(AD13&gt;0, 'TRAD-Calculs Péremption FA'!$B$73, "OK"))</f>
        <v>ND</v>
      </c>
      <c r="AF13" s="1924" t="str">
        <f t="shared" si="2"/>
        <v>ND</v>
      </c>
      <c r="AG13" s="1919">
        <f>'Saisie données stocks'!U25</f>
        <v>0</v>
      </c>
      <c r="AH13" s="1920">
        <f>'Saisie données stocks'!V25</f>
        <v>0</v>
      </c>
      <c r="AI13" s="1923">
        <f t="shared" si="17"/>
        <v>84.62465753424658</v>
      </c>
      <c r="AJ13" s="1923" t="str">
        <f>IF(AND(AG13=0, AH13=0), "ND", IF((AG13-Paramétrage!$H$19)&gt;0, (AG13-Paramétrage!$H$19)/(365/12), "Date non renseignée ou produit périmé"))</f>
        <v>ND</v>
      </c>
      <c r="AK13" s="1923" t="str">
        <f t="shared" si="18"/>
        <v>ND</v>
      </c>
      <c r="AL13" s="1923" t="str">
        <f t="shared" si="19"/>
        <v>ND</v>
      </c>
      <c r="AM13" s="1923" t="str">
        <f>IF(AL13="ND", "ND", IF(AL13&gt;0, 'TRAD-Calculs Péremption FA'!$B$73, "OK"))</f>
        <v>ND</v>
      </c>
      <c r="AN13" s="1924" t="str">
        <f t="shared" si="3"/>
        <v>ND</v>
      </c>
      <c r="AO13" s="1919">
        <f>'Saisie données stocks'!W25</f>
        <v>0</v>
      </c>
      <c r="AP13" s="1920">
        <f>'Saisie données stocks'!X25</f>
        <v>0</v>
      </c>
      <c r="AQ13" s="1923">
        <f t="shared" si="20"/>
        <v>84.62465753424658</v>
      </c>
      <c r="AR13" s="1923" t="str">
        <f>IF(AND(AO13=0, AP13=0), "ND", IF((AO13-Paramétrage!$H$19)&gt;0, (AO13-Paramétrage!$H$19)/(365/12), "Date non renseignée ou produit périmé"))</f>
        <v>ND</v>
      </c>
      <c r="AS13" s="1923" t="str">
        <f t="shared" si="21"/>
        <v>ND</v>
      </c>
      <c r="AT13" s="1923" t="str">
        <f t="shared" si="22"/>
        <v>ND</v>
      </c>
      <c r="AU13" s="1923" t="str">
        <f>IF(AT13="ND", "ND", IF(AT13&gt;0, 'TRAD-Calculs Péremption FA'!$B$73, "OK"))</f>
        <v>ND</v>
      </c>
      <c r="AV13" s="1924" t="str">
        <f t="shared" si="4"/>
        <v>ND</v>
      </c>
      <c r="AW13" s="1919">
        <f>'Saisie données stocks'!Y25</f>
        <v>0</v>
      </c>
      <c r="AX13" s="1920">
        <f>'Saisie données stocks'!Z25</f>
        <v>0</v>
      </c>
      <c r="AY13" s="1923">
        <f t="shared" si="23"/>
        <v>84.62465753424658</v>
      </c>
      <c r="AZ13" s="1923" t="str">
        <f>IF(AND(AW13=0, AX13=0), "ND", IF((AW13-Paramétrage!$H$19)&gt;0, (AW13-Paramétrage!$H$19)/(365/12), "Date non renseignée ou produit périmé"))</f>
        <v>ND</v>
      </c>
      <c r="BA13" s="1923" t="str">
        <f t="shared" si="24"/>
        <v>ND</v>
      </c>
      <c r="BB13" s="1923" t="str">
        <f t="shared" si="25"/>
        <v>ND</v>
      </c>
      <c r="BC13" s="1923" t="str">
        <f>IF(BB13="ND", "ND", IF(BB13&gt;0, 'TRAD-Calculs Péremption FA'!$B$73, "OK"))</f>
        <v>ND</v>
      </c>
      <c r="BD13" s="1924" t="str">
        <f t="shared" si="5"/>
        <v>ND</v>
      </c>
      <c r="BE13" s="1919">
        <f>'Saisie données stocks'!AA25</f>
        <v>0</v>
      </c>
      <c r="BF13" s="1920">
        <f>'Saisie données stocks'!AB25</f>
        <v>0</v>
      </c>
      <c r="BG13" s="1923">
        <f t="shared" si="26"/>
        <v>84.62465753424658</v>
      </c>
      <c r="BH13" s="1923" t="str">
        <f>IF(AND(BE13=0, BF13=0), "ND", IF((BE13-Paramétrage!$H$19)&gt;0, (BE13-Paramétrage!$H$19)/(365/12), "Date non renseignée ou produit périmé"))</f>
        <v>ND</v>
      </c>
      <c r="BI13" s="1923" t="str">
        <f t="shared" si="27"/>
        <v>ND</v>
      </c>
      <c r="BJ13" s="1923" t="str">
        <f t="shared" si="28"/>
        <v>ND</v>
      </c>
      <c r="BK13" s="1923" t="str">
        <f>IF(BJ13="ND", "ND", IF(BJ13&gt;0, 'TRAD-Calculs Péremption FA'!$B$73, "OK"))</f>
        <v>ND</v>
      </c>
      <c r="BL13" s="1924" t="str">
        <f t="shared" si="6"/>
        <v>ND</v>
      </c>
      <c r="BM13" s="1919">
        <f>'Saisie données stocks'!AC25</f>
        <v>0</v>
      </c>
      <c r="BN13" s="1920">
        <f>'Saisie données stocks'!AD25</f>
        <v>0</v>
      </c>
      <c r="BO13" s="1923">
        <f t="shared" si="29"/>
        <v>84.62465753424658</v>
      </c>
      <c r="BP13" s="1923" t="str">
        <f>IF(AND(BM13=0, BN13=0), "ND", IF((BM13-Paramétrage!$H$19)&gt;0, (BM13-Paramétrage!$H$19)/(365/12), "Date non renseignée ou produit périmé"))</f>
        <v>ND</v>
      </c>
      <c r="BQ13" s="1923" t="str">
        <f t="shared" si="30"/>
        <v>ND</v>
      </c>
      <c r="BR13" s="1923" t="str">
        <f t="shared" si="31"/>
        <v>ND</v>
      </c>
      <c r="BS13" s="1923" t="str">
        <f>IF(BR13="ND", "ND", IF(BR13&gt;0, 'TRAD-Calculs Péremption FA'!$B$73, "OK"))</f>
        <v>ND</v>
      </c>
      <c r="BT13" s="1924" t="str">
        <f t="shared" si="7"/>
        <v>ND</v>
      </c>
      <c r="BU13" s="1925">
        <f>IF('Saisie données stocks'!$O$10='TRAD-Saisie données stocks'!$B$51, IF(P13="OK", IF(AND(BR13&gt;0, ISNUMBER(BR13)), (BO13-BR13), (BO13)), O13), O13)</f>
        <v>84.62465753424658</v>
      </c>
      <c r="BV13" s="1925">
        <f t="shared" si="8"/>
        <v>146.37534246575342</v>
      </c>
      <c r="BW13" s="2045">
        <f t="shared" si="32"/>
        <v>42036</v>
      </c>
      <c r="BX13" s="2045">
        <f>IF('Saisie données stocks'!$O$10='TRAD-Saisie données stocks'!$B$51, IF('Calculs Péremption FA'!P13="OK", IF(BU13=O13, MAX(Paramétrage!$H$19+('Saisie données stocks'!$N$14*(365/12)), BM13, BE13, AW13, AO13, AG13, Y13, R13), BW13), Paramétrage!$H$19+('Saisie données stocks'!$N$14*(365/12))), Paramétrage!$H$19+('Saisie données stocks'!$N$14*(365/12)))</f>
        <v>42036</v>
      </c>
      <c r="BY13" s="2046">
        <f t="shared" si="9"/>
        <v>1</v>
      </c>
      <c r="BZ13" s="2046">
        <f t="shared" si="10"/>
        <v>2</v>
      </c>
      <c r="CA13" s="2046">
        <f t="shared" si="11"/>
        <v>2015</v>
      </c>
      <c r="CB13" s="2046">
        <f>IF(BX13="", "", (BX13-Paramétrage!$H$19)/(365/12))</f>
        <v>3.8465753424657532</v>
      </c>
      <c r="CC13" s="2043" t="str">
        <f>IF(CB13='Saisie données stocks'!N$14, 'TRAD-Calculs Péremption FA'!$B$74, CONCATENATE("DLU - ", BY13, "/", BZ13, "/", CA13))</f>
        <v>DLU - 1/2/2015</v>
      </c>
    </row>
    <row r="14" spans="1:81" ht="39" thickBot="1" x14ac:dyDescent="0.25">
      <c r="B14" s="374"/>
      <c r="C14" s="375"/>
      <c r="D14" s="1926" t="s">
        <v>2</v>
      </c>
      <c r="E14" s="1815" t="str">
        <f>'TRAD-Calculs Péremption FA'!B9</f>
        <v>Cp</v>
      </c>
      <c r="F14" s="1815" t="s">
        <v>21</v>
      </c>
      <c r="G14" s="1208" t="s">
        <v>643</v>
      </c>
      <c r="H14" s="1720" t="str">
        <f t="shared" si="12"/>
        <v>D4T+3TC+NVP - 30/150/200 mg</v>
      </c>
      <c r="I14" s="1385">
        <v>60</v>
      </c>
      <c r="J14" s="1645"/>
      <c r="K14" s="1628">
        <f>IF('TdB Péremptions'!$H$9="X", 'Prix 10-2011 GPRM $'!$O$29, IF('TdB Péremptions'!$H$10="X", 'Prix 10-2011 GPRM $'!$Q$29, IF('TdB Péremptions'!$H$11="X", 'Prix VPP 102012 convert'!$O$29, IF('TdB Péremptions'!$H$12="X", 'Prix VPP 102012 convert'!$Q$29, IF('TdB Péremptions'!$H$13="X", 'Prix spécifiques'!$J$14, 0)))))</f>
        <v>4.91</v>
      </c>
      <c r="L14" s="1628">
        <f>(1+'TdB Péremptions'!$H$14)*K14</f>
        <v>5.4010000000000007</v>
      </c>
      <c r="M14" s="1916">
        <f>Calculs!L324</f>
        <v>0</v>
      </c>
      <c r="N14" s="1916">
        <f>Calculs!N324</f>
        <v>0</v>
      </c>
      <c r="O14" s="1916">
        <f>'Saisie données stocks'!N26</f>
        <v>0</v>
      </c>
      <c r="P14" s="1917" t="str">
        <f>IF(SUM('Saisie données stocks'!R26+'Saisie données stocks'!T26+'Saisie données stocks'!V26+'Saisie données stocks'!X26+'Saisie données stocks'!Z26+'Saisie données stocks'!AB26+'Saisie données stocks'!AD26)='Calculs Péremption conso'!O14,  "OK", 'TRAD-Calculs Péremption FA'!$B$75)</f>
        <v>OK</v>
      </c>
      <c r="Q14" s="1918" t="str">
        <f>IF(AND(O14&gt;0, Calculs!L324=0, Calculs!N324=0), 'TRAD-Calculs Péremption FA'!$B$76, "")</f>
        <v/>
      </c>
      <c r="R14" s="1919">
        <f>'Saisie données stocks'!Q26</f>
        <v>0</v>
      </c>
      <c r="S14" s="1920">
        <f>'Saisie données stocks'!R26</f>
        <v>0</v>
      </c>
      <c r="T14" s="1921" t="str">
        <f>IF(AND(R14=0, S14=0), "ND", IF((R14-Paramétrage!$H$19)&gt;0, (R14-Paramétrage!$H$19)/(365/12), "Date non renseignée ou produit périmé"))</f>
        <v>ND</v>
      </c>
      <c r="U14" s="1922" t="str">
        <f t="shared" si="13"/>
        <v>ND</v>
      </c>
      <c r="V14" s="1922" t="str">
        <f t="shared" si="0"/>
        <v>ND</v>
      </c>
      <c r="W14" s="1921" t="str">
        <f>IF(V14="ND", "ND", IF(V14&gt;0, 'TRAD-Calculs Péremption FA'!$B$73, "OK"))</f>
        <v>ND</v>
      </c>
      <c r="X14" s="1924" t="str">
        <f t="shared" si="1"/>
        <v>ND</v>
      </c>
      <c r="Y14" s="1919">
        <f>'Saisie données stocks'!S26</f>
        <v>0</v>
      </c>
      <c r="Z14" s="1920">
        <f>'Saisie données stocks'!T26</f>
        <v>0</v>
      </c>
      <c r="AA14" s="1923">
        <f t="shared" si="14"/>
        <v>0</v>
      </c>
      <c r="AB14" s="1923" t="str">
        <f>IF(AND(Y14=0, Z14=0), "ND", IF((Y14-Paramétrage!$H$19)&gt;0, (Y14-Paramétrage!$H$19)/(365/12), "Date non renseignée ou produit périmé"))</f>
        <v>ND</v>
      </c>
      <c r="AC14" s="1923" t="str">
        <f t="shared" si="15"/>
        <v>ND</v>
      </c>
      <c r="AD14" s="1923" t="str">
        <f t="shared" si="16"/>
        <v>ND</v>
      </c>
      <c r="AE14" s="1921" t="str">
        <f>IF(AD14="ND", "ND", IF(AD14&gt;0, 'TRAD-Calculs Péremption FA'!$B$73, "OK"))</f>
        <v>ND</v>
      </c>
      <c r="AF14" s="1924" t="str">
        <f t="shared" si="2"/>
        <v>ND</v>
      </c>
      <c r="AG14" s="1919">
        <f>'Saisie données stocks'!U26</f>
        <v>0</v>
      </c>
      <c r="AH14" s="1920">
        <f>'Saisie données stocks'!V26</f>
        <v>0</v>
      </c>
      <c r="AI14" s="1923">
        <f t="shared" si="17"/>
        <v>0</v>
      </c>
      <c r="AJ14" s="1923" t="str">
        <f>IF(AND(AG14=0, AH14=0), "ND", IF((AG14-Paramétrage!$H$19)&gt;0, (AG14-Paramétrage!$H$19)/(365/12), "Date non renseignée ou produit périmé"))</f>
        <v>ND</v>
      </c>
      <c r="AK14" s="1923" t="str">
        <f t="shared" si="18"/>
        <v>ND</v>
      </c>
      <c r="AL14" s="1923" t="str">
        <f t="shared" si="19"/>
        <v>ND</v>
      </c>
      <c r="AM14" s="1923" t="str">
        <f>IF(AL14="ND", "ND", IF(AL14&gt;0, 'TRAD-Calculs Péremption FA'!$B$73, "OK"))</f>
        <v>ND</v>
      </c>
      <c r="AN14" s="1924" t="str">
        <f t="shared" si="3"/>
        <v>ND</v>
      </c>
      <c r="AO14" s="1919">
        <f>'Saisie données stocks'!W26</f>
        <v>0</v>
      </c>
      <c r="AP14" s="1920">
        <f>'Saisie données stocks'!X26</f>
        <v>0</v>
      </c>
      <c r="AQ14" s="1923">
        <f t="shared" si="20"/>
        <v>0</v>
      </c>
      <c r="AR14" s="1923" t="str">
        <f>IF(AND(AO14=0, AP14=0), "ND", IF((AO14-Paramétrage!$H$19)&gt;0, (AO14-Paramétrage!$H$19)/(365/12), "Date non renseignée ou produit périmé"))</f>
        <v>ND</v>
      </c>
      <c r="AS14" s="1923" t="str">
        <f t="shared" si="21"/>
        <v>ND</v>
      </c>
      <c r="AT14" s="1923" t="str">
        <f t="shared" si="22"/>
        <v>ND</v>
      </c>
      <c r="AU14" s="1923" t="str">
        <f>IF(AT14="ND", "ND", IF(AT14&gt;0, 'TRAD-Calculs Péremption FA'!$B$73, "OK"))</f>
        <v>ND</v>
      </c>
      <c r="AV14" s="1924" t="str">
        <f t="shared" si="4"/>
        <v>ND</v>
      </c>
      <c r="AW14" s="1919">
        <f>'Saisie données stocks'!Y26</f>
        <v>0</v>
      </c>
      <c r="AX14" s="1920">
        <f>'Saisie données stocks'!Z26</f>
        <v>0</v>
      </c>
      <c r="AY14" s="1923">
        <f t="shared" si="23"/>
        <v>0</v>
      </c>
      <c r="AZ14" s="1923" t="str">
        <f>IF(AND(AW14=0, AX14=0), "ND", IF((AW14-Paramétrage!$H$19)&gt;0, (AW14-Paramétrage!$H$19)/(365/12), "Date non renseignée ou produit périmé"))</f>
        <v>ND</v>
      </c>
      <c r="BA14" s="1923" t="str">
        <f t="shared" si="24"/>
        <v>ND</v>
      </c>
      <c r="BB14" s="1923" t="str">
        <f t="shared" si="25"/>
        <v>ND</v>
      </c>
      <c r="BC14" s="1923" t="str">
        <f>IF(BB14="ND", "ND", IF(BB14&gt;0, 'TRAD-Calculs Péremption FA'!$B$73, "OK"))</f>
        <v>ND</v>
      </c>
      <c r="BD14" s="1924" t="str">
        <f t="shared" si="5"/>
        <v>ND</v>
      </c>
      <c r="BE14" s="1919">
        <f>'Saisie données stocks'!AA26</f>
        <v>0</v>
      </c>
      <c r="BF14" s="1920">
        <f>'Saisie données stocks'!AB26</f>
        <v>0</v>
      </c>
      <c r="BG14" s="1923">
        <f t="shared" si="26"/>
        <v>0</v>
      </c>
      <c r="BH14" s="1923" t="str">
        <f>IF(AND(BE14=0, BF14=0), "ND", IF((BE14-Paramétrage!$H$19)&gt;0, (BE14-Paramétrage!$H$19)/(365/12), "Date non renseignée ou produit périmé"))</f>
        <v>ND</v>
      </c>
      <c r="BI14" s="1923" t="str">
        <f t="shared" si="27"/>
        <v>ND</v>
      </c>
      <c r="BJ14" s="1923" t="str">
        <f t="shared" si="28"/>
        <v>ND</v>
      </c>
      <c r="BK14" s="1923" t="str">
        <f>IF(BJ14="ND", "ND", IF(BJ14&gt;0, 'TRAD-Calculs Péremption FA'!$B$73, "OK"))</f>
        <v>ND</v>
      </c>
      <c r="BL14" s="1924" t="str">
        <f t="shared" si="6"/>
        <v>ND</v>
      </c>
      <c r="BM14" s="1919">
        <f>'Saisie données stocks'!AC26</f>
        <v>0</v>
      </c>
      <c r="BN14" s="1920">
        <f>'Saisie données stocks'!AD26</f>
        <v>0</v>
      </c>
      <c r="BO14" s="1923">
        <f t="shared" si="29"/>
        <v>0</v>
      </c>
      <c r="BP14" s="1923" t="str">
        <f>IF(AND(BM14=0, BN14=0), "ND", IF((BM14-Paramétrage!$H$19)&gt;0, (BM14-Paramétrage!$H$19)/(365/12), "Date non renseignée ou produit périmé"))</f>
        <v>ND</v>
      </c>
      <c r="BQ14" s="1923" t="str">
        <f t="shared" si="30"/>
        <v>ND</v>
      </c>
      <c r="BR14" s="1923" t="str">
        <f t="shared" si="31"/>
        <v>ND</v>
      </c>
      <c r="BS14" s="1923" t="str">
        <f>IF(BR14="ND", "ND", IF(BR14&gt;0, 'TRAD-Calculs Péremption FA'!$B$73, "OK"))</f>
        <v>ND</v>
      </c>
      <c r="BT14" s="1924" t="str">
        <f t="shared" si="7"/>
        <v>ND</v>
      </c>
      <c r="BU14" s="1925">
        <f>IF('Saisie données stocks'!$O$10='TRAD-Saisie données stocks'!$B$51, IF(P14="OK", IF(AND(BR14&gt;0, ISNUMBER(BR14)), (BO14-BR14), (BO14)), O14), O14)</f>
        <v>0</v>
      </c>
      <c r="BV14" s="1925">
        <f t="shared" si="8"/>
        <v>0</v>
      </c>
      <c r="BW14" s="2045" t="str">
        <f t="shared" si="32"/>
        <v/>
      </c>
      <c r="BX14" s="2045">
        <f>IF('Saisie données stocks'!$O$10='TRAD-Saisie données stocks'!$B$51, IF('Calculs Péremption FA'!P14="OK", IF(BU14=O14, MAX(Paramétrage!$H$19+('Saisie données stocks'!$N$14*(365/12)), BM14, BE14, AW14, AO14, AG14, Y14, R14), BW14), Paramétrage!$H$19+('Saisie données stocks'!$N$14*(365/12))), Paramétrage!$H$19+('Saisie données stocks'!$N$14*(365/12)))</f>
        <v>42101.5</v>
      </c>
      <c r="BY14" s="2046">
        <f t="shared" si="9"/>
        <v>7</v>
      </c>
      <c r="BZ14" s="2046">
        <f t="shared" si="10"/>
        <v>4</v>
      </c>
      <c r="CA14" s="2046">
        <f t="shared" si="11"/>
        <v>2015</v>
      </c>
      <c r="CB14" s="2046">
        <f>IF(BX14="", "", (BX14-Paramétrage!$H$19)/(365/12))</f>
        <v>6</v>
      </c>
      <c r="CC14" s="2043" t="str">
        <f>IF(CB14='Saisie données stocks'!N$14, 'TRAD-Calculs Péremption FA'!$B$74, CONCATENATE("DLU - ", BY14, "/", BZ14, "/", CA14))</f>
        <v>Durée de vie max</v>
      </c>
    </row>
    <row r="15" spans="1:81" ht="39" thickBot="1" x14ac:dyDescent="0.25">
      <c r="B15" s="374"/>
      <c r="C15" s="375"/>
      <c r="D15" s="1926" t="s">
        <v>2</v>
      </c>
      <c r="E15" s="1815" t="str">
        <f>'TRAD-Calculs Péremption FA'!B9</f>
        <v>Cp</v>
      </c>
      <c r="F15" s="1815" t="s">
        <v>102</v>
      </c>
      <c r="G15" s="1208" t="s">
        <v>643</v>
      </c>
      <c r="H15" s="1720" t="str">
        <f t="shared" si="12"/>
        <v>D4T+3TC+NVP - 6/30/50 mg</v>
      </c>
      <c r="I15" s="1385">
        <v>60</v>
      </c>
      <c r="J15" s="1645"/>
      <c r="K15" s="1628">
        <f>IF('TdB Péremptions'!$H$9="X", 'Prix 10-2011 GPRM $'!$O$109, IF('TdB Péremptions'!$H$10="X", 'Prix 10-2011 GPRM $'!$Q$109, IF('TdB Péremptions'!$H$11="X", 'Prix VPP 102012 convert'!$O$109, IF('TdB Péremptions'!$H$12="X", 'Prix VPP 102012 convert'!$Q$109, IF('TdB Péremptions'!$H$13="X", 'Prix spécifiques'!$J$15, 0)))))</f>
        <v>2.25</v>
      </c>
      <c r="L15" s="1628">
        <f>(1+'TdB Péremptions'!$H$14)*K15</f>
        <v>2.4750000000000001</v>
      </c>
      <c r="M15" s="1916">
        <f>Calculs!L325</f>
        <v>100</v>
      </c>
      <c r="N15" s="1916">
        <f>Calculs!N325</f>
        <v>0</v>
      </c>
      <c r="O15" s="1916">
        <f>'Saisie données stocks'!N27</f>
        <v>91</v>
      </c>
      <c r="P15" s="1917" t="str">
        <f>IF(SUM('Saisie données stocks'!R27+'Saisie données stocks'!T27+'Saisie données stocks'!V27+'Saisie données stocks'!X27+'Saisie données stocks'!Z27+'Saisie données stocks'!AB27+'Saisie données stocks'!AD27)='Calculs Péremption conso'!O15,  "OK", 'TRAD-Calculs Péremption FA'!$B$75)</f>
        <v>OK</v>
      </c>
      <c r="Q15" s="1918" t="str">
        <f>IF(AND(O15&gt;0, Calculs!L325=0, Calculs!N325=0), 'TRAD-Calculs Péremption FA'!$B$76, "")</f>
        <v/>
      </c>
      <c r="R15" s="1919">
        <f>'Saisie données stocks'!Q27</f>
        <v>41944</v>
      </c>
      <c r="S15" s="1920">
        <f>'Saisie données stocks'!R27</f>
        <v>91</v>
      </c>
      <c r="T15" s="1921">
        <f>IF(AND(R15=0, S15=0), "ND", IF((R15-Paramétrage!$H$19)&gt;0, (R15-Paramétrage!$H$19)/(365/12), "Date non renseignée ou produit périmé"))</f>
        <v>0.82191780821917804</v>
      </c>
      <c r="U15" s="1922">
        <f t="shared" si="13"/>
        <v>82.191780821917803</v>
      </c>
      <c r="V15" s="1922">
        <f t="shared" si="0"/>
        <v>8.8082191780821972</v>
      </c>
      <c r="W15" s="1921" t="str">
        <f>IF(V15="ND", "ND", IF(V15&gt;0, 'TRAD-Calculs Péremption FA'!$B$73, "OK"))</f>
        <v>ATTENTION SURSTOCK et risque de péremption</v>
      </c>
      <c r="X15" s="1924">
        <f t="shared" si="1"/>
        <v>21.800342465753438</v>
      </c>
      <c r="Y15" s="1919">
        <f>'Saisie données stocks'!S27</f>
        <v>0</v>
      </c>
      <c r="Z15" s="1920">
        <f>'Saisie données stocks'!T27</f>
        <v>0</v>
      </c>
      <c r="AA15" s="1923">
        <f t="shared" si="14"/>
        <v>82.191780821917803</v>
      </c>
      <c r="AB15" s="1923" t="str">
        <f>IF(AND(Y15=0, Z15=0), "ND", IF((Y15-Paramétrage!$H$19)&gt;0, (Y15-Paramétrage!$H$19)/(365/12), "Date non renseignée ou produit périmé"))</f>
        <v>ND</v>
      </c>
      <c r="AC15" s="1923" t="str">
        <f t="shared" si="15"/>
        <v>ND</v>
      </c>
      <c r="AD15" s="1923" t="str">
        <f t="shared" si="16"/>
        <v>ND</v>
      </c>
      <c r="AE15" s="1921" t="str">
        <f>IF(AD15="ND", "ND", IF(AD15&gt;0, 'TRAD-Calculs Péremption FA'!$B$73, "OK"))</f>
        <v>ND</v>
      </c>
      <c r="AF15" s="1924" t="str">
        <f t="shared" si="2"/>
        <v>ND</v>
      </c>
      <c r="AG15" s="1919">
        <f>'Saisie données stocks'!U27</f>
        <v>0</v>
      </c>
      <c r="AH15" s="1920">
        <f>'Saisie données stocks'!V27</f>
        <v>0</v>
      </c>
      <c r="AI15" s="1923">
        <f t="shared" si="17"/>
        <v>82.191780821917803</v>
      </c>
      <c r="AJ15" s="1923" t="str">
        <f>IF(AND(AG15=0, AH15=0), "ND", IF((AG15-Paramétrage!$H$19)&gt;0, (AG15-Paramétrage!$H$19)/(365/12), "Date non renseignée ou produit périmé"))</f>
        <v>ND</v>
      </c>
      <c r="AK15" s="1923" t="str">
        <f t="shared" si="18"/>
        <v>ND</v>
      </c>
      <c r="AL15" s="1923" t="str">
        <f t="shared" si="19"/>
        <v>ND</v>
      </c>
      <c r="AM15" s="2546" t="str">
        <f>IF(AL15="ND", "ND", IF(AL15&gt;0, 'TRAD-Calculs Péremption FA'!$B$73, "OK"))</f>
        <v>ND</v>
      </c>
      <c r="AN15" s="1924" t="str">
        <f t="shared" si="3"/>
        <v>ND</v>
      </c>
      <c r="AO15" s="1919">
        <f>'Saisie données stocks'!W27</f>
        <v>0</v>
      </c>
      <c r="AP15" s="1920">
        <f>'Saisie données stocks'!X27</f>
        <v>0</v>
      </c>
      <c r="AQ15" s="1923">
        <f t="shared" si="20"/>
        <v>82.191780821917803</v>
      </c>
      <c r="AR15" s="1923" t="str">
        <f>IF(AND(AO15=0, AP15=0), "ND", IF((AO15-Paramétrage!$H$19)&gt;0, (AO15-Paramétrage!$H$19)/(365/12), "Date non renseignée ou produit périmé"))</f>
        <v>ND</v>
      </c>
      <c r="AS15" s="1923" t="str">
        <f t="shared" si="21"/>
        <v>ND</v>
      </c>
      <c r="AT15" s="1923" t="str">
        <f t="shared" si="22"/>
        <v>ND</v>
      </c>
      <c r="AU15" s="1923" t="str">
        <f>IF(AT15="ND", "ND", IF(AT15&gt;0, 'TRAD-Calculs Péremption FA'!$B$73, "OK"))</f>
        <v>ND</v>
      </c>
      <c r="AV15" s="1924" t="str">
        <f t="shared" si="4"/>
        <v>ND</v>
      </c>
      <c r="AW15" s="1919">
        <f>'Saisie données stocks'!Y27</f>
        <v>0</v>
      </c>
      <c r="AX15" s="1920">
        <f>'Saisie données stocks'!Z27</f>
        <v>0</v>
      </c>
      <c r="AY15" s="1923">
        <f t="shared" si="23"/>
        <v>82.191780821917803</v>
      </c>
      <c r="AZ15" s="1923" t="str">
        <f>IF(AND(AW15=0, AX15=0), "ND", IF((AW15-Paramétrage!$H$19)&gt;0, (AW15-Paramétrage!$H$19)/(365/12), "Date non renseignée ou produit périmé"))</f>
        <v>ND</v>
      </c>
      <c r="BA15" s="1923" t="str">
        <f t="shared" si="24"/>
        <v>ND</v>
      </c>
      <c r="BB15" s="1923" t="str">
        <f t="shared" si="25"/>
        <v>ND</v>
      </c>
      <c r="BC15" s="1923" t="str">
        <f>IF(BB15="ND", "ND", IF(BB15&gt;0, 'TRAD-Calculs Péremption FA'!$B$73, "OK"))</f>
        <v>ND</v>
      </c>
      <c r="BD15" s="1924" t="str">
        <f t="shared" si="5"/>
        <v>ND</v>
      </c>
      <c r="BE15" s="1919">
        <f>'Saisie données stocks'!AA27</f>
        <v>0</v>
      </c>
      <c r="BF15" s="1920">
        <f>'Saisie données stocks'!AB27</f>
        <v>0</v>
      </c>
      <c r="BG15" s="1923">
        <f t="shared" si="26"/>
        <v>82.191780821917803</v>
      </c>
      <c r="BH15" s="1923" t="str">
        <f>IF(AND(BE15=0, BF15=0), "ND", IF((BE15-Paramétrage!$H$19)&gt;0, (BE15-Paramétrage!$H$19)/(365/12), "Date non renseignée ou produit périmé"))</f>
        <v>ND</v>
      </c>
      <c r="BI15" s="1923" t="str">
        <f t="shared" si="27"/>
        <v>ND</v>
      </c>
      <c r="BJ15" s="1923" t="str">
        <f t="shared" si="28"/>
        <v>ND</v>
      </c>
      <c r="BK15" s="1923" t="str">
        <f>IF(BJ15="ND", "ND", IF(BJ15&gt;0, 'TRAD-Calculs Péremption FA'!$B$73, "OK"))</f>
        <v>ND</v>
      </c>
      <c r="BL15" s="1924" t="str">
        <f t="shared" si="6"/>
        <v>ND</v>
      </c>
      <c r="BM15" s="1919">
        <f>'Saisie données stocks'!AC27</f>
        <v>0</v>
      </c>
      <c r="BN15" s="1920">
        <f>'Saisie données stocks'!AD27</f>
        <v>0</v>
      </c>
      <c r="BO15" s="1923">
        <f t="shared" si="29"/>
        <v>82.191780821917803</v>
      </c>
      <c r="BP15" s="1923" t="str">
        <f>IF(AND(BM15=0, BN15=0), "ND", IF((BM15-Paramétrage!$H$19)&gt;0, (BM15-Paramétrage!$H$19)/(365/12), "Date non renseignée ou produit périmé"))</f>
        <v>ND</v>
      </c>
      <c r="BQ15" s="1923" t="str">
        <f t="shared" si="30"/>
        <v>ND</v>
      </c>
      <c r="BR15" s="1923" t="str">
        <f t="shared" si="31"/>
        <v>ND</v>
      </c>
      <c r="BS15" s="1923" t="str">
        <f>IF(BR15="ND", "ND", IF(BR15&gt;0, 'TRAD-Calculs Péremption FA'!$B$73, "OK"))</f>
        <v>ND</v>
      </c>
      <c r="BT15" s="1924" t="str">
        <f t="shared" si="7"/>
        <v>ND</v>
      </c>
      <c r="BU15" s="1925">
        <f>IF('Saisie données stocks'!$O$10='TRAD-Saisie données stocks'!$B$51, IF(P15="OK", IF(AND(BR15&gt;0, ISNUMBER(BR15)), (BO15-BR15), (BO15)), O15), O15)</f>
        <v>82.191780821917803</v>
      </c>
      <c r="BV15" s="1925">
        <f t="shared" si="8"/>
        <v>8.8082191780821972</v>
      </c>
      <c r="BW15" s="2045">
        <f t="shared" si="32"/>
        <v>41944</v>
      </c>
      <c r="BX15" s="2045">
        <f>IF('Saisie données stocks'!$O$10='TRAD-Saisie données stocks'!$B$51, IF('Calculs Péremption FA'!P15="OK", IF(BU15=O15, MAX(Paramétrage!$H$19+('Saisie données stocks'!$N$14*(365/12)), BM15, BE15, AW15, AO15, AG15, Y15, R15), BW15), Paramétrage!$H$19+('Saisie données stocks'!$N$14*(365/12))), Paramétrage!$H$19+('Saisie données stocks'!$N$14*(365/12)))</f>
        <v>41944</v>
      </c>
      <c r="BY15" s="2046">
        <f t="shared" si="9"/>
        <v>1</v>
      </c>
      <c r="BZ15" s="2046">
        <f t="shared" si="10"/>
        <v>11</v>
      </c>
      <c r="CA15" s="2046">
        <f t="shared" si="11"/>
        <v>2014</v>
      </c>
      <c r="CB15" s="2046">
        <f>IF(BX15="", "", (BX15-Paramétrage!$H$19)/(365/12))</f>
        <v>0.82191780821917804</v>
      </c>
      <c r="CC15" s="2043" t="str">
        <f>IF(CB15='Saisie données stocks'!N$14, 'TRAD-Calculs Péremption FA'!$B$74, CONCATENATE("DLU - ", BY15, "/", BZ15, "/", CA15))</f>
        <v>DLU - 1/11/2014</v>
      </c>
    </row>
    <row r="16" spans="1:81" ht="26.25" thickBot="1" x14ac:dyDescent="0.25">
      <c r="B16" s="374"/>
      <c r="C16" s="375"/>
      <c r="D16" s="1926" t="s">
        <v>22</v>
      </c>
      <c r="E16" s="1815" t="str">
        <f>'TRAD-Calculs Péremption FA'!B9</f>
        <v>Cp</v>
      </c>
      <c r="F16" s="1815" t="s">
        <v>23</v>
      </c>
      <c r="G16" s="377" t="s">
        <v>644</v>
      </c>
      <c r="H16" s="379" t="str">
        <f t="shared" si="12"/>
        <v>D4T+3TC - 30/150 mg</v>
      </c>
      <c r="I16" s="1385">
        <v>60</v>
      </c>
      <c r="J16" s="1645"/>
      <c r="K16" s="1628">
        <f>IF('TdB Péremptions'!$H$9="X", 'Prix 10-2011 GPRM $'!$O$30, IF('TdB Péremptions'!$H$10="X", 'Prix 10-2011 GPRM $'!$Q$30, IF('TdB Péremptions'!$H$11="X", 'Prix VPP 102012 convert'!$O$30, IF('TdB Péremptions'!$H$12="X", 'Prix VPP 102012 convert'!$Q$30, IF('TdB Péremptions'!$H$13="X", 'Prix spécifiques'!$J$16, 0)))))</f>
        <v>2.9249999999999998</v>
      </c>
      <c r="L16" s="1628">
        <f>(1+'TdB Péremptions'!$H$14)*K16</f>
        <v>3.2175000000000002</v>
      </c>
      <c r="M16" s="1916">
        <f>Calculs!L326</f>
        <v>45</v>
      </c>
      <c r="N16" s="1916">
        <f>Calculs!N326</f>
        <v>0</v>
      </c>
      <c r="O16" s="1916">
        <f>'Saisie données stocks'!N28</f>
        <v>2</v>
      </c>
      <c r="P16" s="1917" t="str">
        <f>IF(SUM('Saisie données stocks'!R28+'Saisie données stocks'!T28+'Saisie données stocks'!V28+'Saisie données stocks'!X28+'Saisie données stocks'!Z28+'Saisie données stocks'!AB28+'Saisie données stocks'!AD28)='Calculs Péremption conso'!O16,  "OK", 'TRAD-Calculs Péremption FA'!$B$75)</f>
        <v>OK</v>
      </c>
      <c r="Q16" s="1918" t="str">
        <f>IF(AND(O16&gt;0, Calculs!L326=0, Calculs!N326=0), 'TRAD-Calculs Péremption FA'!$B$76, "")</f>
        <v/>
      </c>
      <c r="R16" s="1919">
        <f>'Saisie données stocks'!Q28</f>
        <v>42005</v>
      </c>
      <c r="S16" s="1920">
        <f>'Saisie données stocks'!R28</f>
        <v>2</v>
      </c>
      <c r="T16" s="1921">
        <f>IF(AND(R16=0, S16=0), "ND", IF((R16-Paramétrage!$H$19)&gt;0, (R16-Paramétrage!$H$19)/(365/12), "Date non renseignée ou produit périmé"))</f>
        <v>2.8273972602739725</v>
      </c>
      <c r="U16" s="1922">
        <f t="shared" si="13"/>
        <v>127.23287671232876</v>
      </c>
      <c r="V16" s="1922">
        <f t="shared" si="0"/>
        <v>-125.23287671232876</v>
      </c>
      <c r="W16" s="1921" t="str">
        <f>IF(V16="ND", "ND", IF(V16&gt;0, 'TRAD-Calculs Péremption FA'!$B$73, "OK"))</f>
        <v>OK</v>
      </c>
      <c r="X16" s="1924" t="str">
        <f t="shared" si="1"/>
        <v/>
      </c>
      <c r="Y16" s="1919">
        <f>'Saisie données stocks'!S28</f>
        <v>0</v>
      </c>
      <c r="Z16" s="1920">
        <f>'Saisie données stocks'!T28</f>
        <v>0</v>
      </c>
      <c r="AA16" s="1923">
        <f t="shared" si="14"/>
        <v>2</v>
      </c>
      <c r="AB16" s="1923" t="str">
        <f>IF(AND(Y16=0, Z16=0), "ND", IF((Y16-Paramétrage!$H$19)&gt;0, (Y16-Paramétrage!$H$19)/(365/12), "Date non renseignée ou produit périmé"))</f>
        <v>ND</v>
      </c>
      <c r="AC16" s="1923" t="str">
        <f t="shared" si="15"/>
        <v>ND</v>
      </c>
      <c r="AD16" s="1923" t="str">
        <f t="shared" si="16"/>
        <v>ND</v>
      </c>
      <c r="AE16" s="1921" t="str">
        <f>IF(AD16="ND", "ND", IF(AD16&gt;0, 'TRAD-Calculs Péremption FA'!$B$73, "OK"))</f>
        <v>ND</v>
      </c>
      <c r="AF16" s="1924" t="str">
        <f t="shared" si="2"/>
        <v>ND</v>
      </c>
      <c r="AG16" s="1919">
        <f>'Saisie données stocks'!U28</f>
        <v>0</v>
      </c>
      <c r="AH16" s="1920">
        <f>'Saisie données stocks'!V28</f>
        <v>0</v>
      </c>
      <c r="AI16" s="1923">
        <f t="shared" si="17"/>
        <v>2</v>
      </c>
      <c r="AJ16" s="1923" t="str">
        <f>IF(AND(AG16=0, AH16=0), "ND", IF((AG16-Paramétrage!$H$19)&gt;0, (AG16-Paramétrage!$H$19)/(365/12), "Date non renseignée ou produit périmé"))</f>
        <v>ND</v>
      </c>
      <c r="AK16" s="1923" t="str">
        <f t="shared" si="18"/>
        <v>ND</v>
      </c>
      <c r="AL16" s="1923" t="str">
        <f t="shared" si="19"/>
        <v>ND</v>
      </c>
      <c r="AM16" s="1923" t="str">
        <f>IF(AL16="ND", "ND", IF(AL16&gt;0, 'TRAD-Calculs Péremption FA'!$B$73, "OK"))</f>
        <v>ND</v>
      </c>
      <c r="AN16" s="1924" t="str">
        <f t="shared" si="3"/>
        <v>ND</v>
      </c>
      <c r="AO16" s="1919">
        <f>'Saisie données stocks'!W28</f>
        <v>0</v>
      </c>
      <c r="AP16" s="1920">
        <f>'Saisie données stocks'!X28</f>
        <v>0</v>
      </c>
      <c r="AQ16" s="1923">
        <f t="shared" si="20"/>
        <v>2</v>
      </c>
      <c r="AR16" s="1923" t="str">
        <f>IF(AND(AO16=0, AP16=0), "ND", IF((AO16-Paramétrage!$H$19)&gt;0, (AO16-Paramétrage!$H$19)/(365/12), "Date non renseignée ou produit périmé"))</f>
        <v>ND</v>
      </c>
      <c r="AS16" s="1923" t="str">
        <f t="shared" si="21"/>
        <v>ND</v>
      </c>
      <c r="AT16" s="1923" t="str">
        <f t="shared" si="22"/>
        <v>ND</v>
      </c>
      <c r="AU16" s="1923" t="str">
        <f>IF(AT16="ND", "ND", IF(AT16&gt;0, 'TRAD-Calculs Péremption FA'!$B$73, "OK"))</f>
        <v>ND</v>
      </c>
      <c r="AV16" s="1924" t="str">
        <f t="shared" si="4"/>
        <v>ND</v>
      </c>
      <c r="AW16" s="1919">
        <f>'Saisie données stocks'!Y28</f>
        <v>0</v>
      </c>
      <c r="AX16" s="1920">
        <f>'Saisie données stocks'!Z28</f>
        <v>0</v>
      </c>
      <c r="AY16" s="1923">
        <f t="shared" si="23"/>
        <v>2</v>
      </c>
      <c r="AZ16" s="1923" t="str">
        <f>IF(AND(AW16=0, AX16=0), "ND", IF((AW16-Paramétrage!$H$19)&gt;0, (AW16-Paramétrage!$H$19)/(365/12), "Date non renseignée ou produit périmé"))</f>
        <v>ND</v>
      </c>
      <c r="BA16" s="1923" t="str">
        <f t="shared" si="24"/>
        <v>ND</v>
      </c>
      <c r="BB16" s="1923" t="str">
        <f t="shared" si="25"/>
        <v>ND</v>
      </c>
      <c r="BC16" s="1923" t="str">
        <f>IF(BB16="ND", "ND", IF(BB16&gt;0, 'TRAD-Calculs Péremption FA'!$B$73, "OK"))</f>
        <v>ND</v>
      </c>
      <c r="BD16" s="1924" t="str">
        <f t="shared" si="5"/>
        <v>ND</v>
      </c>
      <c r="BE16" s="1919">
        <f>'Saisie données stocks'!AA28</f>
        <v>0</v>
      </c>
      <c r="BF16" s="1920">
        <f>'Saisie données stocks'!AB28</f>
        <v>0</v>
      </c>
      <c r="BG16" s="1923">
        <f t="shared" si="26"/>
        <v>2</v>
      </c>
      <c r="BH16" s="1923" t="str">
        <f>IF(AND(BE16=0, BF16=0), "ND", IF((BE16-Paramétrage!$H$19)&gt;0, (BE16-Paramétrage!$H$19)/(365/12), "Date non renseignée ou produit périmé"))</f>
        <v>ND</v>
      </c>
      <c r="BI16" s="1923" t="str">
        <f t="shared" si="27"/>
        <v>ND</v>
      </c>
      <c r="BJ16" s="1923" t="str">
        <f t="shared" si="28"/>
        <v>ND</v>
      </c>
      <c r="BK16" s="1923" t="str">
        <f>IF(BJ16="ND", "ND", IF(BJ16&gt;0, 'TRAD-Calculs Péremption FA'!$B$73, "OK"))</f>
        <v>ND</v>
      </c>
      <c r="BL16" s="1924" t="str">
        <f t="shared" si="6"/>
        <v>ND</v>
      </c>
      <c r="BM16" s="1919">
        <f>'Saisie données stocks'!AC28</f>
        <v>0</v>
      </c>
      <c r="BN16" s="1920">
        <f>'Saisie données stocks'!AD28</f>
        <v>0</v>
      </c>
      <c r="BO16" s="1923">
        <f t="shared" si="29"/>
        <v>2</v>
      </c>
      <c r="BP16" s="1923" t="str">
        <f>IF(AND(BM16=0, BN16=0), "ND", IF((BM16-Paramétrage!$H$19)&gt;0, (BM16-Paramétrage!$H$19)/(365/12), "Date non renseignée ou produit périmé"))</f>
        <v>ND</v>
      </c>
      <c r="BQ16" s="1923" t="str">
        <f t="shared" si="30"/>
        <v>ND</v>
      </c>
      <c r="BR16" s="1923" t="str">
        <f t="shared" si="31"/>
        <v>ND</v>
      </c>
      <c r="BS16" s="1923" t="str">
        <f>IF(BR16="ND", "ND", IF(BR16&gt;0, 'TRAD-Calculs Péremption FA'!$B$73, "OK"))</f>
        <v>ND</v>
      </c>
      <c r="BT16" s="1924" t="str">
        <f t="shared" si="7"/>
        <v>ND</v>
      </c>
      <c r="BU16" s="1925">
        <f>IF('Saisie données stocks'!$O$10='TRAD-Saisie données stocks'!$B$51, IF(P16="OK", IF(AND(BR16&gt;0, ISNUMBER(BR16)), (BO16-BR16), (BO16)), O16), O16)</f>
        <v>2</v>
      </c>
      <c r="BV16" s="1925">
        <f t="shared" si="8"/>
        <v>0</v>
      </c>
      <c r="BW16" s="2045" t="str">
        <f t="shared" si="32"/>
        <v/>
      </c>
      <c r="BX16" s="2045">
        <f>IF('Saisie données stocks'!$O$10='TRAD-Saisie données stocks'!$B$51, IF('Calculs Péremption FA'!P16="OK", IF(BU16=O16, MAX(Paramétrage!$H$19+('Saisie données stocks'!$N$14*(365/12)), BM16, BE16, AW16, AO16, AG16, Y16, R16), BW16), Paramétrage!$H$19+('Saisie données stocks'!$N$14*(365/12))), Paramétrage!$H$19+('Saisie données stocks'!$N$14*(365/12)))</f>
        <v>42101.5</v>
      </c>
      <c r="BY16" s="2046">
        <f t="shared" si="9"/>
        <v>7</v>
      </c>
      <c r="BZ16" s="2046">
        <f t="shared" si="10"/>
        <v>4</v>
      </c>
      <c r="CA16" s="2046">
        <f t="shared" si="11"/>
        <v>2015</v>
      </c>
      <c r="CB16" s="2046">
        <f>IF(BX16="", "", (BX16-Paramétrage!$H$19)/(365/12))</f>
        <v>6</v>
      </c>
      <c r="CC16" s="2043" t="str">
        <f>IF(CB16='Saisie données stocks'!N$14, 'TRAD-Calculs Péremption FA'!$B$74, CONCATENATE("DLU - ", BY16, "/", BZ16, "/", CA16))</f>
        <v>Durée de vie max</v>
      </c>
    </row>
    <row r="17" spans="2:81" ht="39" thickBot="1" x14ac:dyDescent="0.25">
      <c r="B17" s="374"/>
      <c r="C17" s="375"/>
      <c r="D17" s="1926" t="s">
        <v>9</v>
      </c>
      <c r="E17" s="1815" t="str">
        <f>'TRAD-Calculs Péremption FA'!B9</f>
        <v>Cp</v>
      </c>
      <c r="F17" s="1815" t="s">
        <v>130</v>
      </c>
      <c r="G17" s="377" t="s">
        <v>645</v>
      </c>
      <c r="H17" s="379" t="str">
        <f t="shared" si="12"/>
        <v>TDF+FTC+EFV - 300/200/600 mg</v>
      </c>
      <c r="I17" s="1385">
        <v>30</v>
      </c>
      <c r="J17" s="1645"/>
      <c r="K17" s="1628">
        <f>IF('TdB Péremptions'!$H$9="X", 'Prix 10-2011 GPRM $'!$O$34, IF('TdB Péremptions'!$H$10="X", 'Prix 10-2011 GPRM $'!$Q$34, IF('TdB Péremptions'!$H$11="X", 'Prix VPP 102012 convert'!$O$34, IF('TdB Péremptions'!$H$12="X", 'Prix VPP 102012 convert'!$Q$34, IF('TdB Péremptions'!$H$13="X", 'Prix spécifiques'!$J$17, 0)))))</f>
        <v>13.45</v>
      </c>
      <c r="L17" s="1628">
        <f>(1+'TdB Péremptions'!$H$14)*K17</f>
        <v>14.795</v>
      </c>
      <c r="M17" s="1916">
        <f>Calculs!L327</f>
        <v>0</v>
      </c>
      <c r="N17" s="1916">
        <f>Calculs!N327</f>
        <v>0</v>
      </c>
      <c r="O17" s="1916">
        <f>'Saisie données stocks'!N29</f>
        <v>0</v>
      </c>
      <c r="P17" s="1917" t="str">
        <f>IF(SUM('Saisie données stocks'!R29+'Saisie données stocks'!T29+'Saisie données stocks'!V29+'Saisie données stocks'!X29+'Saisie données stocks'!Z29+'Saisie données stocks'!AB29+'Saisie données stocks'!AD29)='Calculs Péremption conso'!O17,  "OK", 'TRAD-Calculs Péremption FA'!$B$75)</f>
        <v>OK</v>
      </c>
      <c r="Q17" s="1918" t="str">
        <f>IF(AND(O17&gt;0, Calculs!L327=0, Calculs!N327=0), 'TRAD-Calculs Péremption FA'!$B$76, "")</f>
        <v/>
      </c>
      <c r="R17" s="1919">
        <f>'Saisie données stocks'!Q29</f>
        <v>0</v>
      </c>
      <c r="S17" s="1920">
        <f>'Saisie données stocks'!R29</f>
        <v>0</v>
      </c>
      <c r="T17" s="1921" t="str">
        <f>IF(AND(R17=0, S17=0), "ND", IF((R17-Paramétrage!$H$19)&gt;0, (R17-Paramétrage!$H$19)/(365/12), "Date non renseignée ou produit périmé"))</f>
        <v>ND</v>
      </c>
      <c r="U17" s="1922" t="str">
        <f t="shared" si="13"/>
        <v>ND</v>
      </c>
      <c r="V17" s="1922" t="str">
        <f t="shared" si="0"/>
        <v>ND</v>
      </c>
      <c r="W17" s="1921" t="str">
        <f>IF(V17="ND", "ND", IF(V17&gt;0, 'TRAD-Calculs Péremption FA'!$B$73, "OK"))</f>
        <v>ND</v>
      </c>
      <c r="X17" s="1924" t="str">
        <f t="shared" si="1"/>
        <v>ND</v>
      </c>
      <c r="Y17" s="1919">
        <f>'Saisie données stocks'!S29</f>
        <v>0</v>
      </c>
      <c r="Z17" s="1920">
        <f>'Saisie données stocks'!T29</f>
        <v>0</v>
      </c>
      <c r="AA17" s="1923">
        <f t="shared" si="14"/>
        <v>0</v>
      </c>
      <c r="AB17" s="1923" t="str">
        <f>IF(AND(Y17=0, Z17=0), "ND", IF((Y17-Paramétrage!$H$19)&gt;0, (Y17-Paramétrage!$H$19)/(365/12), "Date non renseignée ou produit périmé"))</f>
        <v>ND</v>
      </c>
      <c r="AC17" s="1923" t="str">
        <f t="shared" si="15"/>
        <v>ND</v>
      </c>
      <c r="AD17" s="1923" t="str">
        <f t="shared" si="16"/>
        <v>ND</v>
      </c>
      <c r="AE17" s="1921" t="str">
        <f>IF(AD17="ND", "ND", IF(AD17&gt;0, 'TRAD-Calculs Péremption FA'!$B$73, "OK"))</f>
        <v>ND</v>
      </c>
      <c r="AF17" s="1924" t="str">
        <f t="shared" si="2"/>
        <v>ND</v>
      </c>
      <c r="AG17" s="1919">
        <f>'Saisie données stocks'!U29</f>
        <v>0</v>
      </c>
      <c r="AH17" s="1920">
        <f>'Saisie données stocks'!V29</f>
        <v>0</v>
      </c>
      <c r="AI17" s="1923">
        <f t="shared" si="17"/>
        <v>0</v>
      </c>
      <c r="AJ17" s="1923" t="str">
        <f>IF(AND(AG17=0, AH17=0), "ND", IF((AG17-Paramétrage!$H$19)&gt;0, (AG17-Paramétrage!$H$19)/(365/12), "Date non renseignée ou produit périmé"))</f>
        <v>ND</v>
      </c>
      <c r="AK17" s="1923" t="str">
        <f t="shared" si="18"/>
        <v>ND</v>
      </c>
      <c r="AL17" s="1923" t="str">
        <f t="shared" si="19"/>
        <v>ND</v>
      </c>
      <c r="AM17" s="1923" t="str">
        <f>IF(AL17="ND", "ND", IF(AL17&gt;0, 'TRAD-Calculs Péremption FA'!$B$73, "OK"))</f>
        <v>ND</v>
      </c>
      <c r="AN17" s="1924" t="str">
        <f t="shared" si="3"/>
        <v>ND</v>
      </c>
      <c r="AO17" s="1919">
        <f>'Saisie données stocks'!W29</f>
        <v>0</v>
      </c>
      <c r="AP17" s="1920">
        <f>'Saisie données stocks'!X29</f>
        <v>0</v>
      </c>
      <c r="AQ17" s="1923">
        <f t="shared" si="20"/>
        <v>0</v>
      </c>
      <c r="AR17" s="1923" t="str">
        <f>IF(AND(AO17=0, AP17=0), "ND", IF((AO17-Paramétrage!$H$19)&gt;0, (AO17-Paramétrage!$H$19)/(365/12), "Date non renseignée ou produit périmé"))</f>
        <v>ND</v>
      </c>
      <c r="AS17" s="1923" t="str">
        <f t="shared" si="21"/>
        <v>ND</v>
      </c>
      <c r="AT17" s="1923" t="str">
        <f t="shared" si="22"/>
        <v>ND</v>
      </c>
      <c r="AU17" s="1923" t="str">
        <f>IF(AT17="ND", "ND", IF(AT17&gt;0, 'TRAD-Calculs Péremption FA'!$B$73, "OK"))</f>
        <v>ND</v>
      </c>
      <c r="AV17" s="1924" t="str">
        <f t="shared" si="4"/>
        <v>ND</v>
      </c>
      <c r="AW17" s="1919">
        <f>'Saisie données stocks'!Y29</f>
        <v>0</v>
      </c>
      <c r="AX17" s="1920">
        <f>'Saisie données stocks'!Z29</f>
        <v>0</v>
      </c>
      <c r="AY17" s="1923">
        <f t="shared" si="23"/>
        <v>0</v>
      </c>
      <c r="AZ17" s="1923" t="str">
        <f>IF(AND(AW17=0, AX17=0), "ND", IF((AW17-Paramétrage!$H$19)&gt;0, (AW17-Paramétrage!$H$19)/(365/12), "Date non renseignée ou produit périmé"))</f>
        <v>ND</v>
      </c>
      <c r="BA17" s="1923" t="str">
        <f t="shared" si="24"/>
        <v>ND</v>
      </c>
      <c r="BB17" s="1923" t="str">
        <f t="shared" si="25"/>
        <v>ND</v>
      </c>
      <c r="BC17" s="1923" t="str">
        <f>IF(BB17="ND", "ND", IF(BB17&gt;0, 'TRAD-Calculs Péremption FA'!$B$73, "OK"))</f>
        <v>ND</v>
      </c>
      <c r="BD17" s="1924" t="str">
        <f t="shared" si="5"/>
        <v>ND</v>
      </c>
      <c r="BE17" s="1919">
        <f>'Saisie données stocks'!AA29</f>
        <v>0</v>
      </c>
      <c r="BF17" s="1920">
        <f>'Saisie données stocks'!AB29</f>
        <v>0</v>
      </c>
      <c r="BG17" s="1923">
        <f t="shared" si="26"/>
        <v>0</v>
      </c>
      <c r="BH17" s="1923" t="str">
        <f>IF(AND(BE17=0, BF17=0), "ND", IF((BE17-Paramétrage!$H$19)&gt;0, (BE17-Paramétrage!$H$19)/(365/12), "Date non renseignée ou produit périmé"))</f>
        <v>ND</v>
      </c>
      <c r="BI17" s="1923" t="str">
        <f t="shared" si="27"/>
        <v>ND</v>
      </c>
      <c r="BJ17" s="1923" t="str">
        <f t="shared" si="28"/>
        <v>ND</v>
      </c>
      <c r="BK17" s="1923" t="str">
        <f>IF(BJ17="ND", "ND", IF(BJ17&gt;0, 'TRAD-Calculs Péremption FA'!$B$73, "OK"))</f>
        <v>ND</v>
      </c>
      <c r="BL17" s="1924" t="str">
        <f t="shared" si="6"/>
        <v>ND</v>
      </c>
      <c r="BM17" s="1919">
        <f>'Saisie données stocks'!AC29</f>
        <v>0</v>
      </c>
      <c r="BN17" s="1920">
        <f>'Saisie données stocks'!AD29</f>
        <v>0</v>
      </c>
      <c r="BO17" s="1923">
        <f t="shared" si="29"/>
        <v>0</v>
      </c>
      <c r="BP17" s="1923" t="str">
        <f>IF(AND(BM17=0, BN17=0), "ND", IF((BM17-Paramétrage!$H$19)&gt;0, (BM17-Paramétrage!$H$19)/(365/12), "Date non renseignée ou produit périmé"))</f>
        <v>ND</v>
      </c>
      <c r="BQ17" s="1923" t="str">
        <f t="shared" si="30"/>
        <v>ND</v>
      </c>
      <c r="BR17" s="1923" t="str">
        <f t="shared" si="31"/>
        <v>ND</v>
      </c>
      <c r="BS17" s="1923" t="str">
        <f>IF(BR17="ND", "ND", IF(BR17&gt;0, 'TRAD-Calculs Péremption FA'!$B$73, "OK"))</f>
        <v>ND</v>
      </c>
      <c r="BT17" s="1924" t="str">
        <f t="shared" si="7"/>
        <v>ND</v>
      </c>
      <c r="BU17" s="1925">
        <f>IF('Saisie données stocks'!$O$10='TRAD-Saisie données stocks'!$B$51, IF(P17="OK", IF(AND(BR17&gt;0, ISNUMBER(BR17)), (BO17-BR17), (BO17)), O17), O17)</f>
        <v>0</v>
      </c>
      <c r="BV17" s="1925">
        <f t="shared" si="8"/>
        <v>0</v>
      </c>
      <c r="BW17" s="2045" t="str">
        <f t="shared" si="32"/>
        <v/>
      </c>
      <c r="BX17" s="2045">
        <f>IF('Saisie données stocks'!$O$10='TRAD-Saisie données stocks'!$B$51, IF('Calculs Péremption FA'!P17="OK", IF(BU17=O17, MAX(Paramétrage!$H$19+('Saisie données stocks'!$N$14*(365/12)), BM17, BE17, AW17, AO17, AG17, Y17, R17), BW17), Paramétrage!$H$19+('Saisie données stocks'!$N$14*(365/12))), Paramétrage!$H$19+('Saisie données stocks'!$N$14*(365/12)))</f>
        <v>42101.5</v>
      </c>
      <c r="BY17" s="2046">
        <f t="shared" si="9"/>
        <v>7</v>
      </c>
      <c r="BZ17" s="2046">
        <f t="shared" si="10"/>
        <v>4</v>
      </c>
      <c r="CA17" s="2046">
        <f t="shared" si="11"/>
        <v>2015</v>
      </c>
      <c r="CB17" s="2046">
        <f>IF(BX17="", "", (BX17-Paramétrage!$H$19)/(365/12))</f>
        <v>6</v>
      </c>
      <c r="CC17" s="2043" t="str">
        <f>IF(CB17='Saisie données stocks'!N$14, 'TRAD-Calculs Péremption FA'!$B$74, CONCATENATE("DLU - ", BY17, "/", BZ17, "/", CA17))</f>
        <v>Durée de vie max</v>
      </c>
    </row>
    <row r="18" spans="2:81" ht="26.25" thickBot="1" x14ac:dyDescent="0.25">
      <c r="B18" s="374"/>
      <c r="C18" s="375"/>
      <c r="D18" s="1926" t="s">
        <v>121</v>
      </c>
      <c r="E18" s="1815" t="str">
        <f>'TRAD-Calculs Péremption FA'!B9</f>
        <v>Cp</v>
      </c>
      <c r="F18" s="1815" t="s">
        <v>25</v>
      </c>
      <c r="G18" s="377" t="s">
        <v>646</v>
      </c>
      <c r="H18" s="379" t="str">
        <f t="shared" si="12"/>
        <v>TDF+FTC - 300/200 mg</v>
      </c>
      <c r="I18" s="1385">
        <v>30</v>
      </c>
      <c r="J18" s="1645"/>
      <c r="K18" s="1628">
        <f>IF('TdB Péremptions'!$H$9="X", 'Prix 10-2011 GPRM $'!$O$36, IF('TdB Péremptions'!$H$10="X", 'Prix 10-2011 GPRM $'!$Q$36, IF('TdB Péremptions'!$H$11="X", 'Prix VPP 102012 convert'!$O$36, IF('TdB Péremptions'!$H$12="X", 'Prix VPP 102012 convert'!$Q$36, IF('TdB Péremptions'!$H$13="X", 'Prix spécifiques'!$J$18, 0)))))</f>
        <v>16.22</v>
      </c>
      <c r="L18" s="1628">
        <f>(1+'TdB Péremptions'!$H$14)*K18</f>
        <v>17.841999999999999</v>
      </c>
      <c r="M18" s="1916">
        <f>Calculs!L328</f>
        <v>0</v>
      </c>
      <c r="N18" s="1916">
        <f>Calculs!N328</f>
        <v>0</v>
      </c>
      <c r="O18" s="1916">
        <f>'Saisie données stocks'!N30</f>
        <v>0</v>
      </c>
      <c r="P18" s="1917" t="str">
        <f>IF(SUM('Saisie données stocks'!R30+'Saisie données stocks'!T30+'Saisie données stocks'!V30+'Saisie données stocks'!X30+'Saisie données stocks'!Z30+'Saisie données stocks'!AB30+'Saisie données stocks'!AD30)='Calculs Péremption conso'!O18,  "OK", 'TRAD-Calculs Péremption FA'!$B$75)</f>
        <v>OK</v>
      </c>
      <c r="Q18" s="1918" t="str">
        <f>IF(AND(O18&gt;0, Calculs!L328=0, Calculs!N328=0), 'TRAD-Calculs Péremption FA'!$B$76, "")</f>
        <v/>
      </c>
      <c r="R18" s="1919">
        <f>'Saisie données stocks'!Q30</f>
        <v>0</v>
      </c>
      <c r="S18" s="1920">
        <f>'Saisie données stocks'!R30</f>
        <v>0</v>
      </c>
      <c r="T18" s="1921" t="str">
        <f>IF(AND(R18=0, S18=0), "ND", IF((R18-Paramétrage!$H$19)&gt;0, (R18-Paramétrage!$H$19)/(365/12), "Date non renseignée ou produit périmé"))</f>
        <v>ND</v>
      </c>
      <c r="U18" s="1922" t="str">
        <f t="shared" si="13"/>
        <v>ND</v>
      </c>
      <c r="V18" s="1922" t="str">
        <f t="shared" si="0"/>
        <v>ND</v>
      </c>
      <c r="W18" s="1921" t="str">
        <f>IF(V18="ND", "ND", IF(V18&gt;0, 'TRAD-Calculs Péremption FA'!$B$73, "OK"))</f>
        <v>ND</v>
      </c>
      <c r="X18" s="1924" t="str">
        <f t="shared" si="1"/>
        <v>ND</v>
      </c>
      <c r="Y18" s="1919">
        <f>'Saisie données stocks'!S30</f>
        <v>0</v>
      </c>
      <c r="Z18" s="1920">
        <f>'Saisie données stocks'!T30</f>
        <v>0</v>
      </c>
      <c r="AA18" s="1923">
        <f t="shared" si="14"/>
        <v>0</v>
      </c>
      <c r="AB18" s="1923" t="str">
        <f>IF(AND(Y18=0, Z18=0), "ND", IF((Y18-Paramétrage!$H$19)&gt;0, (Y18-Paramétrage!$H$19)/(365/12), "Date non renseignée ou produit périmé"))</f>
        <v>ND</v>
      </c>
      <c r="AC18" s="1923" t="str">
        <f t="shared" si="15"/>
        <v>ND</v>
      </c>
      <c r="AD18" s="1923" t="str">
        <f t="shared" si="16"/>
        <v>ND</v>
      </c>
      <c r="AE18" s="1921" t="str">
        <f>IF(AD18="ND", "ND", IF(AD18&gt;0, 'TRAD-Calculs Péremption FA'!$B$73, "OK"))</f>
        <v>ND</v>
      </c>
      <c r="AF18" s="1924" t="str">
        <f t="shared" si="2"/>
        <v>ND</v>
      </c>
      <c r="AG18" s="1919">
        <f>'Saisie données stocks'!U30</f>
        <v>0</v>
      </c>
      <c r="AH18" s="1920">
        <f>'Saisie données stocks'!V30</f>
        <v>0</v>
      </c>
      <c r="AI18" s="1923">
        <f t="shared" si="17"/>
        <v>0</v>
      </c>
      <c r="AJ18" s="1923" t="str">
        <f>IF(AND(AG18=0, AH18=0), "ND", IF((AG18-Paramétrage!$H$19)&gt;0, (AG18-Paramétrage!$H$19)/(365/12), "Date non renseignée ou produit périmé"))</f>
        <v>ND</v>
      </c>
      <c r="AK18" s="1923" t="str">
        <f t="shared" si="18"/>
        <v>ND</v>
      </c>
      <c r="AL18" s="1923" t="str">
        <f t="shared" si="19"/>
        <v>ND</v>
      </c>
      <c r="AM18" s="1923" t="str">
        <f>IF(AL18="ND", "ND", IF(AL18&gt;0, 'TRAD-Calculs Péremption FA'!$B$73, "OK"))</f>
        <v>ND</v>
      </c>
      <c r="AN18" s="1924" t="str">
        <f t="shared" si="3"/>
        <v>ND</v>
      </c>
      <c r="AO18" s="1919">
        <f>'Saisie données stocks'!W30</f>
        <v>0</v>
      </c>
      <c r="AP18" s="1920">
        <f>'Saisie données stocks'!X30</f>
        <v>0</v>
      </c>
      <c r="AQ18" s="1923">
        <f t="shared" si="20"/>
        <v>0</v>
      </c>
      <c r="AR18" s="1923" t="str">
        <f>IF(AND(AO18=0, AP18=0), "ND", IF((AO18-Paramétrage!$H$19)&gt;0, (AO18-Paramétrage!$H$19)/(365/12), "Date non renseignée ou produit périmé"))</f>
        <v>ND</v>
      </c>
      <c r="AS18" s="1923" t="str">
        <f t="shared" si="21"/>
        <v>ND</v>
      </c>
      <c r="AT18" s="1923" t="str">
        <f t="shared" si="22"/>
        <v>ND</v>
      </c>
      <c r="AU18" s="1923" t="str">
        <f>IF(AT18="ND", "ND", IF(AT18&gt;0, 'TRAD-Calculs Péremption FA'!$B$73, "OK"))</f>
        <v>ND</v>
      </c>
      <c r="AV18" s="1924" t="str">
        <f t="shared" si="4"/>
        <v>ND</v>
      </c>
      <c r="AW18" s="1919">
        <f>'Saisie données stocks'!Y30</f>
        <v>0</v>
      </c>
      <c r="AX18" s="1920">
        <f>'Saisie données stocks'!Z30</f>
        <v>0</v>
      </c>
      <c r="AY18" s="1923">
        <f t="shared" si="23"/>
        <v>0</v>
      </c>
      <c r="AZ18" s="1923" t="str">
        <f>IF(AND(AW18=0, AX18=0), "ND", IF((AW18-Paramétrage!$H$19)&gt;0, (AW18-Paramétrage!$H$19)/(365/12), "Date non renseignée ou produit périmé"))</f>
        <v>ND</v>
      </c>
      <c r="BA18" s="1923" t="str">
        <f t="shared" si="24"/>
        <v>ND</v>
      </c>
      <c r="BB18" s="1923" t="str">
        <f t="shared" si="25"/>
        <v>ND</v>
      </c>
      <c r="BC18" s="1923" t="str">
        <f>IF(BB18="ND", "ND", IF(BB18&gt;0, 'TRAD-Calculs Péremption FA'!$B$73, "OK"))</f>
        <v>ND</v>
      </c>
      <c r="BD18" s="1924" t="str">
        <f t="shared" si="5"/>
        <v>ND</v>
      </c>
      <c r="BE18" s="1919">
        <f>'Saisie données stocks'!AA30</f>
        <v>0</v>
      </c>
      <c r="BF18" s="1920">
        <f>'Saisie données stocks'!AB30</f>
        <v>0</v>
      </c>
      <c r="BG18" s="1923">
        <f t="shared" si="26"/>
        <v>0</v>
      </c>
      <c r="BH18" s="1923" t="str">
        <f>IF(AND(BE18=0, BF18=0), "ND", IF((BE18-Paramétrage!$H$19)&gt;0, (BE18-Paramétrage!$H$19)/(365/12), "Date non renseignée ou produit périmé"))</f>
        <v>ND</v>
      </c>
      <c r="BI18" s="1923" t="str">
        <f t="shared" si="27"/>
        <v>ND</v>
      </c>
      <c r="BJ18" s="1923" t="str">
        <f t="shared" si="28"/>
        <v>ND</v>
      </c>
      <c r="BK18" s="1923" t="str">
        <f>IF(BJ18="ND", "ND", IF(BJ18&gt;0, 'TRAD-Calculs Péremption FA'!$B$73, "OK"))</f>
        <v>ND</v>
      </c>
      <c r="BL18" s="1924" t="str">
        <f t="shared" si="6"/>
        <v>ND</v>
      </c>
      <c r="BM18" s="1919">
        <f>'Saisie données stocks'!AC30</f>
        <v>0</v>
      </c>
      <c r="BN18" s="1920">
        <f>'Saisie données stocks'!AD30</f>
        <v>0</v>
      </c>
      <c r="BO18" s="1923">
        <f t="shared" si="29"/>
        <v>0</v>
      </c>
      <c r="BP18" s="1923" t="str">
        <f>IF(AND(BM18=0, BN18=0), "ND", IF((BM18-Paramétrage!$H$19)&gt;0, (BM18-Paramétrage!$H$19)/(365/12), "Date non renseignée ou produit périmé"))</f>
        <v>ND</v>
      </c>
      <c r="BQ18" s="1923" t="str">
        <f t="shared" si="30"/>
        <v>ND</v>
      </c>
      <c r="BR18" s="1923" t="str">
        <f t="shared" si="31"/>
        <v>ND</v>
      </c>
      <c r="BS18" s="1923" t="str">
        <f>IF(BR18="ND", "ND", IF(BR18&gt;0, 'TRAD-Calculs Péremption FA'!$B$73, "OK"))</f>
        <v>ND</v>
      </c>
      <c r="BT18" s="1924" t="str">
        <f t="shared" si="7"/>
        <v>ND</v>
      </c>
      <c r="BU18" s="1925">
        <f>IF('Saisie données stocks'!$O$10='TRAD-Saisie données stocks'!$B$51, IF(P18="OK", IF(AND(BR18&gt;0, ISNUMBER(BR18)), (BO18-BR18), (BO18)), O18), O18)</f>
        <v>0</v>
      </c>
      <c r="BV18" s="1925">
        <f t="shared" si="8"/>
        <v>0</v>
      </c>
      <c r="BW18" s="2045" t="str">
        <f t="shared" si="32"/>
        <v/>
      </c>
      <c r="BX18" s="2045">
        <f>IF('Saisie données stocks'!$O$10='TRAD-Saisie données stocks'!$B$51, IF('Calculs Péremption FA'!P18="OK", IF(BU18=O18, MAX(Paramétrage!$H$19+('Saisie données stocks'!$N$14*(365/12)), BM18, BE18, AW18, AO18, AG18, Y18, R18), BW18), Paramétrage!$H$19+('Saisie données stocks'!$N$14*(365/12))), Paramétrage!$H$19+('Saisie données stocks'!$N$14*(365/12)))</f>
        <v>42101.5</v>
      </c>
      <c r="BY18" s="2046">
        <f t="shared" si="9"/>
        <v>7</v>
      </c>
      <c r="BZ18" s="2046">
        <f t="shared" si="10"/>
        <v>4</v>
      </c>
      <c r="CA18" s="2046">
        <f t="shared" si="11"/>
        <v>2015</v>
      </c>
      <c r="CB18" s="2046">
        <f>IF(BX18="", "", (BX18-Paramétrage!$H$19)/(365/12))</f>
        <v>6</v>
      </c>
      <c r="CC18" s="2043" t="str">
        <f>IF(CB18='Saisie données stocks'!N$14, 'TRAD-Calculs Péremption FA'!$B$74, CONCATENATE("DLU - ", BY18, "/", BZ18, "/", CA18))</f>
        <v>Durée de vie max</v>
      </c>
    </row>
    <row r="19" spans="2:81" ht="39" thickBot="1" x14ac:dyDescent="0.25">
      <c r="B19" s="374"/>
      <c r="C19" s="407"/>
      <c r="D19" s="1926" t="s">
        <v>4</v>
      </c>
      <c r="E19" s="1815" t="str">
        <f>'TRAD-Calculs Péremption FA'!B9</f>
        <v>Cp</v>
      </c>
      <c r="F19" s="1815" t="s">
        <v>130</v>
      </c>
      <c r="G19" s="377" t="s">
        <v>647</v>
      </c>
      <c r="H19" s="1720" t="str">
        <f t="shared" si="12"/>
        <v>TDF+3TC+EFV - 300/200/600 mg</v>
      </c>
      <c r="I19" s="1385">
        <v>30</v>
      </c>
      <c r="J19" s="1645"/>
      <c r="K19" s="1628">
        <f>IF('TdB Péremptions'!$H$9="X", 'Prix 10-2011 GPRM $'!$O$35, IF('TdB Péremptions'!$H$10="X", 'Prix 10-2011 GPRM $'!$Q$35, IF('TdB Péremptions'!$H$11="X", 'Prix VPP 102012 convert'!$O$35, IF('TdB Péremptions'!$H$12="X", 'Prix VPP 102012 convert'!$Q$35, IF('TdB Péremptions'!$H$13="X", 'Prix spécifiques'!$J$19, 0)))))</f>
        <v>11.99</v>
      </c>
      <c r="L19" s="1628">
        <f>(1+'TdB Péremptions'!$H$14)*K19</f>
        <v>13.189000000000002</v>
      </c>
      <c r="M19" s="1916">
        <f>Calculs!L329</f>
        <v>1484</v>
      </c>
      <c r="N19" s="1916">
        <f>Calculs!N329</f>
        <v>0</v>
      </c>
      <c r="O19" s="1916">
        <f>'Saisie données stocks'!N31</f>
        <v>36034</v>
      </c>
      <c r="P19" s="1917" t="str">
        <f>IF(SUM('Saisie données stocks'!R31+'Saisie données stocks'!T31+'Saisie données stocks'!V31+'Saisie données stocks'!X31+'Saisie données stocks'!Z31+'Saisie données stocks'!AB31+'Saisie données stocks'!AD31)='Calculs Péremption conso'!O19,  "OK", 'TRAD-Calculs Péremption FA'!$B$75)</f>
        <v>OK</v>
      </c>
      <c r="Q19" s="1918" t="str">
        <f>IF(AND(O19&gt;0, Calculs!L329=0, Calculs!N329=0), 'TRAD-Calculs Péremption FA'!$B$76, "")</f>
        <v/>
      </c>
      <c r="R19" s="1919">
        <f>'Saisie données stocks'!Q31</f>
        <v>42339</v>
      </c>
      <c r="S19" s="1920">
        <f>'Saisie données stocks'!R31</f>
        <v>36034</v>
      </c>
      <c r="T19" s="1921">
        <f>IF(AND(R19=0, S19=0), "ND", IF((R19-Paramétrage!$H$19)&gt;0, (R19-Paramétrage!$H$19)/(365/12), "Date non renseignée ou produit périmé"))</f>
        <v>13.808219178082192</v>
      </c>
      <c r="U19" s="1922">
        <f t="shared" si="13"/>
        <v>20491.397260273974</v>
      </c>
      <c r="V19" s="1922">
        <f t="shared" si="0"/>
        <v>15542.602739726026</v>
      </c>
      <c r="W19" s="1921" t="str">
        <f>IF(V19="ND", "ND", IF(V19&gt;0, 'TRAD-Calculs Péremption FA'!$B$73, "OK"))</f>
        <v>ATTENTION SURSTOCK et risque de péremption</v>
      </c>
      <c r="X19" s="1924">
        <f t="shared" si="1"/>
        <v>204991.38753424658</v>
      </c>
      <c r="Y19" s="1919">
        <f>'Saisie données stocks'!S31</f>
        <v>0</v>
      </c>
      <c r="Z19" s="1920">
        <f>'Saisie données stocks'!T31</f>
        <v>0</v>
      </c>
      <c r="AA19" s="1923">
        <f t="shared" si="14"/>
        <v>20491.397260273974</v>
      </c>
      <c r="AB19" s="1923" t="str">
        <f>IF(AND(Y19=0, Z19=0), "ND", IF((Y19-Paramétrage!$H$19)&gt;0, (Y19-Paramétrage!$H$19)/(365/12), "Date non renseignée ou produit périmé"))</f>
        <v>ND</v>
      </c>
      <c r="AC19" s="1923" t="str">
        <f t="shared" si="15"/>
        <v>ND</v>
      </c>
      <c r="AD19" s="1923" t="str">
        <f t="shared" si="16"/>
        <v>ND</v>
      </c>
      <c r="AE19" s="1921" t="str">
        <f>IF(AD19="ND", "ND", IF(AD19&gt;0, 'TRAD-Calculs Péremption FA'!$B$73, "OK"))</f>
        <v>ND</v>
      </c>
      <c r="AF19" s="1924" t="str">
        <f t="shared" si="2"/>
        <v>ND</v>
      </c>
      <c r="AG19" s="1919">
        <f>'Saisie données stocks'!U31</f>
        <v>0</v>
      </c>
      <c r="AH19" s="1920">
        <f>'Saisie données stocks'!V31</f>
        <v>0</v>
      </c>
      <c r="AI19" s="1923">
        <f t="shared" si="17"/>
        <v>20491.397260273974</v>
      </c>
      <c r="AJ19" s="1923" t="str">
        <f>IF(AND(AG19=0, AH19=0), "ND", IF((AG19-Paramétrage!$H$19)&gt;0, (AG19-Paramétrage!$H$19)/(365/12), "Date non renseignée ou produit périmé"))</f>
        <v>ND</v>
      </c>
      <c r="AK19" s="1923" t="str">
        <f t="shared" si="18"/>
        <v>ND</v>
      </c>
      <c r="AL19" s="1923" t="str">
        <f t="shared" si="19"/>
        <v>ND</v>
      </c>
      <c r="AM19" s="1923" t="str">
        <f>IF(AL19="ND", "ND", IF(AL19&gt;0, 'TRAD-Calculs Péremption FA'!$B$73, "OK"))</f>
        <v>ND</v>
      </c>
      <c r="AN19" s="1924" t="str">
        <f t="shared" si="3"/>
        <v>ND</v>
      </c>
      <c r="AO19" s="1919">
        <f>'Saisie données stocks'!W31</f>
        <v>0</v>
      </c>
      <c r="AP19" s="1920">
        <f>'Saisie données stocks'!X31</f>
        <v>0</v>
      </c>
      <c r="AQ19" s="1923">
        <f t="shared" si="20"/>
        <v>20491.397260273974</v>
      </c>
      <c r="AR19" s="1923" t="str">
        <f>IF(AND(AO19=0, AP19=0), "ND", IF((AO19-Paramétrage!$H$19)&gt;0, (AO19-Paramétrage!$H$19)/(365/12), "Date non renseignée ou produit périmé"))</f>
        <v>ND</v>
      </c>
      <c r="AS19" s="1923" t="str">
        <f t="shared" si="21"/>
        <v>ND</v>
      </c>
      <c r="AT19" s="1923" t="str">
        <f t="shared" si="22"/>
        <v>ND</v>
      </c>
      <c r="AU19" s="1923" t="str">
        <f>IF(AT19="ND", "ND", IF(AT19&gt;0, 'TRAD-Calculs Péremption FA'!$B$73, "OK"))</f>
        <v>ND</v>
      </c>
      <c r="AV19" s="1924" t="str">
        <f t="shared" si="4"/>
        <v>ND</v>
      </c>
      <c r="AW19" s="1919">
        <f>'Saisie données stocks'!Y31</f>
        <v>0</v>
      </c>
      <c r="AX19" s="1920">
        <f>'Saisie données stocks'!Z31</f>
        <v>0</v>
      </c>
      <c r="AY19" s="1923">
        <f t="shared" si="23"/>
        <v>20491.397260273974</v>
      </c>
      <c r="AZ19" s="1923" t="str">
        <f>IF(AND(AW19=0, AX19=0), "ND", IF((AW19-Paramétrage!$H$19)&gt;0, (AW19-Paramétrage!$H$19)/(365/12), "Date non renseignée ou produit périmé"))</f>
        <v>ND</v>
      </c>
      <c r="BA19" s="1923" t="str">
        <f t="shared" si="24"/>
        <v>ND</v>
      </c>
      <c r="BB19" s="1923" t="str">
        <f t="shared" si="25"/>
        <v>ND</v>
      </c>
      <c r="BC19" s="1923" t="str">
        <f>IF(BB19="ND", "ND", IF(BB19&gt;0, 'TRAD-Calculs Péremption FA'!$B$73, "OK"))</f>
        <v>ND</v>
      </c>
      <c r="BD19" s="1924" t="str">
        <f t="shared" si="5"/>
        <v>ND</v>
      </c>
      <c r="BE19" s="1919">
        <f>'Saisie données stocks'!AA31</f>
        <v>0</v>
      </c>
      <c r="BF19" s="1920">
        <f>'Saisie données stocks'!AB31</f>
        <v>0</v>
      </c>
      <c r="BG19" s="1923">
        <f t="shared" si="26"/>
        <v>20491.397260273974</v>
      </c>
      <c r="BH19" s="1923" t="str">
        <f>IF(AND(BE19=0, BF19=0), "ND", IF((BE19-Paramétrage!$H$19)&gt;0, (BE19-Paramétrage!$H$19)/(365/12), "Date non renseignée ou produit périmé"))</f>
        <v>ND</v>
      </c>
      <c r="BI19" s="1923" t="str">
        <f t="shared" si="27"/>
        <v>ND</v>
      </c>
      <c r="BJ19" s="1923" t="str">
        <f t="shared" si="28"/>
        <v>ND</v>
      </c>
      <c r="BK19" s="1923" t="str">
        <f>IF(BJ19="ND", "ND", IF(BJ19&gt;0, 'TRAD-Calculs Péremption FA'!$B$73, "OK"))</f>
        <v>ND</v>
      </c>
      <c r="BL19" s="1924" t="str">
        <f t="shared" si="6"/>
        <v>ND</v>
      </c>
      <c r="BM19" s="1919">
        <f>'Saisie données stocks'!AC31</f>
        <v>0</v>
      </c>
      <c r="BN19" s="1920">
        <f>'Saisie données stocks'!AD31</f>
        <v>0</v>
      </c>
      <c r="BO19" s="1923">
        <f t="shared" si="29"/>
        <v>20491.397260273974</v>
      </c>
      <c r="BP19" s="1923" t="str">
        <f>IF(AND(BM19=0, BN19=0), "ND", IF((BM19-Paramétrage!$H$19)&gt;0, (BM19-Paramétrage!$H$19)/(365/12), "Date non renseignée ou produit périmé"))</f>
        <v>ND</v>
      </c>
      <c r="BQ19" s="1923" t="str">
        <f t="shared" si="30"/>
        <v>ND</v>
      </c>
      <c r="BR19" s="1923" t="str">
        <f t="shared" si="31"/>
        <v>ND</v>
      </c>
      <c r="BS19" s="1923" t="str">
        <f>IF(BR19="ND", "ND", IF(BR19&gt;0, 'TRAD-Calculs Péremption FA'!$B$73, "OK"))</f>
        <v>ND</v>
      </c>
      <c r="BT19" s="1924" t="str">
        <f t="shared" si="7"/>
        <v>ND</v>
      </c>
      <c r="BU19" s="1925">
        <f>IF('Saisie données stocks'!$O$10='TRAD-Saisie données stocks'!$B$51, IF(P19="OK", IF(AND(BR19&gt;0, ISNUMBER(BR19)), (BO19-BR19), (BO19)), O19), O19)</f>
        <v>20491.397260273974</v>
      </c>
      <c r="BV19" s="1925">
        <f t="shared" si="8"/>
        <v>15542.602739726026</v>
      </c>
      <c r="BW19" s="2045">
        <f t="shared" si="32"/>
        <v>42339</v>
      </c>
      <c r="BX19" s="2045">
        <f>IF('Saisie données stocks'!$O$10='TRAD-Saisie données stocks'!$B$51, IF('Calculs Péremption FA'!P19="OK", IF(BU19=O19, MAX(Paramétrage!$H$19+('Saisie données stocks'!$N$14*(365/12)), BM19, BE19, AW19, AO19, AG19, Y19, R19), BW19), Paramétrage!$H$19+('Saisie données stocks'!$N$14*(365/12))), Paramétrage!$H$19+('Saisie données stocks'!$N$14*(365/12)))</f>
        <v>42339</v>
      </c>
      <c r="BY19" s="2046">
        <f t="shared" si="9"/>
        <v>1</v>
      </c>
      <c r="BZ19" s="2046">
        <f t="shared" si="10"/>
        <v>12</v>
      </c>
      <c r="CA19" s="2046">
        <f t="shared" si="11"/>
        <v>2015</v>
      </c>
      <c r="CB19" s="2046">
        <f>IF(BX19="", "", (BX19-Paramétrage!$H$19)/(365/12))</f>
        <v>13.808219178082192</v>
      </c>
      <c r="CC19" s="2043" t="str">
        <f>IF(CB19='Saisie données stocks'!N$14, 'TRAD-Calculs Péremption FA'!$B$74, CONCATENATE("DLU - ", BY19, "/", BZ19, "/", CA19))</f>
        <v>DLU - 1/12/2015</v>
      </c>
    </row>
    <row r="20" spans="2:81" ht="26.25" thickBot="1" x14ac:dyDescent="0.25">
      <c r="B20" s="374"/>
      <c r="C20" s="407"/>
      <c r="D20" s="1926" t="s">
        <v>228</v>
      </c>
      <c r="E20" s="1815" t="str">
        <f>'TRAD-Calculs Péremption FA'!B9</f>
        <v>Cp</v>
      </c>
      <c r="F20" s="1815" t="s">
        <v>25</v>
      </c>
      <c r="G20" s="377" t="s">
        <v>648</v>
      </c>
      <c r="H20" s="1795" t="str">
        <f t="shared" si="12"/>
        <v>TDF+3TC - 300/200 mg</v>
      </c>
      <c r="I20" s="1385">
        <v>30</v>
      </c>
      <c r="J20" s="1796"/>
      <c r="K20" s="1797">
        <f>IF('TdB Péremptions'!$H$9="X", 'Prix 10-2011 GPRM $'!$O$37, IF('TdB Péremptions'!$H$10="X", 'Prix 10-2011 GPRM $'!$Q$37, IF('TdB Péremptions'!$H$11="X", 'Prix VPP 102012 convert'!$O$37, IF('TdB Péremptions'!$H$12="X", 'Prix VPP 102012 convert'!$Q$37, IF('TdB Péremptions'!$H$13="X", 'Prix spécifiques'!$J$20, 0)))))</f>
        <v>5.0299999999999994</v>
      </c>
      <c r="L20" s="1797">
        <f>(1+'TdB Péremptions'!$H$14)*K20</f>
        <v>5.5329999999999995</v>
      </c>
      <c r="M20" s="1916">
        <f>Calculs!L330</f>
        <v>104</v>
      </c>
      <c r="N20" s="1916">
        <f>Calculs!N330</f>
        <v>0</v>
      </c>
      <c r="O20" s="1916">
        <f>'Saisie données stocks'!N32</f>
        <v>505</v>
      </c>
      <c r="P20" s="1917" t="str">
        <f>IF(SUM('Saisie données stocks'!R32+'Saisie données stocks'!T32+'Saisie données stocks'!V32+'Saisie données stocks'!X32+'Saisie données stocks'!Z32+'Saisie données stocks'!AB32+'Saisie données stocks'!AD32)='Calculs Péremption conso'!O20,  "OK", 'TRAD-Calculs Péremption FA'!$B$75)</f>
        <v>OK</v>
      </c>
      <c r="Q20" s="1918" t="str">
        <f>IF(AND(O20&gt;0, Calculs!L330=0, Calculs!N330=0), 'TRAD-Calculs Péremption FA'!$B$76, "")</f>
        <v/>
      </c>
      <c r="R20" s="1919">
        <f>'Saisie données stocks'!Q32</f>
        <v>42064</v>
      </c>
      <c r="S20" s="1920">
        <f>'Saisie données stocks'!R32</f>
        <v>505</v>
      </c>
      <c r="T20" s="1921">
        <f>IF(AND(R20=0, S20=0), "ND", IF((R20-Paramétrage!$H$19)&gt;0, (R20-Paramétrage!$H$19)/(365/12), "Date non renseignée ou produit périmé"))</f>
        <v>4.7671232876712324</v>
      </c>
      <c r="U20" s="1922">
        <f t="shared" si="13"/>
        <v>495.78082191780817</v>
      </c>
      <c r="V20" s="1922">
        <f t="shared" si="0"/>
        <v>9.2191780821918314</v>
      </c>
      <c r="W20" s="2539" t="str">
        <f>IF(V20="ND", "ND", IF(V20&gt;0, 'TRAD-Calculs Péremption FA'!$B$73, "OK"))</f>
        <v>ATTENTION SURSTOCK et risque de péremption</v>
      </c>
      <c r="X20" s="1924">
        <f t="shared" si="1"/>
        <v>51.009712328767399</v>
      </c>
      <c r="Y20" s="1919">
        <f>'Saisie données stocks'!S32</f>
        <v>0</v>
      </c>
      <c r="Z20" s="1920">
        <f>'Saisie données stocks'!T32</f>
        <v>0</v>
      </c>
      <c r="AA20" s="1923">
        <f t="shared" si="14"/>
        <v>495.78082191780817</v>
      </c>
      <c r="AB20" s="1923" t="str">
        <f>IF(AND(Y20=0, Z20=0), "ND", IF((Y20-Paramétrage!$H$19)&gt;0, (Y20-Paramétrage!$H$19)/(365/12), "Date non renseignée ou produit périmé"))</f>
        <v>ND</v>
      </c>
      <c r="AC20" s="1923" t="str">
        <f t="shared" si="15"/>
        <v>ND</v>
      </c>
      <c r="AD20" s="1923" t="str">
        <f t="shared" si="16"/>
        <v>ND</v>
      </c>
      <c r="AE20" s="2539" t="str">
        <f>IF(AD20="ND", "ND", IF(AD20&gt;0, 'TRAD-Calculs Péremption FA'!$B$73, "OK"))</f>
        <v>ND</v>
      </c>
      <c r="AF20" s="1924" t="str">
        <f t="shared" si="2"/>
        <v>ND</v>
      </c>
      <c r="AG20" s="1919">
        <f>'Saisie données stocks'!U32</f>
        <v>0</v>
      </c>
      <c r="AH20" s="1920">
        <f>'Saisie données stocks'!V32</f>
        <v>0</v>
      </c>
      <c r="AI20" s="1923">
        <f t="shared" si="17"/>
        <v>495.78082191780817</v>
      </c>
      <c r="AJ20" s="1923" t="str">
        <f>IF(AND(AG20=0, AH20=0), "ND", IF((AG20-Paramétrage!$H$19)&gt;0, (AG20-Paramétrage!$H$19)/(365/12), "Date non renseignée ou produit périmé"))</f>
        <v>ND</v>
      </c>
      <c r="AK20" s="1923" t="str">
        <f t="shared" si="18"/>
        <v>ND</v>
      </c>
      <c r="AL20" s="1923" t="str">
        <f t="shared" si="19"/>
        <v>ND</v>
      </c>
      <c r="AM20" s="2546" t="str">
        <f>IF(AL20="ND", "ND", IF(AL20&gt;0, 'TRAD-Calculs Péremption FA'!$B$73, "OK"))</f>
        <v>ND</v>
      </c>
      <c r="AN20" s="1924" t="str">
        <f t="shared" si="3"/>
        <v>ND</v>
      </c>
      <c r="AO20" s="1919">
        <f>'Saisie données stocks'!W32</f>
        <v>0</v>
      </c>
      <c r="AP20" s="1920">
        <f>'Saisie données stocks'!X32</f>
        <v>0</v>
      </c>
      <c r="AQ20" s="1923">
        <f t="shared" si="20"/>
        <v>495.78082191780817</v>
      </c>
      <c r="AR20" s="1923" t="str">
        <f>IF(AND(AO20=0, AP20=0), "ND", IF((AO20-Paramétrage!$H$19)&gt;0, (AO20-Paramétrage!$H$19)/(365/12), "Date non renseignée ou produit périmé"))</f>
        <v>ND</v>
      </c>
      <c r="AS20" s="1923" t="str">
        <f t="shared" si="21"/>
        <v>ND</v>
      </c>
      <c r="AT20" s="1923" t="str">
        <f t="shared" si="22"/>
        <v>ND</v>
      </c>
      <c r="AU20" s="1923" t="str">
        <f>IF(AT20="ND", "ND", IF(AT20&gt;0, 'TRAD-Calculs Péremption FA'!$B$73, "OK"))</f>
        <v>ND</v>
      </c>
      <c r="AV20" s="1924" t="str">
        <f t="shared" si="4"/>
        <v>ND</v>
      </c>
      <c r="AW20" s="1919">
        <f>'Saisie données stocks'!Y32</f>
        <v>0</v>
      </c>
      <c r="AX20" s="1920">
        <f>'Saisie données stocks'!Z32</f>
        <v>0</v>
      </c>
      <c r="AY20" s="1923">
        <f t="shared" si="23"/>
        <v>495.78082191780817</v>
      </c>
      <c r="AZ20" s="1923" t="str">
        <f>IF(AND(AW20=0, AX20=0), "ND", IF((AW20-Paramétrage!$H$19)&gt;0, (AW20-Paramétrage!$H$19)/(365/12), "Date non renseignée ou produit périmé"))</f>
        <v>ND</v>
      </c>
      <c r="BA20" s="1923" t="str">
        <f t="shared" si="24"/>
        <v>ND</v>
      </c>
      <c r="BB20" s="1923" t="str">
        <f t="shared" si="25"/>
        <v>ND</v>
      </c>
      <c r="BC20" s="1923" t="str">
        <f>IF(BB20="ND", "ND", IF(BB20&gt;0, 'TRAD-Calculs Péremption FA'!$B$73, "OK"))</f>
        <v>ND</v>
      </c>
      <c r="BD20" s="1924" t="str">
        <f t="shared" si="5"/>
        <v>ND</v>
      </c>
      <c r="BE20" s="1919">
        <f>'Saisie données stocks'!AA32</f>
        <v>0</v>
      </c>
      <c r="BF20" s="1920">
        <f>'Saisie données stocks'!AB32</f>
        <v>0</v>
      </c>
      <c r="BG20" s="1923">
        <f t="shared" si="26"/>
        <v>495.78082191780817</v>
      </c>
      <c r="BH20" s="1923" t="str">
        <f>IF(AND(BE20=0, BF20=0), "ND", IF((BE20-Paramétrage!$H$19)&gt;0, (BE20-Paramétrage!$H$19)/(365/12), "Date non renseignée ou produit périmé"))</f>
        <v>ND</v>
      </c>
      <c r="BI20" s="1923" t="str">
        <f t="shared" si="27"/>
        <v>ND</v>
      </c>
      <c r="BJ20" s="1923" t="str">
        <f t="shared" si="28"/>
        <v>ND</v>
      </c>
      <c r="BK20" s="1923" t="str">
        <f>IF(BJ20="ND", "ND", IF(BJ20&gt;0, 'TRAD-Calculs Péremption FA'!$B$73, "OK"))</f>
        <v>ND</v>
      </c>
      <c r="BL20" s="1924" t="str">
        <f t="shared" si="6"/>
        <v>ND</v>
      </c>
      <c r="BM20" s="1919">
        <f>'Saisie données stocks'!AC32</f>
        <v>0</v>
      </c>
      <c r="BN20" s="1920">
        <f>'Saisie données stocks'!AD32</f>
        <v>0</v>
      </c>
      <c r="BO20" s="1923">
        <f t="shared" si="29"/>
        <v>495.78082191780817</v>
      </c>
      <c r="BP20" s="1923" t="str">
        <f>IF(AND(BM20=0, BN20=0), "ND", IF((BM20-Paramétrage!$H$19)&gt;0, (BM20-Paramétrage!$H$19)/(365/12), "Date non renseignée ou produit périmé"))</f>
        <v>ND</v>
      </c>
      <c r="BQ20" s="1923" t="str">
        <f t="shared" si="30"/>
        <v>ND</v>
      </c>
      <c r="BR20" s="1923" t="str">
        <f t="shared" si="31"/>
        <v>ND</v>
      </c>
      <c r="BS20" s="1923" t="str">
        <f>IF(BR20="ND", "ND", IF(BR20&gt;0, 'TRAD-Calculs Péremption FA'!$B$73, "OK"))</f>
        <v>ND</v>
      </c>
      <c r="BT20" s="1924" t="str">
        <f t="shared" si="7"/>
        <v>ND</v>
      </c>
      <c r="BU20" s="1925">
        <f>IF('Saisie données stocks'!$O$10='TRAD-Saisie données stocks'!$B$51, IF(P20="OK", IF(AND(BR20&gt;0, ISNUMBER(BR20)), (BO20-BR20), (BO20)), O20), O20)</f>
        <v>495.78082191780817</v>
      </c>
      <c r="BV20" s="1925">
        <f t="shared" si="8"/>
        <v>9.2191780821918314</v>
      </c>
      <c r="BW20" s="2045">
        <f t="shared" si="32"/>
        <v>42064</v>
      </c>
      <c r="BX20" s="2045">
        <f>IF('Saisie données stocks'!$O$10='TRAD-Saisie données stocks'!$B$51, IF('Calculs Péremption FA'!P20="OK", IF(BU20=O20, MAX(Paramétrage!$H$19+('Saisie données stocks'!$N$14*(365/12)), BM20, BE20, AW20, AO20, AG20, Y20, R20), BW20), Paramétrage!$H$19+('Saisie données stocks'!$N$14*(365/12))), Paramétrage!$H$19+('Saisie données stocks'!$N$14*(365/12)))</f>
        <v>42064</v>
      </c>
      <c r="BY20" s="2046">
        <f t="shared" si="9"/>
        <v>1</v>
      </c>
      <c r="BZ20" s="2046">
        <f t="shared" si="10"/>
        <v>3</v>
      </c>
      <c r="CA20" s="2046">
        <f t="shared" si="11"/>
        <v>2015</v>
      </c>
      <c r="CB20" s="2046">
        <f>IF(BX20="", "", (BX20-Paramétrage!$H$19)/(365/12))</f>
        <v>4.7671232876712324</v>
      </c>
      <c r="CC20" s="2043" t="str">
        <f>IF(CB20='Saisie données stocks'!N$14, 'TRAD-Calculs Péremption FA'!$B$74, CONCATENATE("DLU - ", BY20, "/", BZ20, "/", CA20))</f>
        <v>DLU - 1/3/2015</v>
      </c>
    </row>
    <row r="21" spans="2:81" ht="39" thickBot="1" x14ac:dyDescent="0.25">
      <c r="B21" s="388"/>
      <c r="C21" s="389"/>
      <c r="D21" s="1927" t="s">
        <v>612</v>
      </c>
      <c r="E21" s="1928" t="str">
        <f>'TRAD-Calculs Péremption FA'!B10</f>
        <v>Cp coblister</v>
      </c>
      <c r="F21" s="1928" t="s">
        <v>613</v>
      </c>
      <c r="G21" s="410" t="s">
        <v>649</v>
      </c>
      <c r="H21" s="658" t="str">
        <f t="shared" si="12"/>
        <v>[TDF+3TC]+ATV/r - [300/300]+300/100 mg</v>
      </c>
      <c r="I21" s="1798">
        <v>30</v>
      </c>
      <c r="J21" s="1799"/>
      <c r="K21" s="1800">
        <f>IF('TdB Péremptions'!$H$9="X", 'Prix 10-2011 GPRM $'!$L$70, IF('TdB Péremptions'!$H$10="X", 'Prix 10-2011 GPRM $'!$L$70, IF('TdB Péremptions'!$H$11="X", 'Prix VPP 102012 convert'!$L$70, IF('TdB Péremptions'!$H$12="X", 'Prix VPP 102012 convert'!$L$70, IF('TdB Péremptions'!$H$13="X", 'Prix spécifiques'!$J$21, 0)))))</f>
        <v>30</v>
      </c>
      <c r="L21" s="1800">
        <f>(1+'TdB Péremptions'!$H$14)*K21</f>
        <v>33</v>
      </c>
      <c r="M21" s="1929">
        <f>Calculs!L331</f>
        <v>0</v>
      </c>
      <c r="N21" s="1929">
        <f>Calculs!N331</f>
        <v>0</v>
      </c>
      <c r="O21" s="1929">
        <f>'Saisie données stocks'!N33</f>
        <v>0</v>
      </c>
      <c r="P21" s="1930" t="str">
        <f>IF(SUM('Saisie données stocks'!R33+'Saisie données stocks'!T33+'Saisie données stocks'!V33+'Saisie données stocks'!X33+'Saisie données stocks'!Z33+'Saisie données stocks'!AB33+'Saisie données stocks'!AD33)='Calculs Péremption conso'!O21,  "OK", 'TRAD-Calculs Péremption FA'!$B$75)</f>
        <v>OK</v>
      </c>
      <c r="Q21" s="1931" t="str">
        <f>IF(AND(O21&gt;0, Calculs!L331=0, Calculs!N331=0), 'TRAD-Calculs Péremption FA'!$B$76, "")</f>
        <v/>
      </c>
      <c r="R21" s="1932">
        <f>'Saisie données stocks'!Q33</f>
        <v>0</v>
      </c>
      <c r="S21" s="1933">
        <f>'Saisie données stocks'!R33</f>
        <v>0</v>
      </c>
      <c r="T21" s="1934" t="str">
        <f>IF(AND(R21=0, S21=0), "ND", IF((R21-Paramétrage!$H$19)&gt;0, (R21-Paramétrage!$H$19)/(365/12), "Date non renseignée ou produit périmé"))</f>
        <v>ND</v>
      </c>
      <c r="U21" s="1935" t="str">
        <f t="shared" si="13"/>
        <v>ND</v>
      </c>
      <c r="V21" s="1935" t="str">
        <f t="shared" si="0"/>
        <v>ND</v>
      </c>
      <c r="W21" s="1934" t="str">
        <f>IF(V21="ND", "ND", IF(V21&gt;0, 'TRAD-Calculs Péremption FA'!$B$73, "OK"))</f>
        <v>ND</v>
      </c>
      <c r="X21" s="1937" t="str">
        <f t="shared" si="1"/>
        <v>ND</v>
      </c>
      <c r="Y21" s="1932">
        <f>'Saisie données stocks'!S33</f>
        <v>0</v>
      </c>
      <c r="Z21" s="1933">
        <f>'Saisie données stocks'!T33</f>
        <v>0</v>
      </c>
      <c r="AA21" s="1936">
        <f t="shared" si="14"/>
        <v>0</v>
      </c>
      <c r="AB21" s="1936" t="str">
        <f>IF(AND(Y21=0, Z21=0), "ND", IF((Y21-Paramétrage!$H$19)&gt;0, (Y21-Paramétrage!$H$19)/(365/12), "Date non renseignée ou produit périmé"))</f>
        <v>ND</v>
      </c>
      <c r="AC21" s="1936" t="str">
        <f t="shared" si="15"/>
        <v>ND</v>
      </c>
      <c r="AD21" s="1936" t="str">
        <f t="shared" si="16"/>
        <v>ND</v>
      </c>
      <c r="AE21" s="1934" t="str">
        <f>IF(AD21="ND", "ND", IF(AD21&gt;0, 'TRAD-Calculs Péremption FA'!$B$73, "OK"))</f>
        <v>ND</v>
      </c>
      <c r="AF21" s="1937" t="str">
        <f t="shared" si="2"/>
        <v>ND</v>
      </c>
      <c r="AG21" s="1932">
        <f>'Saisie données stocks'!U33</f>
        <v>0</v>
      </c>
      <c r="AH21" s="1933">
        <f>'Saisie données stocks'!V33</f>
        <v>0</v>
      </c>
      <c r="AI21" s="1936">
        <f t="shared" si="17"/>
        <v>0</v>
      </c>
      <c r="AJ21" s="1936" t="str">
        <f>IF(AND(AG21=0, AH21=0), "ND", IF((AG21-Paramétrage!$H$19)&gt;0, (AG21-Paramétrage!$H$19)/(365/12), "Date non renseignée ou produit périmé"))</f>
        <v>ND</v>
      </c>
      <c r="AK21" s="1936" t="str">
        <f t="shared" si="18"/>
        <v>ND</v>
      </c>
      <c r="AL21" s="1936" t="str">
        <f t="shared" si="19"/>
        <v>ND</v>
      </c>
      <c r="AM21" s="1936" t="str">
        <f>IF(AL21="ND", "ND", IF(AL21&gt;0, 'TRAD-Calculs Péremption FA'!$B$73, "OK"))</f>
        <v>ND</v>
      </c>
      <c r="AN21" s="1937" t="str">
        <f t="shared" si="3"/>
        <v>ND</v>
      </c>
      <c r="AO21" s="1932">
        <f>'Saisie données stocks'!W33</f>
        <v>0</v>
      </c>
      <c r="AP21" s="1933">
        <f>'Saisie données stocks'!X33</f>
        <v>0</v>
      </c>
      <c r="AQ21" s="1936">
        <f t="shared" si="20"/>
        <v>0</v>
      </c>
      <c r="AR21" s="1936" t="str">
        <f>IF(AND(AO21=0, AP21=0), "ND", IF((AO21-Paramétrage!$H$19)&gt;0, (AO21-Paramétrage!$H$19)/(365/12), "Date non renseignée ou produit périmé"))</f>
        <v>ND</v>
      </c>
      <c r="AS21" s="1936" t="str">
        <f t="shared" si="21"/>
        <v>ND</v>
      </c>
      <c r="AT21" s="1936" t="str">
        <f t="shared" si="22"/>
        <v>ND</v>
      </c>
      <c r="AU21" s="1936" t="str">
        <f>IF(AT21="ND", "ND", IF(AT21&gt;0, 'TRAD-Calculs Péremption FA'!$B$73, "OK"))</f>
        <v>ND</v>
      </c>
      <c r="AV21" s="1937" t="str">
        <f t="shared" si="4"/>
        <v>ND</v>
      </c>
      <c r="AW21" s="1932">
        <f>'Saisie données stocks'!Y33</f>
        <v>0</v>
      </c>
      <c r="AX21" s="1933">
        <f>'Saisie données stocks'!Z33</f>
        <v>0</v>
      </c>
      <c r="AY21" s="1936">
        <f t="shared" si="23"/>
        <v>0</v>
      </c>
      <c r="AZ21" s="1936" t="str">
        <f>IF(AND(AW21=0, AX21=0), "ND", IF((AW21-Paramétrage!$H$19)&gt;0, (AW21-Paramétrage!$H$19)/(365/12), "Date non renseignée ou produit périmé"))</f>
        <v>ND</v>
      </c>
      <c r="BA21" s="1936" t="str">
        <f t="shared" si="24"/>
        <v>ND</v>
      </c>
      <c r="BB21" s="1936" t="str">
        <f t="shared" si="25"/>
        <v>ND</v>
      </c>
      <c r="BC21" s="1936" t="str">
        <f>IF(BB21="ND", "ND", IF(BB21&gt;0, 'TRAD-Calculs Péremption FA'!$B$73, "OK"))</f>
        <v>ND</v>
      </c>
      <c r="BD21" s="1937" t="str">
        <f t="shared" si="5"/>
        <v>ND</v>
      </c>
      <c r="BE21" s="1932">
        <f>'Saisie données stocks'!AA33</f>
        <v>0</v>
      </c>
      <c r="BF21" s="1933">
        <f>'Saisie données stocks'!AB33</f>
        <v>0</v>
      </c>
      <c r="BG21" s="1936">
        <f t="shared" si="26"/>
        <v>0</v>
      </c>
      <c r="BH21" s="1936" t="str">
        <f>IF(AND(BE21=0, BF21=0), "ND", IF((BE21-Paramétrage!$H$19)&gt;0, (BE21-Paramétrage!$H$19)/(365/12), "Date non renseignée ou produit périmé"))</f>
        <v>ND</v>
      </c>
      <c r="BI21" s="1936" t="str">
        <f t="shared" si="27"/>
        <v>ND</v>
      </c>
      <c r="BJ21" s="1936" t="str">
        <f t="shared" si="28"/>
        <v>ND</v>
      </c>
      <c r="BK21" s="1936" t="str">
        <f>IF(BJ21="ND", "ND", IF(BJ21&gt;0, 'TRAD-Calculs Péremption FA'!$B$73, "OK"))</f>
        <v>ND</v>
      </c>
      <c r="BL21" s="1937" t="str">
        <f t="shared" si="6"/>
        <v>ND</v>
      </c>
      <c r="BM21" s="1932">
        <f>'Saisie données stocks'!AC33</f>
        <v>0</v>
      </c>
      <c r="BN21" s="1933">
        <f>'Saisie données stocks'!AD33</f>
        <v>0</v>
      </c>
      <c r="BO21" s="1936">
        <f t="shared" si="29"/>
        <v>0</v>
      </c>
      <c r="BP21" s="1936" t="str">
        <f>IF(AND(BM21=0, BN21=0), "ND", IF((BM21-Paramétrage!$H$19)&gt;0, (BM21-Paramétrage!$H$19)/(365/12), "Date non renseignée ou produit périmé"))</f>
        <v>ND</v>
      </c>
      <c r="BQ21" s="1936" t="str">
        <f t="shared" si="30"/>
        <v>ND</v>
      </c>
      <c r="BR21" s="1936" t="str">
        <f t="shared" si="31"/>
        <v>ND</v>
      </c>
      <c r="BS21" s="1936" t="str">
        <f>IF(BR21="ND", "ND", IF(BR21&gt;0, 'TRAD-Calculs Péremption FA'!$B$73, "OK"))</f>
        <v>ND</v>
      </c>
      <c r="BT21" s="1937" t="str">
        <f t="shared" si="7"/>
        <v>ND</v>
      </c>
      <c r="BU21" s="1938">
        <f>IF('Saisie données stocks'!$O$10='TRAD-Saisie données stocks'!$B$51, IF(P21="OK", IF(AND(BR21&gt;0, ISNUMBER(BR21)), (BO21-BR21), (BO21)), O21), O21)</f>
        <v>0</v>
      </c>
      <c r="BV21" s="1938">
        <f t="shared" si="8"/>
        <v>0</v>
      </c>
      <c r="BW21" s="2047" t="str">
        <f t="shared" si="32"/>
        <v/>
      </c>
      <c r="BX21" s="2047">
        <f>IF('Saisie données stocks'!$O$10='TRAD-Saisie données stocks'!$B$51, IF('Calculs Péremption FA'!P21="OK", IF(BU21=O21, MAX(Paramétrage!$H$19+('Saisie données stocks'!$N$14*(365/12)), BM21, BE21, AW21, AO21, AG21, Y21, R21), BW21), Paramétrage!$H$19+('Saisie données stocks'!$N$14*(365/12))), Paramétrage!$H$19+('Saisie données stocks'!$N$14*(365/12)))</f>
        <v>42101.5</v>
      </c>
      <c r="BY21" s="2048">
        <f t="shared" si="9"/>
        <v>7</v>
      </c>
      <c r="BZ21" s="2048">
        <f t="shared" si="10"/>
        <v>4</v>
      </c>
      <c r="CA21" s="2048">
        <f t="shared" si="11"/>
        <v>2015</v>
      </c>
      <c r="CB21" s="2048">
        <f>IF(BX21="", "", (BX21-Paramétrage!$H$19)/(365/12))</f>
        <v>6</v>
      </c>
      <c r="CC21" s="2043" t="str">
        <f>IF(CB21='Saisie données stocks'!N$14, 'TRAD-Calculs Péremption FA'!$B$74, CONCATENATE("DLU - ", BY21, "/", BZ21, "/", CA21))</f>
        <v>Durée de vie max</v>
      </c>
    </row>
    <row r="22" spans="2:81" ht="26.25" thickBot="1" x14ac:dyDescent="0.25">
      <c r="B22" s="374"/>
      <c r="C22" s="375" t="s">
        <v>26</v>
      </c>
      <c r="D22" s="1900" t="s">
        <v>27</v>
      </c>
      <c r="E22" s="1901" t="s">
        <v>104</v>
      </c>
      <c r="F22" s="1901" t="s">
        <v>105</v>
      </c>
      <c r="G22" s="369" t="s">
        <v>621</v>
      </c>
      <c r="H22" s="371" t="str">
        <f t="shared" si="12"/>
        <v>EFV - 50 mg</v>
      </c>
      <c r="I22" s="113">
        <v>30</v>
      </c>
      <c r="J22" s="656"/>
      <c r="K22" s="755">
        <f>IF('TdB Péremptions'!$H$9="X", 'Prix 10-2011 GPRM $'!$O$136, IF('TdB Péremptions'!$H$10="X", 'Prix 10-2011 GPRM $'!$Q$136, IF('TdB Péremptions'!$H$11="X", 'Prix VPP 102012 convert'!$O$136, IF('TdB Péremptions'!$H$12="X", 'Prix VPP 102012 convert'!$Q$136, IF('TdB Péremptions'!$H$13="X", 'Prix spécifiques'!$J$22, 0)))))</f>
        <v>1.49</v>
      </c>
      <c r="L22" s="755">
        <f>(1+'TdB Péremptions'!$H$14)*K22</f>
        <v>1.639</v>
      </c>
      <c r="M22" s="1902">
        <f>Calculs!L332</f>
        <v>0</v>
      </c>
      <c r="N22" s="1902">
        <f>Calculs!N332</f>
        <v>0</v>
      </c>
      <c r="O22" s="1902">
        <f>'Saisie données stocks'!N34</f>
        <v>0</v>
      </c>
      <c r="P22" s="1903" t="str">
        <f>IF(SUM('Saisie données stocks'!R34+'Saisie données stocks'!T34+'Saisie données stocks'!V34+'Saisie données stocks'!X34+'Saisie données stocks'!Z34+'Saisie données stocks'!AB34+'Saisie données stocks'!AD34)='Calculs Péremption conso'!O22,  "OK", 'TRAD-Calculs Péremption FA'!$B$75)</f>
        <v>OK</v>
      </c>
      <c r="Q22" s="1904" t="str">
        <f>IF(AND(O22&gt;0, Calculs!L332=0, Calculs!N332=0), 'TRAD-Calculs Péremption FA'!$B$76, "")</f>
        <v/>
      </c>
      <c r="R22" s="1939">
        <f>'Saisie données stocks'!Q34</f>
        <v>0</v>
      </c>
      <c r="S22" s="1906">
        <f>'Saisie données stocks'!R34</f>
        <v>0</v>
      </c>
      <c r="T22" s="1907" t="str">
        <f>IF(AND(R22=0, S22=0), "ND", IF((R22-Paramétrage!$H$19)&gt;0, (R22-Paramétrage!$H$19)/(365/12), "Date non renseignée ou produit périmé"))</f>
        <v>ND</v>
      </c>
      <c r="U22" s="1908" t="str">
        <f t="shared" si="13"/>
        <v>ND</v>
      </c>
      <c r="V22" s="1908" t="str">
        <f t="shared" si="0"/>
        <v>ND</v>
      </c>
      <c r="W22" s="1907" t="str">
        <f>IF(V22="ND", "ND", IF(V22&gt;0, 'TRAD-Calculs Péremption FA'!$B$73, "OK"))</f>
        <v>ND</v>
      </c>
      <c r="X22" s="1909" t="str">
        <f t="shared" si="1"/>
        <v>ND</v>
      </c>
      <c r="Y22" s="1939">
        <f>'Saisie données stocks'!S34</f>
        <v>0</v>
      </c>
      <c r="Z22" s="1906">
        <f>'Saisie données stocks'!T34</f>
        <v>0</v>
      </c>
      <c r="AA22" s="1910">
        <f t="shared" si="14"/>
        <v>0</v>
      </c>
      <c r="AB22" s="1910" t="str">
        <f>IF(AND(Y22=0, Z22=0), "ND", IF((Y22-Paramétrage!$H$19)&gt;0, (Y22-Paramétrage!$H$19)/(365/12), "Date non renseignée ou produit périmé"))</f>
        <v>ND</v>
      </c>
      <c r="AC22" s="1910" t="str">
        <f t="shared" si="15"/>
        <v>ND</v>
      </c>
      <c r="AD22" s="1910" t="str">
        <f t="shared" si="16"/>
        <v>ND</v>
      </c>
      <c r="AE22" s="1907" t="str">
        <f>IF(AD22="ND", "ND", IF(AD22&gt;0, 'TRAD-Calculs Péremption FA'!$B$73, "OK"))</f>
        <v>ND</v>
      </c>
      <c r="AF22" s="1909" t="str">
        <f t="shared" si="2"/>
        <v>ND</v>
      </c>
      <c r="AG22" s="1939">
        <f>'Saisie données stocks'!U34</f>
        <v>0</v>
      </c>
      <c r="AH22" s="1906">
        <f>'Saisie données stocks'!V34</f>
        <v>0</v>
      </c>
      <c r="AI22" s="1910">
        <f t="shared" si="17"/>
        <v>0</v>
      </c>
      <c r="AJ22" s="1910" t="str">
        <f>IF(AND(AG22=0, AH22=0), "ND", IF((AG22-Paramétrage!$H$19)&gt;0, (AG22-Paramétrage!$H$19)/(365/12), "Date non renseignée ou produit périmé"))</f>
        <v>ND</v>
      </c>
      <c r="AK22" s="1910" t="str">
        <f t="shared" si="18"/>
        <v>ND</v>
      </c>
      <c r="AL22" s="1910" t="str">
        <f t="shared" si="19"/>
        <v>ND</v>
      </c>
      <c r="AM22" s="1910" t="str">
        <f>IF(AL22="ND", "ND", IF(AL22&gt;0, 'TRAD-Calculs Péremption FA'!$B$73, "OK"))</f>
        <v>ND</v>
      </c>
      <c r="AN22" s="1909" t="str">
        <f t="shared" si="3"/>
        <v>ND</v>
      </c>
      <c r="AO22" s="1939">
        <f>'Saisie données stocks'!W34</f>
        <v>0</v>
      </c>
      <c r="AP22" s="1906">
        <f>'Saisie données stocks'!X34</f>
        <v>0</v>
      </c>
      <c r="AQ22" s="1910">
        <f t="shared" si="20"/>
        <v>0</v>
      </c>
      <c r="AR22" s="1910" t="str">
        <f>IF(AND(AO22=0, AP22=0), "ND", IF((AO22-Paramétrage!$H$19)&gt;0, (AO22-Paramétrage!$H$19)/(365/12), "Date non renseignée ou produit périmé"))</f>
        <v>ND</v>
      </c>
      <c r="AS22" s="1910" t="str">
        <f t="shared" si="21"/>
        <v>ND</v>
      </c>
      <c r="AT22" s="1910" t="str">
        <f t="shared" si="22"/>
        <v>ND</v>
      </c>
      <c r="AU22" s="1910" t="str">
        <f>IF(AT22="ND", "ND", IF(AT22&gt;0, 'TRAD-Calculs Péremption FA'!$B$73, "OK"))</f>
        <v>ND</v>
      </c>
      <c r="AV22" s="1909" t="str">
        <f t="shared" si="4"/>
        <v>ND</v>
      </c>
      <c r="AW22" s="1939">
        <f>'Saisie données stocks'!Y34</f>
        <v>0</v>
      </c>
      <c r="AX22" s="1906">
        <f>'Saisie données stocks'!Z34</f>
        <v>0</v>
      </c>
      <c r="AY22" s="1910">
        <f t="shared" si="23"/>
        <v>0</v>
      </c>
      <c r="AZ22" s="1910" t="str">
        <f>IF(AND(AW22=0, AX22=0), "ND", IF((AW22-Paramétrage!$H$19)&gt;0, (AW22-Paramétrage!$H$19)/(365/12), "Date non renseignée ou produit périmé"))</f>
        <v>ND</v>
      </c>
      <c r="BA22" s="1910" t="str">
        <f t="shared" si="24"/>
        <v>ND</v>
      </c>
      <c r="BB22" s="1910" t="str">
        <f t="shared" si="25"/>
        <v>ND</v>
      </c>
      <c r="BC22" s="1910" t="str">
        <f>IF(BB22="ND", "ND", IF(BB22&gt;0, 'TRAD-Calculs Péremption FA'!$B$73, "OK"))</f>
        <v>ND</v>
      </c>
      <c r="BD22" s="1909" t="str">
        <f t="shared" si="5"/>
        <v>ND</v>
      </c>
      <c r="BE22" s="1939">
        <f>'Saisie données stocks'!AA34</f>
        <v>0</v>
      </c>
      <c r="BF22" s="1906">
        <f>'Saisie données stocks'!AB34</f>
        <v>0</v>
      </c>
      <c r="BG22" s="1910">
        <f t="shared" si="26"/>
        <v>0</v>
      </c>
      <c r="BH22" s="1910" t="str">
        <f>IF(AND(BE22=0, BF22=0), "ND", IF((BE22-Paramétrage!$H$19)&gt;0, (BE22-Paramétrage!$H$19)/(365/12), "Date non renseignée ou produit périmé"))</f>
        <v>ND</v>
      </c>
      <c r="BI22" s="1910" t="str">
        <f t="shared" si="27"/>
        <v>ND</v>
      </c>
      <c r="BJ22" s="1910" t="str">
        <f t="shared" si="28"/>
        <v>ND</v>
      </c>
      <c r="BK22" s="1910" t="str">
        <f>IF(BJ22="ND", "ND", IF(BJ22&gt;0, 'TRAD-Calculs Péremption FA'!$B$73, "OK"))</f>
        <v>ND</v>
      </c>
      <c r="BL22" s="1909" t="str">
        <f t="shared" si="6"/>
        <v>ND</v>
      </c>
      <c r="BM22" s="1939">
        <f>'Saisie données stocks'!AC34</f>
        <v>0</v>
      </c>
      <c r="BN22" s="1906">
        <f>'Saisie données stocks'!AD34</f>
        <v>0</v>
      </c>
      <c r="BO22" s="1910">
        <f t="shared" si="29"/>
        <v>0</v>
      </c>
      <c r="BP22" s="1910" t="str">
        <f>IF(AND(BM22=0, BN22=0), "ND", IF((BM22-Paramétrage!$H$19)&gt;0, (BM22-Paramétrage!$H$19)/(365/12), "Date non renseignée ou produit périmé"))</f>
        <v>ND</v>
      </c>
      <c r="BQ22" s="1910" t="str">
        <f t="shared" si="30"/>
        <v>ND</v>
      </c>
      <c r="BR22" s="1910" t="str">
        <f t="shared" si="31"/>
        <v>ND</v>
      </c>
      <c r="BS22" s="1910" t="str">
        <f>IF(BR22="ND", "ND", IF(BR22&gt;0, 'TRAD-Calculs Péremption FA'!$B$73, "OK"))</f>
        <v>ND</v>
      </c>
      <c r="BT22" s="1909" t="str">
        <f t="shared" si="7"/>
        <v>ND</v>
      </c>
      <c r="BU22" s="1911">
        <f>IF('Saisie données stocks'!$O$10='TRAD-Saisie données stocks'!$B$51, IF(P22="OK", IF(AND(BR22&gt;0, ISNUMBER(BR22)), (BO22-BR22), (BO22)), O22), O22)</f>
        <v>0</v>
      </c>
      <c r="BV22" s="1911">
        <f t="shared" si="8"/>
        <v>0</v>
      </c>
      <c r="BW22" s="2042" t="str">
        <f t="shared" si="32"/>
        <v/>
      </c>
      <c r="BX22" s="2042">
        <f>IF('Saisie données stocks'!$O$10='TRAD-Saisie données stocks'!$B$51, IF('Calculs Péremption FA'!P22="OK", IF(BU22=O22, MAX(Paramétrage!$H$19+('Saisie données stocks'!$N$14*(365/12)), BM22, BE22, AW22, AO22, AG22, Y22, R22), BW22), Paramétrage!$H$19+('Saisie données stocks'!$N$14*(365/12))), Paramétrage!$H$19+('Saisie données stocks'!$N$14*(365/12)))</f>
        <v>42101.5</v>
      </c>
      <c r="BY22" s="2043">
        <f t="shared" si="9"/>
        <v>7</v>
      </c>
      <c r="BZ22" s="2043">
        <f t="shared" si="10"/>
        <v>4</v>
      </c>
      <c r="CA22" s="2043">
        <f t="shared" si="11"/>
        <v>2015</v>
      </c>
      <c r="CB22" s="2043">
        <f>IF(BX22="", "", (BX22-Paramétrage!$H$19)/(365/12))</f>
        <v>6</v>
      </c>
      <c r="CC22" s="2043" t="str">
        <f>IF(CB22='Saisie données stocks'!N$14, 'TRAD-Calculs Péremption FA'!$B$74, CONCATENATE("DLU - ", BY22, "/", BZ22, "/", CA22))</f>
        <v>Durée de vie max</v>
      </c>
    </row>
    <row r="23" spans="2:81" ht="26.25" thickBot="1" x14ac:dyDescent="0.25">
      <c r="B23" s="374"/>
      <c r="C23" s="375"/>
      <c r="D23" s="1926" t="s">
        <v>27</v>
      </c>
      <c r="E23" s="1815" t="s">
        <v>104</v>
      </c>
      <c r="F23" s="1815" t="s">
        <v>30</v>
      </c>
      <c r="G23" s="377" t="s">
        <v>621</v>
      </c>
      <c r="H23" s="379" t="str">
        <f t="shared" si="12"/>
        <v>EFV - 200 mg</v>
      </c>
      <c r="I23" s="1385">
        <v>90</v>
      </c>
      <c r="J23" s="1645"/>
      <c r="K23" s="1628">
        <f>IF('TdB Péremptions'!$H$9="X", 'Prix 10-2011 GPRM $'!$O$44, IF('TdB Péremptions'!$H$10="X", 'Prix 10-2011 GPRM $'!$Q$44, IF('TdB Péremptions'!$H$11="X", 'Prix VPP 102012 convert'!$O$44, IF('TdB Péremptions'!$H$12="X", 'Prix VPP 102012 convert'!$Q$44, IF('TdB Péremptions'!$H$13="X", 'Prix spécifiques'!$J$23, 0)))))</f>
        <v>7.4</v>
      </c>
      <c r="L23" s="1628">
        <f>(1+'TdB Péremptions'!$H$14)*K23</f>
        <v>8.14</v>
      </c>
      <c r="M23" s="1916">
        <f>Calculs!L333</f>
        <v>21</v>
      </c>
      <c r="N23" s="1916">
        <f>Calculs!N333</f>
        <v>0</v>
      </c>
      <c r="O23" s="1916">
        <f>'Saisie données stocks'!N35</f>
        <v>2</v>
      </c>
      <c r="P23" s="2539" t="str">
        <f>IF(SUM('Saisie données stocks'!R35+'Saisie données stocks'!T35+'Saisie données stocks'!V35+'Saisie données stocks'!X35+'Saisie données stocks'!Z35+'Saisie données stocks'!AB35+'Saisie données stocks'!AD35)='Calculs Péremption conso'!O23,  "OK", 'TRAD-Calculs Péremption FA'!$B$75)</f>
        <v>OK</v>
      </c>
      <c r="Q23" s="2544" t="str">
        <f>IF(AND(O23&gt;0, Calculs!L333=0, Calculs!N333=0), 'TRAD-Calculs Péremption FA'!$B$76, "")</f>
        <v/>
      </c>
      <c r="R23" s="1919">
        <f>'Saisie données stocks'!Q35</f>
        <v>42095</v>
      </c>
      <c r="S23" s="1920">
        <f>'Saisie données stocks'!R35</f>
        <v>2</v>
      </c>
      <c r="T23" s="1921">
        <f>IF(AND(R23=0, S23=0), "ND", IF((R23-Paramétrage!$H$19)&gt;0, (R23-Paramétrage!$H$19)/(365/12), "Date non renseignée ou produit périmé"))</f>
        <v>5.7863013698630139</v>
      </c>
      <c r="U23" s="1922">
        <f t="shared" si="13"/>
        <v>121.51232876712329</v>
      </c>
      <c r="V23" s="1922">
        <f t="shared" si="0"/>
        <v>-119.51232876712329</v>
      </c>
      <c r="W23" s="1921" t="str">
        <f>IF(V23="ND", "ND", IF(V23&gt;0, 'TRAD-Calculs Péremption FA'!$B$73, "OK"))</f>
        <v>OK</v>
      </c>
      <c r="X23" s="1924" t="str">
        <f t="shared" si="1"/>
        <v/>
      </c>
      <c r="Y23" s="1919">
        <f>'Saisie données stocks'!S35</f>
        <v>0</v>
      </c>
      <c r="Z23" s="1920">
        <f>'Saisie données stocks'!T35</f>
        <v>0</v>
      </c>
      <c r="AA23" s="1923">
        <f t="shared" si="14"/>
        <v>2</v>
      </c>
      <c r="AB23" s="1923" t="str">
        <f>IF(AND(Y23=0, Z23=0), "ND", IF((Y23-Paramétrage!$H$19)&gt;0, (Y23-Paramétrage!$H$19)/(365/12), "Date non renseignée ou produit périmé"))</f>
        <v>ND</v>
      </c>
      <c r="AC23" s="1923" t="str">
        <f t="shared" si="15"/>
        <v>ND</v>
      </c>
      <c r="AD23" s="1923" t="str">
        <f t="shared" si="16"/>
        <v>ND</v>
      </c>
      <c r="AE23" s="1921" t="str">
        <f>IF(AD23="ND", "ND", IF(AD23&gt;0, 'TRAD-Calculs Péremption FA'!$B$73, "OK"))</f>
        <v>ND</v>
      </c>
      <c r="AF23" s="1924" t="str">
        <f t="shared" si="2"/>
        <v>ND</v>
      </c>
      <c r="AG23" s="1919">
        <f>'Saisie données stocks'!U35</f>
        <v>0</v>
      </c>
      <c r="AH23" s="1920">
        <f>'Saisie données stocks'!V35</f>
        <v>0</v>
      </c>
      <c r="AI23" s="1923">
        <f t="shared" si="17"/>
        <v>2</v>
      </c>
      <c r="AJ23" s="1923" t="str">
        <f>IF(AND(AG23=0, AH23=0), "ND", IF((AG23-Paramétrage!$H$19)&gt;0, (AG23-Paramétrage!$H$19)/(365/12), "Date non renseignée ou produit périmé"))</f>
        <v>ND</v>
      </c>
      <c r="AK23" s="1923" t="str">
        <f t="shared" si="18"/>
        <v>ND</v>
      </c>
      <c r="AL23" s="1923" t="str">
        <f t="shared" si="19"/>
        <v>ND</v>
      </c>
      <c r="AM23" s="1923" t="str">
        <f>IF(AL23="ND", "ND", IF(AL23&gt;0, 'TRAD-Calculs Péremption FA'!$B$73, "OK"))</f>
        <v>ND</v>
      </c>
      <c r="AN23" s="1924" t="str">
        <f t="shared" si="3"/>
        <v>ND</v>
      </c>
      <c r="AO23" s="1919">
        <f>'Saisie données stocks'!W35</f>
        <v>0</v>
      </c>
      <c r="AP23" s="1920">
        <f>'Saisie données stocks'!X35</f>
        <v>0</v>
      </c>
      <c r="AQ23" s="1923">
        <f t="shared" si="20"/>
        <v>2</v>
      </c>
      <c r="AR23" s="1923" t="str">
        <f>IF(AND(AO23=0, AP23=0), "ND", IF((AO23-Paramétrage!$H$19)&gt;0, (AO23-Paramétrage!$H$19)/(365/12), "Date non renseignée ou produit périmé"))</f>
        <v>ND</v>
      </c>
      <c r="AS23" s="1923" t="str">
        <f t="shared" si="21"/>
        <v>ND</v>
      </c>
      <c r="AT23" s="1923" t="str">
        <f t="shared" si="22"/>
        <v>ND</v>
      </c>
      <c r="AU23" s="1923" t="str">
        <f>IF(AT23="ND", "ND", IF(AT23&gt;0, 'TRAD-Calculs Péremption FA'!$B$73, "OK"))</f>
        <v>ND</v>
      </c>
      <c r="AV23" s="1924" t="str">
        <f t="shared" si="4"/>
        <v>ND</v>
      </c>
      <c r="AW23" s="1919">
        <f>'Saisie données stocks'!Y35</f>
        <v>0</v>
      </c>
      <c r="AX23" s="1920">
        <f>'Saisie données stocks'!Z35</f>
        <v>0</v>
      </c>
      <c r="AY23" s="1923">
        <f t="shared" si="23"/>
        <v>2</v>
      </c>
      <c r="AZ23" s="1923" t="str">
        <f>IF(AND(AW23=0, AX23=0), "ND", IF((AW23-Paramétrage!$H$19)&gt;0, (AW23-Paramétrage!$H$19)/(365/12), "Date non renseignée ou produit périmé"))</f>
        <v>ND</v>
      </c>
      <c r="BA23" s="1923" t="str">
        <f t="shared" si="24"/>
        <v>ND</v>
      </c>
      <c r="BB23" s="1923" t="str">
        <f t="shared" si="25"/>
        <v>ND</v>
      </c>
      <c r="BC23" s="1923" t="str">
        <f>IF(BB23="ND", "ND", IF(BB23&gt;0, 'TRAD-Calculs Péremption FA'!$B$73, "OK"))</f>
        <v>ND</v>
      </c>
      <c r="BD23" s="1924" t="str">
        <f t="shared" si="5"/>
        <v>ND</v>
      </c>
      <c r="BE23" s="1919">
        <f>'Saisie données stocks'!AA35</f>
        <v>0</v>
      </c>
      <c r="BF23" s="1920">
        <f>'Saisie données stocks'!AB35</f>
        <v>0</v>
      </c>
      <c r="BG23" s="1923">
        <f t="shared" si="26"/>
        <v>2</v>
      </c>
      <c r="BH23" s="1923" t="str">
        <f>IF(AND(BE23=0, BF23=0), "ND", IF((BE23-Paramétrage!$H$19)&gt;0, (BE23-Paramétrage!$H$19)/(365/12), "Date non renseignée ou produit périmé"))</f>
        <v>ND</v>
      </c>
      <c r="BI23" s="1923" t="str">
        <f t="shared" si="27"/>
        <v>ND</v>
      </c>
      <c r="BJ23" s="1923" t="str">
        <f t="shared" si="28"/>
        <v>ND</v>
      </c>
      <c r="BK23" s="1923" t="str">
        <f>IF(BJ23="ND", "ND", IF(BJ23&gt;0, 'TRAD-Calculs Péremption FA'!$B$73, "OK"))</f>
        <v>ND</v>
      </c>
      <c r="BL23" s="1924" t="str">
        <f t="shared" si="6"/>
        <v>ND</v>
      </c>
      <c r="BM23" s="1919">
        <f>'Saisie données stocks'!AC35</f>
        <v>0</v>
      </c>
      <c r="BN23" s="1920">
        <f>'Saisie données stocks'!AD35</f>
        <v>0</v>
      </c>
      <c r="BO23" s="1923">
        <f t="shared" si="29"/>
        <v>2</v>
      </c>
      <c r="BP23" s="1923" t="str">
        <f>IF(AND(BM23=0, BN23=0), "ND", IF((BM23-Paramétrage!$H$19)&gt;0, (BM23-Paramétrage!$H$19)/(365/12), "Date non renseignée ou produit périmé"))</f>
        <v>ND</v>
      </c>
      <c r="BQ23" s="1923" t="str">
        <f t="shared" si="30"/>
        <v>ND</v>
      </c>
      <c r="BR23" s="1923" t="str">
        <f t="shared" si="31"/>
        <v>ND</v>
      </c>
      <c r="BS23" s="1923" t="str">
        <f>IF(BR23="ND", "ND", IF(BR23&gt;0, 'TRAD-Calculs Péremption FA'!$B$73, "OK"))</f>
        <v>ND</v>
      </c>
      <c r="BT23" s="1924" t="str">
        <f t="shared" si="7"/>
        <v>ND</v>
      </c>
      <c r="BU23" s="1925">
        <f>IF('Saisie données stocks'!$O$10='TRAD-Saisie données stocks'!$B$51, IF(P23="OK", IF(AND(BR23&gt;0, ISNUMBER(BR23)), (BO23-BR23), (BO23)), O23), O23)</f>
        <v>2</v>
      </c>
      <c r="BV23" s="1925">
        <f t="shared" si="8"/>
        <v>0</v>
      </c>
      <c r="BW23" s="2045" t="str">
        <f t="shared" si="32"/>
        <v/>
      </c>
      <c r="BX23" s="2045">
        <f>IF('Saisie données stocks'!$O$10='TRAD-Saisie données stocks'!$B$51, IF('Calculs Péremption FA'!P23="OK", IF(BU23=O23, MAX(Paramétrage!$H$19+('Saisie données stocks'!$N$14*(365/12)), BM23, BE23, AW23, AO23, AG23, Y23, R23), BW23), Paramétrage!$H$19+('Saisie données stocks'!$N$14*(365/12))), Paramétrage!$H$19+('Saisie données stocks'!$N$14*(365/12)))</f>
        <v>42101.5</v>
      </c>
      <c r="BY23" s="2046">
        <f t="shared" si="9"/>
        <v>7</v>
      </c>
      <c r="BZ23" s="2046">
        <f t="shared" si="10"/>
        <v>4</v>
      </c>
      <c r="CA23" s="2046">
        <f t="shared" si="11"/>
        <v>2015</v>
      </c>
      <c r="CB23" s="2046">
        <f>IF(BX23="", "", (BX23-Paramétrage!$H$19)/(365/12))</f>
        <v>6</v>
      </c>
      <c r="CC23" s="2043" t="str">
        <f>IF(CB23='Saisie données stocks'!N$14, 'TRAD-Calculs Péremption FA'!$B$74, CONCATENATE("DLU - ", BY23, "/", BZ23, "/", CA23))</f>
        <v>Durée de vie max</v>
      </c>
    </row>
    <row r="24" spans="2:81" ht="26.25" thickBot="1" x14ac:dyDescent="0.25">
      <c r="B24" s="374"/>
      <c r="C24" s="375"/>
      <c r="D24" s="1940" t="s">
        <v>27</v>
      </c>
      <c r="E24" s="1941" t="str">
        <f>'TRAD-Calculs Péremption FA'!B9</f>
        <v>Cp</v>
      </c>
      <c r="F24" s="1941" t="s">
        <v>28</v>
      </c>
      <c r="G24" s="535" t="s">
        <v>621</v>
      </c>
      <c r="H24" s="379" t="str">
        <f t="shared" si="12"/>
        <v>EFV - 600 mg</v>
      </c>
      <c r="I24" s="1386">
        <v>30</v>
      </c>
      <c r="J24" s="1646"/>
      <c r="K24" s="1647">
        <f>IF('TdB Péremptions'!$H$9="X", 'Prix 10-2011 GPRM $'!$O$45, IF('TdB Péremptions'!$H$10="X", 'Prix 10-2011 GPRM $'!$Q$45, IF('TdB Péremptions'!$H$11="X", 'Prix VPP 102012 convert'!$O$45, IF('TdB Péremptions'!$H$12="X", 'Prix VPP 102012 convert'!$Q$45, IF('TdB Péremptions'!$H$13="X", 'Prix spécifiques'!$J$24, 0)))))</f>
        <v>6.4399999999999995</v>
      </c>
      <c r="L24" s="1647">
        <f>(1+'TdB Péremptions'!$H$14)*K24</f>
        <v>7.0839999999999996</v>
      </c>
      <c r="M24" s="1916">
        <f>Calculs!L334</f>
        <v>1485</v>
      </c>
      <c r="N24" s="1916">
        <f>Calculs!N334</f>
        <v>0</v>
      </c>
      <c r="O24" s="1916">
        <f>'Saisie données stocks'!N36</f>
        <v>9356</v>
      </c>
      <c r="P24" s="2539" t="str">
        <f>IF(SUM('Saisie données stocks'!R36+'Saisie données stocks'!T36+'Saisie données stocks'!V36+'Saisie données stocks'!X36+'Saisie données stocks'!Z36+'Saisie données stocks'!AB36+'Saisie données stocks'!AD36)='Calculs Péremption conso'!O24,  "OK", 'TRAD-Calculs Péremption FA'!$B$75)</f>
        <v>OK</v>
      </c>
      <c r="Q24" s="1918" t="str">
        <f>IF(AND(O24&gt;0, Calculs!L334=0, Calculs!N334=0), 'TRAD-Calculs Péremption FA'!$B$76, "")</f>
        <v/>
      </c>
      <c r="R24" s="1919">
        <f>'Saisie données stocks'!Q36</f>
        <v>42370</v>
      </c>
      <c r="S24" s="1920">
        <f>'Saisie données stocks'!R36</f>
        <v>1704</v>
      </c>
      <c r="T24" s="1921">
        <f>IF(AND(R24=0, S24=0), "ND", IF((R24-Paramétrage!$H$19)&gt;0, (R24-Paramétrage!$H$19)/(365/12), "Date non renseignée ou produit périmé"))</f>
        <v>14.827397260273973</v>
      </c>
      <c r="U24" s="1922">
        <f t="shared" si="13"/>
        <v>22018.68493150685</v>
      </c>
      <c r="V24" s="1922">
        <f t="shared" si="0"/>
        <v>-20314.68493150685</v>
      </c>
      <c r="W24" s="1921" t="str">
        <f>IF(V24="ND", "ND", IF(V24&gt;0, 'TRAD-Calculs Péremption FA'!$B$73, "OK"))</f>
        <v>OK</v>
      </c>
      <c r="X24" s="1924" t="str">
        <f t="shared" si="1"/>
        <v/>
      </c>
      <c r="Y24" s="1919">
        <f>'Saisie données stocks'!S36</f>
        <v>42461</v>
      </c>
      <c r="Z24" s="1920">
        <f>'Saisie données stocks'!T36</f>
        <v>7652</v>
      </c>
      <c r="AA24" s="1923">
        <f t="shared" si="14"/>
        <v>9356</v>
      </c>
      <c r="AB24" s="1923">
        <f>IF(AND(Y24=0, Z24=0), "ND", IF((Y24-Paramétrage!$H$19)&gt;0, (Y24-Paramétrage!$H$19)/(365/12), "Date non renseignée ou produit périmé"))</f>
        <v>17.81917808219178</v>
      </c>
      <c r="AC24" s="1923">
        <f t="shared" si="15"/>
        <v>26461.479452054791</v>
      </c>
      <c r="AD24" s="1923">
        <f t="shared" si="16"/>
        <v>-17105.479452054791</v>
      </c>
      <c r="AE24" s="1921" t="str">
        <f>IF(AD24="ND", "ND", IF(AD24&gt;0, 'TRAD-Calculs Péremption FA'!$B$73, "OK"))</f>
        <v>OK</v>
      </c>
      <c r="AF24" s="1924" t="str">
        <f t="shared" si="2"/>
        <v/>
      </c>
      <c r="AG24" s="1919">
        <f>'Saisie données stocks'!U36</f>
        <v>42552</v>
      </c>
      <c r="AH24" s="1920">
        <f>'Saisie données stocks'!V36</f>
        <v>0</v>
      </c>
      <c r="AI24" s="1923">
        <f t="shared" si="17"/>
        <v>9356</v>
      </c>
      <c r="AJ24" s="1923">
        <f>IF(AND(AG24=0, AH24=0), "ND", IF((AG24-Paramétrage!$H$19)&gt;0, (AG24-Paramétrage!$H$19)/(365/12), "Date non renseignée ou produit périmé"))</f>
        <v>20.810958904109587</v>
      </c>
      <c r="AK24" s="1923">
        <f t="shared" si="18"/>
        <v>30904.273972602736</v>
      </c>
      <c r="AL24" s="1923">
        <f t="shared" si="19"/>
        <v>-21548.273972602736</v>
      </c>
      <c r="AM24" s="1923" t="str">
        <f>IF(AL24="ND", "ND", IF(AL24&gt;0, 'TRAD-Calculs Péremption FA'!$B$73, "OK"))</f>
        <v>OK</v>
      </c>
      <c r="AN24" s="1924" t="str">
        <f t="shared" si="3"/>
        <v/>
      </c>
      <c r="AO24" s="1919">
        <f>'Saisie données stocks'!W36</f>
        <v>0</v>
      </c>
      <c r="AP24" s="1920">
        <f>'Saisie données stocks'!X36</f>
        <v>0</v>
      </c>
      <c r="AQ24" s="1923">
        <f t="shared" si="20"/>
        <v>9356</v>
      </c>
      <c r="AR24" s="1923" t="str">
        <f>IF(AND(AO24=0, AP24=0), "ND", IF((AO24-Paramétrage!$H$19)&gt;0, (AO24-Paramétrage!$H$19)/(365/12), "Date non renseignée ou produit périmé"))</f>
        <v>ND</v>
      </c>
      <c r="AS24" s="1923" t="str">
        <f t="shared" si="21"/>
        <v>ND</v>
      </c>
      <c r="AT24" s="1923" t="str">
        <f t="shared" si="22"/>
        <v>ND</v>
      </c>
      <c r="AU24" s="1923" t="str">
        <f>IF(AT24="ND", "ND", IF(AT24&gt;0, 'TRAD-Calculs Péremption FA'!$B$73, "OK"))</f>
        <v>ND</v>
      </c>
      <c r="AV24" s="1924" t="str">
        <f t="shared" si="4"/>
        <v>ND</v>
      </c>
      <c r="AW24" s="1919">
        <f>'Saisie données stocks'!Y36</f>
        <v>0</v>
      </c>
      <c r="AX24" s="1920">
        <f>'Saisie données stocks'!Z36</f>
        <v>0</v>
      </c>
      <c r="AY24" s="1923">
        <f t="shared" si="23"/>
        <v>9356</v>
      </c>
      <c r="AZ24" s="1923" t="str">
        <f>IF(AND(AW24=0, AX24=0), "ND", IF((AW24-Paramétrage!$H$19)&gt;0, (AW24-Paramétrage!$H$19)/(365/12), "Date non renseignée ou produit périmé"))</f>
        <v>ND</v>
      </c>
      <c r="BA24" s="1923" t="str">
        <f t="shared" si="24"/>
        <v>ND</v>
      </c>
      <c r="BB24" s="1923" t="str">
        <f t="shared" si="25"/>
        <v>ND</v>
      </c>
      <c r="BC24" s="1923" t="str">
        <f>IF(BB24="ND", "ND", IF(BB24&gt;0, 'TRAD-Calculs Péremption FA'!$B$73, "OK"))</f>
        <v>ND</v>
      </c>
      <c r="BD24" s="1924" t="str">
        <f t="shared" si="5"/>
        <v>ND</v>
      </c>
      <c r="BE24" s="1919">
        <f>'Saisie données stocks'!AA36</f>
        <v>0</v>
      </c>
      <c r="BF24" s="1920">
        <f>'Saisie données stocks'!AB36</f>
        <v>0</v>
      </c>
      <c r="BG24" s="1923">
        <f t="shared" si="26"/>
        <v>9356</v>
      </c>
      <c r="BH24" s="1923" t="str">
        <f>IF(AND(BE24=0, BF24=0), "ND", IF((BE24-Paramétrage!$H$19)&gt;0, (BE24-Paramétrage!$H$19)/(365/12), "Date non renseignée ou produit périmé"))</f>
        <v>ND</v>
      </c>
      <c r="BI24" s="1923" t="str">
        <f t="shared" si="27"/>
        <v>ND</v>
      </c>
      <c r="BJ24" s="1923" t="str">
        <f t="shared" si="28"/>
        <v>ND</v>
      </c>
      <c r="BK24" s="1923" t="str">
        <f>IF(BJ24="ND", "ND", IF(BJ24&gt;0, 'TRAD-Calculs Péremption FA'!$B$73, "OK"))</f>
        <v>ND</v>
      </c>
      <c r="BL24" s="1924" t="str">
        <f t="shared" si="6"/>
        <v>ND</v>
      </c>
      <c r="BM24" s="1919">
        <f>'Saisie données stocks'!AC36</f>
        <v>0</v>
      </c>
      <c r="BN24" s="1920">
        <f>'Saisie données stocks'!AD36</f>
        <v>0</v>
      </c>
      <c r="BO24" s="1923">
        <f t="shared" si="29"/>
        <v>9356</v>
      </c>
      <c r="BP24" s="1923" t="str">
        <f>IF(AND(BM24=0, BN24=0), "ND", IF((BM24-Paramétrage!$H$19)&gt;0, (BM24-Paramétrage!$H$19)/(365/12), "Date non renseignée ou produit périmé"))</f>
        <v>ND</v>
      </c>
      <c r="BQ24" s="1923" t="str">
        <f t="shared" si="30"/>
        <v>ND</v>
      </c>
      <c r="BR24" s="1923" t="str">
        <f t="shared" si="31"/>
        <v>ND</v>
      </c>
      <c r="BS24" s="1923" t="str">
        <f>IF(BR24="ND", "ND", IF(BR24&gt;0, 'TRAD-Calculs Péremption FA'!$B$73, "OK"))</f>
        <v>ND</v>
      </c>
      <c r="BT24" s="1924" t="str">
        <f t="shared" si="7"/>
        <v>ND</v>
      </c>
      <c r="BU24" s="1925">
        <f>IF('Saisie données stocks'!$O$10='TRAD-Saisie données stocks'!$B$51, IF(P24="OK", IF(AND(BR24&gt;0, ISNUMBER(BR24)), (BO24-BR24), (BO24)), O24), O24)</f>
        <v>9356</v>
      </c>
      <c r="BV24" s="1925">
        <f t="shared" si="8"/>
        <v>0</v>
      </c>
      <c r="BW24" s="2045" t="str">
        <f t="shared" si="32"/>
        <v/>
      </c>
      <c r="BX24" s="2045">
        <f>IF('Saisie données stocks'!$O$10='TRAD-Saisie données stocks'!$B$51, IF('Calculs Péremption FA'!P24="OK", IF(BU24=O24, MAX(Paramétrage!$H$19+('Saisie données stocks'!$N$14*(365/12)), BM24, BE24, AW24, AO24, AG24, Y24, R24), BW24), Paramétrage!$H$19+('Saisie données stocks'!$N$14*(365/12))), Paramétrage!$H$19+('Saisie données stocks'!$N$14*(365/12)))</f>
        <v>42552</v>
      </c>
      <c r="BY24" s="2046">
        <f t="shared" si="9"/>
        <v>1</v>
      </c>
      <c r="BZ24" s="2046">
        <f t="shared" si="10"/>
        <v>7</v>
      </c>
      <c r="CA24" s="2046">
        <f t="shared" si="11"/>
        <v>2016</v>
      </c>
      <c r="CB24" s="2046">
        <f>IF(BX24="", "", (BX24-Paramétrage!$H$19)/(365/12))</f>
        <v>20.810958904109587</v>
      </c>
      <c r="CC24" s="2043" t="str">
        <f>IF(CB24='Saisie données stocks'!N$14, 'TRAD-Calculs Péremption FA'!$B$74, CONCATENATE("DLU - ", BY24, "/", BZ24, "/", CA24))</f>
        <v>DLU - 1/7/2016</v>
      </c>
    </row>
    <row r="25" spans="2:81" ht="26.25" thickBot="1" x14ac:dyDescent="0.25">
      <c r="B25" s="374"/>
      <c r="C25" s="375"/>
      <c r="D25" s="1940" t="s">
        <v>354</v>
      </c>
      <c r="E25" s="1941" t="str">
        <f>'TRAD-Calculs Péremption FA'!B9</f>
        <v>Cp</v>
      </c>
      <c r="F25" s="1941" t="s">
        <v>30</v>
      </c>
      <c r="G25" s="535" t="s">
        <v>622</v>
      </c>
      <c r="H25" s="533" t="str">
        <f t="shared" si="12"/>
        <v>ETV - 200 mg</v>
      </c>
      <c r="I25" s="1386"/>
      <c r="J25" s="1646"/>
      <c r="K25" s="1647">
        <f>IF('TdB Péremptions'!$H$9="X", 'Prix 10-2011 GPRM $'!$O$64, IF('TdB Péremptions'!$H$10="X", 'Prix 10-2011 GPRM $'!$Q$64, IF('TdB Péremptions'!$H$11="X", 'Prix VPP 102012 convert'!$O$64, IF('TdB Péremptions'!$H$12="X", 'Prix VPP 102012 convert'!$Q$64, IF('TdB Péremptions'!$H$13="X", 'Prix spécifiques'!$J$25, 0)))))</f>
        <v>38.36</v>
      </c>
      <c r="L25" s="1647">
        <f>(1+'TdB Péremptions'!$H$14)*K25</f>
        <v>42.196000000000005</v>
      </c>
      <c r="M25" s="1916">
        <f>Calculs!L335</f>
        <v>0</v>
      </c>
      <c r="N25" s="1916">
        <f>Calculs!N335</f>
        <v>0</v>
      </c>
      <c r="O25" s="1916">
        <f>'Saisie données stocks'!N37</f>
        <v>0</v>
      </c>
      <c r="P25" s="1917" t="str">
        <f>IF(SUM('Saisie données stocks'!R37+'Saisie données stocks'!T37+'Saisie données stocks'!V37+'Saisie données stocks'!X37+'Saisie données stocks'!Z37+'Saisie données stocks'!AB37+'Saisie données stocks'!AD37)='Calculs Péremption conso'!O25,  "OK", 'TRAD-Calculs Péremption FA'!$B$75)</f>
        <v>OK</v>
      </c>
      <c r="Q25" s="1918" t="str">
        <f>IF(AND(O25&gt;0, Calculs!L335=0, Calculs!N335=0), 'TRAD-Calculs Péremption FA'!$B$76, "")</f>
        <v/>
      </c>
      <c r="R25" s="1919">
        <f>'Saisie données stocks'!Q37</f>
        <v>0</v>
      </c>
      <c r="S25" s="1920">
        <f>'Saisie données stocks'!R37</f>
        <v>0</v>
      </c>
      <c r="T25" s="1921" t="str">
        <f>IF(AND(R25=0, S25=0), "ND", IF((R25-Paramétrage!$H$19)&gt;0, (R25-Paramétrage!$H$19)/(365/12), "Date non renseignée ou produit périmé"))</f>
        <v>ND</v>
      </c>
      <c r="U25" s="1922" t="str">
        <f t="shared" si="13"/>
        <v>ND</v>
      </c>
      <c r="V25" s="1922" t="str">
        <f t="shared" si="0"/>
        <v>ND</v>
      </c>
      <c r="W25" s="1921" t="str">
        <f>IF(V25="ND", "ND", IF(V25&gt;0, 'TRAD-Calculs Péremption FA'!$B$73, "OK"))</f>
        <v>ND</v>
      </c>
      <c r="X25" s="1924" t="str">
        <f t="shared" si="1"/>
        <v>ND</v>
      </c>
      <c r="Y25" s="1919">
        <f>'Saisie données stocks'!S37</f>
        <v>0</v>
      </c>
      <c r="Z25" s="1920">
        <f>'Saisie données stocks'!T37</f>
        <v>0</v>
      </c>
      <c r="AA25" s="1923">
        <f t="shared" si="14"/>
        <v>0</v>
      </c>
      <c r="AB25" s="1923" t="str">
        <f>IF(AND(Y25=0, Z25=0), "ND", IF((Y25-Paramétrage!$H$19)&gt;0, (Y25-Paramétrage!$H$19)/(365/12), "Date non renseignée ou produit périmé"))</f>
        <v>ND</v>
      </c>
      <c r="AC25" s="1923" t="str">
        <f t="shared" si="15"/>
        <v>ND</v>
      </c>
      <c r="AD25" s="1923" t="str">
        <f t="shared" si="16"/>
        <v>ND</v>
      </c>
      <c r="AE25" s="1921" t="str">
        <f>IF(AD25="ND", "ND", IF(AD25&gt;0, 'TRAD-Calculs Péremption FA'!$B$73, "OK"))</f>
        <v>ND</v>
      </c>
      <c r="AF25" s="1924" t="str">
        <f t="shared" si="2"/>
        <v>ND</v>
      </c>
      <c r="AG25" s="1919">
        <f>'Saisie données stocks'!U37</f>
        <v>0</v>
      </c>
      <c r="AH25" s="1920">
        <f>'Saisie données stocks'!V37</f>
        <v>0</v>
      </c>
      <c r="AI25" s="1923">
        <f t="shared" si="17"/>
        <v>0</v>
      </c>
      <c r="AJ25" s="1923" t="str">
        <f>IF(AND(AG25=0, AH25=0), "ND", IF((AG25-Paramétrage!$H$19)&gt;0, (AG25-Paramétrage!$H$19)/(365/12), "Date non renseignée ou produit périmé"))</f>
        <v>ND</v>
      </c>
      <c r="AK25" s="1923" t="str">
        <f t="shared" si="18"/>
        <v>ND</v>
      </c>
      <c r="AL25" s="1923" t="str">
        <f t="shared" si="19"/>
        <v>ND</v>
      </c>
      <c r="AM25" s="1923" t="str">
        <f>IF(AL25="ND", "ND", IF(AL25&gt;0, 'TRAD-Calculs Péremption FA'!$B$73, "OK"))</f>
        <v>ND</v>
      </c>
      <c r="AN25" s="1924" t="str">
        <f t="shared" si="3"/>
        <v>ND</v>
      </c>
      <c r="AO25" s="1919">
        <f>'Saisie données stocks'!W37</f>
        <v>0</v>
      </c>
      <c r="AP25" s="1920">
        <f>'Saisie données stocks'!X37</f>
        <v>0</v>
      </c>
      <c r="AQ25" s="1923">
        <f t="shared" si="20"/>
        <v>0</v>
      </c>
      <c r="AR25" s="1923" t="str">
        <f>IF(AND(AO25=0, AP25=0), "ND", IF((AO25-Paramétrage!$H$19)&gt;0, (AO25-Paramétrage!$H$19)/(365/12), "Date non renseignée ou produit périmé"))</f>
        <v>ND</v>
      </c>
      <c r="AS25" s="1923" t="str">
        <f t="shared" si="21"/>
        <v>ND</v>
      </c>
      <c r="AT25" s="1923" t="str">
        <f t="shared" si="22"/>
        <v>ND</v>
      </c>
      <c r="AU25" s="1923" t="str">
        <f>IF(AT25="ND", "ND", IF(AT25&gt;0, 'TRAD-Calculs Péremption FA'!$B$73, "OK"))</f>
        <v>ND</v>
      </c>
      <c r="AV25" s="1924" t="str">
        <f t="shared" si="4"/>
        <v>ND</v>
      </c>
      <c r="AW25" s="1919">
        <f>'Saisie données stocks'!Y37</f>
        <v>0</v>
      </c>
      <c r="AX25" s="1920">
        <f>'Saisie données stocks'!Z37</f>
        <v>0</v>
      </c>
      <c r="AY25" s="1923">
        <f t="shared" si="23"/>
        <v>0</v>
      </c>
      <c r="AZ25" s="1923" t="str">
        <f>IF(AND(AW25=0, AX25=0), "ND", IF((AW25-Paramétrage!$H$19)&gt;0, (AW25-Paramétrage!$H$19)/(365/12), "Date non renseignée ou produit périmé"))</f>
        <v>ND</v>
      </c>
      <c r="BA25" s="1923" t="str">
        <f t="shared" si="24"/>
        <v>ND</v>
      </c>
      <c r="BB25" s="1923" t="str">
        <f t="shared" si="25"/>
        <v>ND</v>
      </c>
      <c r="BC25" s="1923" t="str">
        <f>IF(BB25="ND", "ND", IF(BB25&gt;0, 'TRAD-Calculs Péremption FA'!$B$73, "OK"))</f>
        <v>ND</v>
      </c>
      <c r="BD25" s="1924" t="str">
        <f t="shared" si="5"/>
        <v>ND</v>
      </c>
      <c r="BE25" s="1919">
        <f>'Saisie données stocks'!AA37</f>
        <v>0</v>
      </c>
      <c r="BF25" s="1920">
        <f>'Saisie données stocks'!AB37</f>
        <v>0</v>
      </c>
      <c r="BG25" s="1923">
        <f t="shared" si="26"/>
        <v>0</v>
      </c>
      <c r="BH25" s="1923" t="str">
        <f>IF(AND(BE25=0, BF25=0), "ND", IF((BE25-Paramétrage!$H$19)&gt;0, (BE25-Paramétrage!$H$19)/(365/12), "Date non renseignée ou produit périmé"))</f>
        <v>ND</v>
      </c>
      <c r="BI25" s="1923" t="str">
        <f t="shared" si="27"/>
        <v>ND</v>
      </c>
      <c r="BJ25" s="1923" t="str">
        <f t="shared" si="28"/>
        <v>ND</v>
      </c>
      <c r="BK25" s="1923" t="str">
        <f>IF(BJ25="ND", "ND", IF(BJ25&gt;0, 'TRAD-Calculs Péremption FA'!$B$73, "OK"))</f>
        <v>ND</v>
      </c>
      <c r="BL25" s="1924" t="str">
        <f t="shared" si="6"/>
        <v>ND</v>
      </c>
      <c r="BM25" s="1919">
        <f>'Saisie données stocks'!AC37</f>
        <v>0</v>
      </c>
      <c r="BN25" s="1920">
        <f>'Saisie données stocks'!AD37</f>
        <v>0</v>
      </c>
      <c r="BO25" s="1923">
        <f t="shared" si="29"/>
        <v>0</v>
      </c>
      <c r="BP25" s="1923" t="str">
        <f>IF(AND(BM25=0, BN25=0), "ND", IF((BM25-Paramétrage!$H$19)&gt;0, (BM25-Paramétrage!$H$19)/(365/12), "Date non renseignée ou produit périmé"))</f>
        <v>ND</v>
      </c>
      <c r="BQ25" s="1923" t="str">
        <f t="shared" si="30"/>
        <v>ND</v>
      </c>
      <c r="BR25" s="1923" t="str">
        <f t="shared" si="31"/>
        <v>ND</v>
      </c>
      <c r="BS25" s="1923" t="str">
        <f>IF(BR25="ND", "ND", IF(BR25&gt;0, 'TRAD-Calculs Péremption FA'!$B$73, "OK"))</f>
        <v>ND</v>
      </c>
      <c r="BT25" s="1924" t="str">
        <f t="shared" si="7"/>
        <v>ND</v>
      </c>
      <c r="BU25" s="1925">
        <f>IF('Saisie données stocks'!$O$10='TRAD-Saisie données stocks'!$B$51, IF(P25="OK", IF(AND(BR25&gt;0, ISNUMBER(BR25)), (BO25-BR25), (BO25)), O25), O25)</f>
        <v>0</v>
      </c>
      <c r="BV25" s="1925">
        <f t="shared" si="8"/>
        <v>0</v>
      </c>
      <c r="BW25" s="2045" t="str">
        <f t="shared" si="32"/>
        <v/>
      </c>
      <c r="BX25" s="2045">
        <f>IF('Saisie données stocks'!$O$10='TRAD-Saisie données stocks'!$B$51, IF('Calculs Péremption FA'!P25="OK", IF(BU25=O25, MAX(Paramétrage!$H$19+('Saisie données stocks'!$N$14*(365/12)), BM25, BE25, AW25, AO25, AG25, Y25, R25), BW25), Paramétrage!$H$19+('Saisie données stocks'!$N$14*(365/12))), Paramétrage!$H$19+('Saisie données stocks'!$N$14*(365/12)))</f>
        <v>42101.5</v>
      </c>
      <c r="BY25" s="2046">
        <f t="shared" si="9"/>
        <v>7</v>
      </c>
      <c r="BZ25" s="2046">
        <f t="shared" si="10"/>
        <v>4</v>
      </c>
      <c r="CA25" s="2046">
        <f t="shared" si="11"/>
        <v>2015</v>
      </c>
      <c r="CB25" s="2046">
        <f>IF(BX25="", "", (BX25-Paramétrage!$H$19)/(365/12))</f>
        <v>6</v>
      </c>
      <c r="CC25" s="2043" t="str">
        <f>IF(CB25='Saisie données stocks'!N$14, 'TRAD-Calculs Péremption FA'!$B$74, CONCATENATE("DLU - ", BY25, "/", BZ25, "/", CA25))</f>
        <v>Durée de vie max</v>
      </c>
    </row>
    <row r="26" spans="2:81" ht="26.25" thickBot="1" x14ac:dyDescent="0.25">
      <c r="B26" s="374"/>
      <c r="C26" s="407"/>
      <c r="D26" s="1926" t="s">
        <v>29</v>
      </c>
      <c r="E26" s="1815" t="str">
        <f>'TRAD-Calculs Péremption FA'!B9</f>
        <v>Cp</v>
      </c>
      <c r="F26" s="1815" t="s">
        <v>30</v>
      </c>
      <c r="G26" s="377" t="s">
        <v>623</v>
      </c>
      <c r="H26" s="392" t="str">
        <f t="shared" si="12"/>
        <v>NVP - 200 mg</v>
      </c>
      <c r="I26" s="1385">
        <v>60</v>
      </c>
      <c r="J26" s="1796"/>
      <c r="K26" s="1797">
        <f>IF('TdB Péremptions'!$H$9="X", 'Prix 10-2011 GPRM $'!$O$43, IF('TdB Péremptions'!$H$10="X", 'Prix 10-2011 GPRM $'!$Q$43, IF('TdB Péremptions'!$H$11="X", 'Prix VPP 102012 convert'!$O$43, IF('TdB Péremptions'!$H$12="X", 'Prix VPP 102012 convert'!$Q$43, IF('TdB Péremptions'!$H$13="X", 'Prix spécifiques'!$J$26, 0)))))</f>
        <v>2.7250000000000001</v>
      </c>
      <c r="L26" s="1797">
        <f>(1+'TdB Péremptions'!$H$14)*K26</f>
        <v>2.9975000000000005</v>
      </c>
      <c r="M26" s="1916">
        <f>Calculs!L336</f>
        <v>0</v>
      </c>
      <c r="N26" s="1916">
        <f>Calculs!N336</f>
        <v>0</v>
      </c>
      <c r="O26" s="1916">
        <f>'Saisie données stocks'!N38</f>
        <v>0</v>
      </c>
      <c r="P26" s="1917" t="str">
        <f>IF(SUM('Saisie données stocks'!R38+'Saisie données stocks'!T38+'Saisie données stocks'!V38+'Saisie données stocks'!X38+'Saisie données stocks'!Z38+'Saisie données stocks'!AB38+'Saisie données stocks'!AD38)='Calculs Péremption conso'!O26,  "OK", 'TRAD-Calculs Péremption FA'!$B$75)</f>
        <v>OK</v>
      </c>
      <c r="Q26" s="1918" t="str">
        <f>IF(AND(O26&gt;0, Calculs!L336=0, Calculs!N336=0), 'TRAD-Calculs Péremption FA'!$B$76, "")</f>
        <v/>
      </c>
      <c r="R26" s="1919">
        <f>'Saisie données stocks'!Q38</f>
        <v>0</v>
      </c>
      <c r="S26" s="1920">
        <f>'Saisie données stocks'!R38</f>
        <v>0</v>
      </c>
      <c r="T26" s="1921" t="str">
        <f>IF(AND(R26=0, S26=0), "ND", IF((R26-Paramétrage!$H$19)&gt;0, (R26-Paramétrage!$H$19)/(365/12), "Date non renseignée ou produit périmé"))</f>
        <v>ND</v>
      </c>
      <c r="U26" s="1922" t="str">
        <f t="shared" si="13"/>
        <v>ND</v>
      </c>
      <c r="V26" s="1922" t="str">
        <f t="shared" si="0"/>
        <v>ND</v>
      </c>
      <c r="W26" s="2539" t="str">
        <f>IF(V26="ND", "ND", IF(V26&gt;0, 'TRAD-Calculs Péremption FA'!$B$73, "OK"))</f>
        <v>ND</v>
      </c>
      <c r="X26" s="1924" t="str">
        <f t="shared" si="1"/>
        <v>ND</v>
      </c>
      <c r="Y26" s="1919">
        <f>'Saisie données stocks'!S38</f>
        <v>0</v>
      </c>
      <c r="Z26" s="1920">
        <f>'Saisie données stocks'!T38</f>
        <v>0</v>
      </c>
      <c r="AA26" s="1923">
        <f t="shared" si="14"/>
        <v>0</v>
      </c>
      <c r="AB26" s="1923" t="str">
        <f>IF(AND(Y26=0, Z26=0), "ND", IF((Y26-Paramétrage!$H$19)&gt;0, (Y26-Paramétrage!$H$19)/(365/12), "Date non renseignée ou produit périmé"))</f>
        <v>ND</v>
      </c>
      <c r="AC26" s="1923" t="str">
        <f t="shared" si="15"/>
        <v>ND</v>
      </c>
      <c r="AD26" s="1923" t="str">
        <f t="shared" si="16"/>
        <v>ND</v>
      </c>
      <c r="AE26" s="1921" t="str">
        <f>IF(AD26="ND", "ND", IF(AD26&gt;0, 'TRAD-Calculs Péremption FA'!$B$73, "OK"))</f>
        <v>ND</v>
      </c>
      <c r="AF26" s="1924" t="str">
        <f t="shared" si="2"/>
        <v>ND</v>
      </c>
      <c r="AG26" s="1919">
        <f>'Saisie données stocks'!U38</f>
        <v>0</v>
      </c>
      <c r="AH26" s="1920">
        <f>'Saisie données stocks'!V38</f>
        <v>0</v>
      </c>
      <c r="AI26" s="1923">
        <f t="shared" si="17"/>
        <v>0</v>
      </c>
      <c r="AJ26" s="1923" t="str">
        <f>IF(AND(AG26=0, AH26=0), "ND", IF((AG26-Paramétrage!$H$19)&gt;0, (AG26-Paramétrage!$H$19)/(365/12), "Date non renseignée ou produit périmé"))</f>
        <v>ND</v>
      </c>
      <c r="AK26" s="1923" t="str">
        <f t="shared" si="18"/>
        <v>ND</v>
      </c>
      <c r="AL26" s="1923" t="str">
        <f t="shared" si="19"/>
        <v>ND</v>
      </c>
      <c r="AM26" s="1923" t="str">
        <f>IF(AL26="ND", "ND", IF(AL26&gt;0, 'TRAD-Calculs Péremption FA'!$B$73, "OK"))</f>
        <v>ND</v>
      </c>
      <c r="AN26" s="1924" t="str">
        <f t="shared" si="3"/>
        <v>ND</v>
      </c>
      <c r="AO26" s="1919">
        <f>'Saisie données stocks'!W38</f>
        <v>0</v>
      </c>
      <c r="AP26" s="1920">
        <f>'Saisie données stocks'!X38</f>
        <v>0</v>
      </c>
      <c r="AQ26" s="1923">
        <f t="shared" si="20"/>
        <v>0</v>
      </c>
      <c r="AR26" s="1923" t="str">
        <f>IF(AND(AO26=0, AP26=0), "ND", IF((AO26-Paramétrage!$H$19)&gt;0, (AO26-Paramétrage!$H$19)/(365/12), "Date non renseignée ou produit périmé"))</f>
        <v>ND</v>
      </c>
      <c r="AS26" s="1923" t="str">
        <f t="shared" si="21"/>
        <v>ND</v>
      </c>
      <c r="AT26" s="1923" t="str">
        <f t="shared" si="22"/>
        <v>ND</v>
      </c>
      <c r="AU26" s="1923" t="str">
        <f>IF(AT26="ND", "ND", IF(AT26&gt;0, 'TRAD-Calculs Péremption FA'!$B$73, "OK"))</f>
        <v>ND</v>
      </c>
      <c r="AV26" s="1924" t="str">
        <f t="shared" si="4"/>
        <v>ND</v>
      </c>
      <c r="AW26" s="1919">
        <f>'Saisie données stocks'!Y38</f>
        <v>0</v>
      </c>
      <c r="AX26" s="1920">
        <f>'Saisie données stocks'!Z38</f>
        <v>0</v>
      </c>
      <c r="AY26" s="1923">
        <f t="shared" si="23"/>
        <v>0</v>
      </c>
      <c r="AZ26" s="1923" t="str">
        <f>IF(AND(AW26=0, AX26=0), "ND", IF((AW26-Paramétrage!$H$19)&gt;0, (AW26-Paramétrage!$H$19)/(365/12), "Date non renseignée ou produit périmé"))</f>
        <v>ND</v>
      </c>
      <c r="BA26" s="1923" t="str">
        <f t="shared" si="24"/>
        <v>ND</v>
      </c>
      <c r="BB26" s="1923" t="str">
        <f t="shared" si="25"/>
        <v>ND</v>
      </c>
      <c r="BC26" s="1923" t="str">
        <f>IF(BB26="ND", "ND", IF(BB26&gt;0, 'TRAD-Calculs Péremption FA'!$B$73, "OK"))</f>
        <v>ND</v>
      </c>
      <c r="BD26" s="1924" t="str">
        <f t="shared" si="5"/>
        <v>ND</v>
      </c>
      <c r="BE26" s="1919">
        <f>'Saisie données stocks'!AA38</f>
        <v>0</v>
      </c>
      <c r="BF26" s="1920">
        <f>'Saisie données stocks'!AB38</f>
        <v>0</v>
      </c>
      <c r="BG26" s="1923">
        <f t="shared" si="26"/>
        <v>0</v>
      </c>
      <c r="BH26" s="1923" t="str">
        <f>IF(AND(BE26=0, BF26=0), "ND", IF((BE26-Paramétrage!$H$19)&gt;0, (BE26-Paramétrage!$H$19)/(365/12), "Date non renseignée ou produit périmé"))</f>
        <v>ND</v>
      </c>
      <c r="BI26" s="1923" t="str">
        <f t="shared" si="27"/>
        <v>ND</v>
      </c>
      <c r="BJ26" s="1923" t="str">
        <f t="shared" si="28"/>
        <v>ND</v>
      </c>
      <c r="BK26" s="1923" t="str">
        <f>IF(BJ26="ND", "ND", IF(BJ26&gt;0, 'TRAD-Calculs Péremption FA'!$B$73, "OK"))</f>
        <v>ND</v>
      </c>
      <c r="BL26" s="1924" t="str">
        <f t="shared" si="6"/>
        <v>ND</v>
      </c>
      <c r="BM26" s="1919">
        <f>'Saisie données stocks'!AC38</f>
        <v>0</v>
      </c>
      <c r="BN26" s="1920">
        <f>'Saisie données stocks'!AD38</f>
        <v>0</v>
      </c>
      <c r="BO26" s="1923">
        <f t="shared" si="29"/>
        <v>0</v>
      </c>
      <c r="BP26" s="1923" t="str">
        <f>IF(AND(BM26=0, BN26=0), "ND", IF((BM26-Paramétrage!$H$19)&gt;0, (BM26-Paramétrage!$H$19)/(365/12), "Date non renseignée ou produit périmé"))</f>
        <v>ND</v>
      </c>
      <c r="BQ26" s="1923" t="str">
        <f t="shared" si="30"/>
        <v>ND</v>
      </c>
      <c r="BR26" s="1923" t="str">
        <f t="shared" si="31"/>
        <v>ND</v>
      </c>
      <c r="BS26" s="1923" t="str">
        <f>IF(BR26="ND", "ND", IF(BR26&gt;0, 'TRAD-Calculs Péremption FA'!$B$73, "OK"))</f>
        <v>ND</v>
      </c>
      <c r="BT26" s="1924" t="str">
        <f t="shared" si="7"/>
        <v>ND</v>
      </c>
      <c r="BU26" s="1925">
        <f>IF('Saisie données stocks'!$O$10='TRAD-Saisie données stocks'!$B$51, IF(P26="OK", IF(AND(BR26&gt;0, ISNUMBER(BR26)), (BO26-BR26), (BO26)), O26), O26)</f>
        <v>0</v>
      </c>
      <c r="BV26" s="1925">
        <f t="shared" si="8"/>
        <v>0</v>
      </c>
      <c r="BW26" s="2045" t="str">
        <f t="shared" si="32"/>
        <v/>
      </c>
      <c r="BX26" s="2045">
        <f>IF('Saisie données stocks'!$O$10='TRAD-Saisie données stocks'!$B$51, IF('Calculs Péremption FA'!P26="OK", IF(BU26=O26, MAX(Paramétrage!$H$19+('Saisie données stocks'!$N$14*(365/12)), BM26, BE26, AW26, AO26, AG26, Y26, R26), BW26), Paramétrage!$H$19+('Saisie données stocks'!$N$14*(365/12))), Paramétrage!$H$19+('Saisie données stocks'!$N$14*(365/12)))</f>
        <v>42101.5</v>
      </c>
      <c r="BY26" s="2046">
        <f t="shared" si="9"/>
        <v>7</v>
      </c>
      <c r="BZ26" s="2046">
        <f t="shared" si="10"/>
        <v>4</v>
      </c>
      <c r="CA26" s="2046">
        <f t="shared" si="11"/>
        <v>2015</v>
      </c>
      <c r="CB26" s="2046">
        <f>IF(BX26="", "", (BX26-Paramétrage!$H$19)/(365/12))</f>
        <v>6</v>
      </c>
      <c r="CC26" s="2043" t="str">
        <f>IF(CB26='Saisie données stocks'!N$14, 'TRAD-Calculs Péremption FA'!$B$74, CONCATENATE("DLU - ", BY26, "/", BZ26, "/", CA26))</f>
        <v>Durée de vie max</v>
      </c>
    </row>
    <row r="27" spans="2:81" ht="26.25" thickBot="1" x14ac:dyDescent="0.25">
      <c r="B27" s="388"/>
      <c r="C27" s="389"/>
      <c r="D27" s="1927" t="s">
        <v>619</v>
      </c>
      <c r="E27" s="1928" t="str">
        <f>'TRAD-Calculs Péremption FA'!B9</f>
        <v>Cp</v>
      </c>
      <c r="F27" s="1928" t="s">
        <v>620</v>
      </c>
      <c r="G27" s="410" t="s">
        <v>624</v>
      </c>
      <c r="H27" s="658" t="str">
        <f t="shared" si="12"/>
        <v>RPV - 25 mg</v>
      </c>
      <c r="I27" s="1798"/>
      <c r="J27" s="1799"/>
      <c r="K27" s="1800">
        <f>IF('TdB Péremptions'!$H$9="X", 'Prix 10-2011 GPRM $'!$L$74, IF('TdB Péremptions'!$H$10="X", 'Prix 10-2011 GPRM $'!$L$74, IF('TdB Péremptions'!$H$11="X", 'Prix VPP 102012 convert'!$L$74, IF('TdB Péremptions'!$H$12="X", 'Prix VPP 102012 convert'!$L$74,IF('TdB Péremptions'!$H$13="X", 'Prix spécifiques'!$J$27, 0)))))</f>
        <v>30</v>
      </c>
      <c r="L27" s="1800">
        <f>(1+'TdB Péremptions'!$H$14)*K27</f>
        <v>33</v>
      </c>
      <c r="M27" s="1929">
        <f>Calculs!L337</f>
        <v>0</v>
      </c>
      <c r="N27" s="1929">
        <f>Calculs!N337</f>
        <v>0</v>
      </c>
      <c r="O27" s="1929">
        <f>'Saisie données stocks'!N39</f>
        <v>0</v>
      </c>
      <c r="P27" s="1930" t="str">
        <f>IF(SUM('Saisie données stocks'!R39+'Saisie données stocks'!T39+'Saisie données stocks'!V39+'Saisie données stocks'!X39+'Saisie données stocks'!Z39+'Saisie données stocks'!AB39+'Saisie données stocks'!AD39)='Calculs Péremption conso'!O27,  "OK", 'TRAD-Calculs Péremption FA'!$B$75)</f>
        <v>OK</v>
      </c>
      <c r="Q27" s="1931" t="str">
        <f>IF(AND(O27&gt;0, Calculs!L337=0, Calculs!N337=0), 'TRAD-Calculs Péremption FA'!$B$76, "")</f>
        <v/>
      </c>
      <c r="R27" s="1932">
        <f>'Saisie données stocks'!Q39</f>
        <v>0</v>
      </c>
      <c r="S27" s="1933">
        <f>'Saisie données stocks'!R39</f>
        <v>0</v>
      </c>
      <c r="T27" s="1934" t="str">
        <f>IF(AND(R27=0, S27=0), "ND", IF((R27-Paramétrage!$H$19)&gt;0, (R27-Paramétrage!$H$19)/(365/12), "Date non renseignée ou produit périmé"))</f>
        <v>ND</v>
      </c>
      <c r="U27" s="1935" t="str">
        <f t="shared" si="13"/>
        <v>ND</v>
      </c>
      <c r="V27" s="1935" t="str">
        <f t="shared" si="0"/>
        <v>ND</v>
      </c>
      <c r="W27" s="1934" t="str">
        <f>IF(V27="ND", "ND", IF(V27&gt;0, 'TRAD-Calculs Péremption FA'!$B$73, "OK"))</f>
        <v>ND</v>
      </c>
      <c r="X27" s="1937" t="str">
        <f t="shared" si="1"/>
        <v>ND</v>
      </c>
      <c r="Y27" s="1932">
        <f>'Saisie données stocks'!S39</f>
        <v>0</v>
      </c>
      <c r="Z27" s="1933">
        <f>'Saisie données stocks'!T39</f>
        <v>0</v>
      </c>
      <c r="AA27" s="1936">
        <f t="shared" si="14"/>
        <v>0</v>
      </c>
      <c r="AB27" s="1936" t="str">
        <f>IF(AND(Y27=0, Z27=0), "ND", IF((Y27-Paramétrage!$H$19)&gt;0, (Y27-Paramétrage!$H$19)/(365/12), "Date non renseignée ou produit périmé"))</f>
        <v>ND</v>
      </c>
      <c r="AC27" s="1936" t="str">
        <f t="shared" si="15"/>
        <v>ND</v>
      </c>
      <c r="AD27" s="1936" t="str">
        <f t="shared" si="16"/>
        <v>ND</v>
      </c>
      <c r="AE27" s="1934" t="str">
        <f>IF(AD27="ND", "ND", IF(AD27&gt;0, 'TRAD-Calculs Péremption FA'!$B$73, "OK"))</f>
        <v>ND</v>
      </c>
      <c r="AF27" s="1937" t="str">
        <f t="shared" si="2"/>
        <v>ND</v>
      </c>
      <c r="AG27" s="1932">
        <f>'Saisie données stocks'!U39</f>
        <v>0</v>
      </c>
      <c r="AH27" s="1933">
        <f>'Saisie données stocks'!V39</f>
        <v>0</v>
      </c>
      <c r="AI27" s="1936">
        <f t="shared" si="17"/>
        <v>0</v>
      </c>
      <c r="AJ27" s="1936" t="str">
        <f>IF(AND(AG27=0, AH27=0), "ND", IF((AG27-Paramétrage!$H$19)&gt;0, (AG27-Paramétrage!$H$19)/(365/12), "Date non renseignée ou produit périmé"))</f>
        <v>ND</v>
      </c>
      <c r="AK27" s="1936" t="str">
        <f t="shared" si="18"/>
        <v>ND</v>
      </c>
      <c r="AL27" s="1936" t="str">
        <f t="shared" si="19"/>
        <v>ND</v>
      </c>
      <c r="AM27" s="1936" t="str">
        <f>IF(AL27="ND", "ND", IF(AL27&gt;0, 'TRAD-Calculs Péremption FA'!$B$73, "OK"))</f>
        <v>ND</v>
      </c>
      <c r="AN27" s="1937" t="str">
        <f t="shared" si="3"/>
        <v>ND</v>
      </c>
      <c r="AO27" s="1932">
        <f>'Saisie données stocks'!W39</f>
        <v>0</v>
      </c>
      <c r="AP27" s="1933">
        <f>'Saisie données stocks'!X39</f>
        <v>0</v>
      </c>
      <c r="AQ27" s="1936">
        <f t="shared" si="20"/>
        <v>0</v>
      </c>
      <c r="AR27" s="1936" t="str">
        <f>IF(AND(AO27=0, AP27=0), "ND", IF((AO27-Paramétrage!$H$19)&gt;0, (AO27-Paramétrage!$H$19)/(365/12), "Date non renseignée ou produit périmé"))</f>
        <v>ND</v>
      </c>
      <c r="AS27" s="1936" t="str">
        <f t="shared" si="21"/>
        <v>ND</v>
      </c>
      <c r="AT27" s="1936" t="str">
        <f t="shared" si="22"/>
        <v>ND</v>
      </c>
      <c r="AU27" s="1936" t="str">
        <f>IF(AT27="ND", "ND", IF(AT27&gt;0, 'TRAD-Calculs Péremption FA'!$B$73, "OK"))</f>
        <v>ND</v>
      </c>
      <c r="AV27" s="1937" t="str">
        <f t="shared" si="4"/>
        <v>ND</v>
      </c>
      <c r="AW27" s="1932">
        <f>'Saisie données stocks'!Y39</f>
        <v>0</v>
      </c>
      <c r="AX27" s="1933">
        <f>'Saisie données stocks'!Z39</f>
        <v>0</v>
      </c>
      <c r="AY27" s="1936">
        <f t="shared" si="23"/>
        <v>0</v>
      </c>
      <c r="AZ27" s="1936" t="str">
        <f>IF(AND(AW27=0, AX27=0), "ND", IF((AW27-Paramétrage!$H$19)&gt;0, (AW27-Paramétrage!$H$19)/(365/12), "Date non renseignée ou produit périmé"))</f>
        <v>ND</v>
      </c>
      <c r="BA27" s="1936" t="str">
        <f t="shared" si="24"/>
        <v>ND</v>
      </c>
      <c r="BB27" s="1936" t="str">
        <f t="shared" si="25"/>
        <v>ND</v>
      </c>
      <c r="BC27" s="1936" t="str">
        <f>IF(BB27="ND", "ND", IF(BB27&gt;0, 'TRAD-Calculs Péremption FA'!$B$73, "OK"))</f>
        <v>ND</v>
      </c>
      <c r="BD27" s="1937" t="str">
        <f t="shared" si="5"/>
        <v>ND</v>
      </c>
      <c r="BE27" s="1932">
        <f>'Saisie données stocks'!AA39</f>
        <v>0</v>
      </c>
      <c r="BF27" s="1933">
        <f>'Saisie données stocks'!AB39</f>
        <v>0</v>
      </c>
      <c r="BG27" s="1936">
        <f t="shared" si="26"/>
        <v>0</v>
      </c>
      <c r="BH27" s="1936" t="str">
        <f>IF(AND(BE27=0, BF27=0), "ND", IF((BE27-Paramétrage!$H$19)&gt;0, (BE27-Paramétrage!$H$19)/(365/12), "Date non renseignée ou produit périmé"))</f>
        <v>ND</v>
      </c>
      <c r="BI27" s="1936" t="str">
        <f t="shared" si="27"/>
        <v>ND</v>
      </c>
      <c r="BJ27" s="1936" t="str">
        <f t="shared" si="28"/>
        <v>ND</v>
      </c>
      <c r="BK27" s="1936" t="str">
        <f>IF(BJ27="ND", "ND", IF(BJ27&gt;0, 'TRAD-Calculs Péremption FA'!$B$73, "OK"))</f>
        <v>ND</v>
      </c>
      <c r="BL27" s="1937" t="str">
        <f t="shared" si="6"/>
        <v>ND</v>
      </c>
      <c r="BM27" s="1932">
        <f>'Saisie données stocks'!AC39</f>
        <v>0</v>
      </c>
      <c r="BN27" s="1933">
        <f>'Saisie données stocks'!AD39</f>
        <v>0</v>
      </c>
      <c r="BO27" s="1936">
        <f t="shared" si="29"/>
        <v>0</v>
      </c>
      <c r="BP27" s="1936" t="str">
        <f>IF(AND(BM27=0, BN27=0), "ND", IF((BM27-Paramétrage!$H$19)&gt;0, (BM27-Paramétrage!$H$19)/(365/12), "Date non renseignée ou produit périmé"))</f>
        <v>ND</v>
      </c>
      <c r="BQ27" s="1936" t="str">
        <f t="shared" si="30"/>
        <v>ND</v>
      </c>
      <c r="BR27" s="1936" t="str">
        <f t="shared" si="31"/>
        <v>ND</v>
      </c>
      <c r="BS27" s="1936" t="str">
        <f>IF(BR27="ND", "ND", IF(BR27&gt;0, 'TRAD-Calculs Péremption FA'!$B$73, "OK"))</f>
        <v>ND</v>
      </c>
      <c r="BT27" s="1937" t="str">
        <f t="shared" si="7"/>
        <v>ND</v>
      </c>
      <c r="BU27" s="1938">
        <f>IF('Saisie données stocks'!$O$10='TRAD-Saisie données stocks'!$B$51, IF(P27="OK", IF(AND(BR27&gt;0, ISNUMBER(BR27)), (BO27-BR27), (BO27)), O27), O27)</f>
        <v>0</v>
      </c>
      <c r="BV27" s="1938">
        <f t="shared" si="8"/>
        <v>0</v>
      </c>
      <c r="BW27" s="2047" t="str">
        <f t="shared" si="32"/>
        <v/>
      </c>
      <c r="BX27" s="2047">
        <f>IF('Saisie données stocks'!$O$10='TRAD-Saisie données stocks'!$B$51, IF('Calculs Péremption FA'!P27="OK", IF(BU27=O27, MAX(Paramétrage!$H$19+('Saisie données stocks'!$N$14*(365/12)), BM27, BE27, AW27, AO27, AG27, Y27, R27), BW27), Paramétrage!$H$19+('Saisie données stocks'!$N$14*(365/12))), Paramétrage!$H$19+('Saisie données stocks'!$N$14*(365/12)))</f>
        <v>42101.5</v>
      </c>
      <c r="BY27" s="2048">
        <f t="shared" si="9"/>
        <v>7</v>
      </c>
      <c r="BZ27" s="2048">
        <f t="shared" si="10"/>
        <v>4</v>
      </c>
      <c r="CA27" s="2048">
        <f t="shared" si="11"/>
        <v>2015</v>
      </c>
      <c r="CB27" s="2048">
        <f>IF(BX27="", "", (BX27-Paramétrage!$H$19)/(365/12))</f>
        <v>6</v>
      </c>
      <c r="CC27" s="2043" t="str">
        <f>IF(CB27='Saisie données stocks'!N$14, 'TRAD-Calculs Péremption FA'!$B$74, CONCATENATE("DLU - ", BY27, "/", BZ27, "/", CA27))</f>
        <v>Durée de vie max</v>
      </c>
    </row>
    <row r="28" spans="2:81" ht="26.25" thickBot="1" x14ac:dyDescent="0.25">
      <c r="B28" s="374"/>
      <c r="C28" s="407" t="s">
        <v>31</v>
      </c>
      <c r="D28" s="1900" t="s">
        <v>36</v>
      </c>
      <c r="E28" s="1901" t="str">
        <f>'TRAD-Calculs Péremption FA'!B9</f>
        <v>Cp</v>
      </c>
      <c r="F28" s="1901" t="s">
        <v>33</v>
      </c>
      <c r="G28" s="369" t="s">
        <v>625</v>
      </c>
      <c r="H28" s="371" t="str">
        <f t="shared" si="12"/>
        <v>ABC - 300 mg</v>
      </c>
      <c r="I28" s="113">
        <v>60</v>
      </c>
      <c r="J28" s="656"/>
      <c r="K28" s="755">
        <f>IF('TdB Péremptions'!$H$9="X", 'Prix 10-2011 GPRM $'!$O$46, IF('TdB Péremptions'!$H$10="X", 'Prix 10-2011 GPRM $'!$Q$46, IF('TdB Péremptions'!$H$11="X", 'Prix VPP 102012 convert'!$O$46, IF('TdB Péremptions'!$H$12="X", 'Prix VPP 102012 convert'!$Q$46,IF('TdB Péremptions'!$H$13="X", 'Prix spécifiques'!$J$28, 0)))))</f>
        <v>16.745000000000001</v>
      </c>
      <c r="L28" s="755">
        <f>(1+'TdB Péremptions'!$H$14)*K28</f>
        <v>18.419500000000003</v>
      </c>
      <c r="M28" s="1902">
        <f>Calculs!L338</f>
        <v>2</v>
      </c>
      <c r="N28" s="1902">
        <f>Calculs!N338</f>
        <v>0</v>
      </c>
      <c r="O28" s="1902">
        <f>'Saisie données stocks'!N40</f>
        <v>1093</v>
      </c>
      <c r="P28" s="2540" t="str">
        <f>IF(SUM('Saisie données stocks'!R40+'Saisie données stocks'!T40+'Saisie données stocks'!V40+'Saisie données stocks'!X40+'Saisie données stocks'!Z40+'Saisie données stocks'!AB40+'Saisie données stocks'!AD40)='Calculs Péremption conso'!O28,  "OK", 'TRAD-Calculs Péremption FA'!$B$75)</f>
        <v>OK</v>
      </c>
      <c r="Q28" s="1904" t="str">
        <f>IF(AND(O28&gt;0, Calculs!L338=0, Calculs!N338=0), 'TRAD-Calculs Péremption FA'!$B$76, "")</f>
        <v/>
      </c>
      <c r="R28" s="1939">
        <f>'Saisie données stocks'!Q40</f>
        <v>42036</v>
      </c>
      <c r="S28" s="1906">
        <f>'Saisie données stocks'!R40</f>
        <v>1093</v>
      </c>
      <c r="T28" s="1907">
        <f>IF(AND(R28=0, S28=0), "ND", IF((R28-Paramétrage!$H$19)&gt;0, (R28-Paramétrage!$H$19)/(365/12), "Date non renseignée ou produit périmé"))</f>
        <v>3.8465753424657532</v>
      </c>
      <c r="U28" s="1908">
        <f t="shared" si="13"/>
        <v>7.6931506849315063</v>
      </c>
      <c r="V28" s="1908">
        <f t="shared" si="0"/>
        <v>1085.3068493150686</v>
      </c>
      <c r="W28" s="1907" t="str">
        <f>IF(V28="ND", "ND", IF(V28&gt;0, 'TRAD-Calculs Péremption FA'!$B$73, "OK"))</f>
        <v>ATTENTION SURSTOCK et risque de péremption</v>
      </c>
      <c r="X28" s="1909">
        <f t="shared" si="1"/>
        <v>19990.809510958909</v>
      </c>
      <c r="Y28" s="1939">
        <f>'Saisie données stocks'!S40</f>
        <v>0</v>
      </c>
      <c r="Z28" s="1906">
        <f>'Saisie données stocks'!T40</f>
        <v>0</v>
      </c>
      <c r="AA28" s="1910">
        <f t="shared" si="14"/>
        <v>7.6931506849314246</v>
      </c>
      <c r="AB28" s="1910" t="str">
        <f>IF(AND(Y28=0, Z28=0), "ND", IF((Y28-Paramétrage!$H$19)&gt;0, (Y28-Paramétrage!$H$19)/(365/12), "Date non renseignée ou produit périmé"))</f>
        <v>ND</v>
      </c>
      <c r="AC28" s="1910" t="str">
        <f t="shared" si="15"/>
        <v>ND</v>
      </c>
      <c r="AD28" s="1910" t="str">
        <f t="shared" si="16"/>
        <v>ND</v>
      </c>
      <c r="AE28" s="1907" t="str">
        <f>IF(AD28="ND", "ND", IF(AD28&gt;0, 'TRAD-Calculs Péremption FA'!$B$73, "OK"))</f>
        <v>ND</v>
      </c>
      <c r="AF28" s="1909" t="str">
        <f t="shared" si="2"/>
        <v>ND</v>
      </c>
      <c r="AG28" s="1939">
        <f>'Saisie données stocks'!U40</f>
        <v>0</v>
      </c>
      <c r="AH28" s="1906">
        <f>'Saisie données stocks'!V40</f>
        <v>0</v>
      </c>
      <c r="AI28" s="1910">
        <f t="shared" si="17"/>
        <v>7.6931506849314246</v>
      </c>
      <c r="AJ28" s="1910" t="str">
        <f>IF(AND(AG28=0, AH28=0), "ND", IF((AG28-Paramétrage!$H$19)&gt;0, (AG28-Paramétrage!$H$19)/(365/12), "Date non renseignée ou produit périmé"))</f>
        <v>ND</v>
      </c>
      <c r="AK28" s="1910" t="str">
        <f t="shared" si="18"/>
        <v>ND</v>
      </c>
      <c r="AL28" s="1910" t="str">
        <f t="shared" si="19"/>
        <v>ND</v>
      </c>
      <c r="AM28" s="1910" t="str">
        <f>IF(AL28="ND", "ND", IF(AL28&gt;0, 'TRAD-Calculs Péremption FA'!$B$73, "OK"))</f>
        <v>ND</v>
      </c>
      <c r="AN28" s="1909" t="str">
        <f t="shared" si="3"/>
        <v>ND</v>
      </c>
      <c r="AO28" s="1939">
        <f>'Saisie données stocks'!W40</f>
        <v>0</v>
      </c>
      <c r="AP28" s="1906">
        <f>'Saisie données stocks'!X40</f>
        <v>0</v>
      </c>
      <c r="AQ28" s="1910">
        <f t="shared" si="20"/>
        <v>7.6931506849314246</v>
      </c>
      <c r="AR28" s="1910" t="str">
        <f>IF(AND(AO28=0, AP28=0), "ND", IF((AO28-Paramétrage!$H$19)&gt;0, (AO28-Paramétrage!$H$19)/(365/12), "Date non renseignée ou produit périmé"))</f>
        <v>ND</v>
      </c>
      <c r="AS28" s="1910" t="str">
        <f t="shared" si="21"/>
        <v>ND</v>
      </c>
      <c r="AT28" s="1910" t="str">
        <f t="shared" si="22"/>
        <v>ND</v>
      </c>
      <c r="AU28" s="1910" t="str">
        <f>IF(AT28="ND", "ND", IF(AT28&gt;0, 'TRAD-Calculs Péremption FA'!$B$73, "OK"))</f>
        <v>ND</v>
      </c>
      <c r="AV28" s="1909" t="str">
        <f t="shared" si="4"/>
        <v>ND</v>
      </c>
      <c r="AW28" s="1939">
        <f>'Saisie données stocks'!Y40</f>
        <v>0</v>
      </c>
      <c r="AX28" s="1906">
        <f>'Saisie données stocks'!Z40</f>
        <v>0</v>
      </c>
      <c r="AY28" s="1910">
        <f t="shared" si="23"/>
        <v>7.6931506849314246</v>
      </c>
      <c r="AZ28" s="1910" t="str">
        <f>IF(AND(AW28=0, AX28=0), "ND", IF((AW28-Paramétrage!$H$19)&gt;0, (AW28-Paramétrage!$H$19)/(365/12), "Date non renseignée ou produit périmé"))</f>
        <v>ND</v>
      </c>
      <c r="BA28" s="1910" t="str">
        <f t="shared" si="24"/>
        <v>ND</v>
      </c>
      <c r="BB28" s="1910" t="str">
        <f t="shared" si="25"/>
        <v>ND</v>
      </c>
      <c r="BC28" s="1910" t="str">
        <f>IF(BB28="ND", "ND", IF(BB28&gt;0, 'TRAD-Calculs Péremption FA'!$B$73, "OK"))</f>
        <v>ND</v>
      </c>
      <c r="BD28" s="1909" t="str">
        <f t="shared" si="5"/>
        <v>ND</v>
      </c>
      <c r="BE28" s="1939">
        <f>'Saisie données stocks'!AA40</f>
        <v>0</v>
      </c>
      <c r="BF28" s="1906">
        <f>'Saisie données stocks'!AB40</f>
        <v>0</v>
      </c>
      <c r="BG28" s="1910">
        <f t="shared" si="26"/>
        <v>7.6931506849314246</v>
      </c>
      <c r="BH28" s="1910" t="str">
        <f>IF(AND(BE28=0, BF28=0), "ND", IF((BE28-Paramétrage!$H$19)&gt;0, (BE28-Paramétrage!$H$19)/(365/12), "Date non renseignée ou produit périmé"))</f>
        <v>ND</v>
      </c>
      <c r="BI28" s="1910" t="str">
        <f t="shared" si="27"/>
        <v>ND</v>
      </c>
      <c r="BJ28" s="1910" t="str">
        <f t="shared" si="28"/>
        <v>ND</v>
      </c>
      <c r="BK28" s="1910" t="str">
        <f>IF(BJ28="ND", "ND", IF(BJ28&gt;0, 'TRAD-Calculs Péremption FA'!$B$73, "OK"))</f>
        <v>ND</v>
      </c>
      <c r="BL28" s="1909" t="str">
        <f t="shared" si="6"/>
        <v>ND</v>
      </c>
      <c r="BM28" s="1939">
        <f>'Saisie données stocks'!AC40</f>
        <v>0</v>
      </c>
      <c r="BN28" s="1906">
        <f>'Saisie données stocks'!AD40</f>
        <v>0</v>
      </c>
      <c r="BO28" s="1910">
        <f t="shared" si="29"/>
        <v>7.6931506849314246</v>
      </c>
      <c r="BP28" s="1910" t="str">
        <f>IF(AND(BM28=0, BN28=0), "ND", IF((BM28-Paramétrage!$H$19)&gt;0, (BM28-Paramétrage!$H$19)/(365/12), "Date non renseignée ou produit périmé"))</f>
        <v>ND</v>
      </c>
      <c r="BQ28" s="1910" t="str">
        <f t="shared" si="30"/>
        <v>ND</v>
      </c>
      <c r="BR28" s="1910" t="str">
        <f t="shared" si="31"/>
        <v>ND</v>
      </c>
      <c r="BS28" s="1910" t="str">
        <f>IF(BR28="ND", "ND", IF(BR28&gt;0, 'TRAD-Calculs Péremption FA'!$B$73, "OK"))</f>
        <v>ND</v>
      </c>
      <c r="BT28" s="1909" t="str">
        <f t="shared" si="7"/>
        <v>ND</v>
      </c>
      <c r="BU28" s="1911">
        <f>IF('Saisie données stocks'!$O$10='TRAD-Saisie données stocks'!$B$51, IF(P28="OK", IF(AND(BR28&gt;0, ISNUMBER(BR28)), (BO28-BR28), (BO28)), O28), O28)</f>
        <v>7.6931506849314246</v>
      </c>
      <c r="BV28" s="1911">
        <f t="shared" si="8"/>
        <v>1085.3068493150686</v>
      </c>
      <c r="BW28" s="2042">
        <f t="shared" si="32"/>
        <v>42036</v>
      </c>
      <c r="BX28" s="2042">
        <f>IF('Saisie données stocks'!$O$10='TRAD-Saisie données stocks'!$B$51, IF('Calculs Péremption FA'!P28="OK", IF(BU28=O28, MAX(Paramétrage!$H$19+('Saisie données stocks'!$N$14*(365/12)), BM28, BE28, AW28, AO28, AG28, Y28, R28), BW28), Paramétrage!$H$19+('Saisie données stocks'!$N$14*(365/12))), Paramétrage!$H$19+('Saisie données stocks'!$N$14*(365/12)))</f>
        <v>42036</v>
      </c>
      <c r="BY28" s="2043">
        <f t="shared" si="9"/>
        <v>1</v>
      </c>
      <c r="BZ28" s="2043">
        <f t="shared" si="10"/>
        <v>2</v>
      </c>
      <c r="CA28" s="2043">
        <f t="shared" si="11"/>
        <v>2015</v>
      </c>
      <c r="CB28" s="2043">
        <f>IF(BX28="", "", (BX28-Paramétrage!$H$19)/(365/12))</f>
        <v>3.8465753424657532</v>
      </c>
      <c r="CC28" s="2043" t="str">
        <f>IF(CB28='Saisie données stocks'!N$14, 'TRAD-Calculs Péremption FA'!$B$74, CONCATENATE("DLU - ", BY28, "/", BZ28, "/", CA28))</f>
        <v>DLU - 1/2/2015</v>
      </c>
    </row>
    <row r="29" spans="2:81" ht="26.25" thickBot="1" x14ac:dyDescent="0.25">
      <c r="B29" s="374"/>
      <c r="C29" s="375"/>
      <c r="D29" s="1669" t="s">
        <v>36</v>
      </c>
      <c r="E29" s="1670" t="str">
        <f>'TRAD-Calculs Péremption FA'!B9</f>
        <v>Cp</v>
      </c>
      <c r="F29" s="1670" t="s">
        <v>611</v>
      </c>
      <c r="G29" s="377" t="s">
        <v>625</v>
      </c>
      <c r="H29" s="379" t="str">
        <f t="shared" si="12"/>
        <v>ABC - 60 mg</v>
      </c>
      <c r="I29" s="114"/>
      <c r="J29" s="657"/>
      <c r="K29" s="756">
        <f>IF('TdB Péremptions'!$H$9="X", 'Prix 10-2011 GPRM $'!$O$139, IF('TdB Péremptions'!$H$10="X", 'Prix 10-2011 GPRM $'!$Q$139, IF('TdB Péremptions'!$H$11="X", 'Prix VPP 102012 convert'!$O$139, IF('TdB Péremptions'!$H$12="X", 'Prix VPP 102012 convert'!$Q$139, IF('TdB Péremptions'!$H$13="X", 'Prix spécifiques'!$J$29, 0)))))</f>
        <v>5.25</v>
      </c>
      <c r="L29" s="756">
        <f>(1+'TdB Péremptions'!$H$14)*K29</f>
        <v>5.7750000000000004</v>
      </c>
      <c r="M29" s="1916">
        <f>Calculs!L339</f>
        <v>0</v>
      </c>
      <c r="N29" s="1916">
        <f>Calculs!N339</f>
        <v>0</v>
      </c>
      <c r="O29" s="1916">
        <f>'Saisie données stocks'!N41</f>
        <v>0</v>
      </c>
      <c r="P29" s="1917" t="str">
        <f>IF(SUM('Saisie données stocks'!R41+'Saisie données stocks'!T41+'Saisie données stocks'!V41+'Saisie données stocks'!X41+'Saisie données stocks'!Z41+'Saisie données stocks'!AB41+'Saisie données stocks'!AD41)='Calculs Péremption conso'!O29,  "OK", 'TRAD-Calculs Péremption FA'!$B$75)</f>
        <v>OK</v>
      </c>
      <c r="Q29" s="1918" t="str">
        <f>IF(AND(O29&gt;0, Calculs!L339=0, Calculs!N339=0), 'TRAD-Calculs Péremption FA'!$B$76, "")</f>
        <v/>
      </c>
      <c r="R29" s="1919">
        <f>'Saisie données stocks'!Q41</f>
        <v>0</v>
      </c>
      <c r="S29" s="1920">
        <f>'Saisie données stocks'!R41</f>
        <v>0</v>
      </c>
      <c r="T29" s="1921" t="str">
        <f>IF(AND(R29=0, S29=0), "ND", IF((R29-Paramétrage!$H$19)&gt;0, (R29-Paramétrage!$H$19)/(365/12), "Date non renseignée ou produit périmé"))</f>
        <v>ND</v>
      </c>
      <c r="U29" s="1922" t="str">
        <f t="shared" si="13"/>
        <v>ND</v>
      </c>
      <c r="V29" s="1922" t="str">
        <f t="shared" si="0"/>
        <v>ND</v>
      </c>
      <c r="W29" s="1921" t="str">
        <f>IF(V29="ND", "ND", IF(V29&gt;0, 'TRAD-Calculs Péremption FA'!$B$73, "OK"))</f>
        <v>ND</v>
      </c>
      <c r="X29" s="1924" t="str">
        <f t="shared" si="1"/>
        <v>ND</v>
      </c>
      <c r="Y29" s="1919">
        <f>'Saisie données stocks'!S41</f>
        <v>0</v>
      </c>
      <c r="Z29" s="1920">
        <f>'Saisie données stocks'!T41</f>
        <v>0</v>
      </c>
      <c r="AA29" s="1923">
        <f t="shared" si="14"/>
        <v>0</v>
      </c>
      <c r="AB29" s="1923" t="str">
        <f>IF(AND(Y29=0, Z29=0), "ND", IF((Y29-Paramétrage!$H$19)&gt;0, (Y29-Paramétrage!$H$19)/(365/12), "Date non renseignée ou produit périmé"))</f>
        <v>ND</v>
      </c>
      <c r="AC29" s="1923" t="str">
        <f t="shared" si="15"/>
        <v>ND</v>
      </c>
      <c r="AD29" s="1923" t="str">
        <f t="shared" si="16"/>
        <v>ND</v>
      </c>
      <c r="AE29" s="1921" t="str">
        <f>IF(AD29="ND", "ND", IF(AD29&gt;0, 'TRAD-Calculs Péremption FA'!$B$73, "OK"))</f>
        <v>ND</v>
      </c>
      <c r="AF29" s="1924" t="str">
        <f t="shared" si="2"/>
        <v>ND</v>
      </c>
      <c r="AG29" s="1919">
        <f>'Saisie données stocks'!U41</f>
        <v>0</v>
      </c>
      <c r="AH29" s="1920">
        <f>'Saisie données stocks'!V41</f>
        <v>0</v>
      </c>
      <c r="AI29" s="1923">
        <f t="shared" si="17"/>
        <v>0</v>
      </c>
      <c r="AJ29" s="1923" t="str">
        <f>IF(AND(AG29=0, AH29=0), "ND", IF((AG29-Paramétrage!$H$19)&gt;0, (AG29-Paramétrage!$H$19)/(365/12), "Date non renseignée ou produit périmé"))</f>
        <v>ND</v>
      </c>
      <c r="AK29" s="1923" t="str">
        <f t="shared" si="18"/>
        <v>ND</v>
      </c>
      <c r="AL29" s="1923" t="str">
        <f t="shared" si="19"/>
        <v>ND</v>
      </c>
      <c r="AM29" s="1923" t="str">
        <f>IF(AL29="ND", "ND", IF(AL29&gt;0, 'TRAD-Calculs Péremption FA'!$B$73, "OK"))</f>
        <v>ND</v>
      </c>
      <c r="AN29" s="1924" t="str">
        <f t="shared" si="3"/>
        <v>ND</v>
      </c>
      <c r="AO29" s="1919">
        <f>'Saisie données stocks'!W41</f>
        <v>0</v>
      </c>
      <c r="AP29" s="1920">
        <f>'Saisie données stocks'!X41</f>
        <v>0</v>
      </c>
      <c r="AQ29" s="1923">
        <f t="shared" si="20"/>
        <v>0</v>
      </c>
      <c r="AR29" s="1923" t="str">
        <f>IF(AND(AO29=0, AP29=0), "ND", IF((AO29-Paramétrage!$H$19)&gt;0, (AO29-Paramétrage!$H$19)/(365/12), "Date non renseignée ou produit périmé"))</f>
        <v>ND</v>
      </c>
      <c r="AS29" s="1923" t="str">
        <f t="shared" si="21"/>
        <v>ND</v>
      </c>
      <c r="AT29" s="1923" t="str">
        <f t="shared" si="22"/>
        <v>ND</v>
      </c>
      <c r="AU29" s="1923" t="str">
        <f>IF(AT29="ND", "ND", IF(AT29&gt;0, 'TRAD-Calculs Péremption FA'!$B$73, "OK"))</f>
        <v>ND</v>
      </c>
      <c r="AV29" s="1924" t="str">
        <f t="shared" si="4"/>
        <v>ND</v>
      </c>
      <c r="AW29" s="1919">
        <f>'Saisie données stocks'!Y41</f>
        <v>0</v>
      </c>
      <c r="AX29" s="1920">
        <f>'Saisie données stocks'!Z41</f>
        <v>0</v>
      </c>
      <c r="AY29" s="1923">
        <f t="shared" si="23"/>
        <v>0</v>
      </c>
      <c r="AZ29" s="1923" t="str">
        <f>IF(AND(AW29=0, AX29=0), "ND", IF((AW29-Paramétrage!$H$19)&gt;0, (AW29-Paramétrage!$H$19)/(365/12), "Date non renseignée ou produit périmé"))</f>
        <v>ND</v>
      </c>
      <c r="BA29" s="1923" t="str">
        <f t="shared" si="24"/>
        <v>ND</v>
      </c>
      <c r="BB29" s="1923" t="str">
        <f t="shared" si="25"/>
        <v>ND</v>
      </c>
      <c r="BC29" s="1923" t="str">
        <f>IF(BB29="ND", "ND", IF(BB29&gt;0, 'TRAD-Calculs Péremption FA'!$B$73, "OK"))</f>
        <v>ND</v>
      </c>
      <c r="BD29" s="1924" t="str">
        <f t="shared" si="5"/>
        <v>ND</v>
      </c>
      <c r="BE29" s="1919">
        <f>'Saisie données stocks'!AA41</f>
        <v>0</v>
      </c>
      <c r="BF29" s="1920">
        <f>'Saisie données stocks'!AB41</f>
        <v>0</v>
      </c>
      <c r="BG29" s="1923">
        <f t="shared" si="26"/>
        <v>0</v>
      </c>
      <c r="BH29" s="1923" t="str">
        <f>IF(AND(BE29=0, BF29=0), "ND", IF((BE29-Paramétrage!$H$19)&gt;0, (BE29-Paramétrage!$H$19)/(365/12), "Date non renseignée ou produit périmé"))</f>
        <v>ND</v>
      </c>
      <c r="BI29" s="1923" t="str">
        <f t="shared" si="27"/>
        <v>ND</v>
      </c>
      <c r="BJ29" s="1923" t="str">
        <f t="shared" si="28"/>
        <v>ND</v>
      </c>
      <c r="BK29" s="1923" t="str">
        <f>IF(BJ29="ND", "ND", IF(BJ29&gt;0, 'TRAD-Calculs Péremption FA'!$B$73, "OK"))</f>
        <v>ND</v>
      </c>
      <c r="BL29" s="1924" t="str">
        <f t="shared" si="6"/>
        <v>ND</v>
      </c>
      <c r="BM29" s="1919">
        <f>'Saisie données stocks'!AC41</f>
        <v>0</v>
      </c>
      <c r="BN29" s="1920">
        <f>'Saisie données stocks'!AD41</f>
        <v>0</v>
      </c>
      <c r="BO29" s="1923">
        <f t="shared" si="29"/>
        <v>0</v>
      </c>
      <c r="BP29" s="1923" t="str">
        <f>IF(AND(BM29=0, BN29=0), "ND", IF((BM29-Paramétrage!$H$19)&gt;0, (BM29-Paramétrage!$H$19)/(365/12), "Date non renseignée ou produit périmé"))</f>
        <v>ND</v>
      </c>
      <c r="BQ29" s="1923" t="str">
        <f t="shared" si="30"/>
        <v>ND</v>
      </c>
      <c r="BR29" s="1923" t="str">
        <f t="shared" si="31"/>
        <v>ND</v>
      </c>
      <c r="BS29" s="1923" t="str">
        <f>IF(BR29="ND", "ND", IF(BR29&gt;0, 'TRAD-Calculs Péremption FA'!$B$73, "OK"))</f>
        <v>ND</v>
      </c>
      <c r="BT29" s="1924" t="str">
        <f t="shared" si="7"/>
        <v>ND</v>
      </c>
      <c r="BU29" s="1925">
        <f>IF('Saisie données stocks'!$O$10='TRAD-Saisie données stocks'!$B$51, IF(P29="OK", IF(AND(BR29&gt;0, ISNUMBER(BR29)), (BO29-BR29), (BO29)), O29), O29)</f>
        <v>0</v>
      </c>
      <c r="BV29" s="1925">
        <f t="shared" si="8"/>
        <v>0</v>
      </c>
      <c r="BW29" s="2045" t="str">
        <f t="shared" si="32"/>
        <v/>
      </c>
      <c r="BX29" s="2045">
        <f>IF('Saisie données stocks'!$O$10='TRAD-Saisie données stocks'!$B$51, IF('Calculs Péremption FA'!P29="OK", IF(BU29=O29, MAX(Paramétrage!$H$19+('Saisie données stocks'!$N$14*(365/12)), BM29, BE29, AW29, AO29, AG29, Y29, R29), BW29), Paramétrage!$H$19+('Saisie données stocks'!$N$14*(365/12))), Paramétrage!$H$19+('Saisie données stocks'!$N$14*(365/12)))</f>
        <v>42101.5</v>
      </c>
      <c r="BY29" s="2046">
        <f t="shared" si="9"/>
        <v>7</v>
      </c>
      <c r="BZ29" s="2046">
        <f t="shared" si="10"/>
        <v>4</v>
      </c>
      <c r="CA29" s="2046">
        <f t="shared" si="11"/>
        <v>2015</v>
      </c>
      <c r="CB29" s="2046">
        <f>IF(BX29="", "", (BX29-Paramétrage!$H$19)/(365/12))</f>
        <v>6</v>
      </c>
      <c r="CC29" s="2043" t="str">
        <f>IF(CB29='Saisie données stocks'!N$14, 'TRAD-Calculs Péremption FA'!$B$74, CONCATENATE("DLU - ", BY29, "/", BZ29, "/", CA29))</f>
        <v>Durée de vie max</v>
      </c>
    </row>
    <row r="30" spans="2:81" ht="26.25" thickBot="1" x14ac:dyDescent="0.25">
      <c r="B30" s="374"/>
      <c r="C30" s="375"/>
      <c r="D30" s="1669" t="s">
        <v>32</v>
      </c>
      <c r="E30" s="1670" t="str">
        <f>'TRAD-Calculs Péremption FA'!B9</f>
        <v>Cp</v>
      </c>
      <c r="F30" s="1815" t="s">
        <v>33</v>
      </c>
      <c r="G30" s="377" t="s">
        <v>626</v>
      </c>
      <c r="H30" s="379" t="str">
        <f t="shared" si="12"/>
        <v>AZT - 300 mg</v>
      </c>
      <c r="I30" s="114">
        <v>60</v>
      </c>
      <c r="J30" s="657"/>
      <c r="K30" s="756">
        <f>IF('TdB Péremptions'!$H$9="X", 'Prix 10-2011 GPRM $'!$O$38, IF('TdB Péremptions'!$H$10="X", 'Prix 10-2011 GPRM $'!$Q$38, IF('TdB Péremptions'!$H$11="X", 'Prix VPP 102012 convert'!$O$38, IF('TdB Péremptions'!$H$12="X", 'Prix VPP 102012 convert'!$Q$38, IF('TdB Péremptions'!$H$13="X", 'Prix spécifiques'!$J$30, 0)))))</f>
        <v>6.42</v>
      </c>
      <c r="L30" s="756">
        <f>(1+'TdB Péremptions'!$H$14)*K30</f>
        <v>7.0620000000000003</v>
      </c>
      <c r="M30" s="1916">
        <f>Calculs!L340</f>
        <v>0</v>
      </c>
      <c r="N30" s="1916">
        <f>Calculs!N340</f>
        <v>0</v>
      </c>
      <c r="O30" s="1916">
        <f>'Saisie données stocks'!N42</f>
        <v>0</v>
      </c>
      <c r="P30" s="1917" t="str">
        <f>IF(SUM('Saisie données stocks'!R42+'Saisie données stocks'!T42+'Saisie données stocks'!V42+'Saisie données stocks'!X42+'Saisie données stocks'!Z42+'Saisie données stocks'!AB42+'Saisie données stocks'!AD42)='Calculs Péremption conso'!O30,  "OK", 'TRAD-Calculs Péremption FA'!$B$75)</f>
        <v>OK</v>
      </c>
      <c r="Q30" s="1918" t="str">
        <f>IF(AND(O30&gt;0, Calculs!L340=0, Calculs!N340=0), 'TRAD-Calculs Péremption FA'!$B$76, "")</f>
        <v/>
      </c>
      <c r="R30" s="1919">
        <f>'Saisie données stocks'!Q42</f>
        <v>41944</v>
      </c>
      <c r="S30" s="1920">
        <f>'Saisie données stocks'!R42</f>
        <v>0</v>
      </c>
      <c r="T30" s="1921">
        <f>IF(AND(R30=0, S30=0), "ND", IF((R30-Paramétrage!$H$19)&gt;0, (R30-Paramétrage!$H$19)/(365/12), "Date non renseignée ou produit périmé"))</f>
        <v>0.82191780821917804</v>
      </c>
      <c r="U30" s="1922">
        <f t="shared" si="13"/>
        <v>0</v>
      </c>
      <c r="V30" s="1922">
        <f t="shared" si="0"/>
        <v>0</v>
      </c>
      <c r="W30" s="1921" t="str">
        <f>IF(V30="ND", "ND", IF(V30&gt;0, 'TRAD-Calculs Péremption FA'!$B$73, "OK"))</f>
        <v>OK</v>
      </c>
      <c r="X30" s="1924" t="str">
        <f t="shared" si="1"/>
        <v/>
      </c>
      <c r="Y30" s="1919">
        <f>'Saisie données stocks'!S42</f>
        <v>0</v>
      </c>
      <c r="Z30" s="1920">
        <f>'Saisie données stocks'!T42</f>
        <v>0</v>
      </c>
      <c r="AA30" s="1923">
        <f t="shared" si="14"/>
        <v>0</v>
      </c>
      <c r="AB30" s="1923" t="str">
        <f>IF(AND(Y30=0, Z30=0), "ND", IF((Y30-Paramétrage!$H$19)&gt;0, (Y30-Paramétrage!$H$19)/(365/12), "Date non renseignée ou produit périmé"))</f>
        <v>ND</v>
      </c>
      <c r="AC30" s="1923" t="str">
        <f t="shared" si="15"/>
        <v>ND</v>
      </c>
      <c r="AD30" s="1923" t="str">
        <f t="shared" si="16"/>
        <v>ND</v>
      </c>
      <c r="AE30" s="1921" t="str">
        <f>IF(AD30="ND", "ND", IF(AD30&gt;0, 'TRAD-Calculs Péremption FA'!$B$73, "OK"))</f>
        <v>ND</v>
      </c>
      <c r="AF30" s="1924" t="str">
        <f t="shared" si="2"/>
        <v>ND</v>
      </c>
      <c r="AG30" s="1919">
        <f>'Saisie données stocks'!U42</f>
        <v>0</v>
      </c>
      <c r="AH30" s="1920">
        <f>'Saisie données stocks'!V42</f>
        <v>0</v>
      </c>
      <c r="AI30" s="1923">
        <f t="shared" si="17"/>
        <v>0</v>
      </c>
      <c r="AJ30" s="1923" t="str">
        <f>IF(AND(AG30=0, AH30=0), "ND", IF((AG30-Paramétrage!$H$19)&gt;0, (AG30-Paramétrage!$H$19)/(365/12), "Date non renseignée ou produit périmé"))</f>
        <v>ND</v>
      </c>
      <c r="AK30" s="1923" t="str">
        <f t="shared" si="18"/>
        <v>ND</v>
      </c>
      <c r="AL30" s="1923" t="str">
        <f t="shared" si="19"/>
        <v>ND</v>
      </c>
      <c r="AM30" s="1923" t="str">
        <f>IF(AL30="ND", "ND", IF(AL30&gt;0, 'TRAD-Calculs Péremption FA'!$B$73, "OK"))</f>
        <v>ND</v>
      </c>
      <c r="AN30" s="1924" t="str">
        <f t="shared" si="3"/>
        <v>ND</v>
      </c>
      <c r="AO30" s="1919">
        <f>'Saisie données stocks'!W42</f>
        <v>0</v>
      </c>
      <c r="AP30" s="1920">
        <f>'Saisie données stocks'!X42</f>
        <v>0</v>
      </c>
      <c r="AQ30" s="1923">
        <f t="shared" si="20"/>
        <v>0</v>
      </c>
      <c r="AR30" s="1923" t="str">
        <f>IF(AND(AO30=0, AP30=0), "ND", IF((AO30-Paramétrage!$H$19)&gt;0, (AO30-Paramétrage!$H$19)/(365/12), "Date non renseignée ou produit périmé"))</f>
        <v>ND</v>
      </c>
      <c r="AS30" s="1923" t="str">
        <f t="shared" si="21"/>
        <v>ND</v>
      </c>
      <c r="AT30" s="1923" t="str">
        <f t="shared" si="22"/>
        <v>ND</v>
      </c>
      <c r="AU30" s="1923" t="str">
        <f>IF(AT30="ND", "ND", IF(AT30&gt;0, 'TRAD-Calculs Péremption FA'!$B$73, "OK"))</f>
        <v>ND</v>
      </c>
      <c r="AV30" s="1924" t="str">
        <f t="shared" si="4"/>
        <v>ND</v>
      </c>
      <c r="AW30" s="1919">
        <f>'Saisie données stocks'!Y42</f>
        <v>0</v>
      </c>
      <c r="AX30" s="1920">
        <f>'Saisie données stocks'!Z42</f>
        <v>0</v>
      </c>
      <c r="AY30" s="1923">
        <f t="shared" si="23"/>
        <v>0</v>
      </c>
      <c r="AZ30" s="1923" t="str">
        <f>IF(AND(AW30=0, AX30=0), "ND", IF((AW30-Paramétrage!$H$19)&gt;0, (AW30-Paramétrage!$H$19)/(365/12), "Date non renseignée ou produit périmé"))</f>
        <v>ND</v>
      </c>
      <c r="BA30" s="1923" t="str">
        <f t="shared" si="24"/>
        <v>ND</v>
      </c>
      <c r="BB30" s="1923" t="str">
        <f t="shared" si="25"/>
        <v>ND</v>
      </c>
      <c r="BC30" s="1923" t="str">
        <f>IF(BB30="ND", "ND", IF(BB30&gt;0, 'TRAD-Calculs Péremption FA'!$B$73, "OK"))</f>
        <v>ND</v>
      </c>
      <c r="BD30" s="1924" t="str">
        <f t="shared" si="5"/>
        <v>ND</v>
      </c>
      <c r="BE30" s="1919">
        <f>'Saisie données stocks'!AA42</f>
        <v>0</v>
      </c>
      <c r="BF30" s="1920">
        <f>'Saisie données stocks'!AB42</f>
        <v>0</v>
      </c>
      <c r="BG30" s="1923">
        <f t="shared" si="26"/>
        <v>0</v>
      </c>
      <c r="BH30" s="1923" t="str">
        <f>IF(AND(BE30=0, BF30=0), "ND", IF((BE30-Paramétrage!$H$19)&gt;0, (BE30-Paramétrage!$H$19)/(365/12), "Date non renseignée ou produit périmé"))</f>
        <v>ND</v>
      </c>
      <c r="BI30" s="1923" t="str">
        <f t="shared" si="27"/>
        <v>ND</v>
      </c>
      <c r="BJ30" s="1923" t="str">
        <f t="shared" si="28"/>
        <v>ND</v>
      </c>
      <c r="BK30" s="1923" t="str">
        <f>IF(BJ30="ND", "ND", IF(BJ30&gt;0, 'TRAD-Calculs Péremption FA'!$B$73, "OK"))</f>
        <v>ND</v>
      </c>
      <c r="BL30" s="1924" t="str">
        <f t="shared" si="6"/>
        <v>ND</v>
      </c>
      <c r="BM30" s="1919">
        <f>'Saisie données stocks'!AC42</f>
        <v>0</v>
      </c>
      <c r="BN30" s="1920">
        <f>'Saisie données stocks'!AD42</f>
        <v>0</v>
      </c>
      <c r="BO30" s="1923">
        <f t="shared" si="29"/>
        <v>0</v>
      </c>
      <c r="BP30" s="1923" t="str">
        <f>IF(AND(BM30=0, BN30=0), "ND", IF((BM30-Paramétrage!$H$19)&gt;0, (BM30-Paramétrage!$H$19)/(365/12), "Date non renseignée ou produit périmé"))</f>
        <v>ND</v>
      </c>
      <c r="BQ30" s="1923" t="str">
        <f t="shared" si="30"/>
        <v>ND</v>
      </c>
      <c r="BR30" s="1923" t="str">
        <f t="shared" si="31"/>
        <v>ND</v>
      </c>
      <c r="BS30" s="1923" t="str">
        <f>IF(BR30="ND", "ND", IF(BR30&gt;0, 'TRAD-Calculs Péremption FA'!$B$73, "OK"))</f>
        <v>ND</v>
      </c>
      <c r="BT30" s="1924" t="str">
        <f t="shared" si="7"/>
        <v>ND</v>
      </c>
      <c r="BU30" s="1925">
        <f>IF('Saisie données stocks'!$O$10='TRAD-Saisie données stocks'!$B$51, IF(P30="OK", IF(AND(BR30&gt;0, ISNUMBER(BR30)), (BO30-BR30), (BO30)), O30), O30)</f>
        <v>0</v>
      </c>
      <c r="BV30" s="1925">
        <f t="shared" si="8"/>
        <v>0</v>
      </c>
      <c r="BW30" s="2045" t="str">
        <f t="shared" si="32"/>
        <v/>
      </c>
      <c r="BX30" s="2045">
        <f>IF('Saisie données stocks'!$O$10='TRAD-Saisie données stocks'!$B$51, IF('Calculs Péremption FA'!P30="OK", IF(BU30=O30, MAX(Paramétrage!$H$19+('Saisie données stocks'!$N$14*(365/12)), BM30, BE30, AW30, AO30, AG30, Y30, R30), BW30), Paramétrage!$H$19+('Saisie données stocks'!$N$14*(365/12))), Paramétrage!$H$19+('Saisie données stocks'!$N$14*(365/12)))</f>
        <v>42101.5</v>
      </c>
      <c r="BY30" s="2046">
        <f t="shared" si="9"/>
        <v>7</v>
      </c>
      <c r="BZ30" s="2046">
        <f t="shared" si="10"/>
        <v>4</v>
      </c>
      <c r="CA30" s="2046">
        <f t="shared" si="11"/>
        <v>2015</v>
      </c>
      <c r="CB30" s="2046">
        <f>IF(BX30="", "", (BX30-Paramétrage!$H$19)/(365/12))</f>
        <v>6</v>
      </c>
      <c r="CC30" s="2043" t="str">
        <f>IF(CB30='Saisie données stocks'!N$14, 'TRAD-Calculs Péremption FA'!$B$74, CONCATENATE("DLU - ", BY30, "/", BZ30, "/", CA30))</f>
        <v>Durée de vie max</v>
      </c>
    </row>
    <row r="31" spans="2:81" ht="26.25" thickBot="1" x14ac:dyDescent="0.25">
      <c r="B31" s="374"/>
      <c r="C31" s="375"/>
      <c r="D31" s="1669" t="s">
        <v>32</v>
      </c>
      <c r="E31" s="1670" t="str">
        <f>'TRAD-Calculs Péremption FA'!B9</f>
        <v>Cp</v>
      </c>
      <c r="F31" s="1815" t="s">
        <v>46</v>
      </c>
      <c r="G31" s="377" t="s">
        <v>626</v>
      </c>
      <c r="H31" s="379" t="str">
        <f t="shared" si="12"/>
        <v>AZT - 100 mg</v>
      </c>
      <c r="I31" s="114">
        <v>100</v>
      </c>
      <c r="J31" s="657"/>
      <c r="K31" s="756">
        <f>IF('TdB Péremptions'!$H$9="X", 'Prix 10-2011 GPRM $'!$O$130, IF('TdB Péremptions'!$H$10="X", 'Prix 10-2011 GPRM $'!$Q$130, IF('TdB Péremptions'!$H$11="X", 'Prix VPP 102012 convert'!$O$130, IF('TdB Péremptions'!$H$12="X", 'Prix VPP 102012 convert'!$Q$130, IF('TdB Péremptions'!$H$13="X", 'Prix spécifiques'!$J$31, 0)))))</f>
        <v>4.57</v>
      </c>
      <c r="L31" s="756">
        <f>(1+'TdB Péremptions'!$H$14)*K31</f>
        <v>5.027000000000001</v>
      </c>
      <c r="M31" s="1916">
        <f>Calculs!L341</f>
        <v>0</v>
      </c>
      <c r="N31" s="1916">
        <f>Calculs!N341</f>
        <v>0</v>
      </c>
      <c r="O31" s="1916">
        <f>'Saisie données stocks'!N43</f>
        <v>0</v>
      </c>
      <c r="P31" s="1917" t="str">
        <f>IF(SUM('Saisie données stocks'!R43+'Saisie données stocks'!T43+'Saisie données stocks'!V43+'Saisie données stocks'!X43+'Saisie données stocks'!Z43+'Saisie données stocks'!AB43+'Saisie données stocks'!AD43)='Calculs Péremption conso'!O31,  "OK", 'TRAD-Calculs Péremption FA'!$B$75)</f>
        <v>OK</v>
      </c>
      <c r="Q31" s="1918" t="str">
        <f>IF(AND(O31&gt;0, Calculs!L341=0, Calculs!N341=0), 'TRAD-Calculs Péremption FA'!$B$76, "")</f>
        <v/>
      </c>
      <c r="R31" s="1919">
        <f>'Saisie données stocks'!Q43</f>
        <v>0</v>
      </c>
      <c r="S31" s="1920">
        <f>'Saisie données stocks'!R43</f>
        <v>0</v>
      </c>
      <c r="T31" s="1921" t="str">
        <f>IF(AND(R31=0, S31=0), "ND", IF((R31-Paramétrage!$H$19)&gt;0, (R31-Paramétrage!$H$19)/(365/12), "Date non renseignée ou produit périmé"))</f>
        <v>ND</v>
      </c>
      <c r="U31" s="1922" t="str">
        <f t="shared" si="13"/>
        <v>ND</v>
      </c>
      <c r="V31" s="1922" t="str">
        <f t="shared" si="0"/>
        <v>ND</v>
      </c>
      <c r="W31" s="1921" t="str">
        <f>IF(V31="ND", "ND", IF(V31&gt;0, 'TRAD-Calculs Péremption FA'!$B$73, "OK"))</f>
        <v>ND</v>
      </c>
      <c r="X31" s="1924" t="str">
        <f t="shared" si="1"/>
        <v>ND</v>
      </c>
      <c r="Y31" s="1919">
        <f>'Saisie données stocks'!S43</f>
        <v>0</v>
      </c>
      <c r="Z31" s="1920">
        <f>'Saisie données stocks'!T43</f>
        <v>0</v>
      </c>
      <c r="AA31" s="1923">
        <f t="shared" si="14"/>
        <v>0</v>
      </c>
      <c r="AB31" s="1923" t="str">
        <f>IF(AND(Y31=0, Z31=0), "ND", IF((Y31-Paramétrage!$H$19)&gt;0, (Y31-Paramétrage!$H$19)/(365/12), "Date non renseignée ou produit périmé"))</f>
        <v>ND</v>
      </c>
      <c r="AC31" s="1923" t="str">
        <f t="shared" si="15"/>
        <v>ND</v>
      </c>
      <c r="AD31" s="1923" t="str">
        <f t="shared" si="16"/>
        <v>ND</v>
      </c>
      <c r="AE31" s="1921" t="str">
        <f>IF(AD31="ND", "ND", IF(AD31&gt;0, 'TRAD-Calculs Péremption FA'!$B$73, "OK"))</f>
        <v>ND</v>
      </c>
      <c r="AF31" s="1924" t="str">
        <f t="shared" si="2"/>
        <v>ND</v>
      </c>
      <c r="AG31" s="1919">
        <f>'Saisie données stocks'!U43</f>
        <v>0</v>
      </c>
      <c r="AH31" s="1920">
        <f>'Saisie données stocks'!V43</f>
        <v>0</v>
      </c>
      <c r="AI31" s="1923">
        <f t="shared" si="17"/>
        <v>0</v>
      </c>
      <c r="AJ31" s="1923" t="str">
        <f>IF(AND(AG31=0, AH31=0), "ND", IF((AG31-Paramétrage!$H$19)&gt;0, (AG31-Paramétrage!$H$19)/(365/12), "Date non renseignée ou produit périmé"))</f>
        <v>ND</v>
      </c>
      <c r="AK31" s="1923" t="str">
        <f t="shared" si="18"/>
        <v>ND</v>
      </c>
      <c r="AL31" s="1923" t="str">
        <f t="shared" si="19"/>
        <v>ND</v>
      </c>
      <c r="AM31" s="1923" t="str">
        <f>IF(AL31="ND", "ND", IF(AL31&gt;0, 'TRAD-Calculs Péremption FA'!$B$73, "OK"))</f>
        <v>ND</v>
      </c>
      <c r="AN31" s="1924" t="str">
        <f t="shared" si="3"/>
        <v>ND</v>
      </c>
      <c r="AO31" s="1919">
        <f>'Saisie données stocks'!W43</f>
        <v>0</v>
      </c>
      <c r="AP31" s="1920">
        <f>'Saisie données stocks'!X43</f>
        <v>0</v>
      </c>
      <c r="AQ31" s="1923">
        <f t="shared" si="20"/>
        <v>0</v>
      </c>
      <c r="AR31" s="1923" t="str">
        <f>IF(AND(AO31=0, AP31=0), "ND", IF((AO31-Paramétrage!$H$19)&gt;0, (AO31-Paramétrage!$H$19)/(365/12), "Date non renseignée ou produit périmé"))</f>
        <v>ND</v>
      </c>
      <c r="AS31" s="1923" t="str">
        <f t="shared" si="21"/>
        <v>ND</v>
      </c>
      <c r="AT31" s="1923" t="str">
        <f t="shared" si="22"/>
        <v>ND</v>
      </c>
      <c r="AU31" s="1923" t="str">
        <f>IF(AT31="ND", "ND", IF(AT31&gt;0, 'TRAD-Calculs Péremption FA'!$B$73, "OK"))</f>
        <v>ND</v>
      </c>
      <c r="AV31" s="1924" t="str">
        <f t="shared" si="4"/>
        <v>ND</v>
      </c>
      <c r="AW31" s="1919">
        <f>'Saisie données stocks'!Y43</f>
        <v>0</v>
      </c>
      <c r="AX31" s="1920">
        <f>'Saisie données stocks'!Z43</f>
        <v>0</v>
      </c>
      <c r="AY31" s="1923">
        <f t="shared" si="23"/>
        <v>0</v>
      </c>
      <c r="AZ31" s="1923" t="str">
        <f>IF(AND(AW31=0, AX31=0), "ND", IF((AW31-Paramétrage!$H$19)&gt;0, (AW31-Paramétrage!$H$19)/(365/12), "Date non renseignée ou produit périmé"))</f>
        <v>ND</v>
      </c>
      <c r="BA31" s="1923" t="str">
        <f t="shared" si="24"/>
        <v>ND</v>
      </c>
      <c r="BB31" s="1923" t="str">
        <f t="shared" si="25"/>
        <v>ND</v>
      </c>
      <c r="BC31" s="1923" t="str">
        <f>IF(BB31="ND", "ND", IF(BB31&gt;0, 'TRAD-Calculs Péremption FA'!$B$73, "OK"))</f>
        <v>ND</v>
      </c>
      <c r="BD31" s="1924" t="str">
        <f t="shared" si="5"/>
        <v>ND</v>
      </c>
      <c r="BE31" s="1919">
        <f>'Saisie données stocks'!AA43</f>
        <v>0</v>
      </c>
      <c r="BF31" s="1920">
        <f>'Saisie données stocks'!AB43</f>
        <v>0</v>
      </c>
      <c r="BG31" s="1923">
        <f t="shared" si="26"/>
        <v>0</v>
      </c>
      <c r="BH31" s="1923" t="str">
        <f>IF(AND(BE31=0, BF31=0), "ND", IF((BE31-Paramétrage!$H$19)&gt;0, (BE31-Paramétrage!$H$19)/(365/12), "Date non renseignée ou produit périmé"))</f>
        <v>ND</v>
      </c>
      <c r="BI31" s="1923" t="str">
        <f t="shared" si="27"/>
        <v>ND</v>
      </c>
      <c r="BJ31" s="1923" t="str">
        <f t="shared" si="28"/>
        <v>ND</v>
      </c>
      <c r="BK31" s="1923" t="str">
        <f>IF(BJ31="ND", "ND", IF(BJ31&gt;0, 'TRAD-Calculs Péremption FA'!$B$73, "OK"))</f>
        <v>ND</v>
      </c>
      <c r="BL31" s="1924" t="str">
        <f t="shared" si="6"/>
        <v>ND</v>
      </c>
      <c r="BM31" s="1919">
        <f>'Saisie données stocks'!AC43</f>
        <v>0</v>
      </c>
      <c r="BN31" s="1920">
        <f>'Saisie données stocks'!AD43</f>
        <v>0</v>
      </c>
      <c r="BO31" s="1923">
        <f t="shared" si="29"/>
        <v>0</v>
      </c>
      <c r="BP31" s="1923" t="str">
        <f>IF(AND(BM31=0, BN31=0), "ND", IF((BM31-Paramétrage!$H$19)&gt;0, (BM31-Paramétrage!$H$19)/(365/12), "Date non renseignée ou produit périmé"))</f>
        <v>ND</v>
      </c>
      <c r="BQ31" s="1923" t="str">
        <f t="shared" si="30"/>
        <v>ND</v>
      </c>
      <c r="BR31" s="1923" t="str">
        <f t="shared" si="31"/>
        <v>ND</v>
      </c>
      <c r="BS31" s="1923" t="str">
        <f>IF(BR31="ND", "ND", IF(BR31&gt;0, 'TRAD-Calculs Péremption FA'!$B$73, "OK"))</f>
        <v>ND</v>
      </c>
      <c r="BT31" s="1924" t="str">
        <f t="shared" si="7"/>
        <v>ND</v>
      </c>
      <c r="BU31" s="1925">
        <f>IF('Saisie données stocks'!$O$10='TRAD-Saisie données stocks'!$B$51, IF(P31="OK", IF(AND(BR31&gt;0, ISNUMBER(BR31)), (BO31-BR31), (BO31)), O31), O31)</f>
        <v>0</v>
      </c>
      <c r="BV31" s="1925">
        <f t="shared" si="8"/>
        <v>0</v>
      </c>
      <c r="BW31" s="2045" t="str">
        <f t="shared" si="32"/>
        <v/>
      </c>
      <c r="BX31" s="2045">
        <f>IF('Saisie données stocks'!$O$10='TRAD-Saisie données stocks'!$B$51, IF('Calculs Péremption FA'!P31="OK", IF(BU31=O31, MAX(Paramétrage!$H$19+('Saisie données stocks'!$N$14*(365/12)), BM31, BE31, AW31, AO31, AG31, Y31, R31), BW31), Paramétrage!$H$19+('Saisie données stocks'!$N$14*(365/12))), Paramétrage!$H$19+('Saisie données stocks'!$N$14*(365/12)))</f>
        <v>42101.5</v>
      </c>
      <c r="BY31" s="2046">
        <f t="shared" si="9"/>
        <v>7</v>
      </c>
      <c r="BZ31" s="2046">
        <f t="shared" si="10"/>
        <v>4</v>
      </c>
      <c r="CA31" s="2046">
        <f t="shared" si="11"/>
        <v>2015</v>
      </c>
      <c r="CB31" s="2046">
        <f>IF(BX31="", "", (BX31-Paramétrage!$H$19)/(365/12))</f>
        <v>6</v>
      </c>
      <c r="CC31" s="2043" t="str">
        <f>IF(CB31='Saisie données stocks'!N$14, 'TRAD-Calculs Péremption FA'!$B$74, CONCATENATE("DLU - ", BY31, "/", BZ31, "/", CA31))</f>
        <v>Durée de vie max</v>
      </c>
    </row>
    <row r="32" spans="2:81" ht="26.25" thickBot="1" x14ac:dyDescent="0.25">
      <c r="B32" s="374"/>
      <c r="C32" s="375"/>
      <c r="D32" s="1669" t="s">
        <v>32</v>
      </c>
      <c r="E32" s="1670" t="str">
        <f>'TRAD-Calculs Péremption FA'!B9</f>
        <v>Cp</v>
      </c>
      <c r="F32" s="1815" t="s">
        <v>611</v>
      </c>
      <c r="G32" s="377" t="s">
        <v>626</v>
      </c>
      <c r="H32" s="379" t="str">
        <f t="shared" si="12"/>
        <v>AZT - 60 mg</v>
      </c>
      <c r="I32" s="114">
        <v>60</v>
      </c>
      <c r="J32" s="657"/>
      <c r="K32" s="756">
        <f>IF('TdB Péremptions'!$H$9="X", 'Prix 10-2011 GPRM $'!$O$131, IF('TdB Péremptions'!$H$10="X", 'Prix 10-2011 GPRM $'!$Q$131, IF('TdB Péremptions'!$H$11="X", 'Prix VPP 102012 convert'!$O$131, IF('TdB Péremptions'!$H$12="X", 'Prix VPP 102012 convert'!$Q$131, IF('TdB Péremptions'!$H$13="X", 'Prix spécifiques'!$J$32, 0)))))</f>
        <v>3.75</v>
      </c>
      <c r="L32" s="756">
        <f>(1+'TdB Péremptions'!$H$14)*K32</f>
        <v>4.125</v>
      </c>
      <c r="M32" s="1916">
        <f>Calculs!L342</f>
        <v>0</v>
      </c>
      <c r="N32" s="1916">
        <f>Calculs!N342</f>
        <v>0</v>
      </c>
      <c r="O32" s="1916">
        <f>'Saisie données stocks'!N44</f>
        <v>0</v>
      </c>
      <c r="P32" s="1917" t="str">
        <f>IF(SUM('Saisie données stocks'!R44+'Saisie données stocks'!T44+'Saisie données stocks'!V44+'Saisie données stocks'!X44+'Saisie données stocks'!Z44+'Saisie données stocks'!AB44+'Saisie données stocks'!AD44)='Calculs Péremption conso'!O32,  "OK", 'TRAD-Calculs Péremption FA'!$B$75)</f>
        <v>OK</v>
      </c>
      <c r="Q32" s="1918" t="str">
        <f>IF(AND(O32&gt;0, Calculs!L342=0, Calculs!N342=0), 'TRAD-Calculs Péremption FA'!$B$76, "")</f>
        <v/>
      </c>
      <c r="R32" s="1919">
        <f>'Saisie données stocks'!Q44</f>
        <v>0</v>
      </c>
      <c r="S32" s="1920">
        <f>'Saisie données stocks'!R44</f>
        <v>0</v>
      </c>
      <c r="T32" s="1921" t="str">
        <f>IF(AND(R32=0, S32=0), "ND", IF((R32-Paramétrage!$H$19)&gt;0, (R32-Paramétrage!$H$19)/(365/12), "Date non renseignée ou produit périmé"))</f>
        <v>ND</v>
      </c>
      <c r="U32" s="1922" t="str">
        <f t="shared" si="13"/>
        <v>ND</v>
      </c>
      <c r="V32" s="1922" t="str">
        <f t="shared" si="0"/>
        <v>ND</v>
      </c>
      <c r="W32" s="1921" t="str">
        <f>IF(V32="ND", "ND", IF(V32&gt;0, 'TRAD-Calculs Péremption FA'!$B$73, "OK"))</f>
        <v>ND</v>
      </c>
      <c r="X32" s="1924" t="str">
        <f t="shared" si="1"/>
        <v>ND</v>
      </c>
      <c r="Y32" s="1919">
        <f>'Saisie données stocks'!S44</f>
        <v>0</v>
      </c>
      <c r="Z32" s="1920">
        <f>'Saisie données stocks'!T44</f>
        <v>0</v>
      </c>
      <c r="AA32" s="1923">
        <f t="shared" si="14"/>
        <v>0</v>
      </c>
      <c r="AB32" s="1923" t="str">
        <f>IF(AND(Y32=0, Z32=0), "ND", IF((Y32-Paramétrage!$H$19)&gt;0, (Y32-Paramétrage!$H$19)/(365/12), "Date non renseignée ou produit périmé"))</f>
        <v>ND</v>
      </c>
      <c r="AC32" s="1923" t="str">
        <f t="shared" si="15"/>
        <v>ND</v>
      </c>
      <c r="AD32" s="1923" t="str">
        <f t="shared" si="16"/>
        <v>ND</v>
      </c>
      <c r="AE32" s="1921" t="str">
        <f>IF(AD32="ND", "ND", IF(AD32&gt;0, 'TRAD-Calculs Péremption FA'!$B$73, "OK"))</f>
        <v>ND</v>
      </c>
      <c r="AF32" s="1924" t="str">
        <f t="shared" si="2"/>
        <v>ND</v>
      </c>
      <c r="AG32" s="1919">
        <f>'Saisie données stocks'!U44</f>
        <v>0</v>
      </c>
      <c r="AH32" s="1920">
        <f>'Saisie données stocks'!V44</f>
        <v>0</v>
      </c>
      <c r="AI32" s="1923">
        <f t="shared" si="17"/>
        <v>0</v>
      </c>
      <c r="AJ32" s="1923" t="str">
        <f>IF(AND(AG32=0, AH32=0), "ND", IF((AG32-Paramétrage!$H$19)&gt;0, (AG32-Paramétrage!$H$19)/(365/12), "Date non renseignée ou produit périmé"))</f>
        <v>ND</v>
      </c>
      <c r="AK32" s="1923" t="str">
        <f t="shared" si="18"/>
        <v>ND</v>
      </c>
      <c r="AL32" s="1923" t="str">
        <f t="shared" si="19"/>
        <v>ND</v>
      </c>
      <c r="AM32" s="1923" t="str">
        <f>IF(AL32="ND", "ND", IF(AL32&gt;0, 'TRAD-Calculs Péremption FA'!$B$73, "OK"))</f>
        <v>ND</v>
      </c>
      <c r="AN32" s="1924" t="str">
        <f t="shared" si="3"/>
        <v>ND</v>
      </c>
      <c r="AO32" s="1919">
        <f>'Saisie données stocks'!W44</f>
        <v>0</v>
      </c>
      <c r="AP32" s="1920">
        <f>'Saisie données stocks'!X44</f>
        <v>0</v>
      </c>
      <c r="AQ32" s="1923">
        <f t="shared" si="20"/>
        <v>0</v>
      </c>
      <c r="AR32" s="1923" t="str">
        <f>IF(AND(AO32=0, AP32=0), "ND", IF((AO32-Paramétrage!$H$19)&gt;0, (AO32-Paramétrage!$H$19)/(365/12), "Date non renseignée ou produit périmé"))</f>
        <v>ND</v>
      </c>
      <c r="AS32" s="1923" t="str">
        <f t="shared" si="21"/>
        <v>ND</v>
      </c>
      <c r="AT32" s="1923" t="str">
        <f t="shared" si="22"/>
        <v>ND</v>
      </c>
      <c r="AU32" s="1923" t="str">
        <f>IF(AT32="ND", "ND", IF(AT32&gt;0, 'TRAD-Calculs Péremption FA'!$B$73, "OK"))</f>
        <v>ND</v>
      </c>
      <c r="AV32" s="1924" t="str">
        <f t="shared" si="4"/>
        <v>ND</v>
      </c>
      <c r="AW32" s="1919">
        <f>'Saisie données stocks'!Y44</f>
        <v>0</v>
      </c>
      <c r="AX32" s="1920">
        <f>'Saisie données stocks'!Z44</f>
        <v>0</v>
      </c>
      <c r="AY32" s="1923">
        <f t="shared" si="23"/>
        <v>0</v>
      </c>
      <c r="AZ32" s="1923" t="str">
        <f>IF(AND(AW32=0, AX32=0), "ND", IF((AW32-Paramétrage!$H$19)&gt;0, (AW32-Paramétrage!$H$19)/(365/12), "Date non renseignée ou produit périmé"))</f>
        <v>ND</v>
      </c>
      <c r="BA32" s="1923" t="str">
        <f t="shared" si="24"/>
        <v>ND</v>
      </c>
      <c r="BB32" s="1923" t="str">
        <f t="shared" si="25"/>
        <v>ND</v>
      </c>
      <c r="BC32" s="1923" t="str">
        <f>IF(BB32="ND", "ND", IF(BB32&gt;0, 'TRAD-Calculs Péremption FA'!$B$73, "OK"))</f>
        <v>ND</v>
      </c>
      <c r="BD32" s="1924" t="str">
        <f t="shared" si="5"/>
        <v>ND</v>
      </c>
      <c r="BE32" s="1919">
        <f>'Saisie données stocks'!AA44</f>
        <v>0</v>
      </c>
      <c r="BF32" s="1920">
        <f>'Saisie données stocks'!AB44</f>
        <v>0</v>
      </c>
      <c r="BG32" s="1923">
        <f t="shared" si="26"/>
        <v>0</v>
      </c>
      <c r="BH32" s="1923" t="str">
        <f>IF(AND(BE32=0, BF32=0), "ND", IF((BE32-Paramétrage!$H$19)&gt;0, (BE32-Paramétrage!$H$19)/(365/12), "Date non renseignée ou produit périmé"))</f>
        <v>ND</v>
      </c>
      <c r="BI32" s="1923" t="str">
        <f t="shared" si="27"/>
        <v>ND</v>
      </c>
      <c r="BJ32" s="1923" t="str">
        <f t="shared" si="28"/>
        <v>ND</v>
      </c>
      <c r="BK32" s="1923" t="str">
        <f>IF(BJ32="ND", "ND", IF(BJ32&gt;0, 'TRAD-Calculs Péremption FA'!$B$73, "OK"))</f>
        <v>ND</v>
      </c>
      <c r="BL32" s="1924" t="str">
        <f t="shared" si="6"/>
        <v>ND</v>
      </c>
      <c r="BM32" s="1919">
        <f>'Saisie données stocks'!AC44</f>
        <v>0</v>
      </c>
      <c r="BN32" s="1920">
        <f>'Saisie données stocks'!AD44</f>
        <v>0</v>
      </c>
      <c r="BO32" s="1923">
        <f t="shared" si="29"/>
        <v>0</v>
      </c>
      <c r="BP32" s="1923" t="str">
        <f>IF(AND(BM32=0, BN32=0), "ND", IF((BM32-Paramétrage!$H$19)&gt;0, (BM32-Paramétrage!$H$19)/(365/12), "Date non renseignée ou produit périmé"))</f>
        <v>ND</v>
      </c>
      <c r="BQ32" s="1923" t="str">
        <f t="shared" si="30"/>
        <v>ND</v>
      </c>
      <c r="BR32" s="1923" t="str">
        <f t="shared" si="31"/>
        <v>ND</v>
      </c>
      <c r="BS32" s="1923" t="str">
        <f>IF(BR32="ND", "ND", IF(BR32&gt;0, 'TRAD-Calculs Péremption FA'!$B$73, "OK"))</f>
        <v>ND</v>
      </c>
      <c r="BT32" s="1924" t="str">
        <f t="shared" si="7"/>
        <v>ND</v>
      </c>
      <c r="BU32" s="1925">
        <f>IF('Saisie données stocks'!$O$10='TRAD-Saisie données stocks'!$B$51, IF(P32="OK", IF(AND(BR32&gt;0, ISNUMBER(BR32)), (BO32-BR32), (BO32)), O32), O32)</f>
        <v>0</v>
      </c>
      <c r="BV32" s="1925">
        <f t="shared" si="8"/>
        <v>0</v>
      </c>
      <c r="BW32" s="2045" t="str">
        <f t="shared" si="32"/>
        <v/>
      </c>
      <c r="BX32" s="2045">
        <f>IF('Saisie données stocks'!$O$10='TRAD-Saisie données stocks'!$B$51, IF('Calculs Péremption FA'!P32="OK", IF(BU32=O32, MAX(Paramétrage!$H$19+('Saisie données stocks'!$N$14*(365/12)), BM32, BE32, AW32, AO32, AG32, Y32, R32), BW32), Paramétrage!$H$19+('Saisie données stocks'!$N$14*(365/12))), Paramétrage!$H$19+('Saisie données stocks'!$N$14*(365/12)))</f>
        <v>42101.5</v>
      </c>
      <c r="BY32" s="2046">
        <f t="shared" si="9"/>
        <v>7</v>
      </c>
      <c r="BZ32" s="2046">
        <f t="shared" si="10"/>
        <v>4</v>
      </c>
      <c r="CA32" s="2046">
        <f t="shared" si="11"/>
        <v>2015</v>
      </c>
      <c r="CB32" s="2046">
        <f>IF(BX32="", "", (BX32-Paramétrage!$H$19)/(365/12))</f>
        <v>6</v>
      </c>
      <c r="CC32" s="2043" t="str">
        <f>IF(CB32='Saisie données stocks'!N$14, 'TRAD-Calculs Péremption FA'!$B$74, CONCATENATE("DLU - ", BY32, "/", BZ32, "/", CA32))</f>
        <v>Durée de vie max</v>
      </c>
    </row>
    <row r="33" spans="2:81" ht="26.25" thickBot="1" x14ac:dyDescent="0.25">
      <c r="B33" s="374"/>
      <c r="C33" s="375"/>
      <c r="D33" s="1669" t="s">
        <v>82</v>
      </c>
      <c r="E33" s="1670" t="str">
        <f>'TRAD-Calculs Péremption FA'!B9</f>
        <v>Cp</v>
      </c>
      <c r="F33" s="1815" t="s">
        <v>222</v>
      </c>
      <c r="G33" s="377" t="s">
        <v>627</v>
      </c>
      <c r="H33" s="379" t="str">
        <f t="shared" si="12"/>
        <v>D4T - 30 mg</v>
      </c>
      <c r="I33" s="114">
        <v>60</v>
      </c>
      <c r="J33" s="657"/>
      <c r="K33" s="756">
        <f>IF('TdB Péremptions'!$H$9="X", 'Prix 10-2011 GPRM $'!$O$39, IF('TdB Péremptions'!$H$10="X", 'Prix 10-2011 GPRM $'!$Q$39, IF('TdB Péremptions'!$H$11="X", 'Prix VPP 102012 convert'!$O$39, IF('TdB Péremptions'!$H$12="X", 'Prix VPP 102012 convert'!$Q$39, IF('TdB Péremptions'!$H$13="X", 'Prix spécifiques'!$J$33, 0)))))</f>
        <v>1.5649999999999999</v>
      </c>
      <c r="L33" s="756">
        <f>(1+'TdB Péremptions'!$H$14)*K33</f>
        <v>1.7215</v>
      </c>
      <c r="M33" s="1916">
        <f>Calculs!L343</f>
        <v>0</v>
      </c>
      <c r="N33" s="1916">
        <f>Calculs!N343</f>
        <v>0</v>
      </c>
      <c r="O33" s="1916">
        <f>'Saisie données stocks'!N45</f>
        <v>0</v>
      </c>
      <c r="P33" s="1917" t="str">
        <f>IF(SUM('Saisie données stocks'!R45+'Saisie données stocks'!T45+'Saisie données stocks'!V45+'Saisie données stocks'!X45+'Saisie données stocks'!Z45+'Saisie données stocks'!AB45+'Saisie données stocks'!AD45)='Calculs Péremption conso'!O33,  "OK", 'TRAD-Calculs Péremption FA'!$B$75)</f>
        <v>OK</v>
      </c>
      <c r="Q33" s="1918" t="str">
        <f>IF(AND(O33&gt;0, Calculs!L343=0, Calculs!N343=0), 'TRAD-Calculs Péremption FA'!$B$76, "")</f>
        <v/>
      </c>
      <c r="R33" s="1919">
        <f>'Saisie données stocks'!Q45</f>
        <v>0</v>
      </c>
      <c r="S33" s="1920">
        <f>'Saisie données stocks'!R45</f>
        <v>0</v>
      </c>
      <c r="T33" s="1921" t="str">
        <f>IF(AND(R33=0, S33=0), "ND", IF((R33-Paramétrage!$H$19)&gt;0, (R33-Paramétrage!$H$19)/(365/12), "Date non renseignée ou produit périmé"))</f>
        <v>ND</v>
      </c>
      <c r="U33" s="1922" t="str">
        <f t="shared" si="13"/>
        <v>ND</v>
      </c>
      <c r="V33" s="1922" t="str">
        <f t="shared" si="0"/>
        <v>ND</v>
      </c>
      <c r="W33" s="1921" t="str">
        <f>IF(V33="ND", "ND", IF(V33&gt;0, 'TRAD-Calculs Péremption FA'!$B$73, "OK"))</f>
        <v>ND</v>
      </c>
      <c r="X33" s="1924" t="str">
        <f t="shared" si="1"/>
        <v>ND</v>
      </c>
      <c r="Y33" s="1919">
        <f>'Saisie données stocks'!S45</f>
        <v>0</v>
      </c>
      <c r="Z33" s="1920">
        <f>'Saisie données stocks'!T45</f>
        <v>0</v>
      </c>
      <c r="AA33" s="1923">
        <f t="shared" si="14"/>
        <v>0</v>
      </c>
      <c r="AB33" s="1923" t="str">
        <f>IF(AND(Y33=0, Z33=0), "ND", IF((Y33-Paramétrage!$H$19)&gt;0, (Y33-Paramétrage!$H$19)/(365/12), "Date non renseignée ou produit périmé"))</f>
        <v>ND</v>
      </c>
      <c r="AC33" s="1923" t="str">
        <f t="shared" si="15"/>
        <v>ND</v>
      </c>
      <c r="AD33" s="1923" t="str">
        <f t="shared" si="16"/>
        <v>ND</v>
      </c>
      <c r="AE33" s="1921" t="str">
        <f>IF(AD33="ND", "ND", IF(AD33&gt;0, 'TRAD-Calculs Péremption FA'!$B$73, "OK"))</f>
        <v>ND</v>
      </c>
      <c r="AF33" s="1924" t="str">
        <f t="shared" si="2"/>
        <v>ND</v>
      </c>
      <c r="AG33" s="1919">
        <f>'Saisie données stocks'!U45</f>
        <v>0</v>
      </c>
      <c r="AH33" s="1920">
        <f>'Saisie données stocks'!V45</f>
        <v>0</v>
      </c>
      <c r="AI33" s="1923">
        <f t="shared" si="17"/>
        <v>0</v>
      </c>
      <c r="AJ33" s="1923" t="str">
        <f>IF(AND(AG33=0, AH33=0), "ND", IF((AG33-Paramétrage!$H$19)&gt;0, (AG33-Paramétrage!$H$19)/(365/12), "Date non renseignée ou produit périmé"))</f>
        <v>ND</v>
      </c>
      <c r="AK33" s="1923" t="str">
        <f t="shared" si="18"/>
        <v>ND</v>
      </c>
      <c r="AL33" s="1923" t="str">
        <f t="shared" si="19"/>
        <v>ND</v>
      </c>
      <c r="AM33" s="1923" t="str">
        <f>IF(AL33="ND", "ND", IF(AL33&gt;0, 'TRAD-Calculs Péremption FA'!$B$73, "OK"))</f>
        <v>ND</v>
      </c>
      <c r="AN33" s="1924" t="str">
        <f t="shared" si="3"/>
        <v>ND</v>
      </c>
      <c r="AO33" s="1919">
        <f>'Saisie données stocks'!W45</f>
        <v>0</v>
      </c>
      <c r="AP33" s="1920">
        <f>'Saisie données stocks'!X45</f>
        <v>0</v>
      </c>
      <c r="AQ33" s="1923">
        <f t="shared" si="20"/>
        <v>0</v>
      </c>
      <c r="AR33" s="1923" t="str">
        <f>IF(AND(AO33=0, AP33=0), "ND", IF((AO33-Paramétrage!$H$19)&gt;0, (AO33-Paramétrage!$H$19)/(365/12), "Date non renseignée ou produit périmé"))</f>
        <v>ND</v>
      </c>
      <c r="AS33" s="1923" t="str">
        <f t="shared" si="21"/>
        <v>ND</v>
      </c>
      <c r="AT33" s="1923" t="str">
        <f t="shared" si="22"/>
        <v>ND</v>
      </c>
      <c r="AU33" s="1923" t="str">
        <f>IF(AT33="ND", "ND", IF(AT33&gt;0, 'TRAD-Calculs Péremption FA'!$B$73, "OK"))</f>
        <v>ND</v>
      </c>
      <c r="AV33" s="1924" t="str">
        <f t="shared" si="4"/>
        <v>ND</v>
      </c>
      <c r="AW33" s="1919">
        <f>'Saisie données stocks'!Y45</f>
        <v>0</v>
      </c>
      <c r="AX33" s="1920">
        <f>'Saisie données stocks'!Z45</f>
        <v>0</v>
      </c>
      <c r="AY33" s="1923">
        <f t="shared" si="23"/>
        <v>0</v>
      </c>
      <c r="AZ33" s="1923" t="str">
        <f>IF(AND(AW33=0, AX33=0), "ND", IF((AW33-Paramétrage!$H$19)&gt;0, (AW33-Paramétrage!$H$19)/(365/12), "Date non renseignée ou produit périmé"))</f>
        <v>ND</v>
      </c>
      <c r="BA33" s="1923" t="str">
        <f t="shared" si="24"/>
        <v>ND</v>
      </c>
      <c r="BB33" s="1923" t="str">
        <f t="shared" si="25"/>
        <v>ND</v>
      </c>
      <c r="BC33" s="1923" t="str">
        <f>IF(BB33="ND", "ND", IF(BB33&gt;0, 'TRAD-Calculs Péremption FA'!$B$73, "OK"))</f>
        <v>ND</v>
      </c>
      <c r="BD33" s="1924" t="str">
        <f t="shared" si="5"/>
        <v>ND</v>
      </c>
      <c r="BE33" s="1919">
        <f>'Saisie données stocks'!AA45</f>
        <v>0</v>
      </c>
      <c r="BF33" s="1920">
        <f>'Saisie données stocks'!AB45</f>
        <v>0</v>
      </c>
      <c r="BG33" s="1923">
        <f t="shared" si="26"/>
        <v>0</v>
      </c>
      <c r="BH33" s="1923" t="str">
        <f>IF(AND(BE33=0, BF33=0), "ND", IF((BE33-Paramétrage!$H$19)&gt;0, (BE33-Paramétrage!$H$19)/(365/12), "Date non renseignée ou produit périmé"))</f>
        <v>ND</v>
      </c>
      <c r="BI33" s="1923" t="str">
        <f t="shared" si="27"/>
        <v>ND</v>
      </c>
      <c r="BJ33" s="1923" t="str">
        <f t="shared" si="28"/>
        <v>ND</v>
      </c>
      <c r="BK33" s="1923" t="str">
        <f>IF(BJ33="ND", "ND", IF(BJ33&gt;0, 'TRAD-Calculs Péremption FA'!$B$73, "OK"))</f>
        <v>ND</v>
      </c>
      <c r="BL33" s="1924" t="str">
        <f t="shared" si="6"/>
        <v>ND</v>
      </c>
      <c r="BM33" s="1919">
        <f>'Saisie données stocks'!AC45</f>
        <v>0</v>
      </c>
      <c r="BN33" s="1920">
        <f>'Saisie données stocks'!AD45</f>
        <v>0</v>
      </c>
      <c r="BO33" s="1923">
        <f t="shared" si="29"/>
        <v>0</v>
      </c>
      <c r="BP33" s="1923" t="str">
        <f>IF(AND(BM33=0, BN33=0), "ND", IF((BM33-Paramétrage!$H$19)&gt;0, (BM33-Paramétrage!$H$19)/(365/12), "Date non renseignée ou produit périmé"))</f>
        <v>ND</v>
      </c>
      <c r="BQ33" s="1923" t="str">
        <f t="shared" si="30"/>
        <v>ND</v>
      </c>
      <c r="BR33" s="1923" t="str">
        <f t="shared" si="31"/>
        <v>ND</v>
      </c>
      <c r="BS33" s="1923" t="str">
        <f>IF(BR33="ND", "ND", IF(BR33&gt;0, 'TRAD-Calculs Péremption FA'!$B$73, "OK"))</f>
        <v>ND</v>
      </c>
      <c r="BT33" s="1924" t="str">
        <f t="shared" si="7"/>
        <v>ND</v>
      </c>
      <c r="BU33" s="1925">
        <f>IF('Saisie données stocks'!$O$10='TRAD-Saisie données stocks'!$B$51, IF(P33="OK", IF(AND(BR33&gt;0, ISNUMBER(BR33)), (BO33-BR33), (BO33)), O33), O33)</f>
        <v>0</v>
      </c>
      <c r="BV33" s="1925">
        <f t="shared" si="8"/>
        <v>0</v>
      </c>
      <c r="BW33" s="2045" t="str">
        <f t="shared" si="32"/>
        <v/>
      </c>
      <c r="BX33" s="2045">
        <f>IF('Saisie données stocks'!$O$10='TRAD-Saisie données stocks'!$B$51, IF('Calculs Péremption FA'!P33="OK", IF(BU33=O33, MAX(Paramétrage!$H$19+('Saisie données stocks'!$N$14*(365/12)), BM33, BE33, AW33, AO33, AG33, Y33, R33), BW33), Paramétrage!$H$19+('Saisie données stocks'!$N$14*(365/12))), Paramétrage!$H$19+('Saisie données stocks'!$N$14*(365/12)))</f>
        <v>42101.5</v>
      </c>
      <c r="BY33" s="2046">
        <f t="shared" si="9"/>
        <v>7</v>
      </c>
      <c r="BZ33" s="2046">
        <f t="shared" si="10"/>
        <v>4</v>
      </c>
      <c r="CA33" s="2046">
        <f t="shared" si="11"/>
        <v>2015</v>
      </c>
      <c r="CB33" s="2046">
        <f>IF(BX33="", "", (BX33-Paramétrage!$H$19)/(365/12))</f>
        <v>6</v>
      </c>
      <c r="CC33" s="2043" t="str">
        <f>IF(CB33='Saisie données stocks'!N$14, 'TRAD-Calculs Péremption FA'!$B$74, CONCATENATE("DLU - ", BY33, "/", BZ33, "/", CA33))</f>
        <v>Durée de vie max</v>
      </c>
    </row>
    <row r="34" spans="2:81" ht="26.25" thickBot="1" x14ac:dyDescent="0.25">
      <c r="B34" s="374"/>
      <c r="C34" s="375"/>
      <c r="D34" s="1669" t="s">
        <v>34</v>
      </c>
      <c r="E34" s="1670" t="str">
        <f>'TRAD-Calculs Péremption FA'!B9</f>
        <v>Cp</v>
      </c>
      <c r="F34" s="1815" t="s">
        <v>35</v>
      </c>
      <c r="G34" s="377" t="s">
        <v>628</v>
      </c>
      <c r="H34" s="379" t="str">
        <f t="shared" si="12"/>
        <v>3TC - 150 mg</v>
      </c>
      <c r="I34" s="114">
        <v>60</v>
      </c>
      <c r="J34" s="657"/>
      <c r="K34" s="756">
        <f>IF('TdB Péremptions'!$H$9="X", 'Prix 10-2011 GPRM $'!$O$40, IF('TdB Péremptions'!$H$10="X", 'Prix 10-2011 GPRM $'!$Q$40, IF('TdB Péremptions'!$H$11="X", 'Prix VPP 102012 convert'!$O$40, IF('TdB Péremptions'!$H$12="X", 'Prix VPP 102012 convert'!$Q$40,IF('TdB Péremptions'!$H$13="X", 'Prix spécifiques'!$J$34, 0)))))</f>
        <v>2.2650000000000001</v>
      </c>
      <c r="L34" s="756">
        <f>(1+'TdB Péremptions'!$H$14)*K34</f>
        <v>2.4915000000000003</v>
      </c>
      <c r="M34" s="1916">
        <f>Calculs!L344</f>
        <v>0</v>
      </c>
      <c r="N34" s="1916">
        <f>Calculs!N344</f>
        <v>0</v>
      </c>
      <c r="O34" s="1916">
        <f>'Saisie données stocks'!N46</f>
        <v>0</v>
      </c>
      <c r="P34" s="2539" t="str">
        <f>IF(SUM('Saisie données stocks'!R46+'Saisie données stocks'!T46+'Saisie données stocks'!V46+'Saisie données stocks'!X46+'Saisie données stocks'!Z46+'Saisie données stocks'!AB46+'Saisie données stocks'!AD46)='Calculs Péremption conso'!O34,  "OK", 'TRAD-Calculs Péremption FA'!$B$75)</f>
        <v>OK</v>
      </c>
      <c r="Q34" s="1918" t="str">
        <f>IF(AND(O34&gt;0, Calculs!L344=0, Calculs!N344=0), 'TRAD-Calculs Péremption FA'!$B$76, "")</f>
        <v/>
      </c>
      <c r="R34" s="1919">
        <f>'Saisie données stocks'!Q46</f>
        <v>0</v>
      </c>
      <c r="S34" s="1920">
        <f>'Saisie données stocks'!R46</f>
        <v>0</v>
      </c>
      <c r="T34" s="1921" t="str">
        <f>IF(AND(R34=0, S34=0), "ND", IF((R34-Paramétrage!$H$19)&gt;0, (R34-Paramétrage!$H$19)/(365/12), "Date non renseignée ou produit périmé"))</f>
        <v>ND</v>
      </c>
      <c r="U34" s="1922" t="str">
        <f t="shared" si="13"/>
        <v>ND</v>
      </c>
      <c r="V34" s="1922" t="str">
        <f t="shared" si="0"/>
        <v>ND</v>
      </c>
      <c r="W34" s="1921" t="str">
        <f>IF(V34="ND", "ND", IF(V34&gt;0, 'TRAD-Calculs Péremption FA'!$B$73, "OK"))</f>
        <v>ND</v>
      </c>
      <c r="X34" s="1924" t="str">
        <f t="shared" si="1"/>
        <v>ND</v>
      </c>
      <c r="Y34" s="1919">
        <f>'Saisie données stocks'!S46</f>
        <v>0</v>
      </c>
      <c r="Z34" s="1920">
        <f>'Saisie données stocks'!T46</f>
        <v>0</v>
      </c>
      <c r="AA34" s="1923">
        <f t="shared" si="14"/>
        <v>0</v>
      </c>
      <c r="AB34" s="1923" t="str">
        <f>IF(AND(Y34=0, Z34=0), "ND", IF((Y34-Paramétrage!$H$19)&gt;0, (Y34-Paramétrage!$H$19)/(365/12), "Date non renseignée ou produit périmé"))</f>
        <v>ND</v>
      </c>
      <c r="AC34" s="1923" t="str">
        <f t="shared" si="15"/>
        <v>ND</v>
      </c>
      <c r="AD34" s="1923" t="str">
        <f t="shared" si="16"/>
        <v>ND</v>
      </c>
      <c r="AE34" s="1921" t="str">
        <f>IF(AD34="ND", "ND", IF(AD34&gt;0, 'TRAD-Calculs Péremption FA'!$B$73, "OK"))</f>
        <v>ND</v>
      </c>
      <c r="AF34" s="1924" t="str">
        <f t="shared" si="2"/>
        <v>ND</v>
      </c>
      <c r="AG34" s="1919">
        <f>'Saisie données stocks'!U46</f>
        <v>0</v>
      </c>
      <c r="AH34" s="1920">
        <f>'Saisie données stocks'!V46</f>
        <v>0</v>
      </c>
      <c r="AI34" s="1923">
        <f t="shared" si="17"/>
        <v>0</v>
      </c>
      <c r="AJ34" s="1923" t="str">
        <f>IF(AND(AG34=0, AH34=0), "ND", IF((AG34-Paramétrage!$H$19)&gt;0, (AG34-Paramétrage!$H$19)/(365/12), "Date non renseignée ou produit périmé"))</f>
        <v>ND</v>
      </c>
      <c r="AK34" s="1923" t="str">
        <f t="shared" si="18"/>
        <v>ND</v>
      </c>
      <c r="AL34" s="1923" t="str">
        <f t="shared" si="19"/>
        <v>ND</v>
      </c>
      <c r="AM34" s="1923" t="str">
        <f>IF(AL34="ND", "ND", IF(AL34&gt;0, 'TRAD-Calculs Péremption FA'!$B$73, "OK"))</f>
        <v>ND</v>
      </c>
      <c r="AN34" s="1924" t="str">
        <f t="shared" si="3"/>
        <v>ND</v>
      </c>
      <c r="AO34" s="1919">
        <f>'Saisie données stocks'!W46</f>
        <v>0</v>
      </c>
      <c r="AP34" s="1920">
        <f>'Saisie données stocks'!X46</f>
        <v>0</v>
      </c>
      <c r="AQ34" s="1923">
        <f t="shared" si="20"/>
        <v>0</v>
      </c>
      <c r="AR34" s="1923" t="str">
        <f>IF(AND(AO34=0, AP34=0), "ND", IF((AO34-Paramétrage!$H$19)&gt;0, (AO34-Paramétrage!$H$19)/(365/12), "Date non renseignée ou produit périmé"))</f>
        <v>ND</v>
      </c>
      <c r="AS34" s="1923" t="str">
        <f t="shared" si="21"/>
        <v>ND</v>
      </c>
      <c r="AT34" s="1923" t="str">
        <f t="shared" si="22"/>
        <v>ND</v>
      </c>
      <c r="AU34" s="1923" t="str">
        <f>IF(AT34="ND", "ND", IF(AT34&gt;0, 'TRAD-Calculs Péremption FA'!$B$73, "OK"))</f>
        <v>ND</v>
      </c>
      <c r="AV34" s="1924" t="str">
        <f t="shared" si="4"/>
        <v>ND</v>
      </c>
      <c r="AW34" s="1919">
        <f>'Saisie données stocks'!Y46</f>
        <v>0</v>
      </c>
      <c r="AX34" s="1920">
        <f>'Saisie données stocks'!Z46</f>
        <v>0</v>
      </c>
      <c r="AY34" s="1923">
        <f t="shared" si="23"/>
        <v>0</v>
      </c>
      <c r="AZ34" s="1923" t="str">
        <f>IF(AND(AW34=0, AX34=0), "ND", IF((AW34-Paramétrage!$H$19)&gt;0, (AW34-Paramétrage!$H$19)/(365/12), "Date non renseignée ou produit périmé"))</f>
        <v>ND</v>
      </c>
      <c r="BA34" s="1923" t="str">
        <f t="shared" si="24"/>
        <v>ND</v>
      </c>
      <c r="BB34" s="1923" t="str">
        <f t="shared" si="25"/>
        <v>ND</v>
      </c>
      <c r="BC34" s="1923" t="str">
        <f>IF(BB34="ND", "ND", IF(BB34&gt;0, 'TRAD-Calculs Péremption FA'!$B$73, "OK"))</f>
        <v>ND</v>
      </c>
      <c r="BD34" s="1924" t="str">
        <f t="shared" si="5"/>
        <v>ND</v>
      </c>
      <c r="BE34" s="1919">
        <f>'Saisie données stocks'!AA46</f>
        <v>0</v>
      </c>
      <c r="BF34" s="1920">
        <f>'Saisie données stocks'!AB46</f>
        <v>0</v>
      </c>
      <c r="BG34" s="1923">
        <f t="shared" si="26"/>
        <v>0</v>
      </c>
      <c r="BH34" s="1923" t="str">
        <f>IF(AND(BE34=0, BF34=0), "ND", IF((BE34-Paramétrage!$H$19)&gt;0, (BE34-Paramétrage!$H$19)/(365/12), "Date non renseignée ou produit périmé"))</f>
        <v>ND</v>
      </c>
      <c r="BI34" s="1923" t="str">
        <f t="shared" si="27"/>
        <v>ND</v>
      </c>
      <c r="BJ34" s="1923" t="str">
        <f t="shared" si="28"/>
        <v>ND</v>
      </c>
      <c r="BK34" s="1923" t="str">
        <f>IF(BJ34="ND", "ND", IF(BJ34&gt;0, 'TRAD-Calculs Péremption FA'!$B$73, "OK"))</f>
        <v>ND</v>
      </c>
      <c r="BL34" s="1924" t="str">
        <f t="shared" si="6"/>
        <v>ND</v>
      </c>
      <c r="BM34" s="1919">
        <f>'Saisie données stocks'!AC46</f>
        <v>0</v>
      </c>
      <c r="BN34" s="1920">
        <f>'Saisie données stocks'!AD46</f>
        <v>0</v>
      </c>
      <c r="BO34" s="1923">
        <f t="shared" si="29"/>
        <v>0</v>
      </c>
      <c r="BP34" s="1923" t="str">
        <f>IF(AND(BM34=0, BN34=0), "ND", IF((BM34-Paramétrage!$H$19)&gt;0, (BM34-Paramétrage!$H$19)/(365/12), "Date non renseignée ou produit périmé"))</f>
        <v>ND</v>
      </c>
      <c r="BQ34" s="1923" t="str">
        <f t="shared" si="30"/>
        <v>ND</v>
      </c>
      <c r="BR34" s="1923" t="str">
        <f t="shared" si="31"/>
        <v>ND</v>
      </c>
      <c r="BS34" s="1923" t="str">
        <f>IF(BR34="ND", "ND", IF(BR34&gt;0, 'TRAD-Calculs Péremption FA'!$B$73, "OK"))</f>
        <v>ND</v>
      </c>
      <c r="BT34" s="1924" t="str">
        <f t="shared" si="7"/>
        <v>ND</v>
      </c>
      <c r="BU34" s="1925">
        <f>IF('Saisie données stocks'!$O$10='TRAD-Saisie données stocks'!$B$51, IF(P34="OK", IF(AND(BR34&gt;0, ISNUMBER(BR34)), (BO34-BR34), (BO34)), O34), O34)</f>
        <v>0</v>
      </c>
      <c r="BV34" s="1925">
        <f t="shared" si="8"/>
        <v>0</v>
      </c>
      <c r="BW34" s="2045" t="str">
        <f t="shared" si="32"/>
        <v/>
      </c>
      <c r="BX34" s="2045">
        <f>IF('Saisie données stocks'!$O$10='TRAD-Saisie données stocks'!$B$51, IF('Calculs Péremption FA'!P34="OK", IF(BU34=O34, MAX(Paramétrage!$H$19+('Saisie données stocks'!$N$14*(365/12)), BM34, BE34, AW34, AO34, AG34, Y34, R34), BW34), Paramétrage!$H$19+('Saisie données stocks'!$N$14*(365/12))), Paramétrage!$H$19+('Saisie données stocks'!$N$14*(365/12)))</f>
        <v>42101.5</v>
      </c>
      <c r="BY34" s="2046">
        <f t="shared" si="9"/>
        <v>7</v>
      </c>
      <c r="BZ34" s="2046">
        <f t="shared" si="10"/>
        <v>4</v>
      </c>
      <c r="CA34" s="2046">
        <f t="shared" si="11"/>
        <v>2015</v>
      </c>
      <c r="CB34" s="2046">
        <f>IF(BX34="", "", (BX34-Paramétrage!$H$19)/(365/12))</f>
        <v>6</v>
      </c>
      <c r="CC34" s="2043" t="str">
        <f>IF(CB34='Saisie données stocks'!N$14, 'TRAD-Calculs Péremption FA'!$B$74, CONCATENATE("DLU - ", BY34, "/", BZ34, "/", CA34))</f>
        <v>Durée de vie max</v>
      </c>
    </row>
    <row r="35" spans="2:81" ht="26.25" thickBot="1" x14ac:dyDescent="0.25">
      <c r="B35" s="374"/>
      <c r="C35" s="375"/>
      <c r="D35" s="1669" t="s">
        <v>34</v>
      </c>
      <c r="E35" s="1670" t="str">
        <f>'TRAD-Calculs Péremption FA'!B9</f>
        <v>Cp</v>
      </c>
      <c r="F35" s="1815" t="s">
        <v>222</v>
      </c>
      <c r="G35" s="377" t="s">
        <v>628</v>
      </c>
      <c r="H35" s="379" t="str">
        <f t="shared" si="12"/>
        <v>3TC - 30 mg</v>
      </c>
      <c r="I35" s="114">
        <v>60</v>
      </c>
      <c r="J35" s="657"/>
      <c r="K35" s="756">
        <f>IF('TdB Péremptions'!$H$9="X", 'Prix 10-2011 GPRM $'!$O$132, IF('TdB Péremptions'!$H$10="X", 'Prix 10-2011 GPRM $'!$Q$132, IF('TdB Péremptions'!$H$11="X", 'Prix VPP 102012 convert'!$O$132, IF('TdB Péremptions'!$H$12="X", 'Prix VPP 102012 convert'!$Q$132, IF('TdB Péremptions'!$H$13="X", 'Prix spécifiques'!$J$35, 0)))))</f>
        <v>3.5342465753424657</v>
      </c>
      <c r="L35" s="756">
        <f>(1+'TdB Péremptions'!$H$14)*K35</f>
        <v>3.8876712328767127</v>
      </c>
      <c r="M35" s="1916">
        <f>Calculs!L345</f>
        <v>0</v>
      </c>
      <c r="N35" s="1916">
        <f>Calculs!N345</f>
        <v>0</v>
      </c>
      <c r="O35" s="1916">
        <f>'Saisie données stocks'!N47</f>
        <v>0</v>
      </c>
      <c r="P35" s="1917" t="str">
        <f>IF(SUM('Saisie données stocks'!R47+'Saisie données stocks'!T47+'Saisie données stocks'!V47+'Saisie données stocks'!X47+'Saisie données stocks'!Z47+'Saisie données stocks'!AB47+'Saisie données stocks'!AD47)='Calculs Péremption conso'!O35,  "OK", 'TRAD-Calculs Péremption FA'!$B$75)</f>
        <v>OK</v>
      </c>
      <c r="Q35" s="1918" t="str">
        <f>IF(AND(O35&gt;0, Calculs!L345=0, Calculs!N345=0), 'TRAD-Calculs Péremption FA'!$B$76, "")</f>
        <v/>
      </c>
      <c r="R35" s="1919">
        <f>'Saisie données stocks'!Q47</f>
        <v>0</v>
      </c>
      <c r="S35" s="1920">
        <f>'Saisie données stocks'!R47</f>
        <v>0</v>
      </c>
      <c r="T35" s="1921" t="str">
        <f>IF(AND(R35=0, S35=0), "ND", IF((R35-Paramétrage!$H$19)&gt;0, (R35-Paramétrage!$H$19)/(365/12), "Date non renseignée ou produit périmé"))</f>
        <v>ND</v>
      </c>
      <c r="U35" s="1922" t="str">
        <f t="shared" si="13"/>
        <v>ND</v>
      </c>
      <c r="V35" s="1922" t="str">
        <f t="shared" si="0"/>
        <v>ND</v>
      </c>
      <c r="W35" s="1921" t="str">
        <f>IF(V35="ND", "ND", IF(V35&gt;0, 'TRAD-Calculs Péremption FA'!$B$73, "OK"))</f>
        <v>ND</v>
      </c>
      <c r="X35" s="1924" t="str">
        <f t="shared" si="1"/>
        <v>ND</v>
      </c>
      <c r="Y35" s="1919">
        <f>'Saisie données stocks'!S47</f>
        <v>0</v>
      </c>
      <c r="Z35" s="1920">
        <f>'Saisie données stocks'!T47</f>
        <v>0</v>
      </c>
      <c r="AA35" s="1923">
        <f t="shared" si="14"/>
        <v>0</v>
      </c>
      <c r="AB35" s="1923" t="str">
        <f>IF(AND(Y35=0, Z35=0), "ND", IF((Y35-Paramétrage!$H$19)&gt;0, (Y35-Paramétrage!$H$19)/(365/12), "Date non renseignée ou produit périmé"))</f>
        <v>ND</v>
      </c>
      <c r="AC35" s="1923" t="str">
        <f t="shared" si="15"/>
        <v>ND</v>
      </c>
      <c r="AD35" s="1923" t="str">
        <f t="shared" si="16"/>
        <v>ND</v>
      </c>
      <c r="AE35" s="1921" t="str">
        <f>IF(AD35="ND", "ND", IF(AD35&gt;0, 'TRAD-Calculs Péremption FA'!$B$73, "OK"))</f>
        <v>ND</v>
      </c>
      <c r="AF35" s="1924" t="str">
        <f t="shared" si="2"/>
        <v>ND</v>
      </c>
      <c r="AG35" s="1919">
        <f>'Saisie données stocks'!U47</f>
        <v>0</v>
      </c>
      <c r="AH35" s="1920">
        <f>'Saisie données stocks'!V47</f>
        <v>0</v>
      </c>
      <c r="AI35" s="1923">
        <f t="shared" si="17"/>
        <v>0</v>
      </c>
      <c r="AJ35" s="1923" t="str">
        <f>IF(AND(AG35=0, AH35=0), "ND", IF((AG35-Paramétrage!$H$19)&gt;0, (AG35-Paramétrage!$H$19)/(365/12), "Date non renseignée ou produit périmé"))</f>
        <v>ND</v>
      </c>
      <c r="AK35" s="1923" t="str">
        <f t="shared" si="18"/>
        <v>ND</v>
      </c>
      <c r="AL35" s="1923" t="str">
        <f t="shared" si="19"/>
        <v>ND</v>
      </c>
      <c r="AM35" s="1923" t="str">
        <f>IF(AL35="ND", "ND", IF(AL35&gt;0, 'TRAD-Calculs Péremption FA'!$B$73, "OK"))</f>
        <v>ND</v>
      </c>
      <c r="AN35" s="1924" t="str">
        <f t="shared" si="3"/>
        <v>ND</v>
      </c>
      <c r="AO35" s="1919">
        <f>'Saisie données stocks'!W47</f>
        <v>0</v>
      </c>
      <c r="AP35" s="1920">
        <f>'Saisie données stocks'!X47</f>
        <v>0</v>
      </c>
      <c r="AQ35" s="1923">
        <f t="shared" si="20"/>
        <v>0</v>
      </c>
      <c r="AR35" s="1923" t="str">
        <f>IF(AND(AO35=0, AP35=0), "ND", IF((AO35-Paramétrage!$H$19)&gt;0, (AO35-Paramétrage!$H$19)/(365/12), "Date non renseignée ou produit périmé"))</f>
        <v>ND</v>
      </c>
      <c r="AS35" s="1923" t="str">
        <f t="shared" si="21"/>
        <v>ND</v>
      </c>
      <c r="AT35" s="1923" t="str">
        <f t="shared" si="22"/>
        <v>ND</v>
      </c>
      <c r="AU35" s="1923" t="str">
        <f>IF(AT35="ND", "ND", IF(AT35&gt;0, 'TRAD-Calculs Péremption FA'!$B$73, "OK"))</f>
        <v>ND</v>
      </c>
      <c r="AV35" s="1924" t="str">
        <f t="shared" si="4"/>
        <v>ND</v>
      </c>
      <c r="AW35" s="1919">
        <f>'Saisie données stocks'!Y47</f>
        <v>0</v>
      </c>
      <c r="AX35" s="1920">
        <f>'Saisie données stocks'!Z47</f>
        <v>0</v>
      </c>
      <c r="AY35" s="1923">
        <f t="shared" si="23"/>
        <v>0</v>
      </c>
      <c r="AZ35" s="1923" t="str">
        <f>IF(AND(AW35=0, AX35=0), "ND", IF((AW35-Paramétrage!$H$19)&gt;0, (AW35-Paramétrage!$H$19)/(365/12), "Date non renseignée ou produit périmé"))</f>
        <v>ND</v>
      </c>
      <c r="BA35" s="1923" t="str">
        <f t="shared" si="24"/>
        <v>ND</v>
      </c>
      <c r="BB35" s="1923" t="str">
        <f t="shared" si="25"/>
        <v>ND</v>
      </c>
      <c r="BC35" s="1923" t="str">
        <f>IF(BB35="ND", "ND", IF(BB35&gt;0, 'TRAD-Calculs Péremption FA'!$B$73, "OK"))</f>
        <v>ND</v>
      </c>
      <c r="BD35" s="1924" t="str">
        <f t="shared" si="5"/>
        <v>ND</v>
      </c>
      <c r="BE35" s="1919">
        <f>'Saisie données stocks'!AA47</f>
        <v>0</v>
      </c>
      <c r="BF35" s="1920">
        <f>'Saisie données stocks'!AB47</f>
        <v>0</v>
      </c>
      <c r="BG35" s="1923">
        <f t="shared" si="26"/>
        <v>0</v>
      </c>
      <c r="BH35" s="1923" t="str">
        <f>IF(AND(BE35=0, BF35=0), "ND", IF((BE35-Paramétrage!$H$19)&gt;0, (BE35-Paramétrage!$H$19)/(365/12), "Date non renseignée ou produit périmé"))</f>
        <v>ND</v>
      </c>
      <c r="BI35" s="1923" t="str">
        <f t="shared" si="27"/>
        <v>ND</v>
      </c>
      <c r="BJ35" s="1923" t="str">
        <f t="shared" si="28"/>
        <v>ND</v>
      </c>
      <c r="BK35" s="1923" t="str">
        <f>IF(BJ35="ND", "ND", IF(BJ35&gt;0, 'TRAD-Calculs Péremption FA'!$B$73, "OK"))</f>
        <v>ND</v>
      </c>
      <c r="BL35" s="1924" t="str">
        <f t="shared" si="6"/>
        <v>ND</v>
      </c>
      <c r="BM35" s="1919">
        <f>'Saisie données stocks'!AC47</f>
        <v>0</v>
      </c>
      <c r="BN35" s="1920">
        <f>'Saisie données stocks'!AD47</f>
        <v>0</v>
      </c>
      <c r="BO35" s="1923">
        <f t="shared" si="29"/>
        <v>0</v>
      </c>
      <c r="BP35" s="1923" t="str">
        <f>IF(AND(BM35=0, BN35=0), "ND", IF((BM35-Paramétrage!$H$19)&gt;0, (BM35-Paramétrage!$H$19)/(365/12), "Date non renseignée ou produit périmé"))</f>
        <v>ND</v>
      </c>
      <c r="BQ35" s="1923" t="str">
        <f t="shared" si="30"/>
        <v>ND</v>
      </c>
      <c r="BR35" s="1923" t="str">
        <f t="shared" si="31"/>
        <v>ND</v>
      </c>
      <c r="BS35" s="1923" t="str">
        <f>IF(BR35="ND", "ND", IF(BR35&gt;0, 'TRAD-Calculs Péremption FA'!$B$73, "OK"))</f>
        <v>ND</v>
      </c>
      <c r="BT35" s="1924" t="str">
        <f t="shared" si="7"/>
        <v>ND</v>
      </c>
      <c r="BU35" s="1925">
        <f>IF('Saisie données stocks'!$O$10='TRAD-Saisie données stocks'!$B$51, IF(P35="OK", IF(AND(BR35&gt;0, ISNUMBER(BR35)), (BO35-BR35), (BO35)), O35), O35)</f>
        <v>0</v>
      </c>
      <c r="BV35" s="1925">
        <f t="shared" si="8"/>
        <v>0</v>
      </c>
      <c r="BW35" s="2045" t="str">
        <f t="shared" si="32"/>
        <v/>
      </c>
      <c r="BX35" s="2045">
        <f>IF('Saisie données stocks'!$O$10='TRAD-Saisie données stocks'!$B$51, IF('Calculs Péremption FA'!P35="OK", IF(BU35=O35, MAX(Paramétrage!$H$19+('Saisie données stocks'!$N$14*(365/12)), BM35, BE35, AW35, AO35, AG35, Y35, R35), BW35), Paramétrage!$H$19+('Saisie données stocks'!$N$14*(365/12))), Paramétrage!$H$19+('Saisie données stocks'!$N$14*(365/12)))</f>
        <v>42101.5</v>
      </c>
      <c r="BY35" s="2046">
        <f t="shared" si="9"/>
        <v>7</v>
      </c>
      <c r="BZ35" s="2046">
        <f t="shared" si="10"/>
        <v>4</v>
      </c>
      <c r="CA35" s="2046">
        <f t="shared" si="11"/>
        <v>2015</v>
      </c>
      <c r="CB35" s="2046">
        <f>IF(BX35="", "", (BX35-Paramétrage!$H$19)/(365/12))</f>
        <v>6</v>
      </c>
      <c r="CC35" s="2043" t="str">
        <f>IF(CB35='Saisie données stocks'!N$14, 'TRAD-Calculs Péremption FA'!$B$74, CONCATENATE("DLU - ", BY35, "/", BZ35, "/", CA35))</f>
        <v>Durée de vie max</v>
      </c>
    </row>
    <row r="36" spans="2:81" ht="26.25" thickBot="1" x14ac:dyDescent="0.25">
      <c r="B36" s="374"/>
      <c r="C36" s="375"/>
      <c r="D36" s="1926" t="s">
        <v>37</v>
      </c>
      <c r="E36" s="1815" t="str">
        <f>'TRAD-Calculs Péremption FA'!B9</f>
        <v>Cp</v>
      </c>
      <c r="F36" s="1815" t="s">
        <v>38</v>
      </c>
      <c r="G36" s="1208" t="s">
        <v>629</v>
      </c>
      <c r="H36" s="1720" t="str">
        <f t="shared" si="12"/>
        <v>DDI - 250 mg</v>
      </c>
      <c r="I36" s="1385">
        <v>30</v>
      </c>
      <c r="J36" s="1645"/>
      <c r="K36" s="1628">
        <f>IF('TdB Péremptions'!$H$9="X", 'Prix 10-2011 GPRM $'!$O$50, IF('TdB Péremptions'!$H$10="X", 'Prix 10-2011 GPRM $'!$Q$50, IF('TdB Péremptions'!$H$11="X", 'Prix VPP 102012 convert'!$O$50, IF('TdB Péremptions'!$H$12="X", 'Prix VPP 102012 convert'!$Q$50, IF('TdB Péremptions'!$H$13="X", 'Prix spécifiques'!$J$36, 0)))))</f>
        <v>13.57</v>
      </c>
      <c r="L36" s="1628">
        <f>(1+'TdB Péremptions'!$H$14)*K36</f>
        <v>14.927000000000001</v>
      </c>
      <c r="M36" s="1916">
        <f>Calculs!L346</f>
        <v>0</v>
      </c>
      <c r="N36" s="1916">
        <f>Calculs!N346</f>
        <v>0</v>
      </c>
      <c r="O36" s="1916">
        <f>'Saisie données stocks'!N48</f>
        <v>0</v>
      </c>
      <c r="P36" s="1917" t="str">
        <f>IF(SUM('Saisie données stocks'!R48+'Saisie données stocks'!T48+'Saisie données stocks'!V48+'Saisie données stocks'!X48+'Saisie données stocks'!Z48+'Saisie données stocks'!AB48+'Saisie données stocks'!AD48)='Calculs Péremption conso'!O36,  "OK", 'TRAD-Calculs Péremption FA'!$B$75)</f>
        <v>OK</v>
      </c>
      <c r="Q36" s="1918" t="str">
        <f>IF(AND(O36&gt;0, Calculs!L346=0, Calculs!N346=0), 'TRAD-Calculs Péremption FA'!$B$76, "")</f>
        <v/>
      </c>
      <c r="R36" s="1919">
        <f>'Saisie données stocks'!Q48</f>
        <v>0</v>
      </c>
      <c r="S36" s="1920">
        <f>'Saisie données stocks'!R48</f>
        <v>0</v>
      </c>
      <c r="T36" s="1921" t="str">
        <f>IF(AND(R36=0, S36=0), "ND", IF((R36-Paramétrage!$H$19)&gt;0, (R36-Paramétrage!$H$19)/(365/12), "Date non renseignée ou produit périmé"))</f>
        <v>ND</v>
      </c>
      <c r="U36" s="1922" t="str">
        <f t="shared" si="13"/>
        <v>ND</v>
      </c>
      <c r="V36" s="1922" t="str">
        <f t="shared" si="0"/>
        <v>ND</v>
      </c>
      <c r="W36" s="1921" t="str">
        <f>IF(V36="ND", "ND", IF(V36&gt;0, 'TRAD-Calculs Péremption FA'!$B$73, "OK"))</f>
        <v>ND</v>
      </c>
      <c r="X36" s="1924" t="str">
        <f t="shared" si="1"/>
        <v>ND</v>
      </c>
      <c r="Y36" s="1919">
        <f>'Saisie données stocks'!S48</f>
        <v>0</v>
      </c>
      <c r="Z36" s="1920">
        <f>'Saisie données stocks'!T48</f>
        <v>0</v>
      </c>
      <c r="AA36" s="1923">
        <f t="shared" si="14"/>
        <v>0</v>
      </c>
      <c r="AB36" s="1923" t="str">
        <f>IF(AND(Y36=0, Z36=0), "ND", IF((Y36-Paramétrage!$H$19)&gt;0, (Y36-Paramétrage!$H$19)/(365/12), "Date non renseignée ou produit périmé"))</f>
        <v>ND</v>
      </c>
      <c r="AC36" s="1923" t="str">
        <f t="shared" si="15"/>
        <v>ND</v>
      </c>
      <c r="AD36" s="1923" t="str">
        <f t="shared" si="16"/>
        <v>ND</v>
      </c>
      <c r="AE36" s="1921" t="str">
        <f>IF(AD36="ND", "ND", IF(AD36&gt;0, 'TRAD-Calculs Péremption FA'!$B$73, "OK"))</f>
        <v>ND</v>
      </c>
      <c r="AF36" s="1924" t="str">
        <f t="shared" si="2"/>
        <v>ND</v>
      </c>
      <c r="AG36" s="1919">
        <f>'Saisie données stocks'!U48</f>
        <v>0</v>
      </c>
      <c r="AH36" s="1920">
        <f>'Saisie données stocks'!V48</f>
        <v>0</v>
      </c>
      <c r="AI36" s="1923">
        <f t="shared" si="17"/>
        <v>0</v>
      </c>
      <c r="AJ36" s="1923" t="str">
        <f>IF(AND(AG36=0, AH36=0), "ND", IF((AG36-Paramétrage!$H$19)&gt;0, (AG36-Paramétrage!$H$19)/(365/12), "Date non renseignée ou produit périmé"))</f>
        <v>ND</v>
      </c>
      <c r="AK36" s="1923" t="str">
        <f t="shared" si="18"/>
        <v>ND</v>
      </c>
      <c r="AL36" s="1923" t="str">
        <f t="shared" si="19"/>
        <v>ND</v>
      </c>
      <c r="AM36" s="1923" t="str">
        <f>IF(AL36="ND", "ND", IF(AL36&gt;0, 'TRAD-Calculs Péremption FA'!$B$73, "OK"))</f>
        <v>ND</v>
      </c>
      <c r="AN36" s="1924" t="str">
        <f t="shared" si="3"/>
        <v>ND</v>
      </c>
      <c r="AO36" s="1919">
        <f>'Saisie données stocks'!W48</f>
        <v>0</v>
      </c>
      <c r="AP36" s="1920">
        <f>'Saisie données stocks'!X48</f>
        <v>0</v>
      </c>
      <c r="AQ36" s="1923">
        <f t="shared" si="20"/>
        <v>0</v>
      </c>
      <c r="AR36" s="1923" t="str">
        <f>IF(AND(AO36=0, AP36=0), "ND", IF((AO36-Paramétrage!$H$19)&gt;0, (AO36-Paramétrage!$H$19)/(365/12), "Date non renseignée ou produit périmé"))</f>
        <v>ND</v>
      </c>
      <c r="AS36" s="1923" t="str">
        <f t="shared" si="21"/>
        <v>ND</v>
      </c>
      <c r="AT36" s="1923" t="str">
        <f t="shared" si="22"/>
        <v>ND</v>
      </c>
      <c r="AU36" s="1923" t="str">
        <f>IF(AT36="ND", "ND", IF(AT36&gt;0, 'TRAD-Calculs Péremption FA'!$B$73, "OK"))</f>
        <v>ND</v>
      </c>
      <c r="AV36" s="1924" t="str">
        <f t="shared" si="4"/>
        <v>ND</v>
      </c>
      <c r="AW36" s="1919">
        <f>'Saisie données stocks'!Y48</f>
        <v>0</v>
      </c>
      <c r="AX36" s="1920">
        <f>'Saisie données stocks'!Z48</f>
        <v>0</v>
      </c>
      <c r="AY36" s="1923">
        <f t="shared" si="23"/>
        <v>0</v>
      </c>
      <c r="AZ36" s="1923" t="str">
        <f>IF(AND(AW36=0, AX36=0), "ND", IF((AW36-Paramétrage!$H$19)&gt;0, (AW36-Paramétrage!$H$19)/(365/12), "Date non renseignée ou produit périmé"))</f>
        <v>ND</v>
      </c>
      <c r="BA36" s="1923" t="str">
        <f t="shared" si="24"/>
        <v>ND</v>
      </c>
      <c r="BB36" s="1923" t="str">
        <f t="shared" si="25"/>
        <v>ND</v>
      </c>
      <c r="BC36" s="1923" t="str">
        <f>IF(BB36="ND", "ND", IF(BB36&gt;0, 'TRAD-Calculs Péremption FA'!$B$73, "OK"))</f>
        <v>ND</v>
      </c>
      <c r="BD36" s="1924" t="str">
        <f t="shared" si="5"/>
        <v>ND</v>
      </c>
      <c r="BE36" s="1919">
        <f>'Saisie données stocks'!AA48</f>
        <v>0</v>
      </c>
      <c r="BF36" s="1920">
        <f>'Saisie données stocks'!AB48</f>
        <v>0</v>
      </c>
      <c r="BG36" s="1923">
        <f t="shared" si="26"/>
        <v>0</v>
      </c>
      <c r="BH36" s="1923" t="str">
        <f>IF(AND(BE36=0, BF36=0), "ND", IF((BE36-Paramétrage!$H$19)&gt;0, (BE36-Paramétrage!$H$19)/(365/12), "Date non renseignée ou produit périmé"))</f>
        <v>ND</v>
      </c>
      <c r="BI36" s="1923" t="str">
        <f t="shared" si="27"/>
        <v>ND</v>
      </c>
      <c r="BJ36" s="1923" t="str">
        <f t="shared" si="28"/>
        <v>ND</v>
      </c>
      <c r="BK36" s="1923" t="str">
        <f>IF(BJ36="ND", "ND", IF(BJ36&gt;0, 'TRAD-Calculs Péremption FA'!$B$73, "OK"))</f>
        <v>ND</v>
      </c>
      <c r="BL36" s="1924" t="str">
        <f t="shared" si="6"/>
        <v>ND</v>
      </c>
      <c r="BM36" s="1919">
        <f>'Saisie données stocks'!AC48</f>
        <v>0</v>
      </c>
      <c r="BN36" s="1920">
        <f>'Saisie données stocks'!AD48</f>
        <v>0</v>
      </c>
      <c r="BO36" s="1923">
        <f t="shared" si="29"/>
        <v>0</v>
      </c>
      <c r="BP36" s="1923" t="str">
        <f>IF(AND(BM36=0, BN36=0), "ND", IF((BM36-Paramétrage!$H$19)&gt;0, (BM36-Paramétrage!$H$19)/(365/12), "Date non renseignée ou produit périmé"))</f>
        <v>ND</v>
      </c>
      <c r="BQ36" s="1923" t="str">
        <f t="shared" si="30"/>
        <v>ND</v>
      </c>
      <c r="BR36" s="1923" t="str">
        <f t="shared" si="31"/>
        <v>ND</v>
      </c>
      <c r="BS36" s="1923" t="str">
        <f>IF(BR36="ND", "ND", IF(BR36&gt;0, 'TRAD-Calculs Péremption FA'!$B$73, "OK"))</f>
        <v>ND</v>
      </c>
      <c r="BT36" s="1924" t="str">
        <f t="shared" si="7"/>
        <v>ND</v>
      </c>
      <c r="BU36" s="1925">
        <f>IF('Saisie données stocks'!$O$10='TRAD-Saisie données stocks'!$B$51, IF(P36="OK", IF(AND(BR36&gt;0, ISNUMBER(BR36)), (BO36-BR36), (BO36)), O36), O36)</f>
        <v>0</v>
      </c>
      <c r="BV36" s="1925">
        <f t="shared" si="8"/>
        <v>0</v>
      </c>
      <c r="BW36" s="2045" t="str">
        <f t="shared" si="32"/>
        <v/>
      </c>
      <c r="BX36" s="2045">
        <f>IF('Saisie données stocks'!$O$10='TRAD-Saisie données stocks'!$B$51, IF('Calculs Péremption FA'!P36="OK", IF(BU36=O36, MAX(Paramétrage!$H$19+('Saisie données stocks'!$N$14*(365/12)), BM36, BE36, AW36, AO36, AG36, Y36, R36), BW36), Paramétrage!$H$19+('Saisie données stocks'!$N$14*(365/12))), Paramétrage!$H$19+('Saisie données stocks'!$N$14*(365/12)))</f>
        <v>42101.5</v>
      </c>
      <c r="BY36" s="2046">
        <f t="shared" si="9"/>
        <v>7</v>
      </c>
      <c r="BZ36" s="2046">
        <f t="shared" si="10"/>
        <v>4</v>
      </c>
      <c r="CA36" s="2046">
        <f t="shared" si="11"/>
        <v>2015</v>
      </c>
      <c r="CB36" s="2046">
        <f>IF(BX36="", "", (BX36-Paramétrage!$H$19)/(365/12))</f>
        <v>6</v>
      </c>
      <c r="CC36" s="2043" t="str">
        <f>IF(CB36='Saisie données stocks'!N$14, 'TRAD-Calculs Péremption FA'!$B$74, CONCATENATE("DLU - ", BY36, "/", BZ36, "/", CA36))</f>
        <v>Durée de vie max</v>
      </c>
    </row>
    <row r="37" spans="2:81" ht="26.25" thickBot="1" x14ac:dyDescent="0.25">
      <c r="B37" s="374"/>
      <c r="C37" s="375"/>
      <c r="D37" s="1926" t="s">
        <v>37</v>
      </c>
      <c r="E37" s="1815" t="str">
        <f>'TRAD-Calculs Péremption FA'!B9</f>
        <v>Cp</v>
      </c>
      <c r="F37" s="1941" t="s">
        <v>39</v>
      </c>
      <c r="G37" s="1844" t="s">
        <v>629</v>
      </c>
      <c r="H37" s="1720" t="str">
        <f t="shared" si="12"/>
        <v>DDI - 400 mg</v>
      </c>
      <c r="I37" s="1386">
        <v>30</v>
      </c>
      <c r="J37" s="1646"/>
      <c r="K37" s="1647">
        <f>IF('TdB Péremptions'!$H$9="X", 'Prix 10-2011 GPRM $'!$O$51, IF('TdB Péremptions'!$H$10="X", 'Prix 10-2011 GPRM $'!$Q$51, IF('TdB Péremptions'!$H$11="X", 'Prix VPP 102012 convert'!$O$51, IF('TdB Péremptions'!$H$12="X", 'Prix VPP 102012 convert'!$Q$51, IF('TdB Péremptions'!$H$13="X", 'Prix spécifiques'!$J$37, 0)))))</f>
        <v>20.990000000000002</v>
      </c>
      <c r="L37" s="1647">
        <f>(1+'TdB Péremptions'!$H$14)*K37</f>
        <v>23.089000000000006</v>
      </c>
      <c r="M37" s="1916">
        <f>Calculs!L347</f>
        <v>2</v>
      </c>
      <c r="N37" s="1916">
        <f>Calculs!N347</f>
        <v>0</v>
      </c>
      <c r="O37" s="1916">
        <f>'Saisie données stocks'!N49</f>
        <v>956</v>
      </c>
      <c r="P37" s="1917" t="str">
        <f>IF(SUM('Saisie données stocks'!R49+'Saisie données stocks'!T49+'Saisie données stocks'!V49+'Saisie données stocks'!X49+'Saisie données stocks'!Z49+'Saisie données stocks'!AB49+'Saisie données stocks'!AD49)='Calculs Péremption conso'!O37,  "OK", 'TRAD-Calculs Péremption FA'!$B$75)</f>
        <v>OK</v>
      </c>
      <c r="Q37" s="1918" t="str">
        <f>IF(AND(O37&gt;0, Calculs!L347=0, Calculs!N347=0), 'TRAD-Calculs Péremption FA'!$B$76, "")</f>
        <v/>
      </c>
      <c r="R37" s="1919">
        <f>'Saisie données stocks'!Q49</f>
        <v>41974</v>
      </c>
      <c r="S37" s="1920">
        <f>'Saisie données stocks'!R49</f>
        <v>780</v>
      </c>
      <c r="T37" s="1921">
        <f>IF(AND(R37=0, S37=0), "ND", IF((R37-Paramétrage!$H$19)&gt;0, (R37-Paramétrage!$H$19)/(365/12), "Date non renseignée ou produit périmé"))</f>
        <v>1.8082191780821917</v>
      </c>
      <c r="U37" s="1922">
        <f t="shared" si="13"/>
        <v>3.6164383561643834</v>
      </c>
      <c r="V37" s="1922">
        <f t="shared" si="0"/>
        <v>776.38356164383561</v>
      </c>
      <c r="W37" s="1921" t="str">
        <f>IF(V37="ND", "ND", IF(V37&gt;0, 'TRAD-Calculs Péremption FA'!$B$73, "OK"))</f>
        <v>ATTENTION SURSTOCK et risque de péremption</v>
      </c>
      <c r="X37" s="1924">
        <f t="shared" si="1"/>
        <v>17925.920054794526</v>
      </c>
      <c r="Y37" s="1919">
        <f>'Saisie données stocks'!S49</f>
        <v>42095</v>
      </c>
      <c r="Z37" s="1920">
        <f>'Saisie données stocks'!T49</f>
        <v>126</v>
      </c>
      <c r="AA37" s="1923">
        <f t="shared" si="14"/>
        <v>129.61643835616439</v>
      </c>
      <c r="AB37" s="1923">
        <f>IF(AND(Y37=0, Z37=0), "ND", IF((Y37-Paramétrage!$H$19)&gt;0, (Y37-Paramétrage!$H$19)/(365/12), "Date non renseignée ou produit périmé"))</f>
        <v>5.7863013698630139</v>
      </c>
      <c r="AC37" s="1923">
        <f t="shared" si="15"/>
        <v>11.572602739726028</v>
      </c>
      <c r="AD37" s="1923">
        <f t="shared" si="16"/>
        <v>118.04383561643837</v>
      </c>
      <c r="AE37" s="1921" t="str">
        <f>IF(AD37="ND", "ND", IF(AD37&gt;0, 'TRAD-Calculs Péremption FA'!$B$73, "OK"))</f>
        <v>ATTENTION SURSTOCK et risque de péremption</v>
      </c>
      <c r="AF37" s="1924">
        <f t="shared" si="2"/>
        <v>2725.5141205479463</v>
      </c>
      <c r="AG37" s="1919">
        <f>'Saisie données stocks'!U49</f>
        <v>42217</v>
      </c>
      <c r="AH37" s="1920">
        <f>'Saisie données stocks'!V49</f>
        <v>50</v>
      </c>
      <c r="AI37" s="1923">
        <f t="shared" si="17"/>
        <v>61.572602739726022</v>
      </c>
      <c r="AJ37" s="1923">
        <f>IF(AND(AG37=0, AH37=0), "ND", IF((AG37-Paramétrage!$H$19)&gt;0, (AG37-Paramétrage!$H$19)/(365/12), "Date non renseignée ou produit périmé"))</f>
        <v>9.7972602739726025</v>
      </c>
      <c r="AK37" s="1923">
        <f t="shared" si="18"/>
        <v>19.594520547945205</v>
      </c>
      <c r="AL37" s="1923">
        <f t="shared" si="19"/>
        <v>41.978082191780814</v>
      </c>
      <c r="AM37" s="1923" t="str">
        <f>IF(AL37="ND", "ND", IF(AL37&gt;0, 'TRAD-Calculs Péremption FA'!$B$73, "OK"))</f>
        <v>ATTENTION SURSTOCK et risque de péremption</v>
      </c>
      <c r="AN37" s="1924">
        <f t="shared" si="3"/>
        <v>969.23193972602746</v>
      </c>
      <c r="AO37" s="1919">
        <f>'Saisie données stocks'!W49</f>
        <v>0</v>
      </c>
      <c r="AP37" s="1920">
        <f>'Saisie données stocks'!X49</f>
        <v>0</v>
      </c>
      <c r="AQ37" s="1923">
        <f t="shared" si="20"/>
        <v>19.594520547945208</v>
      </c>
      <c r="AR37" s="1923" t="str">
        <f>IF(AND(AO37=0, AP37=0), "ND", IF((AO37-Paramétrage!$H$19)&gt;0, (AO37-Paramétrage!$H$19)/(365/12), "Date non renseignée ou produit périmé"))</f>
        <v>ND</v>
      </c>
      <c r="AS37" s="1923" t="str">
        <f t="shared" si="21"/>
        <v>ND</v>
      </c>
      <c r="AT37" s="1923" t="str">
        <f t="shared" si="22"/>
        <v>ND</v>
      </c>
      <c r="AU37" s="1923" t="str">
        <f>IF(AT37="ND", "ND", IF(AT37&gt;0, 'TRAD-Calculs Péremption FA'!$B$73, "OK"))</f>
        <v>ND</v>
      </c>
      <c r="AV37" s="1924" t="str">
        <f t="shared" si="4"/>
        <v>ND</v>
      </c>
      <c r="AW37" s="1919">
        <f>'Saisie données stocks'!Y49</f>
        <v>0</v>
      </c>
      <c r="AX37" s="1920">
        <f>'Saisie données stocks'!Z49</f>
        <v>0</v>
      </c>
      <c r="AY37" s="1923">
        <f t="shared" si="23"/>
        <v>19.594520547945208</v>
      </c>
      <c r="AZ37" s="1923" t="str">
        <f>IF(AND(AW37=0, AX37=0), "ND", IF((AW37-Paramétrage!$H$19)&gt;0, (AW37-Paramétrage!$H$19)/(365/12), "Date non renseignée ou produit périmé"))</f>
        <v>ND</v>
      </c>
      <c r="BA37" s="1923" t="str">
        <f t="shared" si="24"/>
        <v>ND</v>
      </c>
      <c r="BB37" s="1923" t="str">
        <f t="shared" si="25"/>
        <v>ND</v>
      </c>
      <c r="BC37" s="1923" t="str">
        <f>IF(BB37="ND", "ND", IF(BB37&gt;0, 'TRAD-Calculs Péremption FA'!$B$73, "OK"))</f>
        <v>ND</v>
      </c>
      <c r="BD37" s="1924" t="str">
        <f t="shared" si="5"/>
        <v>ND</v>
      </c>
      <c r="BE37" s="1919">
        <f>'Saisie données stocks'!AA49</f>
        <v>0</v>
      </c>
      <c r="BF37" s="1920">
        <f>'Saisie données stocks'!AB49</f>
        <v>0</v>
      </c>
      <c r="BG37" s="1923">
        <f t="shared" si="26"/>
        <v>19.594520547945208</v>
      </c>
      <c r="BH37" s="1923" t="str">
        <f>IF(AND(BE37=0, BF37=0), "ND", IF((BE37-Paramétrage!$H$19)&gt;0, (BE37-Paramétrage!$H$19)/(365/12), "Date non renseignée ou produit périmé"))</f>
        <v>ND</v>
      </c>
      <c r="BI37" s="1923" t="str">
        <f t="shared" si="27"/>
        <v>ND</v>
      </c>
      <c r="BJ37" s="1923" t="str">
        <f t="shared" si="28"/>
        <v>ND</v>
      </c>
      <c r="BK37" s="1923" t="str">
        <f>IF(BJ37="ND", "ND", IF(BJ37&gt;0, 'TRAD-Calculs Péremption FA'!$B$73, "OK"))</f>
        <v>ND</v>
      </c>
      <c r="BL37" s="1924" t="str">
        <f t="shared" si="6"/>
        <v>ND</v>
      </c>
      <c r="BM37" s="1919">
        <f>'Saisie données stocks'!AC49</f>
        <v>0</v>
      </c>
      <c r="BN37" s="1920">
        <f>'Saisie données stocks'!AD49</f>
        <v>0</v>
      </c>
      <c r="BO37" s="1923">
        <f t="shared" si="29"/>
        <v>19.594520547945208</v>
      </c>
      <c r="BP37" s="1923" t="str">
        <f>IF(AND(BM37=0, BN37=0), "ND", IF((BM37-Paramétrage!$H$19)&gt;0, (BM37-Paramétrage!$H$19)/(365/12), "Date non renseignée ou produit périmé"))</f>
        <v>ND</v>
      </c>
      <c r="BQ37" s="1923" t="str">
        <f t="shared" si="30"/>
        <v>ND</v>
      </c>
      <c r="BR37" s="1923" t="str">
        <f t="shared" si="31"/>
        <v>ND</v>
      </c>
      <c r="BS37" s="1923" t="str">
        <f>IF(BR37="ND", "ND", IF(BR37&gt;0, 'TRAD-Calculs Péremption FA'!$B$73, "OK"))</f>
        <v>ND</v>
      </c>
      <c r="BT37" s="1924" t="str">
        <f t="shared" si="7"/>
        <v>ND</v>
      </c>
      <c r="BU37" s="1925">
        <f>IF('Saisie données stocks'!$O$10='TRAD-Saisie données stocks'!$B$51, IF(P37="OK", IF(AND(BR37&gt;0, ISNUMBER(BR37)), (BO37-BR37), (BO37)), O37), O37)</f>
        <v>19.594520547945208</v>
      </c>
      <c r="BV37" s="1925">
        <f t="shared" si="8"/>
        <v>936.40547945205481</v>
      </c>
      <c r="BW37" s="2045">
        <f t="shared" si="32"/>
        <v>42217</v>
      </c>
      <c r="BX37" s="2045">
        <f>IF('Saisie données stocks'!$O$10='TRAD-Saisie données stocks'!$B$51, IF('Calculs Péremption FA'!P37="OK", IF(BU37=O37, MAX(Paramétrage!$H$19+('Saisie données stocks'!$N$14*(365/12)), BM37, BE37, AW37, AO37, AG37, Y37, R37), BW37), Paramétrage!$H$19+('Saisie données stocks'!$N$14*(365/12))), Paramétrage!$H$19+('Saisie données stocks'!$N$14*(365/12)))</f>
        <v>42217</v>
      </c>
      <c r="BY37" s="2046">
        <f t="shared" si="9"/>
        <v>1</v>
      </c>
      <c r="BZ37" s="2046">
        <f t="shared" si="10"/>
        <v>8</v>
      </c>
      <c r="CA37" s="2046">
        <f t="shared" si="11"/>
        <v>2015</v>
      </c>
      <c r="CB37" s="2046">
        <f>IF(BX37="", "", (BX37-Paramétrage!$H$19)/(365/12))</f>
        <v>9.7972602739726025</v>
      </c>
      <c r="CC37" s="2043" t="str">
        <f>IF(CB37='Saisie données stocks'!N$14, 'TRAD-Calculs Péremption FA'!$B$74, CONCATENATE("DLU - ", BY37, "/", BZ37, "/", CA37))</f>
        <v>DLU - 1/8/2015</v>
      </c>
    </row>
    <row r="38" spans="2:81" ht="26.25" thickBot="1" x14ac:dyDescent="0.25">
      <c r="B38" s="388"/>
      <c r="C38" s="389"/>
      <c r="D38" s="1927" t="s">
        <v>40</v>
      </c>
      <c r="E38" s="1928" t="str">
        <f>'TRAD-Calculs Péremption FA'!B9</f>
        <v>Cp</v>
      </c>
      <c r="F38" s="1928" t="s">
        <v>33</v>
      </c>
      <c r="G38" s="1942" t="s">
        <v>630</v>
      </c>
      <c r="H38" s="1801" t="str">
        <f t="shared" si="12"/>
        <v>TDF - 300 mg</v>
      </c>
      <c r="I38" s="1798">
        <v>30</v>
      </c>
      <c r="J38" s="1802"/>
      <c r="K38" s="1803">
        <f>IF('TdB Péremptions'!$H$9="X", 'Prix 10-2011 GPRM $'!$O$42, IF('TdB Péremptions'!$H$10="X", 'Prix 10-2011 GPRM $'!$Q$42, IF('TdB Péremptions'!$H$11="X", 'Prix VPP 102012 convert'!$O$42, IF('TdB Péremptions'!$H$12="X", 'Prix VPP 102012 convert'!$Q$42, IF('TdB Péremptions'!$H$13="X", 'Prix spécifiques'!$J$38, 0)))))</f>
        <v>10.5</v>
      </c>
      <c r="L38" s="1803">
        <f>(1+'TdB Péremptions'!$H$14)*K38</f>
        <v>11.55</v>
      </c>
      <c r="M38" s="1929">
        <f>Calculs!L348</f>
        <v>0</v>
      </c>
      <c r="N38" s="1929">
        <f>Calculs!N348</f>
        <v>0</v>
      </c>
      <c r="O38" s="1929">
        <f>'Saisie données stocks'!N50</f>
        <v>0</v>
      </c>
      <c r="P38" s="2541" t="str">
        <f>IF(SUM('Saisie données stocks'!R50+'Saisie données stocks'!T50+'Saisie données stocks'!V50+'Saisie données stocks'!X50+'Saisie données stocks'!Z50+'Saisie données stocks'!AB50+'Saisie données stocks'!AD50)='Calculs Péremption conso'!O38,  "OK", 'TRAD-Calculs Péremption FA'!$B$75)</f>
        <v>OK</v>
      </c>
      <c r="Q38" s="1931" t="str">
        <f>IF(AND(O38&gt;0, Calculs!L348=0, Calculs!N348=0), 'TRAD-Calculs Péremption FA'!$B$76, "")</f>
        <v/>
      </c>
      <c r="R38" s="1932">
        <f>'Saisie données stocks'!Q50</f>
        <v>0</v>
      </c>
      <c r="S38" s="1933">
        <f>'Saisie données stocks'!R50</f>
        <v>0</v>
      </c>
      <c r="T38" s="1934" t="str">
        <f>IF(AND(R38=0, S38=0), "ND", IF((R38-Paramétrage!$H$19)&gt;0, (R38-Paramétrage!$H$19)/(365/12), "Date non renseignée ou produit périmé"))</f>
        <v>ND</v>
      </c>
      <c r="U38" s="1935" t="str">
        <f t="shared" si="13"/>
        <v>ND</v>
      </c>
      <c r="V38" s="1935" t="str">
        <f t="shared" si="0"/>
        <v>ND</v>
      </c>
      <c r="W38" s="1934" t="str">
        <f>IF(V38="ND", "ND", IF(V38&gt;0, 'TRAD-Calculs Péremption FA'!$B$73, "OK"))</f>
        <v>ND</v>
      </c>
      <c r="X38" s="1937" t="str">
        <f t="shared" si="1"/>
        <v>ND</v>
      </c>
      <c r="Y38" s="1932">
        <f>'Saisie données stocks'!S50</f>
        <v>0</v>
      </c>
      <c r="Z38" s="1933">
        <f>'Saisie données stocks'!T50</f>
        <v>0</v>
      </c>
      <c r="AA38" s="1936">
        <f t="shared" si="14"/>
        <v>0</v>
      </c>
      <c r="AB38" s="1936" t="str">
        <f>IF(AND(Y38=0, Z38=0), "ND", IF((Y38-Paramétrage!$H$19)&gt;0, (Y38-Paramétrage!$H$19)/(365/12), "Date non renseignée ou produit périmé"))</f>
        <v>ND</v>
      </c>
      <c r="AC38" s="1936" t="str">
        <f t="shared" si="15"/>
        <v>ND</v>
      </c>
      <c r="AD38" s="1936" t="str">
        <f t="shared" si="16"/>
        <v>ND</v>
      </c>
      <c r="AE38" s="1934" t="str">
        <f>IF(AD38="ND", "ND", IF(AD38&gt;0, 'TRAD-Calculs Péremption FA'!$B$73, "OK"))</f>
        <v>ND</v>
      </c>
      <c r="AF38" s="1937" t="str">
        <f t="shared" si="2"/>
        <v>ND</v>
      </c>
      <c r="AG38" s="1932">
        <f>'Saisie données stocks'!U50</f>
        <v>0</v>
      </c>
      <c r="AH38" s="1933">
        <f>'Saisie données stocks'!V50</f>
        <v>0</v>
      </c>
      <c r="AI38" s="1936">
        <f t="shared" si="17"/>
        <v>0</v>
      </c>
      <c r="AJ38" s="1936" t="str">
        <f>IF(AND(AG38=0, AH38=0), "ND", IF((AG38-Paramétrage!$H$19)&gt;0, (AG38-Paramétrage!$H$19)/(365/12), "Date non renseignée ou produit périmé"))</f>
        <v>ND</v>
      </c>
      <c r="AK38" s="1936" t="str">
        <f t="shared" si="18"/>
        <v>ND</v>
      </c>
      <c r="AL38" s="1936" t="str">
        <f t="shared" si="19"/>
        <v>ND</v>
      </c>
      <c r="AM38" s="1936" t="str">
        <f>IF(AL38="ND", "ND", IF(AL38&gt;0, 'TRAD-Calculs Péremption FA'!$B$73, "OK"))</f>
        <v>ND</v>
      </c>
      <c r="AN38" s="1937" t="str">
        <f t="shared" si="3"/>
        <v>ND</v>
      </c>
      <c r="AO38" s="1932">
        <f>'Saisie données stocks'!W50</f>
        <v>0</v>
      </c>
      <c r="AP38" s="1933">
        <f>'Saisie données stocks'!X50</f>
        <v>0</v>
      </c>
      <c r="AQ38" s="1936">
        <f t="shared" si="20"/>
        <v>0</v>
      </c>
      <c r="AR38" s="1936" t="str">
        <f>IF(AND(AO38=0, AP38=0), "ND", IF((AO38-Paramétrage!$H$19)&gt;0, (AO38-Paramétrage!$H$19)/(365/12), "Date non renseignée ou produit périmé"))</f>
        <v>ND</v>
      </c>
      <c r="AS38" s="1936" t="str">
        <f t="shared" si="21"/>
        <v>ND</v>
      </c>
      <c r="AT38" s="1936" t="str">
        <f t="shared" si="22"/>
        <v>ND</v>
      </c>
      <c r="AU38" s="1936" t="str">
        <f>IF(AT38="ND", "ND", IF(AT38&gt;0, 'TRAD-Calculs Péremption FA'!$B$73, "OK"))</f>
        <v>ND</v>
      </c>
      <c r="AV38" s="1937" t="str">
        <f t="shared" si="4"/>
        <v>ND</v>
      </c>
      <c r="AW38" s="1932">
        <f>'Saisie données stocks'!Y50</f>
        <v>0</v>
      </c>
      <c r="AX38" s="1933">
        <f>'Saisie données stocks'!Z50</f>
        <v>0</v>
      </c>
      <c r="AY38" s="1936">
        <f t="shared" si="23"/>
        <v>0</v>
      </c>
      <c r="AZ38" s="1936" t="str">
        <f>IF(AND(AW38=0, AX38=0), "ND", IF((AW38-Paramétrage!$H$19)&gt;0, (AW38-Paramétrage!$H$19)/(365/12), "Date non renseignée ou produit périmé"))</f>
        <v>ND</v>
      </c>
      <c r="BA38" s="1936" t="str">
        <f t="shared" si="24"/>
        <v>ND</v>
      </c>
      <c r="BB38" s="1936" t="str">
        <f t="shared" si="25"/>
        <v>ND</v>
      </c>
      <c r="BC38" s="1936" t="str">
        <f>IF(BB38="ND", "ND", IF(BB38&gt;0, 'TRAD-Calculs Péremption FA'!$B$73, "OK"))</f>
        <v>ND</v>
      </c>
      <c r="BD38" s="1937" t="str">
        <f t="shared" si="5"/>
        <v>ND</v>
      </c>
      <c r="BE38" s="1932">
        <f>'Saisie données stocks'!AA50</f>
        <v>0</v>
      </c>
      <c r="BF38" s="1933">
        <f>'Saisie données stocks'!AB50</f>
        <v>0</v>
      </c>
      <c r="BG38" s="1936">
        <f t="shared" si="26"/>
        <v>0</v>
      </c>
      <c r="BH38" s="1936" t="str">
        <f>IF(AND(BE38=0, BF38=0), "ND", IF((BE38-Paramétrage!$H$19)&gt;0, (BE38-Paramétrage!$H$19)/(365/12), "Date non renseignée ou produit périmé"))</f>
        <v>ND</v>
      </c>
      <c r="BI38" s="1936" t="str">
        <f t="shared" si="27"/>
        <v>ND</v>
      </c>
      <c r="BJ38" s="1936" t="str">
        <f t="shared" si="28"/>
        <v>ND</v>
      </c>
      <c r="BK38" s="1936" t="str">
        <f>IF(BJ38="ND", "ND", IF(BJ38&gt;0, 'TRAD-Calculs Péremption FA'!$B$73, "OK"))</f>
        <v>ND</v>
      </c>
      <c r="BL38" s="1937" t="str">
        <f t="shared" si="6"/>
        <v>ND</v>
      </c>
      <c r="BM38" s="1932">
        <f>'Saisie données stocks'!AC50</f>
        <v>0</v>
      </c>
      <c r="BN38" s="1933">
        <f>'Saisie données stocks'!AD50</f>
        <v>0</v>
      </c>
      <c r="BO38" s="1936">
        <f t="shared" si="29"/>
        <v>0</v>
      </c>
      <c r="BP38" s="1936" t="str">
        <f>IF(AND(BM38=0, BN38=0), "ND", IF((BM38-Paramétrage!$H$19)&gt;0, (BM38-Paramétrage!$H$19)/(365/12), "Date non renseignée ou produit périmé"))</f>
        <v>ND</v>
      </c>
      <c r="BQ38" s="1936" t="str">
        <f t="shared" si="30"/>
        <v>ND</v>
      </c>
      <c r="BR38" s="1936" t="str">
        <f t="shared" si="31"/>
        <v>ND</v>
      </c>
      <c r="BS38" s="1936" t="str">
        <f>IF(BR38="ND", "ND", IF(BR38&gt;0, 'TRAD-Calculs Péremption FA'!$B$73, "OK"))</f>
        <v>ND</v>
      </c>
      <c r="BT38" s="1937" t="str">
        <f t="shared" si="7"/>
        <v>ND</v>
      </c>
      <c r="BU38" s="1938">
        <f>IF('Saisie données stocks'!$O$10='TRAD-Saisie données stocks'!$B$51, IF(P38="OK", IF(AND(BR38&gt;0, ISNUMBER(BR38)), (BO38-BR38), (BO38)), O38), O38)</f>
        <v>0</v>
      </c>
      <c r="BV38" s="1938">
        <f t="shared" si="8"/>
        <v>0</v>
      </c>
      <c r="BW38" s="2047" t="str">
        <f t="shared" si="32"/>
        <v/>
      </c>
      <c r="BX38" s="2047">
        <f>IF('Saisie données stocks'!$O$10='TRAD-Saisie données stocks'!$B$51, IF('Calculs Péremption FA'!P38="OK", IF(BU38=O38, MAX(Paramétrage!$H$19+('Saisie données stocks'!$N$14*(365/12)), BM38, BE38, AW38, AO38, AG38, Y38, R38), BW38), Paramétrage!$H$19+('Saisie données stocks'!$N$14*(365/12))), Paramétrage!$H$19+('Saisie données stocks'!$N$14*(365/12)))</f>
        <v>42101.5</v>
      </c>
      <c r="BY38" s="2048">
        <f t="shared" si="9"/>
        <v>7</v>
      </c>
      <c r="BZ38" s="2048">
        <f t="shared" si="10"/>
        <v>4</v>
      </c>
      <c r="CA38" s="2048">
        <f t="shared" si="11"/>
        <v>2015</v>
      </c>
      <c r="CB38" s="2048">
        <f>IF(BX38="", "", (BX38-Paramétrage!$H$19)/(365/12))</f>
        <v>6</v>
      </c>
      <c r="CC38" s="2043" t="str">
        <f>IF(CB38='Saisie données stocks'!N$14, 'TRAD-Calculs Péremption FA'!$B$74, CONCATENATE("DLU - ", BY38, "/", BZ38, "/", CA38))</f>
        <v>Durée de vie max</v>
      </c>
    </row>
    <row r="39" spans="2:81" ht="26.25" thickBot="1" x14ac:dyDescent="0.25">
      <c r="B39" s="374"/>
      <c r="C39" s="375" t="s">
        <v>41</v>
      </c>
      <c r="D39" s="1900" t="s">
        <v>42</v>
      </c>
      <c r="E39" s="1901" t="str">
        <f>'TRAD-Calculs Péremption FA'!B9</f>
        <v>Cp</v>
      </c>
      <c r="F39" s="1901" t="s">
        <v>43</v>
      </c>
      <c r="G39" s="369" t="s">
        <v>631</v>
      </c>
      <c r="H39" s="371" t="str">
        <f t="shared" si="12"/>
        <v>LPV/r - 200/50 mg</v>
      </c>
      <c r="I39" s="113">
        <v>120</v>
      </c>
      <c r="J39" s="656"/>
      <c r="K39" s="755">
        <f>IF('TdB Péremptions'!$H$9="X", 'Prix 10-2011 GPRM $'!$O$54, IF('TdB Péremptions'!$H$10="X", 'Prix 10-2011 GPRM $'!$Q$54, IF('TdB Péremptions'!$H$11="X", 'Prix VPP 102012 convert'!$O$54, IF('TdB Péremptions'!$H$12="X", 'Prix VPP 102012 convert'!$Q$54, IF('TdB Péremptions'!$H$13="X", 'Prix spécifiques'!$J$39, 0)))))</f>
        <v>29.645</v>
      </c>
      <c r="L39" s="755">
        <f>(1+'TdB Péremptions'!$H$14)*K39</f>
        <v>32.609500000000004</v>
      </c>
      <c r="M39" s="1902">
        <f>Calculs!L349</f>
        <v>106</v>
      </c>
      <c r="N39" s="1902">
        <f>Calculs!N349</f>
        <v>0</v>
      </c>
      <c r="O39" s="1902">
        <f>'Saisie données stocks'!N51</f>
        <v>750</v>
      </c>
      <c r="P39" s="2540" t="str">
        <f>IF(SUM('Saisie données stocks'!R51+'Saisie données stocks'!T51+'Saisie données stocks'!V51+'Saisie données stocks'!X51+'Saisie données stocks'!Z51+'Saisie données stocks'!AB51+'Saisie données stocks'!AD51)='Calculs Péremption conso'!O39,  "OK", 'TRAD-Calculs Péremption FA'!$B$75)</f>
        <v>OK</v>
      </c>
      <c r="Q39" s="1904" t="str">
        <f>IF(AND(O39&gt;0, Calculs!L349=0, Calculs!N349=0), 'TRAD-Calculs Péremption FA'!$B$76, "")</f>
        <v/>
      </c>
      <c r="R39" s="1939">
        <f>'Saisie données stocks'!Q51</f>
        <v>42278</v>
      </c>
      <c r="S39" s="1906">
        <f>'Saisie données stocks'!R51</f>
        <v>750</v>
      </c>
      <c r="T39" s="1907">
        <f>IF(AND(R39=0, S39=0), "ND", IF((R39-Paramétrage!$H$19)&gt;0, (R39-Paramétrage!$H$19)/(365/12), "Date non renseignée ou produit périmé"))</f>
        <v>11.802739726027397</v>
      </c>
      <c r="U39" s="1908">
        <f t="shared" si="13"/>
        <v>1251.0904109589042</v>
      </c>
      <c r="V39" s="1908">
        <f t="shared" si="0"/>
        <v>-501.09041095890416</v>
      </c>
      <c r="W39" s="1907" t="str">
        <f>IF(V39="ND", "ND", IF(V39&gt;0, 'TRAD-Calculs Péremption FA'!$B$73, "OK"))</f>
        <v>OK</v>
      </c>
      <c r="X39" s="1909" t="str">
        <f t="shared" si="1"/>
        <v/>
      </c>
      <c r="Y39" s="1939">
        <f>'Saisie données stocks'!S51</f>
        <v>0</v>
      </c>
      <c r="Z39" s="1906">
        <f>'Saisie données stocks'!T51</f>
        <v>0</v>
      </c>
      <c r="AA39" s="1910">
        <f t="shared" si="14"/>
        <v>750</v>
      </c>
      <c r="AB39" s="1910" t="str">
        <f>IF(AND(Y39=0, Z39=0), "ND", IF((Y39-Paramétrage!$H$19)&gt;0, (Y39-Paramétrage!$H$19)/(365/12), "Date non renseignée ou produit périmé"))</f>
        <v>ND</v>
      </c>
      <c r="AC39" s="1910" t="str">
        <f t="shared" si="15"/>
        <v>ND</v>
      </c>
      <c r="AD39" s="1910" t="str">
        <f t="shared" si="16"/>
        <v>ND</v>
      </c>
      <c r="AE39" s="1907" t="str">
        <f>IF(AD39="ND", "ND", IF(AD39&gt;0, 'TRAD-Calculs Péremption FA'!$B$73, "OK"))</f>
        <v>ND</v>
      </c>
      <c r="AF39" s="1909" t="str">
        <f t="shared" si="2"/>
        <v>ND</v>
      </c>
      <c r="AG39" s="1939">
        <f>'Saisie données stocks'!U51</f>
        <v>0</v>
      </c>
      <c r="AH39" s="1906">
        <f>'Saisie données stocks'!V51</f>
        <v>0</v>
      </c>
      <c r="AI39" s="1910">
        <f t="shared" si="17"/>
        <v>750</v>
      </c>
      <c r="AJ39" s="1910" t="str">
        <f>IF(AND(AG39=0, AH39=0), "ND", IF((AG39-Paramétrage!$H$19)&gt;0, (AG39-Paramétrage!$H$19)/(365/12), "Date non renseignée ou produit périmé"))</f>
        <v>ND</v>
      </c>
      <c r="AK39" s="1910" t="str">
        <f t="shared" si="18"/>
        <v>ND</v>
      </c>
      <c r="AL39" s="1910" t="str">
        <f t="shared" si="19"/>
        <v>ND</v>
      </c>
      <c r="AM39" s="1910" t="str">
        <f>IF(AL39="ND", "ND", IF(AL39&gt;0, 'TRAD-Calculs Péremption FA'!$B$73, "OK"))</f>
        <v>ND</v>
      </c>
      <c r="AN39" s="1909" t="str">
        <f t="shared" si="3"/>
        <v>ND</v>
      </c>
      <c r="AO39" s="1939">
        <f>'Saisie données stocks'!W51</f>
        <v>0</v>
      </c>
      <c r="AP39" s="1906">
        <f>'Saisie données stocks'!X51</f>
        <v>0</v>
      </c>
      <c r="AQ39" s="1910">
        <f t="shared" si="20"/>
        <v>750</v>
      </c>
      <c r="AR39" s="1910" t="str">
        <f>IF(AND(AO39=0, AP39=0), "ND", IF((AO39-Paramétrage!$H$19)&gt;0, (AO39-Paramétrage!$H$19)/(365/12), "Date non renseignée ou produit périmé"))</f>
        <v>ND</v>
      </c>
      <c r="AS39" s="1910" t="str">
        <f t="shared" si="21"/>
        <v>ND</v>
      </c>
      <c r="AT39" s="1910" t="str">
        <f t="shared" si="22"/>
        <v>ND</v>
      </c>
      <c r="AU39" s="1910" t="str">
        <f>IF(AT39="ND", "ND", IF(AT39&gt;0, 'TRAD-Calculs Péremption FA'!$B$73, "OK"))</f>
        <v>ND</v>
      </c>
      <c r="AV39" s="1909" t="str">
        <f t="shared" si="4"/>
        <v>ND</v>
      </c>
      <c r="AW39" s="1939">
        <f>'Saisie données stocks'!Y51</f>
        <v>0</v>
      </c>
      <c r="AX39" s="1906">
        <f>'Saisie données stocks'!Z51</f>
        <v>0</v>
      </c>
      <c r="AY39" s="1910">
        <f t="shared" si="23"/>
        <v>750</v>
      </c>
      <c r="AZ39" s="1910" t="str">
        <f>IF(AND(AW39=0, AX39=0), "ND", IF((AW39-Paramétrage!$H$19)&gt;0, (AW39-Paramétrage!$H$19)/(365/12), "Date non renseignée ou produit périmé"))</f>
        <v>ND</v>
      </c>
      <c r="BA39" s="1910" t="str">
        <f t="shared" si="24"/>
        <v>ND</v>
      </c>
      <c r="BB39" s="1910" t="str">
        <f t="shared" si="25"/>
        <v>ND</v>
      </c>
      <c r="BC39" s="1910" t="str">
        <f>IF(BB39="ND", "ND", IF(BB39&gt;0, 'TRAD-Calculs Péremption FA'!$B$73, "OK"))</f>
        <v>ND</v>
      </c>
      <c r="BD39" s="1909" t="str">
        <f t="shared" si="5"/>
        <v>ND</v>
      </c>
      <c r="BE39" s="1939">
        <f>'Saisie données stocks'!AA51</f>
        <v>0</v>
      </c>
      <c r="BF39" s="1906">
        <f>'Saisie données stocks'!AB51</f>
        <v>0</v>
      </c>
      <c r="BG39" s="1910">
        <f t="shared" si="26"/>
        <v>750</v>
      </c>
      <c r="BH39" s="1910" t="str">
        <f>IF(AND(BE39=0, BF39=0), "ND", IF((BE39-Paramétrage!$H$19)&gt;0, (BE39-Paramétrage!$H$19)/(365/12), "Date non renseignée ou produit périmé"))</f>
        <v>ND</v>
      </c>
      <c r="BI39" s="1910" t="str">
        <f t="shared" si="27"/>
        <v>ND</v>
      </c>
      <c r="BJ39" s="1910" t="str">
        <f t="shared" si="28"/>
        <v>ND</v>
      </c>
      <c r="BK39" s="1910" t="str">
        <f>IF(BJ39="ND", "ND", IF(BJ39&gt;0, 'TRAD-Calculs Péremption FA'!$B$73, "OK"))</f>
        <v>ND</v>
      </c>
      <c r="BL39" s="1909" t="str">
        <f t="shared" si="6"/>
        <v>ND</v>
      </c>
      <c r="BM39" s="1939">
        <f>'Saisie données stocks'!AC51</f>
        <v>0</v>
      </c>
      <c r="BN39" s="1906">
        <f>'Saisie données stocks'!AD51</f>
        <v>0</v>
      </c>
      <c r="BO39" s="1910">
        <f t="shared" si="29"/>
        <v>750</v>
      </c>
      <c r="BP39" s="1910" t="str">
        <f>IF(AND(BM39=0, BN39=0), "ND", IF((BM39-Paramétrage!$H$19)&gt;0, (BM39-Paramétrage!$H$19)/(365/12), "Date non renseignée ou produit périmé"))</f>
        <v>ND</v>
      </c>
      <c r="BQ39" s="1910" t="str">
        <f t="shared" si="30"/>
        <v>ND</v>
      </c>
      <c r="BR39" s="1910" t="str">
        <f t="shared" si="31"/>
        <v>ND</v>
      </c>
      <c r="BS39" s="1910" t="str">
        <f>IF(BR39="ND", "ND", IF(BR39&gt;0, 'TRAD-Calculs Péremption FA'!$B$73, "OK"))</f>
        <v>ND</v>
      </c>
      <c r="BT39" s="1909" t="str">
        <f t="shared" si="7"/>
        <v>ND</v>
      </c>
      <c r="BU39" s="1911">
        <f>IF('Saisie données stocks'!$O$10='TRAD-Saisie données stocks'!$B$51, IF(P39="OK", IF(AND(BR39&gt;0, ISNUMBER(BR39)), (BO39-BR39), (BO39)), O39), O39)</f>
        <v>750</v>
      </c>
      <c r="BV39" s="1911">
        <f t="shared" si="8"/>
        <v>0</v>
      </c>
      <c r="BW39" s="2042" t="str">
        <f t="shared" si="32"/>
        <v/>
      </c>
      <c r="BX39" s="2042">
        <f>IF('Saisie données stocks'!$O$10='TRAD-Saisie données stocks'!$B$51, IF('Calculs Péremption FA'!P39="OK", IF(BU39=O39, MAX(Paramétrage!$H$19+('Saisie données stocks'!$N$14*(365/12)), BM39, BE39, AW39, AO39, AG39, Y39, R39), BW39), Paramétrage!$H$19+('Saisie données stocks'!$N$14*(365/12))), Paramétrage!$H$19+('Saisie données stocks'!$N$14*(365/12)))</f>
        <v>42278</v>
      </c>
      <c r="BY39" s="2043">
        <f t="shared" si="9"/>
        <v>1</v>
      </c>
      <c r="BZ39" s="2043">
        <f t="shared" si="10"/>
        <v>10</v>
      </c>
      <c r="CA39" s="2043">
        <f t="shared" si="11"/>
        <v>2015</v>
      </c>
      <c r="CB39" s="2043">
        <f>IF(BX39="", "", (BX39-Paramétrage!$H$19)/(365/12))</f>
        <v>11.802739726027397</v>
      </c>
      <c r="CC39" s="2043" t="str">
        <f>IF(CB39='Saisie données stocks'!N$14, 'TRAD-Calculs Péremption FA'!$B$74, CONCATENATE("DLU - ", BY39, "/", BZ39, "/", CA39))</f>
        <v>DLU - 1/10/2015</v>
      </c>
    </row>
    <row r="40" spans="2:81" ht="26.25" thickBot="1" x14ac:dyDescent="0.25">
      <c r="B40" s="374"/>
      <c r="C40" s="375"/>
      <c r="D40" s="1943" t="s">
        <v>42</v>
      </c>
      <c r="E40" s="1944" t="str">
        <f>'TRAD-Calculs Péremption FA'!B9</f>
        <v>Cp</v>
      </c>
      <c r="F40" s="1944" t="s">
        <v>496</v>
      </c>
      <c r="G40" s="535" t="s">
        <v>631</v>
      </c>
      <c r="H40" s="533" t="str">
        <f t="shared" si="12"/>
        <v>LPV/r - 100/25 mg</v>
      </c>
      <c r="I40" s="537">
        <v>60</v>
      </c>
      <c r="J40" s="1215"/>
      <c r="K40" s="1216">
        <f>IF('TdB Péremptions'!$H$9="X", 'Prix 10-2011 GPRM $'!$O$146, IF('TdB Péremptions'!$H$10="X", 'Prix 10-2011 GPRM $'!$Q$146, IF('TdB Péremptions'!$H$11="X", 'Prix VPP 102012 convert'!$O$146, IF('TdB Péremptions'!$H$12="X", 'Prix VPP 102012 convert'!$Q$146, IF('TdB Péremptions'!$H$13="X", 'Prix spécifiques'!$J$40, 0)))))</f>
        <v>7.2050000000000001</v>
      </c>
      <c r="L40" s="1216">
        <f>(1+'TdB Péremptions'!$H$14)*K40</f>
        <v>7.9255000000000004</v>
      </c>
      <c r="M40" s="1916">
        <f>Calculs!L350</f>
        <v>18</v>
      </c>
      <c r="N40" s="1916">
        <f>Calculs!N350</f>
        <v>0</v>
      </c>
      <c r="O40" s="1916">
        <f>'Saisie données stocks'!N52</f>
        <v>687</v>
      </c>
      <c r="P40" s="1917" t="str">
        <f>IF(SUM('Saisie données stocks'!R52+'Saisie données stocks'!T52+'Saisie données stocks'!V52+'Saisie données stocks'!X52+'Saisie données stocks'!Z52+'Saisie données stocks'!AB52+'Saisie données stocks'!AD52)='Calculs Péremption conso'!O40,  "OK", 'TRAD-Calculs Péremption FA'!$B$75)</f>
        <v>OK</v>
      </c>
      <c r="Q40" s="1918" t="str">
        <f>IF(AND(O40&gt;0, Calculs!L350=0, Calculs!N350=0), 'TRAD-Calculs Péremption FA'!$B$76, "")</f>
        <v/>
      </c>
      <c r="R40" s="1919">
        <f>'Saisie données stocks'!Q52</f>
        <v>42095</v>
      </c>
      <c r="S40" s="1920">
        <f>'Saisie données stocks'!R52</f>
        <v>687</v>
      </c>
      <c r="T40" s="1921">
        <f>IF(AND(R40=0, S40=0), "ND", IF((R40-Paramétrage!$H$19)&gt;0, (R40-Paramétrage!$H$19)/(365/12), "Date non renseignée ou produit périmé"))</f>
        <v>5.7863013698630139</v>
      </c>
      <c r="U40" s="1922">
        <f t="shared" si="13"/>
        <v>104.15342465753425</v>
      </c>
      <c r="V40" s="1922">
        <f t="shared" si="0"/>
        <v>582.84657534246571</v>
      </c>
      <c r="W40" s="1921" t="str">
        <f>IF(V40="ND", "ND", IF(V40&gt;0, 'TRAD-Calculs Péremption FA'!$B$73, "OK"))</f>
        <v>ATTENTION SURSTOCK et risque de péremption</v>
      </c>
      <c r="X40" s="1924">
        <f t="shared" si="1"/>
        <v>4619.3505328767124</v>
      </c>
      <c r="Y40" s="1919">
        <f>'Saisie données stocks'!S52</f>
        <v>0</v>
      </c>
      <c r="Z40" s="1920">
        <f>'Saisie données stocks'!T52</f>
        <v>0</v>
      </c>
      <c r="AA40" s="1923">
        <f t="shared" si="14"/>
        <v>104.15342465753429</v>
      </c>
      <c r="AB40" s="1923" t="str">
        <f>IF(AND(Y40=0, Z40=0), "ND", IF((Y40-Paramétrage!$H$19)&gt;0, (Y40-Paramétrage!$H$19)/(365/12), "Date non renseignée ou produit périmé"))</f>
        <v>ND</v>
      </c>
      <c r="AC40" s="1923" t="str">
        <f t="shared" si="15"/>
        <v>ND</v>
      </c>
      <c r="AD40" s="1923" t="str">
        <f t="shared" si="16"/>
        <v>ND</v>
      </c>
      <c r="AE40" s="1921" t="str">
        <f>IF(AD40="ND", "ND", IF(AD40&gt;0, 'TRAD-Calculs Péremption FA'!$B$73, "OK"))</f>
        <v>ND</v>
      </c>
      <c r="AF40" s="1924" t="str">
        <f t="shared" si="2"/>
        <v>ND</v>
      </c>
      <c r="AG40" s="1919">
        <f>'Saisie données stocks'!U52</f>
        <v>0</v>
      </c>
      <c r="AH40" s="1920">
        <f>'Saisie données stocks'!V52</f>
        <v>0</v>
      </c>
      <c r="AI40" s="1923">
        <f t="shared" si="17"/>
        <v>104.15342465753429</v>
      </c>
      <c r="AJ40" s="1923" t="str">
        <f>IF(AND(AG40=0, AH40=0), "ND", IF((AG40-Paramétrage!$H$19)&gt;0, (AG40-Paramétrage!$H$19)/(365/12), "Date non renseignée ou produit périmé"))</f>
        <v>ND</v>
      </c>
      <c r="AK40" s="1923" t="str">
        <f t="shared" si="18"/>
        <v>ND</v>
      </c>
      <c r="AL40" s="1923" t="str">
        <f t="shared" si="19"/>
        <v>ND</v>
      </c>
      <c r="AM40" s="1923" t="str">
        <f>IF(AL40="ND", "ND", IF(AL40&gt;0, 'TRAD-Calculs Péremption FA'!$B$73, "OK"))</f>
        <v>ND</v>
      </c>
      <c r="AN40" s="1924" t="str">
        <f t="shared" si="3"/>
        <v>ND</v>
      </c>
      <c r="AO40" s="1919">
        <f>'Saisie données stocks'!W52</f>
        <v>0</v>
      </c>
      <c r="AP40" s="1920">
        <f>'Saisie données stocks'!X52</f>
        <v>0</v>
      </c>
      <c r="AQ40" s="1923">
        <f t="shared" si="20"/>
        <v>104.15342465753429</v>
      </c>
      <c r="AR40" s="1923" t="str">
        <f>IF(AND(AO40=0, AP40=0), "ND", IF((AO40-Paramétrage!$H$19)&gt;0, (AO40-Paramétrage!$H$19)/(365/12), "Date non renseignée ou produit périmé"))</f>
        <v>ND</v>
      </c>
      <c r="AS40" s="1923" t="str">
        <f t="shared" si="21"/>
        <v>ND</v>
      </c>
      <c r="AT40" s="1923" t="str">
        <f t="shared" si="22"/>
        <v>ND</v>
      </c>
      <c r="AU40" s="1923" t="str">
        <f>IF(AT40="ND", "ND", IF(AT40&gt;0, 'TRAD-Calculs Péremption FA'!$B$73, "OK"))</f>
        <v>ND</v>
      </c>
      <c r="AV40" s="1924" t="str">
        <f t="shared" si="4"/>
        <v>ND</v>
      </c>
      <c r="AW40" s="1919">
        <f>'Saisie données stocks'!Y52</f>
        <v>0</v>
      </c>
      <c r="AX40" s="1920">
        <f>'Saisie données stocks'!Z52</f>
        <v>0</v>
      </c>
      <c r="AY40" s="1923">
        <f t="shared" si="23"/>
        <v>104.15342465753429</v>
      </c>
      <c r="AZ40" s="1923" t="str">
        <f>IF(AND(AW40=0, AX40=0), "ND", IF((AW40-Paramétrage!$H$19)&gt;0, (AW40-Paramétrage!$H$19)/(365/12), "Date non renseignée ou produit périmé"))</f>
        <v>ND</v>
      </c>
      <c r="BA40" s="1923" t="str">
        <f t="shared" si="24"/>
        <v>ND</v>
      </c>
      <c r="BB40" s="1923" t="str">
        <f t="shared" si="25"/>
        <v>ND</v>
      </c>
      <c r="BC40" s="1923" t="str">
        <f>IF(BB40="ND", "ND", IF(BB40&gt;0, 'TRAD-Calculs Péremption FA'!$B$73, "OK"))</f>
        <v>ND</v>
      </c>
      <c r="BD40" s="1924" t="str">
        <f t="shared" si="5"/>
        <v>ND</v>
      </c>
      <c r="BE40" s="1919">
        <f>'Saisie données stocks'!AA52</f>
        <v>0</v>
      </c>
      <c r="BF40" s="1920">
        <f>'Saisie données stocks'!AB52</f>
        <v>0</v>
      </c>
      <c r="BG40" s="1923">
        <f t="shared" si="26"/>
        <v>104.15342465753429</v>
      </c>
      <c r="BH40" s="1923" t="str">
        <f>IF(AND(BE40=0, BF40=0), "ND", IF((BE40-Paramétrage!$H$19)&gt;0, (BE40-Paramétrage!$H$19)/(365/12), "Date non renseignée ou produit périmé"))</f>
        <v>ND</v>
      </c>
      <c r="BI40" s="1923" t="str">
        <f t="shared" si="27"/>
        <v>ND</v>
      </c>
      <c r="BJ40" s="1923" t="str">
        <f t="shared" si="28"/>
        <v>ND</v>
      </c>
      <c r="BK40" s="1923" t="str">
        <f>IF(BJ40="ND", "ND", IF(BJ40&gt;0, 'TRAD-Calculs Péremption FA'!$B$73, "OK"))</f>
        <v>ND</v>
      </c>
      <c r="BL40" s="1924" t="str">
        <f t="shared" si="6"/>
        <v>ND</v>
      </c>
      <c r="BM40" s="1919">
        <f>'Saisie données stocks'!AC52</f>
        <v>0</v>
      </c>
      <c r="BN40" s="1920">
        <f>'Saisie données stocks'!AD52</f>
        <v>0</v>
      </c>
      <c r="BO40" s="1923">
        <f t="shared" si="29"/>
        <v>104.15342465753429</v>
      </c>
      <c r="BP40" s="1923" t="str">
        <f>IF(AND(BM40=0, BN40=0), "ND", IF((BM40-Paramétrage!$H$19)&gt;0, (BM40-Paramétrage!$H$19)/(365/12), "Date non renseignée ou produit périmé"))</f>
        <v>ND</v>
      </c>
      <c r="BQ40" s="1923" t="str">
        <f t="shared" si="30"/>
        <v>ND</v>
      </c>
      <c r="BR40" s="1923" t="str">
        <f t="shared" si="31"/>
        <v>ND</v>
      </c>
      <c r="BS40" s="1923" t="str">
        <f>IF(BR40="ND", "ND", IF(BR40&gt;0, 'TRAD-Calculs Péremption FA'!$B$73, "OK"))</f>
        <v>ND</v>
      </c>
      <c r="BT40" s="1924" t="str">
        <f t="shared" si="7"/>
        <v>ND</v>
      </c>
      <c r="BU40" s="1925">
        <f>IF('Saisie données stocks'!$O$10='TRAD-Saisie données stocks'!$B$51, IF(P40="OK", IF(AND(BR40&gt;0, ISNUMBER(BR40)), (BO40-BR40), (BO40)), O40), O40)</f>
        <v>104.15342465753429</v>
      </c>
      <c r="BV40" s="1925">
        <f t="shared" si="8"/>
        <v>582.84657534246571</v>
      </c>
      <c r="BW40" s="2045">
        <f t="shared" si="32"/>
        <v>42095</v>
      </c>
      <c r="BX40" s="2045">
        <f>IF('Saisie données stocks'!$O$10='TRAD-Saisie données stocks'!$B$51, IF('Calculs Péremption FA'!P40="OK", IF(BU40=O40, MAX(Paramétrage!$H$19+('Saisie données stocks'!$N$14*(365/12)), BM40, BE40, AW40, AO40, AG40, Y40, R40), BW40), Paramétrage!$H$19+('Saisie données stocks'!$N$14*(365/12))), Paramétrage!$H$19+('Saisie données stocks'!$N$14*(365/12)))</f>
        <v>42095</v>
      </c>
      <c r="BY40" s="2046">
        <f t="shared" si="9"/>
        <v>1</v>
      </c>
      <c r="BZ40" s="2046">
        <f t="shared" si="10"/>
        <v>4</v>
      </c>
      <c r="CA40" s="2046">
        <f t="shared" si="11"/>
        <v>2015</v>
      </c>
      <c r="CB40" s="2046">
        <f>IF(BX40="", "", (BX40-Paramétrage!$H$19)/(365/12))</f>
        <v>5.7863013698630139</v>
      </c>
      <c r="CC40" s="2043" t="str">
        <f>IF(CB40='Saisie données stocks'!N$14, 'TRAD-Calculs Péremption FA'!$B$74, CONCATENATE("DLU - ", BY40, "/", BZ40, "/", CA40))</f>
        <v>DLU - 1/4/2015</v>
      </c>
    </row>
    <row r="41" spans="2:81" ht="39" thickBot="1" x14ac:dyDescent="0.25">
      <c r="B41" s="374"/>
      <c r="C41" s="402"/>
      <c r="D41" s="1945" t="s">
        <v>601</v>
      </c>
      <c r="E41" s="1946" t="str">
        <f>'TRAD-Calculs Péremption FA'!B9</f>
        <v>Cp</v>
      </c>
      <c r="F41" s="1947" t="s">
        <v>607</v>
      </c>
      <c r="G41" s="1948" t="s">
        <v>632</v>
      </c>
      <c r="H41" s="1807" t="str">
        <f t="shared" si="12"/>
        <v>ATV/r - 300/100 mg</v>
      </c>
      <c r="I41" s="1388">
        <v>30</v>
      </c>
      <c r="J41" s="1646"/>
      <c r="K41" s="1647">
        <f>IF('TdB Péremptions'!$H$9="X", 'Prix 10-2011 GPRM $'!$L$69, IF('TdB Péremptions'!$H$10="X", 'Prix 10-2011 GPRM $'!$L$69, IF('TdB Péremptions'!$H$11="X", 'Prix VPP 102012 convert'!$O$55, IF('TdB Péremptions'!$H$12="X", 'Prix VPP 102012 convert'!$Q$55, IF('TdB Péremptions'!$H$13="X", 'Prix spécifiques'!$J$41, 0)))))</f>
        <v>22.5</v>
      </c>
      <c r="L41" s="1647">
        <f>(1+'TdB Péremptions'!$H$14)*K41</f>
        <v>24.750000000000004</v>
      </c>
      <c r="M41" s="1916">
        <f>Calculs!L351</f>
        <v>0</v>
      </c>
      <c r="N41" s="1916">
        <f>Calculs!N351</f>
        <v>0</v>
      </c>
      <c r="O41" s="1916">
        <f>'Saisie données stocks'!N53</f>
        <v>1705</v>
      </c>
      <c r="P41" s="1917" t="str">
        <f>IF(SUM('Saisie données stocks'!R53+'Saisie données stocks'!T53+'Saisie données stocks'!V53+'Saisie données stocks'!X53+'Saisie données stocks'!Z53+'Saisie données stocks'!AB53+'Saisie données stocks'!AD53)='Calculs Péremption conso'!O41,  "OK", 'TRAD-Calculs Péremption FA'!$B$75)</f>
        <v>OK</v>
      </c>
      <c r="Q41" s="1918" t="str">
        <f>IF(AND(O41&gt;0, Calculs!L351=0, Calculs!N351=0), 'TRAD-Calculs Péremption FA'!$B$76, "")</f>
        <v>Produit en stock mais sans aucune utilisation</v>
      </c>
      <c r="R41" s="1919">
        <f>'Saisie données stocks'!Q53</f>
        <v>42095</v>
      </c>
      <c r="S41" s="1920">
        <f>'Saisie données stocks'!R53</f>
        <v>1705</v>
      </c>
      <c r="T41" s="1921">
        <f>IF(AND(R41=0, S41=0), "ND", IF((R41-Paramétrage!$H$19)&gt;0, (R41-Paramétrage!$H$19)/(365/12), "Date non renseignée ou produit périmé"))</f>
        <v>5.7863013698630139</v>
      </c>
      <c r="U41" s="1922">
        <f t="shared" si="13"/>
        <v>0</v>
      </c>
      <c r="V41" s="1922">
        <f t="shared" si="0"/>
        <v>1705</v>
      </c>
      <c r="W41" s="1921" t="str">
        <f>IF(V41="ND", "ND", IF(V41&gt;0, 'TRAD-Calculs Péremption FA'!$B$73, "OK"))</f>
        <v>ATTENTION SURSTOCK et risque de péremption</v>
      </c>
      <c r="X41" s="1924">
        <f t="shared" si="1"/>
        <v>42198.750000000007</v>
      </c>
      <c r="Y41" s="1919">
        <f>'Saisie données stocks'!S53</f>
        <v>0</v>
      </c>
      <c r="Z41" s="1920">
        <f>'Saisie données stocks'!T53</f>
        <v>0</v>
      </c>
      <c r="AA41" s="1923">
        <f t="shared" si="14"/>
        <v>0</v>
      </c>
      <c r="AB41" s="1923" t="str">
        <f>IF(AND(Y41=0, Z41=0), "ND", IF((Y41-Paramétrage!$H$19)&gt;0, (Y41-Paramétrage!$H$19)/(365/12), "Date non renseignée ou produit périmé"))</f>
        <v>ND</v>
      </c>
      <c r="AC41" s="1923" t="str">
        <f t="shared" si="15"/>
        <v>ND</v>
      </c>
      <c r="AD41" s="1923" t="str">
        <f t="shared" si="16"/>
        <v>ND</v>
      </c>
      <c r="AE41" s="1921" t="str">
        <f>IF(AD41="ND", "ND", IF(AD41&gt;0, 'TRAD-Calculs Péremption FA'!$B$73, "OK"))</f>
        <v>ND</v>
      </c>
      <c r="AF41" s="1924" t="str">
        <f t="shared" si="2"/>
        <v>ND</v>
      </c>
      <c r="AG41" s="1919">
        <f>'Saisie données stocks'!U53</f>
        <v>0</v>
      </c>
      <c r="AH41" s="1920">
        <f>'Saisie données stocks'!V53</f>
        <v>0</v>
      </c>
      <c r="AI41" s="1923">
        <f t="shared" si="17"/>
        <v>0</v>
      </c>
      <c r="AJ41" s="1923" t="str">
        <f>IF(AND(AG41=0, AH41=0), "ND", IF((AG41-Paramétrage!$H$19)&gt;0, (AG41-Paramétrage!$H$19)/(365/12), "Date non renseignée ou produit périmé"))</f>
        <v>ND</v>
      </c>
      <c r="AK41" s="1923" t="str">
        <f t="shared" si="18"/>
        <v>ND</v>
      </c>
      <c r="AL41" s="1923" t="str">
        <f t="shared" si="19"/>
        <v>ND</v>
      </c>
      <c r="AM41" s="1923" t="str">
        <f>IF(AL41="ND", "ND", IF(AL41&gt;0, 'TRAD-Calculs Péremption FA'!$B$73, "OK"))</f>
        <v>ND</v>
      </c>
      <c r="AN41" s="1924" t="str">
        <f t="shared" si="3"/>
        <v>ND</v>
      </c>
      <c r="AO41" s="1919">
        <f>'Saisie données stocks'!W53</f>
        <v>0</v>
      </c>
      <c r="AP41" s="1920">
        <f>'Saisie données stocks'!X53</f>
        <v>0</v>
      </c>
      <c r="AQ41" s="1923">
        <f t="shared" si="20"/>
        <v>0</v>
      </c>
      <c r="AR41" s="1923" t="str">
        <f>IF(AND(AO41=0, AP41=0), "ND", IF((AO41-Paramétrage!$H$19)&gt;0, (AO41-Paramétrage!$H$19)/(365/12), "Date non renseignée ou produit périmé"))</f>
        <v>ND</v>
      </c>
      <c r="AS41" s="1923" t="str">
        <f t="shared" si="21"/>
        <v>ND</v>
      </c>
      <c r="AT41" s="1923" t="str">
        <f t="shared" si="22"/>
        <v>ND</v>
      </c>
      <c r="AU41" s="1923" t="str">
        <f>IF(AT41="ND", "ND", IF(AT41&gt;0, 'TRAD-Calculs Péremption FA'!$B$73, "OK"))</f>
        <v>ND</v>
      </c>
      <c r="AV41" s="1924" t="str">
        <f t="shared" si="4"/>
        <v>ND</v>
      </c>
      <c r="AW41" s="1919">
        <f>'Saisie données stocks'!Y53</f>
        <v>0</v>
      </c>
      <c r="AX41" s="1920">
        <f>'Saisie données stocks'!Z53</f>
        <v>0</v>
      </c>
      <c r="AY41" s="1923">
        <f t="shared" si="23"/>
        <v>0</v>
      </c>
      <c r="AZ41" s="1923" t="str">
        <f>IF(AND(AW41=0, AX41=0), "ND", IF((AW41-Paramétrage!$H$19)&gt;0, (AW41-Paramétrage!$H$19)/(365/12), "Date non renseignée ou produit périmé"))</f>
        <v>ND</v>
      </c>
      <c r="BA41" s="1923" t="str">
        <f t="shared" si="24"/>
        <v>ND</v>
      </c>
      <c r="BB41" s="1923" t="str">
        <f t="shared" si="25"/>
        <v>ND</v>
      </c>
      <c r="BC41" s="1923" t="str">
        <f>IF(BB41="ND", "ND", IF(BB41&gt;0, 'TRAD-Calculs Péremption FA'!$B$73, "OK"))</f>
        <v>ND</v>
      </c>
      <c r="BD41" s="1924" t="str">
        <f t="shared" si="5"/>
        <v>ND</v>
      </c>
      <c r="BE41" s="1919">
        <f>'Saisie données stocks'!AA53</f>
        <v>0</v>
      </c>
      <c r="BF41" s="1920">
        <f>'Saisie données stocks'!AB53</f>
        <v>0</v>
      </c>
      <c r="BG41" s="1923">
        <f t="shared" si="26"/>
        <v>0</v>
      </c>
      <c r="BH41" s="1923" t="str">
        <f>IF(AND(BE41=0, BF41=0), "ND", IF((BE41-Paramétrage!$H$19)&gt;0, (BE41-Paramétrage!$H$19)/(365/12), "Date non renseignée ou produit périmé"))</f>
        <v>ND</v>
      </c>
      <c r="BI41" s="1923" t="str">
        <f t="shared" si="27"/>
        <v>ND</v>
      </c>
      <c r="BJ41" s="1923" t="str">
        <f t="shared" si="28"/>
        <v>ND</v>
      </c>
      <c r="BK41" s="1923" t="str">
        <f>IF(BJ41="ND", "ND", IF(BJ41&gt;0, 'TRAD-Calculs Péremption FA'!$B$73, "OK"))</f>
        <v>ND</v>
      </c>
      <c r="BL41" s="1924" t="str">
        <f t="shared" si="6"/>
        <v>ND</v>
      </c>
      <c r="BM41" s="1919">
        <f>'Saisie données stocks'!AC53</f>
        <v>0</v>
      </c>
      <c r="BN41" s="1920">
        <f>'Saisie données stocks'!AD53</f>
        <v>0</v>
      </c>
      <c r="BO41" s="1923">
        <f t="shared" si="29"/>
        <v>0</v>
      </c>
      <c r="BP41" s="1923" t="str">
        <f>IF(AND(BM41=0, BN41=0), "ND", IF((BM41-Paramétrage!$H$19)&gt;0, (BM41-Paramétrage!$H$19)/(365/12), "Date non renseignée ou produit périmé"))</f>
        <v>ND</v>
      </c>
      <c r="BQ41" s="1923" t="str">
        <f t="shared" si="30"/>
        <v>ND</v>
      </c>
      <c r="BR41" s="1923" t="str">
        <f t="shared" si="31"/>
        <v>ND</v>
      </c>
      <c r="BS41" s="1923" t="str">
        <f>IF(BR41="ND", "ND", IF(BR41&gt;0, 'TRAD-Calculs Péremption FA'!$B$73, "OK"))</f>
        <v>ND</v>
      </c>
      <c r="BT41" s="1924" t="str">
        <f t="shared" si="7"/>
        <v>ND</v>
      </c>
      <c r="BU41" s="1925">
        <f>IF('Saisie données stocks'!$O$10='TRAD-Saisie données stocks'!$B$51, IF(P41="OK", IF(AND(BR41&gt;0, ISNUMBER(BR41)), (BO41-BR41), (BO41)), O41), O41)</f>
        <v>0</v>
      </c>
      <c r="BV41" s="1925">
        <f t="shared" si="8"/>
        <v>1705</v>
      </c>
      <c r="BW41" s="2045">
        <f t="shared" si="32"/>
        <v>42095</v>
      </c>
      <c r="BX41" s="2045">
        <f>IF('Saisie données stocks'!$O$10='TRAD-Saisie données stocks'!$B$51, IF('Calculs Péremption FA'!P41="OK", IF(BU41=O41, MAX(Paramétrage!$H$19+('Saisie données stocks'!$N$14*(365/12)), BM41, BE41, AW41, AO41, AG41, Y41, R41), BW41), Paramétrage!$H$19+('Saisie données stocks'!$N$14*(365/12))), Paramétrage!$H$19+('Saisie données stocks'!$N$14*(365/12)))</f>
        <v>42095</v>
      </c>
      <c r="BY41" s="2046">
        <f t="shared" si="9"/>
        <v>1</v>
      </c>
      <c r="BZ41" s="2046">
        <f t="shared" si="10"/>
        <v>4</v>
      </c>
      <c r="CA41" s="2046">
        <f t="shared" si="11"/>
        <v>2015</v>
      </c>
      <c r="CB41" s="2046">
        <f>IF(BX41="", "", (BX41-Paramétrage!$H$19)/(365/12))</f>
        <v>5.7863013698630139</v>
      </c>
      <c r="CC41" s="2043" t="str">
        <f>IF(CB41='Saisie données stocks'!N$14, 'TRAD-Calculs Péremption FA'!$B$74, CONCATENATE("DLU - ", BY41, "/", BZ41, "/", CA41))</f>
        <v>DLU - 1/4/2015</v>
      </c>
    </row>
    <row r="42" spans="2:81" ht="26.25" thickBot="1" x14ac:dyDescent="0.25">
      <c r="B42" s="374"/>
      <c r="C42" s="402"/>
      <c r="D42" s="1949" t="s">
        <v>598</v>
      </c>
      <c r="E42" s="1947" t="str">
        <f>'TRAD-Calculs Péremption FA'!B9</f>
        <v>Cp</v>
      </c>
      <c r="F42" s="1947" t="s">
        <v>616</v>
      </c>
      <c r="G42" s="1948" t="s">
        <v>633</v>
      </c>
      <c r="H42" s="533" t="str">
        <f t="shared" si="12"/>
        <v>FPV - 700 mg</v>
      </c>
      <c r="I42" s="1388">
        <v>60</v>
      </c>
      <c r="J42" s="1215"/>
      <c r="K42" s="1216">
        <f>IF('TdB Péremptions'!$H$9="X", 'Prix 10-2011 GPRM $'!$O$61, IF('TdB Péremptions'!$H$10="X", 'Prix 10-2011 GPRM $'!$Q$61, IF('TdB Péremptions'!$H$11="X", 'Prix VPP 102012 convert'!$O$61, IF('TdB Péremptions'!$H$12="X", 'Prix VPP 102012 convert'!$Q$61, IF('TdB Péremptions'!$H$13="X", 'Prix spécifiques'!$J$42, 0)))))</f>
        <v>92.958904109589042</v>
      </c>
      <c r="L42" s="1216">
        <f>(1+'TdB Péremptions'!$H$14)*K42</f>
        <v>102.25479452054796</v>
      </c>
      <c r="M42" s="1916">
        <f>Calculs!L352</f>
        <v>0</v>
      </c>
      <c r="N42" s="1916">
        <f>Calculs!N352</f>
        <v>0</v>
      </c>
      <c r="O42" s="1916">
        <f>'Saisie données stocks'!N54</f>
        <v>0</v>
      </c>
      <c r="P42" s="1917" t="str">
        <f>IF(SUM('Saisie données stocks'!R54+'Saisie données stocks'!T54+'Saisie données stocks'!V54+'Saisie données stocks'!X54+'Saisie données stocks'!Z54+'Saisie données stocks'!AB54+'Saisie données stocks'!AD54)='Calculs Péremption conso'!O42,  "OK", 'TRAD-Calculs Péremption FA'!$B$75)</f>
        <v>OK</v>
      </c>
      <c r="Q42" s="1918" t="str">
        <f>IF(AND(O42&gt;0, Calculs!L352=0, Calculs!N352=0), 'TRAD-Calculs Péremption FA'!$B$76, "")</f>
        <v/>
      </c>
      <c r="R42" s="1919">
        <f>'Saisie données stocks'!Q54</f>
        <v>0</v>
      </c>
      <c r="S42" s="1920">
        <f>'Saisie données stocks'!R54</f>
        <v>0</v>
      </c>
      <c r="T42" s="1921" t="str">
        <f>IF(AND(R42=0, S42=0), "ND", IF((R42-Paramétrage!$H$19)&gt;0, (R42-Paramétrage!$H$19)/(365/12), "Date non renseignée ou produit périmé"))</f>
        <v>ND</v>
      </c>
      <c r="U42" s="1922" t="str">
        <f t="shared" si="13"/>
        <v>ND</v>
      </c>
      <c r="V42" s="1922" t="str">
        <f t="shared" si="0"/>
        <v>ND</v>
      </c>
      <c r="W42" s="1921" t="str">
        <f>IF(V42="ND", "ND", IF(V42&gt;0, 'TRAD-Calculs Péremption FA'!$B$73, "OK"))</f>
        <v>ND</v>
      </c>
      <c r="X42" s="1924" t="str">
        <f t="shared" si="1"/>
        <v>ND</v>
      </c>
      <c r="Y42" s="1919">
        <f>'Saisie données stocks'!S54</f>
        <v>0</v>
      </c>
      <c r="Z42" s="1920">
        <f>'Saisie données stocks'!T54</f>
        <v>0</v>
      </c>
      <c r="AA42" s="1923">
        <f t="shared" si="14"/>
        <v>0</v>
      </c>
      <c r="AB42" s="1923" t="str">
        <f>IF(AND(Y42=0, Z42=0), "ND", IF((Y42-Paramétrage!$H$19)&gt;0, (Y42-Paramétrage!$H$19)/(365/12), "Date non renseignée ou produit périmé"))</f>
        <v>ND</v>
      </c>
      <c r="AC42" s="1923" t="str">
        <f t="shared" si="15"/>
        <v>ND</v>
      </c>
      <c r="AD42" s="1923" t="str">
        <f t="shared" si="16"/>
        <v>ND</v>
      </c>
      <c r="AE42" s="1921" t="str">
        <f>IF(AD42="ND", "ND", IF(AD42&gt;0, 'TRAD-Calculs Péremption FA'!$B$73, "OK"))</f>
        <v>ND</v>
      </c>
      <c r="AF42" s="1924" t="str">
        <f t="shared" si="2"/>
        <v>ND</v>
      </c>
      <c r="AG42" s="1919">
        <f>'Saisie données stocks'!U54</f>
        <v>0</v>
      </c>
      <c r="AH42" s="1920">
        <f>'Saisie données stocks'!V54</f>
        <v>0</v>
      </c>
      <c r="AI42" s="1923">
        <f t="shared" si="17"/>
        <v>0</v>
      </c>
      <c r="AJ42" s="1923" t="str">
        <f>IF(AND(AG42=0, AH42=0), "ND", IF((AG42-Paramétrage!$H$19)&gt;0, (AG42-Paramétrage!$H$19)/(365/12), "Date non renseignée ou produit périmé"))</f>
        <v>ND</v>
      </c>
      <c r="AK42" s="1923" t="str">
        <f t="shared" si="18"/>
        <v>ND</v>
      </c>
      <c r="AL42" s="1923" t="str">
        <f t="shared" si="19"/>
        <v>ND</v>
      </c>
      <c r="AM42" s="1923" t="str">
        <f>IF(AL42="ND", "ND", IF(AL42&gt;0, 'TRAD-Calculs Péremption FA'!$B$73, "OK"))</f>
        <v>ND</v>
      </c>
      <c r="AN42" s="1924" t="str">
        <f t="shared" si="3"/>
        <v>ND</v>
      </c>
      <c r="AO42" s="1919">
        <f>'Saisie données stocks'!W54</f>
        <v>0</v>
      </c>
      <c r="AP42" s="1920">
        <f>'Saisie données stocks'!X54</f>
        <v>0</v>
      </c>
      <c r="AQ42" s="1923">
        <f t="shared" si="20"/>
        <v>0</v>
      </c>
      <c r="AR42" s="1923" t="str">
        <f>IF(AND(AO42=0, AP42=0), "ND", IF((AO42-Paramétrage!$H$19)&gt;0, (AO42-Paramétrage!$H$19)/(365/12), "Date non renseignée ou produit périmé"))</f>
        <v>ND</v>
      </c>
      <c r="AS42" s="1923" t="str">
        <f t="shared" si="21"/>
        <v>ND</v>
      </c>
      <c r="AT42" s="1923" t="str">
        <f t="shared" si="22"/>
        <v>ND</v>
      </c>
      <c r="AU42" s="1923" t="str">
        <f>IF(AT42="ND", "ND", IF(AT42&gt;0, 'TRAD-Calculs Péremption FA'!$B$73, "OK"))</f>
        <v>ND</v>
      </c>
      <c r="AV42" s="1924" t="str">
        <f t="shared" si="4"/>
        <v>ND</v>
      </c>
      <c r="AW42" s="1919">
        <f>'Saisie données stocks'!Y54</f>
        <v>0</v>
      </c>
      <c r="AX42" s="1920">
        <f>'Saisie données stocks'!Z54</f>
        <v>0</v>
      </c>
      <c r="AY42" s="1923">
        <f t="shared" si="23"/>
        <v>0</v>
      </c>
      <c r="AZ42" s="1923" t="str">
        <f>IF(AND(AW42=0, AX42=0), "ND", IF((AW42-Paramétrage!$H$19)&gt;0, (AW42-Paramétrage!$H$19)/(365/12), "Date non renseignée ou produit périmé"))</f>
        <v>ND</v>
      </c>
      <c r="BA42" s="1923" t="str">
        <f t="shared" si="24"/>
        <v>ND</v>
      </c>
      <c r="BB42" s="1923" t="str">
        <f t="shared" si="25"/>
        <v>ND</v>
      </c>
      <c r="BC42" s="1923" t="str">
        <f>IF(BB42="ND", "ND", IF(BB42&gt;0, 'TRAD-Calculs Péremption FA'!$B$73, "OK"))</f>
        <v>ND</v>
      </c>
      <c r="BD42" s="1924" t="str">
        <f t="shared" si="5"/>
        <v>ND</v>
      </c>
      <c r="BE42" s="1919">
        <f>'Saisie données stocks'!AA54</f>
        <v>0</v>
      </c>
      <c r="BF42" s="1920">
        <f>'Saisie données stocks'!AB54</f>
        <v>0</v>
      </c>
      <c r="BG42" s="1923">
        <f t="shared" si="26"/>
        <v>0</v>
      </c>
      <c r="BH42" s="1923" t="str">
        <f>IF(AND(BE42=0, BF42=0), "ND", IF((BE42-Paramétrage!$H$19)&gt;0, (BE42-Paramétrage!$H$19)/(365/12), "Date non renseignée ou produit périmé"))</f>
        <v>ND</v>
      </c>
      <c r="BI42" s="1923" t="str">
        <f t="shared" si="27"/>
        <v>ND</v>
      </c>
      <c r="BJ42" s="1923" t="str">
        <f t="shared" si="28"/>
        <v>ND</v>
      </c>
      <c r="BK42" s="1923" t="str">
        <f>IF(BJ42="ND", "ND", IF(BJ42&gt;0, 'TRAD-Calculs Péremption FA'!$B$73, "OK"))</f>
        <v>ND</v>
      </c>
      <c r="BL42" s="1924" t="str">
        <f t="shared" si="6"/>
        <v>ND</v>
      </c>
      <c r="BM42" s="1919">
        <f>'Saisie données stocks'!AC54</f>
        <v>0</v>
      </c>
      <c r="BN42" s="1920">
        <f>'Saisie données stocks'!AD54</f>
        <v>0</v>
      </c>
      <c r="BO42" s="1923">
        <f t="shared" si="29"/>
        <v>0</v>
      </c>
      <c r="BP42" s="1923" t="str">
        <f>IF(AND(BM42=0, BN42=0), "ND", IF((BM42-Paramétrage!$H$19)&gt;0, (BM42-Paramétrage!$H$19)/(365/12), "Date non renseignée ou produit périmé"))</f>
        <v>ND</v>
      </c>
      <c r="BQ42" s="1923" t="str">
        <f t="shared" si="30"/>
        <v>ND</v>
      </c>
      <c r="BR42" s="1923" t="str">
        <f t="shared" si="31"/>
        <v>ND</v>
      </c>
      <c r="BS42" s="1923" t="str">
        <f>IF(BR42="ND", "ND", IF(BR42&gt;0, 'TRAD-Calculs Péremption FA'!$B$73, "OK"))</f>
        <v>ND</v>
      </c>
      <c r="BT42" s="1924" t="str">
        <f t="shared" si="7"/>
        <v>ND</v>
      </c>
      <c r="BU42" s="1925">
        <f>IF('Saisie données stocks'!$O$10='TRAD-Saisie données stocks'!$B$51, IF(P42="OK", IF(AND(BR42&gt;0, ISNUMBER(BR42)), (BO42-BR42), (BO42)), O42), O42)</f>
        <v>0</v>
      </c>
      <c r="BV42" s="1925">
        <f t="shared" si="8"/>
        <v>0</v>
      </c>
      <c r="BW42" s="2045" t="str">
        <f t="shared" si="32"/>
        <v/>
      </c>
      <c r="BX42" s="2045">
        <f>IF('Saisie données stocks'!$O$10='TRAD-Saisie données stocks'!$B$51, IF('Calculs Péremption FA'!P42="OK", IF(BU42=O42, MAX(Paramétrage!$H$19+('Saisie données stocks'!$N$14*(365/12)), BM42, BE42, AW42, AO42, AG42, Y42, R42), BW42), Paramétrage!$H$19+('Saisie données stocks'!$N$14*(365/12))), Paramétrage!$H$19+('Saisie données stocks'!$N$14*(365/12)))</f>
        <v>42101.5</v>
      </c>
      <c r="BY42" s="2046">
        <f t="shared" si="9"/>
        <v>7</v>
      </c>
      <c r="BZ42" s="2046">
        <f t="shared" si="10"/>
        <v>4</v>
      </c>
      <c r="CA42" s="2046">
        <f t="shared" si="11"/>
        <v>2015</v>
      </c>
      <c r="CB42" s="2046">
        <f>IF(BX42="", "", (BX42-Paramétrage!$H$19)/(365/12))</f>
        <v>6</v>
      </c>
      <c r="CC42" s="2043" t="str">
        <f>IF(CB42='Saisie données stocks'!N$14, 'TRAD-Calculs Péremption FA'!$B$74, CONCATENATE("DLU - ", BY42, "/", BZ42, "/", CA42))</f>
        <v>Durée de vie max</v>
      </c>
    </row>
    <row r="43" spans="2:81" ht="26.25" thickBot="1" x14ac:dyDescent="0.25">
      <c r="B43" s="374"/>
      <c r="C43" s="402"/>
      <c r="D43" s="1940" t="s">
        <v>44</v>
      </c>
      <c r="E43" s="1941" t="s">
        <v>104</v>
      </c>
      <c r="F43" s="1941" t="s">
        <v>39</v>
      </c>
      <c r="G43" s="1844" t="s">
        <v>634</v>
      </c>
      <c r="H43" s="1807" t="str">
        <f t="shared" si="12"/>
        <v>IDV - 400 mg</v>
      </c>
      <c r="I43" s="1386">
        <v>180</v>
      </c>
      <c r="J43" s="1646"/>
      <c r="K43" s="1647">
        <f>IF('TdB Péremptions'!$H$9="X", 'Prix 10-2011 GPRM $'!$O$53, IF('TdB Péremptions'!$H$10="X", 'Prix 10-2011 GPRM $'!$Q$53, IF('TdB Péremptions'!$H$11="X", 'Prix VPP 102012 convert'!$O$53, IF('TdB Péremptions'!$H$12="X", 'Prix VPP 102012 convert'!$Q$53, IF('TdB Péremptions'!$H$13="X", 'Prix spécifiques'!$J$43, 0)))))</f>
        <v>50.054794520547951</v>
      </c>
      <c r="L43" s="1647">
        <f>(1+'TdB Péremptions'!$H$14)*K43</f>
        <v>55.060273972602751</v>
      </c>
      <c r="M43" s="1916">
        <f>Calculs!L353</f>
        <v>0</v>
      </c>
      <c r="N43" s="1916">
        <f>Calculs!N353</f>
        <v>0</v>
      </c>
      <c r="O43" s="1916">
        <f>'Saisie données stocks'!N55</f>
        <v>0</v>
      </c>
      <c r="P43" s="2539" t="str">
        <f>IF(SUM('Saisie données stocks'!R55+'Saisie données stocks'!T55+'Saisie données stocks'!V55+'Saisie données stocks'!X55+'Saisie données stocks'!Z55+'Saisie données stocks'!AB55+'Saisie données stocks'!AD55)='Calculs Péremption conso'!O43,  "OK", 'TRAD-Calculs Péremption FA'!$B$75)</f>
        <v>OK</v>
      </c>
      <c r="Q43" s="1918" t="str">
        <f>IF(AND(O43&gt;0, Calculs!L353=0, Calculs!N353=0), 'TRAD-Calculs Péremption FA'!$B$76, "")</f>
        <v/>
      </c>
      <c r="R43" s="1919">
        <f>'Saisie données stocks'!Q55</f>
        <v>0</v>
      </c>
      <c r="S43" s="1920">
        <f>'Saisie données stocks'!R55</f>
        <v>0</v>
      </c>
      <c r="T43" s="1921" t="str">
        <f>IF(AND(R43=0, S43=0), "ND", IF((R43-Paramétrage!$H$19)&gt;0, (R43-Paramétrage!$H$19)/(365/12), "Date non renseignée ou produit périmé"))</f>
        <v>ND</v>
      </c>
      <c r="U43" s="1922" t="str">
        <f t="shared" si="13"/>
        <v>ND</v>
      </c>
      <c r="V43" s="1922" t="str">
        <f t="shared" si="0"/>
        <v>ND</v>
      </c>
      <c r="W43" s="1921" t="str">
        <f>IF(V43="ND", "ND", IF(V43&gt;0, 'TRAD-Calculs Péremption FA'!$B$73, "OK"))</f>
        <v>ND</v>
      </c>
      <c r="X43" s="1924" t="str">
        <f t="shared" si="1"/>
        <v>ND</v>
      </c>
      <c r="Y43" s="1919">
        <f>'Saisie données stocks'!S55</f>
        <v>0</v>
      </c>
      <c r="Z43" s="1920">
        <f>'Saisie données stocks'!T55</f>
        <v>0</v>
      </c>
      <c r="AA43" s="1923">
        <f t="shared" si="14"/>
        <v>0</v>
      </c>
      <c r="AB43" s="1923" t="str">
        <f>IF(AND(Y43=0, Z43=0), "ND", IF((Y43-Paramétrage!$H$19)&gt;0, (Y43-Paramétrage!$H$19)/(365/12), "Date non renseignée ou produit périmé"))</f>
        <v>ND</v>
      </c>
      <c r="AC43" s="1923" t="str">
        <f t="shared" si="15"/>
        <v>ND</v>
      </c>
      <c r="AD43" s="1923" t="str">
        <f t="shared" si="16"/>
        <v>ND</v>
      </c>
      <c r="AE43" s="1921" t="str">
        <f>IF(AD43="ND", "ND", IF(AD43&gt;0, 'TRAD-Calculs Péremption FA'!$B$73, "OK"))</f>
        <v>ND</v>
      </c>
      <c r="AF43" s="1924" t="str">
        <f t="shared" si="2"/>
        <v>ND</v>
      </c>
      <c r="AG43" s="1919">
        <f>'Saisie données stocks'!U55</f>
        <v>0</v>
      </c>
      <c r="AH43" s="1920">
        <f>'Saisie données stocks'!V55</f>
        <v>0</v>
      </c>
      <c r="AI43" s="1923">
        <f t="shared" si="17"/>
        <v>0</v>
      </c>
      <c r="AJ43" s="1923" t="str">
        <f>IF(AND(AG43=0, AH43=0), "ND", IF((AG43-Paramétrage!$H$19)&gt;0, (AG43-Paramétrage!$H$19)/(365/12), "Date non renseignée ou produit périmé"))</f>
        <v>ND</v>
      </c>
      <c r="AK43" s="1923" t="str">
        <f t="shared" si="18"/>
        <v>ND</v>
      </c>
      <c r="AL43" s="1923" t="str">
        <f t="shared" si="19"/>
        <v>ND</v>
      </c>
      <c r="AM43" s="1923" t="str">
        <f>IF(AL43="ND", "ND", IF(AL43&gt;0, 'TRAD-Calculs Péremption FA'!$B$73, "OK"))</f>
        <v>ND</v>
      </c>
      <c r="AN43" s="1924" t="str">
        <f t="shared" si="3"/>
        <v>ND</v>
      </c>
      <c r="AO43" s="1919">
        <f>'Saisie données stocks'!W55</f>
        <v>0</v>
      </c>
      <c r="AP43" s="1920">
        <f>'Saisie données stocks'!X55</f>
        <v>0</v>
      </c>
      <c r="AQ43" s="1923">
        <f t="shared" si="20"/>
        <v>0</v>
      </c>
      <c r="AR43" s="1923" t="str">
        <f>IF(AND(AO43=0, AP43=0), "ND", IF((AO43-Paramétrage!$H$19)&gt;0, (AO43-Paramétrage!$H$19)/(365/12), "Date non renseignée ou produit périmé"))</f>
        <v>ND</v>
      </c>
      <c r="AS43" s="1923" t="str">
        <f t="shared" si="21"/>
        <v>ND</v>
      </c>
      <c r="AT43" s="1923" t="str">
        <f t="shared" si="22"/>
        <v>ND</v>
      </c>
      <c r="AU43" s="1923" t="str">
        <f>IF(AT43="ND", "ND", IF(AT43&gt;0, 'TRAD-Calculs Péremption FA'!$B$73, "OK"))</f>
        <v>ND</v>
      </c>
      <c r="AV43" s="1924" t="str">
        <f t="shared" si="4"/>
        <v>ND</v>
      </c>
      <c r="AW43" s="1919">
        <f>'Saisie données stocks'!Y55</f>
        <v>0</v>
      </c>
      <c r="AX43" s="1920">
        <f>'Saisie données stocks'!Z55</f>
        <v>0</v>
      </c>
      <c r="AY43" s="1923">
        <f t="shared" si="23"/>
        <v>0</v>
      </c>
      <c r="AZ43" s="1923" t="str">
        <f>IF(AND(AW43=0, AX43=0), "ND", IF((AW43-Paramétrage!$H$19)&gt;0, (AW43-Paramétrage!$H$19)/(365/12), "Date non renseignée ou produit périmé"))</f>
        <v>ND</v>
      </c>
      <c r="BA43" s="1923" t="str">
        <f t="shared" si="24"/>
        <v>ND</v>
      </c>
      <c r="BB43" s="1923" t="str">
        <f t="shared" si="25"/>
        <v>ND</v>
      </c>
      <c r="BC43" s="1923" t="str">
        <f>IF(BB43="ND", "ND", IF(BB43&gt;0, 'TRAD-Calculs Péremption FA'!$B$73, "OK"))</f>
        <v>ND</v>
      </c>
      <c r="BD43" s="1924" t="str">
        <f t="shared" si="5"/>
        <v>ND</v>
      </c>
      <c r="BE43" s="1919">
        <f>'Saisie données stocks'!AA55</f>
        <v>0</v>
      </c>
      <c r="BF43" s="1920">
        <f>'Saisie données stocks'!AB55</f>
        <v>0</v>
      </c>
      <c r="BG43" s="1923">
        <f t="shared" si="26"/>
        <v>0</v>
      </c>
      <c r="BH43" s="1923" t="str">
        <f>IF(AND(BE43=0, BF43=0), "ND", IF((BE43-Paramétrage!$H$19)&gt;0, (BE43-Paramétrage!$H$19)/(365/12), "Date non renseignée ou produit périmé"))</f>
        <v>ND</v>
      </c>
      <c r="BI43" s="1923" t="str">
        <f t="shared" si="27"/>
        <v>ND</v>
      </c>
      <c r="BJ43" s="1923" t="str">
        <f t="shared" si="28"/>
        <v>ND</v>
      </c>
      <c r="BK43" s="1923" t="str">
        <f>IF(BJ43="ND", "ND", IF(BJ43&gt;0, 'TRAD-Calculs Péremption FA'!$B$73, "OK"))</f>
        <v>ND</v>
      </c>
      <c r="BL43" s="1924" t="str">
        <f t="shared" si="6"/>
        <v>ND</v>
      </c>
      <c r="BM43" s="1919">
        <f>'Saisie données stocks'!AC55</f>
        <v>0</v>
      </c>
      <c r="BN43" s="1920">
        <f>'Saisie données stocks'!AD55</f>
        <v>0</v>
      </c>
      <c r="BO43" s="1923">
        <f t="shared" si="29"/>
        <v>0</v>
      </c>
      <c r="BP43" s="1923" t="str">
        <f>IF(AND(BM43=0, BN43=0), "ND", IF((BM43-Paramétrage!$H$19)&gt;0, (BM43-Paramétrage!$H$19)/(365/12), "Date non renseignée ou produit périmé"))</f>
        <v>ND</v>
      </c>
      <c r="BQ43" s="1923" t="str">
        <f t="shared" si="30"/>
        <v>ND</v>
      </c>
      <c r="BR43" s="1923" t="str">
        <f t="shared" si="31"/>
        <v>ND</v>
      </c>
      <c r="BS43" s="1923" t="str">
        <f>IF(BR43="ND", "ND", IF(BR43&gt;0, 'TRAD-Calculs Péremption FA'!$B$73, "OK"))</f>
        <v>ND</v>
      </c>
      <c r="BT43" s="1924" t="str">
        <f t="shared" si="7"/>
        <v>ND</v>
      </c>
      <c r="BU43" s="1925">
        <f>IF('Saisie données stocks'!$O$10='TRAD-Saisie données stocks'!$B$51, IF(P43="OK", IF(AND(BR43&gt;0, ISNUMBER(BR43)), (BO43-BR43), (BO43)), O43), O43)</f>
        <v>0</v>
      </c>
      <c r="BV43" s="1925">
        <f t="shared" si="8"/>
        <v>0</v>
      </c>
      <c r="BW43" s="2045" t="str">
        <f t="shared" si="32"/>
        <v/>
      </c>
      <c r="BX43" s="2045">
        <f>IF('Saisie données stocks'!$O$10='TRAD-Saisie données stocks'!$B$51, IF('Calculs Péremption FA'!P43="OK", IF(BU43=O43, MAX(Paramétrage!$H$19+('Saisie données stocks'!$N$14*(365/12)), BM43, BE43, AW43, AO43, AG43, Y43, R43), BW43), Paramétrage!$H$19+('Saisie données stocks'!$N$14*(365/12))), Paramétrage!$H$19+('Saisie données stocks'!$N$14*(365/12)))</f>
        <v>42101.5</v>
      </c>
      <c r="BY43" s="2046">
        <f t="shared" si="9"/>
        <v>7</v>
      </c>
      <c r="BZ43" s="2046">
        <f t="shared" si="10"/>
        <v>4</v>
      </c>
      <c r="CA43" s="2046">
        <f t="shared" si="11"/>
        <v>2015</v>
      </c>
      <c r="CB43" s="2046">
        <f>IF(BX43="", "", (BX43-Paramétrage!$H$19)/(365/12))</f>
        <v>6</v>
      </c>
      <c r="CC43" s="2043" t="str">
        <f>IF(CB43='Saisie données stocks'!N$14, 'TRAD-Calculs Péremption FA'!$B$74, CONCATENATE("DLU - ", BY43, "/", BZ43, "/", CA43))</f>
        <v>Durée de vie max</v>
      </c>
    </row>
    <row r="44" spans="2:81" ht="26.25" thickBot="1" x14ac:dyDescent="0.25">
      <c r="B44" s="374"/>
      <c r="C44" s="402"/>
      <c r="D44" s="1940" t="s">
        <v>264</v>
      </c>
      <c r="E44" s="1941" t="str">
        <f>'TRAD-Calculs Péremption FA'!B9</f>
        <v>Cp</v>
      </c>
      <c r="F44" s="1950" t="s">
        <v>33</v>
      </c>
      <c r="G44" s="1844" t="s">
        <v>635</v>
      </c>
      <c r="H44" s="1807" t="str">
        <f t="shared" si="12"/>
        <v>DRV - 300 mg</v>
      </c>
      <c r="I44" s="1386">
        <v>60</v>
      </c>
      <c r="J44" s="1646"/>
      <c r="K44" s="1647">
        <f>IF('TdB Péremptions'!$H$9="X", 'Prix 10-2011 GPRM $'!$O$62, IF('TdB Péremptions'!$H$10="X", 'Prix 10-2011 GPRM $'!$Q$62, IF('TdB Péremptions'!$H$11="X", 'Prix VPP 102012 convert'!$O$62, IF('TdB Péremptions'!$H$12="X", 'Prix VPP 102012 convert'!$Q$62, IF('TdB Péremptions'!$H$13="X", 'Prix spécifiques'!$J$44, 0)))))</f>
        <v>93.041095890410958</v>
      </c>
      <c r="L44" s="1647">
        <f>(1+'TdB Péremptions'!$H$14)*K44</f>
        <v>102.34520547945206</v>
      </c>
      <c r="M44" s="1916">
        <f>Calculs!L354</f>
        <v>0</v>
      </c>
      <c r="N44" s="1916">
        <f>Calculs!N354</f>
        <v>0</v>
      </c>
      <c r="O44" s="1916">
        <f>'Saisie données stocks'!N56</f>
        <v>0</v>
      </c>
      <c r="P44" s="1917" t="str">
        <f>IF(SUM('Saisie données stocks'!R56+'Saisie données stocks'!T56+'Saisie données stocks'!V56+'Saisie données stocks'!X56+'Saisie données stocks'!Z56+'Saisie données stocks'!AB56+'Saisie données stocks'!AD56)='Calculs Péremption conso'!O44,  "OK", 'TRAD-Calculs Péremption FA'!$B$75)</f>
        <v>OK</v>
      </c>
      <c r="Q44" s="1918" t="str">
        <f>IF(AND(O44&gt;0, Calculs!L354=0, Calculs!N354=0), 'TRAD-Calculs Péremption FA'!$B$76, "")</f>
        <v/>
      </c>
      <c r="R44" s="1919">
        <f>'Saisie données stocks'!Q56</f>
        <v>0</v>
      </c>
      <c r="S44" s="1920">
        <f>'Saisie données stocks'!R56</f>
        <v>0</v>
      </c>
      <c r="T44" s="1921" t="str">
        <f>IF(AND(R44=0, S44=0), "ND", IF((R44-Paramétrage!$H$19)&gt;0, (R44-Paramétrage!$H$19)/(365/12), "Date non renseignée ou produit périmé"))</f>
        <v>ND</v>
      </c>
      <c r="U44" s="1922" t="str">
        <f t="shared" si="13"/>
        <v>ND</v>
      </c>
      <c r="V44" s="1922" t="str">
        <f t="shared" si="0"/>
        <v>ND</v>
      </c>
      <c r="W44" s="1921" t="str">
        <f>IF(V44="ND", "ND", IF(V44&gt;0, 'TRAD-Calculs Péremption FA'!$B$73, "OK"))</f>
        <v>ND</v>
      </c>
      <c r="X44" s="1924" t="str">
        <f t="shared" si="1"/>
        <v>ND</v>
      </c>
      <c r="Y44" s="1919">
        <f>'Saisie données stocks'!S56</f>
        <v>0</v>
      </c>
      <c r="Z44" s="1920">
        <f>'Saisie données stocks'!T56</f>
        <v>0</v>
      </c>
      <c r="AA44" s="1923">
        <f t="shared" si="14"/>
        <v>0</v>
      </c>
      <c r="AB44" s="1923" t="str">
        <f>IF(AND(Y44=0, Z44=0), "ND", IF((Y44-Paramétrage!$H$19)&gt;0, (Y44-Paramétrage!$H$19)/(365/12), "Date non renseignée ou produit périmé"))</f>
        <v>ND</v>
      </c>
      <c r="AC44" s="1923" t="str">
        <f t="shared" si="15"/>
        <v>ND</v>
      </c>
      <c r="AD44" s="1923" t="str">
        <f t="shared" si="16"/>
        <v>ND</v>
      </c>
      <c r="AE44" s="1921" t="str">
        <f>IF(AD44="ND", "ND", IF(AD44&gt;0, 'TRAD-Calculs Péremption FA'!$B$73, "OK"))</f>
        <v>ND</v>
      </c>
      <c r="AF44" s="1924" t="str">
        <f t="shared" si="2"/>
        <v>ND</v>
      </c>
      <c r="AG44" s="1919">
        <f>'Saisie données stocks'!U56</f>
        <v>0</v>
      </c>
      <c r="AH44" s="1920">
        <f>'Saisie données stocks'!V56</f>
        <v>0</v>
      </c>
      <c r="AI44" s="1923">
        <f t="shared" si="17"/>
        <v>0</v>
      </c>
      <c r="AJ44" s="1923" t="str">
        <f>IF(AND(AG44=0, AH44=0), "ND", IF((AG44-Paramétrage!$H$19)&gt;0, (AG44-Paramétrage!$H$19)/(365/12), "Date non renseignée ou produit périmé"))</f>
        <v>ND</v>
      </c>
      <c r="AK44" s="1923" t="str">
        <f t="shared" si="18"/>
        <v>ND</v>
      </c>
      <c r="AL44" s="1923" t="str">
        <f t="shared" si="19"/>
        <v>ND</v>
      </c>
      <c r="AM44" s="1923" t="str">
        <f>IF(AL44="ND", "ND", IF(AL44&gt;0, 'TRAD-Calculs Péremption FA'!$B$73, "OK"))</f>
        <v>ND</v>
      </c>
      <c r="AN44" s="1924" t="str">
        <f t="shared" si="3"/>
        <v>ND</v>
      </c>
      <c r="AO44" s="1919">
        <f>'Saisie données stocks'!W56</f>
        <v>0</v>
      </c>
      <c r="AP44" s="1920">
        <f>'Saisie données stocks'!X56</f>
        <v>0</v>
      </c>
      <c r="AQ44" s="1923">
        <f t="shared" si="20"/>
        <v>0</v>
      </c>
      <c r="AR44" s="1923" t="str">
        <f>IF(AND(AO44=0, AP44=0), "ND", IF((AO44-Paramétrage!$H$19)&gt;0, (AO44-Paramétrage!$H$19)/(365/12), "Date non renseignée ou produit périmé"))</f>
        <v>ND</v>
      </c>
      <c r="AS44" s="1923" t="str">
        <f t="shared" si="21"/>
        <v>ND</v>
      </c>
      <c r="AT44" s="1923" t="str">
        <f t="shared" si="22"/>
        <v>ND</v>
      </c>
      <c r="AU44" s="1923" t="str">
        <f>IF(AT44="ND", "ND", IF(AT44&gt;0, 'TRAD-Calculs Péremption FA'!$B$73, "OK"))</f>
        <v>ND</v>
      </c>
      <c r="AV44" s="1924" t="str">
        <f t="shared" si="4"/>
        <v>ND</v>
      </c>
      <c r="AW44" s="1919">
        <f>'Saisie données stocks'!Y56</f>
        <v>0</v>
      </c>
      <c r="AX44" s="1920">
        <f>'Saisie données stocks'!Z56</f>
        <v>0</v>
      </c>
      <c r="AY44" s="1923">
        <f t="shared" si="23"/>
        <v>0</v>
      </c>
      <c r="AZ44" s="1923" t="str">
        <f>IF(AND(AW44=0, AX44=0), "ND", IF((AW44-Paramétrage!$H$19)&gt;0, (AW44-Paramétrage!$H$19)/(365/12), "Date non renseignée ou produit périmé"))</f>
        <v>ND</v>
      </c>
      <c r="BA44" s="1923" t="str">
        <f t="shared" si="24"/>
        <v>ND</v>
      </c>
      <c r="BB44" s="1923" t="str">
        <f t="shared" si="25"/>
        <v>ND</v>
      </c>
      <c r="BC44" s="1923" t="str">
        <f>IF(BB44="ND", "ND", IF(BB44&gt;0, 'TRAD-Calculs Péremption FA'!$B$73, "OK"))</f>
        <v>ND</v>
      </c>
      <c r="BD44" s="1924" t="str">
        <f t="shared" si="5"/>
        <v>ND</v>
      </c>
      <c r="BE44" s="1919">
        <f>'Saisie données stocks'!AA56</f>
        <v>0</v>
      </c>
      <c r="BF44" s="1920">
        <f>'Saisie données stocks'!AB56</f>
        <v>0</v>
      </c>
      <c r="BG44" s="1923">
        <f t="shared" si="26"/>
        <v>0</v>
      </c>
      <c r="BH44" s="1923" t="str">
        <f>IF(AND(BE44=0, BF44=0), "ND", IF((BE44-Paramétrage!$H$19)&gt;0, (BE44-Paramétrage!$H$19)/(365/12), "Date non renseignée ou produit périmé"))</f>
        <v>ND</v>
      </c>
      <c r="BI44" s="1923" t="str">
        <f t="shared" si="27"/>
        <v>ND</v>
      </c>
      <c r="BJ44" s="1923" t="str">
        <f t="shared" si="28"/>
        <v>ND</v>
      </c>
      <c r="BK44" s="1923" t="str">
        <f>IF(BJ44="ND", "ND", IF(BJ44&gt;0, 'TRAD-Calculs Péremption FA'!$B$73, "OK"))</f>
        <v>ND</v>
      </c>
      <c r="BL44" s="1924" t="str">
        <f t="shared" si="6"/>
        <v>ND</v>
      </c>
      <c r="BM44" s="1919">
        <f>'Saisie données stocks'!AC56</f>
        <v>0</v>
      </c>
      <c r="BN44" s="1920">
        <f>'Saisie données stocks'!AD56</f>
        <v>0</v>
      </c>
      <c r="BO44" s="1923">
        <f t="shared" si="29"/>
        <v>0</v>
      </c>
      <c r="BP44" s="1923" t="str">
        <f>IF(AND(BM44=0, BN44=0), "ND", IF((BM44-Paramétrage!$H$19)&gt;0, (BM44-Paramétrage!$H$19)/(365/12), "Date non renseignée ou produit périmé"))</f>
        <v>ND</v>
      </c>
      <c r="BQ44" s="1923" t="str">
        <f t="shared" si="30"/>
        <v>ND</v>
      </c>
      <c r="BR44" s="1923" t="str">
        <f t="shared" si="31"/>
        <v>ND</v>
      </c>
      <c r="BS44" s="1923" t="str">
        <f>IF(BR44="ND", "ND", IF(BR44&gt;0, 'TRAD-Calculs Péremption FA'!$B$73, "OK"))</f>
        <v>ND</v>
      </c>
      <c r="BT44" s="1924" t="str">
        <f t="shared" si="7"/>
        <v>ND</v>
      </c>
      <c r="BU44" s="1925">
        <f>IF('Saisie données stocks'!$O$10='TRAD-Saisie données stocks'!$B$51, IF(P44="OK", IF(AND(BR44&gt;0, ISNUMBER(BR44)), (BO44-BR44), (BO44)), O44), O44)</f>
        <v>0</v>
      </c>
      <c r="BV44" s="1925">
        <f t="shared" si="8"/>
        <v>0</v>
      </c>
      <c r="BW44" s="2045" t="str">
        <f t="shared" si="32"/>
        <v/>
      </c>
      <c r="BX44" s="2045">
        <f>IF('Saisie données stocks'!$O$10='TRAD-Saisie données stocks'!$B$51, IF('Calculs Péremption FA'!P44="OK", IF(BU44=O44, MAX(Paramétrage!$H$19+('Saisie données stocks'!$N$14*(365/12)), BM44, BE44, AW44, AO44, AG44, Y44, R44), BW44), Paramétrage!$H$19+('Saisie données stocks'!$N$14*(365/12))), Paramétrage!$H$19+('Saisie données stocks'!$N$14*(365/12)))</f>
        <v>42101.5</v>
      </c>
      <c r="BY44" s="2046">
        <f t="shared" si="9"/>
        <v>7</v>
      </c>
      <c r="BZ44" s="2046">
        <f t="shared" si="10"/>
        <v>4</v>
      </c>
      <c r="CA44" s="2046">
        <f t="shared" si="11"/>
        <v>2015</v>
      </c>
      <c r="CB44" s="2046">
        <f>IF(BX44="", "", (BX44-Paramétrage!$H$19)/(365/12))</f>
        <v>6</v>
      </c>
      <c r="CC44" s="2043" t="str">
        <f>IF(CB44='Saisie données stocks'!N$14, 'TRAD-Calculs Péremption FA'!$B$74, CONCATENATE("DLU - ", BY44, "/", BZ44, "/", CA44))</f>
        <v>Durée de vie max</v>
      </c>
    </row>
    <row r="45" spans="2:81" ht="26.25" thickBot="1" x14ac:dyDescent="0.25">
      <c r="B45" s="374"/>
      <c r="C45" s="402"/>
      <c r="D45" s="1940" t="s">
        <v>126</v>
      </c>
      <c r="E45" s="1941" t="str">
        <f>'TRAD-Calculs Péremption FA'!B9</f>
        <v>Cp</v>
      </c>
      <c r="F45" s="1941" t="s">
        <v>134</v>
      </c>
      <c r="G45" s="1844" t="s">
        <v>636</v>
      </c>
      <c r="H45" s="1807" t="str">
        <f t="shared" si="12"/>
        <v>SQV - 500 mg</v>
      </c>
      <c r="I45" s="1386">
        <v>120</v>
      </c>
      <c r="J45" s="1646"/>
      <c r="K45" s="1647">
        <f>IF('TdB Péremptions'!$H$9="X", 'Prix 10-2011 GPRM $'!$O$58, IF('TdB Péremptions'!$H$10="X", 'Prix 10-2011 GPRM $'!$Q$58, IF('TdB Péremptions'!$H$11="X", 'Prix VPP 102012 convert'!$O$58, IF('TdB Péremptions'!$H$12="X", 'Prix VPP 102012 convert'!$Q$58, IF('TdB Péremptions'!$H$13="X", 'Prix spécifiques'!$J$45, 0)))))</f>
        <v>103.56164383561644</v>
      </c>
      <c r="L45" s="1647">
        <f>(1+'TdB Péremptions'!$H$14)*K45</f>
        <v>113.91780821917808</v>
      </c>
      <c r="M45" s="1916">
        <f>Calculs!L355</f>
        <v>0</v>
      </c>
      <c r="N45" s="1916">
        <f>Calculs!N355</f>
        <v>0</v>
      </c>
      <c r="O45" s="1916">
        <f>'Saisie données stocks'!N57</f>
        <v>0</v>
      </c>
      <c r="P45" s="1917" t="str">
        <f>IF(SUM('Saisie données stocks'!R57+'Saisie données stocks'!T57+'Saisie données stocks'!V57+'Saisie données stocks'!X57+'Saisie données stocks'!Z57+'Saisie données stocks'!AB57+'Saisie données stocks'!AD57)='Calculs Péremption conso'!O45,  "OK", 'TRAD-Calculs Péremption FA'!$B$75)</f>
        <v>OK</v>
      </c>
      <c r="Q45" s="1918" t="str">
        <f>IF(AND(O45&gt;0, Calculs!L355=0, Calculs!N355=0), 'TRAD-Calculs Péremption FA'!$B$76, "")</f>
        <v/>
      </c>
      <c r="R45" s="1919">
        <f>'Saisie données stocks'!Q57</f>
        <v>0</v>
      </c>
      <c r="S45" s="1920">
        <f>'Saisie données stocks'!R57</f>
        <v>0</v>
      </c>
      <c r="T45" s="1921" t="str">
        <f>IF(AND(R45=0, S45=0), "ND", IF((R45-Paramétrage!$H$19)&gt;0, (R45-Paramétrage!$H$19)/(365/12), "Date non renseignée ou produit périmé"))</f>
        <v>ND</v>
      </c>
      <c r="U45" s="1922" t="str">
        <f t="shared" si="13"/>
        <v>ND</v>
      </c>
      <c r="V45" s="1922" t="str">
        <f t="shared" si="0"/>
        <v>ND</v>
      </c>
      <c r="W45" s="1921" t="str">
        <f>IF(V45="ND", "ND", IF(V45&gt;0, 'TRAD-Calculs Péremption FA'!$B$73, "OK"))</f>
        <v>ND</v>
      </c>
      <c r="X45" s="1924" t="str">
        <f t="shared" si="1"/>
        <v>ND</v>
      </c>
      <c r="Y45" s="1919">
        <f>'Saisie données stocks'!S57</f>
        <v>0</v>
      </c>
      <c r="Z45" s="1920">
        <f>'Saisie données stocks'!T57</f>
        <v>0</v>
      </c>
      <c r="AA45" s="1923">
        <f t="shared" si="14"/>
        <v>0</v>
      </c>
      <c r="AB45" s="1923" t="str">
        <f>IF(AND(Y45=0, Z45=0), "ND", IF((Y45-Paramétrage!$H$19)&gt;0, (Y45-Paramétrage!$H$19)/(365/12), "Date non renseignée ou produit périmé"))</f>
        <v>ND</v>
      </c>
      <c r="AC45" s="1923" t="str">
        <f t="shared" si="15"/>
        <v>ND</v>
      </c>
      <c r="AD45" s="1923" t="str">
        <f t="shared" si="16"/>
        <v>ND</v>
      </c>
      <c r="AE45" s="1921" t="str">
        <f>IF(AD45="ND", "ND", IF(AD45&gt;0, 'TRAD-Calculs Péremption FA'!$B$73, "OK"))</f>
        <v>ND</v>
      </c>
      <c r="AF45" s="1924" t="str">
        <f t="shared" si="2"/>
        <v>ND</v>
      </c>
      <c r="AG45" s="1919">
        <f>'Saisie données stocks'!U57</f>
        <v>0</v>
      </c>
      <c r="AH45" s="1920">
        <f>'Saisie données stocks'!V57</f>
        <v>0</v>
      </c>
      <c r="AI45" s="1923">
        <f t="shared" si="17"/>
        <v>0</v>
      </c>
      <c r="AJ45" s="1923" t="str">
        <f>IF(AND(AG45=0, AH45=0), "ND", IF((AG45-Paramétrage!$H$19)&gt;0, (AG45-Paramétrage!$H$19)/(365/12), "Date non renseignée ou produit périmé"))</f>
        <v>ND</v>
      </c>
      <c r="AK45" s="1923" t="str">
        <f t="shared" si="18"/>
        <v>ND</v>
      </c>
      <c r="AL45" s="1923" t="str">
        <f t="shared" si="19"/>
        <v>ND</v>
      </c>
      <c r="AM45" s="1923" t="str">
        <f>IF(AL45="ND", "ND", IF(AL45&gt;0, 'TRAD-Calculs Péremption FA'!$B$73, "OK"))</f>
        <v>ND</v>
      </c>
      <c r="AN45" s="1924" t="str">
        <f t="shared" si="3"/>
        <v>ND</v>
      </c>
      <c r="AO45" s="1919">
        <f>'Saisie données stocks'!W57</f>
        <v>0</v>
      </c>
      <c r="AP45" s="1920">
        <f>'Saisie données stocks'!X57</f>
        <v>0</v>
      </c>
      <c r="AQ45" s="1923">
        <f t="shared" si="20"/>
        <v>0</v>
      </c>
      <c r="AR45" s="1923" t="str">
        <f>IF(AND(AO45=0, AP45=0), "ND", IF((AO45-Paramétrage!$H$19)&gt;0, (AO45-Paramétrage!$H$19)/(365/12), "Date non renseignée ou produit périmé"))</f>
        <v>ND</v>
      </c>
      <c r="AS45" s="1923" t="str">
        <f t="shared" si="21"/>
        <v>ND</v>
      </c>
      <c r="AT45" s="1923" t="str">
        <f t="shared" si="22"/>
        <v>ND</v>
      </c>
      <c r="AU45" s="1923" t="str">
        <f>IF(AT45="ND", "ND", IF(AT45&gt;0, 'TRAD-Calculs Péremption FA'!$B$73, "OK"))</f>
        <v>ND</v>
      </c>
      <c r="AV45" s="1924" t="str">
        <f t="shared" si="4"/>
        <v>ND</v>
      </c>
      <c r="AW45" s="1919">
        <f>'Saisie données stocks'!Y57</f>
        <v>0</v>
      </c>
      <c r="AX45" s="1920">
        <f>'Saisie données stocks'!Z57</f>
        <v>0</v>
      </c>
      <c r="AY45" s="1923">
        <f t="shared" si="23"/>
        <v>0</v>
      </c>
      <c r="AZ45" s="1923" t="str">
        <f>IF(AND(AW45=0, AX45=0), "ND", IF((AW45-Paramétrage!$H$19)&gt;0, (AW45-Paramétrage!$H$19)/(365/12), "Date non renseignée ou produit périmé"))</f>
        <v>ND</v>
      </c>
      <c r="BA45" s="1923" t="str">
        <f t="shared" si="24"/>
        <v>ND</v>
      </c>
      <c r="BB45" s="1923" t="str">
        <f t="shared" si="25"/>
        <v>ND</v>
      </c>
      <c r="BC45" s="1923" t="str">
        <f>IF(BB45="ND", "ND", IF(BB45&gt;0, 'TRAD-Calculs Péremption FA'!$B$73, "OK"))</f>
        <v>ND</v>
      </c>
      <c r="BD45" s="1924" t="str">
        <f t="shared" si="5"/>
        <v>ND</v>
      </c>
      <c r="BE45" s="1919">
        <f>'Saisie données stocks'!AA57</f>
        <v>0</v>
      </c>
      <c r="BF45" s="1920">
        <f>'Saisie données stocks'!AB57</f>
        <v>0</v>
      </c>
      <c r="BG45" s="1923">
        <f t="shared" si="26"/>
        <v>0</v>
      </c>
      <c r="BH45" s="1923" t="str">
        <f>IF(AND(BE45=0, BF45=0), "ND", IF((BE45-Paramétrage!$H$19)&gt;0, (BE45-Paramétrage!$H$19)/(365/12), "Date non renseignée ou produit périmé"))</f>
        <v>ND</v>
      </c>
      <c r="BI45" s="1923" t="str">
        <f t="shared" si="27"/>
        <v>ND</v>
      </c>
      <c r="BJ45" s="1923" t="str">
        <f t="shared" si="28"/>
        <v>ND</v>
      </c>
      <c r="BK45" s="1923" t="str">
        <f>IF(BJ45="ND", "ND", IF(BJ45&gt;0, 'TRAD-Calculs Péremption FA'!$B$73, "OK"))</f>
        <v>ND</v>
      </c>
      <c r="BL45" s="1924" t="str">
        <f t="shared" si="6"/>
        <v>ND</v>
      </c>
      <c r="BM45" s="1919">
        <f>'Saisie données stocks'!AC57</f>
        <v>0</v>
      </c>
      <c r="BN45" s="1920">
        <f>'Saisie données stocks'!AD57</f>
        <v>0</v>
      </c>
      <c r="BO45" s="1923">
        <f t="shared" si="29"/>
        <v>0</v>
      </c>
      <c r="BP45" s="1923" t="str">
        <f>IF(AND(BM45=0, BN45=0), "ND", IF((BM45-Paramétrage!$H$19)&gt;0, (BM45-Paramétrage!$H$19)/(365/12), "Date non renseignée ou produit périmé"))</f>
        <v>ND</v>
      </c>
      <c r="BQ45" s="1923" t="str">
        <f t="shared" si="30"/>
        <v>ND</v>
      </c>
      <c r="BR45" s="1923" t="str">
        <f t="shared" si="31"/>
        <v>ND</v>
      </c>
      <c r="BS45" s="1923" t="str">
        <f>IF(BR45="ND", "ND", IF(BR45&gt;0, 'TRAD-Calculs Péremption FA'!$B$73, "OK"))</f>
        <v>ND</v>
      </c>
      <c r="BT45" s="1924" t="str">
        <f t="shared" si="7"/>
        <v>ND</v>
      </c>
      <c r="BU45" s="1925">
        <f>IF('Saisie données stocks'!$O$10='TRAD-Saisie données stocks'!$B$51, IF(P45="OK", IF(AND(BR45&gt;0, ISNUMBER(BR45)), (BO45-BR45), (BO45)), O45), O45)</f>
        <v>0</v>
      </c>
      <c r="BV45" s="1925">
        <f t="shared" si="8"/>
        <v>0</v>
      </c>
      <c r="BW45" s="2045" t="str">
        <f t="shared" si="32"/>
        <v/>
      </c>
      <c r="BX45" s="2045">
        <f>IF('Saisie données stocks'!$O$10='TRAD-Saisie données stocks'!$B$51, IF('Calculs Péremption FA'!P45="OK", IF(BU45=O45, MAX(Paramétrage!$H$19+('Saisie données stocks'!$N$14*(365/12)), BM45, BE45, AW45, AO45, AG45, Y45, R45), BW45), Paramétrage!$H$19+('Saisie données stocks'!$N$14*(365/12))), Paramétrage!$H$19+('Saisie données stocks'!$N$14*(365/12)))</f>
        <v>42101.5</v>
      </c>
      <c r="BY45" s="2046">
        <f t="shared" si="9"/>
        <v>7</v>
      </c>
      <c r="BZ45" s="2046">
        <f t="shared" si="10"/>
        <v>4</v>
      </c>
      <c r="CA45" s="2046">
        <f t="shared" si="11"/>
        <v>2015</v>
      </c>
      <c r="CB45" s="2046">
        <f>IF(BX45="", "", (BX45-Paramétrage!$H$19)/(365/12))</f>
        <v>6</v>
      </c>
      <c r="CC45" s="2043" t="str">
        <f>IF(CB45='Saisie données stocks'!N$14, 'TRAD-Calculs Péremption FA'!$B$74, CONCATENATE("DLU - ", BY45, "/", BZ45, "/", CA45))</f>
        <v>Durée de vie max</v>
      </c>
    </row>
    <row r="46" spans="2:81" ht="26.25" thickBot="1" x14ac:dyDescent="0.25">
      <c r="B46" s="388"/>
      <c r="C46" s="389"/>
      <c r="D46" s="1927" t="s">
        <v>45</v>
      </c>
      <c r="E46" s="1928" t="s">
        <v>133</v>
      </c>
      <c r="F46" s="1928" t="s">
        <v>46</v>
      </c>
      <c r="G46" s="1942" t="s">
        <v>637</v>
      </c>
      <c r="H46" s="1801" t="str">
        <f t="shared" si="12"/>
        <v>RTV - 100 mg</v>
      </c>
      <c r="I46" s="1798">
        <v>84</v>
      </c>
      <c r="J46" s="1802"/>
      <c r="K46" s="1803">
        <f>IF('TdB Péremptions'!$H$9="X", 'Prix 10-2011 GPRM $'!$O$57, IF('TdB Péremptions'!$H$10="X", 'Prix 10-2011 GPRM $'!$Q$57, IF('TdB Péremptions'!$H$11="X", 'Prix VPP 102012 convert'!$O$57, IF('TdB Péremptions'!$H$12="X", 'Prix VPP 102012 convert'!$Q$57, IF('TdB Péremptions'!$H$13="X", 'Prix spécifiques'!$J$46, 0)))))</f>
        <v>5.35</v>
      </c>
      <c r="L46" s="1803">
        <f>(1+'TdB Péremptions'!$H$14)*K46</f>
        <v>5.8849999999999998</v>
      </c>
      <c r="M46" s="1929">
        <f>Calculs!L356</f>
        <v>0</v>
      </c>
      <c r="N46" s="1929">
        <f>Calculs!N356</f>
        <v>0</v>
      </c>
      <c r="O46" s="1929">
        <f>'Saisie données stocks'!N58</f>
        <v>0</v>
      </c>
      <c r="P46" s="2541" t="str">
        <f>IF(SUM('Saisie données stocks'!R58+'Saisie données stocks'!T58+'Saisie données stocks'!V58+'Saisie données stocks'!X58+'Saisie données stocks'!Z58+'Saisie données stocks'!AB58+'Saisie données stocks'!AD58)='Calculs Péremption conso'!O46,  "OK", 'TRAD-Calculs Péremption FA'!$B$75)</f>
        <v>OK</v>
      </c>
      <c r="Q46" s="1931" t="str">
        <f>IF(AND(O46&gt;0, Calculs!L356=0, Calculs!N356=0), 'TRAD-Calculs Péremption FA'!$B$76, "")</f>
        <v/>
      </c>
      <c r="R46" s="1932">
        <f>'Saisie données stocks'!Q58</f>
        <v>0</v>
      </c>
      <c r="S46" s="1933">
        <f>'Saisie données stocks'!R58</f>
        <v>0</v>
      </c>
      <c r="T46" s="1934" t="str">
        <f>IF(AND(R46=0, S46=0), "ND", IF((R46-Paramétrage!$H$19)&gt;0, (R46-Paramétrage!$H$19)/(365/12), "Date non renseignée ou produit périmé"))</f>
        <v>ND</v>
      </c>
      <c r="U46" s="1935" t="str">
        <f t="shared" si="13"/>
        <v>ND</v>
      </c>
      <c r="V46" s="1935" t="str">
        <f t="shared" si="0"/>
        <v>ND</v>
      </c>
      <c r="W46" s="1934" t="str">
        <f>IF(V46="ND", "ND", IF(V46&gt;0, 'TRAD-Calculs Péremption FA'!$B$73, "OK"))</f>
        <v>ND</v>
      </c>
      <c r="X46" s="1937" t="str">
        <f t="shared" si="1"/>
        <v>ND</v>
      </c>
      <c r="Y46" s="1932">
        <f>'Saisie données stocks'!S58</f>
        <v>0</v>
      </c>
      <c r="Z46" s="1933">
        <f>'Saisie données stocks'!T58</f>
        <v>0</v>
      </c>
      <c r="AA46" s="1936">
        <f t="shared" si="14"/>
        <v>0</v>
      </c>
      <c r="AB46" s="1936" t="str">
        <f>IF(AND(Y46=0, Z46=0), "ND", IF((Y46-Paramétrage!$H$19)&gt;0, (Y46-Paramétrage!$H$19)/(365/12), "Date non renseignée ou produit périmé"))</f>
        <v>ND</v>
      </c>
      <c r="AC46" s="1936" t="str">
        <f t="shared" si="15"/>
        <v>ND</v>
      </c>
      <c r="AD46" s="1936" t="str">
        <f t="shared" si="16"/>
        <v>ND</v>
      </c>
      <c r="AE46" s="1934" t="str">
        <f>IF(AD46="ND", "ND", IF(AD46&gt;0, 'TRAD-Calculs Péremption FA'!$B$73, "OK"))</f>
        <v>ND</v>
      </c>
      <c r="AF46" s="1937" t="str">
        <f t="shared" si="2"/>
        <v>ND</v>
      </c>
      <c r="AG46" s="1932">
        <f>'Saisie données stocks'!U58</f>
        <v>0</v>
      </c>
      <c r="AH46" s="1933">
        <f>'Saisie données stocks'!V58</f>
        <v>0</v>
      </c>
      <c r="AI46" s="1936">
        <f t="shared" si="17"/>
        <v>0</v>
      </c>
      <c r="AJ46" s="1936" t="str">
        <f>IF(AND(AG46=0, AH46=0), "ND", IF((AG46-Paramétrage!$H$19)&gt;0, (AG46-Paramétrage!$H$19)/(365/12), "Date non renseignée ou produit périmé"))</f>
        <v>ND</v>
      </c>
      <c r="AK46" s="1936" t="str">
        <f t="shared" si="18"/>
        <v>ND</v>
      </c>
      <c r="AL46" s="1936" t="str">
        <f t="shared" si="19"/>
        <v>ND</v>
      </c>
      <c r="AM46" s="1936" t="str">
        <f>IF(AL46="ND", "ND", IF(AL46&gt;0, 'TRAD-Calculs Péremption FA'!$B$73, "OK"))</f>
        <v>ND</v>
      </c>
      <c r="AN46" s="1937" t="str">
        <f t="shared" si="3"/>
        <v>ND</v>
      </c>
      <c r="AO46" s="1932">
        <f>'Saisie données stocks'!W58</f>
        <v>0</v>
      </c>
      <c r="AP46" s="1933">
        <f>'Saisie données stocks'!X58</f>
        <v>0</v>
      </c>
      <c r="AQ46" s="1936">
        <f t="shared" si="20"/>
        <v>0</v>
      </c>
      <c r="AR46" s="1936" t="str">
        <f>IF(AND(AO46=0, AP46=0), "ND", IF((AO46-Paramétrage!$H$19)&gt;0, (AO46-Paramétrage!$H$19)/(365/12), "Date non renseignée ou produit périmé"))</f>
        <v>ND</v>
      </c>
      <c r="AS46" s="1936" t="str">
        <f t="shared" si="21"/>
        <v>ND</v>
      </c>
      <c r="AT46" s="1936" t="str">
        <f t="shared" si="22"/>
        <v>ND</v>
      </c>
      <c r="AU46" s="1936" t="str">
        <f>IF(AT46="ND", "ND", IF(AT46&gt;0, 'TRAD-Calculs Péremption FA'!$B$73, "OK"))</f>
        <v>ND</v>
      </c>
      <c r="AV46" s="1937" t="str">
        <f t="shared" si="4"/>
        <v>ND</v>
      </c>
      <c r="AW46" s="1932">
        <f>'Saisie données stocks'!Y58</f>
        <v>0</v>
      </c>
      <c r="AX46" s="1933">
        <f>'Saisie données stocks'!Z58</f>
        <v>0</v>
      </c>
      <c r="AY46" s="1936">
        <f t="shared" si="23"/>
        <v>0</v>
      </c>
      <c r="AZ46" s="1936" t="str">
        <f>IF(AND(AW46=0, AX46=0), "ND", IF((AW46-Paramétrage!$H$19)&gt;0, (AW46-Paramétrage!$H$19)/(365/12), "Date non renseignée ou produit périmé"))</f>
        <v>ND</v>
      </c>
      <c r="BA46" s="1936" t="str">
        <f t="shared" si="24"/>
        <v>ND</v>
      </c>
      <c r="BB46" s="1936" t="str">
        <f t="shared" si="25"/>
        <v>ND</v>
      </c>
      <c r="BC46" s="1936" t="str">
        <f>IF(BB46="ND", "ND", IF(BB46&gt;0, 'TRAD-Calculs Péremption FA'!$B$73, "OK"))</f>
        <v>ND</v>
      </c>
      <c r="BD46" s="1937" t="str">
        <f t="shared" si="5"/>
        <v>ND</v>
      </c>
      <c r="BE46" s="1932">
        <f>'Saisie données stocks'!AA58</f>
        <v>0</v>
      </c>
      <c r="BF46" s="1933">
        <f>'Saisie données stocks'!AB58</f>
        <v>0</v>
      </c>
      <c r="BG46" s="1936">
        <f t="shared" si="26"/>
        <v>0</v>
      </c>
      <c r="BH46" s="1936" t="str">
        <f>IF(AND(BE46=0, BF46=0), "ND", IF((BE46-Paramétrage!$H$19)&gt;0, (BE46-Paramétrage!$H$19)/(365/12), "Date non renseignée ou produit périmé"))</f>
        <v>ND</v>
      </c>
      <c r="BI46" s="1936" t="str">
        <f t="shared" si="27"/>
        <v>ND</v>
      </c>
      <c r="BJ46" s="1936" t="str">
        <f t="shared" si="28"/>
        <v>ND</v>
      </c>
      <c r="BK46" s="1936" t="str">
        <f>IF(BJ46="ND", "ND", IF(BJ46&gt;0, 'TRAD-Calculs Péremption FA'!$B$73, "OK"))</f>
        <v>ND</v>
      </c>
      <c r="BL46" s="1937" t="str">
        <f t="shared" si="6"/>
        <v>ND</v>
      </c>
      <c r="BM46" s="1932">
        <f>'Saisie données stocks'!AC58</f>
        <v>0</v>
      </c>
      <c r="BN46" s="1933">
        <f>'Saisie données stocks'!AD58</f>
        <v>0</v>
      </c>
      <c r="BO46" s="1936">
        <f t="shared" si="29"/>
        <v>0</v>
      </c>
      <c r="BP46" s="1936" t="str">
        <f>IF(AND(BM46=0, BN46=0), "ND", IF((BM46-Paramétrage!$H$19)&gt;0, (BM46-Paramétrage!$H$19)/(365/12), "Date non renseignée ou produit périmé"))</f>
        <v>ND</v>
      </c>
      <c r="BQ46" s="1936" t="str">
        <f t="shared" si="30"/>
        <v>ND</v>
      </c>
      <c r="BR46" s="1936" t="str">
        <f t="shared" si="31"/>
        <v>ND</v>
      </c>
      <c r="BS46" s="1936" t="str">
        <f>IF(BR46="ND", "ND", IF(BR46&gt;0, 'TRAD-Calculs Péremption FA'!$B$73, "OK"))</f>
        <v>ND</v>
      </c>
      <c r="BT46" s="1937" t="str">
        <f t="shared" si="7"/>
        <v>ND</v>
      </c>
      <c r="BU46" s="1938">
        <f>IF('Saisie données stocks'!$O$10='TRAD-Saisie données stocks'!$B$51, IF(P46="OK", IF(AND(BR46&gt;0, ISNUMBER(BR46)), (BO46-BR46), (BO46)), O46), O46)</f>
        <v>0</v>
      </c>
      <c r="BV46" s="1938">
        <f t="shared" si="8"/>
        <v>0</v>
      </c>
      <c r="BW46" s="2047" t="str">
        <f t="shared" si="32"/>
        <v/>
      </c>
      <c r="BX46" s="2047">
        <f>IF('Saisie données stocks'!$O$10='TRAD-Saisie données stocks'!$B$51, IF('Calculs Péremption FA'!P46="OK", IF(BU46=O46, MAX(Paramétrage!$H$19+('Saisie données stocks'!$N$14*(365/12)), BM46, BE46, AW46, AO46, AG46, Y46, R46), BW46), Paramétrage!$H$19+('Saisie données stocks'!$N$14*(365/12))), Paramétrage!$H$19+('Saisie données stocks'!$N$14*(365/12)))</f>
        <v>42101.5</v>
      </c>
      <c r="BY46" s="2048">
        <f t="shared" si="9"/>
        <v>7</v>
      </c>
      <c r="BZ46" s="2048">
        <f t="shared" si="10"/>
        <v>4</v>
      </c>
      <c r="CA46" s="2048">
        <f t="shared" si="11"/>
        <v>2015</v>
      </c>
      <c r="CB46" s="2048">
        <f>IF(BX46="", "", (BX46-Paramétrage!$H$19)/(365/12))</f>
        <v>6</v>
      </c>
      <c r="CC46" s="2043" t="str">
        <f>IF(CB46='Saisie données stocks'!N$14, 'TRAD-Calculs Péremption FA'!$B$74, CONCATENATE("DLU - ", BY46, "/", BZ46, "/", CA46))</f>
        <v>Durée de vie max</v>
      </c>
    </row>
    <row r="47" spans="2:81" ht="26.25" thickBot="1" x14ac:dyDescent="0.25">
      <c r="B47" s="1951"/>
      <c r="C47" s="1952" t="s">
        <v>266</v>
      </c>
      <c r="D47" s="1953" t="s">
        <v>267</v>
      </c>
      <c r="E47" s="1954" t="str">
        <f>'TRAD-Calculs Péremption FA'!B9</f>
        <v>Cp</v>
      </c>
      <c r="F47" s="1954" t="s">
        <v>39</v>
      </c>
      <c r="G47" s="1955" t="s">
        <v>638</v>
      </c>
      <c r="H47" s="379" t="str">
        <f t="shared" si="12"/>
        <v>RLT = RAL - 400 mg</v>
      </c>
      <c r="I47" s="1804">
        <v>60</v>
      </c>
      <c r="J47" s="1805"/>
      <c r="K47" s="1806">
        <f>IF('TdB Péremptions'!$H$9="X", 'Prix 10-2011 GPRM $'!$O$63, IF('TdB Péremptions'!$H$10="X", 'Prix 10-2011 GPRM $'!$Q$63, IF('TdB Péremptions'!$H$11="X", 'Prix VPP 102012 convert'!$O$63, IF('TdB Péremptions'!$H$12="X", 'Prix VPP 102012 convert'!$Q$63, IF('TdB Péremptions'!$H$13="X", 'Prix spécifiques'!$J$47, 0)))))</f>
        <v>183.04109589041096</v>
      </c>
      <c r="L47" s="1806">
        <f>(1+'TdB Péremptions'!$H$14)*K47</f>
        <v>201.34520547945206</v>
      </c>
      <c r="M47" s="1956">
        <f>Calculs!L357</f>
        <v>0</v>
      </c>
      <c r="N47" s="1956">
        <f>Calculs!N357</f>
        <v>0</v>
      </c>
      <c r="O47" s="1956">
        <f>'Saisie données stocks'!N59</f>
        <v>0</v>
      </c>
      <c r="P47" s="1957" t="str">
        <f>IF(SUM('Saisie données stocks'!R59+'Saisie données stocks'!T59+'Saisie données stocks'!V59+'Saisie données stocks'!X59+'Saisie données stocks'!Z59+'Saisie données stocks'!AB59+'Saisie données stocks'!AD59)='Calculs Péremption conso'!O47,  "OK", 'TRAD-Calculs Péremption FA'!$B$75)</f>
        <v>OK</v>
      </c>
      <c r="Q47" s="1958" t="str">
        <f>IF(AND(O47&gt;0, Calculs!L357=0, Calculs!N357=0), 'TRAD-Calculs Péremption FA'!$B$76, "")</f>
        <v/>
      </c>
      <c r="R47" s="1959">
        <f>'Saisie données stocks'!Q59</f>
        <v>0</v>
      </c>
      <c r="S47" s="1960">
        <f>'Saisie données stocks'!R59</f>
        <v>0</v>
      </c>
      <c r="T47" s="1961" t="str">
        <f>IF(AND(R47=0, S47=0), "ND", IF((R47-Paramétrage!$H$19)&gt;0, (R47-Paramétrage!$H$19)/(365/12), "Date non renseignée ou produit périmé"))</f>
        <v>ND</v>
      </c>
      <c r="U47" s="1962" t="str">
        <f t="shared" si="13"/>
        <v>ND</v>
      </c>
      <c r="V47" s="1962" t="str">
        <f t="shared" si="0"/>
        <v>ND</v>
      </c>
      <c r="W47" s="1961" t="str">
        <f>IF(V47="ND", "ND", IF(V47&gt;0, 'TRAD-Calculs Péremption FA'!$B$73, "OK"))</f>
        <v>ND</v>
      </c>
      <c r="X47" s="2052" t="str">
        <f t="shared" si="1"/>
        <v>ND</v>
      </c>
      <c r="Y47" s="1959">
        <f>'Saisie données stocks'!S59</f>
        <v>0</v>
      </c>
      <c r="Z47" s="1960">
        <f>'Saisie données stocks'!T59</f>
        <v>0</v>
      </c>
      <c r="AA47" s="1963">
        <f t="shared" si="14"/>
        <v>0</v>
      </c>
      <c r="AB47" s="1963" t="str">
        <f>IF(AND(Y47=0, Z47=0), "ND", IF((Y47-Paramétrage!$H$19)&gt;0, (Y47-Paramétrage!$H$19)/(365/12), "Date non renseignée ou produit périmé"))</f>
        <v>ND</v>
      </c>
      <c r="AC47" s="1963" t="str">
        <f t="shared" si="15"/>
        <v>ND</v>
      </c>
      <c r="AD47" s="1963" t="str">
        <f t="shared" si="16"/>
        <v>ND</v>
      </c>
      <c r="AE47" s="1961" t="str">
        <f>IF(AD47="ND", "ND", IF(AD47&gt;0, 'TRAD-Calculs Péremption FA'!$B$73, "OK"))</f>
        <v>ND</v>
      </c>
      <c r="AF47" s="1964" t="str">
        <f t="shared" si="2"/>
        <v>ND</v>
      </c>
      <c r="AG47" s="1959">
        <f>'Saisie données stocks'!U59</f>
        <v>0</v>
      </c>
      <c r="AH47" s="1960">
        <f>'Saisie données stocks'!V59</f>
        <v>0</v>
      </c>
      <c r="AI47" s="1963">
        <f t="shared" si="17"/>
        <v>0</v>
      </c>
      <c r="AJ47" s="1963" t="str">
        <f>IF(AND(AG47=0, AH47=0), "ND", IF((AG47-Paramétrage!$H$19)&gt;0, (AG47-Paramétrage!$H$19)/(365/12), "Date non renseignée ou produit périmé"))</f>
        <v>ND</v>
      </c>
      <c r="AK47" s="1963" t="str">
        <f t="shared" si="18"/>
        <v>ND</v>
      </c>
      <c r="AL47" s="1963" t="str">
        <f t="shared" si="19"/>
        <v>ND</v>
      </c>
      <c r="AM47" s="1963" t="str">
        <f>IF(AL47="ND", "ND", IF(AL47&gt;0, 'TRAD-Calculs Péremption FA'!$B$73, "OK"))</f>
        <v>ND</v>
      </c>
      <c r="AN47" s="1964" t="str">
        <f t="shared" si="3"/>
        <v>ND</v>
      </c>
      <c r="AO47" s="1959">
        <f>'Saisie données stocks'!W59</f>
        <v>0</v>
      </c>
      <c r="AP47" s="1960">
        <f>'Saisie données stocks'!X59</f>
        <v>0</v>
      </c>
      <c r="AQ47" s="1963">
        <f t="shared" si="20"/>
        <v>0</v>
      </c>
      <c r="AR47" s="1963" t="str">
        <f>IF(AND(AO47=0, AP47=0), "ND", IF((AO47-Paramétrage!$H$19)&gt;0, (AO47-Paramétrage!$H$19)/(365/12), "Date non renseignée ou produit périmé"))</f>
        <v>ND</v>
      </c>
      <c r="AS47" s="1963" t="str">
        <f t="shared" si="21"/>
        <v>ND</v>
      </c>
      <c r="AT47" s="1963" t="str">
        <f t="shared" si="22"/>
        <v>ND</v>
      </c>
      <c r="AU47" s="1963" t="str">
        <f>IF(AT47="ND", "ND", IF(AT47&gt;0, 'TRAD-Calculs Péremption FA'!$B$73, "OK"))</f>
        <v>ND</v>
      </c>
      <c r="AV47" s="1964" t="str">
        <f t="shared" si="4"/>
        <v>ND</v>
      </c>
      <c r="AW47" s="1959">
        <f>'Saisie données stocks'!Y59</f>
        <v>0</v>
      </c>
      <c r="AX47" s="1960">
        <f>'Saisie données stocks'!Z59</f>
        <v>0</v>
      </c>
      <c r="AY47" s="1963">
        <f t="shared" si="23"/>
        <v>0</v>
      </c>
      <c r="AZ47" s="1963" t="str">
        <f>IF(AND(AW47=0, AX47=0), "ND", IF((AW47-Paramétrage!$H$19)&gt;0, (AW47-Paramétrage!$H$19)/(365/12), "Date non renseignée ou produit périmé"))</f>
        <v>ND</v>
      </c>
      <c r="BA47" s="1963" t="str">
        <f t="shared" si="24"/>
        <v>ND</v>
      </c>
      <c r="BB47" s="1963" t="str">
        <f t="shared" si="25"/>
        <v>ND</v>
      </c>
      <c r="BC47" s="1963" t="str">
        <f>IF(BB47="ND", "ND", IF(BB47&gt;0, 'TRAD-Calculs Péremption FA'!$B$73, "OK"))</f>
        <v>ND</v>
      </c>
      <c r="BD47" s="1964" t="str">
        <f t="shared" si="5"/>
        <v>ND</v>
      </c>
      <c r="BE47" s="1959">
        <f>'Saisie données stocks'!AA59</f>
        <v>0</v>
      </c>
      <c r="BF47" s="1960">
        <f>'Saisie données stocks'!AB59</f>
        <v>0</v>
      </c>
      <c r="BG47" s="1963">
        <f t="shared" si="26"/>
        <v>0</v>
      </c>
      <c r="BH47" s="1963" t="str">
        <f>IF(AND(BE47=0, BF47=0), "ND", IF((BE47-Paramétrage!$H$19)&gt;0, (BE47-Paramétrage!$H$19)/(365/12), "Date non renseignée ou produit périmé"))</f>
        <v>ND</v>
      </c>
      <c r="BI47" s="1963" t="str">
        <f t="shared" si="27"/>
        <v>ND</v>
      </c>
      <c r="BJ47" s="1963" t="str">
        <f t="shared" si="28"/>
        <v>ND</v>
      </c>
      <c r="BK47" s="1963" t="str">
        <f>IF(BJ47="ND", "ND", IF(BJ47&gt;0, 'TRAD-Calculs Péremption FA'!$B$73, "OK"))</f>
        <v>ND</v>
      </c>
      <c r="BL47" s="1964" t="str">
        <f t="shared" si="6"/>
        <v>ND</v>
      </c>
      <c r="BM47" s="1959">
        <f>'Saisie données stocks'!AC59</f>
        <v>0</v>
      </c>
      <c r="BN47" s="1960">
        <f>'Saisie données stocks'!AD59</f>
        <v>0</v>
      </c>
      <c r="BO47" s="1963">
        <f t="shared" si="29"/>
        <v>0</v>
      </c>
      <c r="BP47" s="1963" t="str">
        <f>IF(AND(BM47=0, BN47=0), "ND", IF((BM47-Paramétrage!$H$19)&gt;0, (BM47-Paramétrage!$H$19)/(365/12), "Date non renseignée ou produit périmé"))</f>
        <v>ND</v>
      </c>
      <c r="BQ47" s="1963" t="str">
        <f t="shared" si="30"/>
        <v>ND</v>
      </c>
      <c r="BR47" s="1963" t="str">
        <f t="shared" si="31"/>
        <v>ND</v>
      </c>
      <c r="BS47" s="1963" t="str">
        <f>IF(BR47="ND", "ND", IF(BR47&gt;0, 'TRAD-Calculs Péremption FA'!$B$73, "OK"))</f>
        <v>ND</v>
      </c>
      <c r="BT47" s="1964" t="str">
        <f t="shared" si="7"/>
        <v>ND</v>
      </c>
      <c r="BU47" s="1965">
        <f>IF('Saisie données stocks'!$O$10='TRAD-Saisie données stocks'!$B$51, IF(P47="OK", IF(AND(BR47&gt;0, ISNUMBER(BR47)), (BO47-BR47), (BO47)), O47), O47)</f>
        <v>0</v>
      </c>
      <c r="BV47" s="1965">
        <f t="shared" si="8"/>
        <v>0</v>
      </c>
      <c r="BW47" s="2049" t="str">
        <f t="shared" si="32"/>
        <v/>
      </c>
      <c r="BX47" s="2049">
        <f>IF('Saisie données stocks'!$O$10='TRAD-Saisie données stocks'!$B$51, IF('Calculs Péremption FA'!P47="OK", IF(BU47=O47, MAX(Paramétrage!$H$19+('Saisie données stocks'!$N$14*(365/12)), BM47, BE47, AW47, AO47, AG47, Y47, R47), BW47), Paramétrage!$H$19+('Saisie données stocks'!$N$14*(365/12))), Paramétrage!$H$19+('Saisie données stocks'!$N$14*(365/12)))</f>
        <v>42101.5</v>
      </c>
      <c r="BY47" s="2050">
        <f t="shared" si="9"/>
        <v>7</v>
      </c>
      <c r="BZ47" s="2050">
        <f t="shared" si="10"/>
        <v>4</v>
      </c>
      <c r="CA47" s="2050">
        <f t="shared" si="11"/>
        <v>2015</v>
      </c>
      <c r="CB47" s="2050">
        <f>IF(BX47="", "", (BX47-Paramétrage!$H$19)/(365/12))</f>
        <v>6</v>
      </c>
      <c r="CC47" s="2043" t="str">
        <f>IF(CB47='Saisie données stocks'!N$14, 'TRAD-Calculs Péremption FA'!$B$74, CONCATENATE("DLU - ", BY47, "/", BZ47, "/", CA47))</f>
        <v>Durée de vie max</v>
      </c>
    </row>
    <row r="48" spans="2:81" ht="102.75" thickBot="1" x14ac:dyDescent="0.25">
      <c r="B48" s="1966"/>
      <c r="C48" s="1967"/>
      <c r="D48" s="364" t="str">
        <f>'TRAD-Calculs Péremption FA'!B4</f>
        <v>Composition</v>
      </c>
      <c r="E48" s="365" t="str">
        <f>'TRAD-Calculs Péremption FA'!B5</f>
        <v>Forme galénique</v>
      </c>
      <c r="F48" s="365" t="str">
        <f>'TRAD-Calculs Péremption FA'!B6</f>
        <v>Dosage</v>
      </c>
      <c r="G48" s="365"/>
      <c r="H48" s="365" t="str">
        <f>'TRAD-Calculs Péremption FA'!B11</f>
        <v>Nom pour représentation graphique</v>
      </c>
      <c r="I48" s="365" t="str">
        <f>'TRAD-Calculs Péremption FA'!B12</f>
        <v>Volume Conditionnement</v>
      </c>
      <c r="J48" s="327" t="str">
        <f>'TRAD-Calculs Péremption FA'!B14</f>
        <v>conditionnement secondaire</v>
      </c>
      <c r="K48" s="1896" t="str">
        <f t="shared" ref="K48:L48" si="33">K6</f>
        <v>Prix / boite (US$ - EXW)</v>
      </c>
      <c r="L48" s="1896" t="str">
        <f t="shared" si="33"/>
        <v>Prix / boite (US$ - EXW+frais de gestion)</v>
      </c>
      <c r="M48" s="2057" t="str">
        <f>'TRAD-Calculs Péremption FA'!B17</f>
        <v>Besoin mensuel patients suivis selon méthode</v>
      </c>
      <c r="N48" s="2057" t="str">
        <f>'TRAD-Calculs Péremption FA'!B18</f>
        <v>Besoin mensuel patients initiés selon méthode</v>
      </c>
      <c r="O48" s="1968" t="str">
        <f>'TRAD-Calculs Péremption FA'!B19</f>
        <v>Quantités en stock central
(nb de boites)</v>
      </c>
      <c r="P48" s="1969" t="str">
        <f>'TRAD-Calculs Péremption FA'!B20</f>
        <v>Indicateur Détail des péremptions du stocks disponible</v>
      </c>
      <c r="Q48" s="1970"/>
      <c r="R48" s="1971" t="str">
        <f>'TRAD-Calculs Péremption FA'!B22</f>
        <v>Date de péremption 
1</v>
      </c>
      <c r="S48" s="1972" t="str">
        <f>'TRAD-Calculs Péremption FA'!B23</f>
        <v>Quantités 
(nb de boites) 
1</v>
      </c>
      <c r="T48" s="1969" t="str">
        <f>'TRAD-Calculs Péremption FA'!B24</f>
        <v>Durée d'utilisation (date péremption-date estimation) (nb de mois 30 j)</v>
      </c>
      <c r="U48" s="1969" t="str">
        <f>'TRAD-Calculs Péremption FA'!B25</f>
        <v>Estimation Quantités nécessaires pour la période (nb de boites)</v>
      </c>
      <c r="V48" s="1969" t="str">
        <f>'TRAD-Calculs Péremption FA'!B26</f>
        <v>Quantités du surstock (+) ou des besoins jusqu'à la DLU (-) (nb de boites)</v>
      </c>
      <c r="W48" s="1969" t="str">
        <f>'TRAD-Calculs Péremption FA'!B27</f>
        <v xml:space="preserve">Indicateur </v>
      </c>
      <c r="X48" s="1973" t="str">
        <f>'TRAD-Calculs Péremption FA'!B28</f>
        <v>Montant de la perte ($)</v>
      </c>
      <c r="Y48" s="1971" t="str">
        <f>'TRAD-Calculs Péremption FA'!B29</f>
        <v>Date de péremption 2</v>
      </c>
      <c r="Z48" s="1972" t="str">
        <f>'TRAD-Calculs Péremption FA'!B30</f>
        <v>Quantités (nb de boites) 2</v>
      </c>
      <c r="AA48" s="1969"/>
      <c r="AB48" s="1969" t="str">
        <f>'TRAD-Calculs Péremption FA'!B24</f>
        <v>Durée d'utilisation (date péremption-date estimation) (nb de mois 30 j)</v>
      </c>
      <c r="AC48" s="1969" t="str">
        <f>'TRAD-Calculs Péremption FA'!B39</f>
        <v xml:space="preserve">Estimation Quantités totales nécessaires pour la période date estimation - DLU2 (nb de boites) </v>
      </c>
      <c r="AD48" s="1969" t="str">
        <f>'TRAD-Calculs Péremption FA'!B26</f>
        <v>Quantités du surstock (+) ou des besoins jusqu'à la DLU (-) (nb de boites)</v>
      </c>
      <c r="AE48" s="1969" t="str">
        <f>'TRAD-Calculs Péremption FA'!B27</f>
        <v xml:space="preserve">Indicateur </v>
      </c>
      <c r="AF48" s="1973" t="str">
        <f>'TRAD-Calculs Péremption FA'!B28</f>
        <v>Montant de la perte ($)</v>
      </c>
      <c r="AG48" s="1971" t="str">
        <f>'TRAD-Calculs Péremption FA'!B40</f>
        <v>Date de péremption  3</v>
      </c>
      <c r="AH48" s="1972" t="str">
        <f>'TRAD-Calculs Péremption FA'!B41</f>
        <v>Quantités (nb de boites) 3</v>
      </c>
      <c r="AI48" s="1969"/>
      <c r="AJ48" s="1969" t="str">
        <f>'TRAD-Calculs Péremption FA'!B24</f>
        <v>Durée d'utilisation (date péremption-date estimation) (nb de mois 30 j)</v>
      </c>
      <c r="AK48" s="1969" t="str">
        <f>'TRAD-Calculs Péremption FA'!B43</f>
        <v xml:space="preserve">Estimation Quantités totales nécessaires pour la période date estimation - DLU3 (nb de boites) </v>
      </c>
      <c r="AL48" s="1969" t="str">
        <f>'TRAD-Calculs Péremption FA'!B26</f>
        <v>Quantités du surstock (+) ou des besoins jusqu'à la DLU (-) (nb de boites)</v>
      </c>
      <c r="AM48" s="1969" t="str">
        <f>'TRAD-Calculs Péremption FA'!B27</f>
        <v xml:space="preserve">Indicateur </v>
      </c>
      <c r="AN48" s="1973" t="str">
        <f>'TRAD-Calculs Péremption FA'!B28</f>
        <v>Montant de la perte ($)</v>
      </c>
      <c r="AO48" s="1971" t="str">
        <f>'TRAD-Calculs Péremption FA'!B44</f>
        <v>Date de péremption 4</v>
      </c>
      <c r="AP48" s="1972" t="str">
        <f>'TRAD-Calculs Péremption FA'!B45</f>
        <v>Quantités (nb de boites) 4</v>
      </c>
      <c r="AQ48" s="1969"/>
      <c r="AR48" s="1969" t="str">
        <f>'TRAD-Calculs Péremption FA'!B51</f>
        <v>Durée d'utilisation (date péremption-date estimation) (nb de mois 30 j)</v>
      </c>
      <c r="AS48" s="1969" t="str">
        <f>'TRAD-Calculs Péremption FA'!B47</f>
        <v xml:space="preserve">Estimation Quantités totales nécessaires pour la période date estimation - DLU4 (nb de boites) </v>
      </c>
      <c r="AT48" s="1969" t="str">
        <f>'TRAD-Calculs Péremption FA'!B26</f>
        <v>Quantités du surstock (+) ou des besoins jusqu'à la DLU (-) (nb de boites)</v>
      </c>
      <c r="AU48" s="1969" t="str">
        <f>'TRAD-Calculs Péremption FA'!B27</f>
        <v xml:space="preserve">Indicateur </v>
      </c>
      <c r="AV48" s="1973" t="str">
        <f>'TRAD-Calculs Péremption FA'!B28</f>
        <v>Montant de la perte ($)</v>
      </c>
      <c r="AW48" s="1971" t="str">
        <f>'TRAD-Calculs Péremption FA'!B50</f>
        <v>Date de péremption 5</v>
      </c>
      <c r="AX48" s="1972" t="str">
        <f>'TRAD-Calculs Péremption FA'!B48</f>
        <v>Quantités (nb de boites) 5</v>
      </c>
      <c r="AY48" s="1969"/>
      <c r="AZ48" s="1969" t="str">
        <f>'TRAD-Calculs Péremption FA'!B24</f>
        <v>Durée d'utilisation (date péremption-date estimation) (nb de mois 30 j)</v>
      </c>
      <c r="BA48" s="1969" t="str">
        <f>'TRAD-Calculs Péremption FA'!B52</f>
        <v xml:space="preserve">Estimation Quantités totales nécessaires pour la période date estimation - DLU5 (nb de boites) </v>
      </c>
      <c r="BB48" s="1969" t="str">
        <f>'TRAD-Calculs Péremption FA'!B26</f>
        <v>Quantités du surstock (+) ou des besoins jusqu'à la DLU (-) (nb de boites)</v>
      </c>
      <c r="BC48" s="1969" t="str">
        <f>'TRAD-Calculs Péremption FA'!B27</f>
        <v xml:space="preserve">Indicateur </v>
      </c>
      <c r="BD48" s="1973" t="str">
        <f>'TRAD-Calculs Péremption FA'!B28</f>
        <v>Montant de la perte ($)</v>
      </c>
      <c r="BE48" s="1971" t="str">
        <f>'TRAD-Calculs Péremption FA'!B54</f>
        <v>Date de péremption 6</v>
      </c>
      <c r="BF48" s="1972" t="str">
        <f>'TRAD-Calculs Péremption FA'!B53</f>
        <v>Quantités (nb de boites) 6</v>
      </c>
      <c r="BG48" s="1969"/>
      <c r="BH48" s="1969" t="str">
        <f>'TRAD-Calculs Péremption FA'!B24</f>
        <v>Durée d'utilisation (date péremption-date estimation) (nb de mois 30 j)</v>
      </c>
      <c r="BI48" s="1969" t="str">
        <f>'TRAD-Calculs Péremption FA'!B56</f>
        <v xml:space="preserve">Estimation Quantités totales nécessaires pour la période date estimation - DLU6 (nb de boites) </v>
      </c>
      <c r="BJ48" s="1969" t="str">
        <f>'TRAD-Calculs Péremption FA'!B26</f>
        <v>Quantités du surstock (+) ou des besoins jusqu'à la DLU (-) (nb de boites)</v>
      </c>
      <c r="BK48" s="1969" t="str">
        <f>'TRAD-Calculs Péremption FA'!B27</f>
        <v xml:space="preserve">Indicateur </v>
      </c>
      <c r="BL48" s="1973" t="str">
        <f>'TRAD-Calculs Péremption FA'!B28</f>
        <v>Montant de la perte ($)</v>
      </c>
      <c r="BM48" s="1971" t="str">
        <f>'TRAD-Calculs Péremption FA'!B59</f>
        <v>Date de péremption 7</v>
      </c>
      <c r="BN48" s="1972" t="str">
        <f>'TRAD-Calculs Péremption FA'!B57</f>
        <v>Quantités  (nb de boites) 7</v>
      </c>
      <c r="BO48" s="1969"/>
      <c r="BP48" s="1969" t="str">
        <f>'TRAD-Calculs Péremption FA'!B24</f>
        <v>Durée d'utilisation (date péremption-date estimation) (nb de mois 30 j)</v>
      </c>
      <c r="BQ48" s="1969" t="str">
        <f>'TRAD-Calculs Péremption FA'!B60</f>
        <v xml:space="preserve">Estimation Quantités totales nécessaires pour la période date estimation - DLU7 (nb de boites) </v>
      </c>
      <c r="BR48" s="1969" t="str">
        <f>'TRAD-Calculs Péremption FA'!B26</f>
        <v>Quantités du surstock (+) ou des besoins jusqu'à la DLU (-) (nb de boites)</v>
      </c>
      <c r="BS48" s="1969" t="str">
        <f>'TRAD-Calculs Péremption FA'!B27</f>
        <v xml:space="preserve">Indicateur </v>
      </c>
      <c r="BT48" s="1973" t="str">
        <f>'TRAD-Calculs Péremption FA'!B28</f>
        <v>Montant de la perte ($)</v>
      </c>
      <c r="BU48" s="1794" t="str">
        <f>'TRAD-Calculs Péremption FA'!B61</f>
        <v>Quantités totales UTILISABLES (nb cdt) selon paramétrage</v>
      </c>
      <c r="BV48" s="1794" t="str">
        <f>'TRAD-Calculs Péremption FA'!B62</f>
        <v>Pertes totales (nb cdt)</v>
      </c>
      <c r="BW48" s="1899" t="str">
        <f>'TRAD-Calculs Péremption FA'!B63</f>
        <v>Date de péremption maximale stock utilisable</v>
      </c>
      <c r="BX48" s="1899" t="str">
        <f>'TRAD-Calculs Péremption FA'!B64</f>
        <v>DLU Max ou calculée à partir de durée d'utilisation (date péremption-date estimation) saisie</v>
      </c>
      <c r="BY48" s="1794" t="str">
        <f>'TRAD-Calculs Péremption FA'!B65</f>
        <v>Jour</v>
      </c>
      <c r="BZ48" s="1794" t="str">
        <f>'TRAD-Calculs Péremption FA'!B66</f>
        <v>Mois</v>
      </c>
      <c r="CA48" s="1794" t="str">
        <f>'TRAD-Calculs Péremption FA'!B67</f>
        <v>Année</v>
      </c>
      <c r="CB48" s="1794" t="str">
        <f>'TRAD-Calculs Péremption FA'!B68</f>
        <v>Délai Aujdhui / DLU MAX (Mois)</v>
      </c>
      <c r="CC48" s="1794" t="str">
        <f>IF(CB48='Saisie données stocks'!N$14, 'TRAD-Calculs Péremption FA'!$B$74, CONCATENATE("DLU - ", BY48, "/", BZ48, "/", CA48))</f>
        <v>DLU - Jour/Mois/Année</v>
      </c>
    </row>
    <row r="49" spans="2:81" ht="26.25" thickBot="1" x14ac:dyDescent="0.25">
      <c r="B49" s="1974" t="str">
        <f>'TRAD-Calculs Péremption FA'!B70</f>
        <v>Solutions buvables</v>
      </c>
      <c r="C49" s="1975" t="s">
        <v>31</v>
      </c>
      <c r="D49" s="1976" t="s">
        <v>32</v>
      </c>
      <c r="E49" s="1977" t="str">
        <f>'TRAD-Calculs Péremption FA'!B71</f>
        <v>sol buv</v>
      </c>
      <c r="F49" s="1977" t="s">
        <v>80</v>
      </c>
      <c r="G49" s="1977"/>
      <c r="H49" s="371" t="str">
        <f>CONCATENATE(D49, " - ", F49)</f>
        <v>AZT - 10 mg/mL</v>
      </c>
      <c r="I49" s="1978">
        <f>'Saisie données stocks'!$L$61</f>
        <v>240</v>
      </c>
      <c r="J49" s="1978">
        <f>'Saisie données stocks'!$M$61</f>
        <v>1</v>
      </c>
      <c r="K49" s="3159">
        <f>IF('TdB Péremptions'!$H$9="X", 'Prix 10-2011 GPRM $'!$L$91, IF('TdB Péremptions'!$H$10="X", 'Prix 10-2011 GPRM $'!$N$91, IF('TdB Péremptions'!$H$11="X", 'Prix VPP 102012 convert'!$L$91, IF('TdB Péremptions'!$H$12="X", 'Prix VPP 102012 convert'!$N$91, IF('TdB Péremptions'!$H$13="X", 'Prix spécifiques'!$I$49, 0)))))*I49</f>
        <v>2.25</v>
      </c>
      <c r="L49" s="1979">
        <f>(1+'TdB Péremptions'!$H$14)*K49</f>
        <v>2.4750000000000001</v>
      </c>
      <c r="M49" s="1980">
        <f>Calculs!L359</f>
        <v>0</v>
      </c>
      <c r="N49" s="1980">
        <f>Calculs!N359</f>
        <v>0</v>
      </c>
      <c r="O49" s="1980">
        <f>'Saisie données stocks'!N61</f>
        <v>0</v>
      </c>
      <c r="P49" s="2542" t="str">
        <f>IF(SUM('Saisie données stocks'!R61+'Saisie données stocks'!T61+'Saisie données stocks'!V61+'Saisie données stocks'!X61+'Saisie données stocks'!Z61+'Saisie données stocks'!AB61+'Saisie données stocks'!AD61)='Calculs Péremption conso'!O49,  "OK", 'TRAD-Calculs Péremption FA'!$B$75)</f>
        <v>OK</v>
      </c>
      <c r="Q49" s="1982" t="str">
        <f>IF(AND(O49&gt;0, Calculs!L359=0, Calculs!N359=0), 'TRAD-Calculs Péremption FA'!$B$76, "")</f>
        <v/>
      </c>
      <c r="R49" s="1983">
        <f>'Saisie données stocks'!Q61</f>
        <v>0</v>
      </c>
      <c r="S49" s="1984">
        <f>'Saisie données stocks'!R61</f>
        <v>0</v>
      </c>
      <c r="T49" s="1985" t="str">
        <f>IF(AND(R49=0, S49=0), "ND", IF((R49-Paramétrage!$H$19)&gt;0, (R49-Paramétrage!$H$19)/(365/12), "Date non renseignée ou produit périmé"))</f>
        <v>ND</v>
      </c>
      <c r="U49" s="1986" t="str">
        <f t="shared" ref="U49:U56" si="34">IF(ISERROR(T49*M49+(N49*(T49*(T49+1)/2))), "ND", (T49*M49+(N49*(T49*(T49+1)/2))))</f>
        <v>ND</v>
      </c>
      <c r="V49" s="1986" t="str">
        <f t="shared" ref="V49:V56" si="35">IF(ISERROR(S49-U49), "ND", (S49-U49))</f>
        <v>ND</v>
      </c>
      <c r="W49" s="1987" t="str">
        <f>IF(V49="ND", "ND", IF(V49&gt;0, 'TRAD-Calculs Péremption FA'!$B$73, "OK"))</f>
        <v>ND</v>
      </c>
      <c r="X49" s="1988" t="str">
        <f t="shared" ref="X49:X56" si="36">IF(V49="ND", "ND", IF(V49&gt;0, V49*$L49, ""))</f>
        <v>ND</v>
      </c>
      <c r="Y49" s="1989">
        <f>'Saisie données stocks'!S61</f>
        <v>0</v>
      </c>
      <c r="Z49" s="1981">
        <f>'Saisie données stocks'!T61</f>
        <v>0</v>
      </c>
      <c r="AA49" s="1990">
        <f t="shared" ref="AA49:AA56" si="37">IF(AND(V49&gt;0, ISNUMBER(V49)), (Z49+S49-V49), (Z49+S49))</f>
        <v>0</v>
      </c>
      <c r="AB49" s="1990" t="str">
        <f>IF(AND(Y49=0, Z49=0), "ND", IF((Y49-Paramétrage!$H$19)&gt;0, (Y49-Paramétrage!$H$19)/(365/12), "Date non renseignée ou produit périmé"))</f>
        <v>ND</v>
      </c>
      <c r="AC49" s="1990" t="str">
        <f t="shared" ref="AC49:AC56" si="38">IF(ISERROR(AB49*M49+(N49*(AB49*(AB49+1)/2))), "ND", AB49*M49+(N49*(AB49*(AB49+1)/2)))</f>
        <v>ND</v>
      </c>
      <c r="AD49" s="1990" t="str">
        <f t="shared" ref="AD49:AD56" si="39">IF(AND(ISNUMBER(AA49), ISNUMBER(AC49)), (AA49-AC49), "ND")</f>
        <v>ND</v>
      </c>
      <c r="AE49" s="1985" t="str">
        <f>IF(AD49="ND", "ND", IF(AD49&gt;0, 'TRAD-Calculs Péremption FA'!$B$73, "OK"))</f>
        <v>ND</v>
      </c>
      <c r="AF49" s="1988" t="str">
        <f t="shared" ref="AF49:AF56" si="40">IF(AD49="ND", "ND", IF(AD49&gt;0, AD49*$L49, ""))</f>
        <v>ND</v>
      </c>
      <c r="AG49" s="1991">
        <f>'Saisie données stocks'!U61</f>
        <v>0</v>
      </c>
      <c r="AH49" s="1981">
        <f>'Saisie données stocks'!V61</f>
        <v>0</v>
      </c>
      <c r="AI49" s="1992">
        <f t="shared" ref="AI49:AI56" si="41">IF(AND(AD49&gt;0, ISNUMBER(AD49)), (AA49+AH49-AD49), (AA49+AH49))</f>
        <v>0</v>
      </c>
      <c r="AJ49" s="1992" t="str">
        <f>IF(AND(AG49=0, AH49=0), "ND", IF((AG49-Paramétrage!$H$19)&gt;0, (AG49-Paramétrage!$H$19)/(365/12), "Date non renseignée ou produit périmé"))</f>
        <v>ND</v>
      </c>
      <c r="AK49" s="1992" t="str">
        <f t="shared" ref="AK49:AK56" si="42">IF(ISERROR(AJ49*M49+(N49*(AJ49*(AJ49+1)/2))), "ND", AJ49*M49+(N49*(AJ49*(AJ49+1)/2)))</f>
        <v>ND</v>
      </c>
      <c r="AL49" s="1990" t="str">
        <f t="shared" ref="AL49:AL56" si="43">IF(AND(ISNUMBER(AI49), ISNUMBER(AK49)), (AI49-AK49), "ND")</f>
        <v>ND</v>
      </c>
      <c r="AM49" s="1992" t="str">
        <f>IF(AL49="ND", "ND", IF(AL49&gt;0, 'TRAD-Calculs Péremption FA'!$B$73, "OK"))</f>
        <v>ND</v>
      </c>
      <c r="AN49" s="1988" t="str">
        <f t="shared" ref="AN49:AN56" si="44">IF(AL49="ND", "ND", IF(AL49&gt;0, AL49*$L49, ""))</f>
        <v>ND</v>
      </c>
      <c r="AO49" s="1991">
        <f>'Saisie données stocks'!W61</f>
        <v>0</v>
      </c>
      <c r="AP49" s="1981">
        <f>'Saisie données stocks'!X61</f>
        <v>0</v>
      </c>
      <c r="AQ49" s="1990">
        <f t="shared" ref="AQ49:AQ56" si="45">IF(AND(AL49&gt;0, ISNUMBER(AL49)), (AI49+AP49-AL49), (AI49+AP49))</f>
        <v>0</v>
      </c>
      <c r="AR49" s="1990" t="str">
        <f>IF(AND(AO49=0, AP49=0), "ND", IF((AO49-Paramétrage!$H$19)&gt;0, (AO49-Paramétrage!$H$19)/(365/12), "Date non renseignée ou produit périmé"))</f>
        <v>ND</v>
      </c>
      <c r="AS49" s="1990" t="str">
        <f t="shared" ref="AS49:AS56" si="46">IF(ISERROR(AR49*M49+(N49*(AR49*(AR49+1)/2))), "ND", AR49*M49+(N49*(AR49*(AR49+1)/2)))</f>
        <v>ND</v>
      </c>
      <c r="AT49" s="1990" t="str">
        <f t="shared" ref="AT49:AT56" si="47">IF(AND(ISNUMBER(AQ49), ISNUMBER(AS49)), (AQ49-AS49), "ND")</f>
        <v>ND</v>
      </c>
      <c r="AU49" s="1990" t="str">
        <f>IF(AT49="ND", "ND", IF(AT49&gt;0, 'TRAD-Calculs Péremption FA'!$B$73, "OK"))</f>
        <v>ND</v>
      </c>
      <c r="AV49" s="1988" t="str">
        <f t="shared" ref="AV49:AV56" si="48">IF(AT49="ND", "ND", IF(AT49&gt;0, AT49*$L49, ""))</f>
        <v>ND</v>
      </c>
      <c r="AW49" s="1991">
        <f>'Saisie données stocks'!Y61</f>
        <v>0</v>
      </c>
      <c r="AX49" s="1981">
        <f>'Saisie données stocks'!Z61</f>
        <v>0</v>
      </c>
      <c r="AY49" s="1990">
        <f t="shared" ref="AY49:AY56" si="49">IF(AND(AT49&gt;0, ISNUMBER(AT49)), (AQ49+AX49-AT49), (AQ49+AX49))</f>
        <v>0</v>
      </c>
      <c r="AZ49" s="1990" t="str">
        <f>IF(AND(AW49=0, AX49=0), "ND", IF((AW49-Paramétrage!$H$19)&gt;0, (AW49-Paramétrage!$H$19)/(365/12), "Date non renseignée ou produit périmé"))</f>
        <v>ND</v>
      </c>
      <c r="BA49" s="1990" t="str">
        <f t="shared" ref="BA49:BA56" si="50">IF(ISERROR(AZ49*M49+(N49*(AZ49*(AZ49+1)/2))), "ND", AZ49*M49+(N49*(AZ49*(AZ49+1)/2)))</f>
        <v>ND</v>
      </c>
      <c r="BB49" s="1990" t="str">
        <f t="shared" ref="BB49:BB56" si="51">IF(AND(ISNUMBER(AY49), ISNUMBER(BA49)), (AY49-BA49), "ND")</f>
        <v>ND</v>
      </c>
      <c r="BC49" s="1990" t="str">
        <f>IF(BB49="ND", "ND", IF(BB49&gt;0, 'TRAD-Calculs Péremption FA'!$B$73, "OK"))</f>
        <v>ND</v>
      </c>
      <c r="BD49" s="1988" t="str">
        <f t="shared" ref="BD49:BD56" si="52">IF(BB49="ND", "ND", IF(BB49&gt;0, BB49*$L49, ""))</f>
        <v>ND</v>
      </c>
      <c r="BE49" s="1991">
        <f>'Saisie données stocks'!AA61</f>
        <v>0</v>
      </c>
      <c r="BF49" s="1981">
        <f>'Saisie données stocks'!AB61</f>
        <v>0</v>
      </c>
      <c r="BG49" s="1990">
        <f t="shared" ref="BG49:BG56" si="53">IF(AND(BB49&gt;0, ISNUMBER(BB49)), (AY49+BF49-BB49), (AY49+BF49))</f>
        <v>0</v>
      </c>
      <c r="BH49" s="1990" t="str">
        <f>IF(AND(BE49=0, BF49=0), "ND", IF((BE49-Paramétrage!$H$19)&gt;0, (BE49-Paramétrage!$H$19)/(365/12), "Date non renseignée ou produit périmé"))</f>
        <v>ND</v>
      </c>
      <c r="BI49" s="1993" t="str">
        <f t="shared" ref="BI49:BI56" si="54">IF(ISERROR(BH49*M49+(N49*(BH49*(BH49+1)/2))), "ND", BH49*M49+(N49*(BH49*(BH49+1)/2)))</f>
        <v>ND</v>
      </c>
      <c r="BJ49" s="1990" t="str">
        <f t="shared" ref="BJ49:BJ56" si="55">IF(AND(ISNUMBER(BG49), ISNUMBER(BI49)), (BG49-BI49), "ND")</f>
        <v>ND</v>
      </c>
      <c r="BK49" s="1990" t="str">
        <f>IF(BJ49="ND", "ND", IF(BJ49&gt;0, 'TRAD-Calculs Péremption FA'!$B$73, "OK"))</f>
        <v>ND</v>
      </c>
      <c r="BL49" s="1988" t="str">
        <f t="shared" ref="BL49:BL56" si="56">IF(BJ49="ND", "ND", IF(BJ49&gt;0, BJ49*$L49, ""))</f>
        <v>ND</v>
      </c>
      <c r="BM49" s="1991">
        <f>'Saisie données stocks'!AC61</f>
        <v>0</v>
      </c>
      <c r="BN49" s="1981">
        <f>'Saisie données stocks'!AD61</f>
        <v>0</v>
      </c>
      <c r="BO49" s="1990">
        <f t="shared" ref="BO49:BO56" si="57">IF(AND(BJ49&gt;0, ISNUMBER(BJ49)), (BG49+BN49-BJ49), (BG49+BN49))</f>
        <v>0</v>
      </c>
      <c r="BP49" s="1990" t="str">
        <f>IF(AND(BM49=0, BN49=0), "ND", IF((BM49-Paramétrage!$H$19)&gt;0, (BM49-Paramétrage!$H$19)/(365/12), "Date non renseignée ou produit périmé"))</f>
        <v>ND</v>
      </c>
      <c r="BQ49" s="1990" t="str">
        <f t="shared" ref="BQ49:BQ56" si="58">IF(ISERROR(BP49*M49+(N49*(BP49*(BP49+1)/2))), "ND", BP49*M49+(N49*(BP49*(BP49+1)/2)))</f>
        <v>ND</v>
      </c>
      <c r="BR49" s="1990" t="str">
        <f t="shared" ref="BR49:BR56" si="59">IF(AND(ISNUMBER(BO49), ISNUMBER(BQ49)), (BO49-BQ49), "ND")</f>
        <v>ND</v>
      </c>
      <c r="BS49" s="1990" t="str">
        <f>IF(BR49="ND", "ND", IF(BR49&gt;0, 'TRAD-Calculs Péremption FA'!$B$73, "OK"))</f>
        <v>ND</v>
      </c>
      <c r="BT49" s="1988" t="str">
        <f t="shared" ref="BT49:BT56" si="60">IF(BR49="ND", "ND", IF(BR49&gt;0, BR49*$L49, ""))</f>
        <v>ND</v>
      </c>
      <c r="BU49" s="1911">
        <f>IF('Saisie données stocks'!$O$10='TRAD-Saisie données stocks'!$B$51, IF(P49="OK", IF(AND(BR49&gt;0, ISNUMBER(BR49)), (BO49-BR49), (BO49)), O49), O49)</f>
        <v>0</v>
      </c>
      <c r="BV49" s="1911">
        <f t="shared" ref="BV49:BV56" si="61">IF(AND(BR49&gt;0, ISNUMBER(BR49)), BR49, "0")+IF(AND(BJ49&gt;0, ISNUMBER(BJ49)), BJ49, "0")+IF(AND(BB49&gt;0, ISNUMBER(BB49)), BB49, "0")+IF(AND(AT49&gt;0, ISNUMBER(AT49)), AT49, "0")+IF(AND(AL49&gt;0, ISNUMBER(AL49)), AL49, "0")+IF(AND(AD49&gt;0, ISNUMBER(AD49)), AD49, "0")+IF(AND(V49&gt;0, ISNUMBER(V49)), V49, "0")</f>
        <v>0</v>
      </c>
      <c r="BW49" s="2044" t="str">
        <f t="shared" ref="BW49:BW56" si="62">IF(BU49=O49,"",IF(AND(BR49&gt;0, ISNUMBER(BR49)),BM49,IF(AND(BJ49&gt;0, ISNUMBER(BJ49)), BE49, IF(AND(BB49&gt;0, ISNUMBER(BB49)), AW49,IF(AND(AT49&gt;0, ISNUMBER(AT49)),AO49,IF(AND(AL49&gt;0, ISNUMBER(AL49)),AG49,IF(AND(AD49&gt;0, ISNUMBER(AD49)),Y49,IF(AND(V49&gt;0, ISNUMBER(V49)),R49,""))))))))</f>
        <v/>
      </c>
      <c r="BX49" s="2042">
        <f>IF('Saisie données stocks'!$O$10='TRAD-Saisie données stocks'!$B$51, IF('Calculs Péremption FA'!P49="OK", IF(BU49=O49, MAX(Paramétrage!$H$19+('Saisie données stocks'!$N$14*(365/12)), BM49, BE49, AW49, AO49, AG49, Y49, R49), BW49), Paramétrage!$H$19+('Saisie données stocks'!$N$14*(365/12))), Paramétrage!$H$19+('Saisie données stocks'!$N$14*(365/12)))</f>
        <v>42101.5</v>
      </c>
      <c r="BY49" s="2043">
        <f t="shared" ref="BY49:BY56" si="63">IF(BX49="", "", DAY(BX49))</f>
        <v>7</v>
      </c>
      <c r="BZ49" s="2043">
        <f t="shared" ref="BZ49:BZ56" si="64">IF(BX49="", "", MONTH(BX49))</f>
        <v>4</v>
      </c>
      <c r="CA49" s="2043">
        <f t="shared" ref="CA49:CA56" si="65">IF(BX49="", "", YEAR(BX49))</f>
        <v>2015</v>
      </c>
      <c r="CB49" s="2043">
        <f>IF(BX49="", "", (BX49-Paramétrage!$H$19)/(365/12))</f>
        <v>6</v>
      </c>
      <c r="CC49" s="2043" t="str">
        <f>IF(CB49='Saisie données stocks'!N$14, 'TRAD-Calculs Péremption FA'!$B$74, CONCATENATE("DLU - ", BY49, "/", BZ49, "/", CA49))</f>
        <v>Durée de vie max</v>
      </c>
    </row>
    <row r="50" spans="2:81" ht="26.25" thickBot="1" x14ac:dyDescent="0.25">
      <c r="B50" s="1994"/>
      <c r="C50" s="1995"/>
      <c r="D50" s="1996" t="s">
        <v>82</v>
      </c>
      <c r="E50" s="1997" t="str">
        <f>'TRAD-Calculs Péremption FA'!B71</f>
        <v>sol buv</v>
      </c>
      <c r="F50" s="1997" t="s">
        <v>80</v>
      </c>
      <c r="G50" s="1997"/>
      <c r="H50" s="379" t="str">
        <f t="shared" ref="H50:H56" si="66">CONCATENATE(D50, " - ", F50)</f>
        <v>D4T - 10 mg/mL</v>
      </c>
      <c r="I50" s="1998">
        <f>'Saisie données stocks'!$L$62</f>
        <v>240</v>
      </c>
      <c r="J50" s="1999">
        <f>'Saisie données stocks'!$M$62</f>
        <v>1</v>
      </c>
      <c r="K50" s="2978">
        <f>IF('TdB Péremptions'!$H$9="X", 'Prix 10-2011 GPRM $'!$L$92, IF('TdB Péremptions'!$H$10="X", 'Prix 10-2011 GPRM $'!$N$92, IF('TdB Péremptions'!$H$11="X", 'Prix VPP 102012 convert'!$L$92, IF('TdB Péremptions'!$H$12="X", 'Prix VPP 102012 convert'!$N$92, IF('TdB Péremptions'!$H$13="X", 'Prix spécifiques'!$I$50, 0)))))*I50</f>
        <v>1.65</v>
      </c>
      <c r="L50" s="2000">
        <f>(1+'TdB Péremptions'!$H$14)*K50</f>
        <v>1.8149999999999999</v>
      </c>
      <c r="M50" s="2001">
        <f>Calculs!L360</f>
        <v>0</v>
      </c>
      <c r="N50" s="2001">
        <f>Calculs!N360</f>
        <v>0</v>
      </c>
      <c r="O50" s="2001">
        <f>'Saisie données stocks'!N62</f>
        <v>0</v>
      </c>
      <c r="P50" s="2543" t="str">
        <f>IF(SUM('Saisie données stocks'!R62+'Saisie données stocks'!T62+'Saisie données stocks'!V62+'Saisie données stocks'!X62+'Saisie données stocks'!Z62+'Saisie données stocks'!AB62+'Saisie données stocks'!AD62)='Calculs Péremption conso'!O50,  "OK", 'TRAD-Calculs Péremption FA'!$B$75)</f>
        <v>OK</v>
      </c>
      <c r="Q50" s="2002" t="str">
        <f>IF(AND(O50&gt;0, Calculs!L360=0, Calculs!N360=0), 'TRAD-Calculs Péremption FA'!$B$76, "")</f>
        <v/>
      </c>
      <c r="R50" s="2003">
        <f>'Saisie données stocks'!Q62</f>
        <v>0</v>
      </c>
      <c r="S50" s="2004">
        <f>'Saisie données stocks'!R62</f>
        <v>0</v>
      </c>
      <c r="T50" s="2005" t="str">
        <f>IF(AND(R50=0, S50=0), "ND", IF((R50-Paramétrage!$H$19)&gt;0, (R50-Paramétrage!$H$19)/(365/12), "Date non renseignée ou produit périmé"))</f>
        <v>ND</v>
      </c>
      <c r="U50" s="2006" t="str">
        <f t="shared" si="34"/>
        <v>ND</v>
      </c>
      <c r="V50" s="2006" t="str">
        <f t="shared" si="35"/>
        <v>ND</v>
      </c>
      <c r="W50" s="2007" t="str">
        <f>IF(V50="ND", "ND", IF(V50&gt;0, 'TRAD-Calculs Péremption FA'!$B$73, "OK"))</f>
        <v>ND</v>
      </c>
      <c r="X50" s="1924" t="str">
        <f t="shared" si="36"/>
        <v>ND</v>
      </c>
      <c r="Y50" s="2008">
        <f>'Saisie données stocks'!S62</f>
        <v>0</v>
      </c>
      <c r="Z50" s="1920">
        <f>'Saisie données stocks'!T62</f>
        <v>0</v>
      </c>
      <c r="AA50" s="1923">
        <f t="shared" si="37"/>
        <v>0</v>
      </c>
      <c r="AB50" s="1923" t="str">
        <f>IF(AND(Y50=0, Z50=0), "ND", IF((Y50-Paramétrage!$H$19)&gt;0, (Y50-Paramétrage!$H$19)/(365/12), "Date non renseignée ou produit périmé"))</f>
        <v>ND</v>
      </c>
      <c r="AC50" s="1923" t="str">
        <f t="shared" si="38"/>
        <v>ND</v>
      </c>
      <c r="AD50" s="1923" t="str">
        <f t="shared" si="39"/>
        <v>ND</v>
      </c>
      <c r="AE50" s="2005" t="str">
        <f>IF(AD50="ND", "ND", IF(AD50&gt;0, 'TRAD-Calculs Péremption FA'!$B$73, "OK"))</f>
        <v>ND</v>
      </c>
      <c r="AF50" s="1924" t="str">
        <f t="shared" si="40"/>
        <v>ND</v>
      </c>
      <c r="AG50" s="1919">
        <f>'Saisie données stocks'!U62</f>
        <v>0</v>
      </c>
      <c r="AH50" s="1920">
        <f>'Saisie données stocks'!V62</f>
        <v>0</v>
      </c>
      <c r="AI50" s="1923">
        <f t="shared" si="41"/>
        <v>0</v>
      </c>
      <c r="AJ50" s="1923" t="str">
        <f>IF(AND(AG50=0, AH50=0), "ND", IF((AG50-Paramétrage!$H$19)&gt;0, (AG50-Paramétrage!$H$19)/(365/12), "Date non renseignée ou produit périmé"))</f>
        <v>ND</v>
      </c>
      <c r="AK50" s="1923" t="str">
        <f t="shared" si="42"/>
        <v>ND</v>
      </c>
      <c r="AL50" s="1923" t="str">
        <f t="shared" si="43"/>
        <v>ND</v>
      </c>
      <c r="AM50" s="1923" t="str">
        <f>IF(AL50="ND", "ND", IF(AL50&gt;0, 'TRAD-Calculs Péremption FA'!$B$73, "OK"))</f>
        <v>ND</v>
      </c>
      <c r="AN50" s="1924" t="str">
        <f t="shared" si="44"/>
        <v>ND</v>
      </c>
      <c r="AO50" s="1919">
        <f>'Saisie données stocks'!W62</f>
        <v>0</v>
      </c>
      <c r="AP50" s="1920">
        <f>'Saisie données stocks'!X62</f>
        <v>0</v>
      </c>
      <c r="AQ50" s="1923">
        <f t="shared" si="45"/>
        <v>0</v>
      </c>
      <c r="AR50" s="1923" t="str">
        <f>IF(AND(AO50=0, AP50=0), "ND", IF((AO50-Paramétrage!$H$19)&gt;0, (AO50-Paramétrage!$H$19)/(365/12), "Date non renseignée ou produit périmé"))</f>
        <v>ND</v>
      </c>
      <c r="AS50" s="1923" t="str">
        <f t="shared" si="46"/>
        <v>ND</v>
      </c>
      <c r="AT50" s="1923" t="str">
        <f t="shared" si="47"/>
        <v>ND</v>
      </c>
      <c r="AU50" s="1923" t="str">
        <f>IF(AT50="ND", "ND", IF(AT50&gt;0, 'TRAD-Calculs Péremption FA'!$B$73, "OK"))</f>
        <v>ND</v>
      </c>
      <c r="AV50" s="1924" t="str">
        <f t="shared" si="48"/>
        <v>ND</v>
      </c>
      <c r="AW50" s="1919">
        <f>'Saisie données stocks'!Y62</f>
        <v>0</v>
      </c>
      <c r="AX50" s="1920">
        <f>'Saisie données stocks'!Z62</f>
        <v>0</v>
      </c>
      <c r="AY50" s="1923">
        <f t="shared" si="49"/>
        <v>0</v>
      </c>
      <c r="AZ50" s="1923" t="str">
        <f>IF(AND(AW50=0, AX50=0), "ND", IF((AW50-Paramétrage!$H$19)&gt;0, (AW50-Paramétrage!$H$19)/(365/12), "Date non renseignée ou produit périmé"))</f>
        <v>ND</v>
      </c>
      <c r="BA50" s="1923" t="str">
        <f t="shared" si="50"/>
        <v>ND</v>
      </c>
      <c r="BB50" s="1923" t="str">
        <f t="shared" si="51"/>
        <v>ND</v>
      </c>
      <c r="BC50" s="1923" t="str">
        <f>IF(BB50="ND", "ND", IF(BB50&gt;0, 'TRAD-Calculs Péremption FA'!$B$73, "OK"))</f>
        <v>ND</v>
      </c>
      <c r="BD50" s="1924" t="str">
        <f t="shared" si="52"/>
        <v>ND</v>
      </c>
      <c r="BE50" s="1919">
        <f>'Saisie données stocks'!AA62</f>
        <v>0</v>
      </c>
      <c r="BF50" s="1920">
        <f>'Saisie données stocks'!AB62</f>
        <v>0</v>
      </c>
      <c r="BG50" s="1923">
        <f t="shared" si="53"/>
        <v>0</v>
      </c>
      <c r="BH50" s="1923" t="str">
        <f>IF(AND(BE50=0, BF50=0), "ND", IF((BE50-Paramétrage!$H$19)&gt;0, (BE50-Paramétrage!$H$19)/(365/12), "Date non renseignée ou produit périmé"))</f>
        <v>ND</v>
      </c>
      <c r="BI50" s="1923" t="str">
        <f t="shared" si="54"/>
        <v>ND</v>
      </c>
      <c r="BJ50" s="1923" t="str">
        <f t="shared" si="55"/>
        <v>ND</v>
      </c>
      <c r="BK50" s="1923" t="str">
        <f>IF(BJ50="ND", "ND", IF(BJ50&gt;0, 'TRAD-Calculs Péremption FA'!$B$73, "OK"))</f>
        <v>ND</v>
      </c>
      <c r="BL50" s="1924" t="str">
        <f t="shared" si="56"/>
        <v>ND</v>
      </c>
      <c r="BM50" s="1919">
        <f>'Saisie données stocks'!AC62</f>
        <v>0</v>
      </c>
      <c r="BN50" s="1920">
        <f>'Saisie données stocks'!AD62</f>
        <v>0</v>
      </c>
      <c r="BO50" s="1923">
        <f t="shared" si="57"/>
        <v>0</v>
      </c>
      <c r="BP50" s="1923" t="str">
        <f>IF(AND(BM50=0, BN50=0), "ND", IF((BM50-Paramétrage!$H$19)&gt;0, (BM50-Paramétrage!$H$19)/(365/12), "Date non renseignée ou produit périmé"))</f>
        <v>ND</v>
      </c>
      <c r="BQ50" s="1923" t="str">
        <f t="shared" si="58"/>
        <v>ND</v>
      </c>
      <c r="BR50" s="1923" t="str">
        <f t="shared" si="59"/>
        <v>ND</v>
      </c>
      <c r="BS50" s="1923" t="str">
        <f>IF(BR50="ND", "ND", IF(BR50&gt;0, 'TRAD-Calculs Péremption FA'!$B$73, "OK"))</f>
        <v>ND</v>
      </c>
      <c r="BT50" s="1924" t="str">
        <f t="shared" si="60"/>
        <v>ND</v>
      </c>
      <c r="BU50" s="1925">
        <f>IF('Saisie données stocks'!$O$10='TRAD-Saisie données stocks'!$B$51, IF(P50="OK", IF(AND(BR50&gt;0, ISNUMBER(BR50)), (BO50-BR50), (BO50)), O50), O50)</f>
        <v>0</v>
      </c>
      <c r="BV50" s="1925">
        <f t="shared" si="61"/>
        <v>0</v>
      </c>
      <c r="BW50" s="2044" t="str">
        <f t="shared" si="62"/>
        <v/>
      </c>
      <c r="BX50" s="2045">
        <f>IF('Saisie données stocks'!$O$10='TRAD-Saisie données stocks'!$B$51, IF('Calculs Péremption FA'!P50="OK", IF(BU50=O50, MAX(Paramétrage!$H$19+('Saisie données stocks'!$N$14*(365/12)), BM50, BE50, AW50, AO50, AG50, Y50, R50), BW50), Paramétrage!$H$19+('Saisie données stocks'!$N$14*(365/12))), Paramétrage!$H$19+('Saisie données stocks'!$N$14*(365/12)))</f>
        <v>42101.5</v>
      </c>
      <c r="BY50" s="2046">
        <f t="shared" si="63"/>
        <v>7</v>
      </c>
      <c r="BZ50" s="2046">
        <f t="shared" si="64"/>
        <v>4</v>
      </c>
      <c r="CA50" s="2046">
        <f t="shared" si="65"/>
        <v>2015</v>
      </c>
      <c r="CB50" s="2046">
        <f>IF(BX50="", "", (BX50-Paramétrage!$H$19)/(365/12))</f>
        <v>6</v>
      </c>
      <c r="CC50" s="2043" t="str">
        <f>IF(CB50='Saisie données stocks'!N$14, 'TRAD-Calculs Péremption FA'!$B$74, CONCATENATE("DLU - ", BY50, "/", BZ50, "/", CA50))</f>
        <v>Durée de vie max</v>
      </c>
    </row>
    <row r="51" spans="2:81" ht="26.25" thickBot="1" x14ac:dyDescent="0.25">
      <c r="B51" s="1994"/>
      <c r="C51" s="1995"/>
      <c r="D51" s="2009" t="s">
        <v>34</v>
      </c>
      <c r="E51" s="2010" t="str">
        <f>'TRAD-Calculs Péremption FA'!B71</f>
        <v>sol buv</v>
      </c>
      <c r="F51" s="2010" t="s">
        <v>80</v>
      </c>
      <c r="G51" s="2011"/>
      <c r="H51" s="385" t="str">
        <f t="shared" si="66"/>
        <v>3TC - 10 mg/mL</v>
      </c>
      <c r="I51" s="2012">
        <f>'Saisie données stocks'!$L$63</f>
        <v>240</v>
      </c>
      <c r="J51" s="2013">
        <f>'Saisie données stocks'!$M$63</f>
        <v>1</v>
      </c>
      <c r="K51" s="2979">
        <f>IF('TdB Péremptions'!$H$9="X", 'Prix 10-2011 GPRM $'!$L$93, IF('TdB Péremptions'!$H$10="X", 'Prix 10-2011 GPRM $'!$N$93,IF('TdB Péremptions'!$H$11="X", 'Prix VPP 102012 convert'!$L$93, IF('TdB Péremptions'!$H$12="X", 'Prix VPP 102012 convert'!$N$93, IF('TdB Péremptions'!$H$13="X", 'Prix spécifiques'!$I$51, 0) ))))*I51</f>
        <v>2.16</v>
      </c>
      <c r="L51" s="2014">
        <f>(1+'TdB Péremptions'!$H$14)*K51</f>
        <v>2.3760000000000003</v>
      </c>
      <c r="M51" s="2001">
        <f>Calculs!L361</f>
        <v>0</v>
      </c>
      <c r="N51" s="2001">
        <f>Calculs!N361</f>
        <v>0</v>
      </c>
      <c r="O51" s="2001">
        <f>'Saisie données stocks'!N63</f>
        <v>0</v>
      </c>
      <c r="P51" s="1920" t="str">
        <f>IF(SUM('Saisie données stocks'!R63+'Saisie données stocks'!T63+'Saisie données stocks'!V63+'Saisie données stocks'!X63+'Saisie données stocks'!Z63+'Saisie données stocks'!AB63+'Saisie données stocks'!AD63)='Calculs Péremption conso'!O51,  "OK", 'TRAD-Calculs Péremption FA'!$B$75)</f>
        <v>OK</v>
      </c>
      <c r="Q51" s="2002" t="str">
        <f>IF(AND(O51&gt;0, Calculs!L361=0, Calculs!N361=0), 'TRAD-Calculs Péremption FA'!$B$76, "")</f>
        <v/>
      </c>
      <c r="R51" s="2003">
        <f>'Saisie données stocks'!Q63</f>
        <v>0</v>
      </c>
      <c r="S51" s="2004">
        <f>'Saisie données stocks'!R63</f>
        <v>0</v>
      </c>
      <c r="T51" s="2005" t="str">
        <f>IF(AND(R51=0, S51=0), "ND", IF((R51-Paramétrage!$H$19)&gt;0, (R51-Paramétrage!$H$19)/(365/12), "Date non renseignée ou produit périmé"))</f>
        <v>ND</v>
      </c>
      <c r="U51" s="2006" t="str">
        <f t="shared" si="34"/>
        <v>ND</v>
      </c>
      <c r="V51" s="2006" t="str">
        <f t="shared" si="35"/>
        <v>ND</v>
      </c>
      <c r="W51" s="2007" t="str">
        <f>IF(V51="ND", "ND", IF(V51&gt;0, 'TRAD-Calculs Péremption FA'!$B$73, "OK"))</f>
        <v>ND</v>
      </c>
      <c r="X51" s="1924" t="str">
        <f t="shared" si="36"/>
        <v>ND</v>
      </c>
      <c r="Y51" s="2008">
        <f>'Saisie données stocks'!S63</f>
        <v>0</v>
      </c>
      <c r="Z51" s="1920">
        <f>'Saisie données stocks'!T63</f>
        <v>0</v>
      </c>
      <c r="AA51" s="1923">
        <f t="shared" si="37"/>
        <v>0</v>
      </c>
      <c r="AB51" s="1923" t="str">
        <f>IF(AND(Y51=0, Z51=0), "ND", IF((Y51-Paramétrage!$H$19)&gt;0, (Y51-Paramétrage!$H$19)/(365/12), "Date non renseignée ou produit périmé"))</f>
        <v>ND</v>
      </c>
      <c r="AC51" s="1923" t="str">
        <f t="shared" si="38"/>
        <v>ND</v>
      </c>
      <c r="AD51" s="1923" t="str">
        <f t="shared" si="39"/>
        <v>ND</v>
      </c>
      <c r="AE51" s="2005" t="str">
        <f>IF(AD51="ND", "ND", IF(AD51&gt;0, 'TRAD-Calculs Péremption FA'!$B$73, "OK"))</f>
        <v>ND</v>
      </c>
      <c r="AF51" s="1924" t="str">
        <f t="shared" si="40"/>
        <v>ND</v>
      </c>
      <c r="AG51" s="1919">
        <f>'Saisie données stocks'!U63</f>
        <v>0</v>
      </c>
      <c r="AH51" s="1920">
        <f>'Saisie données stocks'!V63</f>
        <v>0</v>
      </c>
      <c r="AI51" s="1923">
        <f t="shared" si="41"/>
        <v>0</v>
      </c>
      <c r="AJ51" s="1923" t="str">
        <f>IF(AND(AG51=0, AH51=0), "ND", IF((AG51-Paramétrage!$H$19)&gt;0, (AG51-Paramétrage!$H$19)/(365/12), "Date non renseignée ou produit périmé"))</f>
        <v>ND</v>
      </c>
      <c r="AK51" s="1923" t="str">
        <f t="shared" si="42"/>
        <v>ND</v>
      </c>
      <c r="AL51" s="1923" t="str">
        <f t="shared" si="43"/>
        <v>ND</v>
      </c>
      <c r="AM51" s="1923" t="str">
        <f>IF(AL51="ND", "ND", IF(AL51&gt;0, 'TRAD-Calculs Péremption FA'!$B$73, "OK"))</f>
        <v>ND</v>
      </c>
      <c r="AN51" s="1924" t="str">
        <f t="shared" si="44"/>
        <v>ND</v>
      </c>
      <c r="AO51" s="1919">
        <f>'Saisie données stocks'!W63</f>
        <v>0</v>
      </c>
      <c r="AP51" s="1920">
        <f>'Saisie données stocks'!X63</f>
        <v>0</v>
      </c>
      <c r="AQ51" s="1923">
        <f t="shared" si="45"/>
        <v>0</v>
      </c>
      <c r="AR51" s="1923" t="str">
        <f>IF(AND(AO51=0, AP51=0), "ND", IF((AO51-Paramétrage!$H$19)&gt;0, (AO51-Paramétrage!$H$19)/(365/12), "Date non renseignée ou produit périmé"))</f>
        <v>ND</v>
      </c>
      <c r="AS51" s="1923" t="str">
        <f t="shared" si="46"/>
        <v>ND</v>
      </c>
      <c r="AT51" s="1923" t="str">
        <f t="shared" si="47"/>
        <v>ND</v>
      </c>
      <c r="AU51" s="1923" t="str">
        <f>IF(AT51="ND", "ND", IF(AT51&gt;0, 'TRAD-Calculs Péremption FA'!$B$73, "OK"))</f>
        <v>ND</v>
      </c>
      <c r="AV51" s="1924" t="str">
        <f t="shared" si="48"/>
        <v>ND</v>
      </c>
      <c r="AW51" s="1919">
        <f>'Saisie données stocks'!Y63</f>
        <v>0</v>
      </c>
      <c r="AX51" s="1920">
        <f>'Saisie données stocks'!Z63</f>
        <v>0</v>
      </c>
      <c r="AY51" s="1923">
        <f t="shared" si="49"/>
        <v>0</v>
      </c>
      <c r="AZ51" s="1923" t="str">
        <f>IF(AND(AW51=0, AX51=0), "ND", IF((AW51-Paramétrage!$H$19)&gt;0, (AW51-Paramétrage!$H$19)/(365/12), "Date non renseignée ou produit périmé"))</f>
        <v>ND</v>
      </c>
      <c r="BA51" s="1923" t="str">
        <f t="shared" si="50"/>
        <v>ND</v>
      </c>
      <c r="BB51" s="1923" t="str">
        <f t="shared" si="51"/>
        <v>ND</v>
      </c>
      <c r="BC51" s="1923" t="str">
        <f>IF(BB51="ND", "ND", IF(BB51&gt;0, 'TRAD-Calculs Péremption FA'!$B$73, "OK"))</f>
        <v>ND</v>
      </c>
      <c r="BD51" s="1924" t="str">
        <f t="shared" si="52"/>
        <v>ND</v>
      </c>
      <c r="BE51" s="1919">
        <f>'Saisie données stocks'!AA63</f>
        <v>0</v>
      </c>
      <c r="BF51" s="1920">
        <f>'Saisie données stocks'!AB63</f>
        <v>0</v>
      </c>
      <c r="BG51" s="1923">
        <f t="shared" si="53"/>
        <v>0</v>
      </c>
      <c r="BH51" s="1923" t="str">
        <f>IF(AND(BE51=0, BF51=0), "ND", IF((BE51-Paramétrage!$H$19)&gt;0, (BE51-Paramétrage!$H$19)/(365/12), "Date non renseignée ou produit périmé"))</f>
        <v>ND</v>
      </c>
      <c r="BI51" s="1923" t="str">
        <f t="shared" si="54"/>
        <v>ND</v>
      </c>
      <c r="BJ51" s="1923" t="str">
        <f t="shared" si="55"/>
        <v>ND</v>
      </c>
      <c r="BK51" s="1923" t="str">
        <f>IF(BJ51="ND", "ND", IF(BJ51&gt;0, 'TRAD-Calculs Péremption FA'!$B$73, "OK"))</f>
        <v>ND</v>
      </c>
      <c r="BL51" s="1924" t="str">
        <f t="shared" si="56"/>
        <v>ND</v>
      </c>
      <c r="BM51" s="1919">
        <f>'Saisie données stocks'!AC63</f>
        <v>0</v>
      </c>
      <c r="BN51" s="1920">
        <f>'Saisie données stocks'!AD63</f>
        <v>0</v>
      </c>
      <c r="BO51" s="1923">
        <f t="shared" si="57"/>
        <v>0</v>
      </c>
      <c r="BP51" s="1923" t="str">
        <f>IF(AND(BM51=0, BN51=0), "ND", IF((BM51-Paramétrage!$H$19)&gt;0, (BM51-Paramétrage!$H$19)/(365/12), "Date non renseignée ou produit périmé"))</f>
        <v>ND</v>
      </c>
      <c r="BQ51" s="1923" t="str">
        <f t="shared" si="58"/>
        <v>ND</v>
      </c>
      <c r="BR51" s="1923" t="str">
        <f t="shared" si="59"/>
        <v>ND</v>
      </c>
      <c r="BS51" s="1923" t="str">
        <f>IF(BR51="ND", "ND", IF(BR51&gt;0, 'TRAD-Calculs Péremption FA'!$B$73, "OK"))</f>
        <v>ND</v>
      </c>
      <c r="BT51" s="1924" t="str">
        <f t="shared" si="60"/>
        <v>ND</v>
      </c>
      <c r="BU51" s="1925">
        <f>IF('Saisie données stocks'!$O$10='TRAD-Saisie données stocks'!$B$51, IF(P51="OK", IF(AND(BR51&gt;0, ISNUMBER(BR51)), (BO51-BR51), (BO51)), O51), O51)</f>
        <v>0</v>
      </c>
      <c r="BV51" s="1925">
        <f t="shared" si="61"/>
        <v>0</v>
      </c>
      <c r="BW51" s="2044" t="str">
        <f t="shared" si="62"/>
        <v/>
      </c>
      <c r="BX51" s="2045">
        <f>IF('Saisie données stocks'!$O$10='TRAD-Saisie données stocks'!$B$51, IF('Calculs Péremption FA'!P51="OK", IF(BU51=O51, MAX(Paramétrage!$H$19+('Saisie données stocks'!$N$14*(365/12)), BM51, BE51, AW51, AO51, AG51, Y51, R51), BW51), Paramétrage!$H$19+('Saisie données stocks'!$N$14*(365/12))), Paramétrage!$H$19+('Saisie données stocks'!$N$14*(365/12)))</f>
        <v>42101.5</v>
      </c>
      <c r="BY51" s="2046">
        <f t="shared" si="63"/>
        <v>7</v>
      </c>
      <c r="BZ51" s="2046">
        <f t="shared" si="64"/>
        <v>4</v>
      </c>
      <c r="CA51" s="2046">
        <f t="shared" si="65"/>
        <v>2015</v>
      </c>
      <c r="CB51" s="2046">
        <f>IF(BX51="", "", (BX51-Paramétrage!$H$19)/(365/12))</f>
        <v>6</v>
      </c>
      <c r="CC51" s="2043" t="str">
        <f>IF(CB51='Saisie données stocks'!N$14, 'TRAD-Calculs Péremption FA'!$B$74, CONCATENATE("DLU - ", BY51, "/", BZ51, "/", CA51))</f>
        <v>Durée de vie max</v>
      </c>
    </row>
    <row r="52" spans="2:81" ht="26.25" thickBot="1" x14ac:dyDescent="0.25">
      <c r="B52" s="1994"/>
      <c r="C52" s="2015"/>
      <c r="D52" s="1996" t="s">
        <v>36</v>
      </c>
      <c r="E52" s="1997" t="str">
        <f>'TRAD-Calculs Péremption FA'!B71</f>
        <v>sol buv</v>
      </c>
      <c r="F52" s="1997" t="s">
        <v>88</v>
      </c>
      <c r="G52" s="1997"/>
      <c r="H52" s="379" t="str">
        <f t="shared" si="66"/>
        <v>ABC - 20 mg/mL</v>
      </c>
      <c r="I52" s="1998">
        <f>'Saisie données stocks'!$L$64</f>
        <v>240</v>
      </c>
      <c r="J52" s="1999">
        <f>'Saisie données stocks'!$M$64</f>
        <v>1</v>
      </c>
      <c r="K52" s="2978">
        <f>IF('TdB Péremptions'!$H$9="X", 'Prix 10-2011 GPRM $'!$L$98, IF('TdB Péremptions'!$H$10="X", 'Prix 10-2011 GPRM $'!$N$98, IF('TdB Péremptions'!$H$11="X", 'Prix VPP 102012 convert'!$L$98, IF('TdB Péremptions'!$H$12="X", 'Prix VPP 102012 convert'!$N$98, IF('TdB Péremptions'!$H$13="X", 'Prix spécifiques'!$I$52, 0)))))*I52</f>
        <v>9.75</v>
      </c>
      <c r="L52" s="2000">
        <f>(1+'TdB Péremptions'!$H$14)*K52</f>
        <v>10.725000000000001</v>
      </c>
      <c r="M52" s="2001">
        <f>Calculs!L362</f>
        <v>0</v>
      </c>
      <c r="N52" s="2001">
        <f>Calculs!N362</f>
        <v>0</v>
      </c>
      <c r="O52" s="2001">
        <f>'Saisie données stocks'!N64</f>
        <v>0</v>
      </c>
      <c r="P52" s="1920" t="str">
        <f>IF(SUM('Saisie données stocks'!R64+'Saisie données stocks'!T64+'Saisie données stocks'!V64+'Saisie données stocks'!X64+'Saisie données stocks'!Z64+'Saisie données stocks'!AB64+'Saisie données stocks'!AD64)='Calculs Péremption conso'!O52,  "OK", 'TRAD-Calculs Péremption FA'!$B$75)</f>
        <v>OK</v>
      </c>
      <c r="Q52" s="2002" t="str">
        <f>IF(AND(O52&gt;0, Calculs!L362=0, Calculs!N362=0), 'TRAD-Calculs Péremption FA'!$B$76, "")</f>
        <v/>
      </c>
      <c r="R52" s="2003">
        <f>'Saisie données stocks'!Q64</f>
        <v>0</v>
      </c>
      <c r="S52" s="2004">
        <f>'Saisie données stocks'!R64</f>
        <v>0</v>
      </c>
      <c r="T52" s="2005" t="str">
        <f>IF(AND(R52=0, S52=0), "ND", IF((R52-Paramétrage!$H$19)&gt;0, (R52-Paramétrage!$H$19)/(365/12), "Date non renseignée ou produit périmé"))</f>
        <v>ND</v>
      </c>
      <c r="U52" s="2006" t="str">
        <f t="shared" si="34"/>
        <v>ND</v>
      </c>
      <c r="V52" s="2006" t="str">
        <f t="shared" si="35"/>
        <v>ND</v>
      </c>
      <c r="W52" s="2007" t="str">
        <f>IF(V52="ND", "ND", IF(V52&gt;0, 'TRAD-Calculs Péremption FA'!$B$73, "OK"))</f>
        <v>ND</v>
      </c>
      <c r="X52" s="1924" t="str">
        <f t="shared" si="36"/>
        <v>ND</v>
      </c>
      <c r="Y52" s="2008">
        <f>'Saisie données stocks'!S64</f>
        <v>0</v>
      </c>
      <c r="Z52" s="1920">
        <f>'Saisie données stocks'!T64</f>
        <v>0</v>
      </c>
      <c r="AA52" s="1923">
        <f t="shared" si="37"/>
        <v>0</v>
      </c>
      <c r="AB52" s="1923" t="str">
        <f>IF(AND(Y52=0, Z52=0), "ND", IF((Y52-Paramétrage!$H$19)&gt;0, (Y52-Paramétrage!$H$19)/(365/12), "Date non renseignée ou produit périmé"))</f>
        <v>ND</v>
      </c>
      <c r="AC52" s="1923" t="str">
        <f t="shared" si="38"/>
        <v>ND</v>
      </c>
      <c r="AD52" s="1923" t="str">
        <f t="shared" si="39"/>
        <v>ND</v>
      </c>
      <c r="AE52" s="2005" t="str">
        <f>IF(AD52="ND", "ND", IF(AD52&gt;0, 'TRAD-Calculs Péremption FA'!$B$73, "OK"))</f>
        <v>ND</v>
      </c>
      <c r="AF52" s="1924" t="str">
        <f t="shared" si="40"/>
        <v>ND</v>
      </c>
      <c r="AG52" s="1919">
        <f>'Saisie données stocks'!U64</f>
        <v>0</v>
      </c>
      <c r="AH52" s="1920">
        <f>'Saisie données stocks'!V64</f>
        <v>0</v>
      </c>
      <c r="AI52" s="1923">
        <f t="shared" si="41"/>
        <v>0</v>
      </c>
      <c r="AJ52" s="1923" t="str">
        <f>IF(AND(AG52=0, AH52=0), "ND", IF((AG52-Paramétrage!$H$19)&gt;0, (AG52-Paramétrage!$H$19)/(365/12), "Date non renseignée ou produit périmé"))</f>
        <v>ND</v>
      </c>
      <c r="AK52" s="1923" t="str">
        <f t="shared" si="42"/>
        <v>ND</v>
      </c>
      <c r="AL52" s="1923" t="str">
        <f t="shared" si="43"/>
        <v>ND</v>
      </c>
      <c r="AM52" s="1923" t="str">
        <f>IF(AL52="ND", "ND", IF(AL52&gt;0, 'TRAD-Calculs Péremption FA'!$B$73, "OK"))</f>
        <v>ND</v>
      </c>
      <c r="AN52" s="1924" t="str">
        <f t="shared" si="44"/>
        <v>ND</v>
      </c>
      <c r="AO52" s="1919">
        <f>'Saisie données stocks'!W64</f>
        <v>0</v>
      </c>
      <c r="AP52" s="1920">
        <f>'Saisie données stocks'!X64</f>
        <v>0</v>
      </c>
      <c r="AQ52" s="1923">
        <f t="shared" si="45"/>
        <v>0</v>
      </c>
      <c r="AR52" s="1923" t="str">
        <f>IF(AND(AO52=0, AP52=0), "ND", IF((AO52-Paramétrage!$H$19)&gt;0, (AO52-Paramétrage!$H$19)/(365/12), "Date non renseignée ou produit périmé"))</f>
        <v>ND</v>
      </c>
      <c r="AS52" s="1923" t="str">
        <f t="shared" si="46"/>
        <v>ND</v>
      </c>
      <c r="AT52" s="1923" t="str">
        <f t="shared" si="47"/>
        <v>ND</v>
      </c>
      <c r="AU52" s="1923" t="str">
        <f>IF(AT52="ND", "ND", IF(AT52&gt;0, 'TRAD-Calculs Péremption FA'!$B$73, "OK"))</f>
        <v>ND</v>
      </c>
      <c r="AV52" s="1924" t="str">
        <f t="shared" si="48"/>
        <v>ND</v>
      </c>
      <c r="AW52" s="1919">
        <f>'Saisie données stocks'!Y64</f>
        <v>0</v>
      </c>
      <c r="AX52" s="1920">
        <f>'Saisie données stocks'!Z64</f>
        <v>0</v>
      </c>
      <c r="AY52" s="1923">
        <f t="shared" si="49"/>
        <v>0</v>
      </c>
      <c r="AZ52" s="1923" t="str">
        <f>IF(AND(AW52=0, AX52=0), "ND", IF((AW52-Paramétrage!$H$19)&gt;0, (AW52-Paramétrage!$H$19)/(365/12), "Date non renseignée ou produit périmé"))</f>
        <v>ND</v>
      </c>
      <c r="BA52" s="1923" t="str">
        <f t="shared" si="50"/>
        <v>ND</v>
      </c>
      <c r="BB52" s="1923" t="str">
        <f t="shared" si="51"/>
        <v>ND</v>
      </c>
      <c r="BC52" s="1923" t="str">
        <f>IF(BB52="ND", "ND", IF(BB52&gt;0, 'TRAD-Calculs Péremption FA'!$B$73, "OK"))</f>
        <v>ND</v>
      </c>
      <c r="BD52" s="1924" t="str">
        <f t="shared" si="52"/>
        <v>ND</v>
      </c>
      <c r="BE52" s="1919">
        <f>'Saisie données stocks'!AA64</f>
        <v>0</v>
      </c>
      <c r="BF52" s="1920">
        <f>'Saisie données stocks'!AB64</f>
        <v>0</v>
      </c>
      <c r="BG52" s="1923">
        <f t="shared" si="53"/>
        <v>0</v>
      </c>
      <c r="BH52" s="1923" t="str">
        <f>IF(AND(BE52=0, BF52=0), "ND", IF((BE52-Paramétrage!$H$19)&gt;0, (BE52-Paramétrage!$H$19)/(365/12), "Date non renseignée ou produit périmé"))</f>
        <v>ND</v>
      </c>
      <c r="BI52" s="1923" t="str">
        <f t="shared" si="54"/>
        <v>ND</v>
      </c>
      <c r="BJ52" s="1923" t="str">
        <f t="shared" si="55"/>
        <v>ND</v>
      </c>
      <c r="BK52" s="1923" t="str">
        <f>IF(BJ52="ND", "ND", IF(BJ52&gt;0, 'TRAD-Calculs Péremption FA'!$B$73, "OK"))</f>
        <v>ND</v>
      </c>
      <c r="BL52" s="1924" t="str">
        <f t="shared" si="56"/>
        <v>ND</v>
      </c>
      <c r="BM52" s="1919">
        <f>'Saisie données stocks'!AC64</f>
        <v>0</v>
      </c>
      <c r="BN52" s="1920">
        <f>'Saisie données stocks'!AD64</f>
        <v>0</v>
      </c>
      <c r="BO52" s="1923">
        <f t="shared" si="57"/>
        <v>0</v>
      </c>
      <c r="BP52" s="1923" t="str">
        <f>IF(AND(BM52=0, BN52=0), "ND", IF((BM52-Paramétrage!$H$19)&gt;0, (BM52-Paramétrage!$H$19)/(365/12), "Date non renseignée ou produit périmé"))</f>
        <v>ND</v>
      </c>
      <c r="BQ52" s="1923" t="str">
        <f t="shared" si="58"/>
        <v>ND</v>
      </c>
      <c r="BR52" s="1923" t="str">
        <f t="shared" si="59"/>
        <v>ND</v>
      </c>
      <c r="BS52" s="1923" t="str">
        <f>IF(BR52="ND", "ND", IF(BR52&gt;0, 'TRAD-Calculs Péremption FA'!$B$73, "OK"))</f>
        <v>ND</v>
      </c>
      <c r="BT52" s="1924" t="str">
        <f t="shared" si="60"/>
        <v>ND</v>
      </c>
      <c r="BU52" s="1925">
        <f>IF('Saisie données stocks'!$O$10='TRAD-Saisie données stocks'!$B$51, IF(P52="OK", IF(AND(BR52&gt;0, ISNUMBER(BR52)), (BO52-BR52), (BO52)), O52), O52)</f>
        <v>0</v>
      </c>
      <c r="BV52" s="1925">
        <f t="shared" si="61"/>
        <v>0</v>
      </c>
      <c r="BW52" s="2044" t="str">
        <f t="shared" si="62"/>
        <v/>
      </c>
      <c r="BX52" s="2045">
        <f>IF('Saisie données stocks'!$O$10='TRAD-Saisie données stocks'!$B$51, IF('Calculs Péremption FA'!P52="OK", IF(BU52=O52, MAX(Paramétrage!$H$19+('Saisie données stocks'!$N$14*(365/12)), BM52, BE52, AW52, AO52, AG52, Y52, R52), BW52), Paramétrage!$H$19+('Saisie données stocks'!$N$14*(365/12))), Paramétrage!$H$19+('Saisie données stocks'!$N$14*(365/12)))</f>
        <v>42101.5</v>
      </c>
      <c r="BY52" s="2046">
        <f t="shared" si="63"/>
        <v>7</v>
      </c>
      <c r="BZ52" s="2046">
        <f t="shared" si="64"/>
        <v>4</v>
      </c>
      <c r="CA52" s="2046">
        <f t="shared" si="65"/>
        <v>2015</v>
      </c>
      <c r="CB52" s="2046">
        <f>IF(BX52="", "", (BX52-Paramétrage!$H$19)/(365/12))</f>
        <v>6</v>
      </c>
      <c r="CC52" s="2043" t="str">
        <f>IF(CB52='Saisie données stocks'!N$14, 'TRAD-Calculs Péremption FA'!$B$74, CONCATENATE("DLU - ", BY52, "/", BZ52, "/", CA52))</f>
        <v>Durée de vie max</v>
      </c>
    </row>
    <row r="53" spans="2:81" ht="26.25" thickBot="1" x14ac:dyDescent="0.25">
      <c r="B53" s="1994"/>
      <c r="C53" s="2016"/>
      <c r="D53" s="2017" t="s">
        <v>37</v>
      </c>
      <c r="E53" s="2018" t="str">
        <f>'TRAD-Calculs Péremption FA'!B72</f>
        <v>Poudre buvable</v>
      </c>
      <c r="F53" s="2018" t="s">
        <v>91</v>
      </c>
      <c r="G53" s="2019"/>
      <c r="H53" s="393" t="str">
        <f t="shared" si="66"/>
        <v>DDI - 2 g</v>
      </c>
      <c r="I53" s="2020">
        <f>'Saisie données stocks'!$L$65</f>
        <v>200</v>
      </c>
      <c r="J53" s="2021">
        <f>'Saisie données stocks'!$M$65</f>
        <v>1</v>
      </c>
      <c r="K53" s="2980">
        <f>IF('TdB Péremptions'!$H$9="X", 'Prix 10-2011 GPRM $'!$L$100, IF('TdB Péremptions'!$H$10="X", 'Prix 10-2011 GPRM $'!$N$100,IF('TdB Péremptions'!$H$11="X", 'Prix VPP 102012 convert'!$L$100, IF('TdB Péremptions'!$H$12="X", 'Prix VPP 102012 convert'!$N$100, IF('TdB Péremptions'!$H$13="X", 'Prix spécifiques'!$I$53, 0)))))*I53</f>
        <v>21.36986301369863</v>
      </c>
      <c r="L53" s="2022">
        <f>(1+'TdB Péremptions'!$H$14)*K53</f>
        <v>23.506849315068497</v>
      </c>
      <c r="M53" s="2001">
        <f>Calculs!L363</f>
        <v>0</v>
      </c>
      <c r="N53" s="2001">
        <f>Calculs!N363</f>
        <v>0</v>
      </c>
      <c r="O53" s="2001">
        <f>'Saisie données stocks'!N65</f>
        <v>0</v>
      </c>
      <c r="P53" s="1920" t="str">
        <f>IF(SUM('Saisie données stocks'!R65+'Saisie données stocks'!T65+'Saisie données stocks'!V65+'Saisie données stocks'!X65+'Saisie données stocks'!Z65+'Saisie données stocks'!AB65+'Saisie données stocks'!AD65)='Calculs Péremption conso'!O53,  "OK", 'TRAD-Calculs Péremption FA'!$B$75)</f>
        <v>OK</v>
      </c>
      <c r="Q53" s="2002" t="str">
        <f>IF(AND(O53&gt;0, Calculs!L363=0, Calculs!N363=0), 'TRAD-Calculs Péremption FA'!$B$76, "")</f>
        <v/>
      </c>
      <c r="R53" s="2003">
        <f>'Saisie données stocks'!Q65</f>
        <v>0</v>
      </c>
      <c r="S53" s="2004">
        <f>'Saisie données stocks'!R65</f>
        <v>0</v>
      </c>
      <c r="T53" s="2005" t="str">
        <f>IF(AND(R53=0, S53=0), "ND", IF((R53-Paramétrage!$H$19)&gt;0, (R53-Paramétrage!$H$19)/(365/12), "Date non renseignée ou produit périmé"))</f>
        <v>ND</v>
      </c>
      <c r="U53" s="2006" t="str">
        <f t="shared" si="34"/>
        <v>ND</v>
      </c>
      <c r="V53" s="2006" t="str">
        <f t="shared" si="35"/>
        <v>ND</v>
      </c>
      <c r="W53" s="2007" t="str">
        <f>IF(V53="ND", "ND", IF(V53&gt;0, 'TRAD-Calculs Péremption FA'!$B$73, "OK"))</f>
        <v>ND</v>
      </c>
      <c r="X53" s="1924" t="str">
        <f t="shared" si="36"/>
        <v>ND</v>
      </c>
      <c r="Y53" s="2008">
        <f>'Saisie données stocks'!S65</f>
        <v>0</v>
      </c>
      <c r="Z53" s="1920">
        <f>'Saisie données stocks'!T65</f>
        <v>0</v>
      </c>
      <c r="AA53" s="1923">
        <f t="shared" si="37"/>
        <v>0</v>
      </c>
      <c r="AB53" s="1923" t="str">
        <f>IF(AND(Y53=0, Z53=0), "ND", IF((Y53-Paramétrage!$H$19)&gt;0, (Y53-Paramétrage!$H$19)/(365/12), "Date non renseignée ou produit périmé"))</f>
        <v>ND</v>
      </c>
      <c r="AC53" s="1923" t="str">
        <f t="shared" si="38"/>
        <v>ND</v>
      </c>
      <c r="AD53" s="1923" t="str">
        <f t="shared" si="39"/>
        <v>ND</v>
      </c>
      <c r="AE53" s="2005" t="str">
        <f>IF(AD53="ND", "ND", IF(AD53&gt;0, 'TRAD-Calculs Péremption FA'!$B$73, "OK"))</f>
        <v>ND</v>
      </c>
      <c r="AF53" s="1924" t="str">
        <f t="shared" si="40"/>
        <v>ND</v>
      </c>
      <c r="AG53" s="1919">
        <f>'Saisie données stocks'!U65</f>
        <v>0</v>
      </c>
      <c r="AH53" s="1920">
        <f>'Saisie données stocks'!V65</f>
        <v>0</v>
      </c>
      <c r="AI53" s="1923">
        <f t="shared" si="41"/>
        <v>0</v>
      </c>
      <c r="AJ53" s="1923" t="str">
        <f>IF(AND(AG53=0, AH53=0), "ND", IF((AG53-Paramétrage!$H$19)&gt;0, (AG53-Paramétrage!$H$19)/(365/12), "Date non renseignée ou produit périmé"))</f>
        <v>ND</v>
      </c>
      <c r="AK53" s="1923" t="str">
        <f t="shared" si="42"/>
        <v>ND</v>
      </c>
      <c r="AL53" s="1923" t="str">
        <f t="shared" si="43"/>
        <v>ND</v>
      </c>
      <c r="AM53" s="1923" t="str">
        <f>IF(AL53="ND", "ND", IF(AL53&gt;0, 'TRAD-Calculs Péremption FA'!$B$73, "OK"))</f>
        <v>ND</v>
      </c>
      <c r="AN53" s="1924" t="str">
        <f t="shared" si="44"/>
        <v>ND</v>
      </c>
      <c r="AO53" s="1919">
        <f>'Saisie données stocks'!W65</f>
        <v>0</v>
      </c>
      <c r="AP53" s="1920">
        <f>'Saisie données stocks'!X65</f>
        <v>0</v>
      </c>
      <c r="AQ53" s="1923">
        <f t="shared" si="45"/>
        <v>0</v>
      </c>
      <c r="AR53" s="1923" t="str">
        <f>IF(AND(AO53=0, AP53=0), "ND", IF((AO53-Paramétrage!$H$19)&gt;0, (AO53-Paramétrage!$H$19)/(365/12), "Date non renseignée ou produit périmé"))</f>
        <v>ND</v>
      </c>
      <c r="AS53" s="1923" t="str">
        <f t="shared" si="46"/>
        <v>ND</v>
      </c>
      <c r="AT53" s="1923" t="str">
        <f t="shared" si="47"/>
        <v>ND</v>
      </c>
      <c r="AU53" s="1923" t="str">
        <f>IF(AT53="ND", "ND", IF(AT53&gt;0, 'TRAD-Calculs Péremption FA'!$B$73, "OK"))</f>
        <v>ND</v>
      </c>
      <c r="AV53" s="1924" t="str">
        <f t="shared" si="48"/>
        <v>ND</v>
      </c>
      <c r="AW53" s="1919">
        <f>'Saisie données stocks'!Y65</f>
        <v>0</v>
      </c>
      <c r="AX53" s="1920">
        <f>'Saisie données stocks'!Z65</f>
        <v>0</v>
      </c>
      <c r="AY53" s="1923">
        <f t="shared" si="49"/>
        <v>0</v>
      </c>
      <c r="AZ53" s="1923" t="str">
        <f>IF(AND(AW53=0, AX53=0), "ND", IF((AW53-Paramétrage!$H$19)&gt;0, (AW53-Paramétrage!$H$19)/(365/12), "Date non renseignée ou produit périmé"))</f>
        <v>ND</v>
      </c>
      <c r="BA53" s="1923" t="str">
        <f t="shared" si="50"/>
        <v>ND</v>
      </c>
      <c r="BB53" s="1923" t="str">
        <f t="shared" si="51"/>
        <v>ND</v>
      </c>
      <c r="BC53" s="1923" t="str">
        <f>IF(BB53="ND", "ND", IF(BB53&gt;0, 'TRAD-Calculs Péremption FA'!$B$73, "OK"))</f>
        <v>ND</v>
      </c>
      <c r="BD53" s="1924" t="str">
        <f t="shared" si="52"/>
        <v>ND</v>
      </c>
      <c r="BE53" s="1919">
        <f>'Saisie données stocks'!AA65</f>
        <v>0</v>
      </c>
      <c r="BF53" s="1920">
        <f>'Saisie données stocks'!AB65</f>
        <v>0</v>
      </c>
      <c r="BG53" s="1923">
        <f t="shared" si="53"/>
        <v>0</v>
      </c>
      <c r="BH53" s="1923" t="str">
        <f>IF(AND(BE53=0, BF53=0), "ND", IF((BE53-Paramétrage!$H$19)&gt;0, (BE53-Paramétrage!$H$19)/(365/12), "Date non renseignée ou produit périmé"))</f>
        <v>ND</v>
      </c>
      <c r="BI53" s="1923" t="str">
        <f t="shared" si="54"/>
        <v>ND</v>
      </c>
      <c r="BJ53" s="1923" t="str">
        <f t="shared" si="55"/>
        <v>ND</v>
      </c>
      <c r="BK53" s="1923" t="str">
        <f>IF(BJ53="ND", "ND", IF(BJ53&gt;0, 'TRAD-Calculs Péremption FA'!$B$73, "OK"))</f>
        <v>ND</v>
      </c>
      <c r="BL53" s="1924" t="str">
        <f t="shared" si="56"/>
        <v>ND</v>
      </c>
      <c r="BM53" s="1919">
        <f>'Saisie données stocks'!AC65</f>
        <v>0</v>
      </c>
      <c r="BN53" s="1920">
        <f>'Saisie données stocks'!AD65</f>
        <v>0</v>
      </c>
      <c r="BO53" s="1923">
        <f t="shared" si="57"/>
        <v>0</v>
      </c>
      <c r="BP53" s="1923" t="str">
        <f>IF(AND(BM53=0, BN53=0), "ND", IF((BM53-Paramétrage!$H$19)&gt;0, (BM53-Paramétrage!$H$19)/(365/12), "Date non renseignée ou produit périmé"))</f>
        <v>ND</v>
      </c>
      <c r="BQ53" s="1923" t="str">
        <f t="shared" si="58"/>
        <v>ND</v>
      </c>
      <c r="BR53" s="1923" t="str">
        <f t="shared" si="59"/>
        <v>ND</v>
      </c>
      <c r="BS53" s="1923" t="str">
        <f>IF(BR53="ND", "ND", IF(BR53&gt;0, 'TRAD-Calculs Péremption FA'!$B$73, "OK"))</f>
        <v>ND</v>
      </c>
      <c r="BT53" s="1924" t="str">
        <f t="shared" si="60"/>
        <v>ND</v>
      </c>
      <c r="BU53" s="1925">
        <f>IF('Saisie données stocks'!$O$10='TRAD-Saisie données stocks'!$B$51, IF(P53="OK", IF(AND(BR53&gt;0, ISNUMBER(BR53)), (BO53-BR53), (BO53)), O53), O53)</f>
        <v>0</v>
      </c>
      <c r="BV53" s="1925">
        <f t="shared" si="61"/>
        <v>0</v>
      </c>
      <c r="BW53" s="2044" t="str">
        <f t="shared" si="62"/>
        <v/>
      </c>
      <c r="BX53" s="2045">
        <f>IF('Saisie données stocks'!$O$10='TRAD-Saisie données stocks'!$B$51, IF('Calculs Péremption FA'!P53="OK", IF(BU53=O53, MAX(Paramétrage!$H$19+('Saisie données stocks'!$N$14*(365/12)), BM53, BE53, AW53, AO53, AG53, Y53, R53), BW53), Paramétrage!$H$19+('Saisie données stocks'!$N$14*(365/12))), Paramétrage!$H$19+('Saisie données stocks'!$N$14*(365/12)))</f>
        <v>42101.5</v>
      </c>
      <c r="BY53" s="2046">
        <f t="shared" si="63"/>
        <v>7</v>
      </c>
      <c r="BZ53" s="2046">
        <f t="shared" si="64"/>
        <v>4</v>
      </c>
      <c r="CA53" s="2046">
        <f t="shared" si="65"/>
        <v>2015</v>
      </c>
      <c r="CB53" s="2046">
        <f>IF(BX53="", "", (BX53-Paramétrage!$H$19)/(365/12))</f>
        <v>6</v>
      </c>
      <c r="CC53" s="2043" t="str">
        <f>IF(CB53='Saisie données stocks'!N$14, 'TRAD-Calculs Péremption FA'!$B$74, CONCATENATE("DLU - ", BY53, "/", BZ53, "/", CA53))</f>
        <v>Durée de vie max</v>
      </c>
    </row>
    <row r="54" spans="2:81" ht="26.25" thickBot="1" x14ac:dyDescent="0.25">
      <c r="B54" s="1994"/>
      <c r="C54" s="1995" t="s">
        <v>26</v>
      </c>
      <c r="D54" s="1996" t="s">
        <v>29</v>
      </c>
      <c r="E54" s="1997" t="str">
        <f>'TRAD-Calculs Péremption FA'!B71</f>
        <v>sol buv</v>
      </c>
      <c r="F54" s="1997" t="s">
        <v>80</v>
      </c>
      <c r="G54" s="1997"/>
      <c r="H54" s="379" t="str">
        <f t="shared" si="66"/>
        <v>NVP - 10 mg/mL</v>
      </c>
      <c r="I54" s="1998">
        <f>'Saisie données stocks'!$L$66</f>
        <v>240</v>
      </c>
      <c r="J54" s="1999">
        <f>'Saisie données stocks'!$M$66</f>
        <v>1</v>
      </c>
      <c r="K54" s="2978">
        <f>IF('TdB Péremptions'!$H$9="X", 'Prix 10-2011 GPRM $'!$L$97, IF('TdB Péremptions'!$H$10="X", 'Prix 10-2011 GPRM $'!$N$97, IF('TdB Péremptions'!$H$11="X", 'Prix VPP 102012 convert'!$L$97, IF('TdB Péremptions'!$H$12="X", 'Prix VPP 102012 convert'!$N$97, IF('TdB Péremptions'!$H$13="X", 'Prix spécifiques'!$I$54, 0)))))*I54</f>
        <v>1.9500000000000002</v>
      </c>
      <c r="L54" s="2000">
        <f>(1+'TdB Péremptions'!$H$14)*K54</f>
        <v>2.1450000000000005</v>
      </c>
      <c r="M54" s="2001">
        <f>Calculs!L364</f>
        <v>830</v>
      </c>
      <c r="N54" s="2001">
        <f>Calculs!N364</f>
        <v>0</v>
      </c>
      <c r="O54" s="2001">
        <f>'Saisie données stocks'!N66</f>
        <v>3990</v>
      </c>
      <c r="P54" s="2543" t="str">
        <f>IF(SUM('Saisie données stocks'!R66+'Saisie données stocks'!T66+'Saisie données stocks'!V66+'Saisie données stocks'!X66+'Saisie données stocks'!Z66+'Saisie données stocks'!AB66+'Saisie données stocks'!AD66)='Calculs Péremption conso'!O54,  "OK", 'TRAD-Calculs Péremption FA'!$B$75)</f>
        <v>OK</v>
      </c>
      <c r="Q54" s="2002" t="str">
        <f>IF(AND(O54&gt;0, Calculs!L364=0, Calculs!N364=0), 'TRAD-Calculs Péremption FA'!$B$76, "")</f>
        <v/>
      </c>
      <c r="R54" s="2003">
        <f>'Saisie données stocks'!Q66</f>
        <v>42278</v>
      </c>
      <c r="S54" s="2004">
        <f>'Saisie données stocks'!R66</f>
        <v>383</v>
      </c>
      <c r="T54" s="2005">
        <f>IF(AND(R54=0, S54=0), "ND", IF((R54-Paramétrage!$H$19)&gt;0, (R54-Paramétrage!$H$19)/(365/12), "Date non renseignée ou produit périmé"))</f>
        <v>11.802739726027397</v>
      </c>
      <c r="U54" s="2006">
        <f t="shared" si="34"/>
        <v>9796.2739726027394</v>
      </c>
      <c r="V54" s="2006">
        <f t="shared" si="35"/>
        <v>-9413.2739726027394</v>
      </c>
      <c r="W54" s="2007" t="str">
        <f>IF(V54="ND", "ND", IF(V54&gt;0, 'TRAD-Calculs Péremption FA'!$B$73, "OK"))</f>
        <v>OK</v>
      </c>
      <c r="X54" s="1924" t="str">
        <f t="shared" si="36"/>
        <v/>
      </c>
      <c r="Y54" s="2008">
        <f>'Saisie données stocks'!S66</f>
        <v>42309</v>
      </c>
      <c r="Z54" s="1920">
        <f>'Saisie données stocks'!T66</f>
        <v>1376</v>
      </c>
      <c r="AA54" s="1923">
        <f t="shared" si="37"/>
        <v>1759</v>
      </c>
      <c r="AB54" s="1923">
        <f>IF(AND(Y54=0, Z54=0), "ND", IF((Y54-Paramétrage!$H$19)&gt;0, (Y54-Paramétrage!$H$19)/(365/12), "Date non renseignée ou produit périmé"))</f>
        <v>12.821917808219178</v>
      </c>
      <c r="AC54" s="1923">
        <f t="shared" si="38"/>
        <v>10642.191780821917</v>
      </c>
      <c r="AD54" s="1923">
        <f t="shared" si="39"/>
        <v>-8883.1917808219168</v>
      </c>
      <c r="AE54" s="2005" t="str">
        <f>IF(AD54="ND", "ND", IF(AD54&gt;0, 'TRAD-Calculs Péremption FA'!$B$73, "OK"))</f>
        <v>OK</v>
      </c>
      <c r="AF54" s="1924" t="str">
        <f t="shared" si="40"/>
        <v/>
      </c>
      <c r="AG54" s="1919">
        <f>'Saisie données stocks'!U66</f>
        <v>42795</v>
      </c>
      <c r="AH54" s="1920">
        <f>'Saisie données stocks'!V66</f>
        <v>2231</v>
      </c>
      <c r="AI54" s="1923">
        <f t="shared" si="41"/>
        <v>3990</v>
      </c>
      <c r="AJ54" s="1923">
        <f>IF(AND(AG54=0, AH54=0), "ND", IF((AG54-Paramétrage!$H$19)&gt;0, (AG54-Paramétrage!$H$19)/(365/12), "Date non renseignée ou produit périmé"))</f>
        <v>28.799999999999997</v>
      </c>
      <c r="AK54" s="1923">
        <f t="shared" si="42"/>
        <v>23903.999999999996</v>
      </c>
      <c r="AL54" s="1923">
        <f t="shared" si="43"/>
        <v>-19913.999999999996</v>
      </c>
      <c r="AM54" s="1923" t="str">
        <f>IF(AL54="ND", "ND", IF(AL54&gt;0, 'TRAD-Calculs Péremption FA'!$B$73, "OK"))</f>
        <v>OK</v>
      </c>
      <c r="AN54" s="1924" t="str">
        <f t="shared" si="44"/>
        <v/>
      </c>
      <c r="AO54" s="1919">
        <f>'Saisie données stocks'!W66</f>
        <v>0</v>
      </c>
      <c r="AP54" s="1920">
        <f>'Saisie données stocks'!X66</f>
        <v>0</v>
      </c>
      <c r="AQ54" s="1923">
        <f t="shared" si="45"/>
        <v>3990</v>
      </c>
      <c r="AR54" s="1923" t="str">
        <f>IF(AND(AO54=0, AP54=0), "ND", IF((AO54-Paramétrage!$H$19)&gt;0, (AO54-Paramétrage!$H$19)/(365/12), "Date non renseignée ou produit périmé"))</f>
        <v>ND</v>
      </c>
      <c r="AS54" s="1923" t="str">
        <f t="shared" si="46"/>
        <v>ND</v>
      </c>
      <c r="AT54" s="1923" t="str">
        <f t="shared" si="47"/>
        <v>ND</v>
      </c>
      <c r="AU54" s="1923" t="str">
        <f>IF(AT54="ND", "ND", IF(AT54&gt;0, 'TRAD-Calculs Péremption FA'!$B$73, "OK"))</f>
        <v>ND</v>
      </c>
      <c r="AV54" s="1924" t="str">
        <f t="shared" si="48"/>
        <v>ND</v>
      </c>
      <c r="AW54" s="1919">
        <f>'Saisie données stocks'!Y66</f>
        <v>0</v>
      </c>
      <c r="AX54" s="1920">
        <f>'Saisie données stocks'!Z66</f>
        <v>0</v>
      </c>
      <c r="AY54" s="1923">
        <f t="shared" si="49"/>
        <v>3990</v>
      </c>
      <c r="AZ54" s="1923" t="str">
        <f>IF(AND(AW54=0, AX54=0), "ND", IF((AW54-Paramétrage!$H$19)&gt;0, (AW54-Paramétrage!$H$19)/(365/12), "Date non renseignée ou produit périmé"))</f>
        <v>ND</v>
      </c>
      <c r="BA54" s="1923" t="str">
        <f t="shared" si="50"/>
        <v>ND</v>
      </c>
      <c r="BB54" s="1923" t="str">
        <f t="shared" si="51"/>
        <v>ND</v>
      </c>
      <c r="BC54" s="1923" t="str">
        <f>IF(BB54="ND", "ND", IF(BB54&gt;0, 'TRAD-Calculs Péremption FA'!$B$73, "OK"))</f>
        <v>ND</v>
      </c>
      <c r="BD54" s="1924" t="str">
        <f t="shared" si="52"/>
        <v>ND</v>
      </c>
      <c r="BE54" s="1919">
        <f>'Saisie données stocks'!AA66</f>
        <v>0</v>
      </c>
      <c r="BF54" s="1920">
        <f>'Saisie données stocks'!AB66</f>
        <v>0</v>
      </c>
      <c r="BG54" s="1923">
        <f t="shared" si="53"/>
        <v>3990</v>
      </c>
      <c r="BH54" s="1923" t="str">
        <f>IF(AND(BE54=0, BF54=0), "ND", IF((BE54-Paramétrage!$H$19)&gt;0, (BE54-Paramétrage!$H$19)/(365/12), "Date non renseignée ou produit périmé"))</f>
        <v>ND</v>
      </c>
      <c r="BI54" s="1923" t="str">
        <f t="shared" si="54"/>
        <v>ND</v>
      </c>
      <c r="BJ54" s="1923" t="str">
        <f t="shared" si="55"/>
        <v>ND</v>
      </c>
      <c r="BK54" s="1923" t="str">
        <f>IF(BJ54="ND", "ND", IF(BJ54&gt;0, 'TRAD-Calculs Péremption FA'!$B$73, "OK"))</f>
        <v>ND</v>
      </c>
      <c r="BL54" s="1924" t="str">
        <f t="shared" si="56"/>
        <v>ND</v>
      </c>
      <c r="BM54" s="1919">
        <f>'Saisie données stocks'!AC66</f>
        <v>0</v>
      </c>
      <c r="BN54" s="1920">
        <f>'Saisie données stocks'!AD66</f>
        <v>0</v>
      </c>
      <c r="BO54" s="1923">
        <f t="shared" si="57"/>
        <v>3990</v>
      </c>
      <c r="BP54" s="1923" t="str">
        <f>IF(AND(BM54=0, BN54=0), "ND", IF((BM54-Paramétrage!$H$19)&gt;0, (BM54-Paramétrage!$H$19)/(365/12), "Date non renseignée ou produit périmé"))</f>
        <v>ND</v>
      </c>
      <c r="BQ54" s="1923" t="str">
        <f t="shared" si="58"/>
        <v>ND</v>
      </c>
      <c r="BR54" s="1923" t="str">
        <f t="shared" si="59"/>
        <v>ND</v>
      </c>
      <c r="BS54" s="1923" t="str">
        <f>IF(BR54="ND", "ND", IF(BR54&gt;0, 'TRAD-Calculs Péremption FA'!$B$73, "OK"))</f>
        <v>ND</v>
      </c>
      <c r="BT54" s="1924" t="str">
        <f t="shared" si="60"/>
        <v>ND</v>
      </c>
      <c r="BU54" s="1925">
        <f>IF('Saisie données stocks'!$O$10='TRAD-Saisie données stocks'!$B$51, IF(P54="OK", IF(AND(BR54&gt;0, ISNUMBER(BR54)), (BO54-BR54), (BO54)), O54), O54)</f>
        <v>3990</v>
      </c>
      <c r="BV54" s="1925">
        <f t="shared" si="61"/>
        <v>0</v>
      </c>
      <c r="BW54" s="2044" t="str">
        <f t="shared" si="62"/>
        <v/>
      </c>
      <c r="BX54" s="2045">
        <f>IF('Saisie données stocks'!$O$10='TRAD-Saisie données stocks'!$B$51, IF('Calculs Péremption FA'!P54="OK", IF(BU54=O54, MAX(Paramétrage!$H$19+('Saisie données stocks'!$N$14*(365/12)), BM54, BE54, AW54, AO54, AG54, Y54, R54), BW54), Paramétrage!$H$19+('Saisie données stocks'!$N$14*(365/12))), Paramétrage!$H$19+('Saisie données stocks'!$N$14*(365/12)))</f>
        <v>42795</v>
      </c>
      <c r="BY54" s="2046">
        <f t="shared" si="63"/>
        <v>1</v>
      </c>
      <c r="BZ54" s="2046">
        <f t="shared" si="64"/>
        <v>3</v>
      </c>
      <c r="CA54" s="2046">
        <f t="shared" si="65"/>
        <v>2017</v>
      </c>
      <c r="CB54" s="2046">
        <f>IF(BX54="", "", (BX54-Paramétrage!$H$19)/(365/12))</f>
        <v>28.799999999999997</v>
      </c>
      <c r="CC54" s="2043" t="str">
        <f>IF(CB54='Saisie données stocks'!N$14, 'TRAD-Calculs Péremption FA'!$B$74, CONCATENATE("DLU - ", BY54, "/", BZ54, "/", CA54))</f>
        <v>DLU - 1/3/2017</v>
      </c>
    </row>
    <row r="55" spans="2:81" ht="26.25" thickBot="1" x14ac:dyDescent="0.25">
      <c r="B55" s="1994"/>
      <c r="C55" s="2016"/>
      <c r="D55" s="2017" t="s">
        <v>27</v>
      </c>
      <c r="E55" s="2018" t="str">
        <f>'TRAD-Calculs Péremption FA'!B71</f>
        <v>sol buv</v>
      </c>
      <c r="F55" s="2018" t="s">
        <v>86</v>
      </c>
      <c r="G55" s="2019"/>
      <c r="H55" s="393" t="str">
        <f t="shared" si="66"/>
        <v>EFV - 30 mg/mL</v>
      </c>
      <c r="I55" s="2020">
        <f>'Saisie données stocks'!$L$67</f>
        <v>180</v>
      </c>
      <c r="J55" s="2021">
        <f>'Saisie données stocks'!$M$67</f>
        <v>1</v>
      </c>
      <c r="K55" s="2980">
        <f>IF('TdB Péremptions'!$H$9="X", 'Prix 10-2011 GPRM $'!$L$95, IF('TdB Péremptions'!$H$10="X", 'Prix 10-2011 GPRM $'!$N$95, IF('TdB Péremptions'!$H$11="X", 'Prix VPP 102012 convert'!$L$95, IF('TdB Péremptions'!$H$12="X", 'Prix VPP 102012 convert'!$N$95, IF('TdB Péremptions'!$H$13="X", 'Prix spécifiques'!$I$55, 0)))))*I55</f>
        <v>16.994731296101161</v>
      </c>
      <c r="L55" s="2022">
        <f>(1+'TdB Péremptions'!$H$14)*K55</f>
        <v>18.69420442571128</v>
      </c>
      <c r="M55" s="2001">
        <f>Calculs!L365</f>
        <v>0</v>
      </c>
      <c r="N55" s="2001">
        <f>Calculs!N365</f>
        <v>0</v>
      </c>
      <c r="O55" s="2001">
        <f>'Saisie données stocks'!N67</f>
        <v>0</v>
      </c>
      <c r="P55" s="1920" t="str">
        <f>IF(SUM('Saisie données stocks'!R67+'Saisie données stocks'!T67+'Saisie données stocks'!V67+'Saisie données stocks'!X67+'Saisie données stocks'!Z67+'Saisie données stocks'!AB67+'Saisie données stocks'!AD67)='Calculs Péremption conso'!O55,  "OK", 'TRAD-Calculs Péremption FA'!$B$75)</f>
        <v>OK</v>
      </c>
      <c r="Q55" s="2002" t="str">
        <f>IF(AND(O55&gt;0, Calculs!L365=0, Calculs!N365=0), 'TRAD-Calculs Péremption FA'!$B$76, "")</f>
        <v/>
      </c>
      <c r="R55" s="2003">
        <f>'Saisie données stocks'!Q67</f>
        <v>0</v>
      </c>
      <c r="S55" s="2004">
        <f>'Saisie données stocks'!R67</f>
        <v>0</v>
      </c>
      <c r="T55" s="2005" t="str">
        <f>IF(AND(R55=0, S55=0), "ND", IF((R55-Paramétrage!$H$19)&gt;0, (R55-Paramétrage!$H$19)/(365/12), "Date non renseignée ou produit périmé"))</f>
        <v>ND</v>
      </c>
      <c r="U55" s="2006" t="str">
        <f t="shared" si="34"/>
        <v>ND</v>
      </c>
      <c r="V55" s="2006" t="str">
        <f t="shared" si="35"/>
        <v>ND</v>
      </c>
      <c r="W55" s="2007" t="str">
        <f>IF(V55="ND", "ND", IF(V55&gt;0, 'TRAD-Calculs Péremption FA'!$B$73, "OK"))</f>
        <v>ND</v>
      </c>
      <c r="X55" s="1924" t="str">
        <f t="shared" si="36"/>
        <v>ND</v>
      </c>
      <c r="Y55" s="2008">
        <f>'Saisie données stocks'!S67</f>
        <v>0</v>
      </c>
      <c r="Z55" s="1920">
        <f>'Saisie données stocks'!T67</f>
        <v>0</v>
      </c>
      <c r="AA55" s="1923">
        <f t="shared" si="37"/>
        <v>0</v>
      </c>
      <c r="AB55" s="1923" t="str">
        <f>IF(AND(Y55=0, Z55=0), "ND", IF((Y55-Paramétrage!$H$19)&gt;0, (Y55-Paramétrage!$H$19)/(365/12), "Date non renseignée ou produit périmé"))</f>
        <v>ND</v>
      </c>
      <c r="AC55" s="1923" t="str">
        <f t="shared" si="38"/>
        <v>ND</v>
      </c>
      <c r="AD55" s="1923" t="str">
        <f t="shared" si="39"/>
        <v>ND</v>
      </c>
      <c r="AE55" s="2005" t="str">
        <f>IF(AD55="ND", "ND", IF(AD55&gt;0, 'TRAD-Calculs Péremption FA'!$B$73, "OK"))</f>
        <v>ND</v>
      </c>
      <c r="AF55" s="1924" t="str">
        <f t="shared" si="40"/>
        <v>ND</v>
      </c>
      <c r="AG55" s="1919">
        <f>'Saisie données stocks'!U67</f>
        <v>0</v>
      </c>
      <c r="AH55" s="1920">
        <f>'Saisie données stocks'!V67</f>
        <v>0</v>
      </c>
      <c r="AI55" s="1923">
        <f t="shared" si="41"/>
        <v>0</v>
      </c>
      <c r="AJ55" s="1923" t="str">
        <f>IF(AND(AG55=0, AH55=0), "ND", IF((AG55-Paramétrage!$H$19)&gt;0, (AG55-Paramétrage!$H$19)/(365/12), "Date non renseignée ou produit périmé"))</f>
        <v>ND</v>
      </c>
      <c r="AK55" s="1923" t="str">
        <f t="shared" si="42"/>
        <v>ND</v>
      </c>
      <c r="AL55" s="1923" t="str">
        <f t="shared" si="43"/>
        <v>ND</v>
      </c>
      <c r="AM55" s="1923" t="str">
        <f>IF(AL55="ND", "ND", IF(AL55&gt;0, 'TRAD-Calculs Péremption FA'!$B$73, "OK"))</f>
        <v>ND</v>
      </c>
      <c r="AN55" s="1924" t="str">
        <f t="shared" si="44"/>
        <v>ND</v>
      </c>
      <c r="AO55" s="1919">
        <f>'Saisie données stocks'!W67</f>
        <v>0</v>
      </c>
      <c r="AP55" s="1920">
        <f>'Saisie données stocks'!X67</f>
        <v>0</v>
      </c>
      <c r="AQ55" s="1923">
        <f t="shared" si="45"/>
        <v>0</v>
      </c>
      <c r="AR55" s="1923" t="str">
        <f>IF(AND(AO55=0, AP55=0), "ND", IF((AO55-Paramétrage!$H$19)&gt;0, (AO55-Paramétrage!$H$19)/(365/12), "Date non renseignée ou produit périmé"))</f>
        <v>ND</v>
      </c>
      <c r="AS55" s="1923" t="str">
        <f t="shared" si="46"/>
        <v>ND</v>
      </c>
      <c r="AT55" s="1923" t="str">
        <f t="shared" si="47"/>
        <v>ND</v>
      </c>
      <c r="AU55" s="1923" t="str">
        <f>IF(AT55="ND", "ND", IF(AT55&gt;0, 'TRAD-Calculs Péremption FA'!$B$73, "OK"))</f>
        <v>ND</v>
      </c>
      <c r="AV55" s="1924" t="str">
        <f t="shared" si="48"/>
        <v>ND</v>
      </c>
      <c r="AW55" s="1919">
        <f>'Saisie données stocks'!Y67</f>
        <v>0</v>
      </c>
      <c r="AX55" s="1920">
        <f>'Saisie données stocks'!Z67</f>
        <v>0</v>
      </c>
      <c r="AY55" s="1923">
        <f t="shared" si="49"/>
        <v>0</v>
      </c>
      <c r="AZ55" s="1923" t="str">
        <f>IF(AND(AW55=0, AX55=0), "ND", IF((AW55-Paramétrage!$H$19)&gt;0, (AW55-Paramétrage!$H$19)/(365/12), "Date non renseignée ou produit périmé"))</f>
        <v>ND</v>
      </c>
      <c r="BA55" s="1923" t="str">
        <f t="shared" si="50"/>
        <v>ND</v>
      </c>
      <c r="BB55" s="1923" t="str">
        <f t="shared" si="51"/>
        <v>ND</v>
      </c>
      <c r="BC55" s="1923" t="str">
        <f>IF(BB55="ND", "ND", IF(BB55&gt;0, 'TRAD-Calculs Péremption FA'!$B$73, "OK"))</f>
        <v>ND</v>
      </c>
      <c r="BD55" s="1924" t="str">
        <f t="shared" si="52"/>
        <v>ND</v>
      </c>
      <c r="BE55" s="1919">
        <f>'Saisie données stocks'!AA67</f>
        <v>0</v>
      </c>
      <c r="BF55" s="1920">
        <f>'Saisie données stocks'!AB67</f>
        <v>0</v>
      </c>
      <c r="BG55" s="1923">
        <f t="shared" si="53"/>
        <v>0</v>
      </c>
      <c r="BH55" s="1923" t="str">
        <f>IF(AND(BE55=0, BF55=0), "ND", IF((BE55-Paramétrage!$H$19)&gt;0, (BE55-Paramétrage!$H$19)/(365/12), "Date non renseignée ou produit périmé"))</f>
        <v>ND</v>
      </c>
      <c r="BI55" s="1923" t="str">
        <f t="shared" si="54"/>
        <v>ND</v>
      </c>
      <c r="BJ55" s="1923" t="str">
        <f t="shared" si="55"/>
        <v>ND</v>
      </c>
      <c r="BK55" s="1923" t="str">
        <f>IF(BJ55="ND", "ND", IF(BJ55&gt;0, 'TRAD-Calculs Péremption FA'!$B$73, "OK"))</f>
        <v>ND</v>
      </c>
      <c r="BL55" s="1924" t="str">
        <f t="shared" si="56"/>
        <v>ND</v>
      </c>
      <c r="BM55" s="1919">
        <f>'Saisie données stocks'!AC67</f>
        <v>0</v>
      </c>
      <c r="BN55" s="1920">
        <f>'Saisie données stocks'!AD67</f>
        <v>0</v>
      </c>
      <c r="BO55" s="1923">
        <f t="shared" si="57"/>
        <v>0</v>
      </c>
      <c r="BP55" s="1923" t="str">
        <f>IF(AND(BM55=0, BN55=0), "ND", IF((BM55-Paramétrage!$H$19)&gt;0, (BM55-Paramétrage!$H$19)/(365/12), "Date non renseignée ou produit périmé"))</f>
        <v>ND</v>
      </c>
      <c r="BQ55" s="1923" t="str">
        <f t="shared" si="58"/>
        <v>ND</v>
      </c>
      <c r="BR55" s="1923" t="str">
        <f t="shared" si="59"/>
        <v>ND</v>
      </c>
      <c r="BS55" s="1923" t="str">
        <f>IF(BR55="ND", "ND", IF(BR55&gt;0, 'TRAD-Calculs Péremption FA'!$B$73, "OK"))</f>
        <v>ND</v>
      </c>
      <c r="BT55" s="1924" t="str">
        <f t="shared" si="60"/>
        <v>ND</v>
      </c>
      <c r="BU55" s="1925">
        <f>IF('Saisie données stocks'!$O$10='TRAD-Saisie données stocks'!$B$51, IF(P55="OK", IF(AND(BR55&gt;0, ISNUMBER(BR55)), (BO55-BR55), (BO55)), O55), O55)</f>
        <v>0</v>
      </c>
      <c r="BV55" s="1925">
        <f t="shared" si="61"/>
        <v>0</v>
      </c>
      <c r="BW55" s="2044" t="str">
        <f t="shared" si="62"/>
        <v/>
      </c>
      <c r="BX55" s="2045">
        <f>IF('Saisie données stocks'!$O$10='TRAD-Saisie données stocks'!$B$51, IF('Calculs Péremption FA'!P55="OK", IF(BU55=O55, MAX(Paramétrage!$H$19+('Saisie données stocks'!$N$14*(365/12)), BM55, BE55, AW55, AO55, AG55, Y55, R55), BW55), Paramétrage!$H$19+('Saisie données stocks'!$N$14*(365/12))), Paramétrage!$H$19+('Saisie données stocks'!$N$14*(365/12)))</f>
        <v>42101.5</v>
      </c>
      <c r="BY55" s="2046">
        <f t="shared" si="63"/>
        <v>7</v>
      </c>
      <c r="BZ55" s="2046">
        <f t="shared" si="64"/>
        <v>4</v>
      </c>
      <c r="CA55" s="2046">
        <f t="shared" si="65"/>
        <v>2015</v>
      </c>
      <c r="CB55" s="2046">
        <f>IF(BX55="", "", (BX55-Paramétrage!$H$19)/(365/12))</f>
        <v>6</v>
      </c>
      <c r="CC55" s="2043" t="str">
        <f>IF(CB55='Saisie données stocks'!N$14, 'TRAD-Calculs Péremption FA'!$B$74, CONCATENATE("DLU - ", BY55, "/", BZ55, "/", CA55))</f>
        <v>Durée de vie max</v>
      </c>
    </row>
    <row r="56" spans="2:81" ht="26.25" thickBot="1" x14ac:dyDescent="0.25">
      <c r="B56" s="2023"/>
      <c r="C56" s="2024" t="s">
        <v>41</v>
      </c>
      <c r="D56" s="2025" t="s">
        <v>42</v>
      </c>
      <c r="E56" s="2026" t="str">
        <f>'TRAD-Calculs Péremption FA'!B71</f>
        <v>sol buv</v>
      </c>
      <c r="F56" s="2026" t="s">
        <v>93</v>
      </c>
      <c r="G56" s="2026"/>
      <c r="H56" s="658" t="str">
        <f t="shared" si="66"/>
        <v>LPV/r - 80/20 mg/mL</v>
      </c>
      <c r="I56" s="2027">
        <f>'Saisie données stocks'!$L$68</f>
        <v>60</v>
      </c>
      <c r="J56" s="2028">
        <f>'Saisie données stocks'!$M$68</f>
        <v>4</v>
      </c>
      <c r="K56" s="2981">
        <f>IF('TdB Péremptions'!$H$9="X", 'Prix 10-2011 GPRM $'!$L$102, IF('TdB Péremptions'!$H$10="X", 'Prix 10-2011 GPRM $'!$N$102, IF('TdB Péremptions'!$H$11="X", 'Prix VPP 102012 convert'!$L$102, IF('TdB Péremptions'!$H$12="X", 'Prix VPP 102012 convert'!$N$102, IF('TdB Péremptions'!$H$13="X", 'Prix spécifiques'!$I$56, 0)))))*I56</f>
        <v>6.1639999999999997</v>
      </c>
      <c r="L56" s="2029">
        <f>(1+'TdB Péremptions'!$H$14)*K56</f>
        <v>6.7804000000000002</v>
      </c>
      <c r="M56" s="2030">
        <f>Calculs!L366</f>
        <v>61</v>
      </c>
      <c r="N56" s="2030">
        <f>Calculs!N366</f>
        <v>0</v>
      </c>
      <c r="O56" s="2030">
        <f>'Saisie données stocks'!N68</f>
        <v>0</v>
      </c>
      <c r="P56" s="2031" t="str">
        <f>IF(SUM('Saisie données stocks'!R68+'Saisie données stocks'!T68+'Saisie données stocks'!V68+'Saisie données stocks'!X68+'Saisie données stocks'!Z68+'Saisie données stocks'!AB68+'Saisie données stocks'!AD68)='Calculs Péremption conso'!O56,  "OK", 'TRAD-Calculs Péremption FA'!$B$75)</f>
        <v>OK</v>
      </c>
      <c r="Q56" s="2032" t="str">
        <f>IF(AND(O56&gt;0, Calculs!L366=0, Calculs!N366=0), 'TRAD-Calculs Péremption FA'!$B$76, "")</f>
        <v/>
      </c>
      <c r="R56" s="2033">
        <f>'Saisie données stocks'!Q68</f>
        <v>0</v>
      </c>
      <c r="S56" s="2034">
        <f>'Saisie données stocks'!R68</f>
        <v>0</v>
      </c>
      <c r="T56" s="2035" t="str">
        <f>IF(AND(R56=0, S56=0), "ND", IF((R56-Paramétrage!$H$19)&gt;0, (R56-Paramétrage!$H$19)/(365/12), "Date non renseignée ou produit périmé"))</f>
        <v>ND</v>
      </c>
      <c r="U56" s="2036" t="str">
        <f t="shared" si="34"/>
        <v>ND</v>
      </c>
      <c r="V56" s="2036" t="str">
        <f t="shared" si="35"/>
        <v>ND</v>
      </c>
      <c r="W56" s="2037" t="str">
        <f>IF(V56="ND", "ND", IF(V56&gt;0, 'TRAD-Calculs Péremption FA'!$B$73, "OK"))</f>
        <v>ND</v>
      </c>
      <c r="X56" s="2038" t="str">
        <f t="shared" si="36"/>
        <v>ND</v>
      </c>
      <c r="Y56" s="2039">
        <f>'Saisie données stocks'!S68</f>
        <v>0</v>
      </c>
      <c r="Z56" s="2031">
        <f>'Saisie données stocks'!T68</f>
        <v>0</v>
      </c>
      <c r="AA56" s="2040">
        <f t="shared" si="37"/>
        <v>0</v>
      </c>
      <c r="AB56" s="2040" t="str">
        <f>IF(AND(Y56=0, Z56=0), "ND", IF((Y56-Paramétrage!$H$19)&gt;0, (Y56-Paramétrage!$H$19)/(365/12), "Date non renseignée ou produit périmé"))</f>
        <v>ND</v>
      </c>
      <c r="AC56" s="2040" t="str">
        <f t="shared" si="38"/>
        <v>ND</v>
      </c>
      <c r="AD56" s="2040" t="str">
        <f t="shared" si="39"/>
        <v>ND</v>
      </c>
      <c r="AE56" s="2035" t="str">
        <f>IF(AD56="ND", "ND", IF(AD56&gt;0, 'TRAD-Calculs Péremption FA'!$B$73, "OK"))</f>
        <v>ND</v>
      </c>
      <c r="AF56" s="2038" t="str">
        <f t="shared" si="40"/>
        <v>ND</v>
      </c>
      <c r="AG56" s="2041">
        <f>'Saisie données stocks'!U68</f>
        <v>0</v>
      </c>
      <c r="AH56" s="2031">
        <f>'Saisie données stocks'!V68</f>
        <v>0</v>
      </c>
      <c r="AI56" s="2040">
        <f t="shared" si="41"/>
        <v>0</v>
      </c>
      <c r="AJ56" s="2040" t="str">
        <f>IF(AND(AG56=0, AH56=0), "ND", IF((AG56-Paramétrage!$H$19)&gt;0, (AG56-Paramétrage!$H$19)/(365/12), "Date non renseignée ou produit périmé"))</f>
        <v>ND</v>
      </c>
      <c r="AK56" s="2040" t="str">
        <f t="shared" si="42"/>
        <v>ND</v>
      </c>
      <c r="AL56" s="2040" t="str">
        <f t="shared" si="43"/>
        <v>ND</v>
      </c>
      <c r="AM56" s="2040" t="str">
        <f>IF(AL56="ND", "ND", IF(AL56&gt;0, 'TRAD-Calculs Péremption FA'!$B$73, "OK"))</f>
        <v>ND</v>
      </c>
      <c r="AN56" s="2038" t="str">
        <f t="shared" si="44"/>
        <v>ND</v>
      </c>
      <c r="AO56" s="2041">
        <f>'Saisie données stocks'!W68</f>
        <v>0</v>
      </c>
      <c r="AP56" s="2031">
        <f>'Saisie données stocks'!X68</f>
        <v>0</v>
      </c>
      <c r="AQ56" s="2040">
        <f t="shared" si="45"/>
        <v>0</v>
      </c>
      <c r="AR56" s="2040" t="str">
        <f>IF(AND(AO56=0, AP56=0), "ND", IF((AO56-Paramétrage!$H$19)&gt;0, (AO56-Paramétrage!$H$19)/(365/12), "Date non renseignée ou produit périmé"))</f>
        <v>ND</v>
      </c>
      <c r="AS56" s="2040" t="str">
        <f t="shared" si="46"/>
        <v>ND</v>
      </c>
      <c r="AT56" s="2040" t="str">
        <f t="shared" si="47"/>
        <v>ND</v>
      </c>
      <c r="AU56" s="2040" t="str">
        <f>IF(AT56="ND", "ND", IF(AT56&gt;0, 'TRAD-Calculs Péremption FA'!$B$73, "OK"))</f>
        <v>ND</v>
      </c>
      <c r="AV56" s="2038" t="str">
        <f t="shared" si="48"/>
        <v>ND</v>
      </c>
      <c r="AW56" s="2041">
        <f>'Saisie données stocks'!Y68</f>
        <v>0</v>
      </c>
      <c r="AX56" s="2031">
        <f>'Saisie données stocks'!Z68</f>
        <v>0</v>
      </c>
      <c r="AY56" s="2040">
        <f t="shared" si="49"/>
        <v>0</v>
      </c>
      <c r="AZ56" s="2040" t="str">
        <f>IF(AND(AW56=0, AX56=0), "ND", IF((AW56-Paramétrage!$H$19)&gt;0, (AW56-Paramétrage!$H$19)/(365/12), "Date non renseignée ou produit périmé"))</f>
        <v>ND</v>
      </c>
      <c r="BA56" s="2040" t="str">
        <f t="shared" si="50"/>
        <v>ND</v>
      </c>
      <c r="BB56" s="2040" t="str">
        <f t="shared" si="51"/>
        <v>ND</v>
      </c>
      <c r="BC56" s="2040" t="str">
        <f>IF(BB56="ND", "ND", IF(BB56&gt;0, 'TRAD-Calculs Péremption FA'!$B$73, "OK"))</f>
        <v>ND</v>
      </c>
      <c r="BD56" s="2038" t="str">
        <f t="shared" si="52"/>
        <v>ND</v>
      </c>
      <c r="BE56" s="2041">
        <f>'Saisie données stocks'!AA68</f>
        <v>0</v>
      </c>
      <c r="BF56" s="2031">
        <f>'Saisie données stocks'!AB68</f>
        <v>0</v>
      </c>
      <c r="BG56" s="2040">
        <f t="shared" si="53"/>
        <v>0</v>
      </c>
      <c r="BH56" s="2040" t="str">
        <f>IF(AND(BE56=0, BF56=0), "ND", IF((BE56-Paramétrage!$H$19)&gt;0, (BE56-Paramétrage!$H$19)/(365/12), "Date non renseignée ou produit périmé"))</f>
        <v>ND</v>
      </c>
      <c r="BI56" s="2040" t="str">
        <f t="shared" si="54"/>
        <v>ND</v>
      </c>
      <c r="BJ56" s="2040" t="str">
        <f t="shared" si="55"/>
        <v>ND</v>
      </c>
      <c r="BK56" s="2040" t="str">
        <f>IF(BJ56="ND", "ND", IF(BJ56&gt;0, 'TRAD-Calculs Péremption FA'!$B$73, "OK"))</f>
        <v>ND</v>
      </c>
      <c r="BL56" s="2038" t="str">
        <f t="shared" si="56"/>
        <v>ND</v>
      </c>
      <c r="BM56" s="2041">
        <f>'Saisie données stocks'!AC68</f>
        <v>0</v>
      </c>
      <c r="BN56" s="2031">
        <f>'Saisie données stocks'!AD68</f>
        <v>0</v>
      </c>
      <c r="BO56" s="2040">
        <f t="shared" si="57"/>
        <v>0</v>
      </c>
      <c r="BP56" s="2040" t="str">
        <f>IF(AND(BM56=0, BN56=0), "ND", IF((BM56-Paramétrage!$H$19)&gt;0, (BM56-Paramétrage!$H$19)/(365/12), "Date non renseignée ou produit périmé"))</f>
        <v>ND</v>
      </c>
      <c r="BQ56" s="2040" t="str">
        <f t="shared" si="58"/>
        <v>ND</v>
      </c>
      <c r="BR56" s="2040" t="str">
        <f t="shared" si="59"/>
        <v>ND</v>
      </c>
      <c r="BS56" s="2040" t="str">
        <f>IF(BR56="ND", "ND", IF(BR56&gt;0, 'TRAD-Calculs Péremption FA'!$B$73, "OK"))</f>
        <v>ND</v>
      </c>
      <c r="BT56" s="2038" t="str">
        <f t="shared" si="60"/>
        <v>ND</v>
      </c>
      <c r="BU56" s="1938">
        <f>IF('Saisie données stocks'!$O$10='TRAD-Saisie données stocks'!$B$51, IF(P56="OK", IF(AND(BR56&gt;0, ISNUMBER(BR56)), (BO56-BR56), (BO56)), O56), O56)</f>
        <v>0</v>
      </c>
      <c r="BV56" s="1938">
        <f t="shared" si="61"/>
        <v>0</v>
      </c>
      <c r="BW56" s="2044" t="str">
        <f t="shared" si="62"/>
        <v/>
      </c>
      <c r="BX56" s="2047">
        <f>IF('Saisie données stocks'!$O$10='TRAD-Saisie données stocks'!$B$51, IF('Calculs Péremption FA'!P56="OK", IF(BU56=O56, MAX(Paramétrage!$H$19+('Saisie données stocks'!$N$14*(365/12)), BM56, BE56, AW56, AO56, AG56, Y56, R56), BW56), Paramétrage!$H$19+('Saisie données stocks'!$N$14*(365/12))), Paramétrage!$H$19+('Saisie données stocks'!$N$14*(365/12)))</f>
        <v>42101.5</v>
      </c>
      <c r="BY56" s="2048">
        <f t="shared" si="63"/>
        <v>7</v>
      </c>
      <c r="BZ56" s="2048">
        <f t="shared" si="64"/>
        <v>4</v>
      </c>
      <c r="CA56" s="2048">
        <f t="shared" si="65"/>
        <v>2015</v>
      </c>
      <c r="CB56" s="2048">
        <f>IF(BX56="", "", (BX56-Paramétrage!$H$19)/(365/12))</f>
        <v>6</v>
      </c>
      <c r="CC56" s="2043" t="str">
        <f>IF(CB56='Saisie données stocks'!N$14, 'TRAD-Calculs Péremption FA'!$B$74, CONCATENATE("DLU - ", BY56, "/", BZ56, "/", CA56))</f>
        <v>Durée de vie max</v>
      </c>
    </row>
  </sheetData>
  <sheetProtection password="D0E7" sheet="1" objects="1" scenarios="1" selectLockedCells="1"/>
  <mergeCells count="8">
    <mergeCell ref="BE5:BL5"/>
    <mergeCell ref="BM5:BT5"/>
    <mergeCell ref="A2:Q2"/>
    <mergeCell ref="R5:X5"/>
    <mergeCell ref="Y5:AF5"/>
    <mergeCell ref="AG5:AN5"/>
    <mergeCell ref="AO5:AV5"/>
    <mergeCell ref="AW5:BD5"/>
  </mergeCells>
  <conditionalFormatting sqref="BN4:BT4 BM4:BM5 BF4:BL4 BE4:BE5 AX4:BD4 AW4:AW5 AP4:AV4 AO4:AO5 AH4:AN4 AG4:AG5 A2:F40 S4:X4 Z4:AF4 G2:O5 P4:R5 Y4:Y5 A41:BU56 G6:BU40 P2:BU3 BU4:BU5 BU48:BV48 BV2:XFD56">
    <cfRule type="cellIs" dxfId="108" priority="17" stopIfTrue="1" operator="equal">
      <formula>"ND"</formula>
    </cfRule>
    <cfRule type="cellIs" dxfId="107" priority="21" operator="equal">
      <formula>"ATTENTION le détail ne correspond pas à votre stock total"</formula>
    </cfRule>
    <cfRule type="cellIs" dxfId="106" priority="22" operator="equal">
      <formula>"ATTENTION SURSTOCK et risque de péremption"</formula>
    </cfRule>
    <cfRule type="cellIs" dxfId="105" priority="23" operator="equal">
      <formula>"OK"</formula>
    </cfRule>
  </conditionalFormatting>
  <conditionalFormatting sqref="BT49:BT56 BR49:BR56 BT7:BT47 BL49:BL56 BJ49:BJ56 BL7:BL47 BD49:BD56 BB49:BB56 BD7:BD47 AV49:AV56 AT49:AT56 AV7:AV47 AN49:AN56 AL49:AL56 AN7:AN47 AF49:AF56 AD49:AD56 AF7:AF47 AD7:AD47 X49:X56 V49:V56 X7:X47 V7:V47 AL7:AL47 AT7:AT47 BB7:BB47 BJ7:BJ47 BR7:BR47">
    <cfRule type="containsBlanks" priority="18" stopIfTrue="1">
      <formula>LEN(TRIM(V7))=0</formula>
    </cfRule>
    <cfRule type="cellIs" dxfId="104" priority="20" operator="greaterThan">
      <formula>0</formula>
    </cfRule>
  </conditionalFormatting>
  <conditionalFormatting sqref="Q7:Q56">
    <cfRule type="containsText" dxfId="103" priority="19" operator="containsText" text="Produit en stock mais sans aucune utilisation">
      <formula>NOT(ISERROR(SEARCH("Produit en stock mais sans aucune utilisation",Q7)))</formula>
    </cfRule>
  </conditionalFormatting>
  <conditionalFormatting sqref="K6:L6">
    <cfRule type="cellIs" dxfId="102" priority="13" stopIfTrue="1" operator="equal">
      <formula>"ND"</formula>
    </cfRule>
    <cfRule type="cellIs" dxfId="101" priority="14" operator="equal">
      <formula>"ATTENTION le détail ne correspond pas à votre stock total"</formula>
    </cfRule>
    <cfRule type="cellIs" dxfId="100" priority="15" operator="equal">
      <formula>"ATTENTION SURSTOCK et risque de péremption"</formula>
    </cfRule>
    <cfRule type="cellIs" dxfId="99" priority="16" operator="equal">
      <formula>"OK"</formula>
    </cfRule>
  </conditionalFormatting>
  <conditionalFormatting sqref="K7:K47">
    <cfRule type="cellIs" dxfId="98" priority="9" stopIfTrue="1" operator="equal">
      <formula>"ND"</formula>
    </cfRule>
    <cfRule type="cellIs" dxfId="97" priority="10" operator="equal">
      <formula>"ATTENTION le détail ne correspond pas à votre stock total"</formula>
    </cfRule>
    <cfRule type="cellIs" dxfId="96" priority="11" operator="equal">
      <formula>"ATTENTION SURSTOCK et risque de péremption"</formula>
    </cfRule>
    <cfRule type="cellIs" dxfId="95" priority="12" operator="equal">
      <formula>"OK"</formula>
    </cfRule>
  </conditionalFormatting>
  <conditionalFormatting sqref="K49:K56">
    <cfRule type="cellIs" dxfId="94" priority="5" stopIfTrue="1" operator="equal">
      <formula>"ND"</formula>
    </cfRule>
    <cfRule type="cellIs" dxfId="93" priority="6" operator="equal">
      <formula>"ATTENTION le détail ne correspond pas à votre stock total"</formula>
    </cfRule>
    <cfRule type="cellIs" dxfId="92" priority="7" operator="equal">
      <formula>"ATTENTION SURSTOCK et risque de péremption"</formula>
    </cfRule>
    <cfRule type="cellIs" dxfId="91" priority="8" operator="equal">
      <formula>"OK"</formula>
    </cfRule>
  </conditionalFormatting>
  <conditionalFormatting sqref="K7:K47">
    <cfRule type="cellIs" dxfId="90" priority="1" stopIfTrue="1" operator="equal">
      <formula>"ND"</formula>
    </cfRule>
    <cfRule type="cellIs" dxfId="89" priority="2" operator="equal">
      <formula>"ATTENTION le détail ne correspond pas à votre stock total"</formula>
    </cfRule>
    <cfRule type="cellIs" dxfId="88" priority="3" operator="equal">
      <formula>"ATTENTION SURSTOCK et risque de péremption"</formula>
    </cfRule>
    <cfRule type="cellIs" dxfId="87" priority="4" operator="equal">
      <formula>"OK"</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993366"/>
  </sheetPr>
  <dimension ref="A2:CA469"/>
  <sheetViews>
    <sheetView showGridLines="0" topLeftCell="AJ112" zoomScale="90" zoomScaleNormal="90" workbookViewId="0">
      <selection activeCell="A260" sqref="A1:XFD1048576"/>
    </sheetView>
  </sheetViews>
  <sheetFormatPr defaultColWidth="11.42578125" defaultRowHeight="12.75" x14ac:dyDescent="0.2"/>
  <cols>
    <col min="1" max="1" width="6.28515625" style="356" customWidth="1"/>
    <col min="2" max="2" width="6.42578125" style="356" customWidth="1"/>
    <col min="3" max="4" width="11.42578125" style="356"/>
    <col min="5" max="5" width="16.42578125" style="356" bestFit="1" customWidth="1"/>
    <col min="6" max="6" width="12.140625" style="356" bestFit="1" customWidth="1"/>
    <col min="7" max="7" width="11.42578125" style="356"/>
    <col min="8" max="8" width="37.28515625" style="356" bestFit="1" customWidth="1"/>
    <col min="9" max="11" width="11.42578125" style="356"/>
    <col min="12" max="12" width="13.28515625" style="356" bestFit="1" customWidth="1"/>
    <col min="13" max="15" width="14.5703125" style="355" customWidth="1"/>
    <col min="16" max="16" width="4.7109375" customWidth="1"/>
    <col min="17" max="17" width="14.5703125" style="355" customWidth="1"/>
    <col min="18" max="19" width="14.5703125" style="356" customWidth="1"/>
    <col min="20" max="21" width="14.5703125" style="357" customWidth="1"/>
    <col min="22" max="26" width="14.5703125" style="356" customWidth="1"/>
    <col min="27" max="27" width="39.7109375" style="356" customWidth="1"/>
    <col min="28" max="31" width="14.5703125" style="356" customWidth="1"/>
    <col min="32" max="33" width="14.5703125" style="357" customWidth="1"/>
    <col min="34" max="36" width="14.5703125" style="356" customWidth="1"/>
    <col min="37" max="37" width="14.5703125" style="499" customWidth="1"/>
    <col min="38" max="38" width="14.5703125" style="356" customWidth="1"/>
    <col min="39" max="39" width="20.5703125" style="356" customWidth="1"/>
    <col min="40" max="49" width="14.5703125" style="356" customWidth="1"/>
    <col min="50" max="51" width="14.5703125" style="357" customWidth="1"/>
    <col min="52" max="52" width="14.5703125" style="356" customWidth="1"/>
    <col min="53" max="53" width="16.85546875" style="356" bestFit="1" customWidth="1"/>
    <col min="54" max="54" width="11.42578125" style="356"/>
    <col min="55" max="55" width="15.7109375" style="356" bestFit="1" customWidth="1"/>
    <col min="56" max="56" width="12.28515625" style="356" bestFit="1" customWidth="1"/>
    <col min="57" max="57" width="13" style="356" bestFit="1" customWidth="1"/>
    <col min="58" max="58" width="15.7109375" style="356" bestFit="1" customWidth="1"/>
    <col min="59" max="60" width="12.28515625" style="356" bestFit="1" customWidth="1"/>
    <col min="61" max="61" width="11.42578125" style="356"/>
    <col min="62" max="62" width="14.28515625" style="356" bestFit="1" customWidth="1"/>
    <col min="63" max="63" width="11.42578125" style="356"/>
    <col min="64" max="65" width="12.28515625" style="356" bestFit="1" customWidth="1"/>
    <col min="66" max="66" width="16.42578125" style="356" customWidth="1"/>
    <col min="67" max="67" width="16.85546875" style="356" bestFit="1" customWidth="1"/>
    <col min="68" max="70" width="11.42578125" style="356"/>
    <col min="71" max="71" width="12.28515625" style="356" bestFit="1" customWidth="1"/>
    <col min="72" max="16384" width="11.42578125" style="356"/>
  </cols>
  <sheetData>
    <row r="2" spans="1:52" ht="15" x14ac:dyDescent="0.2">
      <c r="A2" s="3290" t="str">
        <f>'TRAD-Calculs dispo Données FA'!B2</f>
        <v>Résultats - Périodes de disponibilité des produits - Durées &amp; dates</v>
      </c>
      <c r="B2" s="3290"/>
      <c r="C2" s="3290"/>
      <c r="D2" s="3290"/>
      <c r="E2" s="3290"/>
      <c r="F2" s="3290"/>
      <c r="G2" s="3290"/>
      <c r="H2" s="3290"/>
      <c r="I2" s="3290"/>
      <c r="J2" s="3290"/>
      <c r="K2" s="3290"/>
      <c r="L2" s="3290"/>
    </row>
    <row r="3" spans="1:52" ht="13.5" thickBot="1" x14ac:dyDescent="0.25"/>
    <row r="4" spans="1:52" s="567" customFormat="1" ht="15.75" thickBot="1" x14ac:dyDescent="0.3">
      <c r="B4" s="568" t="str">
        <f>'TRAD-Calculs dispo Données FA'!B3</f>
        <v>PARTIE 1 : Estimations à partir des données de files actives</v>
      </c>
      <c r="C4" s="569"/>
      <c r="D4" s="569"/>
      <c r="E4" s="569"/>
      <c r="F4" s="569"/>
      <c r="G4" s="569"/>
      <c r="H4" s="569"/>
      <c r="I4" s="569"/>
      <c r="J4" s="569"/>
      <c r="K4" s="569"/>
      <c r="L4" s="570"/>
      <c r="M4" s="571"/>
      <c r="N4" s="571"/>
      <c r="O4" s="571"/>
      <c r="P4"/>
      <c r="Q4" s="571"/>
      <c r="T4" s="572"/>
      <c r="U4" s="572"/>
      <c r="AF4" s="572"/>
      <c r="AG4" s="572"/>
      <c r="AX4" s="572"/>
      <c r="AY4" s="572"/>
    </row>
    <row r="6" spans="1:52" s="358" customFormat="1" ht="14.25" x14ac:dyDescent="0.2">
      <c r="B6" s="359" t="str">
        <f>'TRAD-Calculs dispo Données FA'!B5</f>
        <v>1.A. Avec les stocks actuellement disponibles au niveau central</v>
      </c>
      <c r="C6" s="359"/>
      <c r="D6" s="359"/>
      <c r="E6" s="359"/>
      <c r="F6" s="359"/>
      <c r="G6" s="359"/>
      <c r="H6" s="359"/>
      <c r="I6" s="359"/>
      <c r="J6" s="359"/>
      <c r="K6" s="359"/>
      <c r="L6" s="359"/>
      <c r="M6" s="360" t="str">
        <f>'TRAD-Calculs dispo Données FA'!$B$88</f>
        <v>DLU</v>
      </c>
      <c r="N6" s="360"/>
      <c r="O6" s="360"/>
      <c r="P6"/>
      <c r="Q6" s="360"/>
      <c r="T6" s="361"/>
      <c r="U6" s="361"/>
      <c r="AF6" s="361"/>
      <c r="AG6" s="361"/>
      <c r="AK6" s="500"/>
      <c r="AX6" s="361"/>
      <c r="AY6" s="361"/>
    </row>
    <row r="7" spans="1:52" ht="13.5" thickBot="1" x14ac:dyDescent="0.25">
      <c r="AX7" s="356"/>
      <c r="AY7" s="356"/>
    </row>
    <row r="8" spans="1:52" ht="13.5" thickBot="1" x14ac:dyDescent="0.25">
      <c r="C8" s="1886" t="str">
        <f>'TRAD-Calculs dispo Données FA'!B7</f>
        <v>Nature des stocks utilisés :</v>
      </c>
      <c r="D8" s="845"/>
      <c r="E8" s="845"/>
      <c r="F8" s="846" t="str">
        <f>'TRAD-Calculs dispo Données FA'!B8</f>
        <v>Stocks centraux</v>
      </c>
      <c r="M8" s="356"/>
      <c r="N8" s="356"/>
      <c r="O8" s="356"/>
      <c r="Q8" s="3286" t="str">
        <f>'TRAD-Calculs dispo Données FA'!B22</f>
        <v xml:space="preserve">CALCULS avec croissance des besoins / Stocks dispo central </v>
      </c>
      <c r="R8" s="3287"/>
      <c r="S8" s="3287"/>
      <c r="T8" s="3287"/>
      <c r="U8" s="3287"/>
      <c r="V8" s="3287"/>
      <c r="W8" s="3287"/>
      <c r="X8" s="3287"/>
      <c r="Y8" s="3287"/>
      <c r="Z8" s="3287"/>
      <c r="AA8" s="3287"/>
      <c r="AB8" s="3287"/>
      <c r="AC8" s="3288"/>
      <c r="AE8" s="3286" t="str">
        <f>'TRAD-Calculs dispo Données FA'!B25</f>
        <v>CALCULS Marge extrême arrêt d'initiations / Stocks dispo centraux</v>
      </c>
      <c r="AF8" s="3287"/>
      <c r="AG8" s="3287"/>
      <c r="AH8" s="3287"/>
      <c r="AI8" s="3287"/>
      <c r="AJ8" s="3287"/>
      <c r="AK8" s="3287"/>
      <c r="AL8" s="3287"/>
      <c r="AM8" s="3287"/>
      <c r="AN8" s="3287"/>
      <c r="AO8" s="3287"/>
      <c r="AP8" s="3287"/>
      <c r="AQ8" s="3288"/>
      <c r="AX8" s="356"/>
      <c r="AY8" s="356"/>
    </row>
    <row r="9" spans="1:52" ht="26.25" thickBot="1" x14ac:dyDescent="0.25">
      <c r="F9" s="2670" t="str">
        <f>'Saisie données stocks'!$O$10</f>
        <v>OUI</v>
      </c>
      <c r="H9" s="356" t="str">
        <f>'TRAD-Saisie données stocks'!$B$51</f>
        <v>OUI</v>
      </c>
      <c r="R9" s="3289"/>
      <c r="S9" s="3289"/>
      <c r="T9" s="431"/>
      <c r="U9" s="586"/>
      <c r="V9" s="357"/>
      <c r="W9" s="578" t="str">
        <f>'TRAD-Calculs dispo Données FA'!B8</f>
        <v>Stocks centraux</v>
      </c>
      <c r="X9" s="3283" t="str">
        <f>'TRAD-Calculs dispo Données FA'!B27</f>
        <v>Données nettoyées pour représentation graphique</v>
      </c>
      <c r="Y9" s="3284"/>
      <c r="Z9" s="3284"/>
      <c r="AA9" s="3284"/>
      <c r="AB9" s="3284"/>
      <c r="AC9" s="3285"/>
      <c r="AE9" s="355"/>
      <c r="AF9" s="3289"/>
      <c r="AG9" s="3289"/>
      <c r="AH9" s="431"/>
      <c r="AI9" s="586"/>
      <c r="AJ9" s="357"/>
      <c r="AK9" s="578" t="str">
        <f>'TRAD-Calculs dispo Données FA'!B8</f>
        <v>Stocks centraux</v>
      </c>
      <c r="AL9" s="3283" t="str">
        <f>'TRAD-Calculs dispo Données FA'!B27</f>
        <v>Données nettoyées pour représentation graphique</v>
      </c>
      <c r="AM9" s="3284"/>
      <c r="AN9" s="3284"/>
      <c r="AO9" s="3284"/>
      <c r="AP9" s="3284"/>
      <c r="AQ9" s="3285"/>
      <c r="AS9" s="2077" t="str">
        <f>'TRAD-Calculs dispo Données FA'!B48</f>
        <v>Stock</v>
      </c>
      <c r="AT9" s="2078" t="str">
        <f>'TRAD-Calculs dispo Données FA'!B49</f>
        <v>besoin actuel</v>
      </c>
      <c r="AU9" s="2079" t="str">
        <f>'TRAD-Calculs dispo Données FA'!B50</f>
        <v>Progression besoin</v>
      </c>
      <c r="AV9" s="2077" t="str">
        <f>'TRAD-Calculs dispo Données FA'!B51</f>
        <v>Eval</v>
      </c>
      <c r="AW9" s="2078" t="str">
        <f>'TRAD-Calculs dispo Données FA'!B51</f>
        <v>Eval</v>
      </c>
      <c r="AX9" s="2080" t="str">
        <f>'TRAD-Calculs dispo Données FA'!B51</f>
        <v>Eval</v>
      </c>
      <c r="AY9" s="356"/>
    </row>
    <row r="10" spans="1:52" s="358" customFormat="1" ht="64.5" thickBot="1" x14ac:dyDescent="0.25">
      <c r="C10" s="577" t="str">
        <f>'TRAD-Calculs dispo Données FA'!B9</f>
        <v>Classe forme galénique</v>
      </c>
      <c r="D10" s="576" t="str">
        <f>'TRAD-Calculs dispo Données FA'!B10</f>
        <v>Classe thérapeutique</v>
      </c>
      <c r="E10" s="364" t="str">
        <f>'TRAD-Calculs dispo Données FA'!B11</f>
        <v>Composition</v>
      </c>
      <c r="F10" s="365" t="str">
        <f>'TRAD-Calculs dispo Données FA'!B12</f>
        <v>Forme galénique</v>
      </c>
      <c r="G10" s="365" t="str">
        <f>'TRAD-Calculs dispo Données FA'!B13</f>
        <v>Dosage</v>
      </c>
      <c r="H10" s="365" t="str">
        <f>'TRAD-Calculs dispo Données FA'!B14</f>
        <v>Nom pour représentation graphique</v>
      </c>
      <c r="I10" s="365" t="str">
        <f>'TRAD-Calculs dispo Données FA'!B15</f>
        <v>Nb de prise / jour</v>
      </c>
      <c r="J10" s="365" t="str">
        <f>'TRAD-Calculs dispo Données FA'!B16</f>
        <v>Nb de prise / mois</v>
      </c>
      <c r="K10" s="365" t="str">
        <f>'TRAD-Calculs dispo Données FA'!B17</f>
        <v>Conditionnement</v>
      </c>
      <c r="L10" s="327" t="str">
        <f>'TRAD-Calculs dispo Données FA'!B20</f>
        <v>Nb de boites nécessaire pour 1 mois pour 1 patient</v>
      </c>
      <c r="M10" s="346" t="str">
        <f>'TRAD-Calculs dispo Données FA'!B21</f>
        <v>Stock disponible UTILISABLE au niveau considéré (nb de boites)</v>
      </c>
      <c r="N10" s="2057" t="str">
        <f>'TRAD-Calculs dispo Données FA'!B33</f>
        <v>Besoin mensuel patients suivis selon méthode</v>
      </c>
      <c r="O10" s="2057" t="str">
        <f>'TRAD-Calculs dispo Données FA'!B34</f>
        <v>Besoin mensuel patients initiés selon méthode</v>
      </c>
      <c r="P10"/>
      <c r="Q10" s="346" t="str">
        <f>'TRAD-Calculs dispo Données FA'!B35</f>
        <v>Nombre de mois de disponibilité de produits</v>
      </c>
      <c r="R10" s="346" t="str">
        <f>'TRAD-Calculs dispo Données FA'!B36</f>
        <v>Delta Nb de mois de disponibilité Stocks périph / Stocks total (périph + central)</v>
      </c>
      <c r="S10" s="347" t="str">
        <f>'TRAD-Calculs dispo Données FA'!B37</f>
        <v>Nombre de mois de disponibilité de produits hors ST</v>
      </c>
      <c r="T10" s="327" t="str">
        <f>'TRAD-Calculs dispo Données FA'!B38</f>
        <v>Nombre de mois de stock tampon (ST)</v>
      </c>
      <c r="U10" s="348" t="str">
        <f>'TRAD-Calculs dispo Données FA'!B39</f>
        <v>Date d'entrée en stock tampon</v>
      </c>
      <c r="V10" s="349" t="str">
        <f>'TRAD-Calculs dispo Données FA'!B40</f>
        <v>Date de rupture attendue</v>
      </c>
      <c r="X10" s="346" t="str">
        <f>'TRAD-Calculs dispo Données FA'!B35</f>
        <v>Nombre de mois de disponibilité de produits</v>
      </c>
      <c r="Y10" s="580" t="str">
        <f>'TRAD-Calculs dispo Données FA'!B36</f>
        <v>Delta Nb de mois de disponibilité Stocks périph / Stocks total (périph + central)</v>
      </c>
      <c r="Z10" s="347" t="str">
        <f>'TRAD-Calculs dispo Données FA'!B37</f>
        <v>Nombre de mois de disponibilité de produits hors ST</v>
      </c>
      <c r="AA10" s="424" t="str">
        <f>'TRAD-Calculs dispo Données FA'!B38</f>
        <v>Nombre de mois de stock tampon (ST)</v>
      </c>
      <c r="AB10" s="348" t="str">
        <f>'TRAD-Calculs dispo Données FA'!B39</f>
        <v>Date d'entrée en stock tampon</v>
      </c>
      <c r="AC10" s="349" t="str">
        <f>'TRAD-Calculs dispo Données FA'!B40</f>
        <v>Date de rupture attendue</v>
      </c>
      <c r="AE10" s="346" t="str">
        <f>'TRAD-Calculs dispo Données FA'!B35</f>
        <v>Nombre de mois de disponibilité de produits</v>
      </c>
      <c r="AF10" s="580" t="str">
        <f>'TRAD-Calculs dispo Données FA'!B46</f>
        <v>Gain Nb de mois de disponibilité si arrêt des initiations &amp; switch</v>
      </c>
      <c r="AG10" s="347" t="str">
        <f>'TRAD-Calculs dispo Données FA'!B37</f>
        <v>Nombre de mois de disponibilité de produits hors ST</v>
      </c>
      <c r="AH10" s="424" t="str">
        <f>'TRAD-Calculs dispo Données FA'!B38</f>
        <v>Nombre de mois de stock tampon (ST)</v>
      </c>
      <c r="AI10" s="348" t="str">
        <f>'TRAD-Calculs dispo Données FA'!B39</f>
        <v>Date d'entrée en stock tampon</v>
      </c>
      <c r="AJ10" s="349" t="str">
        <f>'TRAD-Calculs dispo Données FA'!B40</f>
        <v>Date de rupture attendue</v>
      </c>
      <c r="AL10" s="346" t="str">
        <f>'TRAD-Calculs dispo Données FA'!B35</f>
        <v>Nombre de mois de disponibilité de produits</v>
      </c>
      <c r="AM10" s="580" t="str">
        <f>'TRAD-Calculs dispo Données FA'!B46</f>
        <v>Gain Nb de mois de disponibilité si arrêt des initiations &amp; switch</v>
      </c>
      <c r="AN10" s="347" t="str">
        <f>'TRAD-Calculs dispo Données FA'!B37</f>
        <v>Nombre de mois de disponibilité de produits hors ST</v>
      </c>
      <c r="AO10" s="424" t="str">
        <f>'TRAD-Calculs dispo Données FA'!B38</f>
        <v>Nombre de mois de stock tampon (ST)</v>
      </c>
      <c r="AP10" s="424" t="str">
        <f>'TRAD-Calculs dispo Données FA'!B39</f>
        <v>Date d'entrée en stock tampon</v>
      </c>
      <c r="AQ10" s="349" t="str">
        <f>'TRAD-Calculs dispo Données FA'!B40</f>
        <v>Date de rupture attendue</v>
      </c>
      <c r="AS10" s="2058" t="str">
        <f>'TRAD-Calculs dispo Données FA'!B55</f>
        <v>Calculs!L228</v>
      </c>
      <c r="AT10" s="2059" t="str">
        <f>'TRAD-Calculs dispo Données FA'!B58</f>
        <v>Calculs!N135</v>
      </c>
      <c r="AU10" s="2067" t="str">
        <f>'TRAD-Calculs dispo Données FA'!B59</f>
        <v>Calculs!M181</v>
      </c>
      <c r="AV10" s="2058" t="str">
        <f>'TRAD-Calculs dispo Données FA'!B60</f>
        <v>Stock et besoin actuel et futur =0</v>
      </c>
      <c r="AW10" s="2059" t="str">
        <f>'TRAD-Calculs dispo Données FA'!B62</f>
        <v>Stock=0; Besoin &gt;0</v>
      </c>
      <c r="AX10" s="2060" t="str">
        <f>'TRAD-Calculs dispo Données FA'!B62</f>
        <v>Stock=0; Besoin &gt;0</v>
      </c>
      <c r="AZ10" s="2081"/>
    </row>
    <row r="11" spans="1:52" s="358" customFormat="1" ht="25.5" x14ac:dyDescent="0.2">
      <c r="C11" s="366" t="str">
        <f>'TRAD-Calculs dispo Données FA'!B66</f>
        <v>Comprimés</v>
      </c>
      <c r="D11" s="367" t="s">
        <v>15</v>
      </c>
      <c r="E11" s="368" t="str">
        <f>'Saisie données stocks'!F19</f>
        <v>AZT+3TC+NVP</v>
      </c>
      <c r="F11" s="369" t="str">
        <f>'Saisie données stocks'!G19</f>
        <v>Cp</v>
      </c>
      <c r="G11" s="369" t="str">
        <f>'Saisie données stocks'!H19</f>
        <v>300/150/200 mg</v>
      </c>
      <c r="H11" s="370" t="str">
        <f>CONCATENATE(E11, " - ", G11, " - ", 'TRAD-Calculs dispo Données FA'!$B$79,"/", K11)</f>
        <v>AZT+3TC+NVP - 300/150/200 mg - B/60</v>
      </c>
      <c r="I11" s="372">
        <f>Calculs!K102</f>
        <v>2</v>
      </c>
      <c r="J11" s="372">
        <f>I11*30</f>
        <v>60</v>
      </c>
      <c r="K11" s="113">
        <f>Calculs!J102</f>
        <v>60</v>
      </c>
      <c r="L11" s="373">
        <f t="shared" ref="L11:L51" si="0">J11/K11</f>
        <v>1</v>
      </c>
      <c r="M11" s="1819">
        <f>IF('Saisie données stocks'!$O$10='TRAD-Saisie données stocks'!$B$51, 'Calculs Péremption FA'!BU7, Calculs!M262)</f>
        <v>0</v>
      </c>
      <c r="N11" s="1819">
        <f>Calculs!O153</f>
        <v>0</v>
      </c>
      <c r="O11" s="1819">
        <f>Calculs!N207</f>
        <v>0</v>
      </c>
      <c r="P11"/>
      <c r="Q11" s="230" t="e">
        <f>IF(O11&gt;0, (-(O11+2*N11)+SQRT((O11+2*N11)*(O11+2*N11)+8*O11*(M11)))/(2*O11), ((M11)/N11))</f>
        <v>#DIV/0!</v>
      </c>
      <c r="R11" s="230" t="e">
        <f t="shared" ref="R11:R51" si="1">Q125-Q68</f>
        <v>#DIV/0!</v>
      </c>
      <c r="S11" s="235" t="e">
        <f>Q11-Paramétrage!$D$29</f>
        <v>#DIV/0!</v>
      </c>
      <c r="T11" s="240" t="e">
        <f>IF(Q11&lt;Paramétrage!$D$29, Q11, Paramétrage!$D$29)</f>
        <v>#DIV/0!</v>
      </c>
      <c r="U11" s="245" t="e">
        <f>Paramétrage!$H$19+S11*(365/12)</f>
        <v>#DIV/0!</v>
      </c>
      <c r="V11" s="246" t="e">
        <f>IF(Q11&lt;Paramétrage!$D$29, Paramétrage!$H$19+T11*(365/12), Paramétrage!$H$19+Q11*(365/12))</f>
        <v>#DIV/0!</v>
      </c>
      <c r="X11" s="230" t="str">
        <f>IF(ISERROR(Q11),"", IF(Q11=0, "", IF(Q11&gt;'Calculs Péremption FA'!$CB7, 'Calculs Péremption FA'!$CB7, Q11)))</f>
        <v/>
      </c>
      <c r="Y11" s="581" t="str">
        <f t="shared" ref="Y11:Y51" si="2">IF(ISERROR(R11),"", IF(R11=0, "", R11))</f>
        <v/>
      </c>
      <c r="Z11" s="235" t="str">
        <f>IF(ISERROR(Q11),"", IF(Q11=0, "", IF(Q11&gt;'Calculs Péremption FA'!$CB7, 'Calculs Péremption FA'!$CB7-Paramétrage!$D$29, S11)))</f>
        <v/>
      </c>
      <c r="AA11" s="429" t="str">
        <f>IF(ISERROR(Q11),"", IF(Q11=0, "", IF(Q11&gt;'Calculs Péremption FA'!$CB7, Paramétrage!$D$29, T11)))</f>
        <v/>
      </c>
      <c r="AB11" s="245" t="str">
        <f>IF(ISERROR(Q11),"", IF(Q11=0, "", IF(Q11&gt;'Calculs Péremption FA'!$CB7, 'Calculs Péremption FA'!$BX7-Paramétrage!$D$29*(365/12), U11)))</f>
        <v/>
      </c>
      <c r="AC11" s="246" t="str">
        <f>IF(ISERROR(Q11), AW11, IF(Q11=0, IF(AND(M11=0, OR(N11&gt;0, O11&gt;0)), AX11, ""), IF(Q11&gt;'Calculs Péremption FA'!$CB7, IF(Q11&lt;'Saisie données stocks'!$N$14, CONCATENATE('TRAD-Calculs dispo Données FA'!$B$88, " - ", 'Calculs Péremption FA'!$BY7, "/", 'Calculs Péremption FA'!$BZ7, "/", 'Calculs Péremption FA'!$CA7), 'Calculs Péremption FA'!CC7), V11)))</f>
        <v/>
      </c>
      <c r="AE11" s="230" t="e">
        <f>(Calculs!M262/Calculs!O153)</f>
        <v>#DIV/0!</v>
      </c>
      <c r="AF11" s="230" t="e">
        <f t="shared" ref="AF11:AF51" si="3">AE11-Q11</f>
        <v>#DIV/0!</v>
      </c>
      <c r="AG11" s="235" t="e">
        <f>AE11-Paramétrage!$D$29</f>
        <v>#DIV/0!</v>
      </c>
      <c r="AH11" s="240" t="e">
        <f>IF(AE11&lt;Paramétrage!$D$29, AE11, Paramétrage!$D$29)</f>
        <v>#DIV/0!</v>
      </c>
      <c r="AI11" s="245" t="e">
        <f>Paramétrage!$H$19+AG11*(365/12)</f>
        <v>#DIV/0!</v>
      </c>
      <c r="AJ11" s="246" t="e">
        <f>IF(AE11&lt;Paramétrage!$D$29, Paramétrage!$H$19+AH11*(365/12), Paramétrage!$H$19+AE11*(365/12))</f>
        <v>#DIV/0!</v>
      </c>
      <c r="AL11" s="230" t="str">
        <f>IF(ISERROR(AE11),"", IF(AE11=0, "", IF(AE11&gt;'Calculs Péremption FA'!$CB7, 'Calculs Péremption FA'!$CB7, AE11)))</f>
        <v/>
      </c>
      <c r="AM11" s="581" t="str">
        <f t="shared" ref="AM11:AM51" si="4">IF(ISERROR(AF11),"", IF(AF11=0, "", IF(AL11-X11=0, "0", AL11-X11)))</f>
        <v/>
      </c>
      <c r="AN11" s="235" t="str">
        <f>IF(ISERROR(AE11),"", IF(AE11=0, "", IF(AE11&gt;'Calculs Péremption FA'!$CB7, 'Calculs Péremption FA'!$CB7-Paramétrage!$D$29, AG11)))</f>
        <v/>
      </c>
      <c r="AO11" s="429" t="str">
        <f>IF(ISERROR(AE11),"", IF(AE11=0, "", IF(AE11&gt;'Calculs Péremption FA'!$CB7, Paramétrage!$D$29, AH11)))</f>
        <v/>
      </c>
      <c r="AP11" s="245" t="str">
        <f>IF(ISERROR(AE11),"", IF(AE11=0, "", IF(AE11&gt;'Calculs Péremption FA'!$CB7, 'Calculs Péremption FA'!$BX7-Paramétrage!$D$29*(365/12), AI11)))</f>
        <v/>
      </c>
      <c r="AQ11" s="246" t="str">
        <f>IF(ISERROR(AE11),"", IF(AE11=0, "", IF(AE11&gt;'Calculs Péremption FA'!$CB7, CONCATENATE('TRAD-Calculs dispo Données FA'!$B$88, " - ", 'Calculs Péremption FA'!$BY7, "/", 'Calculs Péremption FA'!$BZ7, "/", 'Calculs Péremption FA'!$CA7), AJ11)))</f>
        <v/>
      </c>
      <c r="AS11" s="2061">
        <f>IF('Saisie données stocks'!$O$10='TRAD-Saisie données stocks'!$B$51, 'Calculs Péremption FA'!BU7, Calculs!M262)</f>
        <v>0</v>
      </c>
      <c r="AT11" s="2062">
        <f>Calculs!$O153</f>
        <v>0</v>
      </c>
      <c r="AU11" s="2068">
        <f>Calculs!$N207</f>
        <v>0</v>
      </c>
      <c r="AV11" s="2070" t="str">
        <f>IF(AND(AU11=0, AS11=0, AT11=0), 'TRAD-Calculs dispo Données FA'!$B$82, "")</f>
        <v>Stock et besoin nul</v>
      </c>
      <c r="AW11" s="2062" t="str">
        <f>IF(AND(AU11=0, AS11&gt;0, AT11=0), CONCATENATE(AS11, 'TRAD-Calculs dispo Données FA'!$B$80," =0"), "")</f>
        <v/>
      </c>
      <c r="AX11" s="2063" t="str">
        <f>IF(AND(AS11=0, OR(AT11&gt;=1, AU11&gt;=1)), 'TRAD-Calculs dispo Données FA'!$B$81, "")</f>
        <v/>
      </c>
    </row>
    <row r="12" spans="1:52" s="358" customFormat="1" ht="25.5" x14ac:dyDescent="0.2">
      <c r="C12" s="374"/>
      <c r="D12" s="375"/>
      <c r="E12" s="501" t="str">
        <f>'Saisie données stocks'!F20</f>
        <v>AZT+3TC+NVP</v>
      </c>
      <c r="F12" s="502" t="str">
        <f>'Saisie données stocks'!G20</f>
        <v>Cp</v>
      </c>
      <c r="G12" s="502" t="str">
        <f>'Saisie données stocks'!H20</f>
        <v>60/30/50 mg</v>
      </c>
      <c r="H12" s="378" t="str">
        <f>CONCATENATE(E12, " - ", G12, " - ", 'TRAD-Calculs dispo Données FA'!$B$79,"/", K12)</f>
        <v>AZT+3TC+NVP - 60/30/50 mg - B/60</v>
      </c>
      <c r="I12" s="505">
        <f>Calculs!K103</f>
        <v>2</v>
      </c>
      <c r="J12" s="505">
        <f t="shared" ref="J12:J15" si="5">I12*30</f>
        <v>60</v>
      </c>
      <c r="K12" s="114">
        <f>Calculs!J103</f>
        <v>60</v>
      </c>
      <c r="L12" s="381">
        <f t="shared" si="0"/>
        <v>1</v>
      </c>
      <c r="M12" s="1820">
        <f>IF('Saisie données stocks'!$O$10='TRAD-Saisie données stocks'!$B$51, 'Calculs Péremption FA'!BU8, Calculs!M263)</f>
        <v>0</v>
      </c>
      <c r="N12" s="1820">
        <f>Calculs!O154</f>
        <v>0</v>
      </c>
      <c r="O12" s="1820">
        <f>Calculs!N208</f>
        <v>0</v>
      </c>
      <c r="P12"/>
      <c r="Q12" s="231" t="e">
        <f t="shared" ref="Q12:Q60" si="6">IF(O12&gt;0, (-(O12+2*N12)+SQRT((O12+2*N12)*(O12+2*N12)+8*O12*(M12)))/(2*O12), ((M12)/N12))</f>
        <v>#DIV/0!</v>
      </c>
      <c r="R12" s="231" t="e">
        <f t="shared" si="1"/>
        <v>#DIV/0!</v>
      </c>
      <c r="S12" s="236" t="e">
        <f>Q12-Paramétrage!$D$29</f>
        <v>#DIV/0!</v>
      </c>
      <c r="T12" s="241" t="e">
        <f>IF(Q12&lt;Paramétrage!$D$29, Q12, Paramétrage!$D$29)</f>
        <v>#DIV/0!</v>
      </c>
      <c r="U12" s="247" t="e">
        <f>Paramétrage!$H$19+S12*(365/12)</f>
        <v>#DIV/0!</v>
      </c>
      <c r="V12" s="248" t="e">
        <f>IF(Q12&lt;Paramétrage!$D$29, Paramétrage!$H$19+T12*(365/12), Paramétrage!$H$19+Q12*(365/12))</f>
        <v>#DIV/0!</v>
      </c>
      <c r="X12" s="231" t="str">
        <f>IF(ISERROR(Q12),"", IF(Q12=0, "", IF(Q12&gt;'Calculs Péremption FA'!$CB8, 'Calculs Péremption FA'!$CB8, Q12)))</f>
        <v/>
      </c>
      <c r="Y12" s="582" t="str">
        <f t="shared" si="2"/>
        <v/>
      </c>
      <c r="Z12" s="236" t="str">
        <f>IF(ISERROR(Q12),"", IF(Q12=0, "", IF(Q12&gt;'Calculs Péremption FA'!$CB8, 'Calculs Péremption FA'!$CB8-Paramétrage!$D$29, S12)))</f>
        <v/>
      </c>
      <c r="AA12" s="425" t="str">
        <f>IF(ISERROR(Q12),"", IF(Q12=0, "", IF(Q12&gt;'Calculs Péremption FA'!$CB8, Paramétrage!$D$29, T12)))</f>
        <v/>
      </c>
      <c r="AB12" s="247" t="str">
        <f>IF(ISERROR(Q12),"", IF(Q12=0, "", IF(Q12&gt;'Calculs Péremption FA'!$CB8, 'Calculs Péremption FA'!$BX8-Paramétrage!$D$29*(365/12), U12)))</f>
        <v/>
      </c>
      <c r="AC12" s="248" t="str">
        <f>IF(ISERROR(Q12), AW12, IF(Q12=0, IF(AND(M12=0, OR(N12&gt;0, O12&gt;0)), AX12, ""), IF(Q12&gt;'Calculs Péremption FA'!$CB8, IF(Q12&lt;'Saisie données stocks'!$N$14, CONCATENATE('TRAD-Calculs dispo Données FA'!$B$88, " - ", 'Calculs Péremption FA'!$BY8, "/", 'Calculs Péremption FA'!$BZ8, "/", 'Calculs Péremption FA'!$CA8), 'Calculs Péremption FA'!CC8), V12)))</f>
        <v>1032B &amp; conso =0</v>
      </c>
      <c r="AE12" s="231" t="e">
        <f>(Calculs!M263/Calculs!O154)</f>
        <v>#DIV/0!</v>
      </c>
      <c r="AF12" s="231" t="e">
        <f t="shared" si="3"/>
        <v>#DIV/0!</v>
      </c>
      <c r="AG12" s="236" t="e">
        <f>AE12-Paramétrage!$D$29</f>
        <v>#DIV/0!</v>
      </c>
      <c r="AH12" s="241" t="e">
        <f>IF(AE12&lt;Paramétrage!$D$29, AE12, Paramétrage!$D$29)</f>
        <v>#DIV/0!</v>
      </c>
      <c r="AI12" s="247" t="e">
        <f>Paramétrage!$H$19+AG12*(365/12)</f>
        <v>#DIV/0!</v>
      </c>
      <c r="AJ12" s="248" t="e">
        <f>IF(AE12&lt;Paramétrage!$D$29, Paramétrage!$H$19+AH12*(365/12), Paramétrage!$H$19+AE12*(365/12))</f>
        <v>#DIV/0!</v>
      </c>
      <c r="AL12" s="231" t="str">
        <f>IF(ISERROR(AE12),"", IF(AE12=0, "", IF(AE12&gt;'Calculs Péremption FA'!$CB8, 'Calculs Péremption FA'!$CB8, AE12)))</f>
        <v/>
      </c>
      <c r="AM12" s="582" t="str">
        <f t="shared" si="4"/>
        <v/>
      </c>
      <c r="AN12" s="236" t="str">
        <f>IF(ISERROR(AE12),"", IF(AE12=0, "", IF(AE12&gt;'Calculs Péremption FA'!$CB8, 'Calculs Péremption FA'!$CB8-Paramétrage!$D$29, AG12)))</f>
        <v/>
      </c>
      <c r="AO12" s="425" t="str">
        <f>IF(ISERROR(AE12),"", IF(AE12=0, "", IF(AE12&gt;'Calculs Péremption FA'!$CB8, Paramétrage!$D$29, AH12)))</f>
        <v/>
      </c>
      <c r="AP12" s="247" t="str">
        <f>IF(ISERROR(AE12),"", IF(AE12=0, "", IF(AE12&gt;'Calculs Péremption FA'!$CB8, 'Calculs Péremption FA'!$BX8-Paramétrage!$D$29*(365/12), AI12)))</f>
        <v/>
      </c>
      <c r="AQ12" s="248" t="str">
        <f>IF(ISERROR(AE12),"", IF(AE12=0, "", IF(AE12&gt;'Calculs Péremption FA'!$CB8, CONCATENATE('TRAD-Calculs dispo Données FA'!$B$88, " - ", 'Calculs Péremption FA'!$BY8, "/", 'Calculs Péremption FA'!$BZ8, "/", 'Calculs Péremption FA'!$CA8), AJ12)))</f>
        <v/>
      </c>
      <c r="AS12" s="2061">
        <f>Calculs!$M263</f>
        <v>1032</v>
      </c>
      <c r="AT12" s="2062">
        <f>Calculs!$O154</f>
        <v>0</v>
      </c>
      <c r="AU12" s="2068">
        <f>Calculs!$N208</f>
        <v>0</v>
      </c>
      <c r="AV12" s="2070" t="str">
        <f>IF(AND(AU12=0, AS12=0, AT12=0), 'TRAD-Calculs dispo Données FA'!$B$82, "")</f>
        <v/>
      </c>
      <c r="AW12" s="2062" t="str">
        <f>IF(AND(AU12=0, AS12&gt;0, AT12=0), CONCATENATE(AS12, 'TRAD-Calculs dispo Données FA'!$B$80," =0"), "")</f>
        <v>1032B &amp; conso =0</v>
      </c>
      <c r="AX12" s="2063" t="str">
        <f>IF(AND(AS12=0, OR(AT12&gt;=1, AU12&gt;=1)), 'TRAD-Calculs dispo Données FA'!$B$81, "")</f>
        <v/>
      </c>
    </row>
    <row r="13" spans="1:52" s="358" customFormat="1" ht="25.5" x14ac:dyDescent="0.2">
      <c r="C13" s="374"/>
      <c r="D13" s="375"/>
      <c r="E13" s="376" t="str">
        <f>'Saisie données stocks'!F21</f>
        <v>AZT+3TC+ABC</v>
      </c>
      <c r="F13" s="377" t="str">
        <f>'Saisie données stocks'!G21</f>
        <v>Cp</v>
      </c>
      <c r="G13" s="377" t="str">
        <f>'Saisie données stocks'!H21</f>
        <v>300/150/300 mg</v>
      </c>
      <c r="H13" s="378" t="str">
        <f>CONCATENATE(E13, " - ", G13, " - ", 'TRAD-Calculs dispo Données FA'!$B$79,"/", K13)</f>
        <v>AZT+3TC+ABC - 300/150/300 mg - B/60</v>
      </c>
      <c r="I13" s="380">
        <f>Calculs!K104</f>
        <v>2</v>
      </c>
      <c r="J13" s="380">
        <f t="shared" si="5"/>
        <v>60</v>
      </c>
      <c r="K13" s="114">
        <f>Calculs!J104</f>
        <v>60</v>
      </c>
      <c r="L13" s="381">
        <f t="shared" si="0"/>
        <v>1</v>
      </c>
      <c r="M13" s="1820">
        <f>IF('Saisie données stocks'!$O$10='TRAD-Saisie données stocks'!$B$51, 'Calculs Péremption FA'!BU9, Calculs!M264)</f>
        <v>0</v>
      </c>
      <c r="N13" s="1820">
        <f>Calculs!O155</f>
        <v>0</v>
      </c>
      <c r="O13" s="1820">
        <f>Calculs!N209</f>
        <v>0</v>
      </c>
      <c r="P13"/>
      <c r="Q13" s="231" t="e">
        <f t="shared" si="6"/>
        <v>#DIV/0!</v>
      </c>
      <c r="R13" s="231" t="e">
        <f t="shared" si="1"/>
        <v>#DIV/0!</v>
      </c>
      <c r="S13" s="236" t="e">
        <f>Q13-Paramétrage!$D$29</f>
        <v>#DIV/0!</v>
      </c>
      <c r="T13" s="241" t="e">
        <f>IF(Q13&lt;Paramétrage!$D$29, Q13, Paramétrage!$D$29)</f>
        <v>#DIV/0!</v>
      </c>
      <c r="U13" s="247" t="e">
        <f>Paramétrage!$H$19+S13*(365/12)</f>
        <v>#DIV/0!</v>
      </c>
      <c r="V13" s="248" t="e">
        <f>IF(Q13&lt;Paramétrage!$D$29, Paramétrage!$H$19+T13*(365/12), Paramétrage!$H$19+Q13*(365/12))</f>
        <v>#DIV/0!</v>
      </c>
      <c r="X13" s="231" t="str">
        <f>IF(ISERROR(Q13),"", IF(Q13=0, "", IF(Q13&gt;'Calculs Péremption FA'!$CB9, 'Calculs Péremption FA'!$CB9, Q13)))</f>
        <v/>
      </c>
      <c r="Y13" s="582" t="str">
        <f t="shared" si="2"/>
        <v/>
      </c>
      <c r="Z13" s="236" t="str">
        <f>IF(ISERROR(Q13),"", IF(Q13=0, "", IF(Q13&gt;'Calculs Péremption FA'!$CB9, 'Calculs Péremption FA'!$CB9-Paramétrage!$D$29, S13)))</f>
        <v/>
      </c>
      <c r="AA13" s="425" t="str">
        <f>IF(ISERROR(Q13),"", IF(Q13=0, "", IF(Q13&gt;'Calculs Péremption FA'!$CB9, Paramétrage!$D$29, T13)))</f>
        <v/>
      </c>
      <c r="AB13" s="247" t="str">
        <f>IF(ISERROR(Q13),"", IF(Q13=0, "", IF(Q13&gt;'Calculs Péremption FA'!$CB9, 'Calculs Péremption FA'!$BX9-Paramétrage!$D$29*(365/12), U13)))</f>
        <v/>
      </c>
      <c r="AC13" s="248" t="str">
        <f>IF(ISERROR(Q13), AW13, IF(Q13=0, IF(AND(M13=0, OR(N13&gt;0, O13&gt;0)), AX13, ""), IF(Q13&gt;'Calculs Péremption FA'!$CB9, IF(Q13&lt;'Saisie données stocks'!$N$14, CONCATENATE('TRAD-Calculs dispo Données FA'!$B$88, " - ", 'Calculs Péremption FA'!$BY9, "/", 'Calculs Péremption FA'!$BZ9, "/", 'Calculs Péremption FA'!$CA9), 'Calculs Péremption FA'!CC9), V13)))</f>
        <v>666B &amp; conso =0</v>
      </c>
      <c r="AE13" s="231" t="e">
        <f>(Calculs!M264/Calculs!O155)</f>
        <v>#DIV/0!</v>
      </c>
      <c r="AF13" s="231" t="e">
        <f t="shared" si="3"/>
        <v>#DIV/0!</v>
      </c>
      <c r="AG13" s="236" t="e">
        <f>AE13-Paramétrage!$D$29</f>
        <v>#DIV/0!</v>
      </c>
      <c r="AH13" s="241" t="e">
        <f>IF(AE13&lt;Paramétrage!$D$29, AE13, Paramétrage!$D$29)</f>
        <v>#DIV/0!</v>
      </c>
      <c r="AI13" s="247" t="e">
        <f>Paramétrage!$H$19+AG13*(365/12)</f>
        <v>#DIV/0!</v>
      </c>
      <c r="AJ13" s="248" t="e">
        <f>IF(AE13&lt;Paramétrage!$D$29, Paramétrage!$H$19+AH13*(365/12), Paramétrage!$H$19+AE13*(365/12))</f>
        <v>#DIV/0!</v>
      </c>
      <c r="AL13" s="231" t="str">
        <f>IF(ISERROR(AE13),"", IF(AE13=0, "", IF(AE13&gt;'Calculs Péremption FA'!$CB9, 'Calculs Péremption FA'!$CB9, AE13)))</f>
        <v/>
      </c>
      <c r="AM13" s="582" t="str">
        <f t="shared" si="4"/>
        <v/>
      </c>
      <c r="AN13" s="236" t="str">
        <f>IF(ISERROR(AE13),"", IF(AE13=0, "", IF(AE13&gt;'Calculs Péremption FA'!$CB9, 'Calculs Péremption FA'!$CB9-Paramétrage!$D$29, AG13)))</f>
        <v/>
      </c>
      <c r="AO13" s="425" t="str">
        <f>IF(ISERROR(AE13),"", IF(AE13=0, "", IF(AE13&gt;'Calculs Péremption FA'!$CB9, Paramétrage!$D$29, AH13)))</f>
        <v/>
      </c>
      <c r="AP13" s="247" t="str">
        <f>IF(ISERROR(AE13),"", IF(AE13=0, "", IF(AE13&gt;'Calculs Péremption FA'!$CB9, 'Calculs Péremption FA'!$BX9-Paramétrage!$D$29*(365/12), AI13)))</f>
        <v/>
      </c>
      <c r="AQ13" s="248" t="str">
        <f>IF(ISERROR(AE13),"", IF(AE13=0, "", IF(AE13&gt;'Calculs Péremption FA'!$CB9, CONCATENATE('TRAD-Calculs dispo Données FA'!$B$88, " - ", 'Calculs Péremption FA'!$BY9, "/", 'Calculs Péremption FA'!$BZ9, "/", 'Calculs Péremption FA'!$CA9), AJ13)))</f>
        <v/>
      </c>
      <c r="AS13" s="2061">
        <f>Calculs!$M264</f>
        <v>666</v>
      </c>
      <c r="AT13" s="2062">
        <f>Calculs!$O155</f>
        <v>0</v>
      </c>
      <c r="AU13" s="2068">
        <f>Calculs!$N209</f>
        <v>0</v>
      </c>
      <c r="AV13" s="2070" t="str">
        <f>IF(AND(AU13=0, AS13=0, AT13=0), 'TRAD-Calculs dispo Données FA'!$B$82, "")</f>
        <v/>
      </c>
      <c r="AW13" s="2062" t="str">
        <f>IF(AND(AU13=0, AS13&gt;0, AT13=0), CONCATENATE(AS13, 'TRAD-Calculs dispo Données FA'!$B$80," =0"), "")</f>
        <v>666B &amp; conso =0</v>
      </c>
      <c r="AX13" s="2063" t="str">
        <f>IF(AND(AS13=0, OR(AT13&gt;=1, AU13&gt;=1)), 'TRAD-Calculs dispo Données FA'!$B$81, "")</f>
        <v/>
      </c>
    </row>
    <row r="14" spans="1:52" s="358" customFormat="1" ht="25.5" x14ac:dyDescent="0.2">
      <c r="C14" s="374"/>
      <c r="D14" s="375"/>
      <c r="E14" s="376" t="str">
        <f>'Saisie données stocks'!F22</f>
        <v>AZT+3TC</v>
      </c>
      <c r="F14" s="377" t="str">
        <f>'Saisie données stocks'!G22</f>
        <v>Cp</v>
      </c>
      <c r="G14" s="377" t="str">
        <f>'Saisie données stocks'!H22</f>
        <v>300/150 mg</v>
      </c>
      <c r="H14" s="378" t="str">
        <f>CONCATENATE(E14, " - ", G14, " - ", 'TRAD-Calculs dispo Données FA'!$B$79,"/", K14)</f>
        <v>AZT+3TC - 300/150 mg - B/60</v>
      </c>
      <c r="I14" s="380">
        <f>Calculs!K105</f>
        <v>2</v>
      </c>
      <c r="J14" s="380">
        <f t="shared" si="5"/>
        <v>60</v>
      </c>
      <c r="K14" s="114">
        <f>Calculs!J105</f>
        <v>60</v>
      </c>
      <c r="L14" s="381">
        <f t="shared" si="0"/>
        <v>1</v>
      </c>
      <c r="M14" s="1820">
        <f>IF('Saisie données stocks'!$O$10='TRAD-Saisie données stocks'!$B$51, 'Calculs Péremption FA'!BU10, Calculs!M265)</f>
        <v>0</v>
      </c>
      <c r="N14" s="1820">
        <f>Calculs!O156</f>
        <v>0</v>
      </c>
      <c r="O14" s="1820">
        <f>Calculs!N210</f>
        <v>0</v>
      </c>
      <c r="P14"/>
      <c r="Q14" s="231" t="e">
        <f t="shared" si="6"/>
        <v>#DIV/0!</v>
      </c>
      <c r="R14" s="231" t="e">
        <f t="shared" si="1"/>
        <v>#DIV/0!</v>
      </c>
      <c r="S14" s="236" t="e">
        <f>Q14-Paramétrage!$D$29</f>
        <v>#DIV/0!</v>
      </c>
      <c r="T14" s="241" t="e">
        <f>IF(Q14&lt;Paramétrage!$D$29, Q14, Paramétrage!$D$29)</f>
        <v>#DIV/0!</v>
      </c>
      <c r="U14" s="247" t="e">
        <f>Paramétrage!$H$19+S14*(365/12)</f>
        <v>#DIV/0!</v>
      </c>
      <c r="V14" s="248" t="e">
        <f>IF(Q14&lt;Paramétrage!$D$29, Paramétrage!$H$19+T14*(365/12), Paramétrage!$H$19+Q14*(365/12))</f>
        <v>#DIV/0!</v>
      </c>
      <c r="X14" s="231" t="str">
        <f>IF(ISERROR(Q14),"", IF(Q14=0, "", IF(Q14&gt;'Calculs Péremption FA'!$CB10, 'Calculs Péremption FA'!$CB10, Q14)))</f>
        <v/>
      </c>
      <c r="Y14" s="582" t="str">
        <f t="shared" si="2"/>
        <v/>
      </c>
      <c r="Z14" s="236" t="str">
        <f>IF(ISERROR(Q14),"", IF(Q14=0, "", IF(Q14&gt;'Calculs Péremption FA'!$CB10, 'Calculs Péremption FA'!$CB10-Paramétrage!$D$29, S14)))</f>
        <v/>
      </c>
      <c r="AA14" s="425" t="str">
        <f>IF(ISERROR(Q14),"", IF(Q14=0, "", IF(Q14&gt;'Calculs Péremption FA'!$CB10, Paramétrage!$D$29, T14)))</f>
        <v/>
      </c>
      <c r="AB14" s="247" t="str">
        <f>IF(ISERROR(Q14),"", IF(Q14=0, "", IF(Q14&gt;'Calculs Péremption FA'!$CB10, 'Calculs Péremption FA'!$BX10-Paramétrage!$D$29*(365/12), U14)))</f>
        <v/>
      </c>
      <c r="AC14" s="248" t="str">
        <f>IF(ISERROR(Q14), AW14, IF(Q14=0, IF(AND(M14=0, OR(N14&gt;0, O14&gt;0)), AX14, ""), IF(Q14&gt;'Calculs Péremption FA'!$CB10, IF(Q14&lt;'Saisie données stocks'!$N$14, CONCATENATE('TRAD-Calculs dispo Données FA'!$B$88, " - ", 'Calculs Péremption FA'!$BY10, "/", 'Calculs Péremption FA'!$BZ10, "/", 'Calculs Péremption FA'!$CA10), 'Calculs Péremption FA'!CC10), V14)))</f>
        <v>11298B &amp; conso =0</v>
      </c>
      <c r="AE14" s="231" t="e">
        <f>(Calculs!M265/Calculs!O156)</f>
        <v>#DIV/0!</v>
      </c>
      <c r="AF14" s="231" t="e">
        <f t="shared" si="3"/>
        <v>#DIV/0!</v>
      </c>
      <c r="AG14" s="236" t="e">
        <f>AE14-Paramétrage!$D$29</f>
        <v>#DIV/0!</v>
      </c>
      <c r="AH14" s="241" t="e">
        <f>IF(AE14&lt;Paramétrage!$D$29, AE14, Paramétrage!$D$29)</f>
        <v>#DIV/0!</v>
      </c>
      <c r="AI14" s="247" t="e">
        <f>Paramétrage!$H$19+AG14*(365/12)</f>
        <v>#DIV/0!</v>
      </c>
      <c r="AJ14" s="248" t="e">
        <f>IF(AE14&lt;Paramétrage!$D$29, Paramétrage!$H$19+AH14*(365/12), Paramétrage!$H$19+AE14*(365/12))</f>
        <v>#DIV/0!</v>
      </c>
      <c r="AL14" s="231" t="str">
        <f>IF(ISERROR(AE14),"", IF(AE14=0, "", IF(AE14&gt;'Calculs Péremption FA'!$CB10, 'Calculs Péremption FA'!$CB10, AE14)))</f>
        <v/>
      </c>
      <c r="AM14" s="582" t="str">
        <f t="shared" si="4"/>
        <v/>
      </c>
      <c r="AN14" s="236" t="str">
        <f>IF(ISERROR(AE14),"", IF(AE14=0, "", IF(AE14&gt;'Calculs Péremption FA'!$CB10, 'Calculs Péremption FA'!$CB10-Paramétrage!$D$29, AG14)))</f>
        <v/>
      </c>
      <c r="AO14" s="425" t="str">
        <f>IF(ISERROR(AE14),"", IF(AE14=0, "", IF(AE14&gt;'Calculs Péremption FA'!$CB10, Paramétrage!$D$29, AH14)))</f>
        <v/>
      </c>
      <c r="AP14" s="247" t="str">
        <f>IF(ISERROR(AE14),"", IF(AE14=0, "", IF(AE14&gt;'Calculs Péremption FA'!$CB10, 'Calculs Péremption FA'!$BX10-Paramétrage!$D$29*(365/12), AI14)))</f>
        <v/>
      </c>
      <c r="AQ14" s="248" t="str">
        <f>IF(ISERROR(AE14),"", IF(AE14=0, "", IF(AE14&gt;'Calculs Péremption FA'!$CB10, CONCATENATE('TRAD-Calculs dispo Données FA'!$B$88, " - ", 'Calculs Péremption FA'!$BY10, "/", 'Calculs Péremption FA'!$BZ10, "/", 'Calculs Péremption FA'!$CA10), AJ14)))</f>
        <v/>
      </c>
      <c r="AS14" s="2061">
        <f>Calculs!$M265</f>
        <v>11298</v>
      </c>
      <c r="AT14" s="2062">
        <f>Calculs!$O156</f>
        <v>0</v>
      </c>
      <c r="AU14" s="2068">
        <f>Calculs!$N210</f>
        <v>0</v>
      </c>
      <c r="AV14" s="2070" t="str">
        <f>IF(AND(AU14=0, AS14=0, AT14=0), 'TRAD-Calculs dispo Données FA'!$B$82, "")</f>
        <v/>
      </c>
      <c r="AW14" s="2062" t="str">
        <f>IF(AND(AU14=0, AS14&gt;0, AT14=0), CONCATENATE(AS14, 'TRAD-Calculs dispo Données FA'!$B$80," =0"), "")</f>
        <v>11298B &amp; conso =0</v>
      </c>
      <c r="AX14" s="2063" t="str">
        <f>IF(AND(AS14=0, OR(AT14&gt;=1, AU14&gt;=1)), 'TRAD-Calculs dispo Données FA'!$B$81, "")</f>
        <v/>
      </c>
    </row>
    <row r="15" spans="1:52" s="358" customFormat="1" x14ac:dyDescent="0.2">
      <c r="C15" s="374"/>
      <c r="D15" s="375"/>
      <c r="E15" s="376" t="str">
        <f>'Saisie données stocks'!F23</f>
        <v>AZT+3TC</v>
      </c>
      <c r="F15" s="377" t="str">
        <f>'Saisie données stocks'!G23</f>
        <v>Cp</v>
      </c>
      <c r="G15" s="377" t="str">
        <f>'Saisie données stocks'!H23</f>
        <v>60/30 mg</v>
      </c>
      <c r="H15" s="378" t="str">
        <f>CONCATENATE(E15, " - ", G15, " - ", 'TRAD-Calculs dispo Données FA'!$B$79,"/", K15)</f>
        <v>AZT+3TC - 60/30 mg - B/60</v>
      </c>
      <c r="I15" s="380">
        <f>Calculs!K106</f>
        <v>2</v>
      </c>
      <c r="J15" s="380">
        <f t="shared" si="5"/>
        <v>60</v>
      </c>
      <c r="K15" s="114">
        <f>Calculs!J106</f>
        <v>60</v>
      </c>
      <c r="L15" s="381">
        <f t="shared" si="0"/>
        <v>1</v>
      </c>
      <c r="M15" s="1820">
        <f>IF('Saisie données stocks'!$O$10='TRAD-Saisie données stocks'!$B$51, 'Calculs Péremption FA'!BU11, Calculs!M266)</f>
        <v>0</v>
      </c>
      <c r="N15" s="1820">
        <f>Calculs!O157</f>
        <v>0</v>
      </c>
      <c r="O15" s="1820">
        <f>Calculs!N211</f>
        <v>0</v>
      </c>
      <c r="P15"/>
      <c r="Q15" s="231" t="e">
        <f t="shared" si="6"/>
        <v>#DIV/0!</v>
      </c>
      <c r="R15" s="231" t="e">
        <f t="shared" si="1"/>
        <v>#DIV/0!</v>
      </c>
      <c r="S15" s="236" t="e">
        <f>Q15-Paramétrage!$D$29</f>
        <v>#DIV/0!</v>
      </c>
      <c r="T15" s="241" t="e">
        <f>IF(Q15&lt;Paramétrage!$D$29, Q15, Paramétrage!$D$29)</f>
        <v>#DIV/0!</v>
      </c>
      <c r="U15" s="247" t="e">
        <f>Paramétrage!$H$19+S15*(365/12)</f>
        <v>#DIV/0!</v>
      </c>
      <c r="V15" s="248" t="e">
        <f>IF(Q15&lt;Paramétrage!$D$29, Paramétrage!$H$19+T15*(365/12), Paramétrage!$H$19+Q15*(365/12))</f>
        <v>#DIV/0!</v>
      </c>
      <c r="X15" s="231" t="str">
        <f>IF(ISERROR(Q15),"", IF(Q15=0, "", IF(Q15&gt;'Calculs Péremption FA'!$CB11, 'Calculs Péremption FA'!$CB11, Q15)))</f>
        <v/>
      </c>
      <c r="Y15" s="582" t="str">
        <f t="shared" si="2"/>
        <v/>
      </c>
      <c r="Z15" s="236" t="str">
        <f>IF(ISERROR(Q15),"", IF(Q15=0, "", IF(Q15&gt;'Calculs Péremption FA'!$CB11, 'Calculs Péremption FA'!$CB11-Paramétrage!$D$29, S15)))</f>
        <v/>
      </c>
      <c r="AA15" s="425" t="str">
        <f>IF(ISERROR(Q15),"", IF(Q15=0, "", IF(Q15&gt;'Calculs Péremption FA'!$CB11, Paramétrage!$D$29, T15)))</f>
        <v/>
      </c>
      <c r="AB15" s="247" t="str">
        <f>IF(ISERROR(Q15),"", IF(Q15=0, "", IF(Q15&gt;'Calculs Péremption FA'!$CB11, 'Calculs Péremption FA'!$BX11-Paramétrage!$D$29*(365/12), U15)))</f>
        <v/>
      </c>
      <c r="AC15" s="248" t="str">
        <f>IF(ISERROR(Q15), AW15, IF(Q15=0, IF(AND(M15=0, OR(N15&gt;0, O15&gt;0)), AX15, ""), IF(Q15&gt;'Calculs Péremption FA'!$CB11, IF(Q15&lt;'Saisie données stocks'!$N$14, CONCATENATE('TRAD-Calculs dispo Données FA'!$B$88, " - ", 'Calculs Péremption FA'!$BY11, "/", 'Calculs Péremption FA'!$BZ11, "/", 'Calculs Péremption FA'!$CA11), 'Calculs Péremption FA'!CC11), V15)))</f>
        <v>743B &amp; conso =0</v>
      </c>
      <c r="AE15" s="231" t="e">
        <f>(Calculs!M266/Calculs!O157)</f>
        <v>#DIV/0!</v>
      </c>
      <c r="AF15" s="231" t="e">
        <f t="shared" si="3"/>
        <v>#DIV/0!</v>
      </c>
      <c r="AG15" s="236" t="e">
        <f>AE15-Paramétrage!$D$29</f>
        <v>#DIV/0!</v>
      </c>
      <c r="AH15" s="241" t="e">
        <f>IF(AE15&lt;Paramétrage!$D$29, AE15, Paramétrage!$D$29)</f>
        <v>#DIV/0!</v>
      </c>
      <c r="AI15" s="247" t="e">
        <f>Paramétrage!$H$19+AG15*(365/12)</f>
        <v>#DIV/0!</v>
      </c>
      <c r="AJ15" s="248" t="e">
        <f>IF(AE15&lt;Paramétrage!$D$29, Paramétrage!$H$19+AH15*(365/12), Paramétrage!$H$19+AE15*(365/12))</f>
        <v>#DIV/0!</v>
      </c>
      <c r="AL15" s="231" t="str">
        <f>IF(ISERROR(AE15),"", IF(AE15=0, "", IF(AE15&gt;'Calculs Péremption FA'!$CB11, 'Calculs Péremption FA'!$CB11, AE15)))</f>
        <v/>
      </c>
      <c r="AM15" s="582" t="str">
        <f t="shared" si="4"/>
        <v/>
      </c>
      <c r="AN15" s="236" t="str">
        <f>IF(ISERROR(AE15),"", IF(AE15=0, "", IF(AE15&gt;'Calculs Péremption FA'!$CB11, 'Calculs Péremption FA'!$CB11-Paramétrage!$D$29, AG15)))</f>
        <v/>
      </c>
      <c r="AO15" s="425" t="str">
        <f>IF(ISERROR(AE15),"", IF(AE15=0, "", IF(AE15&gt;'Calculs Péremption FA'!$CB11, Paramétrage!$D$29, AH15)))</f>
        <v/>
      </c>
      <c r="AP15" s="247" t="str">
        <f>IF(ISERROR(AE15),"", IF(AE15=0, "", IF(AE15&gt;'Calculs Péremption FA'!$CB11, 'Calculs Péremption FA'!$BX11-Paramétrage!$D$29*(365/12), AI15)))</f>
        <v/>
      </c>
      <c r="AQ15" s="248" t="str">
        <f>IF(ISERROR(AE15),"", IF(AE15=0, "", IF(AE15&gt;'Calculs Péremption FA'!$CB11, CONCATENATE('TRAD-Calculs dispo Données FA'!$B$88, " - ", 'Calculs Péremption FA'!$BY11, "/", 'Calculs Péremption FA'!$BZ11, "/", 'Calculs Péremption FA'!$CA11), AJ15)))</f>
        <v/>
      </c>
      <c r="AS15" s="2061">
        <f>Calculs!$M266</f>
        <v>743</v>
      </c>
      <c r="AT15" s="2062">
        <f>Calculs!$O157</f>
        <v>0</v>
      </c>
      <c r="AU15" s="2068">
        <f>Calculs!$N211</f>
        <v>0</v>
      </c>
      <c r="AV15" s="2070" t="str">
        <f>IF(AND(AU15=0, AS15=0, AT15=0), 'TRAD-Calculs dispo Données FA'!$B$82, "")</f>
        <v/>
      </c>
      <c r="AW15" s="2062" t="str">
        <f>IF(AND(AU15=0, AS15&gt;0, AT15=0), CONCATENATE(AS15, 'TRAD-Calculs dispo Données FA'!$B$80," =0"), "")</f>
        <v>743B &amp; conso =0</v>
      </c>
      <c r="AX15" s="2063" t="str">
        <f>IF(AND(AS15=0, OR(AT15&gt;=1, AU15&gt;=1)), 'TRAD-Calculs dispo Données FA'!$B$81, "")</f>
        <v/>
      </c>
    </row>
    <row r="16" spans="1:52" s="358" customFormat="1" ht="25.5" x14ac:dyDescent="0.2">
      <c r="C16" s="374"/>
      <c r="D16" s="375"/>
      <c r="E16" s="376" t="str">
        <f>'Saisie données stocks'!F24</f>
        <v>3TC+ABC</v>
      </c>
      <c r="F16" s="377" t="str">
        <f>'Saisie données stocks'!G24</f>
        <v>Cp</v>
      </c>
      <c r="G16" s="377" t="str">
        <f>'Saisie données stocks'!H24</f>
        <v>300/600 mg</v>
      </c>
      <c r="H16" s="378" t="str">
        <f>CONCATENATE(E16, " - ", G16, " - ", 'TRAD-Calculs dispo Données FA'!$B$79,"/", K16)</f>
        <v>3TC+ABC - 300/600 mg - B/30</v>
      </c>
      <c r="I16" s="380">
        <f>Calculs!K107</f>
        <v>1</v>
      </c>
      <c r="J16" s="380">
        <f t="shared" ref="J16:J51" si="7">I16*30</f>
        <v>30</v>
      </c>
      <c r="K16" s="114">
        <f>Calculs!J107</f>
        <v>30</v>
      </c>
      <c r="L16" s="381">
        <f t="shared" si="0"/>
        <v>1</v>
      </c>
      <c r="M16" s="1820">
        <f>IF('Saisie données stocks'!$O$10='TRAD-Saisie données stocks'!$B$51, 'Calculs Péremption FA'!BU12, Calculs!M267)</f>
        <v>0</v>
      </c>
      <c r="N16" s="1820">
        <f>Calculs!O158</f>
        <v>0</v>
      </c>
      <c r="O16" s="1820">
        <f>Calculs!N212</f>
        <v>0</v>
      </c>
      <c r="P16"/>
      <c r="Q16" s="231" t="e">
        <f t="shared" si="6"/>
        <v>#DIV/0!</v>
      </c>
      <c r="R16" s="231" t="e">
        <f t="shared" si="1"/>
        <v>#DIV/0!</v>
      </c>
      <c r="S16" s="236" t="e">
        <f>Q16-Paramétrage!$D$29</f>
        <v>#DIV/0!</v>
      </c>
      <c r="T16" s="241" t="e">
        <f>IF(Q16&lt;Paramétrage!$D$29, Q16, Paramétrage!$D$29)</f>
        <v>#DIV/0!</v>
      </c>
      <c r="U16" s="247" t="e">
        <f>Paramétrage!$H$19+S16*(365/12)</f>
        <v>#DIV/0!</v>
      </c>
      <c r="V16" s="248" t="e">
        <f>IF(Q16&lt;Paramétrage!$D$29, Paramétrage!$H$19+T16*(365/12), Paramétrage!$H$19+Q16*(365/12))</f>
        <v>#DIV/0!</v>
      </c>
      <c r="X16" s="231" t="str">
        <f>IF(ISERROR(Q16),"", IF(Q16=0, "", IF(Q16&gt;'Calculs Péremption FA'!$CB12, 'Calculs Péremption FA'!$CB12, Q16)))</f>
        <v/>
      </c>
      <c r="Y16" s="582" t="str">
        <f t="shared" si="2"/>
        <v/>
      </c>
      <c r="Z16" s="236" t="str">
        <f>IF(ISERROR(Q16),"", IF(Q16=0, "", IF(Q16&gt;'Calculs Péremption FA'!$CB12, 'Calculs Péremption FA'!$CB12-Paramétrage!$D$29, S16)))</f>
        <v/>
      </c>
      <c r="AA16" s="425" t="str">
        <f>IF(ISERROR(Q16),"", IF(Q16=0, "", IF(Q16&gt;'Calculs Péremption FA'!$CB12, Paramétrage!$D$29, T16)))</f>
        <v/>
      </c>
      <c r="AB16" s="247" t="str">
        <f>IF(ISERROR(Q16),"", IF(Q16=0, "", IF(Q16&gt;'Calculs Péremption FA'!$CB12, 'Calculs Péremption FA'!$BX12-Paramétrage!$D$29*(365/12), U16)))</f>
        <v/>
      </c>
      <c r="AC16" s="248" t="str">
        <f>IF(ISERROR(Q16), AW16, IF(Q16=0, IF(AND(M16=0, OR(N16&gt;0, O16&gt;0)), AX16, ""), IF(Q16&gt;'Calculs Péremption FA'!$CB12, IF(Q16&lt;'Saisie données stocks'!$N$14, CONCATENATE('TRAD-Calculs dispo Données FA'!$B$88, " - ", 'Calculs Péremption FA'!$BY12, "/", 'Calculs Péremption FA'!$BZ12, "/", 'Calculs Péremption FA'!$CA12), 'Calculs Péremption FA'!CC12), V16)))</f>
        <v>147B &amp; conso =0</v>
      </c>
      <c r="AE16" s="231" t="e">
        <f>(Calculs!M267/Calculs!O158)</f>
        <v>#DIV/0!</v>
      </c>
      <c r="AF16" s="231" t="e">
        <f t="shared" si="3"/>
        <v>#DIV/0!</v>
      </c>
      <c r="AG16" s="236" t="e">
        <f>AE16-Paramétrage!$D$29</f>
        <v>#DIV/0!</v>
      </c>
      <c r="AH16" s="241" t="e">
        <f>IF(AE16&lt;Paramétrage!$D$29, AE16, Paramétrage!$D$29)</f>
        <v>#DIV/0!</v>
      </c>
      <c r="AI16" s="247" t="e">
        <f>Paramétrage!$H$19+AG16*(365/12)</f>
        <v>#DIV/0!</v>
      </c>
      <c r="AJ16" s="248" t="e">
        <f>IF(AE16&lt;Paramétrage!$D$29, Paramétrage!$H$19+AH16*(365/12), Paramétrage!$H$19+AE16*(365/12))</f>
        <v>#DIV/0!</v>
      </c>
      <c r="AL16" s="231" t="str">
        <f>IF(ISERROR(AE16),"", IF(AE16=0, "", IF(AE16&gt;'Calculs Péremption FA'!$CB12, 'Calculs Péremption FA'!$CB12, AE16)))</f>
        <v/>
      </c>
      <c r="AM16" s="582" t="str">
        <f t="shared" si="4"/>
        <v/>
      </c>
      <c r="AN16" s="236" t="str">
        <f>IF(ISERROR(AE16),"", IF(AE16=0, "", IF(AE16&gt;'Calculs Péremption FA'!$CB12, 'Calculs Péremption FA'!$CB12-Paramétrage!$D$29, AG16)))</f>
        <v/>
      </c>
      <c r="AO16" s="425" t="str">
        <f>IF(ISERROR(AE16),"", IF(AE16=0, "", IF(AE16&gt;'Calculs Péremption FA'!$CB12, Paramétrage!$D$29, AH16)))</f>
        <v/>
      </c>
      <c r="AP16" s="247" t="str">
        <f>IF(ISERROR(AE16),"", IF(AE16=0, "", IF(AE16&gt;'Calculs Péremption FA'!$CB12, 'Calculs Péremption FA'!$BX12-Paramétrage!$D$29*(365/12), AI16)))</f>
        <v/>
      </c>
      <c r="AQ16" s="248" t="str">
        <f>IF(ISERROR(AE16),"", IF(AE16=0, "", IF(AE16&gt;'Calculs Péremption FA'!$CB12, CONCATENATE('TRAD-Calculs dispo Données FA'!$B$88, " - ", 'Calculs Péremption FA'!$BY12, "/", 'Calculs Péremption FA'!$BZ12, "/", 'Calculs Péremption FA'!$CA12), AJ16)))</f>
        <v/>
      </c>
      <c r="AS16" s="2061">
        <f>Calculs!$M267</f>
        <v>147</v>
      </c>
      <c r="AT16" s="2062">
        <f>Calculs!$O158</f>
        <v>0</v>
      </c>
      <c r="AU16" s="2068">
        <f>Calculs!$N212</f>
        <v>0</v>
      </c>
      <c r="AV16" s="2070" t="str">
        <f>IF(AND(AU16=0, AS16=0, AT16=0), 'TRAD-Calculs dispo Données FA'!$B$82, "")</f>
        <v/>
      </c>
      <c r="AW16" s="2062" t="str">
        <f>IF(AND(AU16=0, AS16&gt;0, AT16=0), CONCATENATE(AS16, 'TRAD-Calculs dispo Données FA'!$B$80," =0"), "")</f>
        <v>147B &amp; conso =0</v>
      </c>
      <c r="AX16" s="2063" t="str">
        <f>IF(AND(AS16=0, OR(AT16&gt;=1, AU16&gt;=1)), 'TRAD-Calculs dispo Données FA'!$B$81, "")</f>
        <v/>
      </c>
    </row>
    <row r="17" spans="3:50" s="358" customFormat="1" x14ac:dyDescent="0.2">
      <c r="C17" s="374"/>
      <c r="D17" s="375"/>
      <c r="E17" s="376" t="str">
        <f>'Saisie données stocks'!F25</f>
        <v>3TC+ABC</v>
      </c>
      <c r="F17" s="377" t="str">
        <f>'Saisie données stocks'!G25</f>
        <v>Cp</v>
      </c>
      <c r="G17" s="377" t="str">
        <f>'Saisie données stocks'!H25</f>
        <v>30/60 mg</v>
      </c>
      <c r="H17" s="378" t="str">
        <f>CONCATENATE(E17, " - ", G17, " - ", 'TRAD-Calculs dispo Données FA'!$B$79,"/", K17)</f>
        <v>3TC+ABC - 30/60 mg - B/60</v>
      </c>
      <c r="I17" s="380">
        <f>Calculs!K108</f>
        <v>2</v>
      </c>
      <c r="J17" s="380">
        <f t="shared" si="7"/>
        <v>60</v>
      </c>
      <c r="K17" s="114">
        <f>Calculs!J108</f>
        <v>60</v>
      </c>
      <c r="L17" s="381">
        <f t="shared" si="0"/>
        <v>1</v>
      </c>
      <c r="M17" s="1820">
        <f>IF('Saisie données stocks'!$O$10='TRAD-Saisie données stocks'!$B$51, 'Calculs Péremption FA'!BU13, Calculs!M268)</f>
        <v>0</v>
      </c>
      <c r="N17" s="1820">
        <f>Calculs!O159</f>
        <v>0</v>
      </c>
      <c r="O17" s="1820">
        <f>Calculs!N213</f>
        <v>0</v>
      </c>
      <c r="P17"/>
      <c r="Q17" s="231" t="e">
        <f t="shared" si="6"/>
        <v>#DIV/0!</v>
      </c>
      <c r="R17" s="231" t="e">
        <f t="shared" si="1"/>
        <v>#DIV/0!</v>
      </c>
      <c r="S17" s="236" t="e">
        <f>Q17-Paramétrage!$D$29</f>
        <v>#DIV/0!</v>
      </c>
      <c r="T17" s="241" t="e">
        <f>IF(Q17&lt;Paramétrage!$D$29, Q17, Paramétrage!$D$29)</f>
        <v>#DIV/0!</v>
      </c>
      <c r="U17" s="247" t="e">
        <f>Paramétrage!$H$19+S17*(365/12)</f>
        <v>#DIV/0!</v>
      </c>
      <c r="V17" s="248" t="e">
        <f>IF(Q17&lt;Paramétrage!$D$29, Paramétrage!$H$19+T17*(365/12), Paramétrage!$H$19+Q17*(365/12))</f>
        <v>#DIV/0!</v>
      </c>
      <c r="X17" s="231" t="str">
        <f>IF(ISERROR(Q17),"", IF(Q17=0, "", IF(Q17&gt;'Calculs Péremption FA'!$CB13, 'Calculs Péremption FA'!$CB13, Q17)))</f>
        <v/>
      </c>
      <c r="Y17" s="582" t="str">
        <f t="shared" si="2"/>
        <v/>
      </c>
      <c r="Z17" s="236" t="str">
        <f>IF(ISERROR(Q17),"", IF(Q17=0, "", IF(Q17&gt;'Calculs Péremption FA'!$CB13, 'Calculs Péremption FA'!$CB13-Paramétrage!$D$29, S17)))</f>
        <v/>
      </c>
      <c r="AA17" s="425" t="str">
        <f>IF(ISERROR(Q17),"", IF(Q17=0, "", IF(Q17&gt;'Calculs Péremption FA'!$CB13, Paramétrage!$D$29, T17)))</f>
        <v/>
      </c>
      <c r="AB17" s="247" t="str">
        <f>IF(ISERROR(Q17),"", IF(Q17=0, "", IF(Q17&gt;'Calculs Péremption FA'!$CB13, 'Calculs Péremption FA'!$BX13-Paramétrage!$D$29*(365/12), U17)))</f>
        <v/>
      </c>
      <c r="AC17" s="248" t="str">
        <f>IF(ISERROR(Q17), AW17, IF(Q17=0, IF(AND(M17=0, OR(N17&gt;0, O17&gt;0)), AX17, ""), IF(Q17&gt;'Calculs Péremption FA'!$CB13, IF(Q17&lt;'Saisie données stocks'!$N$14, CONCATENATE('TRAD-Calculs dispo Données FA'!$B$88, " - ", 'Calculs Péremption FA'!$BY13, "/", 'Calculs Péremption FA'!$BZ13, "/", 'Calculs Péremption FA'!$CA13), 'Calculs Péremption FA'!CC13), V17)))</f>
        <v>231B &amp; conso =0</v>
      </c>
      <c r="AE17" s="231" t="e">
        <f>(Calculs!M268/Calculs!O159)</f>
        <v>#DIV/0!</v>
      </c>
      <c r="AF17" s="231" t="e">
        <f t="shared" si="3"/>
        <v>#DIV/0!</v>
      </c>
      <c r="AG17" s="236" t="e">
        <f>AE17-Paramétrage!$D$29</f>
        <v>#DIV/0!</v>
      </c>
      <c r="AH17" s="241" t="e">
        <f>IF(AE17&lt;Paramétrage!$D$29, AE17, Paramétrage!$D$29)</f>
        <v>#DIV/0!</v>
      </c>
      <c r="AI17" s="247" t="e">
        <f>Paramétrage!$H$19+AG17*(365/12)</f>
        <v>#DIV/0!</v>
      </c>
      <c r="AJ17" s="248" t="e">
        <f>IF(AE17&lt;Paramétrage!$D$29, Paramétrage!$H$19+AH17*(365/12), Paramétrage!$H$19+AE17*(365/12))</f>
        <v>#DIV/0!</v>
      </c>
      <c r="AL17" s="231" t="str">
        <f>IF(ISERROR(AE17),"", IF(AE17=0, "", IF(AE17&gt;'Calculs Péremption FA'!$CB13, 'Calculs Péremption FA'!$CB13, AE17)))</f>
        <v/>
      </c>
      <c r="AM17" s="582" t="str">
        <f t="shared" si="4"/>
        <v/>
      </c>
      <c r="AN17" s="236" t="str">
        <f>IF(ISERROR(AE17),"", IF(AE17=0, "", IF(AE17&gt;'Calculs Péremption FA'!$CB13, 'Calculs Péremption FA'!$CB13-Paramétrage!$D$29, AG17)))</f>
        <v/>
      </c>
      <c r="AO17" s="425" t="str">
        <f>IF(ISERROR(AE17),"", IF(AE17=0, "", IF(AE17&gt;'Calculs Péremption FA'!$CB13, Paramétrage!$D$29, AH17)))</f>
        <v/>
      </c>
      <c r="AP17" s="247" t="str">
        <f>IF(ISERROR(AE17),"", IF(AE17=0, "", IF(AE17&gt;'Calculs Péremption FA'!$CB13, 'Calculs Péremption FA'!$BX13-Paramétrage!$D$29*(365/12), AI17)))</f>
        <v/>
      </c>
      <c r="AQ17" s="248" t="str">
        <f>IF(ISERROR(AE17),"", IF(AE17=0, "", IF(AE17&gt;'Calculs Péremption FA'!$CB13, CONCATENATE('TRAD-Calculs dispo Données FA'!$B$88, " - ", 'Calculs Péremption FA'!$BY13, "/", 'Calculs Péremption FA'!$BZ13, "/", 'Calculs Péremption FA'!$CA13), AJ17)))</f>
        <v/>
      </c>
      <c r="AS17" s="2061">
        <f>Calculs!$M268</f>
        <v>231</v>
      </c>
      <c r="AT17" s="2062">
        <f>Calculs!$O159</f>
        <v>0</v>
      </c>
      <c r="AU17" s="2068">
        <f>Calculs!$N213</f>
        <v>0</v>
      </c>
      <c r="AV17" s="2070" t="str">
        <f>IF(AND(AU17=0, AS17=0, AT17=0), 'TRAD-Calculs dispo Données FA'!$B$82, "")</f>
        <v/>
      </c>
      <c r="AW17" s="2062" t="str">
        <f>IF(AND(AU17=0, AS17&gt;0, AT17=0), CONCATENATE(AS17, 'TRAD-Calculs dispo Données FA'!$B$80," =0"), "")</f>
        <v>231B &amp; conso =0</v>
      </c>
      <c r="AX17" s="2063" t="str">
        <f>IF(AND(AS17=0, OR(AT17&gt;=1, AU17&gt;=1)), 'TRAD-Calculs dispo Données FA'!$B$81, "")</f>
        <v/>
      </c>
    </row>
    <row r="18" spans="3:50" s="358" customFormat="1" ht="25.5" x14ac:dyDescent="0.2">
      <c r="C18" s="374"/>
      <c r="D18" s="375"/>
      <c r="E18" s="382" t="str">
        <f>'Saisie données stocks'!F26</f>
        <v>D4T+3TC+NVP</v>
      </c>
      <c r="F18" s="383" t="str">
        <f>'Saisie données stocks'!G26</f>
        <v>Cp</v>
      </c>
      <c r="G18" s="383" t="str">
        <f>'Saisie données stocks'!H26</f>
        <v>30/150/200 mg</v>
      </c>
      <c r="H18" s="384" t="str">
        <f>CONCATENATE(E18, " - ", G18, " - ", 'TRAD-Calculs dispo Données FA'!$B$79,"/", K18)</f>
        <v>D4T+3TC+NVP - 30/150/200 mg - B/60</v>
      </c>
      <c r="I18" s="386">
        <f>Calculs!K109</f>
        <v>2</v>
      </c>
      <c r="J18" s="386">
        <f t="shared" si="7"/>
        <v>60</v>
      </c>
      <c r="K18" s="115">
        <f>Calculs!J109</f>
        <v>60</v>
      </c>
      <c r="L18" s="387">
        <f t="shared" si="0"/>
        <v>1</v>
      </c>
      <c r="M18" s="1821">
        <f>IF('Saisie données stocks'!$O$10='TRAD-Saisie données stocks'!$B$51, 'Calculs Péremption FA'!BU14, Calculs!M269)</f>
        <v>0</v>
      </c>
      <c r="N18" s="1870">
        <f>Calculs!O160</f>
        <v>0</v>
      </c>
      <c r="O18" s="1870">
        <f>Calculs!N214</f>
        <v>0</v>
      </c>
      <c r="P18"/>
      <c r="Q18" s="232" t="e">
        <f t="shared" si="6"/>
        <v>#DIV/0!</v>
      </c>
      <c r="R18" s="232" t="e">
        <f t="shared" si="1"/>
        <v>#DIV/0!</v>
      </c>
      <c r="S18" s="236" t="e">
        <f>Q18-Paramétrage!$D$29</f>
        <v>#DIV/0!</v>
      </c>
      <c r="T18" s="242" t="e">
        <f>IF(Q18&lt;Paramétrage!$D$29, Q18, Paramétrage!$D$29)</f>
        <v>#DIV/0!</v>
      </c>
      <c r="U18" s="249" t="e">
        <f>Paramétrage!$H$19+S18*(365/12)</f>
        <v>#DIV/0!</v>
      </c>
      <c r="V18" s="250" t="e">
        <f>IF(Q18&lt;Paramétrage!$D$29, Paramétrage!$H$19+T18*(365/12), Paramétrage!$H$19+Q18*(365/12))</f>
        <v>#DIV/0!</v>
      </c>
      <c r="X18" s="232" t="str">
        <f>IF(ISERROR(Q18),"", IF(Q18=0, "", IF(Q18&gt;'Calculs Péremption FA'!$CB14, 'Calculs Péremption FA'!$CB14, Q18)))</f>
        <v/>
      </c>
      <c r="Y18" s="583" t="str">
        <f t="shared" si="2"/>
        <v/>
      </c>
      <c r="Z18" s="237" t="str">
        <f>IF(ISERROR(Q18),"", IF(Q18=0, "", IF(Q18&gt;'Calculs Péremption FA'!$CB14, 'Calculs Péremption FA'!$CB14-Paramétrage!$D$29, S18)))</f>
        <v/>
      </c>
      <c r="AA18" s="426" t="str">
        <f>IF(ISERROR(Q18),"", IF(Q18=0, "", IF(Q18&gt;'Calculs Péremption FA'!$CB14, Paramétrage!$D$29, T18)))</f>
        <v/>
      </c>
      <c r="AB18" s="249" t="str">
        <f>IF(ISERROR(Q18),"", IF(Q18=0, "", IF(Q18&gt;'Calculs Péremption FA'!$CB14, 'Calculs Péremption FA'!$BX14-Paramétrage!$D$29*(365/12), U18)))</f>
        <v/>
      </c>
      <c r="AC18" s="250" t="str">
        <f>IF(ISERROR(Q18), AW18, IF(Q18=0, IF(AND(M18=0, OR(N18&gt;0, O18&gt;0)), AX18, ""), IF(Q18&gt;'Calculs Péremption FA'!$CB14, IF(Q18&lt;'Saisie données stocks'!$N$14, CONCATENATE('TRAD-Calculs dispo Données FA'!$B$88, " - ", 'Calculs Péremption FA'!$BY14, "/", 'Calculs Péremption FA'!$BZ14, "/", 'Calculs Péremption FA'!$CA14), 'Calculs Péremption FA'!CC14), V18)))</f>
        <v/>
      </c>
      <c r="AE18" s="232" t="e">
        <f>(Calculs!M269/Calculs!O160)</f>
        <v>#DIV/0!</v>
      </c>
      <c r="AF18" s="232" t="e">
        <f t="shared" si="3"/>
        <v>#DIV/0!</v>
      </c>
      <c r="AG18" s="236" t="e">
        <f>AE18-Paramétrage!$D$29</f>
        <v>#DIV/0!</v>
      </c>
      <c r="AH18" s="242" t="e">
        <f>IF(AE18&lt;Paramétrage!$D$29, AE18, Paramétrage!$D$29)</f>
        <v>#DIV/0!</v>
      </c>
      <c r="AI18" s="249" t="e">
        <f>Paramétrage!$H$19+AG18*(365/12)</f>
        <v>#DIV/0!</v>
      </c>
      <c r="AJ18" s="250" t="e">
        <f>IF(AE18&lt;Paramétrage!$D$29, Paramétrage!$H$19+AH18*(365/12), Paramétrage!$H$19+AE18*(365/12))</f>
        <v>#DIV/0!</v>
      </c>
      <c r="AL18" s="232" t="str">
        <f>IF(ISERROR(AE18),"", IF(AE18=0, "", IF(AE18&gt;'Calculs Péremption FA'!$CB14, 'Calculs Péremption FA'!$CB14, AE18)))</f>
        <v/>
      </c>
      <c r="AM18" s="583" t="str">
        <f t="shared" si="4"/>
        <v/>
      </c>
      <c r="AN18" s="237" t="str">
        <f>IF(ISERROR(AE18),"", IF(AE18=0, "", IF(AE18&gt;'Calculs Péremption FA'!$CB14, 'Calculs Péremption FA'!$CB14-Paramétrage!$D$29, AG18)))</f>
        <v/>
      </c>
      <c r="AO18" s="426" t="str">
        <f>IF(ISERROR(AE18),"", IF(AE18=0, "", IF(AE18&gt;'Calculs Péremption FA'!$CB14, Paramétrage!$D$29, AH18)))</f>
        <v/>
      </c>
      <c r="AP18" s="249" t="str">
        <f>IF(ISERROR(AE18),"", IF(AE18=0, "", IF(AE18&gt;'Calculs Péremption FA'!$CB14, 'Calculs Péremption FA'!$BX14-Paramétrage!$D$29*(365/12), AI18)))</f>
        <v/>
      </c>
      <c r="AQ18" s="250" t="str">
        <f>IF(ISERROR(AE18),"", IF(AE18=0, "", IF(AE18&gt;'Calculs Péremption FA'!$CB14, CONCATENATE('TRAD-Calculs dispo Données FA'!$B$88, " - ", 'Calculs Péremption FA'!$BY14, "/", 'Calculs Péremption FA'!$BZ14, "/", 'Calculs Péremption FA'!$CA14), AJ18)))</f>
        <v/>
      </c>
      <c r="AS18" s="2061">
        <f>Calculs!$M269</f>
        <v>0</v>
      </c>
      <c r="AT18" s="2062">
        <f>Calculs!$O160</f>
        <v>0</v>
      </c>
      <c r="AU18" s="2068">
        <f>Calculs!$N214</f>
        <v>0</v>
      </c>
      <c r="AV18" s="2070" t="str">
        <f>IF(AND(AU18=0, AS18=0, AT18=0), 'TRAD-Calculs dispo Données FA'!$B$82, "")</f>
        <v>Stock et besoin nul</v>
      </c>
      <c r="AW18" s="2062" t="str">
        <f>IF(AND(AU18=0, AS18&gt;0, AT18=0), CONCATENATE(AS18, 'TRAD-Calculs dispo Données FA'!$B$80," =0"), "")</f>
        <v/>
      </c>
      <c r="AX18" s="2063" t="str">
        <f>IF(AND(AS18=0, OR(AT18&gt;=1, AU18&gt;=1)), 'TRAD-Calculs dispo Données FA'!$B$81, "")</f>
        <v/>
      </c>
    </row>
    <row r="19" spans="3:50" s="358" customFormat="1" ht="25.5" x14ac:dyDescent="0.2">
      <c r="C19" s="374"/>
      <c r="D19" s="375"/>
      <c r="E19" s="382" t="str">
        <f>'Saisie données stocks'!F27</f>
        <v>D4T+3TC+NVP</v>
      </c>
      <c r="F19" s="383" t="str">
        <f>'Saisie données stocks'!G27</f>
        <v>Cp</v>
      </c>
      <c r="G19" s="383" t="str">
        <f>'Saisie données stocks'!H27</f>
        <v>6/30/50 mg</v>
      </c>
      <c r="H19" s="385" t="str">
        <f>CONCATENATE(E19, " - ", G19, " - ", 'TRAD-Calculs dispo Données FA'!$B$79,"/", K19)</f>
        <v>D4T+3TC+NVP - 6/30/50 mg - B/60</v>
      </c>
      <c r="I19" s="386">
        <f>Calculs!K110</f>
        <v>2</v>
      </c>
      <c r="J19" s="386">
        <f t="shared" si="7"/>
        <v>60</v>
      </c>
      <c r="K19" s="115">
        <f>Calculs!J110</f>
        <v>60</v>
      </c>
      <c r="L19" s="387">
        <f t="shared" si="0"/>
        <v>1</v>
      </c>
      <c r="M19" s="1821">
        <f>IF('Saisie données stocks'!$O$10='TRAD-Saisie données stocks'!$B$51, 'Calculs Péremption FA'!BU15, Calculs!M270)</f>
        <v>0</v>
      </c>
      <c r="N19" s="1870">
        <f>Calculs!O161</f>
        <v>0</v>
      </c>
      <c r="O19" s="1870">
        <f>Calculs!N215</f>
        <v>0</v>
      </c>
      <c r="P19"/>
      <c r="Q19" s="232" t="e">
        <f t="shared" si="6"/>
        <v>#DIV/0!</v>
      </c>
      <c r="R19" s="232" t="e">
        <f t="shared" si="1"/>
        <v>#DIV/0!</v>
      </c>
      <c r="S19" s="237" t="e">
        <f>Q19-Paramétrage!$D$29</f>
        <v>#DIV/0!</v>
      </c>
      <c r="T19" s="242" t="e">
        <f>IF(Q19&lt;Paramétrage!$D$29, Q19, Paramétrage!$D$29)</f>
        <v>#DIV/0!</v>
      </c>
      <c r="U19" s="249" t="e">
        <f>Paramétrage!$H$19+S19*(365/12)</f>
        <v>#DIV/0!</v>
      </c>
      <c r="V19" s="250" t="e">
        <f>IF(Q19&lt;Paramétrage!$D$29, Paramétrage!$H$19+T19*(365/12), Paramétrage!$H$19+Q19*(365/12))</f>
        <v>#DIV/0!</v>
      </c>
      <c r="X19" s="232" t="str">
        <f>IF(ISERROR(Q19),"", IF(Q19=0, "", IF(Q19&gt;'Calculs Péremption FA'!$CB15, 'Calculs Péremption FA'!$CB15, Q19)))</f>
        <v/>
      </c>
      <c r="Y19" s="583" t="str">
        <f t="shared" si="2"/>
        <v/>
      </c>
      <c r="Z19" s="237" t="str">
        <f>IF(ISERROR(Q19),"", IF(Q19=0, "", IF(Q19&gt;'Calculs Péremption FA'!$CB15, 'Calculs Péremption FA'!$CB15-Paramétrage!$D$29, S19)))</f>
        <v/>
      </c>
      <c r="AA19" s="426" t="str">
        <f>IF(ISERROR(Q19),"", IF(Q19=0, "", IF(Q19&gt;'Calculs Péremption FA'!$CB15, Paramétrage!$D$29, T19)))</f>
        <v/>
      </c>
      <c r="AB19" s="249" t="str">
        <f>IF(ISERROR(Q19),"", IF(Q19=0, "", IF(Q19&gt;'Calculs Péremption FA'!$CB15, 'Calculs Péremption FA'!$BX15-Paramétrage!$D$29*(365/12), U19)))</f>
        <v/>
      </c>
      <c r="AC19" s="250" t="str">
        <f>IF(ISERROR(Q19), AW19, IF(Q19=0, IF(AND(M19=0, OR(N19&gt;0, O19&gt;0)), AX19, ""), IF(Q19&gt;'Calculs Péremption FA'!$CB15, IF(Q19&lt;'Saisie données stocks'!$N$14, CONCATENATE('TRAD-Calculs dispo Données FA'!$B$88, " - ", 'Calculs Péremption FA'!$BY15, "/", 'Calculs Péremption FA'!$BZ15, "/", 'Calculs Péremption FA'!$CA15), 'Calculs Péremption FA'!CC15), V19)))</f>
        <v>91B &amp; conso =0</v>
      </c>
      <c r="AE19" s="232" t="e">
        <f>(Calculs!M270/Calculs!O161)</f>
        <v>#DIV/0!</v>
      </c>
      <c r="AF19" s="232" t="e">
        <f t="shared" si="3"/>
        <v>#DIV/0!</v>
      </c>
      <c r="AG19" s="237" t="e">
        <f>AE19-Paramétrage!$D$29</f>
        <v>#DIV/0!</v>
      </c>
      <c r="AH19" s="242" t="e">
        <f>IF(AE19&lt;Paramétrage!$D$29, AE19, Paramétrage!$D$29)</f>
        <v>#DIV/0!</v>
      </c>
      <c r="AI19" s="249" t="e">
        <f>Paramétrage!$H$19+AG19*(365/12)</f>
        <v>#DIV/0!</v>
      </c>
      <c r="AJ19" s="250" t="e">
        <f>IF(AE19&lt;Paramétrage!$D$29, Paramétrage!$H$19+AH19*(365/12), Paramétrage!$H$19+AE19*(365/12))</f>
        <v>#DIV/0!</v>
      </c>
      <c r="AL19" s="232" t="str">
        <f>IF(ISERROR(AE19),"", IF(AE19=0, "", IF(AE19&gt;'Calculs Péremption FA'!$CB15, 'Calculs Péremption FA'!$CB15, AE19)))</f>
        <v/>
      </c>
      <c r="AM19" s="583" t="str">
        <f t="shared" si="4"/>
        <v/>
      </c>
      <c r="AN19" s="237" t="str">
        <f>IF(ISERROR(AE19),"", IF(AE19=0, "", IF(AE19&gt;'Calculs Péremption FA'!$CB15, 'Calculs Péremption FA'!$CB15-Paramétrage!$D$29, AG19)))</f>
        <v/>
      </c>
      <c r="AO19" s="426" t="str">
        <f>IF(ISERROR(AE19),"", IF(AE19=0, "", IF(AE19&gt;'Calculs Péremption FA'!$CB15, Paramétrage!$D$29, AH19)))</f>
        <v/>
      </c>
      <c r="AP19" s="249" t="str">
        <f>IF(ISERROR(AE19),"", IF(AE19=0, "", IF(AE19&gt;'Calculs Péremption FA'!$CB15, 'Calculs Péremption FA'!$BX15-Paramétrage!$D$29*(365/12), AI19)))</f>
        <v/>
      </c>
      <c r="AQ19" s="250" t="str">
        <f>IF(ISERROR(AE19),"", IF(AE19=0, "", IF(AE19&gt;'Calculs Péremption FA'!$CB15, CONCATENATE('TRAD-Calculs dispo Données FA'!$B$88, " - ", 'Calculs Péremption FA'!$BY15, "/", 'Calculs Péremption FA'!$BZ15, "/", 'Calculs Péremption FA'!$CA15), AJ19)))</f>
        <v/>
      </c>
      <c r="AS19" s="2061">
        <f>Calculs!$M270</f>
        <v>91</v>
      </c>
      <c r="AT19" s="2062">
        <f>Calculs!$O161</f>
        <v>0</v>
      </c>
      <c r="AU19" s="2068">
        <f>Calculs!$N215</f>
        <v>0</v>
      </c>
      <c r="AV19" s="2070" t="str">
        <f>IF(AND(AU19=0, AS19=0, AT19=0), 'TRAD-Calculs dispo Données FA'!$B$82, "")</f>
        <v/>
      </c>
      <c r="AW19" s="2062" t="str">
        <f>IF(AND(AU19=0, AS19&gt;0, AT19=0), CONCATENATE(AS19, 'TRAD-Calculs dispo Données FA'!$B$80," =0"), "")</f>
        <v>91B &amp; conso =0</v>
      </c>
      <c r="AX19" s="2063" t="str">
        <f>IF(AND(AS19=0, OR(AT19&gt;=1, AU19&gt;=1)), 'TRAD-Calculs dispo Données FA'!$B$81, "")</f>
        <v/>
      </c>
    </row>
    <row r="20" spans="3:50" s="358" customFormat="1" x14ac:dyDescent="0.2">
      <c r="C20" s="374"/>
      <c r="D20" s="375"/>
      <c r="E20" s="382" t="str">
        <f>'Saisie données stocks'!F28</f>
        <v>D4T+3TC</v>
      </c>
      <c r="F20" s="383" t="str">
        <f>'Saisie données stocks'!G28</f>
        <v>Cp</v>
      </c>
      <c r="G20" s="383" t="str">
        <f>'Saisie données stocks'!H28</f>
        <v>30/150 mg</v>
      </c>
      <c r="H20" s="379" t="str">
        <f>CONCATENATE(E20, " - ", G20, " - ", 'TRAD-Calculs dispo Données FA'!$B$79,"/", K20)</f>
        <v>D4T+3TC - 30/150 mg - B/60</v>
      </c>
      <c r="I20" s="386">
        <f>Calculs!K111</f>
        <v>2</v>
      </c>
      <c r="J20" s="386">
        <f t="shared" si="7"/>
        <v>60</v>
      </c>
      <c r="K20" s="115">
        <f>Calculs!J111</f>
        <v>60</v>
      </c>
      <c r="L20" s="387">
        <f t="shared" si="0"/>
        <v>1</v>
      </c>
      <c r="M20" s="1821">
        <f>IF('Saisie données stocks'!$O$10='TRAD-Saisie données stocks'!$B$51, 'Calculs Péremption FA'!BU16, Calculs!M271)</f>
        <v>0</v>
      </c>
      <c r="N20" s="1870">
        <f>Calculs!O162</f>
        <v>0</v>
      </c>
      <c r="O20" s="1870">
        <f>Calculs!N216</f>
        <v>0</v>
      </c>
      <c r="P20"/>
      <c r="Q20" s="232" t="e">
        <f t="shared" si="6"/>
        <v>#DIV/0!</v>
      </c>
      <c r="R20" s="232" t="e">
        <f t="shared" si="1"/>
        <v>#DIV/0!</v>
      </c>
      <c r="S20" s="237" t="e">
        <f>Q20-Paramétrage!$D$29</f>
        <v>#DIV/0!</v>
      </c>
      <c r="T20" s="242" t="e">
        <f>IF(Q20&lt;Paramétrage!$D$29, Q20, Paramétrage!$D$29)</f>
        <v>#DIV/0!</v>
      </c>
      <c r="U20" s="249" t="e">
        <f>Paramétrage!$H$19+S20*(365/12)</f>
        <v>#DIV/0!</v>
      </c>
      <c r="V20" s="250" t="e">
        <f>IF(Q20&lt;Paramétrage!$D$29, Paramétrage!$H$19+T20*(365/12), Paramétrage!$H$19+Q20*(365/12))</f>
        <v>#DIV/0!</v>
      </c>
      <c r="X20" s="232" t="str">
        <f>IF(ISERROR(Q20),"", IF(Q20=0, "", IF(Q20&gt;'Calculs Péremption FA'!$CB16, 'Calculs Péremption FA'!$CB16, Q20)))</f>
        <v/>
      </c>
      <c r="Y20" s="583" t="str">
        <f t="shared" si="2"/>
        <v/>
      </c>
      <c r="Z20" s="237" t="str">
        <f>IF(ISERROR(Q20),"", IF(Q20=0, "", IF(Q20&gt;'Calculs Péremption FA'!$CB16, 'Calculs Péremption FA'!$CB16-Paramétrage!$D$29, S20)))</f>
        <v/>
      </c>
      <c r="AA20" s="426" t="str">
        <f>IF(ISERROR(Q20),"", IF(Q20=0, "", IF(Q20&gt;'Calculs Péremption FA'!$CB16, Paramétrage!$D$29, T20)))</f>
        <v/>
      </c>
      <c r="AB20" s="249" t="str">
        <f>IF(ISERROR(Q20),"", IF(Q20=0, "", IF(Q20&gt;'Calculs Péremption FA'!$CB16, 'Calculs Péremption FA'!$BX16-Paramétrage!$D$29*(365/12), U20)))</f>
        <v/>
      </c>
      <c r="AC20" s="250" t="str">
        <f>IF(ISERROR(Q20), AW20, IF(Q20=0, IF(AND(M20=0, OR(N20&gt;0, O20&gt;0)), AX20, ""), IF(Q20&gt;'Calculs Péremption FA'!$CB16, IF(Q20&lt;'Saisie données stocks'!$N$14, CONCATENATE('TRAD-Calculs dispo Données FA'!$B$88, " - ", 'Calculs Péremption FA'!$BY16, "/", 'Calculs Péremption FA'!$BZ16, "/", 'Calculs Péremption FA'!$CA16), 'Calculs Péremption FA'!CC16), V20)))</f>
        <v>2B &amp; conso =0</v>
      </c>
      <c r="AE20" s="232" t="e">
        <f>(Calculs!M271/Calculs!O162)</f>
        <v>#DIV/0!</v>
      </c>
      <c r="AF20" s="232" t="e">
        <f t="shared" si="3"/>
        <v>#DIV/0!</v>
      </c>
      <c r="AG20" s="237" t="e">
        <f>AE20-Paramétrage!$D$29</f>
        <v>#DIV/0!</v>
      </c>
      <c r="AH20" s="242" t="e">
        <f>IF(AE20&lt;Paramétrage!$D$29, AE20, Paramétrage!$D$29)</f>
        <v>#DIV/0!</v>
      </c>
      <c r="AI20" s="249" t="e">
        <f>Paramétrage!$H$19+AG20*(365/12)</f>
        <v>#DIV/0!</v>
      </c>
      <c r="AJ20" s="250" t="e">
        <f>IF(AE20&lt;Paramétrage!$D$29, Paramétrage!$H$19+AH20*(365/12), Paramétrage!$H$19+AE20*(365/12))</f>
        <v>#DIV/0!</v>
      </c>
      <c r="AL20" s="232" t="str">
        <f>IF(ISERROR(AE20),"", IF(AE20=0, "", IF(AE20&gt;'Calculs Péremption FA'!$CB16, 'Calculs Péremption FA'!$CB16, AE20)))</f>
        <v/>
      </c>
      <c r="AM20" s="583" t="str">
        <f t="shared" si="4"/>
        <v/>
      </c>
      <c r="AN20" s="237" t="str">
        <f>IF(ISERROR(AE20),"", IF(AE20=0, "", IF(AE20&gt;'Calculs Péremption FA'!$CB16, 'Calculs Péremption FA'!$CB16-Paramétrage!$D$29, AG20)))</f>
        <v/>
      </c>
      <c r="AO20" s="426" t="str">
        <f>IF(ISERROR(AE20),"", IF(AE20=0, "", IF(AE20&gt;'Calculs Péremption FA'!$CB16, Paramétrage!$D$29, AH20)))</f>
        <v/>
      </c>
      <c r="AP20" s="249" t="str">
        <f>IF(ISERROR(AE20),"", IF(AE20=0, "", IF(AE20&gt;'Calculs Péremption FA'!$CB16, 'Calculs Péremption FA'!$BX16-Paramétrage!$D$29*(365/12), AI20)))</f>
        <v/>
      </c>
      <c r="AQ20" s="250" t="str">
        <f>IF(ISERROR(AE20),"", IF(AE20=0, "", IF(AE20&gt;'Calculs Péremption FA'!$CB16, CONCATENATE('TRAD-Calculs dispo Données FA'!$B$88, " - ", 'Calculs Péremption FA'!$BY16, "/", 'Calculs Péremption FA'!$BZ16, "/", 'Calculs Péremption FA'!$CA16), AJ20)))</f>
        <v/>
      </c>
      <c r="AS20" s="2061">
        <f>Calculs!$M271</f>
        <v>2</v>
      </c>
      <c r="AT20" s="2062">
        <f>Calculs!$O162</f>
        <v>0</v>
      </c>
      <c r="AU20" s="2068">
        <f>Calculs!$N216</f>
        <v>0</v>
      </c>
      <c r="AV20" s="2070" t="str">
        <f>IF(AND(AU20=0, AS20=0, AT20=0), 'TRAD-Calculs dispo Données FA'!$B$82, "")</f>
        <v/>
      </c>
      <c r="AW20" s="2062" t="str">
        <f>IF(AND(AU20=0, AS20&gt;0, AT20=0), CONCATENATE(AS20, 'TRAD-Calculs dispo Données FA'!$B$80," =0"), "")</f>
        <v>2B &amp; conso =0</v>
      </c>
      <c r="AX20" s="2063" t="str">
        <f>IF(AND(AS20=0, OR(AT20&gt;=1, AU20&gt;=1)), 'TRAD-Calculs dispo Données FA'!$B$81, "")</f>
        <v/>
      </c>
    </row>
    <row r="21" spans="3:50" s="358" customFormat="1" ht="25.5" x14ac:dyDescent="0.2">
      <c r="C21" s="374"/>
      <c r="D21" s="375"/>
      <c r="E21" s="382" t="str">
        <f>'Saisie données stocks'!F29</f>
        <v>TDF+FTC+EFV</v>
      </c>
      <c r="F21" s="383" t="str">
        <f>'Saisie données stocks'!G29</f>
        <v>Cp</v>
      </c>
      <c r="G21" s="383" t="str">
        <f>'Saisie données stocks'!H29</f>
        <v>300/200/600 mg</v>
      </c>
      <c r="H21" s="379" t="str">
        <f>CONCATENATE(E21, " - ", G21, " - ", 'TRAD-Calculs dispo Données FA'!$B$79,"/", K21)</f>
        <v>TDF+FTC+EFV - 300/200/600 mg - B/30</v>
      </c>
      <c r="I21" s="386">
        <f>Calculs!K112</f>
        <v>1</v>
      </c>
      <c r="J21" s="386">
        <f t="shared" si="7"/>
        <v>30</v>
      </c>
      <c r="K21" s="115">
        <f>Calculs!J112</f>
        <v>30</v>
      </c>
      <c r="L21" s="387">
        <f t="shared" si="0"/>
        <v>1</v>
      </c>
      <c r="M21" s="1821">
        <f>IF('Saisie données stocks'!$O$10='TRAD-Saisie données stocks'!$B$51, 'Calculs Péremption FA'!BU17, Calculs!M272)</f>
        <v>0</v>
      </c>
      <c r="N21" s="1870">
        <f>Calculs!O163</f>
        <v>0</v>
      </c>
      <c r="O21" s="1870">
        <f>Calculs!N217</f>
        <v>0</v>
      </c>
      <c r="P21"/>
      <c r="Q21" s="232" t="e">
        <f t="shared" si="6"/>
        <v>#DIV/0!</v>
      </c>
      <c r="R21" s="232" t="e">
        <f t="shared" si="1"/>
        <v>#DIV/0!</v>
      </c>
      <c r="S21" s="237" t="e">
        <f>Q21-Paramétrage!$D$29</f>
        <v>#DIV/0!</v>
      </c>
      <c r="T21" s="242" t="e">
        <f>IF(Q21&lt;Paramétrage!$D$29, Q21, Paramétrage!$D$29)</f>
        <v>#DIV/0!</v>
      </c>
      <c r="U21" s="249" t="e">
        <f>Paramétrage!$H$19+S21*(365/12)</f>
        <v>#DIV/0!</v>
      </c>
      <c r="V21" s="250" t="e">
        <f>IF(Q21&lt;Paramétrage!$D$29, Paramétrage!$H$19+T21*(365/12), Paramétrage!$H$19+Q21*(365/12))</f>
        <v>#DIV/0!</v>
      </c>
      <c r="X21" s="232" t="str">
        <f>IF(ISERROR(Q21),"", IF(Q21=0, "", IF(Q21&gt;'Calculs Péremption FA'!$CB17, 'Calculs Péremption FA'!$CB17, Q21)))</f>
        <v/>
      </c>
      <c r="Y21" s="583" t="str">
        <f t="shared" si="2"/>
        <v/>
      </c>
      <c r="Z21" s="237" t="str">
        <f>IF(ISERROR(Q21),"", IF(Q21=0, "", IF(Q21&gt;'Calculs Péremption FA'!$CB17, 'Calculs Péremption FA'!$CB17-Paramétrage!$D$29, S21)))</f>
        <v/>
      </c>
      <c r="AA21" s="426" t="str">
        <f>IF(ISERROR(Q21),"", IF(Q21=0, "", IF(Q21&gt;'Calculs Péremption FA'!$CB17, Paramétrage!$D$29, T21)))</f>
        <v/>
      </c>
      <c r="AB21" s="249" t="str">
        <f>IF(ISERROR(Q21),"", IF(Q21=0, "", IF(Q21&gt;'Calculs Péremption FA'!$CB17, 'Calculs Péremption FA'!$BX17-Paramétrage!$D$29*(365/12), U21)))</f>
        <v/>
      </c>
      <c r="AC21" s="250" t="str">
        <f>IF(ISERROR(Q21), AW21, IF(Q21=0, IF(AND(M21=0, OR(N21&gt;0, O21&gt;0)), AX21, ""), IF(Q21&gt;'Calculs Péremption FA'!$CB17, IF(Q21&lt;'Saisie données stocks'!$N$14, CONCATENATE('TRAD-Calculs dispo Données FA'!$B$88, " - ", 'Calculs Péremption FA'!$BY17, "/", 'Calculs Péremption FA'!$BZ17, "/", 'Calculs Péremption FA'!$CA17), 'Calculs Péremption FA'!CC17), V21)))</f>
        <v/>
      </c>
      <c r="AE21" s="232" t="e">
        <f>(Calculs!M272/Calculs!O163)</f>
        <v>#DIV/0!</v>
      </c>
      <c r="AF21" s="232" t="e">
        <f t="shared" si="3"/>
        <v>#DIV/0!</v>
      </c>
      <c r="AG21" s="237" t="e">
        <f>AE21-Paramétrage!$D$29</f>
        <v>#DIV/0!</v>
      </c>
      <c r="AH21" s="242" t="e">
        <f>IF(AE21&lt;Paramétrage!$D$29, AE21, Paramétrage!$D$29)</f>
        <v>#DIV/0!</v>
      </c>
      <c r="AI21" s="249" t="e">
        <f>Paramétrage!$H$19+AG21*(365/12)</f>
        <v>#DIV/0!</v>
      </c>
      <c r="AJ21" s="250" t="e">
        <f>IF(AE21&lt;Paramétrage!$D$29, Paramétrage!$H$19+AH21*(365/12), Paramétrage!$H$19+AE21*(365/12))</f>
        <v>#DIV/0!</v>
      </c>
      <c r="AL21" s="232" t="str">
        <f>IF(ISERROR(AE21),"", IF(AE21=0, "", IF(AE21&gt;'Calculs Péremption FA'!$CB17, 'Calculs Péremption FA'!$CB17, AE21)))</f>
        <v/>
      </c>
      <c r="AM21" s="583" t="str">
        <f t="shared" si="4"/>
        <v/>
      </c>
      <c r="AN21" s="237" t="str">
        <f>IF(ISERROR(AE21),"", IF(AE21=0, "", IF(AE21&gt;'Calculs Péremption FA'!$CB17, 'Calculs Péremption FA'!$CB17-Paramétrage!$D$29, AG21)))</f>
        <v/>
      </c>
      <c r="AO21" s="426" t="str">
        <f>IF(ISERROR(AE21),"", IF(AE21=0, "", IF(AE21&gt;'Calculs Péremption FA'!$CB17, Paramétrage!$D$29, AH21)))</f>
        <v/>
      </c>
      <c r="AP21" s="249" t="str">
        <f>IF(ISERROR(AE21),"", IF(AE21=0, "", IF(AE21&gt;'Calculs Péremption FA'!$CB17, 'Calculs Péremption FA'!$BX17-Paramétrage!$D$29*(365/12), AI21)))</f>
        <v/>
      </c>
      <c r="AQ21" s="250" t="str">
        <f>IF(ISERROR(AE21),"", IF(AE21=0, "", IF(AE21&gt;'Calculs Péremption FA'!$CB17, CONCATENATE('TRAD-Calculs dispo Données FA'!$B$88, " - ", 'Calculs Péremption FA'!$BY17, "/", 'Calculs Péremption FA'!$BZ17, "/", 'Calculs Péremption FA'!$CA17), AJ21)))</f>
        <v/>
      </c>
      <c r="AS21" s="2061">
        <f>Calculs!$M272</f>
        <v>0</v>
      </c>
      <c r="AT21" s="2062">
        <f>Calculs!$O163</f>
        <v>0</v>
      </c>
      <c r="AU21" s="2068">
        <f>Calculs!$N217</f>
        <v>0</v>
      </c>
      <c r="AV21" s="2070" t="str">
        <f>IF(AND(AU21=0, AS21=0, AT21=0), 'TRAD-Calculs dispo Données FA'!$B$82, "")</f>
        <v>Stock et besoin nul</v>
      </c>
      <c r="AW21" s="2062" t="str">
        <f>IF(AND(AU21=0, AS21&gt;0, AT21=0), CONCATENATE(AS21, 'TRAD-Calculs dispo Données FA'!$B$80," =0"), "")</f>
        <v/>
      </c>
      <c r="AX21" s="2063" t="str">
        <f>IF(AND(AS21=0, OR(AT21&gt;=1, AU21&gt;=1)), 'TRAD-Calculs dispo Données FA'!$B$81, "")</f>
        <v/>
      </c>
    </row>
    <row r="22" spans="3:50" s="358" customFormat="1" ht="25.5" x14ac:dyDescent="0.2">
      <c r="C22" s="374"/>
      <c r="D22" s="375"/>
      <c r="E22" s="382" t="str">
        <f>'Saisie données stocks'!F30</f>
        <v>TDF+FTC</v>
      </c>
      <c r="F22" s="383" t="str">
        <f>'Saisie données stocks'!G30</f>
        <v>Cp</v>
      </c>
      <c r="G22" s="383" t="str">
        <f>'Saisie données stocks'!H30</f>
        <v>300/200 mg</v>
      </c>
      <c r="H22" s="379" t="str">
        <f>CONCATENATE(E22, " - ", G22, " - ", 'TRAD-Calculs dispo Données FA'!$B$79,"/", K22)</f>
        <v>TDF+FTC - 300/200 mg - B/30</v>
      </c>
      <c r="I22" s="386">
        <f>Calculs!K113</f>
        <v>1</v>
      </c>
      <c r="J22" s="386">
        <f t="shared" si="7"/>
        <v>30</v>
      </c>
      <c r="K22" s="115">
        <f>Calculs!J113</f>
        <v>30</v>
      </c>
      <c r="L22" s="387">
        <f t="shared" si="0"/>
        <v>1</v>
      </c>
      <c r="M22" s="1821">
        <f>IF('Saisie données stocks'!$O$10='TRAD-Saisie données stocks'!$B$51, 'Calculs Péremption FA'!BU18, Calculs!M273)</f>
        <v>0</v>
      </c>
      <c r="N22" s="1870">
        <f>Calculs!O164</f>
        <v>0</v>
      </c>
      <c r="O22" s="1870">
        <f>Calculs!N218</f>
        <v>0</v>
      </c>
      <c r="P22"/>
      <c r="Q22" s="232" t="e">
        <f t="shared" si="6"/>
        <v>#DIV/0!</v>
      </c>
      <c r="R22" s="232" t="e">
        <f t="shared" si="1"/>
        <v>#DIV/0!</v>
      </c>
      <c r="S22" s="237" t="e">
        <f>Q22-Paramétrage!$D$29</f>
        <v>#DIV/0!</v>
      </c>
      <c r="T22" s="242" t="e">
        <f>IF(Q22&lt;Paramétrage!$D$29, Q22, Paramétrage!$D$29)</f>
        <v>#DIV/0!</v>
      </c>
      <c r="U22" s="249" t="e">
        <f>Paramétrage!$H$19+S22*(365/12)</f>
        <v>#DIV/0!</v>
      </c>
      <c r="V22" s="250" t="e">
        <f>IF(Q22&lt;Paramétrage!$D$29, Paramétrage!$H$19+T22*(365/12), Paramétrage!$H$19+Q22*(365/12))</f>
        <v>#DIV/0!</v>
      </c>
      <c r="X22" s="232" t="str">
        <f>IF(ISERROR(Q22),"", IF(Q22=0, "", IF(Q22&gt;'Calculs Péremption FA'!$CB18, 'Calculs Péremption FA'!$CB18, Q22)))</f>
        <v/>
      </c>
      <c r="Y22" s="583" t="str">
        <f t="shared" si="2"/>
        <v/>
      </c>
      <c r="Z22" s="237" t="str">
        <f>IF(ISERROR(Q22),"", IF(Q22=0, "", IF(Q22&gt;'Calculs Péremption FA'!$CB18, 'Calculs Péremption FA'!$CB18-Paramétrage!$D$29, S22)))</f>
        <v/>
      </c>
      <c r="AA22" s="426" t="str">
        <f>IF(ISERROR(Q22),"", IF(Q22=0, "", IF(Q22&gt;'Calculs Péremption FA'!$CB18, Paramétrage!$D$29, T22)))</f>
        <v/>
      </c>
      <c r="AB22" s="249" t="str">
        <f>IF(ISERROR(Q22),"", IF(Q22=0, "", IF(Q22&gt;'Calculs Péremption FA'!$CB18, 'Calculs Péremption FA'!$BX18-Paramétrage!$D$29*(365/12), U22)))</f>
        <v/>
      </c>
      <c r="AC22" s="250" t="str">
        <f>IF(ISERROR(Q22), AW22, IF(Q22=0, IF(AND(M22=0, OR(N22&gt;0, O22&gt;0)), AX22, ""), IF(Q22&gt;'Calculs Péremption FA'!$CB18, IF(Q22&lt;'Saisie données stocks'!$N$14, CONCATENATE('TRAD-Calculs dispo Données FA'!$B$88, " - ", 'Calculs Péremption FA'!$BY18, "/", 'Calculs Péremption FA'!$BZ18, "/", 'Calculs Péremption FA'!$CA18), 'Calculs Péremption FA'!CC18), V22)))</f>
        <v/>
      </c>
      <c r="AE22" s="232" t="e">
        <f>(Calculs!M273/Calculs!O164)</f>
        <v>#DIV/0!</v>
      </c>
      <c r="AF22" s="232" t="e">
        <f t="shared" si="3"/>
        <v>#DIV/0!</v>
      </c>
      <c r="AG22" s="237" t="e">
        <f>AE22-Paramétrage!$D$29</f>
        <v>#DIV/0!</v>
      </c>
      <c r="AH22" s="242" t="e">
        <f>IF(AE22&lt;Paramétrage!$D$29, AE22, Paramétrage!$D$29)</f>
        <v>#DIV/0!</v>
      </c>
      <c r="AI22" s="249" t="e">
        <f>Paramétrage!$H$19+AG22*(365/12)</f>
        <v>#DIV/0!</v>
      </c>
      <c r="AJ22" s="250" t="e">
        <f>IF(AE22&lt;Paramétrage!$D$29, Paramétrage!$H$19+AH22*(365/12), Paramétrage!$H$19+AE22*(365/12))</f>
        <v>#DIV/0!</v>
      </c>
      <c r="AL22" s="232" t="str">
        <f>IF(ISERROR(AE22),"", IF(AE22=0, "", IF(AE22&gt;'Calculs Péremption FA'!$CB18, 'Calculs Péremption FA'!$CB18, AE22)))</f>
        <v/>
      </c>
      <c r="AM22" s="583" t="str">
        <f t="shared" si="4"/>
        <v/>
      </c>
      <c r="AN22" s="237" t="str">
        <f>IF(ISERROR(AE22),"", IF(AE22=0, "", IF(AE22&gt;'Calculs Péremption FA'!$CB18, 'Calculs Péremption FA'!$CB18-Paramétrage!$D$29, AG22)))</f>
        <v/>
      </c>
      <c r="AO22" s="426" t="str">
        <f>IF(ISERROR(AE22),"", IF(AE22=0, "", IF(AE22&gt;'Calculs Péremption FA'!$CB18, Paramétrage!$D$29, AH22)))</f>
        <v/>
      </c>
      <c r="AP22" s="249" t="str">
        <f>IF(ISERROR(AE22),"", IF(AE22=0, "", IF(AE22&gt;'Calculs Péremption FA'!$CB18, 'Calculs Péremption FA'!$BX18-Paramétrage!$D$29*(365/12), AI22)))</f>
        <v/>
      </c>
      <c r="AQ22" s="250" t="str">
        <f>IF(ISERROR(AE22),"", IF(AE22=0, "", IF(AE22&gt;'Calculs Péremption FA'!$CB18, CONCATENATE('TRAD-Calculs dispo Données FA'!$B$88, " - ", 'Calculs Péremption FA'!$BY18, "/", 'Calculs Péremption FA'!$BZ18, "/", 'Calculs Péremption FA'!$CA18), AJ22)))</f>
        <v/>
      </c>
      <c r="AS22" s="2061">
        <f>Calculs!$M273</f>
        <v>0</v>
      </c>
      <c r="AT22" s="2062">
        <f>Calculs!$O164</f>
        <v>0</v>
      </c>
      <c r="AU22" s="2068">
        <f>Calculs!$N218</f>
        <v>0</v>
      </c>
      <c r="AV22" s="2070" t="str">
        <f>IF(AND(AU22=0, AS22=0, AT22=0), 'TRAD-Calculs dispo Données FA'!$B$82, "")</f>
        <v>Stock et besoin nul</v>
      </c>
      <c r="AW22" s="2062" t="str">
        <f>IF(AND(AU22=0, AS22&gt;0, AT22=0), CONCATENATE(AS22, 'TRAD-Calculs dispo Données FA'!$B$80," =0"), "")</f>
        <v/>
      </c>
      <c r="AX22" s="2063" t="str">
        <f>IF(AND(AS22=0, OR(AT22&gt;=1, AU22&gt;=1)), 'TRAD-Calculs dispo Données FA'!$B$81, "")</f>
        <v/>
      </c>
    </row>
    <row r="23" spans="3:50" s="358" customFormat="1" ht="25.5" x14ac:dyDescent="0.2">
      <c r="C23" s="374"/>
      <c r="D23" s="375"/>
      <c r="E23" s="382" t="str">
        <f>'Saisie données stocks'!F31</f>
        <v>TDF+3TC+EFV</v>
      </c>
      <c r="F23" s="383" t="str">
        <f>'Saisie données stocks'!G31</f>
        <v>Cp</v>
      </c>
      <c r="G23" s="383" t="str">
        <f>'Saisie données stocks'!H31</f>
        <v>300/200/600 mg</v>
      </c>
      <c r="H23" s="385" t="str">
        <f>CONCATENATE(E23, " - ", G23, " - ", 'TRAD-Calculs dispo Données FA'!$B$79,"/", K23)</f>
        <v>TDF+3TC+EFV - 300/200/600 mg - B/30</v>
      </c>
      <c r="I23" s="386">
        <f>Calculs!K114</f>
        <v>1</v>
      </c>
      <c r="J23" s="386">
        <f t="shared" si="7"/>
        <v>30</v>
      </c>
      <c r="K23" s="115">
        <f>Calculs!J114</f>
        <v>30</v>
      </c>
      <c r="L23" s="387">
        <f t="shared" si="0"/>
        <v>1</v>
      </c>
      <c r="M23" s="1821">
        <f>IF('Saisie données stocks'!$O$10='TRAD-Saisie données stocks'!$B$51, 'Calculs Péremption FA'!BU19, Calculs!M274)</f>
        <v>0</v>
      </c>
      <c r="N23" s="1870">
        <f>Calculs!O165</f>
        <v>0</v>
      </c>
      <c r="O23" s="1870">
        <f>Calculs!N219</f>
        <v>0</v>
      </c>
      <c r="P23"/>
      <c r="Q23" s="232" t="e">
        <f t="shared" si="6"/>
        <v>#DIV/0!</v>
      </c>
      <c r="R23" s="232" t="e">
        <f t="shared" si="1"/>
        <v>#DIV/0!</v>
      </c>
      <c r="S23" s="237" t="e">
        <f>Q23-Paramétrage!$D$29</f>
        <v>#DIV/0!</v>
      </c>
      <c r="T23" s="242" t="e">
        <f>IF(Q23&lt;Paramétrage!$D$29, Q23, Paramétrage!$D$29)</f>
        <v>#DIV/0!</v>
      </c>
      <c r="U23" s="249" t="e">
        <f>Paramétrage!$H$19+S23*(365/12)</f>
        <v>#DIV/0!</v>
      </c>
      <c r="V23" s="250" t="e">
        <f>IF(Q23&lt;Paramétrage!$D$29, Paramétrage!$H$19+T23*(365/12), Paramétrage!$H$19+Q23*(365/12))</f>
        <v>#DIV/0!</v>
      </c>
      <c r="X23" s="232" t="str">
        <f>IF(ISERROR(Q23),"", IF(Q23=0, "", IF(Q23&gt;'Calculs Péremption FA'!$CB19, 'Calculs Péremption FA'!$CB19, Q23)))</f>
        <v/>
      </c>
      <c r="Y23" s="583" t="str">
        <f t="shared" si="2"/>
        <v/>
      </c>
      <c r="Z23" s="237" t="str">
        <f>IF(ISERROR(Q23),"", IF(Q23=0, "", IF(Q23&gt;'Calculs Péremption FA'!$CB19, 'Calculs Péremption FA'!$CB19-Paramétrage!$D$29, S23)))</f>
        <v/>
      </c>
      <c r="AA23" s="426" t="str">
        <f>IF(ISERROR(Q23),"", IF(Q23=0, "", IF(Q23&gt;'Calculs Péremption FA'!$CB19, Paramétrage!$D$29, T23)))</f>
        <v/>
      </c>
      <c r="AB23" s="249" t="str">
        <f>IF(ISERROR(Q23),"", IF(Q23=0, "", IF(Q23&gt;'Calculs Péremption FA'!$CB19, 'Calculs Péremption FA'!$BX19-Paramétrage!$D$29*(365/12), U23)))</f>
        <v/>
      </c>
      <c r="AC23" s="250" t="str">
        <f>IF(ISERROR(Q23), AW23, IF(Q23=0, IF(AND(M23=0, OR(N23&gt;0, O23&gt;0)), AX23, ""), IF(Q23&gt;'Calculs Péremption FA'!$CB19, IF(Q23&lt;'Saisie données stocks'!$N$14, CONCATENATE('TRAD-Calculs dispo Données FA'!$B$88, " - ", 'Calculs Péremption FA'!$BY19, "/", 'Calculs Péremption FA'!$BZ19, "/", 'Calculs Péremption FA'!$CA19), 'Calculs Péremption FA'!CC19), V23)))</f>
        <v>36034B &amp; conso =0</v>
      </c>
      <c r="AE23" s="232" t="e">
        <f>(Calculs!M274/Calculs!O165)</f>
        <v>#DIV/0!</v>
      </c>
      <c r="AF23" s="232" t="e">
        <f t="shared" si="3"/>
        <v>#DIV/0!</v>
      </c>
      <c r="AG23" s="237" t="e">
        <f>AE23-Paramétrage!$D$29</f>
        <v>#DIV/0!</v>
      </c>
      <c r="AH23" s="242" t="e">
        <f>IF(AE23&lt;Paramétrage!$D$29, AE23, Paramétrage!$D$29)</f>
        <v>#DIV/0!</v>
      </c>
      <c r="AI23" s="249" t="e">
        <f>Paramétrage!$H$19+AG23*(365/12)</f>
        <v>#DIV/0!</v>
      </c>
      <c r="AJ23" s="250" t="e">
        <f>IF(AE23&lt;Paramétrage!$D$29, Paramétrage!$H$19+AH23*(365/12), Paramétrage!$H$19+AE23*(365/12))</f>
        <v>#DIV/0!</v>
      </c>
      <c r="AL23" s="232" t="str">
        <f>IF(ISERROR(AE23),"", IF(AE23=0, "", IF(AE23&gt;'Calculs Péremption FA'!$CB19, 'Calculs Péremption FA'!$CB19, AE23)))</f>
        <v/>
      </c>
      <c r="AM23" s="583" t="str">
        <f t="shared" si="4"/>
        <v/>
      </c>
      <c r="AN23" s="237" t="str">
        <f>IF(ISERROR(AE23),"", IF(AE23=0, "", IF(AE23&gt;'Calculs Péremption FA'!$CB19, 'Calculs Péremption FA'!$CB19-Paramétrage!$D$29, AG23)))</f>
        <v/>
      </c>
      <c r="AO23" s="426" t="str">
        <f>IF(ISERROR(AE23),"", IF(AE23=0, "", IF(AE23&gt;'Calculs Péremption FA'!$CB19, Paramétrage!$D$29, AH23)))</f>
        <v/>
      </c>
      <c r="AP23" s="249" t="str">
        <f>IF(ISERROR(AE23),"", IF(AE23=0, "", IF(AE23&gt;'Calculs Péremption FA'!$CB19, 'Calculs Péremption FA'!$BX19-Paramétrage!$D$29*(365/12), AI23)))</f>
        <v/>
      </c>
      <c r="AQ23" s="250" t="str">
        <f>IF(ISERROR(AE23),"", IF(AE23=0, "", IF(AE23&gt;'Calculs Péremption FA'!$CB19, CONCATENATE('TRAD-Calculs dispo Données FA'!$B$88, " - ", 'Calculs Péremption FA'!$BY19, "/", 'Calculs Péremption FA'!$BZ19, "/", 'Calculs Péremption FA'!$CA19), AJ23)))</f>
        <v/>
      </c>
      <c r="AS23" s="2061">
        <f>Calculs!$M274</f>
        <v>36034</v>
      </c>
      <c r="AT23" s="2062">
        <f>Calculs!$O165</f>
        <v>0</v>
      </c>
      <c r="AU23" s="2068">
        <f>Calculs!$N219</f>
        <v>0</v>
      </c>
      <c r="AV23" s="2070" t="str">
        <f>IF(AND(AU23=0, AS23=0, AT23=0), 'TRAD-Calculs dispo Données FA'!$B$82, "")</f>
        <v/>
      </c>
      <c r="AW23" s="2062" t="str">
        <f>IF(AND(AU23=0, AS23&gt;0, AT23=0), CONCATENATE(AS23, 'TRAD-Calculs dispo Données FA'!$B$80," =0"), "")</f>
        <v>36034B &amp; conso =0</v>
      </c>
      <c r="AX23" s="2063" t="str">
        <f>IF(AND(AS23=0, OR(AT23&gt;=1, AU23&gt;=1)), 'TRAD-Calculs dispo Données FA'!$B$81, "")</f>
        <v/>
      </c>
    </row>
    <row r="24" spans="3:50" s="358" customFormat="1" ht="25.5" x14ac:dyDescent="0.2">
      <c r="C24" s="374"/>
      <c r="D24" s="375"/>
      <c r="E24" s="382" t="str">
        <f>'Saisie données stocks'!F32</f>
        <v>TDF+3TC</v>
      </c>
      <c r="F24" s="383" t="str">
        <f>'Saisie données stocks'!G32</f>
        <v>Cp</v>
      </c>
      <c r="G24" s="383" t="str">
        <f>'Saisie données stocks'!H32</f>
        <v>300/200 mg</v>
      </c>
      <c r="H24" s="385" t="str">
        <f>CONCATENATE(E24, " - ", G24, " - ", 'TRAD-Calculs dispo Données FA'!$B$79,"/", K24)</f>
        <v>TDF+3TC - 300/200 mg - B/30</v>
      </c>
      <c r="I24" s="386">
        <f>Calculs!K115</f>
        <v>1</v>
      </c>
      <c r="J24" s="386">
        <f t="shared" si="7"/>
        <v>30</v>
      </c>
      <c r="K24" s="115">
        <f>Calculs!J115</f>
        <v>30</v>
      </c>
      <c r="L24" s="387">
        <f t="shared" si="0"/>
        <v>1</v>
      </c>
      <c r="M24" s="1821">
        <f>IF('Saisie données stocks'!$O$10='TRAD-Saisie données stocks'!$B$51, 'Calculs Péremption FA'!BU20, Calculs!M275)</f>
        <v>0</v>
      </c>
      <c r="N24" s="1870">
        <f>Calculs!O166</f>
        <v>0</v>
      </c>
      <c r="O24" s="1870">
        <f>Calculs!N220</f>
        <v>0</v>
      </c>
      <c r="P24"/>
      <c r="Q24" s="232" t="e">
        <f t="shared" si="6"/>
        <v>#DIV/0!</v>
      </c>
      <c r="R24" s="232" t="e">
        <f t="shared" si="1"/>
        <v>#DIV/0!</v>
      </c>
      <c r="S24" s="237" t="e">
        <f>Q24-Paramétrage!$D$29</f>
        <v>#DIV/0!</v>
      </c>
      <c r="T24" s="242" t="e">
        <f>IF(Q24&lt;Paramétrage!$D$29, Q24, Paramétrage!$D$29)</f>
        <v>#DIV/0!</v>
      </c>
      <c r="U24" s="249" t="e">
        <f>Paramétrage!$H$19+S24*(365/12)</f>
        <v>#DIV/0!</v>
      </c>
      <c r="V24" s="250" t="e">
        <f>IF(Q24&lt;Paramétrage!$D$29, Paramétrage!$H$19+T24*(365/12), Paramétrage!$H$19+Q24*(365/12))</f>
        <v>#DIV/0!</v>
      </c>
      <c r="X24" s="232" t="str">
        <f>IF(ISERROR(Q24),"", IF(Q24=0, "", IF(Q24&gt;'Calculs Péremption FA'!$CB20, 'Calculs Péremption FA'!$CB20, Q24)))</f>
        <v/>
      </c>
      <c r="Y24" s="583" t="str">
        <f t="shared" si="2"/>
        <v/>
      </c>
      <c r="Z24" s="237" t="str">
        <f>IF(ISERROR(Q24),"", IF(Q24=0, "", IF(Q24&gt;'Calculs Péremption FA'!$CB20, 'Calculs Péremption FA'!$CB20-Paramétrage!$D$29, S24)))</f>
        <v/>
      </c>
      <c r="AA24" s="426" t="str">
        <f>IF(ISERROR(Q24),"", IF(Q24=0, "", IF(Q24&gt;'Calculs Péremption FA'!$CB20, Paramétrage!$D$29, T24)))</f>
        <v/>
      </c>
      <c r="AB24" s="249" t="str">
        <f>IF(ISERROR(Q24),"", IF(Q24=0, "", IF(Q24&gt;'Calculs Péremption FA'!$CB20, 'Calculs Péremption FA'!$BX20-Paramétrage!$D$29*(365/12), U24)))</f>
        <v/>
      </c>
      <c r="AC24" s="250" t="str">
        <f>IF(ISERROR(Q24), AW24, IF(Q24=0, IF(AND(M24=0, OR(N24&gt;0, O24&gt;0)), AX24, ""), IF(Q24&gt;'Calculs Péremption FA'!$CB20, IF(Q24&lt;'Saisie données stocks'!$N$14, CONCATENATE('TRAD-Calculs dispo Données FA'!$B$88, " - ", 'Calculs Péremption FA'!$BY20, "/", 'Calculs Péremption FA'!$BZ20, "/", 'Calculs Péremption FA'!$CA20), 'Calculs Péremption FA'!CC20), V24)))</f>
        <v>505B &amp; conso =0</v>
      </c>
      <c r="AE24" s="232" t="e">
        <f>(Calculs!M275/Calculs!O166)</f>
        <v>#DIV/0!</v>
      </c>
      <c r="AF24" s="232" t="e">
        <f t="shared" si="3"/>
        <v>#DIV/0!</v>
      </c>
      <c r="AG24" s="237" t="e">
        <f>AE24-Paramétrage!$D$29</f>
        <v>#DIV/0!</v>
      </c>
      <c r="AH24" s="242" t="e">
        <f>IF(AE24&lt;Paramétrage!$D$29, AE24, Paramétrage!$D$29)</f>
        <v>#DIV/0!</v>
      </c>
      <c r="AI24" s="249" t="e">
        <f>Paramétrage!$H$19+AG24*(365/12)</f>
        <v>#DIV/0!</v>
      </c>
      <c r="AJ24" s="250" t="e">
        <f>IF(AE24&lt;Paramétrage!$D$29, Paramétrage!$H$19+AH24*(365/12), Paramétrage!$H$19+AE24*(365/12))</f>
        <v>#DIV/0!</v>
      </c>
      <c r="AL24" s="232" t="str">
        <f>IF(ISERROR(AE24),"", IF(AE24=0, "", IF(AE24&gt;'Calculs Péremption FA'!$CB20, 'Calculs Péremption FA'!$CB20, AE24)))</f>
        <v/>
      </c>
      <c r="AM24" s="583" t="str">
        <f t="shared" si="4"/>
        <v/>
      </c>
      <c r="AN24" s="237" t="str">
        <f>IF(ISERROR(AE24),"", IF(AE24=0, "", IF(AE24&gt;'Calculs Péremption FA'!$CB20, 'Calculs Péremption FA'!$CB20-Paramétrage!$D$29, AG24)))</f>
        <v/>
      </c>
      <c r="AO24" s="426" t="str">
        <f>IF(ISERROR(AE24),"", IF(AE24=0, "", IF(AE24&gt;'Calculs Péremption FA'!$CB20, Paramétrage!$D$29, AH24)))</f>
        <v/>
      </c>
      <c r="AP24" s="249" t="str">
        <f>IF(ISERROR(AE24),"", IF(AE24=0, "", IF(AE24&gt;'Calculs Péremption FA'!$CB20, 'Calculs Péremption FA'!$BX20-Paramétrage!$D$29*(365/12), AI24)))</f>
        <v/>
      </c>
      <c r="AQ24" s="250" t="str">
        <f>IF(ISERROR(AE24),"", IF(AE24=0, "", IF(AE24&gt;'Calculs Péremption FA'!$CB20, CONCATENATE('TRAD-Calculs dispo Données FA'!$B$88, " - ", 'Calculs Péremption FA'!$BY20, "/", 'Calculs Péremption FA'!$BZ20, "/", 'Calculs Péremption FA'!$CA20), AJ24)))</f>
        <v/>
      </c>
      <c r="AS24" s="2061">
        <f>Calculs!$M275</f>
        <v>505</v>
      </c>
      <c r="AT24" s="2062">
        <f>Calculs!$O166</f>
        <v>0</v>
      </c>
      <c r="AU24" s="2068">
        <f>Calculs!$N220</f>
        <v>0</v>
      </c>
      <c r="AV24" s="2070" t="str">
        <f>IF(AND(AU24=0, AS24=0, AT24=0), 'TRAD-Calculs dispo Données FA'!$B$82, "")</f>
        <v/>
      </c>
      <c r="AW24" s="2062" t="str">
        <f>IF(AND(AU24=0, AS24&gt;0, AT24=0), CONCATENATE(AS24, 'TRAD-Calculs dispo Données FA'!$B$80," =0"), "")</f>
        <v>505B &amp; conso =0</v>
      </c>
      <c r="AX24" s="2063" t="str">
        <f>IF(AND(AS24=0, OR(AT24&gt;=1, AU24&gt;=1)), 'TRAD-Calculs dispo Données FA'!$B$81, "")</f>
        <v/>
      </c>
    </row>
    <row r="25" spans="3:50" s="358" customFormat="1" ht="38.25" x14ac:dyDescent="0.2">
      <c r="C25" s="388"/>
      <c r="D25" s="389"/>
      <c r="E25" s="390" t="str">
        <f>'Saisie données stocks'!F33</f>
        <v>[TDF+3TC]+ATV/r</v>
      </c>
      <c r="F25" s="391" t="str">
        <f>'Saisie données stocks'!G33</f>
        <v>Cp coblister</v>
      </c>
      <c r="G25" s="391" t="str">
        <f>'Saisie données stocks'!H33</f>
        <v>[300/300]+300/100 mg</v>
      </c>
      <c r="H25" s="393" t="str">
        <f>CONCATENATE(E25, " - ", G25, " - ", 'TRAD-Calculs dispo Données FA'!$B$79,"/", K25)</f>
        <v>[TDF+3TC]+ATV/r - [300/300]+300/100 mg - B/30</v>
      </c>
      <c r="I25" s="394">
        <f>Calculs!K116</f>
        <v>1</v>
      </c>
      <c r="J25" s="394">
        <f t="shared" si="7"/>
        <v>30</v>
      </c>
      <c r="K25" s="116">
        <f>Calculs!J116</f>
        <v>30</v>
      </c>
      <c r="L25" s="395">
        <f t="shared" si="0"/>
        <v>1</v>
      </c>
      <c r="M25" s="1822">
        <f>IF('Saisie données stocks'!$O$10='TRAD-Saisie données stocks'!$B$51, 'Calculs Péremption FA'!BU21, Calculs!M276)</f>
        <v>0</v>
      </c>
      <c r="N25" s="1822">
        <f>Calculs!O167</f>
        <v>0</v>
      </c>
      <c r="O25" s="1822">
        <f>Calculs!N221</f>
        <v>0</v>
      </c>
      <c r="P25"/>
      <c r="Q25" s="233" t="e">
        <f t="shared" si="6"/>
        <v>#DIV/0!</v>
      </c>
      <c r="R25" s="233" t="e">
        <f t="shared" si="1"/>
        <v>#DIV/0!</v>
      </c>
      <c r="S25" s="239" t="e">
        <f>Q25-Paramétrage!$D$29</f>
        <v>#DIV/0!</v>
      </c>
      <c r="T25" s="243" t="e">
        <f>IF(Q25&lt;Paramétrage!$D$29, Q25, Paramétrage!$D$29)</f>
        <v>#DIV/0!</v>
      </c>
      <c r="U25" s="251" t="e">
        <f>Paramétrage!$H$19+S25*(365/12)</f>
        <v>#DIV/0!</v>
      </c>
      <c r="V25" s="252" t="e">
        <f>IF(Q25&lt;Paramétrage!$D$29, Paramétrage!$H$19+T25*(365/12), Paramétrage!$H$19+Q25*(365/12))</f>
        <v>#DIV/0!</v>
      </c>
      <c r="X25" s="233" t="str">
        <f>IF(ISERROR(Q25),"", IF(Q25=0, "", IF(Q25&gt;'Calculs Péremption FA'!$CB21, 'Calculs Péremption FA'!$CB21, Q25)))</f>
        <v/>
      </c>
      <c r="Y25" s="575" t="str">
        <f t="shared" si="2"/>
        <v/>
      </c>
      <c r="Z25" s="238" t="str">
        <f>IF(ISERROR(Q25),"", IF(Q25=0, "", IF(Q25&gt;'Calculs Péremption FA'!$CB21, 'Calculs Péremption FA'!$CB21-Paramétrage!$D$29, S25)))</f>
        <v/>
      </c>
      <c r="AA25" s="427" t="str">
        <f>IF(ISERROR(Q25),"", IF(Q25=0, "", IF(Q25&gt;'Calculs Péremption FA'!$CB21, Paramétrage!$D$29, T25)))</f>
        <v/>
      </c>
      <c r="AB25" s="251" t="str">
        <f>IF(ISERROR(Q25),"", IF(Q25=0, "", IF(Q25&gt;'Calculs Péremption FA'!$CB21, 'Calculs Péremption FA'!$BX21-Paramétrage!$D$29*(365/12), U25)))</f>
        <v/>
      </c>
      <c r="AC25" s="252" t="str">
        <f>IF(ISERROR(Q25), AW25, IF(Q25=0, IF(AND(M25=0, OR(N25&gt;0, O25&gt;0)), AX25, ""), IF(Q25&gt;'Calculs Péremption FA'!$CB21, IF(Q25&lt;'Saisie données stocks'!$N$14, CONCATENATE('TRAD-Calculs dispo Données FA'!$B$88, " - ", 'Calculs Péremption FA'!$BY21, "/", 'Calculs Péremption FA'!$BZ21, "/", 'Calculs Péremption FA'!$CA21), 'Calculs Péremption FA'!CC21), V25)))</f>
        <v/>
      </c>
      <c r="AE25" s="233" t="e">
        <f>(Calculs!M276/Calculs!O167)</f>
        <v>#DIV/0!</v>
      </c>
      <c r="AF25" s="233" t="e">
        <f t="shared" si="3"/>
        <v>#DIV/0!</v>
      </c>
      <c r="AG25" s="237" t="e">
        <f>AE25-Paramétrage!$D$29</f>
        <v>#DIV/0!</v>
      </c>
      <c r="AH25" s="243" t="e">
        <f>IF(AE25&lt;Paramétrage!$D$29, AE25, Paramétrage!$D$29)</f>
        <v>#DIV/0!</v>
      </c>
      <c r="AI25" s="251" t="e">
        <f>Paramétrage!$H$19+AG25*(365/12)</f>
        <v>#DIV/0!</v>
      </c>
      <c r="AJ25" s="252" t="e">
        <f>IF(AE25&lt;Paramétrage!$D$29, Paramétrage!$H$19+AH25*(365/12), Paramétrage!$H$19+AE25*(365/12))</f>
        <v>#DIV/0!</v>
      </c>
      <c r="AL25" s="233" t="str">
        <f>IF(ISERROR(AE25),"", IF(AE25=0, "", IF(AE25&gt;'Calculs Péremption FA'!$CB21, 'Calculs Péremption FA'!$CB21, AE25)))</f>
        <v/>
      </c>
      <c r="AM25" s="575" t="str">
        <f t="shared" si="4"/>
        <v/>
      </c>
      <c r="AN25" s="238" t="str">
        <f>IF(ISERROR(AE25),"", IF(AE25=0, "", IF(AE25&gt;'Calculs Péremption FA'!$CB21, 'Calculs Péremption FA'!$CB21-Paramétrage!$D$29, AG25)))</f>
        <v/>
      </c>
      <c r="AO25" s="427" t="str">
        <f>IF(ISERROR(AE25),"", IF(AE25=0, "", IF(AE25&gt;'Calculs Péremption FA'!$CB21, Paramétrage!$D$29, AH25)))</f>
        <v/>
      </c>
      <c r="AP25" s="251" t="str">
        <f>IF(ISERROR(AE25),"", IF(AE25=0, "", IF(AE25&gt;'Calculs Péremption FA'!$CB21, 'Calculs Péremption FA'!$BX21-Paramétrage!$D$29*(365/12), AI25)))</f>
        <v/>
      </c>
      <c r="AQ25" s="252" t="str">
        <f>IF(ISERROR(AE25),"", IF(AE25=0, "", IF(AE25&gt;'Calculs Péremption FA'!$CB21, CONCATENATE('TRAD-Calculs dispo Données FA'!$B$88, " - ", 'Calculs Péremption FA'!$BY21, "/", 'Calculs Péremption FA'!$BZ21, "/", 'Calculs Péremption FA'!$CA21), AJ25)))</f>
        <v/>
      </c>
      <c r="AS25" s="2061">
        <f>Calculs!$M276</f>
        <v>0</v>
      </c>
      <c r="AT25" s="2062">
        <f>Calculs!$O167</f>
        <v>0</v>
      </c>
      <c r="AU25" s="2068">
        <f>Calculs!$N221</f>
        <v>0</v>
      </c>
      <c r="AV25" s="2070" t="str">
        <f>IF(AND(AU25=0, AS25=0, AT25=0), 'TRAD-Calculs dispo Données FA'!$B$82, "")</f>
        <v>Stock et besoin nul</v>
      </c>
      <c r="AW25" s="2062" t="str">
        <f>IF(AND(AU25=0, AS25&gt;0, AT25=0), CONCATENATE(AS25, 'TRAD-Calculs dispo Données FA'!$B$80," =0"), "")</f>
        <v/>
      </c>
      <c r="AX25" s="2063" t="str">
        <f>IF(AND(AS25=0, OR(AT25&gt;=1, AU25&gt;=1)), 'TRAD-Calculs dispo Données FA'!$B$81, "")</f>
        <v/>
      </c>
    </row>
    <row r="26" spans="3:50" s="358" customFormat="1" ht="25.5" x14ac:dyDescent="0.2">
      <c r="C26" s="374"/>
      <c r="D26" s="375" t="s">
        <v>26</v>
      </c>
      <c r="E26" s="376" t="str">
        <f>'Saisie données stocks'!F34</f>
        <v>EFV</v>
      </c>
      <c r="F26" s="377" t="str">
        <f>'Saisie données stocks'!G34</f>
        <v>Gél</v>
      </c>
      <c r="G26" s="377" t="str">
        <f>'Saisie données stocks'!H34</f>
        <v>50 mg</v>
      </c>
      <c r="H26" s="379" t="str">
        <f>CONCATENATE(E26, " - ", G26, " - ", 'TRAD-Calculs dispo Données FA'!$B$79,"/", K26)</f>
        <v>EFV - 50 mg - B/30</v>
      </c>
      <c r="I26" s="380">
        <f>Calculs!K117</f>
        <v>0</v>
      </c>
      <c r="J26" s="380">
        <f t="shared" si="7"/>
        <v>0</v>
      </c>
      <c r="K26" s="114">
        <f>Calculs!J117</f>
        <v>30</v>
      </c>
      <c r="L26" s="381">
        <f t="shared" si="0"/>
        <v>0</v>
      </c>
      <c r="M26" s="1820">
        <f>IF('Saisie données stocks'!$O$10='TRAD-Saisie données stocks'!$B$51, 'Calculs Péremption FA'!BU22, Calculs!M277)</f>
        <v>0</v>
      </c>
      <c r="N26" s="1820">
        <f>Calculs!O168</f>
        <v>0</v>
      </c>
      <c r="O26" s="1820">
        <f>Calculs!N222</f>
        <v>0</v>
      </c>
      <c r="P26"/>
      <c r="Q26" s="231" t="e">
        <f t="shared" si="6"/>
        <v>#DIV/0!</v>
      </c>
      <c r="R26" s="231" t="e">
        <f t="shared" si="1"/>
        <v>#DIV/0!</v>
      </c>
      <c r="S26" s="574" t="e">
        <f>Q26-Paramétrage!$D$29</f>
        <v>#DIV/0!</v>
      </c>
      <c r="T26" s="241" t="e">
        <f>IF(Q26&lt;Paramétrage!$D$29, Q26, Paramétrage!$D$29)</f>
        <v>#DIV/0!</v>
      </c>
      <c r="U26" s="247" t="e">
        <f>Paramétrage!$H$19+S26*(365/12)</f>
        <v>#DIV/0!</v>
      </c>
      <c r="V26" s="248" t="e">
        <f>IF(Q26&lt;Paramétrage!$D$29, Paramétrage!$H$19+T26*(365/12), Paramétrage!$H$19+Q26*(365/12))</f>
        <v>#DIV/0!</v>
      </c>
      <c r="X26" s="231" t="str">
        <f>IF(ISERROR(Q26),"", IF(Q26=0, "", IF(Q26&gt;'Calculs Péremption FA'!$CB22, 'Calculs Péremption FA'!$CB22, Q26)))</f>
        <v/>
      </c>
      <c r="Y26" s="582" t="str">
        <f t="shared" si="2"/>
        <v/>
      </c>
      <c r="Z26" s="236" t="str">
        <f>IF(ISERROR(Q26),"", IF(Q26=0, "", IF(Q26&gt;'Calculs Péremption FA'!$CB22, 'Calculs Péremption FA'!$CB22-Paramétrage!$D$29, S26)))</f>
        <v/>
      </c>
      <c r="AA26" s="425" t="str">
        <f>IF(ISERROR(Q26),"", IF(Q26=0, "", IF(Q26&gt;'Calculs Péremption FA'!$CB22, Paramétrage!$D$29, T26)))</f>
        <v/>
      </c>
      <c r="AB26" s="247" t="str">
        <f>IF(ISERROR(Q26),"", IF(Q26=0, "", IF(Q26&gt;'Calculs Péremption FA'!$CB22, 'Calculs Péremption FA'!$BX22-Paramétrage!$D$29*(365/12), U26)))</f>
        <v/>
      </c>
      <c r="AC26" s="248" t="str">
        <f>IF(ISERROR(Q26), AW26, IF(Q26=0, IF(AND(M26=0, OR(N26&gt;0, O26&gt;0)), AX26, ""), IF(Q26&gt;'Calculs Péremption FA'!$CB22, IF(Q26&lt;'Saisie données stocks'!$N$14, CONCATENATE('TRAD-Calculs dispo Données FA'!$B$88, " - ", 'Calculs Péremption FA'!$BY22, "/", 'Calculs Péremption FA'!$BZ22, "/", 'Calculs Péremption FA'!$CA22), 'Calculs Péremption FA'!CC22), V26)))</f>
        <v/>
      </c>
      <c r="AE26" s="231" t="e">
        <f>(Calculs!M277/Calculs!O168)</f>
        <v>#DIV/0!</v>
      </c>
      <c r="AF26" s="231" t="e">
        <f t="shared" si="3"/>
        <v>#DIV/0!</v>
      </c>
      <c r="AG26" s="237" t="e">
        <f>AE26-Paramétrage!$D$29</f>
        <v>#DIV/0!</v>
      </c>
      <c r="AH26" s="241" t="e">
        <f>IF(AE26&lt;Paramétrage!$D$29, AE26, Paramétrage!$D$29)</f>
        <v>#DIV/0!</v>
      </c>
      <c r="AI26" s="247" t="e">
        <f>Paramétrage!$H$19+AG26*(365/12)</f>
        <v>#DIV/0!</v>
      </c>
      <c r="AJ26" s="248" t="e">
        <f>IF(AE26&lt;Paramétrage!$D$29, Paramétrage!$H$19+AH26*(365/12), Paramétrage!$H$19+AE26*(365/12))</f>
        <v>#DIV/0!</v>
      </c>
      <c r="AL26" s="231" t="str">
        <f>IF(ISERROR(AE26),"", IF(AE26=0, "", IF(AE26&gt;'Calculs Péremption FA'!$CB22, 'Calculs Péremption FA'!$CB22, AE26)))</f>
        <v/>
      </c>
      <c r="AM26" s="582" t="str">
        <f t="shared" si="4"/>
        <v/>
      </c>
      <c r="AN26" s="236" t="str">
        <f>IF(ISERROR(AE26),"", IF(AE26=0, "", IF(AE26&gt;'Calculs Péremption FA'!$CB22, 'Calculs Péremption FA'!$CB22-Paramétrage!$D$29, AG26)))</f>
        <v/>
      </c>
      <c r="AO26" s="425" t="str">
        <f>IF(ISERROR(AE26),"", IF(AE26=0, "", IF(AE26&gt;'Calculs Péremption FA'!$CB22, Paramétrage!$D$29, AH26)))</f>
        <v/>
      </c>
      <c r="AP26" s="247" t="str">
        <f>IF(ISERROR(AE26),"", IF(AE26=0, "", IF(AE26&gt;'Calculs Péremption FA'!$CB22, 'Calculs Péremption FA'!$BX22-Paramétrage!$D$29*(365/12), AI26)))</f>
        <v/>
      </c>
      <c r="AQ26" s="248" t="str">
        <f>IF(ISERROR(AE26),"", IF(AE26=0, "", IF(AE26&gt;'Calculs Péremption FA'!$CB22, CONCATENATE('TRAD-Calculs dispo Données FA'!$B$88, " - ", 'Calculs Péremption FA'!$BY22, "/", 'Calculs Péremption FA'!$BZ22, "/", 'Calculs Péremption FA'!$CA22), AJ26)))</f>
        <v/>
      </c>
      <c r="AS26" s="2061">
        <f>Calculs!$M277</f>
        <v>0</v>
      </c>
      <c r="AT26" s="2062">
        <f>Calculs!$O168</f>
        <v>0</v>
      </c>
      <c r="AU26" s="2068">
        <f>Calculs!$N222</f>
        <v>0</v>
      </c>
      <c r="AV26" s="2070" t="str">
        <f>IF(AND(AU26=0, AS26=0, AT26=0), 'TRAD-Calculs dispo Données FA'!$B$82, "")</f>
        <v>Stock et besoin nul</v>
      </c>
      <c r="AW26" s="2062" t="str">
        <f>IF(AND(AU26=0, AS26&gt;0, AT26=0), CONCATENATE(AS26, 'TRAD-Calculs dispo Données FA'!$B$80," =0"), "")</f>
        <v/>
      </c>
      <c r="AX26" s="2063" t="str">
        <f>IF(AND(AS26=0, OR(AT26&gt;=1, AU26&gt;=1)), 'TRAD-Calculs dispo Données FA'!$B$81, "")</f>
        <v/>
      </c>
    </row>
    <row r="27" spans="3:50" s="358" customFormat="1" x14ac:dyDescent="0.2">
      <c r="C27" s="374"/>
      <c r="D27" s="375"/>
      <c r="E27" s="382" t="str">
        <f>'Saisie données stocks'!F35</f>
        <v>EFV</v>
      </c>
      <c r="F27" s="383" t="str">
        <f>'Saisie données stocks'!G35</f>
        <v>Gél</v>
      </c>
      <c r="G27" s="383" t="str">
        <f>'Saisie données stocks'!H35</f>
        <v>200 mg</v>
      </c>
      <c r="H27" s="379" t="str">
        <f>CONCATENATE(E27, " - ", G27, " - ", 'TRAD-Calculs dispo Données FA'!$B$79,"/", K27)</f>
        <v>EFV - 200 mg - B/90</v>
      </c>
      <c r="I27" s="386">
        <f>Calculs!K118</f>
        <v>0</v>
      </c>
      <c r="J27" s="386">
        <f t="shared" si="7"/>
        <v>0</v>
      </c>
      <c r="K27" s="115">
        <f>Calculs!J118</f>
        <v>90</v>
      </c>
      <c r="L27" s="387">
        <f t="shared" si="0"/>
        <v>0</v>
      </c>
      <c r="M27" s="1821">
        <f>IF('Saisie données stocks'!$O$10='TRAD-Saisie données stocks'!$B$51, 'Calculs Péremption FA'!BU23, Calculs!M278)</f>
        <v>0</v>
      </c>
      <c r="N27" s="1870">
        <f>Calculs!O169</f>
        <v>0</v>
      </c>
      <c r="O27" s="1870">
        <f>Calculs!N223</f>
        <v>0</v>
      </c>
      <c r="P27"/>
      <c r="Q27" s="232" t="e">
        <f t="shared" si="6"/>
        <v>#DIV/0!</v>
      </c>
      <c r="R27" s="232" t="e">
        <f t="shared" si="1"/>
        <v>#DIV/0!</v>
      </c>
      <c r="S27" s="237" t="e">
        <f>Q27-Paramétrage!$D$29</f>
        <v>#DIV/0!</v>
      </c>
      <c r="T27" s="242" t="e">
        <f>IF(Q27&lt;Paramétrage!$D$29, Q27, Paramétrage!$D$29)</f>
        <v>#DIV/0!</v>
      </c>
      <c r="U27" s="249" t="e">
        <f>Paramétrage!$H$19+S27*(365/12)</f>
        <v>#DIV/0!</v>
      </c>
      <c r="V27" s="250" t="e">
        <f>IF(Q27&lt;Paramétrage!$D$29, Paramétrage!$H$19+T27*(365/12), Paramétrage!$H$19+Q27*(365/12))</f>
        <v>#DIV/0!</v>
      </c>
      <c r="X27" s="232" t="str">
        <f>IF(ISERROR(Q27),"", IF(Q27=0, "", IF(Q27&gt;'Calculs Péremption FA'!$CB23, 'Calculs Péremption FA'!$CB23, Q27)))</f>
        <v/>
      </c>
      <c r="Y27" s="583" t="str">
        <f t="shared" si="2"/>
        <v/>
      </c>
      <c r="Z27" s="237" t="str">
        <f>IF(ISERROR(Q27),"", IF(Q27=0, "", IF(Q27&gt;'Calculs Péremption FA'!$CB23, 'Calculs Péremption FA'!$CB23-Paramétrage!$D$29, S27)))</f>
        <v/>
      </c>
      <c r="AA27" s="426" t="str">
        <f>IF(ISERROR(Q27),"", IF(Q27=0, "", IF(Q27&gt;'Calculs Péremption FA'!$CB23, Paramétrage!$D$29, T27)))</f>
        <v/>
      </c>
      <c r="AB27" s="249" t="str">
        <f>IF(ISERROR(Q27),"", IF(Q27=0, "", IF(Q27&gt;'Calculs Péremption FA'!$CB23, 'Calculs Péremption FA'!$BX23-Paramétrage!$D$29*(365/12), U27)))</f>
        <v/>
      </c>
      <c r="AC27" s="250" t="str">
        <f>IF(ISERROR(Q27), AW27, IF(Q27=0, IF(AND(M27=0, OR(N27&gt;0, O27&gt;0)), AX27, ""), IF(Q27&gt;'Calculs Péremption FA'!$CB23, IF(Q27&lt;'Saisie données stocks'!$N$14, CONCATENATE('TRAD-Calculs dispo Données FA'!$B$88, " - ", 'Calculs Péremption FA'!$BY23, "/", 'Calculs Péremption FA'!$BZ23, "/", 'Calculs Péremption FA'!$CA23), 'Calculs Péremption FA'!CC23), V27)))</f>
        <v>2B &amp; conso =0</v>
      </c>
      <c r="AE27" s="232" t="e">
        <f>(Calculs!M278/Calculs!O169)</f>
        <v>#DIV/0!</v>
      </c>
      <c r="AF27" s="232" t="e">
        <f t="shared" si="3"/>
        <v>#DIV/0!</v>
      </c>
      <c r="AG27" s="237" t="e">
        <f>AE27-Paramétrage!$D$29</f>
        <v>#DIV/0!</v>
      </c>
      <c r="AH27" s="242" t="e">
        <f>IF(AE27&lt;Paramétrage!$D$29, AE27, Paramétrage!$D$29)</f>
        <v>#DIV/0!</v>
      </c>
      <c r="AI27" s="249" t="e">
        <f>Paramétrage!$H$19+AG27*(365/12)</f>
        <v>#DIV/0!</v>
      </c>
      <c r="AJ27" s="250" t="e">
        <f>IF(AE27&lt;Paramétrage!$D$29, Paramétrage!$H$19+AH27*(365/12), Paramétrage!$H$19+AE27*(365/12))</f>
        <v>#DIV/0!</v>
      </c>
      <c r="AL27" s="232" t="str">
        <f>IF(ISERROR(AE27),"", IF(AE27=0, "", IF(AE27&gt;'Calculs Péremption FA'!$CB23, 'Calculs Péremption FA'!$CB23, AE27)))</f>
        <v/>
      </c>
      <c r="AM27" s="583" t="str">
        <f t="shared" si="4"/>
        <v/>
      </c>
      <c r="AN27" s="237" t="str">
        <f>IF(ISERROR(AE27),"", IF(AE27=0, "", IF(AE27&gt;'Calculs Péremption FA'!$CB23, 'Calculs Péremption FA'!$CB23-Paramétrage!$D$29, AG27)))</f>
        <v/>
      </c>
      <c r="AO27" s="426" t="str">
        <f>IF(ISERROR(AE27),"", IF(AE27=0, "", IF(AE27&gt;'Calculs Péremption FA'!$CB23, Paramétrage!$D$29, AH27)))</f>
        <v/>
      </c>
      <c r="AP27" s="249" t="str">
        <f>IF(ISERROR(AE27),"", IF(AE27=0, "", IF(AE27&gt;'Calculs Péremption FA'!$CB23, 'Calculs Péremption FA'!$BX23-Paramétrage!$D$29*(365/12), AI27)))</f>
        <v/>
      </c>
      <c r="AQ27" s="250" t="str">
        <f>IF(ISERROR(AE27),"", IF(AE27=0, "", IF(AE27&gt;'Calculs Péremption FA'!$CB23, CONCATENATE('TRAD-Calculs dispo Données FA'!$B$88, " - ", 'Calculs Péremption FA'!$BY23, "/", 'Calculs Péremption FA'!$BZ23, "/", 'Calculs Péremption FA'!$CA23), AJ27)))</f>
        <v/>
      </c>
      <c r="AS27" s="2061">
        <f>Calculs!$M278</f>
        <v>2</v>
      </c>
      <c r="AT27" s="2062">
        <f>Calculs!$O169</f>
        <v>0</v>
      </c>
      <c r="AU27" s="2068">
        <f>Calculs!$N223</f>
        <v>0</v>
      </c>
      <c r="AV27" s="2070" t="str">
        <f>IF(AND(AU27=0, AS27=0, AT27=0), 'TRAD-Calculs dispo Données FA'!$B$82, "")</f>
        <v/>
      </c>
      <c r="AW27" s="2062" t="str">
        <f>IF(AND(AU27=0, AS27&gt;0, AT27=0), CONCATENATE(AS27, 'TRAD-Calculs dispo Données FA'!$B$80," =0"), "")</f>
        <v>2B &amp; conso =0</v>
      </c>
      <c r="AX27" s="2063" t="str">
        <f>IF(AND(AS27=0, OR(AT27&gt;=1, AU27&gt;=1)), 'TRAD-Calculs dispo Données FA'!$B$81, "")</f>
        <v/>
      </c>
    </row>
    <row r="28" spans="3:50" s="358" customFormat="1" ht="25.5" x14ac:dyDescent="0.2">
      <c r="C28" s="374"/>
      <c r="D28" s="375"/>
      <c r="E28" s="396" t="str">
        <f>'Saisie données stocks'!F36</f>
        <v>EFV</v>
      </c>
      <c r="F28" s="397" t="str">
        <f>'Saisie données stocks'!G36</f>
        <v>Cp</v>
      </c>
      <c r="G28" s="397" t="str">
        <f>'Saisie données stocks'!H36</f>
        <v>600 mg</v>
      </c>
      <c r="H28" s="379" t="str">
        <f>CONCATENATE(E28, " - ", G28, " - ", 'TRAD-Calculs dispo Données FA'!$B$79,"/", K28)</f>
        <v>EFV - 600 mg - B/30</v>
      </c>
      <c r="I28" s="399">
        <f>Calculs!K119</f>
        <v>1</v>
      </c>
      <c r="J28" s="399">
        <f t="shared" si="7"/>
        <v>30</v>
      </c>
      <c r="K28" s="117">
        <f>Calculs!J119</f>
        <v>30</v>
      </c>
      <c r="L28" s="400">
        <f t="shared" si="0"/>
        <v>1</v>
      </c>
      <c r="M28" s="1823">
        <f>IF('Saisie données stocks'!$O$10='TRAD-Saisie données stocks'!$B$51, 'Calculs Péremption FA'!BU24, Calculs!M279)</f>
        <v>0</v>
      </c>
      <c r="N28" s="1871">
        <f>Calculs!O170</f>
        <v>0</v>
      </c>
      <c r="O28" s="1871">
        <f>Calculs!N224</f>
        <v>0</v>
      </c>
      <c r="P28"/>
      <c r="Q28" s="234" t="e">
        <f t="shared" si="6"/>
        <v>#DIV/0!</v>
      </c>
      <c r="R28" s="234" t="e">
        <f t="shared" si="1"/>
        <v>#DIV/0!</v>
      </c>
      <c r="S28" s="237" t="e">
        <f>Q28-Paramétrage!$D$29</f>
        <v>#DIV/0!</v>
      </c>
      <c r="T28" s="244" t="e">
        <f>IF(Q28&lt;Paramétrage!$D$29, Q28, Paramétrage!$D$29)</f>
        <v>#DIV/0!</v>
      </c>
      <c r="U28" s="253" t="e">
        <f>Paramétrage!$H$19+S28*(365/12)</f>
        <v>#DIV/0!</v>
      </c>
      <c r="V28" s="254" t="e">
        <f>IF(Q28&lt;Paramétrage!$D$29, Paramétrage!$H$19+T28*(365/12), Paramétrage!$H$19+Q28*(365/12))</f>
        <v>#DIV/0!</v>
      </c>
      <c r="X28" s="234" t="str">
        <f>IF(ISERROR(Q28),"", IF(Q28=0, "", IF(Q28&gt;'Calculs Péremption FA'!$CB24, 'Calculs Péremption FA'!$CB24, Q28)))</f>
        <v/>
      </c>
      <c r="Y28" s="584" t="str">
        <f t="shared" si="2"/>
        <v/>
      </c>
      <c r="Z28" s="239" t="str">
        <f>IF(ISERROR(Q28),"", IF(Q28=0, "", IF(Q28&gt;'Calculs Péremption FA'!$CB24, 'Calculs Péremption FA'!$CB24-Paramétrage!$D$29, S28)))</f>
        <v/>
      </c>
      <c r="AA28" s="428" t="str">
        <f>IF(ISERROR(Q28),"", IF(Q28=0, "", IF(Q28&gt;'Calculs Péremption FA'!$CB24, Paramétrage!$D$29, T28)))</f>
        <v/>
      </c>
      <c r="AB28" s="253" t="str">
        <f>IF(ISERROR(Q28),"", IF(Q28=0, "", IF(Q28&gt;'Calculs Péremption FA'!$CB24, 'Calculs Péremption FA'!$BX24-Paramétrage!$D$29*(365/12), U28)))</f>
        <v/>
      </c>
      <c r="AC28" s="254" t="str">
        <f>IF(ISERROR(Q28), AW28, IF(Q28=0, IF(AND(M28=0, OR(N28&gt;0, O28&gt;0)), AX28, ""), IF(Q28&gt;'Calculs Péremption FA'!$CB24, IF(Q28&lt;'Saisie données stocks'!$N$14, CONCATENATE('TRAD-Calculs dispo Données FA'!$B$88, " - ", 'Calculs Péremption FA'!$BY24, "/", 'Calculs Péremption FA'!$BZ24, "/", 'Calculs Péremption FA'!$CA24), 'Calculs Péremption FA'!CC24), V28)))</f>
        <v>9356B &amp; conso =0</v>
      </c>
      <c r="AE28" s="234" t="e">
        <f>(Calculs!M279/Calculs!O170)</f>
        <v>#DIV/0!</v>
      </c>
      <c r="AF28" s="234" t="e">
        <f t="shared" si="3"/>
        <v>#DIV/0!</v>
      </c>
      <c r="AG28" s="237" t="e">
        <f>AE28-Paramétrage!$D$29</f>
        <v>#DIV/0!</v>
      </c>
      <c r="AH28" s="244" t="e">
        <f>IF(AE28&lt;Paramétrage!$D$29, AE28, Paramétrage!$D$29)</f>
        <v>#DIV/0!</v>
      </c>
      <c r="AI28" s="253" t="e">
        <f>Paramétrage!$H$19+AG28*(365/12)</f>
        <v>#DIV/0!</v>
      </c>
      <c r="AJ28" s="254" t="e">
        <f>IF(AE28&lt;Paramétrage!$D$29, Paramétrage!$H$19+AH28*(365/12), Paramétrage!$H$19+AE28*(365/12))</f>
        <v>#DIV/0!</v>
      </c>
      <c r="AL28" s="234" t="str">
        <f>IF(ISERROR(AE28),"", IF(AE28=0, "", IF(AE28&gt;'Calculs Péremption FA'!$CB24, 'Calculs Péremption FA'!$CB24, AE28)))</f>
        <v/>
      </c>
      <c r="AM28" s="584" t="str">
        <f t="shared" si="4"/>
        <v/>
      </c>
      <c r="AN28" s="239" t="str">
        <f>IF(ISERROR(AE28),"", IF(AE28=0, "", IF(AE28&gt;'Calculs Péremption FA'!$CB24, 'Calculs Péremption FA'!$CB24-Paramétrage!$D$29, AG28)))</f>
        <v/>
      </c>
      <c r="AO28" s="428" t="str">
        <f>IF(ISERROR(AE28),"", IF(AE28=0, "", IF(AE28&gt;'Calculs Péremption FA'!$CB24, Paramétrage!$D$29, AH28)))</f>
        <v/>
      </c>
      <c r="AP28" s="253" t="str">
        <f>IF(ISERROR(AE28),"", IF(AE28=0, "", IF(AE28&gt;'Calculs Péremption FA'!$CB24, 'Calculs Péremption FA'!$BX24-Paramétrage!$D$29*(365/12), AI28)))</f>
        <v/>
      </c>
      <c r="AQ28" s="254" t="str">
        <f>IF(ISERROR(AE28),"", IF(AE28=0, "", IF(AE28&gt;'Calculs Péremption FA'!$CB24, CONCATENATE('TRAD-Calculs dispo Données FA'!$B$88, " - ", 'Calculs Péremption FA'!$BY24, "/", 'Calculs Péremption FA'!$BZ24, "/", 'Calculs Péremption FA'!$CA24), AJ28)))</f>
        <v/>
      </c>
      <c r="AS28" s="2061">
        <f>Calculs!$M279</f>
        <v>9356</v>
      </c>
      <c r="AT28" s="2062">
        <f>Calculs!$O170</f>
        <v>0</v>
      </c>
      <c r="AU28" s="2068">
        <f>Calculs!$N224</f>
        <v>0</v>
      </c>
      <c r="AV28" s="2070" t="str">
        <f>IF(AND(AU28=0, AS28=0, AT28=0), 'TRAD-Calculs dispo Données FA'!$B$82, "")</f>
        <v/>
      </c>
      <c r="AW28" s="2062" t="str">
        <f>IF(AND(AU28=0, AS28&gt;0, AT28=0), CONCATENATE(AS28, 'TRAD-Calculs dispo Données FA'!$B$80," =0"), "")</f>
        <v>9356B &amp; conso =0</v>
      </c>
      <c r="AX28" s="2063" t="str">
        <f>IF(AND(AS28=0, OR(AT28&gt;=1, AU28&gt;=1)), 'TRAD-Calculs dispo Données FA'!$B$81, "")</f>
        <v/>
      </c>
    </row>
    <row r="29" spans="3:50" s="358" customFormat="1" ht="25.5" x14ac:dyDescent="0.2">
      <c r="C29" s="374"/>
      <c r="D29" s="375"/>
      <c r="E29" s="1722" t="str">
        <f>'Saisie données stocks'!F37</f>
        <v>ETV</v>
      </c>
      <c r="F29" s="1723" t="str">
        <f>'Saisie données stocks'!G37</f>
        <v>Cp</v>
      </c>
      <c r="G29" s="1723" t="str">
        <f>'Saisie données stocks'!H37</f>
        <v>200 mg</v>
      </c>
      <c r="H29" s="533" t="str">
        <f>CONCATENATE(E29, " - ", G29, " - ", 'TRAD-Calculs dispo Données FA'!$B$79,"/", K29)</f>
        <v>ETV - 200 mg - B/60</v>
      </c>
      <c r="I29" s="1724">
        <f>Calculs!K120</f>
        <v>2</v>
      </c>
      <c r="J29" s="1724">
        <f t="shared" si="7"/>
        <v>60</v>
      </c>
      <c r="K29" s="1725">
        <f>Calculs!J120</f>
        <v>60</v>
      </c>
      <c r="L29" s="1726">
        <f t="shared" si="0"/>
        <v>1</v>
      </c>
      <c r="M29" s="1824">
        <f>IF('Saisie données stocks'!$O$10='TRAD-Saisie données stocks'!$B$51, 'Calculs Péremption FA'!BU25, Calculs!M280)</f>
        <v>0</v>
      </c>
      <c r="N29" s="1871">
        <f>Calculs!O171</f>
        <v>0</v>
      </c>
      <c r="O29" s="1871">
        <f>Calculs!N225</f>
        <v>0</v>
      </c>
      <c r="P29"/>
      <c r="Q29" s="1727" t="e">
        <f t="shared" si="6"/>
        <v>#DIV/0!</v>
      </c>
      <c r="R29" s="1727" t="e">
        <f t="shared" si="1"/>
        <v>#DIV/0!</v>
      </c>
      <c r="S29" s="1728" t="e">
        <f>Q29-Paramétrage!$D$29</f>
        <v>#DIV/0!</v>
      </c>
      <c r="T29" s="1729" t="e">
        <f>IF(Q29&lt;Paramétrage!$D$29, Q29, Paramétrage!$D$29)</f>
        <v>#DIV/0!</v>
      </c>
      <c r="U29" s="1730" t="e">
        <f>Paramétrage!$H$19+S29*(365/12)</f>
        <v>#DIV/0!</v>
      </c>
      <c r="V29" s="1731" t="e">
        <f>IF(Q29&lt;Paramétrage!$D$29, Paramétrage!$H$19+T29*(365/12), Paramétrage!$H$19+Q29*(365/12))</f>
        <v>#DIV/0!</v>
      </c>
      <c r="X29" s="1727" t="str">
        <f>IF(ISERROR(Q29),"", IF(Q29=0, "", IF(Q29&gt;'Calculs Péremption FA'!$CB25, 'Calculs Péremption FA'!$CB25, Q29)))</f>
        <v/>
      </c>
      <c r="Y29" s="1733" t="str">
        <f t="shared" si="2"/>
        <v/>
      </c>
      <c r="Z29" s="1728" t="str">
        <f>IF(ISERROR(Q29),"", IF(Q29=0, "", IF(Q29&gt;'Calculs Péremption FA'!$CB25, 'Calculs Péremption FA'!$CB25-Paramétrage!$D$29, S29)))</f>
        <v/>
      </c>
      <c r="AA29" s="1732" t="str">
        <f>IF(ISERROR(Q29),"", IF(Q29=0, "", IF(Q29&gt;'Calculs Péremption FA'!$CB25, Paramétrage!$D$29, T29)))</f>
        <v/>
      </c>
      <c r="AB29" s="1730" t="str">
        <f>IF(ISERROR(Q29),"", IF(Q29=0, "", IF(Q29&gt;'Calculs Péremption FA'!$CB25, 'Calculs Péremption FA'!$BX25-Paramétrage!$D$29*(365/12), U29)))</f>
        <v/>
      </c>
      <c r="AC29" s="1731" t="str">
        <f>IF(ISERROR(Q29), AW29, IF(Q29=0, IF(AND(M29=0, OR(N29&gt;0, O29&gt;0)), AX29, ""), IF(Q29&gt;'Calculs Péremption FA'!$CB25, IF(Q29&lt;'Saisie données stocks'!$N$14, CONCATENATE('TRAD-Calculs dispo Données FA'!$B$88, " - ", 'Calculs Péremption FA'!$BY25, "/", 'Calculs Péremption FA'!$BZ25, "/", 'Calculs Péremption FA'!$CA25), 'Calculs Péremption FA'!CC25), V29)))</f>
        <v/>
      </c>
      <c r="AE29" s="1727" t="e">
        <f>(Calculs!M280/Calculs!O171)</f>
        <v>#DIV/0!</v>
      </c>
      <c r="AF29" s="1727" t="e">
        <f t="shared" si="3"/>
        <v>#DIV/0!</v>
      </c>
      <c r="AG29" s="1721" t="e">
        <f>AE29-Paramétrage!$D$29</f>
        <v>#DIV/0!</v>
      </c>
      <c r="AH29" s="1729" t="e">
        <f>IF(AE29&lt;Paramétrage!$D$29, AE29, Paramétrage!$D$29)</f>
        <v>#DIV/0!</v>
      </c>
      <c r="AI29" s="1730" t="e">
        <f>Paramétrage!$H$19+AG29*(365/12)</f>
        <v>#DIV/0!</v>
      </c>
      <c r="AJ29" s="1731" t="e">
        <f>IF(AE29&lt;Paramétrage!$D$29, Paramétrage!$H$19+AH29*(365/12), Paramétrage!$H$19+AE29*(365/12))</f>
        <v>#DIV/0!</v>
      </c>
      <c r="AL29" s="1727" t="str">
        <f>IF(ISERROR(AE29),"", IF(AE29=0, "", IF(AE29&gt;'Calculs Péremption FA'!$CB25, 'Calculs Péremption FA'!$CB25, AE29)))</f>
        <v/>
      </c>
      <c r="AM29" s="1733" t="str">
        <f t="shared" si="4"/>
        <v/>
      </c>
      <c r="AN29" s="1728" t="str">
        <f>IF(ISERROR(AE29),"", IF(AE29=0, "", IF(AE29&gt;'Calculs Péremption FA'!$CB25, 'Calculs Péremption FA'!$CB25-Paramétrage!$D$29, AG29)))</f>
        <v/>
      </c>
      <c r="AO29" s="1732" t="str">
        <f>IF(ISERROR(AE29),"", IF(AE29=0, "", IF(AE29&gt;'Calculs Péremption FA'!$CB25, Paramétrage!$D$29, AH29)))</f>
        <v/>
      </c>
      <c r="AP29" s="1730" t="str">
        <f>IF(ISERROR(AE29),"", IF(AE29=0, "", IF(AE29&gt;'Calculs Péremption FA'!$CB25, 'Calculs Péremption FA'!$BX25-Paramétrage!$D$29*(365/12), AI29)))</f>
        <v/>
      </c>
      <c r="AQ29" s="1731" t="str">
        <f>IF(ISERROR(AE29),"", IF(AE29=0, "", IF(AE29&gt;'Calculs Péremption FA'!$CB25, CONCATENATE('TRAD-Calculs dispo Données FA'!$B$88, " - ", 'Calculs Péremption FA'!$BY25, "/", 'Calculs Péremption FA'!$BZ25, "/", 'Calculs Péremption FA'!$CA25), AJ29)))</f>
        <v/>
      </c>
      <c r="AS29" s="2061">
        <f>Calculs!$M280</f>
        <v>0</v>
      </c>
      <c r="AT29" s="2062">
        <f>Calculs!$O171</f>
        <v>0</v>
      </c>
      <c r="AU29" s="2068">
        <f>Calculs!$N225</f>
        <v>0</v>
      </c>
      <c r="AV29" s="2070" t="str">
        <f>IF(AND(AU29=0, AS29=0, AT29=0), 'TRAD-Calculs dispo Données FA'!$B$82, "")</f>
        <v>Stock et besoin nul</v>
      </c>
      <c r="AW29" s="2062" t="str">
        <f>IF(AND(AU29=0, AS29&gt;0, AT29=0), CONCATENATE(AS29, 'TRAD-Calculs dispo Données FA'!$B$80," =0"), "")</f>
        <v/>
      </c>
      <c r="AX29" s="2063" t="str">
        <f>IF(AND(AS29=0, OR(AT29&gt;=1, AU29&gt;=1)), 'TRAD-Calculs dispo Données FA'!$B$81, "")</f>
        <v/>
      </c>
    </row>
    <row r="30" spans="3:50" s="358" customFormat="1" ht="25.5" x14ac:dyDescent="0.2">
      <c r="C30" s="374"/>
      <c r="D30" s="375"/>
      <c r="E30" s="382" t="str">
        <f>'Saisie données stocks'!F38</f>
        <v>NVP</v>
      </c>
      <c r="F30" s="383" t="str">
        <f>'Saisie données stocks'!G38</f>
        <v>Cp</v>
      </c>
      <c r="G30" s="383" t="str">
        <f>'Saisie données stocks'!H38</f>
        <v>200 mg</v>
      </c>
      <c r="H30" s="385" t="str">
        <f>CONCATENATE(E30, " - ", G30, " - ", 'TRAD-Calculs dispo Données FA'!$B$79,"/", K30)</f>
        <v>NVP - 200 mg - B/60</v>
      </c>
      <c r="I30" s="386">
        <f>Calculs!K121</f>
        <v>2</v>
      </c>
      <c r="J30" s="386">
        <f t="shared" si="7"/>
        <v>60</v>
      </c>
      <c r="K30" s="115">
        <f>Calculs!J121</f>
        <v>60</v>
      </c>
      <c r="L30" s="387">
        <f t="shared" si="0"/>
        <v>1</v>
      </c>
      <c r="M30" s="1821">
        <f>IF('Saisie données stocks'!$O$10='TRAD-Saisie données stocks'!$B$51, 'Calculs Péremption FA'!BU26, Calculs!M281)</f>
        <v>0</v>
      </c>
      <c r="N30" s="1870">
        <f>Calculs!O172</f>
        <v>0</v>
      </c>
      <c r="O30" s="1870">
        <f>Calculs!N226</f>
        <v>0</v>
      </c>
      <c r="P30"/>
      <c r="Q30" s="232" t="e">
        <f t="shared" si="6"/>
        <v>#DIV/0!</v>
      </c>
      <c r="R30" s="232" t="e">
        <f t="shared" si="1"/>
        <v>#DIV/0!</v>
      </c>
      <c r="S30" s="237" t="e">
        <f>Q30-Paramétrage!$D$29</f>
        <v>#DIV/0!</v>
      </c>
      <c r="T30" s="242" t="e">
        <f>IF(Q30&lt;Paramétrage!$D$29, Q30, Paramétrage!$D$29)</f>
        <v>#DIV/0!</v>
      </c>
      <c r="U30" s="249" t="e">
        <f>Paramétrage!$H$19+S30*(365/12)</f>
        <v>#DIV/0!</v>
      </c>
      <c r="V30" s="250" t="e">
        <f>IF(Q30&lt;Paramétrage!$D$29, Paramétrage!$H$19+T30*(365/12), Paramétrage!$H$19+Q30*(365/12))</f>
        <v>#DIV/0!</v>
      </c>
      <c r="X30" s="232" t="str">
        <f>IF(ISERROR(Q30),"", IF(Q30=0, "", IF(Q30&gt;'Calculs Péremption FA'!$CB26, 'Calculs Péremption FA'!$CB26, Q30)))</f>
        <v/>
      </c>
      <c r="Y30" s="583" t="str">
        <f t="shared" si="2"/>
        <v/>
      </c>
      <c r="Z30" s="237" t="str">
        <f>IF(ISERROR(Q30),"", IF(Q30=0, "", IF(Q30&gt;'Calculs Péremption FA'!$CB26, 'Calculs Péremption FA'!$CB26-Paramétrage!$D$29, S30)))</f>
        <v/>
      </c>
      <c r="AA30" s="426" t="str">
        <f>IF(ISERROR(Q30),"", IF(Q30=0, "", IF(Q30&gt;'Calculs Péremption FA'!$CB26, Paramétrage!$D$29, T30)))</f>
        <v/>
      </c>
      <c r="AB30" s="249" t="str">
        <f>IF(ISERROR(Q30),"", IF(Q30=0, "", IF(Q30&gt;'Calculs Péremption FA'!$CB26, 'Calculs Péremption FA'!$BX26-Paramétrage!$D$29*(365/12), U30)))</f>
        <v/>
      </c>
      <c r="AC30" s="250" t="str">
        <f>IF(ISERROR(Q30), AW30, IF(Q30=0, IF(AND(M30=0, OR(N30&gt;0, O30&gt;0)), AX30, ""), IF(Q30&gt;'Calculs Péremption FA'!$CB26, IF(Q30&lt;'Saisie données stocks'!$N$14, CONCATENATE('TRAD-Calculs dispo Données FA'!$B$88, " - ", 'Calculs Péremption FA'!$BY26, "/", 'Calculs Péremption FA'!$BZ26, "/", 'Calculs Péremption FA'!$CA26), 'Calculs Péremption FA'!CC26), V30)))</f>
        <v/>
      </c>
      <c r="AE30" s="232" t="e">
        <f>(Calculs!M281/Calculs!O172)</f>
        <v>#DIV/0!</v>
      </c>
      <c r="AF30" s="232" t="e">
        <f t="shared" si="3"/>
        <v>#DIV/0!</v>
      </c>
      <c r="AG30" s="237" t="e">
        <f>AE30-Paramétrage!$D$29</f>
        <v>#DIV/0!</v>
      </c>
      <c r="AH30" s="242" t="e">
        <f>IF(AE30&lt;Paramétrage!$D$29, AE30, Paramétrage!$D$29)</f>
        <v>#DIV/0!</v>
      </c>
      <c r="AI30" s="249" t="e">
        <f>Paramétrage!$H$19+AG30*(365/12)</f>
        <v>#DIV/0!</v>
      </c>
      <c r="AJ30" s="250" t="e">
        <f>IF(AE30&lt;Paramétrage!$D$29, Paramétrage!$H$19+AH30*(365/12), Paramétrage!$H$19+AE30*(365/12))</f>
        <v>#DIV/0!</v>
      </c>
      <c r="AL30" s="232" t="str">
        <f>IF(ISERROR(AE30),"", IF(AE30=0, "", IF(AE30&gt;'Calculs Péremption FA'!$CB26, 'Calculs Péremption FA'!$CB26, AE30)))</f>
        <v/>
      </c>
      <c r="AM30" s="583" t="str">
        <f t="shared" si="4"/>
        <v/>
      </c>
      <c r="AN30" s="237" t="str">
        <f>IF(ISERROR(AE30),"", IF(AE30=0, "", IF(AE30&gt;'Calculs Péremption FA'!$CB26, 'Calculs Péremption FA'!$CB26-Paramétrage!$D$29, AG30)))</f>
        <v/>
      </c>
      <c r="AO30" s="426" t="str">
        <f>IF(ISERROR(AE30),"", IF(AE30=0, "", IF(AE30&gt;'Calculs Péremption FA'!$CB26, Paramétrage!$D$29, AH30)))</f>
        <v/>
      </c>
      <c r="AP30" s="249" t="str">
        <f>IF(ISERROR(AE30),"", IF(AE30=0, "", IF(AE30&gt;'Calculs Péremption FA'!$CB26, 'Calculs Péremption FA'!$BX26-Paramétrage!$D$29*(365/12), AI30)))</f>
        <v/>
      </c>
      <c r="AQ30" s="250" t="str">
        <f>IF(ISERROR(AE30),"", IF(AE30=0, "", IF(AE30&gt;'Calculs Péremption FA'!$CB26, CONCATENATE('TRAD-Calculs dispo Données FA'!$B$88, " - ", 'Calculs Péremption FA'!$BY26, "/", 'Calculs Péremption FA'!$BZ26, "/", 'Calculs Péremption FA'!$CA26), AJ30)))</f>
        <v/>
      </c>
      <c r="AS30" s="2061">
        <f>Calculs!$M281</f>
        <v>0</v>
      </c>
      <c r="AT30" s="2062">
        <f>Calculs!$O172</f>
        <v>0</v>
      </c>
      <c r="AU30" s="2068">
        <f>Calculs!$N226</f>
        <v>0</v>
      </c>
      <c r="AV30" s="2070" t="str">
        <f>IF(AND(AU30=0, AS30=0, AT30=0), 'TRAD-Calculs dispo Données FA'!$B$82, "")</f>
        <v>Stock et besoin nul</v>
      </c>
      <c r="AW30" s="2062" t="str">
        <f>IF(AND(AU30=0, AS30&gt;0, AT30=0), CONCATENATE(AS30, 'TRAD-Calculs dispo Données FA'!$B$80," =0"), "")</f>
        <v/>
      </c>
      <c r="AX30" s="2063" t="str">
        <f>IF(AND(AS30=0, OR(AT30&gt;=1, AU30&gt;=1)), 'TRAD-Calculs dispo Données FA'!$B$81, "")</f>
        <v/>
      </c>
    </row>
    <row r="31" spans="3:50" s="358" customFormat="1" ht="25.5" x14ac:dyDescent="0.2">
      <c r="C31" s="388"/>
      <c r="D31" s="389"/>
      <c r="E31" s="390" t="str">
        <f>'Saisie données stocks'!F39</f>
        <v>RPV</v>
      </c>
      <c r="F31" s="391" t="str">
        <f>'Saisie données stocks'!G39</f>
        <v>Cp</v>
      </c>
      <c r="G31" s="391" t="str">
        <f>'Saisie données stocks'!H39</f>
        <v>25 mg</v>
      </c>
      <c r="H31" s="393" t="str">
        <f>CONCATENATE(E31, " - ", G31, " - ", 'TRAD-Calculs dispo Données FA'!$B$79,"/", K31)</f>
        <v>RPV - 25 mg - B/30</v>
      </c>
      <c r="I31" s="394">
        <f>Calculs!K122</f>
        <v>1</v>
      </c>
      <c r="J31" s="394">
        <f>I31*(365/12)</f>
        <v>30.416666666666668</v>
      </c>
      <c r="K31" s="116">
        <f>Calculs!J122</f>
        <v>30</v>
      </c>
      <c r="L31" s="395">
        <f t="shared" si="0"/>
        <v>1.0138888888888888</v>
      </c>
      <c r="M31" s="1822">
        <f>IF('Saisie données stocks'!$O$10='TRAD-Saisie données stocks'!$B$51, 'Calculs Péremption FA'!BU27, Calculs!M282)</f>
        <v>0</v>
      </c>
      <c r="N31" s="1822">
        <f>Calculs!O173</f>
        <v>0</v>
      </c>
      <c r="O31" s="1822">
        <f>Calculs!N227</f>
        <v>0</v>
      </c>
      <c r="P31"/>
      <c r="Q31" s="233" t="e">
        <f t="shared" si="6"/>
        <v>#DIV/0!</v>
      </c>
      <c r="R31" s="233" t="e">
        <f t="shared" si="1"/>
        <v>#DIV/0!</v>
      </c>
      <c r="S31" s="239" t="e">
        <f>Q31-Paramétrage!$D$29</f>
        <v>#DIV/0!</v>
      </c>
      <c r="T31" s="243" t="e">
        <f>IF(Q31&lt;Paramétrage!$D$29, Q31, Paramétrage!$D$29)</f>
        <v>#DIV/0!</v>
      </c>
      <c r="U31" s="251" t="e">
        <f>Paramétrage!$H$19+S31*(365/12)</f>
        <v>#DIV/0!</v>
      </c>
      <c r="V31" s="252" t="e">
        <f>IF(Q31&lt;Paramétrage!$D$29, Paramétrage!$H$19+T31*(365/12), Paramétrage!$H$19+Q31*(365/12))</f>
        <v>#DIV/0!</v>
      </c>
      <c r="X31" s="233" t="str">
        <f>IF(ISERROR(Q31),"", IF(Q31=0, "", IF(Q31&gt;'Calculs Péremption FA'!$CB27, 'Calculs Péremption FA'!$CB27, Q31)))</f>
        <v/>
      </c>
      <c r="Y31" s="575" t="str">
        <f t="shared" si="2"/>
        <v/>
      </c>
      <c r="Z31" s="238" t="str">
        <f>IF(ISERROR(Q31),"", IF(Q31=0, "", IF(Q31&gt;'Calculs Péremption FA'!$CB27, 'Calculs Péremption FA'!$CB27-Paramétrage!$D$29, S31)))</f>
        <v/>
      </c>
      <c r="AA31" s="427" t="str">
        <f>IF(ISERROR(Q31),"", IF(Q31=0, "", IF(Q31&gt;'Calculs Péremption FA'!$CB27, Paramétrage!$D$29, T31)))</f>
        <v/>
      </c>
      <c r="AB31" s="251" t="str">
        <f>IF(ISERROR(Q31),"", IF(Q31=0, "", IF(Q31&gt;'Calculs Péremption FA'!$CB27, 'Calculs Péremption FA'!$BX27-Paramétrage!$D$29*(365/12), U31)))</f>
        <v/>
      </c>
      <c r="AC31" s="252" t="str">
        <f>IF(ISERROR(Q31), AW31, IF(Q31=0, IF(AND(M31=0, OR(N31&gt;0, O31&gt;0)), AX31, ""), IF(Q31&gt;'Calculs Péremption FA'!$CB27, IF(Q31&lt;'Saisie données stocks'!$N$14, CONCATENATE('TRAD-Calculs dispo Données FA'!$B$88, " - ", 'Calculs Péremption FA'!$BY27, "/", 'Calculs Péremption FA'!$BZ27, "/", 'Calculs Péremption FA'!$CA27), 'Calculs Péremption FA'!CC27), V31)))</f>
        <v/>
      </c>
      <c r="AE31" s="233" t="e">
        <f>(Calculs!M282/Calculs!O173)</f>
        <v>#DIV/0!</v>
      </c>
      <c r="AF31" s="233" t="e">
        <f t="shared" si="3"/>
        <v>#DIV/0!</v>
      </c>
      <c r="AG31" s="237" t="e">
        <f>AE31-Paramétrage!$D$29</f>
        <v>#DIV/0!</v>
      </c>
      <c r="AH31" s="243" t="e">
        <f>IF(AE31&lt;Paramétrage!$D$29, AE31, Paramétrage!$D$29)</f>
        <v>#DIV/0!</v>
      </c>
      <c r="AI31" s="251" t="e">
        <f>Paramétrage!$H$19+AG31*(365/12)</f>
        <v>#DIV/0!</v>
      </c>
      <c r="AJ31" s="252" t="e">
        <f>IF(AE31&lt;Paramétrage!$D$29, Paramétrage!$H$19+AH31*(365/12), Paramétrage!$H$19+AE31*(365/12))</f>
        <v>#DIV/0!</v>
      </c>
      <c r="AL31" s="233" t="str">
        <f>IF(ISERROR(AE31),"", IF(AE31=0, "", IF(AE31&gt;'Calculs Péremption FA'!$CB27, 'Calculs Péremption FA'!$CB27, AE31)))</f>
        <v/>
      </c>
      <c r="AM31" s="575" t="str">
        <f t="shared" si="4"/>
        <v/>
      </c>
      <c r="AN31" s="238" t="str">
        <f>IF(ISERROR(AE31),"", IF(AE31=0, "", IF(AE31&gt;'Calculs Péremption FA'!$CB27, 'Calculs Péremption FA'!$CB27-Paramétrage!$D$29, AG31)))</f>
        <v/>
      </c>
      <c r="AO31" s="427" t="str">
        <f>IF(ISERROR(AE31),"", IF(AE31=0, "", IF(AE31&gt;'Calculs Péremption FA'!$CB27, Paramétrage!$D$29, AH31)))</f>
        <v/>
      </c>
      <c r="AP31" s="251" t="str">
        <f>IF(ISERROR(AE31),"", IF(AE31=0, "", IF(AE31&gt;'Calculs Péremption FA'!$CB27, 'Calculs Péremption FA'!$BX27-Paramétrage!$D$29*(365/12), AI31)))</f>
        <v/>
      </c>
      <c r="AQ31" s="252" t="str">
        <f>IF(ISERROR(AE31),"", IF(AE31=0, "", IF(AE31&gt;'Calculs Péremption FA'!$CB27, CONCATENATE('TRAD-Calculs dispo Données FA'!$B$88, " - ", 'Calculs Péremption FA'!$BY27, "/", 'Calculs Péremption FA'!$BZ27, "/", 'Calculs Péremption FA'!$CA27), AJ31)))</f>
        <v/>
      </c>
      <c r="AS31" s="2061">
        <f>Calculs!$M282</f>
        <v>0</v>
      </c>
      <c r="AT31" s="2062">
        <f>Calculs!$O173</f>
        <v>0</v>
      </c>
      <c r="AU31" s="2068">
        <f>Calculs!$N227</f>
        <v>0</v>
      </c>
      <c r="AV31" s="2070" t="str">
        <f>IF(AND(AU31=0, AS31=0, AT31=0), 'TRAD-Calculs dispo Données FA'!$B$82, "")</f>
        <v>Stock et besoin nul</v>
      </c>
      <c r="AW31" s="2062" t="str">
        <f>IF(AND(AU31=0, AS31&gt;0, AT31=0), CONCATENATE(AS31, 'TRAD-Calculs dispo Données FA'!$B$80," =0"), "")</f>
        <v/>
      </c>
      <c r="AX31" s="2063" t="str">
        <f>IF(AND(AS31=0, OR(AT31&gt;=1, AU31&gt;=1)), 'TRAD-Calculs dispo Données FA'!$B$81, "")</f>
        <v/>
      </c>
    </row>
    <row r="32" spans="3:50" s="358" customFormat="1" ht="25.5" x14ac:dyDescent="0.2">
      <c r="C32" s="374"/>
      <c r="D32" s="375" t="s">
        <v>31</v>
      </c>
      <c r="E32" s="376" t="str">
        <f>'Saisie données stocks'!F40</f>
        <v>ABC</v>
      </c>
      <c r="F32" s="377" t="str">
        <f>'Saisie données stocks'!G40</f>
        <v>Cp</v>
      </c>
      <c r="G32" s="377" t="str">
        <f>'Saisie données stocks'!H40</f>
        <v>300 mg</v>
      </c>
      <c r="H32" s="378" t="str">
        <f>CONCATENATE(E32, " - ", G32, " - ", 'TRAD-Calculs dispo Données FA'!$B$79,"/", K32)</f>
        <v>ABC - 300 mg - B/60</v>
      </c>
      <c r="I32" s="380">
        <f>Calculs!K123</f>
        <v>2</v>
      </c>
      <c r="J32" s="380">
        <f t="shared" si="7"/>
        <v>60</v>
      </c>
      <c r="K32" s="114">
        <f>Calculs!J123</f>
        <v>60</v>
      </c>
      <c r="L32" s="381">
        <f t="shared" si="0"/>
        <v>1</v>
      </c>
      <c r="M32" s="1820">
        <f>IF('Saisie données stocks'!$O$10='TRAD-Saisie données stocks'!$B$51, 'Calculs Péremption FA'!BU28, Calculs!M283)</f>
        <v>0</v>
      </c>
      <c r="N32" s="1820">
        <f>Calculs!O174</f>
        <v>0</v>
      </c>
      <c r="O32" s="1820">
        <f>Calculs!N228</f>
        <v>0</v>
      </c>
      <c r="P32"/>
      <c r="Q32" s="231" t="e">
        <f t="shared" si="6"/>
        <v>#DIV/0!</v>
      </c>
      <c r="R32" s="231" t="e">
        <f t="shared" si="1"/>
        <v>#DIV/0!</v>
      </c>
      <c r="S32" s="574" t="e">
        <f>Q32-Paramétrage!$D$29</f>
        <v>#DIV/0!</v>
      </c>
      <c r="T32" s="241" t="e">
        <f>IF(Q32&lt;Paramétrage!$D$29, Q32, Paramétrage!$D$29)</f>
        <v>#DIV/0!</v>
      </c>
      <c r="U32" s="247" t="e">
        <f>Paramétrage!$H$19+S32*(365/12)</f>
        <v>#DIV/0!</v>
      </c>
      <c r="V32" s="248" t="e">
        <f>IF(Q32&lt;Paramétrage!$D$29, Paramétrage!$H$19+T32*(365/12), Paramétrage!$H$19+Q32*(365/12))</f>
        <v>#DIV/0!</v>
      </c>
      <c r="X32" s="231" t="str">
        <f>IF(ISERROR(Q32),"", IF(Q32=0, "", IF(Q32&gt;'Calculs Péremption FA'!$CB28, 'Calculs Péremption FA'!$CB28, Q32)))</f>
        <v/>
      </c>
      <c r="Y32" s="582" t="str">
        <f t="shared" si="2"/>
        <v/>
      </c>
      <c r="Z32" s="236" t="str">
        <f>IF(ISERROR(Q32),"", IF(Q32=0, "", IF(Q32&gt;'Calculs Péremption FA'!$CB28, 'Calculs Péremption FA'!$CB28-Paramétrage!$D$29, S32)))</f>
        <v/>
      </c>
      <c r="AA32" s="425" t="str">
        <f>IF(ISERROR(Q32),"", IF(Q32=0, "", IF(Q32&gt;'Calculs Péremption FA'!$CB28, Paramétrage!$D$29, T32)))</f>
        <v/>
      </c>
      <c r="AB32" s="247" t="str">
        <f>IF(ISERROR(Q32),"", IF(Q32=0, "", IF(Q32&gt;'Calculs Péremption FA'!$CB28, 'Calculs Péremption FA'!$BX28-Paramétrage!$D$29*(365/12), U32)))</f>
        <v/>
      </c>
      <c r="AC32" s="248" t="str">
        <f>IF(ISERROR(Q32), AW32, IF(Q32=0, IF(AND(M32=0, OR(N32&gt;0, O32&gt;0)), AX32, ""), IF(Q32&gt;'Calculs Péremption FA'!$CB28, IF(Q32&lt;'Saisie données stocks'!$N$14, CONCATENATE('TRAD-Calculs dispo Données FA'!$B$88, " - ", 'Calculs Péremption FA'!$BY28, "/", 'Calculs Péremption FA'!$BZ28, "/", 'Calculs Péremption FA'!$CA28), 'Calculs Péremption FA'!CC28), V32)))</f>
        <v>1093B &amp; conso =0</v>
      </c>
      <c r="AE32" s="231" t="e">
        <f>(Calculs!M283/Calculs!O174)</f>
        <v>#DIV/0!</v>
      </c>
      <c r="AF32" s="231" t="e">
        <f t="shared" si="3"/>
        <v>#DIV/0!</v>
      </c>
      <c r="AG32" s="236" t="e">
        <f>AE32-Paramétrage!$D$29</f>
        <v>#DIV/0!</v>
      </c>
      <c r="AH32" s="241" t="e">
        <f>IF(AE32&lt;Paramétrage!$D$29, AE32, Paramétrage!$D$29)</f>
        <v>#DIV/0!</v>
      </c>
      <c r="AI32" s="247" t="e">
        <f>Paramétrage!$H$19+AG32*(365/12)</f>
        <v>#DIV/0!</v>
      </c>
      <c r="AJ32" s="248" t="e">
        <f>IF(AE32&lt;Paramétrage!$D$29, Paramétrage!$H$19+AH32*(365/12), Paramétrage!$H$19+AE32*(365/12))</f>
        <v>#DIV/0!</v>
      </c>
      <c r="AL32" s="231" t="str">
        <f>IF(ISERROR(AE32),"", IF(AE32=0, "", IF(AE32&gt;'Calculs Péremption FA'!$CB28, 'Calculs Péremption FA'!$CB28, AE32)))</f>
        <v/>
      </c>
      <c r="AM32" s="582" t="str">
        <f t="shared" si="4"/>
        <v/>
      </c>
      <c r="AN32" s="236" t="str">
        <f>IF(ISERROR(AE32),"", IF(AE32=0, "", IF(AE32&gt;'Calculs Péremption FA'!$CB28, 'Calculs Péremption FA'!$CB28-Paramétrage!$D$29, AG32)))</f>
        <v/>
      </c>
      <c r="AO32" s="425" t="str">
        <f>IF(ISERROR(AE32),"", IF(AE32=0, "", IF(AE32&gt;'Calculs Péremption FA'!$CB28, Paramétrage!$D$29, AH32)))</f>
        <v/>
      </c>
      <c r="AP32" s="247" t="str">
        <f>IF(ISERROR(AE32),"", IF(AE32=0, "", IF(AE32&gt;'Calculs Péremption FA'!$CB28, 'Calculs Péremption FA'!$BX28-Paramétrage!$D$29*(365/12), AI32)))</f>
        <v/>
      </c>
      <c r="AQ32" s="248" t="str">
        <f>IF(ISERROR(AE32),"", IF(AE32=0, "", IF(AE32&gt;'Calculs Péremption FA'!$CB28, CONCATENATE('TRAD-Calculs dispo Données FA'!$B$88, " - ", 'Calculs Péremption FA'!$BY28, "/", 'Calculs Péremption FA'!$BZ28, "/", 'Calculs Péremption FA'!$CA28), AJ32)))</f>
        <v/>
      </c>
      <c r="AS32" s="2061">
        <f>Calculs!$M283</f>
        <v>1093</v>
      </c>
      <c r="AT32" s="2062">
        <f>Calculs!$O174</f>
        <v>0</v>
      </c>
      <c r="AU32" s="2068">
        <f>Calculs!$N228</f>
        <v>0</v>
      </c>
      <c r="AV32" s="2070" t="str">
        <f>IF(AND(AU32=0, AS32=0, AT32=0), 'TRAD-Calculs dispo Données FA'!$B$82, "")</f>
        <v/>
      </c>
      <c r="AW32" s="2062" t="str">
        <f>IF(AND(AU32=0, AS32&gt;0, AT32=0), CONCATENATE(AS32, 'TRAD-Calculs dispo Données FA'!$B$80," =0"), "")</f>
        <v>1093B &amp; conso =0</v>
      </c>
      <c r="AX32" s="2063" t="str">
        <f>IF(AND(AS32=0, OR(AT32&gt;=1, AU32&gt;=1)), 'TRAD-Calculs dispo Données FA'!$B$81, "")</f>
        <v/>
      </c>
    </row>
    <row r="33" spans="3:50" s="358" customFormat="1" ht="25.5" x14ac:dyDescent="0.2">
      <c r="C33" s="374"/>
      <c r="D33" s="375"/>
      <c r="E33" s="376" t="str">
        <f>'Saisie données stocks'!F41</f>
        <v>ABC</v>
      </c>
      <c r="F33" s="377" t="str">
        <f>'Saisie données stocks'!G41</f>
        <v>Cp</v>
      </c>
      <c r="G33" s="377" t="str">
        <f>'Saisie données stocks'!H41</f>
        <v>60 mg</v>
      </c>
      <c r="H33" s="378" t="str">
        <f>CONCATENATE(E33, " - ", G33, " - ", 'TRAD-Calculs dispo Données FA'!$B$79,"/", K33)</f>
        <v>ABC - 60 mg - B/60</v>
      </c>
      <c r="I33" s="380">
        <f>Calculs!K124</f>
        <v>2</v>
      </c>
      <c r="J33" s="380">
        <f t="shared" si="7"/>
        <v>60</v>
      </c>
      <c r="K33" s="114">
        <f>Calculs!J124</f>
        <v>60</v>
      </c>
      <c r="L33" s="381">
        <f t="shared" si="0"/>
        <v>1</v>
      </c>
      <c r="M33" s="1820">
        <f>IF('Saisie données stocks'!$O$10='TRAD-Saisie données stocks'!$B$51, 'Calculs Péremption FA'!BU29, Calculs!M284)</f>
        <v>0</v>
      </c>
      <c r="N33" s="1820">
        <f>Calculs!O175</f>
        <v>0</v>
      </c>
      <c r="O33" s="1820">
        <f>Calculs!N229</f>
        <v>0</v>
      </c>
      <c r="P33"/>
      <c r="Q33" s="231" t="e">
        <f t="shared" si="6"/>
        <v>#DIV/0!</v>
      </c>
      <c r="R33" s="231" t="e">
        <f t="shared" si="1"/>
        <v>#DIV/0!</v>
      </c>
      <c r="S33" s="236" t="e">
        <f>Q33-Paramétrage!$D$29</f>
        <v>#DIV/0!</v>
      </c>
      <c r="T33" s="241" t="e">
        <f>IF(Q33&lt;Paramétrage!$D$29, Q33, Paramétrage!$D$29)</f>
        <v>#DIV/0!</v>
      </c>
      <c r="U33" s="247" t="e">
        <f>Paramétrage!$H$19+S33*(365/12)</f>
        <v>#DIV/0!</v>
      </c>
      <c r="V33" s="248" t="e">
        <f>IF(Q33&lt;Paramétrage!$D$29, Paramétrage!$H$19+T33*(365/12), Paramétrage!$H$19+Q33*(365/12))</f>
        <v>#DIV/0!</v>
      </c>
      <c r="X33" s="231" t="str">
        <f>IF(ISERROR(Q33),"", IF(Q33=0, "", IF(Q33&gt;'Calculs Péremption FA'!$CB29, 'Calculs Péremption FA'!$CB29, Q33)))</f>
        <v/>
      </c>
      <c r="Y33" s="582" t="str">
        <f t="shared" si="2"/>
        <v/>
      </c>
      <c r="Z33" s="236" t="str">
        <f>IF(ISERROR(Q33),"", IF(Q33=0, "", IF(Q33&gt;'Calculs Péremption FA'!$CB29, 'Calculs Péremption FA'!$CB29-Paramétrage!$D$29, S33)))</f>
        <v/>
      </c>
      <c r="AA33" s="425" t="str">
        <f>IF(ISERROR(Q33),"", IF(Q33=0, "", IF(Q33&gt;'Calculs Péremption FA'!$CB29, Paramétrage!$D$29, T33)))</f>
        <v/>
      </c>
      <c r="AB33" s="247" t="str">
        <f>IF(ISERROR(Q33),"", IF(Q33=0, "", IF(Q33&gt;'Calculs Péremption FA'!$CB29, 'Calculs Péremption FA'!$BX29-Paramétrage!$D$29*(365/12), U33)))</f>
        <v/>
      </c>
      <c r="AC33" s="248" t="str">
        <f>IF(ISERROR(Q33), AW33, IF(Q33=0, IF(AND(M33=0, OR(N33&gt;0, O33&gt;0)), AX33, ""), IF(Q33&gt;'Calculs Péremption FA'!$CB29, IF(Q33&lt;'Saisie données stocks'!$N$14, CONCATENATE('TRAD-Calculs dispo Données FA'!$B$88, " - ", 'Calculs Péremption FA'!$BY29, "/", 'Calculs Péremption FA'!$BZ29, "/", 'Calculs Péremption FA'!$CA29), 'Calculs Péremption FA'!CC29), V33)))</f>
        <v/>
      </c>
      <c r="AE33" s="231" t="e">
        <f>(Calculs!M284/Calculs!O175)</f>
        <v>#DIV/0!</v>
      </c>
      <c r="AF33" s="231" t="e">
        <f t="shared" si="3"/>
        <v>#DIV/0!</v>
      </c>
      <c r="AG33" s="236" t="e">
        <f>AE33-Paramétrage!$D$29</f>
        <v>#DIV/0!</v>
      </c>
      <c r="AH33" s="241" t="e">
        <f>IF(AE33&lt;Paramétrage!$D$29, AE33, Paramétrage!$D$29)</f>
        <v>#DIV/0!</v>
      </c>
      <c r="AI33" s="247" t="e">
        <f>Paramétrage!$H$19+AG33*(365/12)</f>
        <v>#DIV/0!</v>
      </c>
      <c r="AJ33" s="248" t="e">
        <f>IF(AE33&lt;Paramétrage!$D$29, Paramétrage!$H$19+AH33*(365/12), Paramétrage!$H$19+AE33*(365/12))</f>
        <v>#DIV/0!</v>
      </c>
      <c r="AL33" s="231" t="str">
        <f>IF(ISERROR(AE33),"", IF(AE33=0, "", IF(AE33&gt;'Calculs Péremption FA'!$CB29, 'Calculs Péremption FA'!$CB29, AE33)))</f>
        <v/>
      </c>
      <c r="AM33" s="582" t="str">
        <f t="shared" si="4"/>
        <v/>
      </c>
      <c r="AN33" s="236" t="str">
        <f>IF(ISERROR(AE33),"", IF(AE33=0, "", IF(AE33&gt;'Calculs Péremption FA'!$CB29, 'Calculs Péremption FA'!$CB29-Paramétrage!$D$29, AG33)))</f>
        <v/>
      </c>
      <c r="AO33" s="425" t="str">
        <f>IF(ISERROR(AE33),"", IF(AE33=0, "", IF(AE33&gt;'Calculs Péremption FA'!$CB29, Paramétrage!$D$29, AH33)))</f>
        <v/>
      </c>
      <c r="AP33" s="247" t="str">
        <f>IF(ISERROR(AE33),"", IF(AE33=0, "", IF(AE33&gt;'Calculs Péremption FA'!$CB29, 'Calculs Péremption FA'!$BX29-Paramétrage!$D$29*(365/12), AI33)))</f>
        <v/>
      </c>
      <c r="AQ33" s="248" t="str">
        <f>IF(ISERROR(AE33),"", IF(AE33=0, "", IF(AE33&gt;'Calculs Péremption FA'!$CB29, CONCATENATE('TRAD-Calculs dispo Données FA'!$B$88, " - ", 'Calculs Péremption FA'!$BY29, "/", 'Calculs Péremption FA'!$BZ29, "/", 'Calculs Péremption FA'!$CA29), AJ33)))</f>
        <v/>
      </c>
      <c r="AS33" s="2061">
        <f>Calculs!$M284</f>
        <v>0</v>
      </c>
      <c r="AT33" s="2062">
        <f>Calculs!$O175</f>
        <v>0</v>
      </c>
      <c r="AU33" s="2068">
        <f>Calculs!$N229</f>
        <v>0</v>
      </c>
      <c r="AV33" s="2070" t="str">
        <f>IF(AND(AU33=0, AS33=0, AT33=0), 'TRAD-Calculs dispo Données FA'!$B$82, "")</f>
        <v>Stock et besoin nul</v>
      </c>
      <c r="AW33" s="2062" t="str">
        <f>IF(AND(AU33=0, AS33&gt;0, AT33=0), CONCATENATE(AS33, 'TRAD-Calculs dispo Données FA'!$B$80," =0"), "")</f>
        <v/>
      </c>
      <c r="AX33" s="2063" t="str">
        <f>IF(AND(AS33=0, OR(AT33&gt;=1, AU33&gt;=1)), 'TRAD-Calculs dispo Données FA'!$B$81, "")</f>
        <v/>
      </c>
    </row>
    <row r="34" spans="3:50" s="358" customFormat="1" ht="25.5" x14ac:dyDescent="0.2">
      <c r="C34" s="374"/>
      <c r="D34" s="375"/>
      <c r="E34" s="376" t="str">
        <f>'Saisie données stocks'!F42</f>
        <v>AZT</v>
      </c>
      <c r="F34" s="377" t="str">
        <f>'Saisie données stocks'!G42</f>
        <v>Cp</v>
      </c>
      <c r="G34" s="383" t="str">
        <f>'Saisie données stocks'!H42</f>
        <v>300 mg</v>
      </c>
      <c r="H34" s="378" t="str">
        <f>CONCATENATE(E34, " - ", G34, " - ", 'TRAD-Calculs dispo Données FA'!$B$79,"/", K34)</f>
        <v>AZT - 300 mg - B/60</v>
      </c>
      <c r="I34" s="380">
        <f>Calculs!K125</f>
        <v>2</v>
      </c>
      <c r="J34" s="380">
        <f t="shared" si="7"/>
        <v>60</v>
      </c>
      <c r="K34" s="114">
        <f>Calculs!J125</f>
        <v>60</v>
      </c>
      <c r="L34" s="381">
        <f t="shared" si="0"/>
        <v>1</v>
      </c>
      <c r="M34" s="1820">
        <f>IF('Saisie données stocks'!$O$10='TRAD-Saisie données stocks'!$B$51, 'Calculs Péremption FA'!BU30, Calculs!M285)</f>
        <v>0</v>
      </c>
      <c r="N34" s="1820">
        <f>Calculs!O176</f>
        <v>0</v>
      </c>
      <c r="O34" s="1820">
        <f>Calculs!N230</f>
        <v>0</v>
      </c>
      <c r="P34"/>
      <c r="Q34" s="231" t="e">
        <f t="shared" si="6"/>
        <v>#DIV/0!</v>
      </c>
      <c r="R34" s="231" t="e">
        <f t="shared" si="1"/>
        <v>#DIV/0!</v>
      </c>
      <c r="S34" s="236" t="e">
        <f>Q34-Paramétrage!$D$29</f>
        <v>#DIV/0!</v>
      </c>
      <c r="T34" s="241" t="e">
        <f>IF(Q34&lt;Paramétrage!$D$29, Q34, Paramétrage!$D$29)</f>
        <v>#DIV/0!</v>
      </c>
      <c r="U34" s="247" t="e">
        <f>Paramétrage!$H$19+S34*(365/12)</f>
        <v>#DIV/0!</v>
      </c>
      <c r="V34" s="248" t="e">
        <f>IF(Q34&lt;Paramétrage!$D$29, Paramétrage!$H$19+T34*(365/12), Paramétrage!$H$19+Q34*(365/12))</f>
        <v>#DIV/0!</v>
      </c>
      <c r="X34" s="231" t="str">
        <f>IF(ISERROR(Q34),"", IF(Q34=0, "", IF(Q34&gt;'Calculs Péremption FA'!$CB30, 'Calculs Péremption FA'!$CB30, Q34)))</f>
        <v/>
      </c>
      <c r="Y34" s="582" t="str">
        <f t="shared" si="2"/>
        <v/>
      </c>
      <c r="Z34" s="236" t="str">
        <f>IF(ISERROR(Q34),"", IF(Q34=0, "", IF(Q34&gt;'Calculs Péremption FA'!$CB30, 'Calculs Péremption FA'!$CB30-Paramétrage!$D$29, S34)))</f>
        <v/>
      </c>
      <c r="AA34" s="425" t="str">
        <f>IF(ISERROR(Q34),"", IF(Q34=0, "", IF(Q34&gt;'Calculs Péremption FA'!$CB30, Paramétrage!$D$29, T34)))</f>
        <v/>
      </c>
      <c r="AB34" s="247" t="str">
        <f>IF(ISERROR(Q34),"", IF(Q34=0, "", IF(Q34&gt;'Calculs Péremption FA'!$CB30, 'Calculs Péremption FA'!$BX30-Paramétrage!$D$29*(365/12), U34)))</f>
        <v/>
      </c>
      <c r="AC34" s="248" t="str">
        <f>IF(ISERROR(Q34), AW34, IF(Q34=0, IF(AND(M34=0, OR(N34&gt;0, O34&gt;0)), AX34, ""), IF(Q34&gt;'Calculs Péremption FA'!$CB30, IF(Q34&lt;'Saisie données stocks'!$N$14, CONCATENATE('TRAD-Calculs dispo Données FA'!$B$88, " - ", 'Calculs Péremption FA'!$BY30, "/", 'Calculs Péremption FA'!$BZ30, "/", 'Calculs Péremption FA'!$CA30), 'Calculs Péremption FA'!CC30), V34)))</f>
        <v/>
      </c>
      <c r="AE34" s="231" t="e">
        <f>(Calculs!M285/Calculs!O176)</f>
        <v>#DIV/0!</v>
      </c>
      <c r="AF34" s="231" t="e">
        <f t="shared" si="3"/>
        <v>#DIV/0!</v>
      </c>
      <c r="AG34" s="236" t="e">
        <f>AE34-Paramétrage!$D$29</f>
        <v>#DIV/0!</v>
      </c>
      <c r="AH34" s="241" t="e">
        <f>IF(AE34&lt;Paramétrage!$D$29, AE34, Paramétrage!$D$29)</f>
        <v>#DIV/0!</v>
      </c>
      <c r="AI34" s="247" t="e">
        <f>Paramétrage!$H$19+AG34*(365/12)</f>
        <v>#DIV/0!</v>
      </c>
      <c r="AJ34" s="248" t="e">
        <f>IF(AE34&lt;Paramétrage!$D$29, Paramétrage!$H$19+AH34*(365/12), Paramétrage!$H$19+AE34*(365/12))</f>
        <v>#DIV/0!</v>
      </c>
      <c r="AL34" s="231" t="str">
        <f>IF(ISERROR(AE34),"", IF(AE34=0, "", IF(AE34&gt;'Calculs Péremption FA'!$CB30, 'Calculs Péremption FA'!$CB30, AE34)))</f>
        <v/>
      </c>
      <c r="AM34" s="582" t="str">
        <f t="shared" si="4"/>
        <v/>
      </c>
      <c r="AN34" s="236" t="str">
        <f>IF(ISERROR(AE34),"", IF(AE34=0, "", IF(AE34&gt;'Calculs Péremption FA'!$CB30, 'Calculs Péremption FA'!$CB30-Paramétrage!$D$29, AG34)))</f>
        <v/>
      </c>
      <c r="AO34" s="425" t="str">
        <f>IF(ISERROR(AE34),"", IF(AE34=0, "", IF(AE34&gt;'Calculs Péremption FA'!$CB30, Paramétrage!$D$29, AH34)))</f>
        <v/>
      </c>
      <c r="AP34" s="247" t="str">
        <f>IF(ISERROR(AE34),"", IF(AE34=0, "", IF(AE34&gt;'Calculs Péremption FA'!$CB30, 'Calculs Péremption FA'!$BX30-Paramétrage!$D$29*(365/12), AI34)))</f>
        <v/>
      </c>
      <c r="AQ34" s="248" t="str">
        <f>IF(ISERROR(AE34),"", IF(AE34=0, "", IF(AE34&gt;'Calculs Péremption FA'!$CB30, CONCATENATE('TRAD-Calculs dispo Données FA'!$B$88, " - ", 'Calculs Péremption FA'!$BY30, "/", 'Calculs Péremption FA'!$BZ30, "/", 'Calculs Péremption FA'!$CA30), AJ34)))</f>
        <v/>
      </c>
      <c r="AS34" s="2061">
        <f>Calculs!$M285</f>
        <v>0</v>
      </c>
      <c r="AT34" s="2062">
        <f>Calculs!$O176</f>
        <v>0</v>
      </c>
      <c r="AU34" s="2068">
        <f>Calculs!$N230</f>
        <v>0</v>
      </c>
      <c r="AV34" s="2070" t="str">
        <f>IF(AND(AU34=0, AS34=0, AT34=0), 'TRAD-Calculs dispo Données FA'!$B$82, "")</f>
        <v>Stock et besoin nul</v>
      </c>
      <c r="AW34" s="2062" t="str">
        <f>IF(AND(AU34=0, AS34&gt;0, AT34=0), CONCATENATE(AS34, 'TRAD-Calculs dispo Données FA'!$B$80," =0"), "")</f>
        <v/>
      </c>
      <c r="AX34" s="2063" t="str">
        <f>IF(AND(AS34=0, OR(AT34&gt;=1, AU34&gt;=1)), 'TRAD-Calculs dispo Données FA'!$B$81, "")</f>
        <v/>
      </c>
    </row>
    <row r="35" spans="3:50" s="358" customFormat="1" ht="25.5" x14ac:dyDescent="0.2">
      <c r="C35" s="374"/>
      <c r="D35" s="375"/>
      <c r="E35" s="376" t="str">
        <f>'Saisie données stocks'!F43</f>
        <v>AZT</v>
      </c>
      <c r="F35" s="377" t="str">
        <f>'Saisie données stocks'!G43</f>
        <v>Cp</v>
      </c>
      <c r="G35" s="1208" t="str">
        <f>'Saisie données stocks'!H43</f>
        <v>100 mg</v>
      </c>
      <c r="H35" s="378" t="str">
        <f>CONCATENATE(E35, " - ", G35, " - ", 'TRAD-Calculs dispo Données FA'!$B$79,"/", K35)</f>
        <v>AZT - 100 mg - B/100</v>
      </c>
      <c r="I35" s="380">
        <f>Calculs!K126</f>
        <v>0</v>
      </c>
      <c r="J35" s="380">
        <f t="shared" si="7"/>
        <v>0</v>
      </c>
      <c r="K35" s="114">
        <f>Calculs!J126</f>
        <v>100</v>
      </c>
      <c r="L35" s="381">
        <f t="shared" si="0"/>
        <v>0</v>
      </c>
      <c r="M35" s="1820">
        <f>IF('Saisie données stocks'!$O$10='TRAD-Saisie données stocks'!$B$51, 'Calculs Péremption FA'!BU31, Calculs!M286)</f>
        <v>0</v>
      </c>
      <c r="N35" s="1820">
        <f>Calculs!O177</f>
        <v>0</v>
      </c>
      <c r="O35" s="1820">
        <f>Calculs!N231</f>
        <v>0</v>
      </c>
      <c r="P35"/>
      <c r="Q35" s="231" t="e">
        <f t="shared" si="6"/>
        <v>#DIV/0!</v>
      </c>
      <c r="R35" s="231" t="e">
        <f t="shared" si="1"/>
        <v>#DIV/0!</v>
      </c>
      <c r="S35" s="236" t="e">
        <f>Q35-Paramétrage!$D$29</f>
        <v>#DIV/0!</v>
      </c>
      <c r="T35" s="241" t="e">
        <f>IF(Q35&lt;Paramétrage!$D$29, Q35, Paramétrage!$D$29)</f>
        <v>#DIV/0!</v>
      </c>
      <c r="U35" s="247" t="e">
        <f>Paramétrage!$H$19+S35*(365/12)</f>
        <v>#DIV/0!</v>
      </c>
      <c r="V35" s="248" t="e">
        <f>IF(Q35&lt;Paramétrage!$D$29, Paramétrage!$H$19+T35*(365/12), Paramétrage!$H$19+Q35*(365/12))</f>
        <v>#DIV/0!</v>
      </c>
      <c r="X35" s="231" t="str">
        <f>IF(ISERROR(Q35),"", IF(Q35=0, "", IF(Q35&gt;'Calculs Péremption FA'!$CB31, 'Calculs Péremption FA'!$CB31, Q35)))</f>
        <v/>
      </c>
      <c r="Y35" s="582" t="str">
        <f t="shared" si="2"/>
        <v/>
      </c>
      <c r="Z35" s="236" t="str">
        <f>IF(ISERROR(Q35),"", IF(Q35=0, "", IF(Q35&gt;'Calculs Péremption FA'!$CB31, 'Calculs Péremption FA'!$CB31-Paramétrage!$D$29, S35)))</f>
        <v/>
      </c>
      <c r="AA35" s="425" t="str">
        <f>IF(ISERROR(Q35),"", IF(Q35=0, "", IF(Q35&gt;'Calculs Péremption FA'!$CB31, Paramétrage!$D$29, T35)))</f>
        <v/>
      </c>
      <c r="AB35" s="247" t="str">
        <f>IF(ISERROR(Q35),"", IF(Q35=0, "", IF(Q35&gt;'Calculs Péremption FA'!$CB31, 'Calculs Péremption FA'!$BX31-Paramétrage!$D$29*(365/12), U35)))</f>
        <v/>
      </c>
      <c r="AC35" s="248" t="str">
        <f>IF(ISERROR(Q35), AW35, IF(Q35=0, IF(AND(M35=0, OR(N35&gt;0, O35&gt;0)), AX35, ""), IF(Q35&gt;'Calculs Péremption FA'!$CB31, IF(Q35&lt;'Saisie données stocks'!$N$14, CONCATENATE('TRAD-Calculs dispo Données FA'!$B$88, " - ", 'Calculs Péremption FA'!$BY31, "/", 'Calculs Péremption FA'!$BZ31, "/", 'Calculs Péremption FA'!$CA31), 'Calculs Péremption FA'!CC31), V35)))</f>
        <v/>
      </c>
      <c r="AE35" s="231" t="e">
        <f>(Calculs!M286/Calculs!O177)</f>
        <v>#DIV/0!</v>
      </c>
      <c r="AF35" s="231" t="e">
        <f t="shared" si="3"/>
        <v>#DIV/0!</v>
      </c>
      <c r="AG35" s="236" t="e">
        <f>AE35-Paramétrage!$D$29</f>
        <v>#DIV/0!</v>
      </c>
      <c r="AH35" s="241" t="e">
        <f>IF(AE35&lt;Paramétrage!$D$29, AE35, Paramétrage!$D$29)</f>
        <v>#DIV/0!</v>
      </c>
      <c r="AI35" s="247" t="e">
        <f>Paramétrage!$H$19+AG35*(365/12)</f>
        <v>#DIV/0!</v>
      </c>
      <c r="AJ35" s="248" t="e">
        <f>IF(AE35&lt;Paramétrage!$D$29, Paramétrage!$H$19+AH35*(365/12), Paramétrage!$H$19+AE35*(365/12))</f>
        <v>#DIV/0!</v>
      </c>
      <c r="AL35" s="231" t="str">
        <f>IF(ISERROR(AE35),"", IF(AE35=0, "", IF(AE35&gt;'Calculs Péremption FA'!$CB31, 'Calculs Péremption FA'!$CB31, AE35)))</f>
        <v/>
      </c>
      <c r="AM35" s="582" t="str">
        <f t="shared" si="4"/>
        <v/>
      </c>
      <c r="AN35" s="236" t="str">
        <f>IF(ISERROR(AE35),"", IF(AE35=0, "", IF(AE35&gt;'Calculs Péremption FA'!$CB31, 'Calculs Péremption FA'!$CB31-Paramétrage!$D$29, AG35)))</f>
        <v/>
      </c>
      <c r="AO35" s="425" t="str">
        <f>IF(ISERROR(AE35),"", IF(AE35=0, "", IF(AE35&gt;'Calculs Péremption FA'!$CB31, Paramétrage!$D$29, AH35)))</f>
        <v/>
      </c>
      <c r="AP35" s="247" t="str">
        <f>IF(ISERROR(AE35),"", IF(AE35=0, "", IF(AE35&gt;'Calculs Péremption FA'!$CB31, 'Calculs Péremption FA'!$BX31-Paramétrage!$D$29*(365/12), AI35)))</f>
        <v/>
      </c>
      <c r="AQ35" s="248" t="str">
        <f>IF(ISERROR(AE35),"", IF(AE35=0, "", IF(AE35&gt;'Calculs Péremption FA'!$CB31, CONCATENATE('TRAD-Calculs dispo Données FA'!$B$88, " - ", 'Calculs Péremption FA'!$BY31, "/", 'Calculs Péremption FA'!$BZ31, "/", 'Calculs Péremption FA'!$CA31), AJ35)))</f>
        <v/>
      </c>
      <c r="AS35" s="2061">
        <f>Calculs!$M286</f>
        <v>0</v>
      </c>
      <c r="AT35" s="2062">
        <f>Calculs!$O177</f>
        <v>0</v>
      </c>
      <c r="AU35" s="2068">
        <f>Calculs!$N231</f>
        <v>0</v>
      </c>
      <c r="AV35" s="2070" t="str">
        <f>IF(AND(AU35=0, AS35=0, AT35=0), 'TRAD-Calculs dispo Données FA'!$B$82, "")</f>
        <v>Stock et besoin nul</v>
      </c>
      <c r="AW35" s="2062" t="str">
        <f>IF(AND(AU35=0, AS35&gt;0, AT35=0), CONCATENATE(AS35, 'TRAD-Calculs dispo Données FA'!$B$80," =0"), "")</f>
        <v/>
      </c>
      <c r="AX35" s="2063" t="str">
        <f>IF(AND(AS35=0, OR(AT35&gt;=1, AU35&gt;=1)), 'TRAD-Calculs dispo Données FA'!$B$81, "")</f>
        <v/>
      </c>
    </row>
    <row r="36" spans="3:50" s="358" customFormat="1" ht="25.5" x14ac:dyDescent="0.2">
      <c r="C36" s="374"/>
      <c r="D36" s="375"/>
      <c r="E36" s="376" t="str">
        <f>'Saisie données stocks'!F44</f>
        <v>AZT</v>
      </c>
      <c r="F36" s="377" t="str">
        <f>'Saisie données stocks'!G44</f>
        <v>Cp</v>
      </c>
      <c r="G36" s="1208" t="str">
        <f>'Saisie données stocks'!H44</f>
        <v>60 mg</v>
      </c>
      <c r="H36" s="378" t="str">
        <f>CONCATENATE(E36, " - ", G36, " - ", 'TRAD-Calculs dispo Données FA'!$B$79,"/", K36)</f>
        <v>AZT - 60 mg - B/60</v>
      </c>
      <c r="I36" s="380">
        <f>Calculs!K127</f>
        <v>2</v>
      </c>
      <c r="J36" s="380">
        <f t="shared" si="7"/>
        <v>60</v>
      </c>
      <c r="K36" s="114">
        <f>Calculs!J127</f>
        <v>60</v>
      </c>
      <c r="L36" s="381">
        <f t="shared" si="0"/>
        <v>1</v>
      </c>
      <c r="M36" s="1820">
        <f>IF('Saisie données stocks'!$O$10='TRAD-Saisie données stocks'!$B$51, 'Calculs Péremption FA'!BU32, Calculs!M287)</f>
        <v>0</v>
      </c>
      <c r="N36" s="1820">
        <f>Calculs!O178</f>
        <v>0</v>
      </c>
      <c r="O36" s="1820">
        <f>Calculs!N232</f>
        <v>0</v>
      </c>
      <c r="P36"/>
      <c r="Q36" s="231" t="e">
        <f t="shared" si="6"/>
        <v>#DIV/0!</v>
      </c>
      <c r="R36" s="231" t="e">
        <f t="shared" si="1"/>
        <v>#DIV/0!</v>
      </c>
      <c r="S36" s="236" t="e">
        <f>Q36-Paramétrage!$D$29</f>
        <v>#DIV/0!</v>
      </c>
      <c r="T36" s="241" t="e">
        <f>IF(Q36&lt;Paramétrage!$D$29, Q36, Paramétrage!$D$29)</f>
        <v>#DIV/0!</v>
      </c>
      <c r="U36" s="247" t="e">
        <f>Paramétrage!$H$19+S36*(365/12)</f>
        <v>#DIV/0!</v>
      </c>
      <c r="V36" s="248" t="e">
        <f>IF(Q36&lt;Paramétrage!$D$29, Paramétrage!$H$19+T36*(365/12), Paramétrage!$H$19+Q36*(365/12))</f>
        <v>#DIV/0!</v>
      </c>
      <c r="X36" s="231" t="str">
        <f>IF(ISERROR(Q36),"", IF(Q36=0, "", IF(Q36&gt;'Calculs Péremption FA'!$CB32, 'Calculs Péremption FA'!$CB32, Q36)))</f>
        <v/>
      </c>
      <c r="Y36" s="582" t="str">
        <f t="shared" si="2"/>
        <v/>
      </c>
      <c r="Z36" s="236" t="str">
        <f>IF(ISERROR(Q36),"", IF(Q36=0, "", IF(Q36&gt;'Calculs Péremption FA'!$CB32, 'Calculs Péremption FA'!$CB32-Paramétrage!$D$29, S36)))</f>
        <v/>
      </c>
      <c r="AA36" s="425" t="str">
        <f>IF(ISERROR(Q36),"", IF(Q36=0, "", IF(Q36&gt;'Calculs Péremption FA'!$CB32, Paramétrage!$D$29, T36)))</f>
        <v/>
      </c>
      <c r="AB36" s="247" t="str">
        <f>IF(ISERROR(Q36),"", IF(Q36=0, "", IF(Q36&gt;'Calculs Péremption FA'!$CB32, 'Calculs Péremption FA'!$BX32-Paramétrage!$D$29*(365/12), U36)))</f>
        <v/>
      </c>
      <c r="AC36" s="248" t="str">
        <f>IF(ISERROR(Q36), AW36, IF(Q36=0, IF(AND(M36=0, OR(N36&gt;0, O36&gt;0)), AX36, ""), IF(Q36&gt;'Calculs Péremption FA'!$CB32, IF(Q36&lt;'Saisie données stocks'!$N$14, CONCATENATE('TRAD-Calculs dispo Données FA'!$B$88, " - ", 'Calculs Péremption FA'!$BY32, "/", 'Calculs Péremption FA'!$BZ32, "/", 'Calculs Péremption FA'!$CA32), 'Calculs Péremption FA'!CC32), V36)))</f>
        <v/>
      </c>
      <c r="AE36" s="231" t="e">
        <f>(Calculs!M287/Calculs!O178)</f>
        <v>#DIV/0!</v>
      </c>
      <c r="AF36" s="231" t="e">
        <f t="shared" si="3"/>
        <v>#DIV/0!</v>
      </c>
      <c r="AG36" s="236" t="e">
        <f>AE36-Paramétrage!$D$29</f>
        <v>#DIV/0!</v>
      </c>
      <c r="AH36" s="241" t="e">
        <f>IF(AE36&lt;Paramétrage!$D$29, AE36, Paramétrage!$D$29)</f>
        <v>#DIV/0!</v>
      </c>
      <c r="AI36" s="247" t="e">
        <f>Paramétrage!$H$19+AG36*(365/12)</f>
        <v>#DIV/0!</v>
      </c>
      <c r="AJ36" s="248" t="e">
        <f>IF(AE36&lt;Paramétrage!$D$29, Paramétrage!$H$19+AH36*(365/12), Paramétrage!$H$19+AE36*(365/12))</f>
        <v>#DIV/0!</v>
      </c>
      <c r="AL36" s="231" t="str">
        <f>IF(ISERROR(AE36),"", IF(AE36=0, "", IF(AE36&gt;'Calculs Péremption FA'!$CB32, 'Calculs Péremption FA'!$CB32, AE36)))</f>
        <v/>
      </c>
      <c r="AM36" s="582" t="str">
        <f t="shared" si="4"/>
        <v/>
      </c>
      <c r="AN36" s="236" t="str">
        <f>IF(ISERROR(AE36),"", IF(AE36=0, "", IF(AE36&gt;'Calculs Péremption FA'!$CB32, 'Calculs Péremption FA'!$CB32-Paramétrage!$D$29, AG36)))</f>
        <v/>
      </c>
      <c r="AO36" s="425" t="str">
        <f>IF(ISERROR(AE36),"", IF(AE36=0, "", IF(AE36&gt;'Calculs Péremption FA'!$CB32, Paramétrage!$D$29, AH36)))</f>
        <v/>
      </c>
      <c r="AP36" s="247" t="str">
        <f>IF(ISERROR(AE36),"", IF(AE36=0, "", IF(AE36&gt;'Calculs Péremption FA'!$CB32, 'Calculs Péremption FA'!$BX32-Paramétrage!$D$29*(365/12), AI36)))</f>
        <v/>
      </c>
      <c r="AQ36" s="248" t="str">
        <f>IF(ISERROR(AE36),"", IF(AE36=0, "", IF(AE36&gt;'Calculs Péremption FA'!$CB32, CONCATENATE('TRAD-Calculs dispo Données FA'!$B$88, " - ", 'Calculs Péremption FA'!$BY32, "/", 'Calculs Péremption FA'!$BZ32, "/", 'Calculs Péremption FA'!$CA32), AJ36)))</f>
        <v/>
      </c>
      <c r="AS36" s="2061">
        <f>Calculs!$M287</f>
        <v>0</v>
      </c>
      <c r="AT36" s="2062">
        <f>Calculs!$O178</f>
        <v>0</v>
      </c>
      <c r="AU36" s="2068">
        <f>Calculs!$N232</f>
        <v>0</v>
      </c>
      <c r="AV36" s="2070" t="str">
        <f>IF(AND(AU36=0, AS36=0, AT36=0), 'TRAD-Calculs dispo Données FA'!$B$82, "")</f>
        <v>Stock et besoin nul</v>
      </c>
      <c r="AW36" s="2062" t="str">
        <f>IF(AND(AU36=0, AS36&gt;0, AT36=0), CONCATENATE(AS36, 'TRAD-Calculs dispo Données FA'!$B$80," =0"), "")</f>
        <v/>
      </c>
      <c r="AX36" s="2063" t="str">
        <f>IF(AND(AS36=0, OR(AT36&gt;=1, AU36&gt;=1)), 'TRAD-Calculs dispo Données FA'!$B$81, "")</f>
        <v/>
      </c>
    </row>
    <row r="37" spans="3:50" s="358" customFormat="1" ht="25.5" x14ac:dyDescent="0.2">
      <c r="C37" s="374"/>
      <c r="D37" s="375"/>
      <c r="E37" s="376" t="str">
        <f>'Saisie données stocks'!F45</f>
        <v>D4T</v>
      </c>
      <c r="F37" s="377" t="str">
        <f>'Saisie données stocks'!G45</f>
        <v>Cp</v>
      </c>
      <c r="G37" s="383" t="str">
        <f>'Saisie données stocks'!H45</f>
        <v>30 mg</v>
      </c>
      <c r="H37" s="378" t="str">
        <f>CONCATENATE(E37, " - ", G37, " - ", 'TRAD-Calculs dispo Données FA'!$B$79,"/", K37)</f>
        <v>D4T - 30 mg - B/60</v>
      </c>
      <c r="I37" s="380">
        <f>Calculs!K128</f>
        <v>2</v>
      </c>
      <c r="J37" s="380">
        <f t="shared" si="7"/>
        <v>60</v>
      </c>
      <c r="K37" s="114">
        <f>Calculs!J128</f>
        <v>60</v>
      </c>
      <c r="L37" s="381">
        <f t="shared" si="0"/>
        <v>1</v>
      </c>
      <c r="M37" s="1820">
        <f>IF('Saisie données stocks'!$O$10='TRAD-Saisie données stocks'!$B$51, 'Calculs Péremption FA'!BU33, Calculs!M288)</f>
        <v>0</v>
      </c>
      <c r="N37" s="1820">
        <f>Calculs!O179</f>
        <v>0</v>
      </c>
      <c r="O37" s="1820">
        <f>Calculs!N233</f>
        <v>0</v>
      </c>
      <c r="P37"/>
      <c r="Q37" s="231" t="e">
        <f t="shared" si="6"/>
        <v>#DIV/0!</v>
      </c>
      <c r="R37" s="231" t="e">
        <f t="shared" si="1"/>
        <v>#DIV/0!</v>
      </c>
      <c r="S37" s="236" t="e">
        <f>Q37-Paramétrage!$D$29</f>
        <v>#DIV/0!</v>
      </c>
      <c r="T37" s="241" t="e">
        <f>IF(Q37&lt;Paramétrage!$D$29, Q37, Paramétrage!$D$29)</f>
        <v>#DIV/0!</v>
      </c>
      <c r="U37" s="247" t="e">
        <f>Paramétrage!$H$19+S37*(365/12)</f>
        <v>#DIV/0!</v>
      </c>
      <c r="V37" s="248" t="e">
        <f>IF(Q37&lt;Paramétrage!$D$29, Paramétrage!$H$19+T37*(365/12), Paramétrage!$H$19+Q37*(365/12))</f>
        <v>#DIV/0!</v>
      </c>
      <c r="X37" s="231" t="str">
        <f>IF(ISERROR(Q37),"", IF(Q37=0, "", IF(Q37&gt;'Calculs Péremption FA'!$CB33, 'Calculs Péremption FA'!$CB33, Q37)))</f>
        <v/>
      </c>
      <c r="Y37" s="582" t="str">
        <f t="shared" si="2"/>
        <v/>
      </c>
      <c r="Z37" s="236" t="str">
        <f>IF(ISERROR(Q37),"", IF(Q37=0, "", IF(Q37&gt;'Calculs Péremption FA'!$CB33, 'Calculs Péremption FA'!$CB33-Paramétrage!$D$29, S37)))</f>
        <v/>
      </c>
      <c r="AA37" s="425" t="str">
        <f>IF(ISERROR(Q37),"", IF(Q37=0, "", IF(Q37&gt;'Calculs Péremption FA'!$CB33, Paramétrage!$D$29, T37)))</f>
        <v/>
      </c>
      <c r="AB37" s="247" t="str">
        <f>IF(ISERROR(Q37),"", IF(Q37=0, "", IF(Q37&gt;'Calculs Péremption FA'!$CB33, 'Calculs Péremption FA'!$BX33-Paramétrage!$D$29*(365/12), U37)))</f>
        <v/>
      </c>
      <c r="AC37" s="248" t="str">
        <f>IF(ISERROR(Q37), AW37, IF(Q37=0, IF(AND(M37=0, OR(N37&gt;0, O37&gt;0)), AX37, ""), IF(Q37&gt;'Calculs Péremption FA'!$CB33, IF(Q37&lt;'Saisie données stocks'!$N$14, CONCATENATE('TRAD-Calculs dispo Données FA'!$B$88, " - ", 'Calculs Péremption FA'!$BY33, "/", 'Calculs Péremption FA'!$BZ33, "/", 'Calculs Péremption FA'!$CA33), 'Calculs Péremption FA'!CC33), V37)))</f>
        <v/>
      </c>
      <c r="AE37" s="231" t="e">
        <f>(Calculs!M288/Calculs!O179)</f>
        <v>#DIV/0!</v>
      </c>
      <c r="AF37" s="231" t="e">
        <f t="shared" si="3"/>
        <v>#DIV/0!</v>
      </c>
      <c r="AG37" s="236" t="e">
        <f>AE37-Paramétrage!$D$29</f>
        <v>#DIV/0!</v>
      </c>
      <c r="AH37" s="241" t="e">
        <f>IF(AE37&lt;Paramétrage!$D$29, AE37, Paramétrage!$D$29)</f>
        <v>#DIV/0!</v>
      </c>
      <c r="AI37" s="247" t="e">
        <f>Paramétrage!$H$19+AG37*(365/12)</f>
        <v>#DIV/0!</v>
      </c>
      <c r="AJ37" s="248" t="e">
        <f>IF(AE37&lt;Paramétrage!$D$29, Paramétrage!$H$19+AH37*(365/12), Paramétrage!$H$19+AE37*(365/12))</f>
        <v>#DIV/0!</v>
      </c>
      <c r="AL37" s="231" t="str">
        <f>IF(ISERROR(AE37),"", IF(AE37=0, "", IF(AE37&gt;'Calculs Péremption FA'!$CB33, 'Calculs Péremption FA'!$CB33, AE37)))</f>
        <v/>
      </c>
      <c r="AM37" s="582" t="str">
        <f t="shared" si="4"/>
        <v/>
      </c>
      <c r="AN37" s="236" t="str">
        <f>IF(ISERROR(AE37),"", IF(AE37=0, "", IF(AE37&gt;'Calculs Péremption FA'!$CB33, 'Calculs Péremption FA'!$CB33-Paramétrage!$D$29, AG37)))</f>
        <v/>
      </c>
      <c r="AO37" s="425" t="str">
        <f>IF(ISERROR(AE37),"", IF(AE37=0, "", IF(AE37&gt;'Calculs Péremption FA'!$CB33, Paramétrage!$D$29, AH37)))</f>
        <v/>
      </c>
      <c r="AP37" s="247" t="str">
        <f>IF(ISERROR(AE37),"", IF(AE37=0, "", IF(AE37&gt;'Calculs Péremption FA'!$CB33, 'Calculs Péremption FA'!$BX33-Paramétrage!$D$29*(365/12), AI37)))</f>
        <v/>
      </c>
      <c r="AQ37" s="248" t="str">
        <f>IF(ISERROR(AE37),"", IF(AE37=0, "", IF(AE37&gt;'Calculs Péremption FA'!$CB33, CONCATENATE('TRAD-Calculs dispo Données FA'!$B$88, " - ", 'Calculs Péremption FA'!$BY33, "/", 'Calculs Péremption FA'!$BZ33, "/", 'Calculs Péremption FA'!$CA33), AJ37)))</f>
        <v/>
      </c>
      <c r="AS37" s="2061">
        <f>Calculs!$M288</f>
        <v>0</v>
      </c>
      <c r="AT37" s="2062">
        <f>Calculs!$O179</f>
        <v>0</v>
      </c>
      <c r="AU37" s="2068">
        <f>Calculs!$N233</f>
        <v>0</v>
      </c>
      <c r="AV37" s="2070" t="str">
        <f>IF(AND(AU37=0, AS37=0, AT37=0), 'TRAD-Calculs dispo Données FA'!$B$82, "")</f>
        <v>Stock et besoin nul</v>
      </c>
      <c r="AW37" s="2062" t="str">
        <f>IF(AND(AU37=0, AS37&gt;0, AT37=0), CONCATENATE(AS37, 'TRAD-Calculs dispo Données FA'!$B$80," =0"), "")</f>
        <v/>
      </c>
      <c r="AX37" s="2063" t="str">
        <f>IF(AND(AS37=0, OR(AT37&gt;=1, AU37&gt;=1)), 'TRAD-Calculs dispo Données FA'!$B$81, "")</f>
        <v/>
      </c>
    </row>
    <row r="38" spans="3:50" s="358" customFormat="1" ht="25.5" x14ac:dyDescent="0.2">
      <c r="C38" s="374"/>
      <c r="D38" s="375"/>
      <c r="E38" s="376" t="str">
        <f>'Saisie données stocks'!F46</f>
        <v>3TC</v>
      </c>
      <c r="F38" s="377" t="str">
        <f>'Saisie données stocks'!G46</f>
        <v>Cp</v>
      </c>
      <c r="G38" s="1208" t="str">
        <f>'Saisie données stocks'!H46</f>
        <v>150 mg</v>
      </c>
      <c r="H38" s="378" t="str">
        <f>CONCATENATE(E38, " - ", G38, " - ", 'TRAD-Calculs dispo Données FA'!$B$79,"/", K38)</f>
        <v>3TC - 150 mg - B/60</v>
      </c>
      <c r="I38" s="380">
        <f>Calculs!K129</f>
        <v>2</v>
      </c>
      <c r="J38" s="380">
        <f t="shared" si="7"/>
        <v>60</v>
      </c>
      <c r="K38" s="114">
        <f>Calculs!J129</f>
        <v>60</v>
      </c>
      <c r="L38" s="381">
        <f t="shared" si="0"/>
        <v>1</v>
      </c>
      <c r="M38" s="1820">
        <f>IF('Saisie données stocks'!$O$10='TRAD-Saisie données stocks'!$B$51, 'Calculs Péremption FA'!BU34, Calculs!M289)</f>
        <v>0</v>
      </c>
      <c r="N38" s="1820">
        <f>Calculs!O180</f>
        <v>0</v>
      </c>
      <c r="O38" s="1820">
        <f>Calculs!N234</f>
        <v>0</v>
      </c>
      <c r="P38"/>
      <c r="Q38" s="231" t="e">
        <f t="shared" si="6"/>
        <v>#DIV/0!</v>
      </c>
      <c r="R38" s="231" t="e">
        <f t="shared" si="1"/>
        <v>#DIV/0!</v>
      </c>
      <c r="S38" s="236" t="e">
        <f>Q38-Paramétrage!$D$29</f>
        <v>#DIV/0!</v>
      </c>
      <c r="T38" s="241" t="e">
        <f>IF(Q38&lt;Paramétrage!$D$29, Q38, Paramétrage!$D$29)</f>
        <v>#DIV/0!</v>
      </c>
      <c r="U38" s="247" t="e">
        <f>Paramétrage!$H$19+S38*(365/12)</f>
        <v>#DIV/0!</v>
      </c>
      <c r="V38" s="248" t="e">
        <f>IF(Q38&lt;Paramétrage!$D$29, Paramétrage!$H$19+T38*(365/12), Paramétrage!$H$19+Q38*(365/12))</f>
        <v>#DIV/0!</v>
      </c>
      <c r="X38" s="231" t="str">
        <f>IF(ISERROR(Q38),"", IF(Q38=0, "", IF(Q38&gt;'Calculs Péremption FA'!$CB34, 'Calculs Péremption FA'!$CB34, Q38)))</f>
        <v/>
      </c>
      <c r="Y38" s="582" t="str">
        <f t="shared" si="2"/>
        <v/>
      </c>
      <c r="Z38" s="236" t="str">
        <f>IF(ISERROR(Q38),"", IF(Q38=0, "", IF(Q38&gt;'Calculs Péremption FA'!$CB34, 'Calculs Péremption FA'!$CB34-Paramétrage!$D$29, S38)))</f>
        <v/>
      </c>
      <c r="AA38" s="425" t="str">
        <f>IF(ISERROR(Q38),"", IF(Q38=0, "", IF(Q38&gt;'Calculs Péremption FA'!$CB34, Paramétrage!$D$29, T38)))</f>
        <v/>
      </c>
      <c r="AB38" s="247" t="str">
        <f>IF(ISERROR(Q38),"", IF(Q38=0, "", IF(Q38&gt;'Calculs Péremption FA'!$CB34, 'Calculs Péremption FA'!$BX34-Paramétrage!$D$29*(365/12), U38)))</f>
        <v/>
      </c>
      <c r="AC38" s="248" t="str">
        <f>IF(ISERROR(Q38), AW38, IF(Q38=0, IF(AND(M38=0, OR(N38&gt;0, O38&gt;0)), AX38, ""), IF(Q38&gt;'Calculs Péremption FA'!$CB34, IF(Q38&lt;'Saisie données stocks'!$N$14, CONCATENATE('TRAD-Calculs dispo Données FA'!$B$88, " - ", 'Calculs Péremption FA'!$BY34, "/", 'Calculs Péremption FA'!$BZ34, "/", 'Calculs Péremption FA'!$CA34), 'Calculs Péremption FA'!CC34), V38)))</f>
        <v/>
      </c>
      <c r="AE38" s="231" t="e">
        <f>(Calculs!M289/Calculs!O180)</f>
        <v>#DIV/0!</v>
      </c>
      <c r="AF38" s="231" t="e">
        <f t="shared" si="3"/>
        <v>#DIV/0!</v>
      </c>
      <c r="AG38" s="236" t="e">
        <f>AE38-Paramétrage!$D$29</f>
        <v>#DIV/0!</v>
      </c>
      <c r="AH38" s="241" t="e">
        <f>IF(AE38&lt;Paramétrage!$D$29, AE38, Paramétrage!$D$29)</f>
        <v>#DIV/0!</v>
      </c>
      <c r="AI38" s="247" t="e">
        <f>Paramétrage!$H$19+AG38*(365/12)</f>
        <v>#DIV/0!</v>
      </c>
      <c r="AJ38" s="248" t="e">
        <f>IF(AE38&lt;Paramétrage!$D$29, Paramétrage!$H$19+AH38*(365/12), Paramétrage!$H$19+AE38*(365/12))</f>
        <v>#DIV/0!</v>
      </c>
      <c r="AL38" s="231" t="str">
        <f>IF(ISERROR(AE38),"", IF(AE38=0, "", IF(AE38&gt;'Calculs Péremption FA'!$CB34, 'Calculs Péremption FA'!$CB34, AE38)))</f>
        <v/>
      </c>
      <c r="AM38" s="582" t="str">
        <f t="shared" si="4"/>
        <v/>
      </c>
      <c r="AN38" s="236" t="str">
        <f>IF(ISERROR(AE38),"", IF(AE38=0, "", IF(AE38&gt;'Calculs Péremption FA'!$CB34, 'Calculs Péremption FA'!$CB34-Paramétrage!$D$29, AG38)))</f>
        <v/>
      </c>
      <c r="AO38" s="425" t="str">
        <f>IF(ISERROR(AE38),"", IF(AE38=0, "", IF(AE38&gt;'Calculs Péremption FA'!$CB34, Paramétrage!$D$29, AH38)))</f>
        <v/>
      </c>
      <c r="AP38" s="247" t="str">
        <f>IF(ISERROR(AE38),"", IF(AE38=0, "", IF(AE38&gt;'Calculs Péremption FA'!$CB34, 'Calculs Péremption FA'!$BX34-Paramétrage!$D$29*(365/12), AI38)))</f>
        <v/>
      </c>
      <c r="AQ38" s="248" t="str">
        <f>IF(ISERROR(AE38),"", IF(AE38=0, "", IF(AE38&gt;'Calculs Péremption FA'!$CB34, CONCATENATE('TRAD-Calculs dispo Données FA'!$B$88, " - ", 'Calculs Péremption FA'!$BY34, "/", 'Calculs Péremption FA'!$BZ34, "/", 'Calculs Péremption FA'!$CA34), AJ38)))</f>
        <v/>
      </c>
      <c r="AS38" s="2061">
        <f>Calculs!$M289</f>
        <v>0</v>
      </c>
      <c r="AT38" s="2062">
        <f>Calculs!$O180</f>
        <v>0</v>
      </c>
      <c r="AU38" s="2068">
        <f>Calculs!$N234</f>
        <v>0</v>
      </c>
      <c r="AV38" s="2070" t="str">
        <f>IF(AND(AU38=0, AS38=0, AT38=0), 'TRAD-Calculs dispo Données FA'!$B$82, "")</f>
        <v>Stock et besoin nul</v>
      </c>
      <c r="AW38" s="2062" t="str">
        <f>IF(AND(AU38=0, AS38&gt;0, AT38=0), CONCATENATE(AS38, 'TRAD-Calculs dispo Données FA'!$B$80," =0"), "")</f>
        <v/>
      </c>
      <c r="AX38" s="2063" t="str">
        <f>IF(AND(AS38=0, OR(AT38&gt;=1, AU38&gt;=1)), 'TRAD-Calculs dispo Données FA'!$B$81, "")</f>
        <v/>
      </c>
    </row>
    <row r="39" spans="3:50" s="358" customFormat="1" ht="25.5" x14ac:dyDescent="0.2">
      <c r="C39" s="374"/>
      <c r="D39" s="375"/>
      <c r="E39" s="376" t="str">
        <f>'Saisie données stocks'!F47</f>
        <v>3TC</v>
      </c>
      <c r="F39" s="377" t="str">
        <f>'Saisie données stocks'!G47</f>
        <v>Cp</v>
      </c>
      <c r="G39" s="383" t="str">
        <f>'Saisie données stocks'!H47</f>
        <v>30 mg</v>
      </c>
      <c r="H39" s="378" t="str">
        <f>CONCATENATE(E39, " - ", G39, " - ", 'TRAD-Calculs dispo Données FA'!$B$79,"/", K39)</f>
        <v>3TC - 30 mg - B/60</v>
      </c>
      <c r="I39" s="380">
        <f>Calculs!K130</f>
        <v>2</v>
      </c>
      <c r="J39" s="380">
        <f t="shared" si="7"/>
        <v>60</v>
      </c>
      <c r="K39" s="114">
        <f>Calculs!J130</f>
        <v>60</v>
      </c>
      <c r="L39" s="381">
        <f t="shared" si="0"/>
        <v>1</v>
      </c>
      <c r="M39" s="1820">
        <f>IF('Saisie données stocks'!$O$10='TRAD-Saisie données stocks'!$B$51, 'Calculs Péremption FA'!BU35, Calculs!M290)</f>
        <v>0</v>
      </c>
      <c r="N39" s="1820">
        <f>Calculs!O181</f>
        <v>0</v>
      </c>
      <c r="O39" s="1820">
        <f>Calculs!N235</f>
        <v>0</v>
      </c>
      <c r="P39"/>
      <c r="Q39" s="231" t="e">
        <f t="shared" si="6"/>
        <v>#DIV/0!</v>
      </c>
      <c r="R39" s="231" t="e">
        <f t="shared" si="1"/>
        <v>#DIV/0!</v>
      </c>
      <c r="S39" s="236" t="e">
        <f>Q39-Paramétrage!$D$29</f>
        <v>#DIV/0!</v>
      </c>
      <c r="T39" s="241" t="e">
        <f>IF(Q39&lt;Paramétrage!$D$29, Q39, Paramétrage!$D$29)</f>
        <v>#DIV/0!</v>
      </c>
      <c r="U39" s="247" t="e">
        <f>Paramétrage!$H$19+S39*(365/12)</f>
        <v>#DIV/0!</v>
      </c>
      <c r="V39" s="248" t="e">
        <f>IF(Q39&lt;Paramétrage!$D$29, Paramétrage!$H$19+T39*(365/12), Paramétrage!$H$19+Q39*(365/12))</f>
        <v>#DIV/0!</v>
      </c>
      <c r="X39" s="231" t="str">
        <f>IF(ISERROR(Q39),"", IF(Q39=0, "", IF(Q39&gt;'Calculs Péremption FA'!$CB35, 'Calculs Péremption FA'!$CB35, Q39)))</f>
        <v/>
      </c>
      <c r="Y39" s="582" t="str">
        <f t="shared" si="2"/>
        <v/>
      </c>
      <c r="Z39" s="236" t="str">
        <f>IF(ISERROR(Q39),"", IF(Q39=0, "", IF(Q39&gt;'Calculs Péremption FA'!$CB35, 'Calculs Péremption FA'!$CB35-Paramétrage!$D$29, S39)))</f>
        <v/>
      </c>
      <c r="AA39" s="425" t="str">
        <f>IF(ISERROR(Q39),"", IF(Q39=0, "", IF(Q39&gt;'Calculs Péremption FA'!$CB35, Paramétrage!$D$29, T39)))</f>
        <v/>
      </c>
      <c r="AB39" s="247" t="str">
        <f>IF(ISERROR(Q39),"", IF(Q39=0, "", IF(Q39&gt;'Calculs Péremption FA'!$CB35, 'Calculs Péremption FA'!$BX35-Paramétrage!$D$29*(365/12), U39)))</f>
        <v/>
      </c>
      <c r="AC39" s="248" t="str">
        <f>IF(ISERROR(Q39), AW39, IF(Q39=0, IF(AND(M39=0, OR(N39&gt;0, O39&gt;0)), AX39, ""), IF(Q39&gt;'Calculs Péremption FA'!$CB35, IF(Q39&lt;'Saisie données stocks'!$N$14, CONCATENATE('TRAD-Calculs dispo Données FA'!$B$88, " - ", 'Calculs Péremption FA'!$BY35, "/", 'Calculs Péremption FA'!$BZ35, "/", 'Calculs Péremption FA'!$CA35), 'Calculs Péremption FA'!CC35), V39)))</f>
        <v/>
      </c>
      <c r="AE39" s="231" t="e">
        <f>(Calculs!M290/Calculs!O181)</f>
        <v>#DIV/0!</v>
      </c>
      <c r="AF39" s="231" t="e">
        <f t="shared" si="3"/>
        <v>#DIV/0!</v>
      </c>
      <c r="AG39" s="236" t="e">
        <f>AE39-Paramétrage!$D$29</f>
        <v>#DIV/0!</v>
      </c>
      <c r="AH39" s="241" t="e">
        <f>IF(AE39&lt;Paramétrage!$D$29, AE39, Paramétrage!$D$29)</f>
        <v>#DIV/0!</v>
      </c>
      <c r="AI39" s="247" t="e">
        <f>Paramétrage!$H$19+AG39*(365/12)</f>
        <v>#DIV/0!</v>
      </c>
      <c r="AJ39" s="248" t="e">
        <f>IF(AE39&lt;Paramétrage!$D$29, Paramétrage!$H$19+AH39*(365/12), Paramétrage!$H$19+AE39*(365/12))</f>
        <v>#DIV/0!</v>
      </c>
      <c r="AL39" s="231" t="str">
        <f>IF(ISERROR(AE39),"", IF(AE39=0, "", IF(AE39&gt;'Calculs Péremption FA'!$CB35, 'Calculs Péremption FA'!$CB35, AE39)))</f>
        <v/>
      </c>
      <c r="AM39" s="582" t="str">
        <f t="shared" si="4"/>
        <v/>
      </c>
      <c r="AN39" s="236" t="str">
        <f>IF(ISERROR(AE39),"", IF(AE39=0, "", IF(AE39&gt;'Calculs Péremption FA'!$CB35, 'Calculs Péremption FA'!$CB35-Paramétrage!$D$29, AG39)))</f>
        <v/>
      </c>
      <c r="AO39" s="425" t="str">
        <f>IF(ISERROR(AE39),"", IF(AE39=0, "", IF(AE39&gt;'Calculs Péremption FA'!$CB35, Paramétrage!$D$29, AH39)))</f>
        <v/>
      </c>
      <c r="AP39" s="247" t="str">
        <f>IF(ISERROR(AE39),"", IF(AE39=0, "", IF(AE39&gt;'Calculs Péremption FA'!$CB35, 'Calculs Péremption FA'!$BX35-Paramétrage!$D$29*(365/12), AI39)))</f>
        <v/>
      </c>
      <c r="AQ39" s="248" t="str">
        <f>IF(ISERROR(AE39),"", IF(AE39=0, "", IF(AE39&gt;'Calculs Péremption FA'!$CB35, CONCATENATE('TRAD-Calculs dispo Données FA'!$B$88, " - ", 'Calculs Péremption FA'!$BY35, "/", 'Calculs Péremption FA'!$BZ35, "/", 'Calculs Péremption FA'!$CA35), AJ39)))</f>
        <v/>
      </c>
      <c r="AS39" s="2061">
        <f>Calculs!$M290</f>
        <v>0</v>
      </c>
      <c r="AT39" s="2062">
        <f>Calculs!$O181</f>
        <v>0</v>
      </c>
      <c r="AU39" s="2068">
        <f>Calculs!$N235</f>
        <v>0</v>
      </c>
      <c r="AV39" s="2070" t="str">
        <f>IF(AND(AU39=0, AS39=0, AT39=0), 'TRAD-Calculs dispo Données FA'!$B$82, "")</f>
        <v>Stock et besoin nul</v>
      </c>
      <c r="AW39" s="2062" t="str">
        <f>IF(AND(AU39=0, AS39&gt;0, AT39=0), CONCATENATE(AS39, 'TRAD-Calculs dispo Données FA'!$B$80," =0"), "")</f>
        <v/>
      </c>
      <c r="AX39" s="2063" t="str">
        <f>IF(AND(AS39=0, OR(AT39&gt;=1, AU39&gt;=1)), 'TRAD-Calculs dispo Données FA'!$B$81, "")</f>
        <v/>
      </c>
    </row>
    <row r="40" spans="3:50" s="358" customFormat="1" ht="25.5" x14ac:dyDescent="0.2">
      <c r="C40" s="374"/>
      <c r="D40" s="375"/>
      <c r="E40" s="382" t="str">
        <f>'Saisie données stocks'!F48</f>
        <v>DDI</v>
      </c>
      <c r="F40" s="383" t="str">
        <f>'Saisie données stocks'!G48</f>
        <v>Cp</v>
      </c>
      <c r="G40" s="383" t="str">
        <f>'Saisie données stocks'!H48</f>
        <v>250 mg</v>
      </c>
      <c r="H40" s="384" t="str">
        <f>CONCATENATE(E40, " - ", G40, " - ", 'TRAD-Calculs dispo Données FA'!$B$79,"/", K40)</f>
        <v>DDI - 250 mg - B/30</v>
      </c>
      <c r="I40" s="386">
        <f>Calculs!K131</f>
        <v>1</v>
      </c>
      <c r="J40" s="386">
        <f t="shared" si="7"/>
        <v>30</v>
      </c>
      <c r="K40" s="115">
        <f>Calculs!J131</f>
        <v>30</v>
      </c>
      <c r="L40" s="387">
        <f t="shared" si="0"/>
        <v>1</v>
      </c>
      <c r="M40" s="1820">
        <f>IF('Saisie données stocks'!$O$10='TRAD-Saisie données stocks'!$B$51, 'Calculs Péremption FA'!BU36, Calculs!M291)</f>
        <v>0</v>
      </c>
      <c r="N40" s="1820">
        <f>Calculs!O182</f>
        <v>0</v>
      </c>
      <c r="O40" s="1820">
        <f>Calculs!N236</f>
        <v>0</v>
      </c>
      <c r="P40"/>
      <c r="Q40" s="231" t="e">
        <f t="shared" si="6"/>
        <v>#DIV/0!</v>
      </c>
      <c r="R40" s="231" t="e">
        <f t="shared" si="1"/>
        <v>#DIV/0!</v>
      </c>
      <c r="S40" s="237" t="e">
        <f>Q40-Paramétrage!$D$29</f>
        <v>#DIV/0!</v>
      </c>
      <c r="T40" s="242" t="e">
        <f>IF(Q40&lt;Paramétrage!$D$29, Q40, Paramétrage!$D$29)</f>
        <v>#DIV/0!</v>
      </c>
      <c r="U40" s="249" t="e">
        <f>Paramétrage!$H$19+S40*(365/12)</f>
        <v>#DIV/0!</v>
      </c>
      <c r="V40" s="250" t="e">
        <f>IF(Q40&lt;Paramétrage!$D$29, Paramétrage!$H$19+T40*(365/12), Paramétrage!$H$19+Q40*(365/12))</f>
        <v>#DIV/0!</v>
      </c>
      <c r="X40" s="231" t="str">
        <f>IF(ISERROR(Q40),"", IF(Q40=0, "", IF(Q40&gt;'Calculs Péremption FA'!$CB36, 'Calculs Péremption FA'!$CB36, Q40)))</f>
        <v/>
      </c>
      <c r="Y40" s="582" t="str">
        <f t="shared" si="2"/>
        <v/>
      </c>
      <c r="Z40" s="237" t="str">
        <f>IF(ISERROR(Q40),"", IF(Q40=0, "", IF(Q40&gt;'Calculs Péremption FA'!$CB36, 'Calculs Péremption FA'!$CB36-Paramétrage!$D$29, S40)))</f>
        <v/>
      </c>
      <c r="AA40" s="426" t="str">
        <f>IF(ISERROR(Q40),"", IF(Q40=0, "", IF(Q40&gt;'Calculs Péremption FA'!$CB36, Paramétrage!$D$29, T40)))</f>
        <v/>
      </c>
      <c r="AB40" s="249" t="str">
        <f>IF(ISERROR(Q40),"", IF(Q40=0, "", IF(Q40&gt;'Calculs Péremption FA'!$CB36, 'Calculs Péremption FA'!$BX36-Paramétrage!$D$29*(365/12), U40)))</f>
        <v/>
      </c>
      <c r="AC40" s="250" t="str">
        <f>IF(ISERROR(Q40), AW40, IF(Q40=0, IF(AND(M40=0, OR(N40&gt;0, O40&gt;0)), AX40, ""), IF(Q40&gt;'Calculs Péremption FA'!$CB36, IF(Q40&lt;'Saisie données stocks'!$N$14, CONCATENATE('TRAD-Calculs dispo Données FA'!$B$88, " - ", 'Calculs Péremption FA'!$BY36, "/", 'Calculs Péremption FA'!$BZ36, "/", 'Calculs Péremption FA'!$CA36), 'Calculs Péremption FA'!CC36), V40)))</f>
        <v/>
      </c>
      <c r="AE40" s="231" t="e">
        <f>(Calculs!M291/Calculs!O182)</f>
        <v>#DIV/0!</v>
      </c>
      <c r="AF40" s="231" t="e">
        <f t="shared" si="3"/>
        <v>#DIV/0!</v>
      </c>
      <c r="AG40" s="237" t="e">
        <f>AE40-Paramétrage!$D$29</f>
        <v>#DIV/0!</v>
      </c>
      <c r="AH40" s="242" t="e">
        <f>IF(AE40&lt;Paramétrage!$D$29, AE40, Paramétrage!$D$29)</f>
        <v>#DIV/0!</v>
      </c>
      <c r="AI40" s="249" t="e">
        <f>Paramétrage!$H$19+AG40*(365/12)</f>
        <v>#DIV/0!</v>
      </c>
      <c r="AJ40" s="250" t="e">
        <f>IF(AE40&lt;Paramétrage!$D$29, Paramétrage!$H$19+AH40*(365/12), Paramétrage!$H$19+AE40*(365/12))</f>
        <v>#DIV/0!</v>
      </c>
      <c r="AL40" s="231" t="str">
        <f>IF(ISERROR(AE40),"", IF(AE40=0, "", IF(AE40&gt;'Calculs Péremption FA'!$CB36, 'Calculs Péremption FA'!$CB36, AE40)))</f>
        <v/>
      </c>
      <c r="AM40" s="582" t="str">
        <f t="shared" si="4"/>
        <v/>
      </c>
      <c r="AN40" s="237" t="str">
        <f>IF(ISERROR(AE40),"", IF(AE40=0, "", IF(AE40&gt;'Calculs Péremption FA'!$CB36, 'Calculs Péremption FA'!$CB36-Paramétrage!$D$29, AG40)))</f>
        <v/>
      </c>
      <c r="AO40" s="426" t="str">
        <f>IF(ISERROR(AE40),"", IF(AE40=0, "", IF(AE40&gt;'Calculs Péremption FA'!$CB36, Paramétrage!$D$29, AH40)))</f>
        <v/>
      </c>
      <c r="AP40" s="249" t="str">
        <f>IF(ISERROR(AE40),"", IF(AE40=0, "", IF(AE40&gt;'Calculs Péremption FA'!$CB36, 'Calculs Péremption FA'!$BX36-Paramétrage!$D$29*(365/12), AI40)))</f>
        <v/>
      </c>
      <c r="AQ40" s="250" t="str">
        <f>IF(ISERROR(AE40),"", IF(AE40=0, "", IF(AE40&gt;'Calculs Péremption FA'!$CB36, CONCATENATE('TRAD-Calculs dispo Données FA'!$B$88, " - ", 'Calculs Péremption FA'!$BY36, "/", 'Calculs Péremption FA'!$BZ36, "/", 'Calculs Péremption FA'!$CA36), AJ40)))</f>
        <v/>
      </c>
      <c r="AS40" s="2061">
        <f>Calculs!$M291</f>
        <v>0</v>
      </c>
      <c r="AT40" s="2062">
        <f>Calculs!$O182</f>
        <v>0</v>
      </c>
      <c r="AU40" s="2068">
        <f>Calculs!$N236</f>
        <v>0</v>
      </c>
      <c r="AV40" s="2070" t="str">
        <f>IF(AND(AU40=0, AS40=0, AT40=0), 'TRAD-Calculs dispo Données FA'!$B$82, "")</f>
        <v>Stock et besoin nul</v>
      </c>
      <c r="AW40" s="2062" t="str">
        <f>IF(AND(AU40=0, AS40&gt;0, AT40=0), CONCATENATE(AS40, 'TRAD-Calculs dispo Données FA'!$B$80," =0"), "")</f>
        <v/>
      </c>
      <c r="AX40" s="2063" t="str">
        <f>IF(AND(AS40=0, OR(AT40&gt;=1, AU40&gt;=1)), 'TRAD-Calculs dispo Données FA'!$B$81, "")</f>
        <v/>
      </c>
    </row>
    <row r="41" spans="3:50" s="358" customFormat="1" x14ac:dyDescent="0.2">
      <c r="C41" s="374"/>
      <c r="D41" s="375"/>
      <c r="E41" s="382" t="str">
        <f>'Saisie données stocks'!F49</f>
        <v>DDI</v>
      </c>
      <c r="F41" s="383" t="str">
        <f>'Saisie données stocks'!G49</f>
        <v>Cp</v>
      </c>
      <c r="G41" s="397" t="str">
        <f>'Saisie données stocks'!H49</f>
        <v>400 mg</v>
      </c>
      <c r="H41" s="384" t="str">
        <f>CONCATENATE(E41, " - ", G41, " - ", 'TRAD-Calculs dispo Données FA'!$B$79,"/", K41)</f>
        <v>DDI - 400 mg - B/30</v>
      </c>
      <c r="I41" s="399">
        <f>Calculs!K132</f>
        <v>1</v>
      </c>
      <c r="J41" s="399">
        <f t="shared" si="7"/>
        <v>30</v>
      </c>
      <c r="K41" s="117">
        <f>Calculs!J132</f>
        <v>30</v>
      </c>
      <c r="L41" s="400">
        <f t="shared" si="0"/>
        <v>1</v>
      </c>
      <c r="M41" s="1823">
        <f>IF('Saisie données stocks'!$O$10='TRAD-Saisie données stocks'!$B$51, 'Calculs Péremption FA'!BU37, Calculs!M292)</f>
        <v>0</v>
      </c>
      <c r="N41" s="1871">
        <f>Calculs!O183</f>
        <v>0</v>
      </c>
      <c r="O41" s="1871">
        <f>Calculs!N237</f>
        <v>0</v>
      </c>
      <c r="P41"/>
      <c r="Q41" s="234" t="e">
        <f t="shared" si="6"/>
        <v>#DIV/0!</v>
      </c>
      <c r="R41" s="234" t="e">
        <f t="shared" si="1"/>
        <v>#DIV/0!</v>
      </c>
      <c r="S41" s="237" t="e">
        <f>Q41-Paramétrage!$D$29</f>
        <v>#DIV/0!</v>
      </c>
      <c r="T41" s="242" t="e">
        <f>IF(Q41&lt;Paramétrage!$D$29, Q41, Paramétrage!$D$29)</f>
        <v>#DIV/0!</v>
      </c>
      <c r="U41" s="253" t="e">
        <f>Paramétrage!$H$19+S41*(365/12)</f>
        <v>#DIV/0!</v>
      </c>
      <c r="V41" s="254" t="e">
        <f>IF(Q41&lt;Paramétrage!$D$29, Paramétrage!$H$19+T41*(365/12), Paramétrage!$H$19+Q41*(365/12))</f>
        <v>#DIV/0!</v>
      </c>
      <c r="X41" s="234" t="str">
        <f>IF(ISERROR(Q41),"", IF(Q41=0, "", IF(Q41&gt;'Calculs Péremption FA'!$CB37, 'Calculs Péremption FA'!$CB37, Q41)))</f>
        <v/>
      </c>
      <c r="Y41" s="584" t="str">
        <f t="shared" si="2"/>
        <v/>
      </c>
      <c r="Z41" s="237" t="str">
        <f>IF(ISERROR(Q41),"", IF(Q41=0, "", IF(Q41&gt;'Calculs Péremption FA'!$CB37, 'Calculs Péremption FA'!$CB37-Paramétrage!$D$29, S41)))</f>
        <v/>
      </c>
      <c r="AA41" s="426" t="str">
        <f>IF(ISERROR(Q41),"", IF(Q41=0, "", IF(Q41&gt;'Calculs Péremption FA'!$CB37, Paramétrage!$D$29, T41)))</f>
        <v/>
      </c>
      <c r="AB41" s="253" t="str">
        <f>IF(ISERROR(Q41),"", IF(Q41=0, "", IF(Q41&gt;'Calculs Péremption FA'!$CB37, 'Calculs Péremption FA'!$BX37-Paramétrage!$D$29*(365/12), U41)))</f>
        <v/>
      </c>
      <c r="AC41" s="254" t="str">
        <f>IF(ISERROR(Q41), AW41, IF(Q41=0, IF(AND(M41=0, OR(N41&gt;0, O41&gt;0)), AX41, ""), IF(Q41&gt;'Calculs Péremption FA'!$CB37, IF(Q41&lt;'Saisie données stocks'!$N$14, CONCATENATE('TRAD-Calculs dispo Données FA'!$B$88, " - ", 'Calculs Péremption FA'!$BY37, "/", 'Calculs Péremption FA'!$BZ37, "/", 'Calculs Péremption FA'!$CA37), 'Calculs Péremption FA'!CC37), V41)))</f>
        <v>956B &amp; conso =0</v>
      </c>
      <c r="AE41" s="234" t="e">
        <f>(Calculs!M292/Calculs!O183)</f>
        <v>#DIV/0!</v>
      </c>
      <c r="AF41" s="234" t="e">
        <f t="shared" si="3"/>
        <v>#DIV/0!</v>
      </c>
      <c r="AG41" s="237" t="e">
        <f>AE41-Paramétrage!$D$29</f>
        <v>#DIV/0!</v>
      </c>
      <c r="AH41" s="242" t="e">
        <f>IF(AE41&lt;Paramétrage!$D$29, AE41, Paramétrage!$D$29)</f>
        <v>#DIV/0!</v>
      </c>
      <c r="AI41" s="253" t="e">
        <f>Paramétrage!$H$19+AG41*(365/12)</f>
        <v>#DIV/0!</v>
      </c>
      <c r="AJ41" s="254" t="e">
        <f>IF(AE41&lt;Paramétrage!$D$29, Paramétrage!$H$19+AH41*(365/12), Paramétrage!$H$19+AE41*(365/12))</f>
        <v>#DIV/0!</v>
      </c>
      <c r="AL41" s="234" t="str">
        <f>IF(ISERROR(AE41),"", IF(AE41=0, "", IF(AE41&gt;'Calculs Péremption FA'!$CB37, 'Calculs Péremption FA'!$CB37, AE41)))</f>
        <v/>
      </c>
      <c r="AM41" s="584" t="str">
        <f t="shared" si="4"/>
        <v/>
      </c>
      <c r="AN41" s="237" t="str">
        <f>IF(ISERROR(AE41),"", IF(AE41=0, "", IF(AE41&gt;'Calculs Péremption FA'!$CB37, 'Calculs Péremption FA'!$CB37-Paramétrage!$D$29, AG41)))</f>
        <v/>
      </c>
      <c r="AO41" s="426" t="str">
        <f>IF(ISERROR(AE41),"", IF(AE41=0, "", IF(AE41&gt;'Calculs Péremption FA'!$CB37, Paramétrage!$D$29, AH41)))</f>
        <v/>
      </c>
      <c r="AP41" s="253" t="str">
        <f>IF(ISERROR(AE41),"", IF(AE41=0, "", IF(AE41&gt;'Calculs Péremption FA'!$CB37, 'Calculs Péremption FA'!$BX37-Paramétrage!$D$29*(365/12), AI41)))</f>
        <v/>
      </c>
      <c r="AQ41" s="254" t="str">
        <f>IF(ISERROR(AE41),"", IF(AE41=0, "", IF(AE41&gt;'Calculs Péremption FA'!$CB37, CONCATENATE('TRAD-Calculs dispo Données FA'!$B$88, " - ", 'Calculs Péremption FA'!$BY37, "/", 'Calculs Péremption FA'!$BZ37, "/", 'Calculs Péremption FA'!$CA37), AJ41)))</f>
        <v/>
      </c>
      <c r="AS41" s="2061">
        <f>Calculs!$M292</f>
        <v>956</v>
      </c>
      <c r="AT41" s="2062">
        <f>Calculs!$O183</f>
        <v>0</v>
      </c>
      <c r="AU41" s="2068">
        <f>Calculs!$N237</f>
        <v>0</v>
      </c>
      <c r="AV41" s="2070" t="str">
        <f>IF(AND(AU41=0, AS41=0, AT41=0), 'TRAD-Calculs dispo Données FA'!$B$82, "")</f>
        <v/>
      </c>
      <c r="AW41" s="2062" t="str">
        <f>IF(AND(AU41=0, AS41&gt;0, AT41=0), CONCATENATE(AS41, 'TRAD-Calculs dispo Données FA'!$B$80," =0"), "")</f>
        <v>956B &amp; conso =0</v>
      </c>
      <c r="AX41" s="2063" t="str">
        <f>IF(AND(AS41=0, OR(AT41&gt;=1, AU41&gt;=1)), 'TRAD-Calculs dispo Données FA'!$B$81, "")</f>
        <v/>
      </c>
    </row>
    <row r="42" spans="3:50" s="358" customFormat="1" ht="25.5" x14ac:dyDescent="0.2">
      <c r="C42" s="388"/>
      <c r="D42" s="389"/>
      <c r="E42" s="390" t="str">
        <f>'Saisie données stocks'!F50</f>
        <v>TDF</v>
      </c>
      <c r="F42" s="391" t="str">
        <f>'Saisie données stocks'!G50</f>
        <v>Cp</v>
      </c>
      <c r="G42" s="391" t="str">
        <f>'Saisie données stocks'!H50</f>
        <v>300 mg</v>
      </c>
      <c r="H42" s="401" t="str">
        <f>CONCATENATE(E42, " - ", G42, " - ", 'TRAD-Calculs dispo Données FA'!$B$79,"/", K42)</f>
        <v>TDF - 300 mg - B/30</v>
      </c>
      <c r="I42" s="394">
        <f>Calculs!K133</f>
        <v>1</v>
      </c>
      <c r="J42" s="394">
        <f t="shared" si="7"/>
        <v>30</v>
      </c>
      <c r="K42" s="116">
        <f>Calculs!J133</f>
        <v>30</v>
      </c>
      <c r="L42" s="395">
        <f t="shared" si="0"/>
        <v>1</v>
      </c>
      <c r="M42" s="1822">
        <f>IF('Saisie données stocks'!$O$10='TRAD-Saisie données stocks'!$B$51, 'Calculs Péremption FA'!BU38, Calculs!M293)</f>
        <v>0</v>
      </c>
      <c r="N42" s="1822">
        <f>Calculs!O184</f>
        <v>0</v>
      </c>
      <c r="O42" s="1822">
        <f>Calculs!N238</f>
        <v>0</v>
      </c>
      <c r="P42"/>
      <c r="Q42" s="233" t="e">
        <f t="shared" si="6"/>
        <v>#DIV/0!</v>
      </c>
      <c r="R42" s="233" t="e">
        <f t="shared" si="1"/>
        <v>#DIV/0!</v>
      </c>
      <c r="S42" s="238" t="e">
        <f>Q42-Paramétrage!$D$29</f>
        <v>#DIV/0!</v>
      </c>
      <c r="T42" s="427" t="e">
        <f>IF(Q42&lt;Paramétrage!$D$29, Q42, Paramétrage!$D$29)</f>
        <v>#DIV/0!</v>
      </c>
      <c r="U42" s="251" t="e">
        <f>Paramétrage!$H$19+S42*(365/12)</f>
        <v>#DIV/0!</v>
      </c>
      <c r="V42" s="252" t="e">
        <f>IF(Q42&lt;Paramétrage!$D$29, Paramétrage!$H$19+T42*(365/12), Paramétrage!$H$19+Q42*(365/12))</f>
        <v>#DIV/0!</v>
      </c>
      <c r="X42" s="233" t="str">
        <f>IF(ISERROR(Q42),"", IF(Q42=0, "", IF(Q42&gt;'Calculs Péremption FA'!$CB38, 'Calculs Péremption FA'!$CB38, Q42)))</f>
        <v/>
      </c>
      <c r="Y42" s="575" t="str">
        <f t="shared" si="2"/>
        <v/>
      </c>
      <c r="Z42" s="238" t="str">
        <f>IF(ISERROR(Q42),"", IF(Q42=0, "", IF(Q42&gt;'Calculs Péremption FA'!$CB38, 'Calculs Péremption FA'!$CB38-Paramétrage!$D$29, S42)))</f>
        <v/>
      </c>
      <c r="AA42" s="427" t="str">
        <f>IF(ISERROR(Q42),"", IF(Q42=0, "", IF(Q42&gt;'Calculs Péremption FA'!$CB38, Paramétrage!$D$29, T42)))</f>
        <v/>
      </c>
      <c r="AB42" s="251" t="str">
        <f>IF(ISERROR(Q42),"", IF(Q42=0, "", IF(Q42&gt;'Calculs Péremption FA'!$CB38, 'Calculs Péremption FA'!$BX38-Paramétrage!$D$29*(365/12), U42)))</f>
        <v/>
      </c>
      <c r="AC42" s="252" t="str">
        <f>IF(ISERROR(Q42), AW42, IF(Q42=0, IF(AND(M42=0, OR(N42&gt;0, O42&gt;0)), AX42, ""), IF(Q42&gt;'Calculs Péremption FA'!$CB38, IF(Q42&lt;'Saisie données stocks'!$N$14, CONCATENATE('TRAD-Calculs dispo Données FA'!$B$88, " - ", 'Calculs Péremption FA'!$BY38, "/", 'Calculs Péremption FA'!$BZ38, "/", 'Calculs Péremption FA'!$CA38), 'Calculs Péremption FA'!CC38), V42)))</f>
        <v/>
      </c>
      <c r="AE42" s="233" t="e">
        <f>(Calculs!M293/Calculs!O184)</f>
        <v>#DIV/0!</v>
      </c>
      <c r="AF42" s="233" t="e">
        <f t="shared" si="3"/>
        <v>#DIV/0!</v>
      </c>
      <c r="AG42" s="238" t="e">
        <f>AE42-Paramétrage!$D$29</f>
        <v>#DIV/0!</v>
      </c>
      <c r="AH42" s="427" t="e">
        <f>IF(AE42&lt;Paramétrage!$D$29, AE42, Paramétrage!$D$29)</f>
        <v>#DIV/0!</v>
      </c>
      <c r="AI42" s="251" t="e">
        <f>Paramétrage!$H$19+AG42*(365/12)</f>
        <v>#DIV/0!</v>
      </c>
      <c r="AJ42" s="252" t="e">
        <f>IF(AE42&lt;Paramétrage!$D$29, Paramétrage!$H$19+AH42*(365/12), Paramétrage!$H$19+AE42*(365/12))</f>
        <v>#DIV/0!</v>
      </c>
      <c r="AL42" s="233" t="str">
        <f>IF(ISERROR(AE42),"", IF(AE42=0, "", IF(AE42&gt;'Calculs Péremption FA'!$CB38, 'Calculs Péremption FA'!$CB38, AE42)))</f>
        <v/>
      </c>
      <c r="AM42" s="575" t="str">
        <f t="shared" si="4"/>
        <v/>
      </c>
      <c r="AN42" s="238" t="str">
        <f>IF(ISERROR(AE42),"", IF(AE42=0, "", IF(AE42&gt;'Calculs Péremption FA'!$CB38, 'Calculs Péremption FA'!$CB38-Paramétrage!$D$29, AG42)))</f>
        <v/>
      </c>
      <c r="AO42" s="427" t="str">
        <f>IF(ISERROR(AE42),"", IF(AE42=0, "", IF(AE42&gt;'Calculs Péremption FA'!$CB38, Paramétrage!$D$29, AH42)))</f>
        <v/>
      </c>
      <c r="AP42" s="251" t="str">
        <f>IF(ISERROR(AE42),"", IF(AE42=0, "", IF(AE42&gt;'Calculs Péremption FA'!$CB38, 'Calculs Péremption FA'!$BX38-Paramétrage!$D$29*(365/12), AI42)))</f>
        <v/>
      </c>
      <c r="AQ42" s="252" t="str">
        <f>IF(ISERROR(AE42),"", IF(AE42=0, "", IF(AE42&gt;'Calculs Péremption FA'!$CB38, CONCATENATE('TRAD-Calculs dispo Données FA'!$B$88, " - ", 'Calculs Péremption FA'!$BY38, "/", 'Calculs Péremption FA'!$BZ38, "/", 'Calculs Péremption FA'!$CA38), AJ42)))</f>
        <v/>
      </c>
      <c r="AS42" s="2061">
        <f>Calculs!$M293</f>
        <v>0</v>
      </c>
      <c r="AT42" s="2062">
        <f>Calculs!$O184</f>
        <v>0</v>
      </c>
      <c r="AU42" s="2068">
        <f>Calculs!$N238</f>
        <v>0</v>
      </c>
      <c r="AV42" s="2070" t="str">
        <f>IF(AND(AU42=0, AS42=0, AT42=0), 'TRAD-Calculs dispo Données FA'!$B$82, "")</f>
        <v>Stock et besoin nul</v>
      </c>
      <c r="AW42" s="2062" t="str">
        <f>IF(AND(AU42=0, AS42&gt;0, AT42=0), CONCATENATE(AS42, 'TRAD-Calculs dispo Données FA'!$B$80," =0"), "")</f>
        <v/>
      </c>
      <c r="AX42" s="2063" t="str">
        <f>IF(AND(AS42=0, OR(AT42&gt;=1, AU42&gt;=1)), 'TRAD-Calculs dispo Données FA'!$B$81, "")</f>
        <v/>
      </c>
    </row>
    <row r="43" spans="3:50" s="358" customFormat="1" x14ac:dyDescent="0.2">
      <c r="C43" s="374"/>
      <c r="D43" s="375" t="s">
        <v>41</v>
      </c>
      <c r="E43" s="376" t="str">
        <f>'Saisie données stocks'!F51</f>
        <v>LPV/r</v>
      </c>
      <c r="F43" s="377" t="str">
        <f>'Saisie données stocks'!G51</f>
        <v>Cp</v>
      </c>
      <c r="G43" s="377" t="str">
        <f>'Saisie données stocks'!H51</f>
        <v>200/50 mg</v>
      </c>
      <c r="H43" s="378" t="str">
        <f>CONCATENATE(E43, " - ", G43, " - ", 'TRAD-Calculs dispo Données FA'!$B$79,"/", K43)</f>
        <v>LPV/r - 200/50 mg - B/120</v>
      </c>
      <c r="I43" s="380">
        <f>Calculs!K134</f>
        <v>4</v>
      </c>
      <c r="J43" s="380">
        <f t="shared" si="7"/>
        <v>120</v>
      </c>
      <c r="K43" s="114">
        <f>Calculs!J134</f>
        <v>120</v>
      </c>
      <c r="L43" s="381">
        <f t="shared" si="0"/>
        <v>1</v>
      </c>
      <c r="M43" s="1820">
        <f>IF('Saisie données stocks'!$O$10='TRAD-Saisie données stocks'!$B$51, 'Calculs Péremption FA'!BU39, Calculs!M294)</f>
        <v>0</v>
      </c>
      <c r="N43" s="1820">
        <f>Calculs!O185</f>
        <v>0</v>
      </c>
      <c r="O43" s="1820">
        <f>Calculs!N239</f>
        <v>0</v>
      </c>
      <c r="P43"/>
      <c r="Q43" s="231" t="e">
        <f t="shared" si="6"/>
        <v>#DIV/0!</v>
      </c>
      <c r="R43" s="231" t="e">
        <f t="shared" si="1"/>
        <v>#DIV/0!</v>
      </c>
      <c r="S43" s="236" t="e">
        <f>Q43-Paramétrage!$D$29</f>
        <v>#DIV/0!</v>
      </c>
      <c r="T43" s="241" t="e">
        <f>IF(Q43&lt;Paramétrage!$D$29, Q43, Paramétrage!$D$29)</f>
        <v>#DIV/0!</v>
      </c>
      <c r="U43" s="247" t="e">
        <f>Paramétrage!$H$19+S43*(365/12)</f>
        <v>#DIV/0!</v>
      </c>
      <c r="V43" s="248" t="e">
        <f>IF(Q43&lt;Paramétrage!$D$29, Paramétrage!$H$19+T43*(365/12), Paramétrage!$H$19+Q43*(365/12))</f>
        <v>#DIV/0!</v>
      </c>
      <c r="X43" s="231" t="str">
        <f>IF(ISERROR(Q43),"", IF(Q43=0, "", IF(Q43&gt;'Calculs Péremption FA'!$CB39, 'Calculs Péremption FA'!$CB39, Q43)))</f>
        <v/>
      </c>
      <c r="Y43" s="582" t="str">
        <f t="shared" si="2"/>
        <v/>
      </c>
      <c r="Z43" s="236" t="str">
        <f>IF(ISERROR(Q43),"", IF(Q43=0, "", IF(Q43&gt;'Calculs Péremption FA'!$CB39, 'Calculs Péremption FA'!$CB39-Paramétrage!$D$29, S43)))</f>
        <v/>
      </c>
      <c r="AA43" s="425" t="str">
        <f>IF(ISERROR(Q43),"", IF(Q43=0, "", IF(Q43&gt;'Calculs Péremption FA'!$CB39, Paramétrage!$D$29, T43)))</f>
        <v/>
      </c>
      <c r="AB43" s="247" t="str">
        <f>IF(ISERROR(Q43),"", IF(Q43=0, "", IF(Q43&gt;'Calculs Péremption FA'!$CB39, 'Calculs Péremption FA'!$BX39-Paramétrage!$D$29*(365/12), U43)))</f>
        <v/>
      </c>
      <c r="AC43" s="248" t="str">
        <f>IF(ISERROR(Q43), AW43, IF(Q43=0, IF(AND(M43=0, OR(N43&gt;0, O43&gt;0)), AX43, ""), IF(Q43&gt;'Calculs Péremption FA'!$CB39, IF(Q43&lt;'Saisie données stocks'!$N$14, CONCATENATE('TRAD-Calculs dispo Données FA'!$B$88, " - ", 'Calculs Péremption FA'!$BY39, "/", 'Calculs Péremption FA'!$BZ39, "/", 'Calculs Péremption FA'!$CA39), 'Calculs Péremption FA'!CC39), V43)))</f>
        <v>750B &amp; conso =0</v>
      </c>
      <c r="AE43" s="231" t="e">
        <f>(Calculs!M294/Calculs!O185)</f>
        <v>#DIV/0!</v>
      </c>
      <c r="AF43" s="231" t="e">
        <f t="shared" si="3"/>
        <v>#DIV/0!</v>
      </c>
      <c r="AG43" s="236" t="e">
        <f>AE43-Paramétrage!$D$29</f>
        <v>#DIV/0!</v>
      </c>
      <c r="AH43" s="241" t="e">
        <f>IF(AE43&lt;Paramétrage!$D$29, AE43, Paramétrage!$D$29)</f>
        <v>#DIV/0!</v>
      </c>
      <c r="AI43" s="247" t="e">
        <f>Paramétrage!$H$19+AG43*(365/12)</f>
        <v>#DIV/0!</v>
      </c>
      <c r="AJ43" s="248" t="e">
        <f>IF(AE43&lt;Paramétrage!$D$29, Paramétrage!$H$19+AH43*(365/12), Paramétrage!$H$19+AE43*(365/12))</f>
        <v>#DIV/0!</v>
      </c>
      <c r="AL43" s="231" t="str">
        <f>IF(ISERROR(AE43),"", IF(AE43=0, "", IF(AE43&gt;'Calculs Péremption FA'!$CB39, 'Calculs Péremption FA'!$CB39, AE43)))</f>
        <v/>
      </c>
      <c r="AM43" s="582" t="str">
        <f t="shared" si="4"/>
        <v/>
      </c>
      <c r="AN43" s="236" t="str">
        <f>IF(ISERROR(AE43),"", IF(AE43=0, "", IF(AE43&gt;'Calculs Péremption FA'!$CB39, 'Calculs Péremption FA'!$CB39-Paramétrage!$D$29, AG43)))</f>
        <v/>
      </c>
      <c r="AO43" s="425" t="str">
        <f>IF(ISERROR(AE43),"", IF(AE43=0, "", IF(AE43&gt;'Calculs Péremption FA'!$CB39, Paramétrage!$D$29, AH43)))</f>
        <v/>
      </c>
      <c r="AP43" s="247" t="str">
        <f>IF(ISERROR(AE43),"", IF(AE43=0, "", IF(AE43&gt;'Calculs Péremption FA'!$CB39, 'Calculs Péremption FA'!$BX39-Paramétrage!$D$29*(365/12), AI43)))</f>
        <v/>
      </c>
      <c r="AQ43" s="248" t="str">
        <f>IF(ISERROR(AE43),"", IF(AE43=0, "", IF(AE43&gt;'Calculs Péremption FA'!$CB39, CONCATENATE('TRAD-Calculs dispo Données FA'!$B$88, " - ", 'Calculs Péremption FA'!$BY39, "/", 'Calculs Péremption FA'!$BZ39, "/", 'Calculs Péremption FA'!$CA39), AJ43)))</f>
        <v/>
      </c>
      <c r="AS43" s="2061">
        <f>Calculs!$M294</f>
        <v>750</v>
      </c>
      <c r="AT43" s="2062">
        <f>Calculs!$O185</f>
        <v>0</v>
      </c>
      <c r="AU43" s="2068">
        <f>Calculs!$N239</f>
        <v>0</v>
      </c>
      <c r="AV43" s="2070" t="str">
        <f>IF(AND(AU43=0, AS43=0, AT43=0), 'TRAD-Calculs dispo Données FA'!$B$82, "")</f>
        <v/>
      </c>
      <c r="AW43" s="2062" t="str">
        <f>IF(AND(AU43=0, AS43&gt;0, AT43=0), CONCATENATE(AS43, 'TRAD-Calculs dispo Données FA'!$B$80," =0"), "")</f>
        <v>750B &amp; conso =0</v>
      </c>
      <c r="AX43" s="2063" t="str">
        <f>IF(AND(AS43=0, OR(AT43&gt;=1, AU43&gt;=1)), 'TRAD-Calculs dispo Données FA'!$B$81, "")</f>
        <v/>
      </c>
    </row>
    <row r="44" spans="3:50" s="358" customFormat="1" x14ac:dyDescent="0.2">
      <c r="C44" s="374"/>
      <c r="D44" s="402"/>
      <c r="E44" s="396" t="str">
        <f>'Saisie données stocks'!F52</f>
        <v>LPV/r</v>
      </c>
      <c r="F44" s="397" t="str">
        <f>'Saisie données stocks'!G52</f>
        <v>Cp coblister</v>
      </c>
      <c r="G44" s="397" t="str">
        <f>'Saisie données stocks'!H52</f>
        <v>100/25 mg</v>
      </c>
      <c r="H44" s="403" t="str">
        <f>CONCATENATE(E44, " - ", G44, " - ", 'TRAD-Calculs dispo Données FA'!$B$79,"/", K44)</f>
        <v>LPV/r - 100/25 mg - B/60</v>
      </c>
      <c r="I44" s="399">
        <f>Calculs!K135</f>
        <v>2</v>
      </c>
      <c r="J44" s="399">
        <f t="shared" si="7"/>
        <v>60</v>
      </c>
      <c r="K44" s="117">
        <f>Calculs!J135</f>
        <v>60</v>
      </c>
      <c r="L44" s="400">
        <f t="shared" si="0"/>
        <v>1</v>
      </c>
      <c r="M44" s="1823">
        <f>IF('Saisie données stocks'!$O$10='TRAD-Saisie données stocks'!$B$51, 'Calculs Péremption FA'!BU40, Calculs!M295)</f>
        <v>0</v>
      </c>
      <c r="N44" s="1871">
        <f>Calculs!O186</f>
        <v>0</v>
      </c>
      <c r="O44" s="1871">
        <f>Calculs!N240</f>
        <v>0</v>
      </c>
      <c r="P44"/>
      <c r="Q44" s="234" t="e">
        <f t="shared" si="6"/>
        <v>#DIV/0!</v>
      </c>
      <c r="R44" s="234" t="e">
        <f t="shared" si="1"/>
        <v>#DIV/0!</v>
      </c>
      <c r="S44" s="239" t="e">
        <f>Q44-Paramétrage!$D$29</f>
        <v>#DIV/0!</v>
      </c>
      <c r="T44" s="241" t="e">
        <f>IF(Q44&lt;Paramétrage!$D$29, Q44, Paramétrage!$D$29)</f>
        <v>#DIV/0!</v>
      </c>
      <c r="U44" s="253" t="e">
        <f>Paramétrage!$H$19+S44*(365/12)</f>
        <v>#DIV/0!</v>
      </c>
      <c r="V44" s="254" t="e">
        <f>IF(Q44&lt;Paramétrage!$D$29, Paramétrage!$H$19+T44*(365/12), Paramétrage!$H$19+Q44*(365/12))</f>
        <v>#DIV/0!</v>
      </c>
      <c r="X44" s="234" t="str">
        <f>IF(ISERROR(Q44),"", IF(Q44=0, "", IF(Q44&gt;'Calculs Péremption FA'!$CB40, 'Calculs Péremption FA'!$CB40, Q44)))</f>
        <v/>
      </c>
      <c r="Y44" s="584" t="str">
        <f t="shared" si="2"/>
        <v/>
      </c>
      <c r="Z44" s="239" t="str">
        <f>IF(ISERROR(Q44),"", IF(Q44=0, "", IF(Q44&gt;'Calculs Péremption FA'!$CB40, 'Calculs Péremption FA'!$CB40-Paramétrage!$D$29, S44)))</f>
        <v/>
      </c>
      <c r="AA44" s="425" t="str">
        <f>IF(ISERROR(Q44),"", IF(Q44=0, "", IF(Q44&gt;'Calculs Péremption FA'!$CB40, Paramétrage!$D$29, T44)))</f>
        <v/>
      </c>
      <c r="AB44" s="253" t="str">
        <f>IF(ISERROR(Q44),"", IF(Q44=0, "", IF(Q44&gt;'Calculs Péremption FA'!$CB40, 'Calculs Péremption FA'!$BX40-Paramétrage!$D$29*(365/12), U44)))</f>
        <v/>
      </c>
      <c r="AC44" s="254" t="str">
        <f>IF(ISERROR(Q44), AW44, IF(Q44=0, IF(AND(M44=0, OR(N44&gt;0, O44&gt;0)), AX44, ""), IF(Q44&gt;'Calculs Péremption FA'!$CB40, IF(Q44&lt;'Saisie données stocks'!$N$14, CONCATENATE('TRAD-Calculs dispo Données FA'!$B$88, " - ", 'Calculs Péremption FA'!$BY40, "/", 'Calculs Péremption FA'!$BZ40, "/", 'Calculs Péremption FA'!$CA40), 'Calculs Péremption FA'!CC40), V44)))</f>
        <v>687B &amp; conso =0</v>
      </c>
      <c r="AE44" s="234" t="e">
        <f>(Calculs!M295/Calculs!O186)</f>
        <v>#DIV/0!</v>
      </c>
      <c r="AF44" s="234" t="e">
        <f t="shared" si="3"/>
        <v>#DIV/0!</v>
      </c>
      <c r="AG44" s="239" t="e">
        <f>AE44-Paramétrage!$D$29</f>
        <v>#DIV/0!</v>
      </c>
      <c r="AH44" s="241" t="e">
        <f>IF(AE44&lt;Paramétrage!$D$29, AE44, Paramétrage!$D$29)</f>
        <v>#DIV/0!</v>
      </c>
      <c r="AI44" s="253" t="e">
        <f>Paramétrage!$H$19+AG44*(365/12)</f>
        <v>#DIV/0!</v>
      </c>
      <c r="AJ44" s="254" t="e">
        <f>IF(AE44&lt;Paramétrage!$D$29, Paramétrage!$H$19+AH44*(365/12), Paramétrage!$H$19+AE44*(365/12))</f>
        <v>#DIV/0!</v>
      </c>
      <c r="AL44" s="234" t="str">
        <f>IF(ISERROR(AE44),"", IF(AE44=0, "", IF(AE44&gt;'Calculs Péremption FA'!$CB40, 'Calculs Péremption FA'!$CB40, AE44)))</f>
        <v/>
      </c>
      <c r="AM44" s="584" t="str">
        <f t="shared" si="4"/>
        <v/>
      </c>
      <c r="AN44" s="239" t="str">
        <f>IF(ISERROR(AE44),"", IF(AE44=0, "", IF(AE44&gt;'Calculs Péremption FA'!$CB40, 'Calculs Péremption FA'!$CB40-Paramétrage!$D$29, AG44)))</f>
        <v/>
      </c>
      <c r="AO44" s="425" t="str">
        <f>IF(ISERROR(AE44),"", IF(AE44=0, "", IF(AE44&gt;'Calculs Péremption FA'!$CB40, Paramétrage!$D$29, AH44)))</f>
        <v/>
      </c>
      <c r="AP44" s="253" t="str">
        <f>IF(ISERROR(AE44),"", IF(AE44=0, "", IF(AE44&gt;'Calculs Péremption FA'!$CB40, 'Calculs Péremption FA'!$BX40-Paramétrage!$D$29*(365/12), AI44)))</f>
        <v/>
      </c>
      <c r="AQ44" s="254" t="str">
        <f>IF(ISERROR(AE44),"", IF(AE44=0, "", IF(AE44&gt;'Calculs Péremption FA'!$CB40, CONCATENATE('TRAD-Calculs dispo Données FA'!$B$88, " - ", 'Calculs Péremption FA'!$BY40, "/", 'Calculs Péremption FA'!$BZ40, "/", 'Calculs Péremption FA'!$CA40), AJ44)))</f>
        <v/>
      </c>
      <c r="AS44" s="2061">
        <f>Calculs!$M295</f>
        <v>687</v>
      </c>
      <c r="AT44" s="2062">
        <f>Calculs!$O186</f>
        <v>0</v>
      </c>
      <c r="AU44" s="2068">
        <f>Calculs!$N240</f>
        <v>0</v>
      </c>
      <c r="AV44" s="2070" t="str">
        <f>IF(AND(AU44=0, AS44=0, AT44=0), 'TRAD-Calculs dispo Données FA'!$B$82, "")</f>
        <v/>
      </c>
      <c r="AW44" s="2062" t="str">
        <f>IF(AND(AU44=0, AS44&gt;0, AT44=0), CONCATENATE(AS44, 'TRAD-Calculs dispo Données FA'!$B$80," =0"), "")</f>
        <v>687B &amp; conso =0</v>
      </c>
      <c r="AX44" s="2063" t="str">
        <f>IF(AND(AS44=0, OR(AT44&gt;=1, AU44&gt;=1)), 'TRAD-Calculs dispo Données FA'!$B$81, "")</f>
        <v/>
      </c>
    </row>
    <row r="45" spans="3:50" s="358" customFormat="1" ht="25.5" x14ac:dyDescent="0.2">
      <c r="C45" s="374"/>
      <c r="D45" s="402"/>
      <c r="E45" s="396" t="str">
        <f>'Saisie données stocks'!F53</f>
        <v>ATV/r</v>
      </c>
      <c r="F45" s="397" t="str">
        <f>'Saisie données stocks'!G53</f>
        <v>Cp</v>
      </c>
      <c r="G45" s="397" t="str">
        <f>'Saisie données stocks'!H53</f>
        <v>300/100 mg</v>
      </c>
      <c r="H45" s="403" t="str">
        <f>CONCATENATE(E45, " - ", G45, " - ", 'TRAD-Calculs dispo Données FA'!$B$79,"/", K45)</f>
        <v>ATV/r - 300/100 mg - B/60</v>
      </c>
      <c r="I45" s="399">
        <f>Calculs!K136</f>
        <v>2</v>
      </c>
      <c r="J45" s="399">
        <f t="shared" si="7"/>
        <v>60</v>
      </c>
      <c r="K45" s="117">
        <f>Calculs!J136</f>
        <v>60</v>
      </c>
      <c r="L45" s="400">
        <f t="shared" si="0"/>
        <v>1</v>
      </c>
      <c r="M45" s="1823">
        <f>IF('Saisie données stocks'!$O$10='TRAD-Saisie données stocks'!$B$51, 'Calculs Péremption FA'!BU41, Calculs!M296)</f>
        <v>0</v>
      </c>
      <c r="N45" s="1871">
        <f>Calculs!O187</f>
        <v>0</v>
      </c>
      <c r="O45" s="1871">
        <f>Calculs!N241</f>
        <v>0</v>
      </c>
      <c r="P45"/>
      <c r="Q45" s="234" t="e">
        <f t="shared" si="6"/>
        <v>#DIV/0!</v>
      </c>
      <c r="R45" s="234" t="e">
        <f t="shared" si="1"/>
        <v>#DIV/0!</v>
      </c>
      <c r="S45" s="239" t="e">
        <f>Q45-Paramétrage!$D$29</f>
        <v>#DIV/0!</v>
      </c>
      <c r="T45" s="241" t="e">
        <f>IF(Q45&lt;Paramétrage!$D$29, Q45, Paramétrage!$D$29)</f>
        <v>#DIV/0!</v>
      </c>
      <c r="U45" s="253" t="e">
        <f>Paramétrage!$H$19+S45*(365/12)</f>
        <v>#DIV/0!</v>
      </c>
      <c r="V45" s="254" t="e">
        <f>IF(Q45&lt;Paramétrage!$D$29, Paramétrage!$H$19+T45*(365/12), Paramétrage!$H$19+Q45*(365/12))</f>
        <v>#DIV/0!</v>
      </c>
      <c r="X45" s="234" t="str">
        <f>IF(ISERROR(Q45),"", IF(Q45=0, "", IF(Q45&gt;'Calculs Péremption FA'!$CB41, 'Calculs Péremption FA'!$CB41, Q45)))</f>
        <v/>
      </c>
      <c r="Y45" s="584" t="str">
        <f t="shared" si="2"/>
        <v/>
      </c>
      <c r="Z45" s="239" t="str">
        <f>IF(ISERROR(Q45),"", IF(Q45=0, "", IF(Q45&gt;'Calculs Péremption FA'!$CB41, 'Calculs Péremption FA'!$CB41-Paramétrage!$D$29, S45)))</f>
        <v/>
      </c>
      <c r="AA45" s="425" t="str">
        <f>IF(ISERROR(Q45),"", IF(Q45=0, "", IF(Q45&gt;'Calculs Péremption FA'!$CB41, Paramétrage!$D$29, T45)))</f>
        <v/>
      </c>
      <c r="AB45" s="253" t="str">
        <f>IF(ISERROR(Q45),"", IF(Q45=0, "", IF(Q45&gt;'Calculs Péremption FA'!$CB41, 'Calculs Péremption FA'!$BX41-Paramétrage!$D$29*(365/12), U45)))</f>
        <v/>
      </c>
      <c r="AC45" s="254" t="str">
        <f>IF(ISERROR(Q45), AW45, IF(Q45=0, IF(AND(M45=0, OR(N45&gt;0, O45&gt;0)), AX45, ""), IF(Q45&gt;'Calculs Péremption FA'!$CB41, IF(Q45&lt;'Saisie données stocks'!$N$14, CONCATENATE('TRAD-Calculs dispo Données FA'!$B$88, " - ", 'Calculs Péremption FA'!$BY41, "/", 'Calculs Péremption FA'!$BZ41, "/", 'Calculs Péremption FA'!$CA41), 'Calculs Péremption FA'!CC41), V45)))</f>
        <v>1705B &amp; conso =0</v>
      </c>
      <c r="AE45" s="234" t="e">
        <f>(Calculs!M296/Calculs!O187)</f>
        <v>#DIV/0!</v>
      </c>
      <c r="AF45" s="234" t="e">
        <f t="shared" si="3"/>
        <v>#DIV/0!</v>
      </c>
      <c r="AG45" s="239" t="e">
        <f>AE45-Paramétrage!$D$29</f>
        <v>#DIV/0!</v>
      </c>
      <c r="AH45" s="241" t="e">
        <f>IF(AE45&lt;Paramétrage!$D$29, AE45, Paramétrage!$D$29)</f>
        <v>#DIV/0!</v>
      </c>
      <c r="AI45" s="253" t="e">
        <f>Paramétrage!$H$19+AG45*(365/12)</f>
        <v>#DIV/0!</v>
      </c>
      <c r="AJ45" s="254" t="e">
        <f>IF(AE45&lt;Paramétrage!$D$29, Paramétrage!$H$19+AH45*(365/12), Paramétrage!$H$19+AE45*(365/12))</f>
        <v>#DIV/0!</v>
      </c>
      <c r="AL45" s="234" t="str">
        <f>IF(ISERROR(AE45),"", IF(AE45=0, "", IF(AE45&gt;'Calculs Péremption FA'!$CB41, 'Calculs Péremption FA'!$CB41, AE45)))</f>
        <v/>
      </c>
      <c r="AM45" s="584" t="str">
        <f t="shared" si="4"/>
        <v/>
      </c>
      <c r="AN45" s="239" t="str">
        <f>IF(ISERROR(AE45),"", IF(AE45=0, "", IF(AE45&gt;'Calculs Péremption FA'!$CB41, 'Calculs Péremption FA'!$CB41-Paramétrage!$D$29, AG45)))</f>
        <v/>
      </c>
      <c r="AO45" s="425" t="str">
        <f>IF(ISERROR(AE45),"", IF(AE45=0, "", IF(AE45&gt;'Calculs Péremption FA'!$CB41, Paramétrage!$D$29, AH45)))</f>
        <v/>
      </c>
      <c r="AP45" s="253" t="str">
        <f>IF(ISERROR(AE45),"", IF(AE45=0, "", IF(AE45&gt;'Calculs Péremption FA'!$CB41, 'Calculs Péremption FA'!$BX41-Paramétrage!$D$29*(365/12), AI45)))</f>
        <v/>
      </c>
      <c r="AQ45" s="254" t="str">
        <f>IF(ISERROR(AE45),"", IF(AE45=0, "", IF(AE45&gt;'Calculs Péremption FA'!$CB41, CONCATENATE('TRAD-Calculs dispo Données FA'!$B$88, " - ", 'Calculs Péremption FA'!$BY41, "/", 'Calculs Péremption FA'!$BZ41, "/", 'Calculs Péremption FA'!$CA41), AJ45)))</f>
        <v/>
      </c>
      <c r="AS45" s="2061">
        <f>Calculs!$M296</f>
        <v>1705</v>
      </c>
      <c r="AT45" s="2062">
        <f>Calculs!$O187</f>
        <v>0</v>
      </c>
      <c r="AU45" s="2068">
        <f>Calculs!$N241</f>
        <v>0</v>
      </c>
      <c r="AV45" s="2070" t="str">
        <f>IF(AND(AU45=0, AS45=0, AT45=0), 'TRAD-Calculs dispo Données FA'!$B$82, "")</f>
        <v/>
      </c>
      <c r="AW45" s="2062" t="str">
        <f>IF(AND(AU45=0, AS45&gt;0, AT45=0), CONCATENATE(AS45, 'TRAD-Calculs dispo Données FA'!$B$80," =0"), "")</f>
        <v>1705B &amp; conso =0</v>
      </c>
      <c r="AX45" s="2063" t="str">
        <f>IF(AND(AS45=0, OR(AT45&gt;=1, AU45&gt;=1)), 'TRAD-Calculs dispo Données FA'!$B$81, "")</f>
        <v/>
      </c>
    </row>
    <row r="46" spans="3:50" s="358" customFormat="1" ht="25.5" x14ac:dyDescent="0.2">
      <c r="C46" s="374"/>
      <c r="D46" s="402"/>
      <c r="E46" s="396" t="str">
        <f>'Saisie données stocks'!F54</f>
        <v>FPV</v>
      </c>
      <c r="F46" s="397" t="str">
        <f>'Saisie données stocks'!G54</f>
        <v>Cp</v>
      </c>
      <c r="G46" s="397" t="str">
        <f>'Saisie données stocks'!H54</f>
        <v>700 mg</v>
      </c>
      <c r="H46" s="403" t="str">
        <f>CONCATENATE(E46, " - ", G46, " - ", 'TRAD-Calculs dispo Données FA'!$B$79,"/", K46)</f>
        <v>FPV - 700 mg - B/60</v>
      </c>
      <c r="I46" s="399">
        <f>Calculs!K137</f>
        <v>2</v>
      </c>
      <c r="J46" s="399">
        <f t="shared" si="7"/>
        <v>60</v>
      </c>
      <c r="K46" s="117">
        <f>Calculs!J137</f>
        <v>60</v>
      </c>
      <c r="L46" s="400">
        <f t="shared" si="0"/>
        <v>1</v>
      </c>
      <c r="M46" s="1823">
        <f>IF('Saisie données stocks'!$O$10='TRAD-Saisie données stocks'!$B$51, 'Calculs Péremption FA'!BU42, Calculs!M297)</f>
        <v>0</v>
      </c>
      <c r="N46" s="1871">
        <f>Calculs!O188</f>
        <v>0</v>
      </c>
      <c r="O46" s="1871">
        <f>Calculs!N242</f>
        <v>0</v>
      </c>
      <c r="P46"/>
      <c r="Q46" s="234" t="e">
        <f t="shared" si="6"/>
        <v>#DIV/0!</v>
      </c>
      <c r="R46" s="234" t="e">
        <f t="shared" si="1"/>
        <v>#DIV/0!</v>
      </c>
      <c r="S46" s="239" t="e">
        <f>Q46-Paramétrage!$D$29</f>
        <v>#DIV/0!</v>
      </c>
      <c r="T46" s="241" t="e">
        <f>IF(Q46&lt;Paramétrage!$D$29, Q46, Paramétrage!$D$29)</f>
        <v>#DIV/0!</v>
      </c>
      <c r="U46" s="253" t="e">
        <f>Paramétrage!$H$19+S46*(365/12)</f>
        <v>#DIV/0!</v>
      </c>
      <c r="V46" s="254" t="e">
        <f>IF(Q46&lt;Paramétrage!$D$29, Paramétrage!$H$19+T46*(365/12), Paramétrage!$H$19+Q46*(365/12))</f>
        <v>#DIV/0!</v>
      </c>
      <c r="X46" s="234" t="str">
        <f>IF(ISERROR(Q46),"", IF(Q46=0, "", IF(Q46&gt;'Calculs Péremption FA'!$CB42, 'Calculs Péremption FA'!$CB42, Q46)))</f>
        <v/>
      </c>
      <c r="Y46" s="584" t="str">
        <f t="shared" si="2"/>
        <v/>
      </c>
      <c r="Z46" s="239" t="str">
        <f>IF(ISERROR(Q46),"", IF(Q46=0, "", IF(Q46&gt;'Calculs Péremption FA'!$CB42, 'Calculs Péremption FA'!$CB42-Paramétrage!$D$29, S46)))</f>
        <v/>
      </c>
      <c r="AA46" s="425" t="str">
        <f>IF(ISERROR(Q46),"", IF(Q46=0, "", IF(Q46&gt;'Calculs Péremption FA'!$CB42, Paramétrage!$D$29, T46)))</f>
        <v/>
      </c>
      <c r="AB46" s="253" t="str">
        <f>IF(ISERROR(Q46),"", IF(Q46=0, "", IF(Q46&gt;'Calculs Péremption FA'!$CB42, 'Calculs Péremption FA'!$BX42-Paramétrage!$D$29*(365/12), U46)))</f>
        <v/>
      </c>
      <c r="AC46" s="254" t="str">
        <f>IF(ISERROR(Q46), AW46, IF(Q46=0, IF(AND(M46=0, OR(N46&gt;0, O46&gt;0)), AX46, ""), IF(Q46&gt;'Calculs Péremption FA'!$CB42, IF(Q46&lt;'Saisie données stocks'!$N$14, CONCATENATE('TRAD-Calculs dispo Données FA'!$B$88, " - ", 'Calculs Péremption FA'!$BY42, "/", 'Calculs Péremption FA'!$BZ42, "/", 'Calculs Péremption FA'!$CA42), 'Calculs Péremption FA'!CC42), V46)))</f>
        <v/>
      </c>
      <c r="AE46" s="234" t="e">
        <f>(Calculs!M297/Calculs!O188)</f>
        <v>#DIV/0!</v>
      </c>
      <c r="AF46" s="234" t="e">
        <f t="shared" si="3"/>
        <v>#DIV/0!</v>
      </c>
      <c r="AG46" s="239" t="e">
        <f>AE46-Paramétrage!$D$29</f>
        <v>#DIV/0!</v>
      </c>
      <c r="AH46" s="241" t="e">
        <f>IF(AE46&lt;Paramétrage!$D$29, AE46, Paramétrage!$D$29)</f>
        <v>#DIV/0!</v>
      </c>
      <c r="AI46" s="253" t="e">
        <f>Paramétrage!$H$19+AG46*(365/12)</f>
        <v>#DIV/0!</v>
      </c>
      <c r="AJ46" s="254" t="e">
        <f>IF(AE46&lt;Paramétrage!$D$29, Paramétrage!$H$19+AH46*(365/12), Paramétrage!$H$19+AE46*(365/12))</f>
        <v>#DIV/0!</v>
      </c>
      <c r="AL46" s="234" t="str">
        <f>IF(ISERROR(AE46),"", IF(AE46=0, "", IF(AE46&gt;'Calculs Péremption FA'!$CB42, 'Calculs Péremption FA'!$CB42, AE46)))</f>
        <v/>
      </c>
      <c r="AM46" s="584" t="str">
        <f t="shared" si="4"/>
        <v/>
      </c>
      <c r="AN46" s="239" t="str">
        <f>IF(ISERROR(AE46),"", IF(AE46=0, "", IF(AE46&gt;'Calculs Péremption FA'!$CB42, 'Calculs Péremption FA'!$CB42-Paramétrage!$D$29, AG46)))</f>
        <v/>
      </c>
      <c r="AO46" s="425" t="str">
        <f>IF(ISERROR(AE46),"", IF(AE46=0, "", IF(AE46&gt;'Calculs Péremption FA'!$CB42, Paramétrage!$D$29, AH46)))</f>
        <v/>
      </c>
      <c r="AP46" s="253" t="str">
        <f>IF(ISERROR(AE46),"", IF(AE46=0, "", IF(AE46&gt;'Calculs Péremption FA'!$CB42, 'Calculs Péremption FA'!$BX42-Paramétrage!$D$29*(365/12), AI46)))</f>
        <v/>
      </c>
      <c r="AQ46" s="254" t="str">
        <f>IF(ISERROR(AE46),"", IF(AE46=0, "", IF(AE46&gt;'Calculs Péremption FA'!$CB42, CONCATENATE('TRAD-Calculs dispo Données FA'!$B$88, " - ", 'Calculs Péremption FA'!$BY42, "/", 'Calculs Péremption FA'!$BZ42, "/", 'Calculs Péremption FA'!$CA42), AJ46)))</f>
        <v/>
      </c>
      <c r="AS46" s="2061">
        <f>Calculs!$M297</f>
        <v>0</v>
      </c>
      <c r="AT46" s="2062">
        <f>Calculs!$O188</f>
        <v>0</v>
      </c>
      <c r="AU46" s="2068">
        <f>Calculs!$N242</f>
        <v>0</v>
      </c>
      <c r="AV46" s="2070" t="str">
        <f>IF(AND(AU46=0, AS46=0, AT46=0), 'TRAD-Calculs dispo Données FA'!$B$82, "")</f>
        <v>Stock et besoin nul</v>
      </c>
      <c r="AW46" s="2062" t="str">
        <f>IF(AND(AU46=0, AS46&gt;0, AT46=0), CONCATENATE(AS46, 'TRAD-Calculs dispo Données FA'!$B$80," =0"), "")</f>
        <v/>
      </c>
      <c r="AX46" s="2063" t="str">
        <f>IF(AND(AS46=0, OR(AT46&gt;=1, AU46&gt;=1)), 'TRAD-Calculs dispo Données FA'!$B$81, "")</f>
        <v/>
      </c>
    </row>
    <row r="47" spans="3:50" s="358" customFormat="1" ht="25.5" x14ac:dyDescent="0.2">
      <c r="C47" s="374"/>
      <c r="D47" s="402"/>
      <c r="E47" s="396" t="str">
        <f>'Saisie données stocks'!F55</f>
        <v>IDV</v>
      </c>
      <c r="F47" s="397" t="str">
        <f>'Saisie données stocks'!G55</f>
        <v>Gel</v>
      </c>
      <c r="G47" s="397" t="str">
        <f>'Saisie données stocks'!H55</f>
        <v>400 mg</v>
      </c>
      <c r="H47" s="403" t="str">
        <f>CONCATENATE(E47, " - ", G47, " - ", 'TRAD-Calculs dispo Données FA'!$B$79,"/", K47)</f>
        <v>IDV - 400 mg - B/180</v>
      </c>
      <c r="I47" s="399">
        <f>Calculs!K138</f>
        <v>0</v>
      </c>
      <c r="J47" s="399">
        <f t="shared" si="7"/>
        <v>0</v>
      </c>
      <c r="K47" s="117">
        <f>Calculs!J138</f>
        <v>180</v>
      </c>
      <c r="L47" s="400">
        <f t="shared" si="0"/>
        <v>0</v>
      </c>
      <c r="M47" s="1823">
        <f>IF('Saisie données stocks'!$O$10='TRAD-Saisie données stocks'!$B$51, 'Calculs Péremption FA'!BU43, Calculs!M298)</f>
        <v>0</v>
      </c>
      <c r="N47" s="1871">
        <f>Calculs!O189</f>
        <v>0</v>
      </c>
      <c r="O47" s="1871">
        <f>Calculs!N243</f>
        <v>0</v>
      </c>
      <c r="P47"/>
      <c r="Q47" s="234" t="e">
        <f t="shared" si="6"/>
        <v>#DIV/0!</v>
      </c>
      <c r="R47" s="234" t="e">
        <f t="shared" si="1"/>
        <v>#DIV/0!</v>
      </c>
      <c r="S47" s="239" t="e">
        <f>Q47-Paramétrage!$D$29</f>
        <v>#DIV/0!</v>
      </c>
      <c r="T47" s="241" t="e">
        <f>IF(Q47&lt;Paramétrage!$D$29, Q47, Paramétrage!$D$29)</f>
        <v>#DIV/0!</v>
      </c>
      <c r="U47" s="253" t="e">
        <f>Paramétrage!$H$19+S47*(365/12)</f>
        <v>#DIV/0!</v>
      </c>
      <c r="V47" s="254" t="e">
        <f>IF(Q47&lt;Paramétrage!$D$29, Paramétrage!$H$19+T47*(365/12), Paramétrage!$H$19+Q47*(365/12))</f>
        <v>#DIV/0!</v>
      </c>
      <c r="X47" s="234" t="str">
        <f>IF(ISERROR(Q47),"", IF(Q47=0, "", IF(Q47&gt;'Calculs Péremption FA'!$CB43, 'Calculs Péremption FA'!$CB43, Q47)))</f>
        <v/>
      </c>
      <c r="Y47" s="584" t="str">
        <f t="shared" si="2"/>
        <v/>
      </c>
      <c r="Z47" s="239" t="str">
        <f>IF(ISERROR(Q47),"", IF(Q47=0, "", IF(Q47&gt;'Calculs Péremption FA'!$CB43, 'Calculs Péremption FA'!$CB43-Paramétrage!$D$29, S47)))</f>
        <v/>
      </c>
      <c r="AA47" s="425" t="str">
        <f>IF(ISERROR(Q47),"", IF(Q47=0, "", IF(Q47&gt;'Calculs Péremption FA'!$CB43, Paramétrage!$D$29, T47)))</f>
        <v/>
      </c>
      <c r="AB47" s="253" t="str">
        <f>IF(ISERROR(Q47),"", IF(Q47=0, "", IF(Q47&gt;'Calculs Péremption FA'!$CB43, 'Calculs Péremption FA'!$BX43-Paramétrage!$D$29*(365/12), U47)))</f>
        <v/>
      </c>
      <c r="AC47" s="254" t="str">
        <f>IF(ISERROR(Q47), AW47, IF(Q47=0, IF(AND(M47=0, OR(N47&gt;0, O47&gt;0)), AX47, ""), IF(Q47&gt;'Calculs Péremption FA'!$CB43, IF(Q47&lt;'Saisie données stocks'!$N$14, CONCATENATE('TRAD-Calculs dispo Données FA'!$B$88, " - ", 'Calculs Péremption FA'!$BY43, "/", 'Calculs Péremption FA'!$BZ43, "/", 'Calculs Péremption FA'!$CA43), 'Calculs Péremption FA'!CC43), V47)))</f>
        <v/>
      </c>
      <c r="AE47" s="234" t="e">
        <f>(Calculs!M298/Calculs!O189)</f>
        <v>#DIV/0!</v>
      </c>
      <c r="AF47" s="234" t="e">
        <f t="shared" si="3"/>
        <v>#DIV/0!</v>
      </c>
      <c r="AG47" s="239" t="e">
        <f>AE47-Paramétrage!$D$29</f>
        <v>#DIV/0!</v>
      </c>
      <c r="AH47" s="241" t="e">
        <f>IF(AE47&lt;Paramétrage!$D$29, AE47, Paramétrage!$D$29)</f>
        <v>#DIV/0!</v>
      </c>
      <c r="AI47" s="253" t="e">
        <f>Paramétrage!$H$19+AG47*(365/12)</f>
        <v>#DIV/0!</v>
      </c>
      <c r="AJ47" s="254" t="e">
        <f>IF(AE47&lt;Paramétrage!$D$29, Paramétrage!$H$19+AH47*(365/12), Paramétrage!$H$19+AE47*(365/12))</f>
        <v>#DIV/0!</v>
      </c>
      <c r="AL47" s="234" t="str">
        <f>IF(ISERROR(AE47),"", IF(AE47=0, "", IF(AE47&gt;'Calculs Péremption FA'!$CB43, 'Calculs Péremption FA'!$CB43, AE47)))</f>
        <v/>
      </c>
      <c r="AM47" s="584" t="str">
        <f t="shared" si="4"/>
        <v/>
      </c>
      <c r="AN47" s="239" t="str">
        <f>IF(ISERROR(AE47),"", IF(AE47=0, "", IF(AE47&gt;'Calculs Péremption FA'!$CB43, 'Calculs Péremption FA'!$CB43-Paramétrage!$D$29, AG47)))</f>
        <v/>
      </c>
      <c r="AO47" s="425" t="str">
        <f>IF(ISERROR(AE47),"", IF(AE47=0, "", IF(AE47&gt;'Calculs Péremption FA'!$CB43, Paramétrage!$D$29, AH47)))</f>
        <v/>
      </c>
      <c r="AP47" s="253" t="str">
        <f>IF(ISERROR(AE47),"", IF(AE47=0, "", IF(AE47&gt;'Calculs Péremption FA'!$CB43, 'Calculs Péremption FA'!$BX43-Paramétrage!$D$29*(365/12), AI47)))</f>
        <v/>
      </c>
      <c r="AQ47" s="254" t="str">
        <f>IF(ISERROR(AE47),"", IF(AE47=0, "", IF(AE47&gt;'Calculs Péremption FA'!$CB43, CONCATENATE('TRAD-Calculs dispo Données FA'!$B$88, " - ", 'Calculs Péremption FA'!$BY43, "/", 'Calculs Péremption FA'!$BZ43, "/", 'Calculs Péremption FA'!$CA43), AJ47)))</f>
        <v/>
      </c>
      <c r="AS47" s="2061">
        <f>Calculs!$M298</f>
        <v>0</v>
      </c>
      <c r="AT47" s="2062">
        <f>Calculs!$O189</f>
        <v>0</v>
      </c>
      <c r="AU47" s="2068">
        <f>Calculs!$N243</f>
        <v>0</v>
      </c>
      <c r="AV47" s="2070" t="str">
        <f>IF(AND(AU47=0, AS47=0, AT47=0), 'TRAD-Calculs dispo Données FA'!$B$82, "")</f>
        <v>Stock et besoin nul</v>
      </c>
      <c r="AW47" s="2062" t="str">
        <f>IF(AND(AU47=0, AS47&gt;0, AT47=0), CONCATENATE(AS47, 'TRAD-Calculs dispo Données FA'!$B$80," =0"), "")</f>
        <v/>
      </c>
      <c r="AX47" s="2063" t="str">
        <f>IF(AND(AS47=0, OR(AT47&gt;=1, AU47&gt;=1)), 'TRAD-Calculs dispo Données FA'!$B$81, "")</f>
        <v/>
      </c>
    </row>
    <row r="48" spans="3:50" s="358" customFormat="1" ht="25.5" x14ac:dyDescent="0.2">
      <c r="C48" s="374"/>
      <c r="D48" s="402"/>
      <c r="E48" s="93" t="str">
        <f>'Saisie données stocks'!F56</f>
        <v>DRV</v>
      </c>
      <c r="F48" s="94" t="str">
        <f>'Saisie données stocks'!G56</f>
        <v>Cp</v>
      </c>
      <c r="G48" s="94" t="str">
        <f>'Saisie données stocks'!H56</f>
        <v>300 mg</v>
      </c>
      <c r="H48" s="403" t="str">
        <f>CONCATENATE(E48, " - ", G48, " - ", 'TRAD-Calculs dispo Données FA'!$B$79,"/", K48)</f>
        <v>DRV - 300 mg - B/120</v>
      </c>
      <c r="I48" s="117">
        <f>Calculs!K139</f>
        <v>4</v>
      </c>
      <c r="J48" s="399">
        <f t="shared" si="7"/>
        <v>120</v>
      </c>
      <c r="K48" s="117">
        <f>Calculs!J139</f>
        <v>120</v>
      </c>
      <c r="L48" s="400">
        <f t="shared" si="0"/>
        <v>1</v>
      </c>
      <c r="M48" s="1823">
        <f>IF('Saisie données stocks'!$O$10='TRAD-Saisie données stocks'!$B$51, 'Calculs Péremption FA'!BU44, Calculs!M299)</f>
        <v>0</v>
      </c>
      <c r="N48" s="1871">
        <f>Calculs!O190</f>
        <v>0</v>
      </c>
      <c r="O48" s="1871">
        <f>Calculs!N244</f>
        <v>0</v>
      </c>
      <c r="P48"/>
      <c r="Q48" s="234" t="e">
        <f t="shared" si="6"/>
        <v>#DIV/0!</v>
      </c>
      <c r="R48" s="234" t="e">
        <f t="shared" si="1"/>
        <v>#DIV/0!</v>
      </c>
      <c r="S48" s="239" t="e">
        <f>Q48-Paramétrage!$D$29</f>
        <v>#DIV/0!</v>
      </c>
      <c r="T48" s="244" t="e">
        <f>IF(Q48&lt;Paramétrage!$D$29, Q48, Paramétrage!$D$29)</f>
        <v>#DIV/0!</v>
      </c>
      <c r="U48" s="253" t="e">
        <f>Paramétrage!$H$19+S48*(365/12)</f>
        <v>#DIV/0!</v>
      </c>
      <c r="V48" s="254" t="e">
        <f>IF(Q48&lt;Paramétrage!$D$29, Paramétrage!$H$19+T48*(365/12), Paramétrage!$H$19+Q48*(365/12))</f>
        <v>#DIV/0!</v>
      </c>
      <c r="X48" s="234" t="str">
        <f>IF(ISERROR(Q48),"", IF(Q48=0, "", IF(Q48&gt;'Calculs Péremption FA'!$CB44, 'Calculs Péremption FA'!$CB44, Q48)))</f>
        <v/>
      </c>
      <c r="Y48" s="584" t="str">
        <f t="shared" si="2"/>
        <v/>
      </c>
      <c r="Z48" s="239" t="str">
        <f>IF(ISERROR(Q48),"", IF(Q48=0, "", IF(Q48&gt;'Calculs Péremption FA'!$CB44, 'Calculs Péremption FA'!$CB44-Paramétrage!$D$29, S48)))</f>
        <v/>
      </c>
      <c r="AA48" s="428" t="str">
        <f>IF(ISERROR(Q48),"", IF(Q48=0, "", IF(Q48&gt;'Calculs Péremption FA'!$CB44, Paramétrage!$D$29, T48)))</f>
        <v/>
      </c>
      <c r="AB48" s="253" t="str">
        <f>IF(ISERROR(Q48),"", IF(Q48=0, "", IF(Q48&gt;'Calculs Péremption FA'!$CB44, 'Calculs Péremption FA'!$BX44-Paramétrage!$D$29*(365/12), U48)))</f>
        <v/>
      </c>
      <c r="AC48" s="254" t="str">
        <f>IF(ISERROR(Q48), AW48, IF(Q48=0, IF(AND(M48=0, OR(N48&gt;0, O48&gt;0)), AX48, ""), IF(Q48&gt;'Calculs Péremption FA'!$CB44, IF(Q48&lt;'Saisie données stocks'!$N$14, CONCATENATE('TRAD-Calculs dispo Données FA'!$B$88, " - ", 'Calculs Péremption FA'!$BY44, "/", 'Calculs Péremption FA'!$BZ44, "/", 'Calculs Péremption FA'!$CA44), 'Calculs Péremption FA'!CC44), V48)))</f>
        <v/>
      </c>
      <c r="AE48" s="234" t="e">
        <f>(Calculs!M299/Calculs!O190)</f>
        <v>#DIV/0!</v>
      </c>
      <c r="AF48" s="234" t="e">
        <f t="shared" si="3"/>
        <v>#DIV/0!</v>
      </c>
      <c r="AG48" s="239" t="e">
        <f>AE48-Paramétrage!$D$29</f>
        <v>#DIV/0!</v>
      </c>
      <c r="AH48" s="244" t="e">
        <f>IF(AE48&lt;Paramétrage!$D$29, AE48, Paramétrage!$D$29)</f>
        <v>#DIV/0!</v>
      </c>
      <c r="AI48" s="253" t="e">
        <f>Paramétrage!$H$19+AG48*(365/12)</f>
        <v>#DIV/0!</v>
      </c>
      <c r="AJ48" s="254" t="e">
        <f>IF(AE48&lt;Paramétrage!$D$29, Paramétrage!$H$19+AH48*(365/12), Paramétrage!$H$19+AE48*(365/12))</f>
        <v>#DIV/0!</v>
      </c>
      <c r="AL48" s="234" t="str">
        <f>IF(ISERROR(AE48),"", IF(AE48=0, "", IF(AE48&gt;'Calculs Péremption FA'!$CB44, 'Calculs Péremption FA'!$CB44, AE48)))</f>
        <v/>
      </c>
      <c r="AM48" s="584" t="str">
        <f t="shared" si="4"/>
        <v/>
      </c>
      <c r="AN48" s="239" t="str">
        <f>IF(ISERROR(AE48),"", IF(AE48=0, "", IF(AE48&gt;'Calculs Péremption FA'!$CB44, 'Calculs Péremption FA'!$CB44-Paramétrage!$D$29, AG48)))</f>
        <v/>
      </c>
      <c r="AO48" s="428" t="str">
        <f>IF(ISERROR(AE48),"", IF(AE48=0, "", IF(AE48&gt;'Calculs Péremption FA'!$CB44, Paramétrage!$D$29, AH48)))</f>
        <v/>
      </c>
      <c r="AP48" s="253" t="str">
        <f>IF(ISERROR(AE48),"", IF(AE48=0, "", IF(AE48&gt;'Calculs Péremption FA'!$CB44, 'Calculs Péremption FA'!$BX44-Paramétrage!$D$29*(365/12), AI48)))</f>
        <v/>
      </c>
      <c r="AQ48" s="254" t="str">
        <f>IF(ISERROR(AE48),"", IF(AE48=0, "", IF(AE48&gt;'Calculs Péremption FA'!$CB44, CONCATENATE('TRAD-Calculs dispo Données FA'!$B$88, " - ", 'Calculs Péremption FA'!$BY44, "/", 'Calculs Péremption FA'!$BZ44, "/", 'Calculs Péremption FA'!$CA44), AJ48)))</f>
        <v/>
      </c>
      <c r="AS48" s="2061">
        <f>Calculs!$M299</f>
        <v>0</v>
      </c>
      <c r="AT48" s="2062">
        <f>Calculs!$O190</f>
        <v>0</v>
      </c>
      <c r="AU48" s="2068">
        <f>Calculs!$N244</f>
        <v>0</v>
      </c>
      <c r="AV48" s="2070" t="str">
        <f>IF(AND(AU48=0, AS48=0, AT48=0), 'TRAD-Calculs dispo Données FA'!$B$82, "")</f>
        <v>Stock et besoin nul</v>
      </c>
      <c r="AW48" s="2062" t="str">
        <f>IF(AND(AU48=0, AS48&gt;0, AT48=0), CONCATENATE(AS48, 'TRAD-Calculs dispo Données FA'!$B$80," =0"), "")</f>
        <v/>
      </c>
      <c r="AX48" s="2063" t="str">
        <f>IF(AND(AS48=0, OR(AT48&gt;=1, AU48&gt;=1)), 'TRAD-Calculs dispo Données FA'!$B$81, "")</f>
        <v/>
      </c>
    </row>
    <row r="49" spans="2:51" s="358" customFormat="1" ht="25.5" x14ac:dyDescent="0.2">
      <c r="C49" s="374"/>
      <c r="D49" s="402"/>
      <c r="E49" s="396" t="str">
        <f>'Saisie données stocks'!F57</f>
        <v>SQV</v>
      </c>
      <c r="F49" s="397" t="str">
        <f>'Saisie données stocks'!G57</f>
        <v>Cp</v>
      </c>
      <c r="G49" s="397" t="str">
        <f>'Saisie données stocks'!H57</f>
        <v>500 mg</v>
      </c>
      <c r="H49" s="403" t="str">
        <f>CONCATENATE(E49, " - ", G49, " - ", 'TRAD-Calculs dispo Données FA'!$B$79,"/", K49)</f>
        <v>SQV - 500 mg - B/120</v>
      </c>
      <c r="I49" s="399">
        <f>Calculs!K140</f>
        <v>4</v>
      </c>
      <c r="J49" s="399">
        <f t="shared" si="7"/>
        <v>120</v>
      </c>
      <c r="K49" s="117">
        <f>Calculs!J140</f>
        <v>120</v>
      </c>
      <c r="L49" s="400">
        <f t="shared" si="0"/>
        <v>1</v>
      </c>
      <c r="M49" s="1823">
        <f>IF('Saisie données stocks'!$O$10='TRAD-Saisie données stocks'!$B$51, 'Calculs Péremption FA'!BU45, Calculs!M300)</f>
        <v>0</v>
      </c>
      <c r="N49" s="1871">
        <f>Calculs!O191</f>
        <v>0</v>
      </c>
      <c r="O49" s="1871">
        <f>Calculs!N245</f>
        <v>0</v>
      </c>
      <c r="P49"/>
      <c r="Q49" s="234" t="e">
        <f t="shared" si="6"/>
        <v>#DIV/0!</v>
      </c>
      <c r="R49" s="234" t="e">
        <f t="shared" si="1"/>
        <v>#DIV/0!</v>
      </c>
      <c r="S49" s="239" t="e">
        <f>Q49-Paramétrage!$D$29</f>
        <v>#DIV/0!</v>
      </c>
      <c r="T49" s="244" t="e">
        <f>IF(Q49&lt;Paramétrage!$D$29, Q49, Paramétrage!$D$29)</f>
        <v>#DIV/0!</v>
      </c>
      <c r="U49" s="253" t="e">
        <f>Paramétrage!$H$19+S49*(365/12)</f>
        <v>#DIV/0!</v>
      </c>
      <c r="V49" s="254" t="e">
        <f>IF(Q49&lt;Paramétrage!$D$29, Paramétrage!$H$19+T49*(365/12), Paramétrage!$H$19+Q49*(365/12))</f>
        <v>#DIV/0!</v>
      </c>
      <c r="X49" s="234" t="str">
        <f>IF(ISERROR(Q49),"", IF(Q49=0, "", IF(Q49&gt;'Calculs Péremption FA'!$CB45, 'Calculs Péremption FA'!$CB45, Q49)))</f>
        <v/>
      </c>
      <c r="Y49" s="584" t="str">
        <f t="shared" si="2"/>
        <v/>
      </c>
      <c r="Z49" s="239" t="str">
        <f>IF(ISERROR(Q49),"", IF(Q49=0, "", IF(Q49&gt;'Calculs Péremption FA'!$CB45, 'Calculs Péremption FA'!$CB45-Paramétrage!$D$29, S49)))</f>
        <v/>
      </c>
      <c r="AA49" s="428" t="str">
        <f>IF(ISERROR(Q49),"", IF(Q49=0, "", IF(Q49&gt;'Calculs Péremption FA'!$CB45, Paramétrage!$D$29, T49)))</f>
        <v/>
      </c>
      <c r="AB49" s="253" t="str">
        <f>IF(ISERROR(Q49),"", IF(Q49=0, "", IF(Q49&gt;'Calculs Péremption FA'!$CB45, 'Calculs Péremption FA'!$BX45-Paramétrage!$D$29*(365/12), U49)))</f>
        <v/>
      </c>
      <c r="AC49" s="254" t="str">
        <f>IF(ISERROR(Q49), AW49, IF(Q49=0, IF(AND(M49=0, OR(N49&gt;0, O49&gt;0)), AX49, ""), IF(Q49&gt;'Calculs Péremption FA'!$CB45, IF(Q49&lt;'Saisie données stocks'!$N$14, CONCATENATE('TRAD-Calculs dispo Données FA'!$B$88, " - ", 'Calculs Péremption FA'!$BY45, "/", 'Calculs Péremption FA'!$BZ45, "/", 'Calculs Péremption FA'!$CA45), 'Calculs Péremption FA'!CC45), V49)))</f>
        <v/>
      </c>
      <c r="AE49" s="234" t="e">
        <f>(Calculs!M300/Calculs!O191)</f>
        <v>#DIV/0!</v>
      </c>
      <c r="AF49" s="234" t="e">
        <f t="shared" si="3"/>
        <v>#DIV/0!</v>
      </c>
      <c r="AG49" s="239" t="e">
        <f>AE49-Paramétrage!$D$29</f>
        <v>#DIV/0!</v>
      </c>
      <c r="AH49" s="244" t="e">
        <f>IF(AE49&lt;Paramétrage!$D$29, AE49, Paramétrage!$D$29)</f>
        <v>#DIV/0!</v>
      </c>
      <c r="AI49" s="253" t="e">
        <f>Paramétrage!$H$19+AG49*(365/12)</f>
        <v>#DIV/0!</v>
      </c>
      <c r="AJ49" s="254" t="e">
        <f>IF(AE49&lt;Paramétrage!$D$29, Paramétrage!$H$19+AH49*(365/12), Paramétrage!$H$19+AE49*(365/12))</f>
        <v>#DIV/0!</v>
      </c>
      <c r="AL49" s="234" t="str">
        <f>IF(ISERROR(AE49),"", IF(AE49=0, "", IF(AE49&gt;'Calculs Péremption FA'!$CB45, 'Calculs Péremption FA'!$CB45, AE49)))</f>
        <v/>
      </c>
      <c r="AM49" s="584" t="str">
        <f t="shared" si="4"/>
        <v/>
      </c>
      <c r="AN49" s="239" t="str">
        <f>IF(ISERROR(AE49),"", IF(AE49=0, "", IF(AE49&gt;'Calculs Péremption FA'!$CB45, 'Calculs Péremption FA'!$CB45-Paramétrage!$D$29, AG49)))</f>
        <v/>
      </c>
      <c r="AO49" s="428" t="str">
        <f>IF(ISERROR(AE49),"", IF(AE49=0, "", IF(AE49&gt;'Calculs Péremption FA'!$CB45, Paramétrage!$D$29, AH49)))</f>
        <v/>
      </c>
      <c r="AP49" s="253" t="str">
        <f>IF(ISERROR(AE49),"", IF(AE49=0, "", IF(AE49&gt;'Calculs Péremption FA'!$CB45, 'Calculs Péremption FA'!$BX45-Paramétrage!$D$29*(365/12), AI49)))</f>
        <v/>
      </c>
      <c r="AQ49" s="254" t="str">
        <f>IF(ISERROR(AE49),"", IF(AE49=0, "", IF(AE49&gt;'Calculs Péremption FA'!$CB45, CONCATENATE('TRAD-Calculs dispo Données FA'!$B$88, " - ", 'Calculs Péremption FA'!$BY45, "/", 'Calculs Péremption FA'!$BZ45, "/", 'Calculs Péremption FA'!$CA45), AJ49)))</f>
        <v/>
      </c>
      <c r="AS49" s="2061">
        <f>Calculs!$M300</f>
        <v>0</v>
      </c>
      <c r="AT49" s="2062">
        <f>Calculs!$O191</f>
        <v>0</v>
      </c>
      <c r="AU49" s="2068">
        <f>Calculs!$N245</f>
        <v>0</v>
      </c>
      <c r="AV49" s="2070" t="str">
        <f>IF(AND(AU49=0, AS49=0, AT49=0), 'TRAD-Calculs dispo Données FA'!$B$82, "")</f>
        <v>Stock et besoin nul</v>
      </c>
      <c r="AW49" s="2062" t="str">
        <f>IF(AND(AU49=0, AS49&gt;0, AT49=0), CONCATENATE(AS49, 'TRAD-Calculs dispo Données FA'!$B$80," =0"), "")</f>
        <v/>
      </c>
      <c r="AX49" s="2063" t="str">
        <f>IF(AND(AS49=0, OR(AT49&gt;=1, AU49&gt;=1)), 'TRAD-Calculs dispo Données FA'!$B$81, "")</f>
        <v/>
      </c>
    </row>
    <row r="50" spans="2:51" s="358" customFormat="1" ht="25.5" x14ac:dyDescent="0.2">
      <c r="C50" s="388"/>
      <c r="D50" s="389"/>
      <c r="E50" s="390" t="str">
        <f>'Saisie données stocks'!F58</f>
        <v>RTV</v>
      </c>
      <c r="F50" s="391" t="str">
        <f>'Saisie données stocks'!G58</f>
        <v>Caps</v>
      </c>
      <c r="G50" s="391" t="str">
        <f>'Saisie données stocks'!H58</f>
        <v>100 mg</v>
      </c>
      <c r="H50" s="401" t="str">
        <f>CONCATENATE(E50, " - ", G50, " - ", 'TRAD-Calculs dispo Données FA'!$B$79,"/", K50)</f>
        <v>RTV - 100 mg - B/84</v>
      </c>
      <c r="I50" s="394">
        <f>Calculs!K141</f>
        <v>0</v>
      </c>
      <c r="J50" s="394">
        <f t="shared" si="7"/>
        <v>0</v>
      </c>
      <c r="K50" s="116">
        <f>Calculs!J141</f>
        <v>84</v>
      </c>
      <c r="L50" s="395">
        <f t="shared" si="0"/>
        <v>0</v>
      </c>
      <c r="M50" s="1822">
        <f>IF('Saisie données stocks'!$O$10='TRAD-Saisie données stocks'!$B$51, 'Calculs Péremption FA'!BU46, Calculs!M301)</f>
        <v>0</v>
      </c>
      <c r="N50" s="1822">
        <f>Calculs!O192</f>
        <v>0</v>
      </c>
      <c r="O50" s="1822">
        <f>Calculs!N246</f>
        <v>0</v>
      </c>
      <c r="P50"/>
      <c r="Q50" s="233" t="e">
        <f t="shared" si="6"/>
        <v>#DIV/0!</v>
      </c>
      <c r="R50" s="233" t="e">
        <f t="shared" si="1"/>
        <v>#DIV/0!</v>
      </c>
      <c r="S50" s="238" t="e">
        <f>Q50-Paramétrage!$D$29</f>
        <v>#DIV/0!</v>
      </c>
      <c r="T50" s="427" t="e">
        <f>IF(Q50&lt;Paramétrage!$D$29, Q50, Paramétrage!$D$29)</f>
        <v>#DIV/0!</v>
      </c>
      <c r="U50" s="251" t="e">
        <f>Paramétrage!$H$19+S50*(365/12)</f>
        <v>#DIV/0!</v>
      </c>
      <c r="V50" s="252" t="e">
        <f>IF(Q50&lt;Paramétrage!$D$29, Paramétrage!$H$19+T50*(365/12), Paramétrage!$H$19+Q50*(365/12))</f>
        <v>#DIV/0!</v>
      </c>
      <c r="X50" s="233" t="str">
        <f>IF(ISERROR(Q50),"", IF(Q50=0, "", IF(Q50&gt;'Calculs Péremption FA'!$CB46, 'Calculs Péremption FA'!$CB46, Q50)))</f>
        <v/>
      </c>
      <c r="Y50" s="575" t="str">
        <f t="shared" si="2"/>
        <v/>
      </c>
      <c r="Z50" s="238" t="str">
        <f>IF(ISERROR(Q50),"", IF(Q50=0, "", IF(Q50&gt;'Calculs Péremption FA'!$CB46, 'Calculs Péremption FA'!$CB46-Paramétrage!$D$29, S50)))</f>
        <v/>
      </c>
      <c r="AA50" s="427" t="str">
        <f>IF(ISERROR(Q50),"", IF(Q50=0, "", IF(Q50&gt;'Calculs Péremption FA'!$CB46, Paramétrage!$D$29, T50)))</f>
        <v/>
      </c>
      <c r="AB50" s="251" t="str">
        <f>IF(ISERROR(Q50),"", IF(Q50=0, "", IF(Q50&gt;'Calculs Péremption FA'!$CB46, 'Calculs Péremption FA'!$BX46-Paramétrage!$D$29*(365/12), U50)))</f>
        <v/>
      </c>
      <c r="AC50" s="252" t="str">
        <f>IF(ISERROR(Q50), AW50, IF(Q50=0, IF(AND(M50=0, OR(N50&gt;0, O50&gt;0)), AX50, ""), IF(Q50&gt;'Calculs Péremption FA'!$CB46, IF(Q50&lt;'Saisie données stocks'!$N$14, CONCATENATE('TRAD-Calculs dispo Données FA'!$B$88, " - ", 'Calculs Péremption FA'!$BY46, "/", 'Calculs Péremption FA'!$BZ46, "/", 'Calculs Péremption FA'!$CA46), 'Calculs Péremption FA'!CC46), V50)))</f>
        <v/>
      </c>
      <c r="AE50" s="233" t="e">
        <f>(Calculs!M301/Calculs!O192)</f>
        <v>#DIV/0!</v>
      </c>
      <c r="AF50" s="233" t="e">
        <f t="shared" si="3"/>
        <v>#DIV/0!</v>
      </c>
      <c r="AG50" s="238" t="e">
        <f>AE50-Paramétrage!$D$29</f>
        <v>#DIV/0!</v>
      </c>
      <c r="AH50" s="427" t="e">
        <f>IF(AE50&lt;Paramétrage!$D$29, AE50, Paramétrage!$D$29)</f>
        <v>#DIV/0!</v>
      </c>
      <c r="AI50" s="251" t="e">
        <f>Paramétrage!$H$19+AG50*(365/12)</f>
        <v>#DIV/0!</v>
      </c>
      <c r="AJ50" s="252" t="e">
        <f>IF(AE50&lt;Paramétrage!$D$29, Paramétrage!$H$19+AH50*(365/12), Paramétrage!$H$19+AE50*(365/12))</f>
        <v>#DIV/0!</v>
      </c>
      <c r="AL50" s="233" t="str">
        <f>IF(ISERROR(AE50),"", IF(AE50=0, "", IF(AE50&gt;'Calculs Péremption FA'!$CB46, 'Calculs Péremption FA'!$CB46, AE50)))</f>
        <v/>
      </c>
      <c r="AM50" s="575" t="str">
        <f t="shared" si="4"/>
        <v/>
      </c>
      <c r="AN50" s="238" t="str">
        <f>IF(ISERROR(AE50),"", IF(AE50=0, "", IF(AE50&gt;'Calculs Péremption FA'!$CB46, 'Calculs Péremption FA'!$CB46-Paramétrage!$D$29, AG50)))</f>
        <v/>
      </c>
      <c r="AO50" s="427" t="str">
        <f>IF(ISERROR(AE50),"", IF(AE50=0, "", IF(AE50&gt;'Calculs Péremption FA'!$CB46, Paramétrage!$D$29, AH50)))</f>
        <v/>
      </c>
      <c r="AP50" s="251" t="str">
        <f>IF(ISERROR(AE50),"", IF(AE50=0, "", IF(AE50&gt;'Calculs Péremption FA'!$CB46, 'Calculs Péremption FA'!$BX46-Paramétrage!$D$29*(365/12), AI50)))</f>
        <v/>
      </c>
      <c r="AQ50" s="252" t="str">
        <f>IF(ISERROR(AE50),"", IF(AE50=0, "", IF(AE50&gt;'Calculs Péremption FA'!$CB46, CONCATENATE('TRAD-Calculs dispo Données FA'!$B$88, " - ", 'Calculs Péremption FA'!$BY46, "/", 'Calculs Péremption FA'!$BZ46, "/", 'Calculs Péremption FA'!$CA46), AJ50)))</f>
        <v/>
      </c>
      <c r="AS50" s="2061">
        <f>Calculs!$M301</f>
        <v>0</v>
      </c>
      <c r="AT50" s="2062">
        <f>Calculs!$O192</f>
        <v>0</v>
      </c>
      <c r="AU50" s="2068">
        <f>Calculs!$N246</f>
        <v>0</v>
      </c>
      <c r="AV50" s="2070" t="str">
        <f>IF(AND(AU50=0, AS50=0, AT50=0), 'TRAD-Calculs dispo Données FA'!$B$82, "")</f>
        <v>Stock et besoin nul</v>
      </c>
      <c r="AW50" s="2062" t="str">
        <f>IF(AND(AU50=0, AS50&gt;0, AT50=0), CONCATENATE(AS50, 'TRAD-Calculs dispo Données FA'!$B$80," =0"), "")</f>
        <v/>
      </c>
      <c r="AX50" s="2063" t="str">
        <f>IF(AND(AS50=0, OR(AT50&gt;=1, AU50&gt;=1)), 'TRAD-Calculs dispo Données FA'!$B$81, "")</f>
        <v/>
      </c>
    </row>
    <row r="51" spans="2:51" s="358" customFormat="1" ht="26.25" thickBot="1" x14ac:dyDescent="0.25">
      <c r="C51" s="374"/>
      <c r="D51" s="375" t="s">
        <v>266</v>
      </c>
      <c r="E51" s="376" t="str">
        <f>'Saisie données stocks'!F59</f>
        <v>RLT = RAL</v>
      </c>
      <c r="F51" s="377" t="str">
        <f>'Saisie données stocks'!G59</f>
        <v>Cp</v>
      </c>
      <c r="G51" s="377" t="str">
        <f>'Saisie données stocks'!H59</f>
        <v>400 mg</v>
      </c>
      <c r="H51" s="378" t="str">
        <f>CONCATENATE(E51, " - ", G51, " - ", 'TRAD-Calculs dispo Données FA'!$B$79,"/", K51)</f>
        <v>RLT = RAL - 400 mg - B/60</v>
      </c>
      <c r="I51" s="380">
        <f>Calculs!K142</f>
        <v>2</v>
      </c>
      <c r="J51" s="380">
        <f t="shared" si="7"/>
        <v>60</v>
      </c>
      <c r="K51" s="114">
        <f>Calculs!J142</f>
        <v>60</v>
      </c>
      <c r="L51" s="381">
        <f t="shared" si="0"/>
        <v>1</v>
      </c>
      <c r="M51" s="1820">
        <f>IF('Saisie données stocks'!$O$10='TRAD-Saisie données stocks'!$B$51, 'Calculs Péremption FA'!BU47, Calculs!M302)</f>
        <v>0</v>
      </c>
      <c r="N51" s="1820">
        <f>Calculs!O193</f>
        <v>0</v>
      </c>
      <c r="O51" s="1820">
        <f>Calculs!N247</f>
        <v>0</v>
      </c>
      <c r="P51"/>
      <c r="Q51" s="231" t="e">
        <f t="shared" si="6"/>
        <v>#DIV/0!</v>
      </c>
      <c r="R51" s="231" t="e">
        <f t="shared" si="1"/>
        <v>#DIV/0!</v>
      </c>
      <c r="S51" s="236" t="e">
        <f>Q51-Paramétrage!$D$29</f>
        <v>#DIV/0!</v>
      </c>
      <c r="T51" s="241" t="e">
        <f>IF(Q51&lt;Paramétrage!$D$29, Q51, Paramétrage!$D$29)</f>
        <v>#DIV/0!</v>
      </c>
      <c r="U51" s="247" t="e">
        <f>Paramétrage!$H$19+S51*(365/12)</f>
        <v>#DIV/0!</v>
      </c>
      <c r="V51" s="248" t="e">
        <f>IF(Q51&lt;Paramétrage!$D$29, Paramétrage!$H$19+T51*(365/12), Paramétrage!$H$19+Q51*(365/12))</f>
        <v>#DIV/0!</v>
      </c>
      <c r="X51" s="233" t="str">
        <f>IF(ISERROR(Q51),"", IF(Q51=0, "", IF(Q51&gt;'Calculs Péremption FA'!$CB47, 'Calculs Péremption FA'!$CB47, Q51)))</f>
        <v/>
      </c>
      <c r="Y51" s="575" t="str">
        <f t="shared" si="2"/>
        <v/>
      </c>
      <c r="Z51" s="238" t="str">
        <f>IF(ISERROR(Q51),"", IF(Q51=0, "", IF(Q51&gt;'Calculs Péremption FA'!$CB47, 'Calculs Péremption FA'!$CB47-Paramétrage!$D$29, S51)))</f>
        <v/>
      </c>
      <c r="AA51" s="427" t="str">
        <f>IF(ISERROR(Q51),"", IF(Q51=0, "", IF(Q51&gt;'Calculs Péremption FA'!$CB47, Paramétrage!$D$29, T51)))</f>
        <v/>
      </c>
      <c r="AB51" s="251" t="str">
        <f>IF(ISERROR(Q51),"", IF(Q51=0, "", IF(Q51&gt;'Calculs Péremption FA'!$CB47, 'Calculs Péremption FA'!$BX47-Paramétrage!$D$29*(365/12), U51)))</f>
        <v/>
      </c>
      <c r="AC51" s="252" t="str">
        <f>IF(ISERROR(Q51), AW51, IF(Q51=0, IF(AND(M51=0, OR(N51&gt;0, O51&gt;0)), AX51, ""), IF(Q51&gt;'Calculs Péremption FA'!$CB47, IF(Q51&lt;'Saisie données stocks'!$N$14, CONCATENATE('TRAD-Calculs dispo Données FA'!$B$88, " - ", 'Calculs Péremption FA'!$BY47, "/", 'Calculs Péremption FA'!$BZ47, "/", 'Calculs Péremption FA'!$CA47), 'Calculs Péremption FA'!CC47), V51)))</f>
        <v/>
      </c>
      <c r="AE51" s="231" t="e">
        <f>(Calculs!M302/Calculs!O193)</f>
        <v>#DIV/0!</v>
      </c>
      <c r="AF51" s="231" t="e">
        <f t="shared" si="3"/>
        <v>#DIV/0!</v>
      </c>
      <c r="AG51" s="236" t="e">
        <f>AE51-Paramétrage!$D$29</f>
        <v>#DIV/0!</v>
      </c>
      <c r="AH51" s="241" t="e">
        <f>IF(AE51&lt;Paramétrage!$D$29, AE51, Paramétrage!$D$29)</f>
        <v>#DIV/0!</v>
      </c>
      <c r="AI51" s="247" t="e">
        <f>Paramétrage!$H$19+AG51*(365/12)</f>
        <v>#DIV/0!</v>
      </c>
      <c r="AJ51" s="248" t="e">
        <f>IF(AE51&lt;Paramétrage!$D$29, Paramétrage!$H$19+AH51*(365/12), Paramétrage!$H$19+AE51*(365/12))</f>
        <v>#DIV/0!</v>
      </c>
      <c r="AL51" s="233" t="str">
        <f>IF(ISERROR(AE51),"", IF(AE51=0, "", IF(AE51&gt;'Calculs Péremption FA'!$CB47, 'Calculs Péremption FA'!$CB47, AE51)))</f>
        <v/>
      </c>
      <c r="AM51" s="575" t="str">
        <f t="shared" si="4"/>
        <v/>
      </c>
      <c r="AN51" s="238" t="str">
        <f>IF(ISERROR(AE51),"", IF(AE51=0, "", IF(AE51&gt;'Calculs Péremption FA'!$CB47, 'Calculs Péremption FA'!$CB47-Paramétrage!$D$29, AG51)))</f>
        <v/>
      </c>
      <c r="AO51" s="427" t="str">
        <f>IF(ISERROR(AE51),"", IF(AE51=0, "", IF(AE51&gt;'Calculs Péremption FA'!$CB47, Paramétrage!$D$29, AH51)))</f>
        <v/>
      </c>
      <c r="AP51" s="251" t="str">
        <f>IF(ISERROR(AE51),"", IF(AE51=0, "", IF(AE51&gt;'Calculs Péremption FA'!$CB47, 'Calculs Péremption FA'!$BX47-Paramétrage!$D$29*(365/12), AI51)))</f>
        <v/>
      </c>
      <c r="AQ51" s="252" t="str">
        <f>IF(ISERROR(AE51),"", IF(AE51=0, "", IF(AE51&gt;'Calculs Péremption FA'!$CB47, CONCATENATE('TRAD-Calculs dispo Données FA'!$B$88, " - ", 'Calculs Péremption FA'!$BY47, "/", 'Calculs Péremption FA'!$BZ47, "/", 'Calculs Péremption FA'!$CA47), AJ51)))</f>
        <v/>
      </c>
      <c r="AS51" s="2061">
        <f>Calculs!$M302</f>
        <v>0</v>
      </c>
      <c r="AT51" s="2062">
        <f>Calculs!$O193</f>
        <v>0</v>
      </c>
      <c r="AU51" s="2068">
        <f>Calculs!$N247</f>
        <v>0</v>
      </c>
      <c r="AV51" s="2548" t="str">
        <f>IF(AND(AU51=0, AS51=0, AT51=0), 'TRAD-Calculs dispo Données FA'!$B$82, "")</f>
        <v>Stock et besoin nul</v>
      </c>
      <c r="AW51" s="2062" t="str">
        <f>IF(AND(AU51=0, AS51&gt;0, AT51=0), CONCATENATE(AS51, 'TRAD-Calculs dispo Données FA'!$B$80," =0"), "")</f>
        <v/>
      </c>
      <c r="AX51" s="2063" t="str">
        <f>IF(AND(AS51=0, OR(AT51&gt;=1, AU51&gt;=1)), 'TRAD-Calculs dispo Données FA'!$B$81, "")</f>
        <v/>
      </c>
    </row>
    <row r="52" spans="2:51" s="358" customFormat="1" ht="64.5" thickBot="1" x14ac:dyDescent="0.25">
      <c r="C52" s="577" t="str">
        <f>'TRAD-Calculs dispo Données FA'!B9</f>
        <v>Classe forme galénique</v>
      </c>
      <c r="D52" s="576" t="str">
        <f>'TRAD-Calculs dispo Données FA'!B10</f>
        <v>Classe thérapeutique</v>
      </c>
      <c r="E52" s="364" t="str">
        <f>'TRAD-Calculs dispo Données FA'!B11</f>
        <v>Composition</v>
      </c>
      <c r="F52" s="365" t="str">
        <f>'TRAD-Calculs dispo Données FA'!B12</f>
        <v>Forme galénique</v>
      </c>
      <c r="G52" s="365" t="str">
        <f>'TRAD-Calculs dispo Données FA'!B13</f>
        <v>Dosage</v>
      </c>
      <c r="H52" s="365" t="str">
        <f>'TRAD-Calculs dispo Données FA'!B14</f>
        <v>Nom pour représentation graphique</v>
      </c>
      <c r="I52" s="365"/>
      <c r="J52" s="365"/>
      <c r="K52" s="365" t="str">
        <f>'TRAD-Calculs dispo Données FA'!B18</f>
        <v>Volume conditionnement primaire (mL)</v>
      </c>
      <c r="L52" s="327" t="str">
        <f>'TRAD-Calculs dispo Données FA'!B19</f>
        <v>Conditionement secondaire</v>
      </c>
      <c r="M52" s="346" t="str">
        <f>'TRAD-Calculs dispo Données FA'!B21</f>
        <v>Stock disponible UTILISABLE au niveau considéré (nb de boites)</v>
      </c>
      <c r="N52" s="2057" t="str">
        <f>'TRAD-Calculs dispo Données FA'!B33</f>
        <v>Besoin mensuel patients suivis selon méthode</v>
      </c>
      <c r="O52" s="2057" t="str">
        <f>'TRAD-Calculs dispo Données FA'!B34</f>
        <v>Besoin mensuel patients initiés selon méthode</v>
      </c>
      <c r="P52"/>
      <c r="Q52" s="346" t="str">
        <f>'TRAD-Calculs dispo Données FA'!B35</f>
        <v>Nombre de mois de disponibilité de produits</v>
      </c>
      <c r="R52" s="346" t="str">
        <f>'TRAD-Calculs dispo Données FA'!B36</f>
        <v>Delta Nb de mois de disponibilité Stocks périph / Stocks total (périph + central)</v>
      </c>
      <c r="S52" s="347" t="str">
        <f>'TRAD-Calculs dispo Données FA'!B37</f>
        <v>Nombre de mois de disponibilité de produits hors ST</v>
      </c>
      <c r="T52" s="327" t="str">
        <f>'TRAD-Calculs dispo Données FA'!B38</f>
        <v>Nombre de mois de stock tampon (ST)</v>
      </c>
      <c r="U52" s="348" t="str">
        <f>'TRAD-Calculs dispo Données FA'!B39</f>
        <v>Date d'entrée en stock tampon</v>
      </c>
      <c r="V52" s="349" t="str">
        <f>'TRAD-Calculs dispo Données FA'!B40</f>
        <v>Date de rupture attendue</v>
      </c>
      <c r="X52" s="346" t="str">
        <f>'TRAD-Calculs dispo Données FA'!B35</f>
        <v>Nombre de mois de disponibilité de produits</v>
      </c>
      <c r="Y52" s="346" t="str">
        <f>'TRAD-Calculs dispo Données FA'!B36</f>
        <v>Delta Nb de mois de disponibilité Stocks périph / Stocks total (périph + central)</v>
      </c>
      <c r="Z52" s="347" t="str">
        <f>'TRAD-Calculs dispo Données FA'!B37</f>
        <v>Nombre de mois de disponibilité de produits hors ST</v>
      </c>
      <c r="AA52" s="424" t="str">
        <f>'TRAD-Calculs dispo Données FA'!B38</f>
        <v>Nombre de mois de stock tampon (ST)</v>
      </c>
      <c r="AB52" s="348" t="str">
        <f>'TRAD-Calculs dispo Données FA'!B39</f>
        <v>Date d'entrée en stock tampon</v>
      </c>
      <c r="AC52" s="349" t="str">
        <f>'TRAD-Calculs dispo Données FA'!B40</f>
        <v>Date de rupture attendue</v>
      </c>
      <c r="AE52" s="346" t="str">
        <f>'TRAD-Calculs dispo Données FA'!B35</f>
        <v>Nombre de mois de disponibilité de produits</v>
      </c>
      <c r="AF52" s="580" t="str">
        <f>'TRAD-Calculs dispo Données FA'!B46</f>
        <v>Gain Nb de mois de disponibilité si arrêt des initiations &amp; switch</v>
      </c>
      <c r="AG52" s="347" t="str">
        <f>'TRAD-Calculs dispo Données FA'!B37</f>
        <v>Nombre de mois de disponibilité de produits hors ST</v>
      </c>
      <c r="AH52" s="424" t="str">
        <f>'TRAD-Calculs dispo Données FA'!B38</f>
        <v>Nombre de mois de stock tampon (ST)</v>
      </c>
      <c r="AI52" s="348" t="str">
        <f>'TRAD-Calculs dispo Données FA'!B39</f>
        <v>Date d'entrée en stock tampon</v>
      </c>
      <c r="AJ52" s="349" t="str">
        <f>'TRAD-Calculs dispo Données FA'!B40</f>
        <v>Date de rupture attendue</v>
      </c>
      <c r="AL52" s="346" t="str">
        <f>'TRAD-Calculs dispo Données FA'!B35</f>
        <v>Nombre de mois de disponibilité de produits</v>
      </c>
      <c r="AM52" s="580" t="str">
        <f>'TRAD-Calculs dispo Données FA'!B46</f>
        <v>Gain Nb de mois de disponibilité si arrêt des initiations &amp; switch</v>
      </c>
      <c r="AN52" s="347" t="str">
        <f>'TRAD-Calculs dispo Données FA'!B37</f>
        <v>Nombre de mois de disponibilité de produits hors ST</v>
      </c>
      <c r="AO52" s="424" t="str">
        <f>'TRAD-Calculs dispo Données FA'!B38</f>
        <v>Nombre de mois de stock tampon (ST)</v>
      </c>
      <c r="AP52" s="424" t="str">
        <f>'TRAD-Calculs dispo Données FA'!B39</f>
        <v>Date d'entrée en stock tampon</v>
      </c>
      <c r="AQ52" s="349" t="str">
        <f>'TRAD-Calculs dispo Données FA'!B40</f>
        <v>Date de rupture attendue</v>
      </c>
      <c r="AS52" s="2077" t="str">
        <f>'TRAD-Calculs dispo Données FA'!B48</f>
        <v>Stock</v>
      </c>
      <c r="AT52" s="2078" t="str">
        <f>'TRAD-Calculs dispo Données FA'!B49</f>
        <v>besoin actuel</v>
      </c>
      <c r="AU52" s="2079" t="str">
        <f>'TRAD-Calculs dispo Données FA'!B50</f>
        <v>Progression besoin</v>
      </c>
      <c r="AV52" s="2077" t="str">
        <f>'TRAD-Calculs dispo Données FA'!B51</f>
        <v>Eval</v>
      </c>
      <c r="AW52" s="2078" t="str">
        <f>'TRAD-Calculs dispo Données FA'!B51</f>
        <v>Eval</v>
      </c>
      <c r="AX52" s="2080" t="str">
        <f>'TRAD-Calculs dispo Données FA'!B51</f>
        <v>Eval</v>
      </c>
    </row>
    <row r="53" spans="2:51" s="358" customFormat="1" ht="26.25" thickBot="1" x14ac:dyDescent="0.25">
      <c r="C53" s="366" t="str">
        <f>'TRAD-Calculs dispo Données FA'!B67</f>
        <v>Solutions Buvables</v>
      </c>
      <c r="D53" s="367" t="s">
        <v>31</v>
      </c>
      <c r="E53" s="376" t="str">
        <f>'Saisie données stocks'!F61</f>
        <v>AZT</v>
      </c>
      <c r="F53" s="377" t="str">
        <f>'Saisie données stocks'!G61</f>
        <v>Sol buv</v>
      </c>
      <c r="G53" s="377" t="str">
        <f>'Saisie données stocks'!H61</f>
        <v>10 mg/mL</v>
      </c>
      <c r="H53" s="370" t="str">
        <f>CONCATENATE(E53, " - ", G53,"-",'TRAD-Calculs dispo Données FA'!$B$83, "/",K53, "mL")</f>
        <v>AZT - 10 mg/mL-Fl/240mL</v>
      </c>
      <c r="I53" s="370"/>
      <c r="J53" s="370"/>
      <c r="K53" s="113">
        <f>'Saisie données stocks'!L61</f>
        <v>240</v>
      </c>
      <c r="L53" s="300">
        <f>'Saisie données stocks'!M61</f>
        <v>1</v>
      </c>
      <c r="M53" s="1819">
        <f>IF('Saisie données stocks'!$O$10='TRAD-Saisie données stocks'!$B$51, 'Calculs Péremption FA'!BU49, Calculs!M304)</f>
        <v>0</v>
      </c>
      <c r="N53" s="1819">
        <f>Calculs!O195</f>
        <v>0</v>
      </c>
      <c r="O53" s="1819">
        <f>Calculs!N249</f>
        <v>0</v>
      </c>
      <c r="P53"/>
      <c r="Q53" s="230" t="e">
        <f t="shared" si="6"/>
        <v>#DIV/0!</v>
      </c>
      <c r="R53" s="230" t="e">
        <f t="shared" ref="R53:R60" si="8">Q167-Q110</f>
        <v>#DIV/0!</v>
      </c>
      <c r="S53" s="235" t="e">
        <f>Q53-Paramétrage!$D$29</f>
        <v>#DIV/0!</v>
      </c>
      <c r="T53" s="240" t="e">
        <f>IF(Q53&lt;Paramétrage!$D$29, Q53, Paramétrage!$D$29)</f>
        <v>#DIV/0!</v>
      </c>
      <c r="U53" s="245" t="e">
        <f>Paramétrage!$H$19+S53*(365/12)</f>
        <v>#DIV/0!</v>
      </c>
      <c r="V53" s="246" t="e">
        <f>IF(Q53&lt;Paramétrage!$D$29, Paramétrage!$H$19+T53*(365/12), Paramétrage!$H$19+Q53*(365/12))</f>
        <v>#DIV/0!</v>
      </c>
      <c r="X53" s="230" t="str">
        <f>IF(ISERROR(Q53),"", IF(Q53=0, "", IF(Q53&gt;'Calculs Péremption FA'!$CB49, 'Calculs Péremption FA'!$CB49, Q53)))</f>
        <v/>
      </c>
      <c r="Y53" s="581" t="str">
        <f t="shared" ref="Y53:Y60" si="9">IF(ISERROR(R53),"", IF(R53=0, "", R53))</f>
        <v/>
      </c>
      <c r="Z53" s="235" t="str">
        <f>IF(ISERROR(Q53),"", IF(Q53=0, "", IF(Q53&gt;'Calculs Péremption FA'!$CB49, 'Calculs Péremption FA'!$CB49-Paramétrage!$D$29, S53)))</f>
        <v/>
      </c>
      <c r="AA53" s="429" t="str">
        <f>IF(ISERROR(Q53),"", IF(Q53=0, "", IF(Q53&gt;'Calculs Péremption FA'!$CB49, Paramétrage!$D$29, T53)))</f>
        <v/>
      </c>
      <c r="AB53" s="245" t="str">
        <f>IF(ISERROR(Q53),"", IF(Q53=0, "", IF(Q53&gt;'Calculs Péremption FA'!$CB49, 'Calculs Péremption FA'!$BX49-Paramétrage!$D$29*(365/12), U53)))</f>
        <v/>
      </c>
      <c r="AC53" s="246" t="str">
        <f>IF(ISERROR(Q53), AW53, IF(Q53=0, IF(AND(M53=0, OR(N53&gt;0, O53&gt;0)), AX53, ""), IF(Q53&gt;'Calculs Péremption FA'!$CB49, IF(Q53&lt;'Saisie données stocks'!$N$14, CONCATENATE('TRAD-Calculs dispo Données FA'!$B$88, " - ", 'Calculs Péremption FA'!$BY49, "/", 'Calculs Péremption FA'!$BZ49, "/", 'Calculs Péremption FA'!$CA49), 'Calculs Péremption FA'!CC49), V53)))</f>
        <v/>
      </c>
      <c r="AE53" s="230" t="e">
        <f>(Calculs!M304/Calculs!O195)</f>
        <v>#DIV/0!</v>
      </c>
      <c r="AF53" s="230" t="e">
        <f t="shared" ref="AF53:AF60" si="10">AE53-Q53</f>
        <v>#DIV/0!</v>
      </c>
      <c r="AG53" s="235" t="e">
        <f>AE53-Paramétrage!$D$29</f>
        <v>#DIV/0!</v>
      </c>
      <c r="AH53" s="240" t="e">
        <f>IF(AE53&lt;Paramétrage!$D$29, AE53, Paramétrage!$D$29)</f>
        <v>#DIV/0!</v>
      </c>
      <c r="AI53" s="245" t="e">
        <f>Paramétrage!$H$19+AG53*(365/12)</f>
        <v>#DIV/0!</v>
      </c>
      <c r="AJ53" s="246" t="e">
        <f>IF(AE53&lt;Paramétrage!$D$29, Paramétrage!$H$19+AH53*(365/12), Paramétrage!$H$19+AE53*(365/12))</f>
        <v>#DIV/0!</v>
      </c>
      <c r="AL53" s="230" t="str">
        <f>IF(ISERROR(AE53),"", IF(AE53=0, "", IF(AE53&gt;'Calculs Péremption FA'!$CB49, 'Calculs Péremption FA'!$CB49, AE53)))</f>
        <v/>
      </c>
      <c r="AM53" s="581" t="str">
        <f t="shared" ref="AM53:AM60" si="11">IF(ISERROR(AF53),"", IF(AF53=0, "", AF53))</f>
        <v/>
      </c>
      <c r="AN53" s="235" t="str">
        <f>IF(ISERROR(AE53),"", IF(AE53=0, "", IF(AE53&gt;'Calculs Péremption FA'!$CB49, 'Calculs Péremption FA'!$CB49-Paramétrage!$D$29, AG53)))</f>
        <v/>
      </c>
      <c r="AO53" s="429" t="str">
        <f>IF(ISERROR(AE53),"", IF(AE53=0, "", IF(AE53&gt;'Calculs Péremption FA'!$CB49, Paramétrage!$D$29, AH53)))</f>
        <v/>
      </c>
      <c r="AP53" s="245" t="str">
        <f>IF(ISERROR(AE53),"", IF(AE53=0, "", IF(AE53&gt;'Calculs Péremption FA'!$CB49, 'Calculs Péremption FA'!$BX49-Paramétrage!$D$29*(365/12), AI53)))</f>
        <v/>
      </c>
      <c r="AQ53" s="246" t="str">
        <f>IF(ISERROR(AE53),"", IF(AE53=0, "", IF(AE53&gt;'Calculs Péremption FA'!$CB49, CONCATENATE('TRAD-Calculs dispo Données FA'!$B$88, " - ", 'Calculs Péremption FA'!$BY49, "/", 'Calculs Péremption FA'!$BZ49, "/", 'Calculs Péremption FA'!$CA49), AJ53)))</f>
        <v/>
      </c>
      <c r="AS53" s="2072">
        <f>Calculs!$M304</f>
        <v>0</v>
      </c>
      <c r="AT53" s="2073">
        <f>Calculs!$O195</f>
        <v>0</v>
      </c>
      <c r="AU53" s="2074">
        <f>Calculs!$N249</f>
        <v>0</v>
      </c>
      <c r="AV53" s="2075" t="str">
        <f>IF(AND(AU53=0, AS53=0, AT53=0),'TRAD-Calculs dispo Données FA'!$B$82, "")</f>
        <v>Stock et besoin nul</v>
      </c>
      <c r="AW53" s="2073" t="str">
        <f>IF(AND(AU53=0, AS53&gt;0, AT53=0), CONCATENATE(AS53, 'TRAD-Calculs dispo Données FA'!$B$80," =0"), "")</f>
        <v/>
      </c>
      <c r="AX53" s="2063" t="str">
        <f>IF(AND(AS53=0, OR(AT53&gt;=1, AU53&gt;=1)), 'TRAD-Calculs dispo Données FA'!$B$81, "")</f>
        <v/>
      </c>
    </row>
    <row r="54" spans="2:51" s="358" customFormat="1" ht="26.25" thickBot="1" x14ac:dyDescent="0.25">
      <c r="C54" s="374"/>
      <c r="D54" s="375"/>
      <c r="E54" s="376" t="str">
        <f>'Saisie données stocks'!F62</f>
        <v>D4T</v>
      </c>
      <c r="F54" s="377" t="str">
        <f>'Saisie données stocks'!G62</f>
        <v>Sol buv</v>
      </c>
      <c r="G54" s="377" t="str">
        <f>'Saisie données stocks'!H62</f>
        <v>10 mg/mL</v>
      </c>
      <c r="H54" s="370" t="str">
        <f>CONCATENATE(E54, " - ", G54,"-",'TRAD-Calculs dispo Données FA'!$B$83, "/",K54, "mL")</f>
        <v>D4T - 10 mg/mL-Fl/240mL</v>
      </c>
      <c r="I54" s="378"/>
      <c r="J54" s="378"/>
      <c r="K54" s="114">
        <f>'Saisie données stocks'!L62</f>
        <v>240</v>
      </c>
      <c r="L54" s="308">
        <f>'Saisie données stocks'!M62</f>
        <v>1</v>
      </c>
      <c r="M54" s="1820">
        <f>IF('Saisie données stocks'!$O$10='TRAD-Saisie données stocks'!$B$51, 'Calculs Péremption FA'!BU50, Calculs!M305)</f>
        <v>0</v>
      </c>
      <c r="N54" s="1820">
        <f>Calculs!O196</f>
        <v>0</v>
      </c>
      <c r="O54" s="1820">
        <f>Calculs!N250</f>
        <v>0</v>
      </c>
      <c r="P54"/>
      <c r="Q54" s="231" t="e">
        <f t="shared" si="6"/>
        <v>#DIV/0!</v>
      </c>
      <c r="R54" s="231" t="e">
        <f t="shared" si="8"/>
        <v>#DIV/0!</v>
      </c>
      <c r="S54" s="236" t="e">
        <f>Q54-Paramétrage!$D$29</f>
        <v>#DIV/0!</v>
      </c>
      <c r="T54" s="241" t="e">
        <f>IF(Q54&lt;Paramétrage!$D$29, Q54, Paramétrage!$D$29)</f>
        <v>#DIV/0!</v>
      </c>
      <c r="U54" s="247" t="e">
        <f>Paramétrage!$H$19+S54*(365/12)</f>
        <v>#DIV/0!</v>
      </c>
      <c r="V54" s="248" t="e">
        <f>IF(Q54&lt;Paramétrage!$D$29, Paramétrage!$H$19+T54*(365/12), Paramétrage!$H$19+Q54*(365/12))</f>
        <v>#DIV/0!</v>
      </c>
      <c r="X54" s="231" t="str">
        <f>IF(ISERROR(Q54),"", IF(Q54=0, "", IF(Q54&gt;'Calculs Péremption FA'!$CB50, 'Calculs Péremption FA'!$CB50, Q54)))</f>
        <v/>
      </c>
      <c r="Y54" s="582" t="str">
        <f t="shared" si="9"/>
        <v/>
      </c>
      <c r="Z54" s="236" t="str">
        <f>IF(ISERROR(Q54),"", IF(Q54=0, "", IF(Q54&gt;'Calculs Péremption FA'!$CB50, 'Calculs Péremption FA'!$CB50-Paramétrage!$D$29, S54)))</f>
        <v/>
      </c>
      <c r="AA54" s="425" t="str">
        <f>IF(ISERROR(Q54),"", IF(Q54=0, "", IF(Q54&gt;'Calculs Péremption FA'!$CB50, Paramétrage!$D$29, T54)))</f>
        <v/>
      </c>
      <c r="AB54" s="247" t="str">
        <f>IF(ISERROR(Q54),"", IF(Q54=0, "", IF(Q54&gt;'Calculs Péremption FA'!$CB50, 'Calculs Péremption FA'!$BX50-Paramétrage!$D$29*(365/12), U54)))</f>
        <v/>
      </c>
      <c r="AC54" s="248" t="str">
        <f>IF(ISERROR(Q54), AW54, IF(Q54=0, IF(AND(M54=0, OR(N54&gt;0, O54&gt;0)), AX54, ""), IF(Q54&gt;'Calculs Péremption FA'!$CB50, IF(Q54&lt;'Saisie données stocks'!$N$14, CONCATENATE('TRAD-Calculs dispo Données FA'!$B$88, " - ", 'Calculs Péremption FA'!$BY50, "/", 'Calculs Péremption FA'!$BZ50, "/", 'Calculs Péremption FA'!$CA50), 'Calculs Péremption FA'!CC50), V54)))</f>
        <v/>
      </c>
      <c r="AE54" s="231" t="e">
        <f>(Calculs!M305/Calculs!O196)</f>
        <v>#DIV/0!</v>
      </c>
      <c r="AF54" s="231" t="e">
        <f t="shared" si="10"/>
        <v>#DIV/0!</v>
      </c>
      <c r="AG54" s="236" t="e">
        <f>AE54-Paramétrage!$D$29</f>
        <v>#DIV/0!</v>
      </c>
      <c r="AH54" s="241" t="e">
        <f>IF(AE54&lt;Paramétrage!$D$29, AE54, Paramétrage!$D$29)</f>
        <v>#DIV/0!</v>
      </c>
      <c r="AI54" s="247" t="e">
        <f>Paramétrage!$H$19+AG54*(365/12)</f>
        <v>#DIV/0!</v>
      </c>
      <c r="AJ54" s="248" t="e">
        <f>IF(AE54&lt;Paramétrage!$D$29, Paramétrage!$H$19+AH54*(365/12), Paramétrage!$H$19+AE54*(365/12))</f>
        <v>#DIV/0!</v>
      </c>
      <c r="AL54" s="231" t="str">
        <f>IF(ISERROR(AE54),"", IF(AE54=0, "", IF(AE54&gt;'Calculs Péremption FA'!$CB50, 'Calculs Péremption FA'!$CB50, AE54)))</f>
        <v/>
      </c>
      <c r="AM54" s="582" t="str">
        <f t="shared" si="11"/>
        <v/>
      </c>
      <c r="AN54" s="236" t="str">
        <f>IF(ISERROR(AE54),"", IF(AE54=0, "", IF(AE54&gt;'Calculs Péremption FA'!$CB50, 'Calculs Péremption FA'!$CB50-Paramétrage!$D$29, AG54)))</f>
        <v/>
      </c>
      <c r="AO54" s="425" t="str">
        <f>IF(ISERROR(AE54),"", IF(AE54=0, "", IF(AE54&gt;'Calculs Péremption FA'!$CB50, Paramétrage!$D$29, AH54)))</f>
        <v/>
      </c>
      <c r="AP54" s="247" t="str">
        <f>IF(ISERROR(AE54),"", IF(AE54=0, "", IF(AE54&gt;'Calculs Péremption FA'!$CB50, 'Calculs Péremption FA'!$BX50-Paramétrage!$D$29*(365/12), AI54)))</f>
        <v/>
      </c>
      <c r="AQ54" s="248" t="str">
        <f>IF(ISERROR(AE54),"", IF(AE54=0, "", IF(AE54&gt;'Calculs Péremption FA'!$CB50, CONCATENATE('TRAD-Calculs dispo Données FA'!$B$88, " - ", 'Calculs Péremption FA'!$BY50, "/", 'Calculs Péremption FA'!$BZ50, "/", 'Calculs Péremption FA'!$CA50), AJ54)))</f>
        <v/>
      </c>
      <c r="AS54" s="2061">
        <f>Calculs!$M305</f>
        <v>0</v>
      </c>
      <c r="AT54" s="2062">
        <f>Calculs!$O196</f>
        <v>0</v>
      </c>
      <c r="AU54" s="2068">
        <f>Calculs!$N250</f>
        <v>0</v>
      </c>
      <c r="AV54" s="2075" t="str">
        <f>IF(AND(AU54=0, AS54=0, AT54=0),'TRAD-Calculs dispo Données FA'!$B$82, "")</f>
        <v>Stock et besoin nul</v>
      </c>
      <c r="AW54" s="2073" t="str">
        <f>IF(AND(AU54=0, AS54&gt;0, AT54=0), CONCATENATE(AS54, 'TRAD-Calculs dispo Données FA'!$B$80," =0"), "")</f>
        <v/>
      </c>
      <c r="AX54" s="2063" t="str">
        <f>IF(AND(AS54=0, OR(AT54&gt;=1, AU54&gt;=1)), 'TRAD-Calculs dispo Données FA'!$B$81, "")</f>
        <v/>
      </c>
    </row>
    <row r="55" spans="2:51" s="358" customFormat="1" ht="26.25" thickBot="1" x14ac:dyDescent="0.25">
      <c r="C55" s="374"/>
      <c r="D55" s="375"/>
      <c r="E55" s="382" t="str">
        <f>'Saisie données stocks'!F63</f>
        <v>3TC</v>
      </c>
      <c r="F55" s="383" t="str">
        <f>'Saisie données stocks'!G63</f>
        <v>Sol buv</v>
      </c>
      <c r="G55" s="383" t="str">
        <f>'Saisie données stocks'!H63</f>
        <v>10 mg/mL</v>
      </c>
      <c r="H55" s="370" t="str">
        <f>CONCATENATE(E55, " - ", G55,"-",'TRAD-Calculs dispo Données FA'!$B$83, "/",K55, "mL")</f>
        <v>3TC - 10 mg/mL-Fl/240mL</v>
      </c>
      <c r="I55" s="384"/>
      <c r="J55" s="384"/>
      <c r="K55" s="115">
        <f>'Saisie données stocks'!L63</f>
        <v>240</v>
      </c>
      <c r="L55" s="304">
        <f>'Saisie données stocks'!M63</f>
        <v>1</v>
      </c>
      <c r="M55" s="1821">
        <f>IF('Saisie données stocks'!$O$10='TRAD-Saisie données stocks'!$B$51, 'Calculs Péremption FA'!BU51, Calculs!M306)</f>
        <v>0</v>
      </c>
      <c r="N55" s="1870">
        <f>Calculs!O197</f>
        <v>0</v>
      </c>
      <c r="O55" s="1870">
        <f>Calculs!N251</f>
        <v>0</v>
      </c>
      <c r="P55"/>
      <c r="Q55" s="232" t="e">
        <f t="shared" si="6"/>
        <v>#DIV/0!</v>
      </c>
      <c r="R55" s="232" t="e">
        <f t="shared" si="8"/>
        <v>#DIV/0!</v>
      </c>
      <c r="S55" s="237" t="e">
        <f>Q55-Paramétrage!$D$29</f>
        <v>#DIV/0!</v>
      </c>
      <c r="T55" s="242" t="e">
        <f>IF(Q55&lt;Paramétrage!$D$29, Q55, Paramétrage!$D$29)</f>
        <v>#DIV/0!</v>
      </c>
      <c r="U55" s="249" t="e">
        <f>Paramétrage!$H$19+S55*(365/12)</f>
        <v>#DIV/0!</v>
      </c>
      <c r="V55" s="250" t="e">
        <f>IF(Q55&lt;Paramétrage!$D$29, Paramétrage!$H$19+T55*(365/12), Paramétrage!$H$19+Q55*(365/12))</f>
        <v>#DIV/0!</v>
      </c>
      <c r="X55" s="232" t="str">
        <f>IF(ISERROR(Q55),"", IF(Q55=0, "", IF(Q55&gt;'Calculs Péremption FA'!$CB51, 'Calculs Péremption FA'!$CB51, Q55)))</f>
        <v/>
      </c>
      <c r="Y55" s="583" t="str">
        <f t="shared" si="9"/>
        <v/>
      </c>
      <c r="Z55" s="237" t="str">
        <f>IF(ISERROR(Q55),"", IF(Q55=0, "", IF(Q55&gt;'Calculs Péremption FA'!$CB51, 'Calculs Péremption FA'!$CB51-Paramétrage!$D$29, S55)))</f>
        <v/>
      </c>
      <c r="AA55" s="426" t="str">
        <f>IF(ISERROR(Q55),"", IF(Q55=0, "", IF(Q55&gt;'Calculs Péremption FA'!$CB51, Paramétrage!$D$29, T55)))</f>
        <v/>
      </c>
      <c r="AB55" s="249" t="str">
        <f>IF(ISERROR(Q55),"", IF(Q55=0, "", IF(Q55&gt;'Calculs Péremption FA'!$CB51, 'Calculs Péremption FA'!$BX51-Paramétrage!$D$29*(365/12), U55)))</f>
        <v/>
      </c>
      <c r="AC55" s="250" t="str">
        <f>IF(ISERROR(Q55), AW55, IF(Q55=0, IF(AND(M55=0, OR(N55&gt;0, O55&gt;0)), AX55, ""), IF(Q55&gt;'Calculs Péremption FA'!$CB51, IF(Q55&lt;'Saisie données stocks'!$N$14, CONCATENATE('TRAD-Calculs dispo Données FA'!$B$88, " - ", 'Calculs Péremption FA'!$BY51, "/", 'Calculs Péremption FA'!$BZ51, "/", 'Calculs Péremption FA'!$CA51), 'Calculs Péremption FA'!CC51), V55)))</f>
        <v/>
      </c>
      <c r="AE55" s="232" t="e">
        <f>(Calculs!M306/Calculs!O197)</f>
        <v>#DIV/0!</v>
      </c>
      <c r="AF55" s="232" t="e">
        <f t="shared" si="10"/>
        <v>#DIV/0!</v>
      </c>
      <c r="AG55" s="237" t="e">
        <f>AE55-Paramétrage!$D$29</f>
        <v>#DIV/0!</v>
      </c>
      <c r="AH55" s="242" t="e">
        <f>IF(AE55&lt;Paramétrage!$D$29, AE55, Paramétrage!$D$29)</f>
        <v>#DIV/0!</v>
      </c>
      <c r="AI55" s="249" t="e">
        <f>Paramétrage!$H$19+AG55*(365/12)</f>
        <v>#DIV/0!</v>
      </c>
      <c r="AJ55" s="250" t="e">
        <f>IF(AE55&lt;Paramétrage!$D$29, Paramétrage!$H$19+AH55*(365/12), Paramétrage!$H$19+AE55*(365/12))</f>
        <v>#DIV/0!</v>
      </c>
      <c r="AL55" s="232" t="str">
        <f>IF(ISERROR(AE55),"", IF(AE55=0, "", IF(AE55&gt;'Calculs Péremption FA'!$CB51, 'Calculs Péremption FA'!$CB51, AE55)))</f>
        <v/>
      </c>
      <c r="AM55" s="583" t="str">
        <f t="shared" si="11"/>
        <v/>
      </c>
      <c r="AN55" s="237" t="str">
        <f>IF(ISERROR(AE55),"", IF(AE55=0, "", IF(AE55&gt;'Calculs Péremption FA'!$CB51, 'Calculs Péremption FA'!$CB51-Paramétrage!$D$29, AG55)))</f>
        <v/>
      </c>
      <c r="AO55" s="426" t="str">
        <f>IF(ISERROR(AE55),"", IF(AE55=0, "", IF(AE55&gt;'Calculs Péremption FA'!$CB51, Paramétrage!$D$29, AH55)))</f>
        <v/>
      </c>
      <c r="AP55" s="249" t="str">
        <f>IF(ISERROR(AE55),"", IF(AE55=0, "", IF(AE55&gt;'Calculs Péremption FA'!$CB51, 'Calculs Péremption FA'!$BX51-Paramétrage!$D$29*(365/12), AI55)))</f>
        <v/>
      </c>
      <c r="AQ55" s="250" t="str">
        <f>IF(ISERROR(AE55),"", IF(AE55=0, "", IF(AE55&gt;'Calculs Péremption FA'!$CB51, CONCATENATE('TRAD-Calculs dispo Données FA'!$B$88, " - ", 'Calculs Péremption FA'!$BY51, "/", 'Calculs Péremption FA'!$BZ51, "/", 'Calculs Péremption FA'!$CA51), AJ55)))</f>
        <v/>
      </c>
      <c r="AS55" s="2061">
        <f>Calculs!$M306</f>
        <v>0</v>
      </c>
      <c r="AT55" s="2062">
        <f>Calculs!$O197</f>
        <v>0</v>
      </c>
      <c r="AU55" s="2068">
        <f>Calculs!$N251</f>
        <v>0</v>
      </c>
      <c r="AV55" s="2075" t="str">
        <f>IF(AND(AU55=0, AS55=0, AT55=0),'TRAD-Calculs dispo Données FA'!$B$82, "")</f>
        <v>Stock et besoin nul</v>
      </c>
      <c r="AW55" s="2073" t="str">
        <f>IF(AND(AU55=0, AS55&gt;0, AT55=0), CONCATENATE(AS55, 'TRAD-Calculs dispo Données FA'!$B$80," =0"), "")</f>
        <v/>
      </c>
      <c r="AX55" s="2063" t="str">
        <f>IF(AND(AS55=0, OR(AT55&gt;=1, AU55&gt;=1)), 'TRAD-Calculs dispo Données FA'!$B$81, "")</f>
        <v/>
      </c>
    </row>
    <row r="56" spans="2:51" s="358" customFormat="1" ht="26.25" thickBot="1" x14ac:dyDescent="0.25">
      <c r="C56" s="374"/>
      <c r="D56" s="407"/>
      <c r="E56" s="376" t="str">
        <f>'Saisie données stocks'!F64</f>
        <v>ABC</v>
      </c>
      <c r="F56" s="377" t="str">
        <f>'Saisie données stocks'!G64</f>
        <v>Sol buv</v>
      </c>
      <c r="G56" s="377" t="str">
        <f>'Saisie données stocks'!H64</f>
        <v>20 mg/mL</v>
      </c>
      <c r="H56" s="370" t="str">
        <f>CONCATENATE(E56, " - ", G56,"-",'TRAD-Calculs dispo Données FA'!$B$83, "/",K56, "mL")</f>
        <v>ABC - 20 mg/mL-Fl/240mL</v>
      </c>
      <c r="I56" s="378"/>
      <c r="J56" s="378"/>
      <c r="K56" s="114">
        <f>'Saisie données stocks'!L64</f>
        <v>240</v>
      </c>
      <c r="L56" s="308">
        <f>'Saisie données stocks'!M64</f>
        <v>1</v>
      </c>
      <c r="M56" s="1820">
        <f>IF('Saisie données stocks'!$O$10='TRAD-Saisie données stocks'!$B$51, 'Calculs Péremption FA'!BU52, Calculs!M307)</f>
        <v>0</v>
      </c>
      <c r="N56" s="1820">
        <f>Calculs!O198</f>
        <v>0</v>
      </c>
      <c r="O56" s="1820">
        <f>Calculs!N252</f>
        <v>0</v>
      </c>
      <c r="P56"/>
      <c r="Q56" s="231" t="e">
        <f t="shared" si="6"/>
        <v>#DIV/0!</v>
      </c>
      <c r="R56" s="231" t="e">
        <f t="shared" si="8"/>
        <v>#DIV/0!</v>
      </c>
      <c r="S56" s="236" t="e">
        <f>Q56-Paramétrage!$D$29</f>
        <v>#DIV/0!</v>
      </c>
      <c r="T56" s="241" t="e">
        <f>IF(Q56&lt;Paramétrage!$D$29, Q56, Paramétrage!$D$29)</f>
        <v>#DIV/0!</v>
      </c>
      <c r="U56" s="247" t="e">
        <f>Paramétrage!$H$19+S56*(365/12)</f>
        <v>#DIV/0!</v>
      </c>
      <c r="V56" s="248" t="e">
        <f>IF(Q56&lt;Paramétrage!$D$29, Paramétrage!$H$19+T56*(365/12), Paramétrage!$H$19+Q56*(365/12))</f>
        <v>#DIV/0!</v>
      </c>
      <c r="X56" s="231" t="str">
        <f>IF(ISERROR(Q56),"", IF(Q56=0, "", IF(Q56&gt;'Calculs Péremption FA'!$CB52, 'Calculs Péremption FA'!$CB52, Q56)))</f>
        <v/>
      </c>
      <c r="Y56" s="582" t="str">
        <f t="shared" si="9"/>
        <v/>
      </c>
      <c r="Z56" s="236" t="str">
        <f>IF(ISERROR(Q56),"", IF(Q56=0, "", IF(Q56&gt;'Calculs Péremption FA'!$CB52, 'Calculs Péremption FA'!$CB52-Paramétrage!$D$29, S56)))</f>
        <v/>
      </c>
      <c r="AA56" s="425" t="str">
        <f>IF(ISERROR(Q56),"", IF(Q56=0, "", IF(Q56&gt;'Calculs Péremption FA'!$CB52, Paramétrage!$D$29, T56)))</f>
        <v/>
      </c>
      <c r="AB56" s="247" t="str">
        <f>IF(ISERROR(Q56),"", IF(Q56=0, "", IF(Q56&gt;'Calculs Péremption FA'!$CB52, 'Calculs Péremption FA'!$BX52-Paramétrage!$D$29*(365/12), U56)))</f>
        <v/>
      </c>
      <c r="AC56" s="248" t="str">
        <f>IF(ISERROR(Q56), AW56, IF(Q56=0, IF(AND(M56=0, OR(N56&gt;0, O56&gt;0)), AX56, ""), IF(Q56&gt;'Calculs Péremption FA'!$CB52, IF(Q56&lt;'Saisie données stocks'!$N$14, CONCATENATE('TRAD-Calculs dispo Données FA'!$B$88, " - ", 'Calculs Péremption FA'!$BY52, "/", 'Calculs Péremption FA'!$BZ52, "/", 'Calculs Péremption FA'!$CA52), 'Calculs Péremption FA'!CC52), V56)))</f>
        <v/>
      </c>
      <c r="AE56" s="231" t="e">
        <f>(Calculs!M307/Calculs!O198)</f>
        <v>#DIV/0!</v>
      </c>
      <c r="AF56" s="231" t="e">
        <f t="shared" si="10"/>
        <v>#DIV/0!</v>
      </c>
      <c r="AG56" s="236" t="e">
        <f>AE56-Paramétrage!$D$29</f>
        <v>#DIV/0!</v>
      </c>
      <c r="AH56" s="241" t="e">
        <f>IF(AE56&lt;Paramétrage!$D$29, AE56, Paramétrage!$D$29)</f>
        <v>#DIV/0!</v>
      </c>
      <c r="AI56" s="247" t="e">
        <f>Paramétrage!$H$19+AG56*(365/12)</f>
        <v>#DIV/0!</v>
      </c>
      <c r="AJ56" s="248" t="e">
        <f>IF(AE56&lt;Paramétrage!$D$29, Paramétrage!$H$19+AH56*(365/12), Paramétrage!$H$19+AE56*(365/12))</f>
        <v>#DIV/0!</v>
      </c>
      <c r="AL56" s="231" t="str">
        <f>IF(ISERROR(AE56),"", IF(AE56=0, "", IF(AE56&gt;'Calculs Péremption FA'!$CB52, 'Calculs Péremption FA'!$CB52, AE56)))</f>
        <v/>
      </c>
      <c r="AM56" s="582" t="str">
        <f t="shared" si="11"/>
        <v/>
      </c>
      <c r="AN56" s="236" t="str">
        <f>IF(ISERROR(AE56),"", IF(AE56=0, "", IF(AE56&gt;'Calculs Péremption FA'!$CB52, 'Calculs Péremption FA'!$CB52-Paramétrage!$D$29, AG56)))</f>
        <v/>
      </c>
      <c r="AO56" s="425" t="str">
        <f>IF(ISERROR(AE56),"", IF(AE56=0, "", IF(AE56&gt;'Calculs Péremption FA'!$CB52, Paramétrage!$D$29, AH56)))</f>
        <v/>
      </c>
      <c r="AP56" s="247" t="str">
        <f>IF(ISERROR(AE56),"", IF(AE56=0, "", IF(AE56&gt;'Calculs Péremption FA'!$CB52, 'Calculs Péremption FA'!$BX52-Paramétrage!$D$29*(365/12), AI56)))</f>
        <v/>
      </c>
      <c r="AQ56" s="248" t="str">
        <f>IF(ISERROR(AE56),"", IF(AE56=0, "", IF(AE56&gt;'Calculs Péremption FA'!$CB52, CONCATENATE('TRAD-Calculs dispo Données FA'!$B$88, " - ", 'Calculs Péremption FA'!$BY52, "/", 'Calculs Péremption FA'!$BZ52, "/", 'Calculs Péremption FA'!$CA52), AJ56)))</f>
        <v/>
      </c>
      <c r="AS56" s="2061">
        <f>Calculs!$M307</f>
        <v>0</v>
      </c>
      <c r="AT56" s="2062">
        <f>Calculs!$O198</f>
        <v>0</v>
      </c>
      <c r="AU56" s="2068">
        <f>Calculs!$N252</f>
        <v>0</v>
      </c>
      <c r="AV56" s="2075" t="str">
        <f>IF(AND(AU56=0, AS56=0, AT56=0),'TRAD-Calculs dispo Données FA'!$B$82, "")</f>
        <v>Stock et besoin nul</v>
      </c>
      <c r="AW56" s="2073" t="str">
        <f>IF(AND(AU56=0, AS56&gt;0, AT56=0), CONCATENATE(AS56, 'TRAD-Calculs dispo Données FA'!$B$80," =0"), "")</f>
        <v/>
      </c>
      <c r="AX56" s="2063" t="str">
        <f>IF(AND(AS56=0, OR(AT56&gt;=1, AU56&gt;=1)), 'TRAD-Calculs dispo Données FA'!$B$81, "")</f>
        <v/>
      </c>
    </row>
    <row r="57" spans="2:51" s="358" customFormat="1" ht="26.25" thickBot="1" x14ac:dyDescent="0.25">
      <c r="C57" s="374"/>
      <c r="D57" s="389"/>
      <c r="E57" s="390" t="str">
        <f>'Saisie données stocks'!F65</f>
        <v>DDI</v>
      </c>
      <c r="F57" s="391" t="str">
        <f>'Saisie données stocks'!G65</f>
        <v>Poudre buvable</v>
      </c>
      <c r="G57" s="391" t="str">
        <f>'Saisie données stocks'!H65</f>
        <v>2 g</v>
      </c>
      <c r="H57" s="370" t="str">
        <f>CONCATENATE(E57, " - ", G57,"-",'TRAD-Calculs dispo Données FA'!$B$83, "/",K57, "mL")</f>
        <v>DDI - 2 g-Fl/200mL</v>
      </c>
      <c r="I57" s="401"/>
      <c r="J57" s="401"/>
      <c r="K57" s="116">
        <f>'Saisie données stocks'!L65</f>
        <v>200</v>
      </c>
      <c r="L57" s="311">
        <f>'Saisie données stocks'!M65</f>
        <v>1</v>
      </c>
      <c r="M57" s="1822">
        <f>IF('Saisie données stocks'!$O$10='TRAD-Saisie données stocks'!$B$51, 'Calculs Péremption FA'!BU53, Calculs!M308)</f>
        <v>0</v>
      </c>
      <c r="N57" s="1822">
        <f>Calculs!O199</f>
        <v>0</v>
      </c>
      <c r="O57" s="1822">
        <f>Calculs!N253</f>
        <v>0</v>
      </c>
      <c r="P57"/>
      <c r="Q57" s="233" t="e">
        <f t="shared" si="6"/>
        <v>#DIV/0!</v>
      </c>
      <c r="R57" s="233" t="e">
        <f t="shared" si="8"/>
        <v>#DIV/0!</v>
      </c>
      <c r="S57" s="238" t="e">
        <f>Q57-Paramétrage!$D$29</f>
        <v>#DIV/0!</v>
      </c>
      <c r="T57" s="243" t="e">
        <f>IF(Q57&lt;Paramétrage!$D$29, Q57, Paramétrage!$D$29)</f>
        <v>#DIV/0!</v>
      </c>
      <c r="U57" s="251" t="e">
        <f>Paramétrage!$H$19+S57*(365/12)</f>
        <v>#DIV/0!</v>
      </c>
      <c r="V57" s="252" t="e">
        <f>IF(Q57&lt;Paramétrage!$D$29, Paramétrage!$H$19+T57*(365/12), Paramétrage!$H$19+Q57*(365/12))</f>
        <v>#DIV/0!</v>
      </c>
      <c r="X57" s="233" t="str">
        <f>IF(ISERROR(Q57),"", IF(Q57=0, "", IF(Q57&gt;'Calculs Péremption FA'!$CB53, 'Calculs Péremption FA'!$CB53, Q57)))</f>
        <v/>
      </c>
      <c r="Y57" s="575" t="str">
        <f t="shared" si="9"/>
        <v/>
      </c>
      <c r="Z57" s="238" t="str">
        <f>IF(ISERROR(Q57),"", IF(Q57=0, "", IF(Q57&gt;'Calculs Péremption FA'!$CB53, 'Calculs Péremption FA'!$CB53-Paramétrage!$D$29, S57)))</f>
        <v/>
      </c>
      <c r="AA57" s="427" t="str">
        <f>IF(ISERROR(Q57),"", IF(Q57=0, "", IF(Q57&gt;'Calculs Péremption FA'!$CB53, Paramétrage!$D$29, T57)))</f>
        <v/>
      </c>
      <c r="AB57" s="251" t="str">
        <f>IF(ISERROR(Q57),"", IF(Q57=0, "", IF(Q57&gt;'Calculs Péremption FA'!$CB53, 'Calculs Péremption FA'!$BX53-Paramétrage!$D$29*(365/12), U57)))</f>
        <v/>
      </c>
      <c r="AC57" s="252" t="str">
        <f>IF(ISERROR(Q57), AW57, IF(Q57=0, IF(AND(M57=0, OR(N57&gt;0, O57&gt;0)), AX57, ""), IF(Q57&gt;'Calculs Péremption FA'!$CB53, IF(Q57&lt;'Saisie données stocks'!$N$14, CONCATENATE('TRAD-Calculs dispo Données FA'!$B$88, " - ", 'Calculs Péremption FA'!$BY53, "/", 'Calculs Péremption FA'!$BZ53, "/", 'Calculs Péremption FA'!$CA53), 'Calculs Péremption FA'!CC53), V57)))</f>
        <v/>
      </c>
      <c r="AE57" s="233" t="e">
        <f>(Calculs!M308/Calculs!O199)</f>
        <v>#DIV/0!</v>
      </c>
      <c r="AF57" s="233" t="e">
        <f t="shared" si="10"/>
        <v>#DIV/0!</v>
      </c>
      <c r="AG57" s="238" t="e">
        <f>AE57-Paramétrage!$D$29</f>
        <v>#DIV/0!</v>
      </c>
      <c r="AH57" s="243" t="e">
        <f>IF(AE57&lt;Paramétrage!$D$29, AE57, Paramétrage!$D$29)</f>
        <v>#DIV/0!</v>
      </c>
      <c r="AI57" s="251" t="e">
        <f>Paramétrage!$H$19+AG57*(365/12)</f>
        <v>#DIV/0!</v>
      </c>
      <c r="AJ57" s="252" t="e">
        <f>IF(AE57&lt;Paramétrage!$D$29, Paramétrage!$H$19+AH57*(365/12), Paramétrage!$H$19+AE57*(365/12))</f>
        <v>#DIV/0!</v>
      </c>
      <c r="AL57" s="233" t="str">
        <f>IF(ISERROR(AE57),"", IF(AE57=0, "", IF(AE57&gt;'Calculs Péremption FA'!$CB53, 'Calculs Péremption FA'!$CB53, AE57)))</f>
        <v/>
      </c>
      <c r="AM57" s="575" t="str">
        <f t="shared" si="11"/>
        <v/>
      </c>
      <c r="AN57" s="238" t="str">
        <f>IF(ISERROR(AE57),"", IF(AE57=0, "", IF(AE57&gt;'Calculs Péremption FA'!$CB53, 'Calculs Péremption FA'!$CB53-Paramétrage!$D$29, AG57)))</f>
        <v/>
      </c>
      <c r="AO57" s="427" t="str">
        <f>IF(ISERROR(AE57),"", IF(AE57=0, "", IF(AE57&gt;'Calculs Péremption FA'!$CB53, Paramétrage!$D$29, AH57)))</f>
        <v/>
      </c>
      <c r="AP57" s="251" t="str">
        <f>IF(ISERROR(AE57),"", IF(AE57=0, "", IF(AE57&gt;'Calculs Péremption FA'!$CB53, 'Calculs Péremption FA'!$BX53-Paramétrage!$D$29*(365/12), AI57)))</f>
        <v/>
      </c>
      <c r="AQ57" s="252" t="str">
        <f>IF(ISERROR(AE57),"", IF(AE57=0, "", IF(AE57&gt;'Calculs Péremption FA'!$CB53, CONCATENATE('TRAD-Calculs dispo Données FA'!$B$88, " - ", 'Calculs Péremption FA'!$BY53, "/", 'Calculs Péremption FA'!$BZ53, "/", 'Calculs Péremption FA'!$CA53), AJ57)))</f>
        <v/>
      </c>
      <c r="AS57" s="2061">
        <f>Calculs!$M308</f>
        <v>0</v>
      </c>
      <c r="AT57" s="2062">
        <f>Calculs!$O199</f>
        <v>0</v>
      </c>
      <c r="AU57" s="2068">
        <f>Calculs!$N253</f>
        <v>0</v>
      </c>
      <c r="AV57" s="2075" t="str">
        <f>IF(AND(AU57=0, AS57=0, AT57=0),'TRAD-Calculs dispo Données FA'!$B$82, "")</f>
        <v>Stock et besoin nul</v>
      </c>
      <c r="AW57" s="2073" t="str">
        <f>IF(AND(AU57=0, AS57&gt;0, AT57=0), CONCATENATE(AS57, 'TRAD-Calculs dispo Données FA'!$B$80," =0"), "")</f>
        <v/>
      </c>
      <c r="AX57" s="2063" t="str">
        <f>IF(AND(AS57=0, OR(AT57&gt;=1, AU57&gt;=1)), 'TRAD-Calculs dispo Données FA'!$B$81, "")</f>
        <v/>
      </c>
    </row>
    <row r="58" spans="2:51" s="358" customFormat="1" ht="26.25" thickBot="1" x14ac:dyDescent="0.25">
      <c r="C58" s="374"/>
      <c r="D58" s="375" t="s">
        <v>26</v>
      </c>
      <c r="E58" s="376" t="str">
        <f>'Saisie données stocks'!F66</f>
        <v>NVP</v>
      </c>
      <c r="F58" s="377" t="str">
        <f>'Saisie données stocks'!G66</f>
        <v>Sol buv</v>
      </c>
      <c r="G58" s="377" t="str">
        <f>'Saisie données stocks'!H66</f>
        <v>10 mg/mL</v>
      </c>
      <c r="H58" s="370" t="str">
        <f>CONCATENATE(E58, " - ", G58,"-",'TRAD-Calculs dispo Données FA'!$B$83, "/",K58, "mL")</f>
        <v>NVP - 10 mg/mL-Fl/240mL</v>
      </c>
      <c r="I58" s="378"/>
      <c r="J58" s="378"/>
      <c r="K58" s="114">
        <f>'Saisie données stocks'!L66</f>
        <v>240</v>
      </c>
      <c r="L58" s="308">
        <f>'Saisie données stocks'!M66</f>
        <v>1</v>
      </c>
      <c r="M58" s="1820">
        <f>IF('Saisie données stocks'!$O$10='TRAD-Saisie données stocks'!$B$51, 'Calculs Péremption FA'!BU54, Calculs!M309)</f>
        <v>0</v>
      </c>
      <c r="N58" s="1820">
        <f>Calculs!O200</f>
        <v>0</v>
      </c>
      <c r="O58" s="1820">
        <f>Calculs!N254</f>
        <v>0</v>
      </c>
      <c r="P58"/>
      <c r="Q58" s="231" t="e">
        <f t="shared" si="6"/>
        <v>#DIV/0!</v>
      </c>
      <c r="R58" s="231" t="e">
        <f t="shared" si="8"/>
        <v>#DIV/0!</v>
      </c>
      <c r="S58" s="236" t="e">
        <f>Q58-Paramétrage!$D$29</f>
        <v>#DIV/0!</v>
      </c>
      <c r="T58" s="241" t="e">
        <f>IF(Q58&lt;Paramétrage!$D$29, Q58, Paramétrage!$D$29)</f>
        <v>#DIV/0!</v>
      </c>
      <c r="U58" s="247" t="e">
        <f>Paramétrage!$H$19+S58*(365/12)</f>
        <v>#DIV/0!</v>
      </c>
      <c r="V58" s="248" t="e">
        <f>IF(Q58&lt;Paramétrage!$D$29, Paramétrage!$H$19+T58*(365/12), Paramétrage!$H$19+Q58*(365/12))</f>
        <v>#DIV/0!</v>
      </c>
      <c r="X58" s="231" t="str">
        <f>IF(ISERROR(Q58),"", IF(Q58=0, "", IF(Q58&gt;'Calculs Péremption FA'!$CB54, 'Calculs Péremption FA'!$CB54, Q58)))</f>
        <v/>
      </c>
      <c r="Y58" s="582" t="str">
        <f t="shared" si="9"/>
        <v/>
      </c>
      <c r="Z58" s="236" t="str">
        <f>IF(ISERROR(Q58),"", IF(Q58=0, "", IF(Q58&gt;'Calculs Péremption FA'!$CB54, 'Calculs Péremption FA'!$CB54-Paramétrage!$D$29, S58)))</f>
        <v/>
      </c>
      <c r="AA58" s="425" t="str">
        <f>IF(ISERROR(Q58),"", IF(Q58=0, "", IF(Q58&gt;'Calculs Péremption FA'!$CB54, Paramétrage!$D$29, T58)))</f>
        <v/>
      </c>
      <c r="AB58" s="247" t="str">
        <f>IF(ISERROR(Q58),"", IF(Q58=0, "", IF(Q58&gt;'Calculs Péremption FA'!$CB54, 'Calculs Péremption FA'!$BX54-Paramétrage!$D$29*(365/12), U58)))</f>
        <v/>
      </c>
      <c r="AC58" s="248" t="str">
        <f>IF(ISERROR(Q58), AW58, IF(Q58=0, IF(AND(M58=0, OR(N58&gt;0, O58&gt;0)), AX58, ""), IF(Q58&gt;'Calculs Péremption FA'!$CB54, IF(Q58&lt;'Saisie données stocks'!$N$14, CONCATENATE('TRAD-Calculs dispo Données FA'!$B$88, " - ", 'Calculs Péremption FA'!$BY54, "/", 'Calculs Péremption FA'!$BZ54, "/", 'Calculs Péremption FA'!$CA54), 'Calculs Péremption FA'!CC54), V58)))</f>
        <v>3990B &amp; conso =0</v>
      </c>
      <c r="AE58" s="231" t="e">
        <f>(Calculs!M309/Calculs!O200)</f>
        <v>#DIV/0!</v>
      </c>
      <c r="AF58" s="231" t="e">
        <f t="shared" si="10"/>
        <v>#DIV/0!</v>
      </c>
      <c r="AG58" s="236" t="e">
        <f>AE58-Paramétrage!$D$29</f>
        <v>#DIV/0!</v>
      </c>
      <c r="AH58" s="241" t="e">
        <f>IF(AE58&lt;Paramétrage!$D$29, AE58, Paramétrage!$D$29)</f>
        <v>#DIV/0!</v>
      </c>
      <c r="AI58" s="247" t="e">
        <f>Paramétrage!$H$19+AG58*(365/12)</f>
        <v>#DIV/0!</v>
      </c>
      <c r="AJ58" s="248" t="e">
        <f>IF(AE58&lt;Paramétrage!$D$29, Paramétrage!$H$19+AH58*(365/12), Paramétrage!$H$19+AE58*(365/12))</f>
        <v>#DIV/0!</v>
      </c>
      <c r="AL58" s="231" t="str">
        <f>IF(ISERROR(AE58),"", IF(AE58=0, "", IF(AE58&gt;'Calculs Péremption FA'!$CB54, 'Calculs Péremption FA'!$CB54, AE58)))</f>
        <v/>
      </c>
      <c r="AM58" s="582" t="str">
        <f t="shared" si="11"/>
        <v/>
      </c>
      <c r="AN58" s="236" t="str">
        <f>IF(ISERROR(AE58),"", IF(AE58=0, "", IF(AE58&gt;'Calculs Péremption FA'!$CB54, 'Calculs Péremption FA'!$CB54-Paramétrage!$D$29, AG58)))</f>
        <v/>
      </c>
      <c r="AO58" s="425" t="str">
        <f>IF(ISERROR(AE58),"", IF(AE58=0, "", IF(AE58&gt;'Calculs Péremption FA'!$CB54, Paramétrage!$D$29, AH58)))</f>
        <v/>
      </c>
      <c r="AP58" s="247" t="str">
        <f>IF(ISERROR(AE58),"", IF(AE58=0, "", IF(AE58&gt;'Calculs Péremption FA'!$CB54, 'Calculs Péremption FA'!$BX54-Paramétrage!$D$29*(365/12), AI58)))</f>
        <v/>
      </c>
      <c r="AQ58" s="248" t="str">
        <f>IF(ISERROR(AE58),"", IF(AE58=0, "", IF(AE58&gt;'Calculs Péremption FA'!$CB54, CONCATENATE('TRAD-Calculs dispo Données FA'!$B$88, " - ", 'Calculs Péremption FA'!$BY54, "/", 'Calculs Péremption FA'!$BZ54, "/", 'Calculs Péremption FA'!$CA54), AJ58)))</f>
        <v/>
      </c>
      <c r="AS58" s="2061">
        <f>Calculs!$M309</f>
        <v>3990</v>
      </c>
      <c r="AT58" s="2062">
        <f>Calculs!$O200</f>
        <v>0</v>
      </c>
      <c r="AU58" s="2068">
        <f>Calculs!$N254</f>
        <v>0</v>
      </c>
      <c r="AV58" s="2075" t="str">
        <f>IF(AND(AU58=0, AS58=0, AT58=0),'TRAD-Calculs dispo Données FA'!$B$82, "")</f>
        <v/>
      </c>
      <c r="AW58" s="2073" t="str">
        <f>IF(AND(AU58=0, AS58&gt;0, AT58=0), CONCATENATE(AS58, 'TRAD-Calculs dispo Données FA'!$B$80," =0"), "")</f>
        <v>3990B &amp; conso =0</v>
      </c>
      <c r="AX58" s="2063" t="str">
        <f>IF(AND(AS58=0, OR(AT58&gt;=1, AU58&gt;=1)), 'TRAD-Calculs dispo Données FA'!$B$81, "")</f>
        <v/>
      </c>
    </row>
    <row r="59" spans="2:51" s="358" customFormat="1" ht="26.25" thickBot="1" x14ac:dyDescent="0.25">
      <c r="C59" s="374"/>
      <c r="D59" s="389"/>
      <c r="E59" s="390" t="str">
        <f>'Saisie données stocks'!F67</f>
        <v>EFV</v>
      </c>
      <c r="F59" s="391" t="str">
        <f>'Saisie données stocks'!G67</f>
        <v>Sol buv</v>
      </c>
      <c r="G59" s="391" t="str">
        <f>'Saisie données stocks'!H67</f>
        <v>30 mg/mL</v>
      </c>
      <c r="H59" s="370" t="str">
        <f>CONCATENATE(E59, " - ", G59,"-",'TRAD-Calculs dispo Données FA'!$B$83, "/",K59, "mL")</f>
        <v>EFV - 30 mg/mL-Fl/180mL</v>
      </c>
      <c r="I59" s="401"/>
      <c r="J59" s="401"/>
      <c r="K59" s="116">
        <f>'Saisie données stocks'!L67</f>
        <v>180</v>
      </c>
      <c r="L59" s="311">
        <f>'Saisie données stocks'!M67</f>
        <v>1</v>
      </c>
      <c r="M59" s="1822">
        <f>IF('Saisie données stocks'!$O$10='TRAD-Saisie données stocks'!$B$51, 'Calculs Péremption FA'!BU55, Calculs!M310)</f>
        <v>0</v>
      </c>
      <c r="N59" s="1822">
        <f>Calculs!O201</f>
        <v>0</v>
      </c>
      <c r="O59" s="1822">
        <f>Calculs!N255</f>
        <v>0</v>
      </c>
      <c r="P59"/>
      <c r="Q59" s="233" t="e">
        <f t="shared" si="6"/>
        <v>#DIV/0!</v>
      </c>
      <c r="R59" s="233" t="e">
        <f t="shared" si="8"/>
        <v>#DIV/0!</v>
      </c>
      <c r="S59" s="238" t="e">
        <f>Q59-Paramétrage!$D$29</f>
        <v>#DIV/0!</v>
      </c>
      <c r="T59" s="243" t="e">
        <f>IF(Q59&lt;Paramétrage!$D$29, Q59, Paramétrage!$D$29)</f>
        <v>#DIV/0!</v>
      </c>
      <c r="U59" s="251" t="e">
        <f>Paramétrage!$H$19+S59*(365/12)</f>
        <v>#DIV/0!</v>
      </c>
      <c r="V59" s="252" t="e">
        <f>IF(Q59&lt;Paramétrage!$D$29, Paramétrage!$H$19+T59*(365/12), Paramétrage!$H$19+Q59*(365/12))</f>
        <v>#DIV/0!</v>
      </c>
      <c r="X59" s="233" t="str">
        <f>IF(ISERROR(Q59),"", IF(Q59=0, "", IF(Q59&gt;'Calculs Péremption FA'!$CB55, 'Calculs Péremption FA'!$CB55, Q59)))</f>
        <v/>
      </c>
      <c r="Y59" s="575" t="str">
        <f t="shared" si="9"/>
        <v/>
      </c>
      <c r="Z59" s="238" t="str">
        <f>IF(ISERROR(Q59),"", IF(Q59=0, "", IF(Q59&gt;'Calculs Péremption FA'!$CB55, 'Calculs Péremption FA'!$CB55-Paramétrage!$D$29, S59)))</f>
        <v/>
      </c>
      <c r="AA59" s="427" t="str">
        <f>IF(ISERROR(Q59),"", IF(Q59=0, "", IF(Q59&gt;'Calculs Péremption FA'!$CB55, Paramétrage!$D$29, T59)))</f>
        <v/>
      </c>
      <c r="AB59" s="251" t="str">
        <f>IF(ISERROR(Q59),"", IF(Q59=0, "", IF(Q59&gt;'Calculs Péremption FA'!$CB55, 'Calculs Péremption FA'!$BX55-Paramétrage!$D$29*(365/12), U59)))</f>
        <v/>
      </c>
      <c r="AC59" s="252" t="str">
        <f>IF(ISERROR(Q59), AW59, IF(Q59=0, IF(AND(M59=0, OR(N59&gt;0, O59&gt;0)), AX59, ""), IF(Q59&gt;'Calculs Péremption FA'!$CB55, IF(Q59&lt;'Saisie données stocks'!$N$14, CONCATENATE('TRAD-Calculs dispo Données FA'!$B$88, " - ", 'Calculs Péremption FA'!$BY55, "/", 'Calculs Péremption FA'!$BZ55, "/", 'Calculs Péremption FA'!$CA55), 'Calculs Péremption FA'!CC55), V59)))</f>
        <v/>
      </c>
      <c r="AE59" s="233" t="e">
        <f>(Calculs!M310/Calculs!O201)</f>
        <v>#DIV/0!</v>
      </c>
      <c r="AF59" s="233" t="e">
        <f t="shared" si="10"/>
        <v>#DIV/0!</v>
      </c>
      <c r="AG59" s="238" t="e">
        <f>AE59-Paramétrage!$D$29</f>
        <v>#DIV/0!</v>
      </c>
      <c r="AH59" s="243" t="e">
        <f>IF(AE59&lt;Paramétrage!$D$29, AE59, Paramétrage!$D$29)</f>
        <v>#DIV/0!</v>
      </c>
      <c r="AI59" s="251" t="e">
        <f>Paramétrage!$H$19+AG59*(365/12)</f>
        <v>#DIV/0!</v>
      </c>
      <c r="AJ59" s="252" t="e">
        <f>IF(AE59&lt;Paramétrage!$D$29, Paramétrage!$H$19+AH59*(365/12), Paramétrage!$H$19+AE59*(365/12))</f>
        <v>#DIV/0!</v>
      </c>
      <c r="AL59" s="233" t="str">
        <f>IF(ISERROR(AE59),"", IF(AE59=0, "", IF(AE59&gt;'Calculs Péremption FA'!$CB55, 'Calculs Péremption FA'!$CB55, AE59)))</f>
        <v/>
      </c>
      <c r="AM59" s="575" t="str">
        <f t="shared" si="11"/>
        <v/>
      </c>
      <c r="AN59" s="238" t="str">
        <f>IF(ISERROR(AE59),"", IF(AE59=0, "", IF(AE59&gt;'Calculs Péremption FA'!$CB55, 'Calculs Péremption FA'!$CB55-Paramétrage!$D$29, AG59)))</f>
        <v/>
      </c>
      <c r="AO59" s="427" t="str">
        <f>IF(ISERROR(AE59),"", IF(AE59=0, "", IF(AE59&gt;'Calculs Péremption FA'!$CB55, Paramétrage!$D$29, AH59)))</f>
        <v/>
      </c>
      <c r="AP59" s="251" t="str">
        <f>IF(ISERROR(AE59),"", IF(AE59=0, "", IF(AE59&gt;'Calculs Péremption FA'!$CB55, 'Calculs Péremption FA'!$BX55-Paramétrage!$D$29*(365/12), AI59)))</f>
        <v/>
      </c>
      <c r="AQ59" s="252" t="str">
        <f>IF(ISERROR(AE59),"", IF(AE59=0, "", IF(AE59&gt;'Calculs Péremption FA'!$CB55, CONCATENATE('TRAD-Calculs dispo Données FA'!$B$88, " - ", 'Calculs Péremption FA'!$BY55, "/", 'Calculs Péremption FA'!$BZ55, "/", 'Calculs Péremption FA'!$CA55), AJ59)))</f>
        <v/>
      </c>
      <c r="AS59" s="2061">
        <f>Calculs!$M310</f>
        <v>0</v>
      </c>
      <c r="AT59" s="2062">
        <f>Calculs!$O201</f>
        <v>0</v>
      </c>
      <c r="AU59" s="2068">
        <f>Calculs!$N255</f>
        <v>0</v>
      </c>
      <c r="AV59" s="2075" t="str">
        <f>IF(AND(AU59=0, AS59=0, AT59=0),'TRAD-Calculs dispo Données FA'!$B$82, "")</f>
        <v>Stock et besoin nul</v>
      </c>
      <c r="AW59" s="2073" t="str">
        <f>IF(AND(AU59=0, AS59&gt;0, AT59=0), CONCATENATE(AS59, 'TRAD-Calculs dispo Données FA'!$B$80," =0"), "")</f>
        <v/>
      </c>
      <c r="AX59" s="2063" t="str">
        <f>IF(AND(AS59=0, OR(AT59&gt;=1, AU59&gt;=1)), 'TRAD-Calculs dispo Données FA'!$B$81, "")</f>
        <v/>
      </c>
    </row>
    <row r="60" spans="2:51" s="358" customFormat="1" ht="26.25" thickBot="1" x14ac:dyDescent="0.25">
      <c r="C60" s="404"/>
      <c r="D60" s="408" t="s">
        <v>41</v>
      </c>
      <c r="E60" s="409" t="str">
        <f>'Saisie données stocks'!F68</f>
        <v>LPV/r</v>
      </c>
      <c r="F60" s="410" t="str">
        <f>'Saisie données stocks'!G68</f>
        <v>Sol buv</v>
      </c>
      <c r="G60" s="410" t="str">
        <f>'Saisie données stocks'!H68</f>
        <v>80/20 mg/mL</v>
      </c>
      <c r="H60" s="370" t="str">
        <f>CONCATENATE(E60, " - ", G60,"-",'TRAD-Calculs dispo Données FA'!$B$83, "/",K60, "mL")</f>
        <v>LPV/r - 80/20 mg/mL-Fl/60mL</v>
      </c>
      <c r="I60" s="411"/>
      <c r="J60" s="411"/>
      <c r="K60" s="312">
        <f>'Saisie données stocks'!L68</f>
        <v>60</v>
      </c>
      <c r="L60" s="313">
        <f>'Saisie données stocks'!M68</f>
        <v>4</v>
      </c>
      <c r="M60" s="1825">
        <f>IF('Saisie données stocks'!$O$10='TRAD-Saisie données stocks'!$B$51, 'Calculs Péremption FA'!BU56, Calculs!M311)</f>
        <v>0</v>
      </c>
      <c r="N60" s="1825">
        <f>Calculs!O202</f>
        <v>0</v>
      </c>
      <c r="O60" s="1825">
        <f>Calculs!N256</f>
        <v>0</v>
      </c>
      <c r="P60"/>
      <c r="Q60" s="350" t="e">
        <f t="shared" si="6"/>
        <v>#DIV/0!</v>
      </c>
      <c r="R60" s="350" t="e">
        <f t="shared" si="8"/>
        <v>#DIV/0!</v>
      </c>
      <c r="S60" s="351" t="e">
        <f>Q60-Paramétrage!$D$29</f>
        <v>#DIV/0!</v>
      </c>
      <c r="T60" s="352" t="e">
        <f>IF(Q60&lt;Paramétrage!$D$29, Q60, Paramétrage!$D$29)</f>
        <v>#DIV/0!</v>
      </c>
      <c r="U60" s="353" t="e">
        <f>Paramétrage!$H$19+S60*(365/12)</f>
        <v>#DIV/0!</v>
      </c>
      <c r="V60" s="354" t="e">
        <f>IF(Q60&lt;Paramétrage!$D$29, Paramétrage!$H$19+T60*(365/12), Paramétrage!$H$19+Q60*(365/12))</f>
        <v>#DIV/0!</v>
      </c>
      <c r="X60" s="350" t="str">
        <f>IF(ISERROR(Q60),"", IF(Q60=0, "", IF(Q60&gt;'Calculs Péremption FA'!$CB56, 'Calculs Péremption FA'!$CB56, Q60)))</f>
        <v/>
      </c>
      <c r="Y60" s="585" t="str">
        <f t="shared" si="9"/>
        <v/>
      </c>
      <c r="Z60" s="351" t="str">
        <f>IF(ISERROR(Q60),"", IF(Q60=0, "", IF(Q60&gt;'Calculs Péremption FA'!$CB56, 'Calculs Péremption FA'!$CB56-Paramétrage!$D$29, S60)))</f>
        <v/>
      </c>
      <c r="AA60" s="430" t="str">
        <f>IF(ISERROR(Q60),"", IF(Q60=0, "", IF(Q60&gt;'Calculs Péremption FA'!$CB56, Paramétrage!$D$29, T60)))</f>
        <v/>
      </c>
      <c r="AB60" s="353" t="str">
        <f>IF(ISERROR(Q60),"", IF(Q60=0, "", IF(Q60&gt;'Calculs Péremption FA'!$CB56, 'Calculs Péremption FA'!$BX56-Paramétrage!$D$29*(365/12), U60)))</f>
        <v/>
      </c>
      <c r="AC60" s="354" t="str">
        <f>IF(ISERROR(Q60), AW60, IF(Q60=0, IF(AND(M60=0, OR(N60&gt;0, O60&gt;0)), AX60, ""), IF(Q60&gt;'Calculs Péremption FA'!$CB56, IF(Q60&lt;'Saisie données stocks'!$N$14, CONCATENATE('TRAD-Calculs dispo Données FA'!$B$88, " - ", 'Calculs Péremption FA'!$BY56, "/", 'Calculs Péremption FA'!$BZ56, "/", 'Calculs Péremption FA'!$CA56), 'Calculs Péremption FA'!CC56), V60)))</f>
        <v/>
      </c>
      <c r="AE60" s="350" t="e">
        <f>(Calculs!M311/Calculs!O202)</f>
        <v>#DIV/0!</v>
      </c>
      <c r="AF60" s="350" t="e">
        <f t="shared" si="10"/>
        <v>#DIV/0!</v>
      </c>
      <c r="AG60" s="351" t="e">
        <f>AE60-Paramétrage!$D$29</f>
        <v>#DIV/0!</v>
      </c>
      <c r="AH60" s="352" t="e">
        <f>IF(AE60&lt;Paramétrage!$D$29, AE60, Paramétrage!$D$29)</f>
        <v>#DIV/0!</v>
      </c>
      <c r="AI60" s="353" t="e">
        <f>Paramétrage!$H$19+AG60*(365/12)</f>
        <v>#DIV/0!</v>
      </c>
      <c r="AJ60" s="354" t="e">
        <f>IF(AE60&lt;Paramétrage!$D$29, Paramétrage!$H$19+AH60*(365/12), Paramétrage!$H$19+AE60*(365/12))</f>
        <v>#DIV/0!</v>
      </c>
      <c r="AL60" s="350" t="str">
        <f>IF(ISERROR(AE60),"", IF(AE60=0, "", IF(AE60&gt;'Calculs Péremption FA'!$CB56, 'Calculs Péremption FA'!$CB56, AE60)))</f>
        <v/>
      </c>
      <c r="AM60" s="585" t="str">
        <f t="shared" si="11"/>
        <v/>
      </c>
      <c r="AN60" s="351" t="str">
        <f>IF(ISERROR(AE60),"", IF(AE60=0, "", IF(AE60&gt;'Calculs Péremption FA'!$CB56, 'Calculs Péremption FA'!$CB56-Paramétrage!$D$29, AG60)))</f>
        <v/>
      </c>
      <c r="AO60" s="430" t="str">
        <f>IF(ISERROR(AE60),"", IF(AE60=0, "", IF(AE60&gt;'Calculs Péremption FA'!$CB56, Paramétrage!$D$29, AH60)))</f>
        <v/>
      </c>
      <c r="AP60" s="353" t="str">
        <f>IF(ISERROR(AE60),"", IF(AE60=0, "", IF(AE60&gt;'Calculs Péremption FA'!$CB56, 'Calculs Péremption FA'!$BX56-Paramétrage!$D$29*(365/12), AI60)))</f>
        <v/>
      </c>
      <c r="AQ60" s="354" t="str">
        <f>IF(ISERROR(AE60),"", IF(AE60=0, "", IF(AE60&gt;'Calculs Péremption FA'!$CB56, CONCATENATE('TRAD-Calculs dispo Données FA'!$B$88, " - ", 'Calculs Péremption FA'!$BY56, "/", 'Calculs Péremption FA'!$BZ56, "/", 'Calculs Péremption FA'!$CA56), AJ60)))</f>
        <v/>
      </c>
      <c r="AS60" s="2064">
        <f>Calculs!$M311</f>
        <v>0</v>
      </c>
      <c r="AT60" s="2065">
        <f>Calculs!$O202</f>
        <v>0</v>
      </c>
      <c r="AU60" s="2069">
        <f>Calculs!$N256</f>
        <v>0</v>
      </c>
      <c r="AV60" s="2075" t="str">
        <f>IF(AND(AU60=0, AS60=0, AT60=0),'TRAD-Calculs dispo Données FA'!$B$82, "")</f>
        <v>Stock et besoin nul</v>
      </c>
      <c r="AW60" s="2073" t="str">
        <f>IF(AND(AU60=0, AS60&gt;0, AT60=0), CONCATENATE(AS60, 'TRAD-Calculs dispo Données FA'!$B$80," =0"), "")</f>
        <v/>
      </c>
      <c r="AX60" s="2063" t="str">
        <f>IF(AND(AS60=0, OR(AT60&gt;=1, AU60&gt;=1)), 'TRAD-Calculs dispo Données FA'!$B$81, "")</f>
        <v/>
      </c>
    </row>
    <row r="61" spans="2:51" x14ac:dyDescent="0.2">
      <c r="U61" s="361"/>
      <c r="AG61" s="361"/>
      <c r="AX61" s="356"/>
      <c r="AY61" s="356"/>
    </row>
    <row r="62" spans="2:51" s="358" customFormat="1" x14ac:dyDescent="0.2">
      <c r="C62" s="412"/>
      <c r="D62" s="413"/>
      <c r="E62" s="414"/>
      <c r="F62" s="415"/>
      <c r="G62" s="415"/>
      <c r="H62" s="416"/>
      <c r="I62" s="416"/>
      <c r="J62" s="416"/>
      <c r="K62" s="417"/>
      <c r="L62" s="418"/>
      <c r="P62"/>
      <c r="T62" s="361"/>
      <c r="U62" s="361"/>
      <c r="AF62" s="361"/>
      <c r="AG62" s="361"/>
      <c r="AK62" s="500"/>
    </row>
    <row r="63" spans="2:51" s="358" customFormat="1" ht="14.25" x14ac:dyDescent="0.2">
      <c r="B63" s="359" t="str">
        <f>'TRAD-Calculs dispo Données FA'!B72</f>
        <v>1.B. Avec les stocks actuellement disponibles au niveau périphérique</v>
      </c>
      <c r="C63" s="359"/>
      <c r="D63" s="359"/>
      <c r="E63" s="359"/>
      <c r="F63" s="359"/>
      <c r="G63" s="359"/>
      <c r="H63" s="359"/>
      <c r="I63" s="359"/>
      <c r="J63" s="359"/>
      <c r="K63" s="359"/>
      <c r="L63" s="359"/>
      <c r="M63" s="360"/>
      <c r="N63" s="360"/>
      <c r="O63" s="360"/>
      <c r="P63"/>
      <c r="Q63" s="360"/>
      <c r="T63" s="361"/>
      <c r="U63" s="361"/>
      <c r="AF63" s="361"/>
      <c r="AG63" s="361"/>
      <c r="AK63" s="500"/>
    </row>
    <row r="64" spans="2:51" ht="13.5" thickBot="1" x14ac:dyDescent="0.25">
      <c r="AX64" s="356"/>
      <c r="AY64" s="356"/>
    </row>
    <row r="65" spans="3:51" ht="13.5" thickBot="1" x14ac:dyDescent="0.25">
      <c r="C65" s="1886" t="str">
        <f>'TRAD-Calculs dispo Données FA'!B7</f>
        <v>Nature des stocks utilisés :</v>
      </c>
      <c r="D65" s="845"/>
      <c r="E65" s="845"/>
      <c r="F65" s="846" t="str">
        <f>'TRAD-Calculs dispo Données FA'!B8</f>
        <v>Stocks centraux</v>
      </c>
      <c r="M65" s="356"/>
      <c r="N65" s="356"/>
      <c r="O65" s="356"/>
      <c r="Q65" s="3286" t="str">
        <f>'TRAD-Calculs dispo Données FA'!B28</f>
        <v>CALCULS Marge extrême arrêt d'initiations / Stocks dispo périph</v>
      </c>
      <c r="R65" s="3287"/>
      <c r="S65" s="3287"/>
      <c r="T65" s="3287"/>
      <c r="U65" s="3287"/>
      <c r="V65" s="3287"/>
      <c r="W65" s="3287"/>
      <c r="X65" s="3287"/>
      <c r="Y65" s="3287"/>
      <c r="Z65" s="3287"/>
      <c r="AA65" s="3287"/>
      <c r="AB65" s="3287"/>
      <c r="AC65" s="3288"/>
      <c r="AE65" s="3286" t="str">
        <f>'TRAD-Calculs dispo Données FA'!B28</f>
        <v>CALCULS Marge extrême arrêt d'initiations / Stocks dispo périph</v>
      </c>
      <c r="AF65" s="3287"/>
      <c r="AG65" s="3287"/>
      <c r="AH65" s="3287"/>
      <c r="AI65" s="3287"/>
      <c r="AJ65" s="3287"/>
      <c r="AK65" s="3287"/>
      <c r="AL65" s="3287"/>
      <c r="AM65" s="3287"/>
      <c r="AN65" s="3287"/>
      <c r="AO65" s="3287"/>
      <c r="AP65" s="3287"/>
      <c r="AQ65" s="3288"/>
      <c r="AX65" s="356"/>
      <c r="AY65" s="356"/>
    </row>
    <row r="66" spans="3:51" ht="26.25" thickBot="1" x14ac:dyDescent="0.25">
      <c r="M66" s="356"/>
      <c r="N66" s="356"/>
      <c r="O66" s="356"/>
      <c r="Q66" s="356"/>
      <c r="R66" s="355"/>
      <c r="S66" s="3289"/>
      <c r="T66" s="3289"/>
      <c r="U66" s="431"/>
      <c r="V66" s="357"/>
      <c r="W66" s="578" t="str">
        <f>'TRAD-Calculs dispo Données FA'!B65</f>
        <v>Stocks périphériques</v>
      </c>
      <c r="X66" s="3283" t="str">
        <f>'TRAD-Calculs dispo Données FA'!B27</f>
        <v>Données nettoyées pour représentation graphique</v>
      </c>
      <c r="Y66" s="3284"/>
      <c r="Z66" s="3284"/>
      <c r="AA66" s="3284"/>
      <c r="AB66" s="3284"/>
      <c r="AC66" s="3285"/>
      <c r="AE66" s="355"/>
      <c r="AF66" s="3289"/>
      <c r="AG66" s="3289"/>
      <c r="AH66" s="431"/>
      <c r="AI66" s="586"/>
      <c r="AJ66" s="357"/>
      <c r="AK66" s="578" t="str">
        <f>'TRAD-Calculs dispo Données FA'!B65</f>
        <v>Stocks périphériques</v>
      </c>
      <c r="AL66" s="3283" t="str">
        <f>'TRAD-Calculs dispo Données FA'!B27</f>
        <v>Données nettoyées pour représentation graphique</v>
      </c>
      <c r="AM66" s="3284"/>
      <c r="AN66" s="3284"/>
      <c r="AO66" s="3284"/>
      <c r="AP66" s="3284"/>
      <c r="AQ66" s="3285"/>
      <c r="AS66" s="2077" t="str">
        <f>'TRAD-Calculs dispo Données FA'!B48</f>
        <v>Stock</v>
      </c>
      <c r="AT66" s="2078" t="str">
        <f>'TRAD-Calculs dispo Données FA'!B49</f>
        <v>besoin actuel</v>
      </c>
      <c r="AU66" s="2079" t="str">
        <f>'TRAD-Calculs dispo Données FA'!B50</f>
        <v>Progression besoin</v>
      </c>
      <c r="AV66" s="2077" t="str">
        <f>'TRAD-Calculs dispo Données FA'!B51</f>
        <v>Eval</v>
      </c>
      <c r="AW66" s="2078" t="str">
        <f>'TRAD-Calculs dispo Données FA'!B51</f>
        <v>Eval</v>
      </c>
      <c r="AX66" s="2080" t="str">
        <f>'TRAD-Calculs dispo Données FA'!B51</f>
        <v>Eval</v>
      </c>
      <c r="AY66" s="356"/>
    </row>
    <row r="67" spans="3:51" s="358" customFormat="1" ht="64.5" thickBot="1" x14ac:dyDescent="0.25">
      <c r="C67" s="577" t="str">
        <f>'TRAD-Calculs dispo Données FA'!B9</f>
        <v>Classe forme galénique</v>
      </c>
      <c r="D67" s="576" t="str">
        <f>'TRAD-Calculs dispo Données FA'!B10</f>
        <v>Classe thérapeutique</v>
      </c>
      <c r="E67" s="364" t="str">
        <f>'TRAD-Calculs dispo Données FA'!B11</f>
        <v>Composition</v>
      </c>
      <c r="F67" s="365" t="str">
        <f>'TRAD-Calculs dispo Données FA'!B12</f>
        <v>Forme galénique</v>
      </c>
      <c r="G67" s="365" t="str">
        <f>'TRAD-Calculs dispo Données FA'!B13</f>
        <v>Dosage</v>
      </c>
      <c r="H67" s="365" t="str">
        <f>'TRAD-Calculs dispo Données FA'!B14</f>
        <v>Nom pour représentation graphique</v>
      </c>
      <c r="I67" s="365" t="str">
        <f>'TRAD-Calculs dispo Données FA'!B15</f>
        <v>Nb de prise / jour</v>
      </c>
      <c r="J67" s="365" t="str">
        <f>'TRAD-Calculs dispo Données FA'!B16</f>
        <v>Nb de prise / mois</v>
      </c>
      <c r="K67" s="365" t="str">
        <f>'TRAD-Calculs dispo Données FA'!B17</f>
        <v>Conditionnement</v>
      </c>
      <c r="L67" s="327" t="str">
        <f>'TRAD-Calculs dispo Données FA'!B20</f>
        <v>Nb de boites nécessaire pour 1 mois pour 1 patient</v>
      </c>
      <c r="M67" s="346" t="str">
        <f>'TRAD-Calculs dispo Données FA'!B21</f>
        <v>Stock disponible UTILISABLE au niveau considéré (nb de boites)</v>
      </c>
      <c r="N67" s="2057" t="str">
        <f>'TRAD-Calculs dispo Données FA'!B33</f>
        <v>Besoin mensuel patients suivis selon méthode</v>
      </c>
      <c r="O67" s="2057" t="str">
        <f>'TRAD-Calculs dispo Données FA'!B34</f>
        <v>Besoin mensuel patients initiés selon méthode</v>
      </c>
      <c r="P67"/>
      <c r="Q67" s="346" t="str">
        <f>'TRAD-Calculs dispo Données FA'!B35</f>
        <v>Nombre de mois de disponibilité de produits</v>
      </c>
      <c r="R67" s="346" t="str">
        <f>'TRAD-Calculs dispo Données FA'!B36</f>
        <v>Delta Nb de mois de disponibilité Stocks périph / Stocks total (périph + central)</v>
      </c>
      <c r="S67" s="347" t="str">
        <f>'TRAD-Calculs dispo Données FA'!B37</f>
        <v>Nombre de mois de disponibilité de produits hors ST</v>
      </c>
      <c r="T67" s="327" t="str">
        <f>'TRAD-Calculs dispo Données FA'!B38</f>
        <v>Nombre de mois de stock tampon (ST)</v>
      </c>
      <c r="U67" s="348" t="str">
        <f>'TRAD-Calculs dispo Données FA'!B39</f>
        <v>Date d'entrée en stock tampon</v>
      </c>
      <c r="V67" s="349" t="str">
        <f>'TRAD-Calculs dispo Données FA'!B40</f>
        <v>Date de rupture attendue</v>
      </c>
      <c r="X67" s="346" t="str">
        <f>'TRAD-Calculs dispo Données FA'!B35</f>
        <v>Nombre de mois de disponibilité de produits</v>
      </c>
      <c r="Y67" s="580" t="str">
        <f>'TRAD-Calculs dispo Données FA'!B36</f>
        <v>Delta Nb de mois de disponibilité Stocks périph / Stocks total (périph + central)</v>
      </c>
      <c r="Z67" s="347" t="str">
        <f>'TRAD-Calculs dispo Données FA'!B37</f>
        <v>Nombre de mois de disponibilité de produits hors ST</v>
      </c>
      <c r="AA67" s="424" t="str">
        <f>'TRAD-Calculs dispo Données FA'!B38</f>
        <v>Nombre de mois de stock tampon (ST)</v>
      </c>
      <c r="AB67" s="348" t="str">
        <f>'TRAD-Calculs dispo Données FA'!B39</f>
        <v>Date d'entrée en stock tampon</v>
      </c>
      <c r="AC67" s="349" t="str">
        <f>'TRAD-Calculs dispo Données FA'!B40</f>
        <v>Date de rupture attendue</v>
      </c>
      <c r="AE67" s="346" t="str">
        <f>'TRAD-Calculs dispo Données FA'!B35</f>
        <v>Nombre de mois de disponibilité de produits</v>
      </c>
      <c r="AF67" s="580" t="str">
        <f>'TRAD-Calculs dispo Données FA'!B46</f>
        <v>Gain Nb de mois de disponibilité si arrêt des initiations &amp; switch</v>
      </c>
      <c r="AG67" s="347" t="str">
        <f>'TRAD-Calculs dispo Données FA'!B37</f>
        <v>Nombre de mois de disponibilité de produits hors ST</v>
      </c>
      <c r="AH67" s="424" t="str">
        <f>'TRAD-Calculs dispo Données FA'!B38</f>
        <v>Nombre de mois de stock tampon (ST)</v>
      </c>
      <c r="AI67" s="348" t="str">
        <f>'TRAD-Calculs dispo Données FA'!B39</f>
        <v>Date d'entrée en stock tampon</v>
      </c>
      <c r="AJ67" s="349" t="str">
        <f>'TRAD-Calculs dispo Données FA'!B40</f>
        <v>Date de rupture attendue</v>
      </c>
      <c r="AL67" s="346" t="str">
        <f>'TRAD-Calculs dispo Données FA'!B35</f>
        <v>Nombre de mois de disponibilité de produits</v>
      </c>
      <c r="AM67" s="580" t="str">
        <f>'TRAD-Calculs dispo Données FA'!B46</f>
        <v>Gain Nb de mois de disponibilité si arrêt des initiations &amp; switch</v>
      </c>
      <c r="AN67" s="347" t="str">
        <f>'TRAD-Calculs dispo Données FA'!B37</f>
        <v>Nombre de mois de disponibilité de produits hors ST</v>
      </c>
      <c r="AO67" s="424" t="str">
        <f>'TRAD-Calculs dispo Données FA'!B38</f>
        <v>Nombre de mois de stock tampon (ST)</v>
      </c>
      <c r="AP67" s="424" t="str">
        <f>'TRAD-Calculs dispo Données FA'!B39</f>
        <v>Date d'entrée en stock tampon</v>
      </c>
      <c r="AQ67" s="349" t="str">
        <f>'TRAD-Calculs dispo Données FA'!B40</f>
        <v>Date de rupture attendue</v>
      </c>
      <c r="AS67" s="2058" t="str">
        <f>'TRAD-Calculs dispo Données FA'!B54</f>
        <v>Calculs!M228</v>
      </c>
      <c r="AT67" s="2059" t="str">
        <f>'TRAD-Calculs dispo Données FA'!B58</f>
        <v>Calculs!N135</v>
      </c>
      <c r="AU67" s="2067" t="str">
        <f>'TRAD-Calculs dispo Données FA'!B59</f>
        <v>Calculs!M181</v>
      </c>
      <c r="AV67" s="2058" t="str">
        <f>'TRAD-Calculs dispo Données FA'!B60</f>
        <v>Stock et besoin actuel et futur =0</v>
      </c>
      <c r="AW67" s="2059" t="str">
        <f>'TRAD-Calculs dispo Données FA'!B61</f>
        <v>Stock &gt;0 et besoin actuel et futur =0</v>
      </c>
      <c r="AX67" s="2060" t="str">
        <f>'TRAD-Calculs dispo Données FA'!B62</f>
        <v>Stock=0; Besoin &gt;0</v>
      </c>
    </row>
    <row r="68" spans="3:51" s="358" customFormat="1" ht="25.5" x14ac:dyDescent="0.2">
      <c r="C68" s="366" t="str">
        <f>'TRAD-Calculs dispo Données FA'!B66</f>
        <v>Comprimés</v>
      </c>
      <c r="D68" s="367" t="s">
        <v>15</v>
      </c>
      <c r="E68" s="368" t="str">
        <f>'Saisie données stocks'!F19</f>
        <v>AZT+3TC+NVP</v>
      </c>
      <c r="F68" s="369" t="str">
        <f>'Saisie données stocks'!G19</f>
        <v>Cp</v>
      </c>
      <c r="G68" s="369" t="str">
        <f>'Saisie données stocks'!H19</f>
        <v>300/150/200 mg</v>
      </c>
      <c r="H68" s="370" t="str">
        <f>CONCATENATE(E68, " - ", G68, " - ", 'TRAD-Calculs dispo Données FA'!$B$79,"/", K68)</f>
        <v>AZT+3TC+NVP - 300/150/200 mg - B/60</v>
      </c>
      <c r="I68" s="372">
        <f>Calculs!K102</f>
        <v>2</v>
      </c>
      <c r="J68" s="372">
        <f t="shared" ref="J68:J108" si="12">I68*30</f>
        <v>60</v>
      </c>
      <c r="K68" s="113">
        <f>Calculs!J102</f>
        <v>60</v>
      </c>
      <c r="L68" s="373">
        <f t="shared" ref="L68:L108" si="13">J68/K68</f>
        <v>1</v>
      </c>
      <c r="M68" s="1819">
        <f>Calculs!N262</f>
        <v>8969</v>
      </c>
      <c r="N68" s="1819">
        <f>Calculs!O153</f>
        <v>0</v>
      </c>
      <c r="O68" s="1819">
        <f>Calculs!N207</f>
        <v>0</v>
      </c>
      <c r="P68"/>
      <c r="Q68" s="230" t="e">
        <f>IF(Calculs!N207&gt;0, (-(Calculs!N207+2*Calculs!O153)+SQRT((Calculs!N207+2*Calculs!O153)*(Calculs!N207+2*Calculs!O153)+8*Calculs!N207*(M68)))/(2*Calculs!N207), ((M68)/Calculs!O153))</f>
        <v>#DIV/0!</v>
      </c>
      <c r="R68" s="230" t="e">
        <f t="shared" ref="R68:R108" si="14">Q125-Q11</f>
        <v>#DIV/0!</v>
      </c>
      <c r="S68" s="235" t="e">
        <f>Q68-Paramétrage!$D$29</f>
        <v>#DIV/0!</v>
      </c>
      <c r="T68" s="240" t="e">
        <f>IF(Q68&lt;Paramétrage!$D$29, Q68, Paramétrage!$D$29)</f>
        <v>#DIV/0!</v>
      </c>
      <c r="U68" s="245" t="e">
        <f>Paramétrage!$H$19+S68*(365/12)</f>
        <v>#DIV/0!</v>
      </c>
      <c r="V68" s="246" t="e">
        <f>IF(Q68&lt;Paramétrage!$D$29, Paramétrage!$H$19+T68*(365/12), Paramétrage!$H$19+Q68*(365/12))</f>
        <v>#DIV/0!</v>
      </c>
      <c r="X68" s="230" t="str">
        <f>IF(ISERROR(Q68),"", IF(Q68=0, "", IF(Q68&gt;'Calculs Péremption FA'!$CB7, 'Calculs Péremption FA'!$CB7, Q68)))</f>
        <v/>
      </c>
      <c r="Y68" s="581" t="str">
        <f t="shared" ref="Y68:Y108" si="15">IF(ISERROR(R68),"", IF(R68=0, "", R68))</f>
        <v/>
      </c>
      <c r="Z68" s="235" t="str">
        <f>IF(ISERROR(Q68),"", IF(Q68=0, "", IF(Q68&gt;'Calculs Péremption FA'!$CB7, 'Calculs Péremption FA'!$CB7-Paramétrage!$D$29, S68)))</f>
        <v/>
      </c>
      <c r="AA68" s="429" t="str">
        <f>IF(ISERROR(Q68),"", IF(Q68=0, "", IF(Q68&gt;'Calculs Péremption FA'!$CB7, Paramétrage!$D$29, T68)))</f>
        <v/>
      </c>
      <c r="AB68" s="245" t="str">
        <f>IF(ISERROR(Q68),"", IF(Q68=0, "", IF(Q68&gt;'Calculs Péremption FA'!$CB7, 'Calculs Péremption FA'!$BX7-Paramétrage!$D$29*(365/12), U68)))</f>
        <v/>
      </c>
      <c r="AC68" s="246" t="str">
        <f>IF(ISERROR(Q68), AW68, IF(Q68=0, "", IF(Q68&gt;'Calculs Péremption FA'!$CB7, IF(Q68&lt;'Saisie données stocks'!$N$14, CONCATENATE('TRAD-Calculs dispo Données FA'!$B$88, " - ", 'Calculs Péremption FA'!$BY7, "/", 'Calculs Péremption FA'!$BZ7, "/", 'Calculs Péremption FA'!$CA7), 'Calculs Péremption FA'!CC7), V68)))</f>
        <v>8969B &amp; conso =0</v>
      </c>
      <c r="AE68" s="230" t="e">
        <f>(Calculs!N262/Calculs!O153)</f>
        <v>#DIV/0!</v>
      </c>
      <c r="AF68" s="230" t="e">
        <f t="shared" ref="AF68:AF108" si="16">AE68-Q68</f>
        <v>#DIV/0!</v>
      </c>
      <c r="AG68" s="235" t="e">
        <f>AE68-Paramétrage!$D$29</f>
        <v>#DIV/0!</v>
      </c>
      <c r="AH68" s="240" t="e">
        <f>IF(AE68&lt;Paramétrage!$D$29, AE68, Paramétrage!$D$29)</f>
        <v>#DIV/0!</v>
      </c>
      <c r="AI68" s="245" t="e">
        <f>Paramétrage!$H$19+AG68*(365/12)</f>
        <v>#DIV/0!</v>
      </c>
      <c r="AJ68" s="246" t="e">
        <f>IF(AE68&lt;Paramétrage!$D$29, Paramétrage!$H$19+AH68*(365/12), Paramétrage!$H$19+AE68*(365/12))</f>
        <v>#DIV/0!</v>
      </c>
      <c r="AL68" s="230" t="str">
        <f>IF(ISERROR(AE68),"", IF(AE68=0, "", IF(AE68&gt;'Calculs Péremption FA'!$CB7, 'Calculs Péremption FA'!$CB7, AE68)))</f>
        <v/>
      </c>
      <c r="AM68" s="581" t="str">
        <f t="shared" ref="AM68:AM108" si="17">IF(ISERROR(AF68),"", IF(AF68=0, "", IF(AL68-X68=0, "0", AL68-X68)))</f>
        <v/>
      </c>
      <c r="AN68" s="235" t="str">
        <f>IF(ISERROR(AE68),"", IF(AE68=0, "", IF(AE68&gt;'Calculs Péremption FA'!$CB7, 'Calculs Péremption FA'!$CB7-Paramétrage!$D$29, AG68)))</f>
        <v/>
      </c>
      <c r="AO68" s="429" t="str">
        <f>IF(ISERROR(AE68),"", IF(AE68=0, "", IF(AE68&gt;'Calculs Péremption FA'!$CB7, Paramétrage!$D$29, AH68)))</f>
        <v/>
      </c>
      <c r="AP68" s="245" t="str">
        <f>IF(ISERROR(AE68),"", IF(AE68=0, "", IF(AE68&gt;'Calculs Péremption FA'!$CB7, 'Calculs Péremption FA'!$BX7-Paramétrage!$D$29*(365/12), AI68)))</f>
        <v/>
      </c>
      <c r="AQ68" s="246" t="str">
        <f>IF(ISERROR(AE68),"", IF(AE68=0, "", IF(AE68&gt;'Calculs Péremption FA'!$CB7, CONCATENATE('TRAD-Calculs dispo Données FA'!$B$88, " - ", 'Calculs Péremption FA'!$BY7, "/", 'Calculs Péremption FA'!$BZ7, "/", 'Calculs Péremption FA'!$CA7), AJ68)))</f>
        <v/>
      </c>
      <c r="AS68" s="2061">
        <f>Calculs!$N262</f>
        <v>8969</v>
      </c>
      <c r="AT68" s="2062">
        <f>Calculs!$O153</f>
        <v>0</v>
      </c>
      <c r="AU68" s="2068">
        <f>Calculs!$N207</f>
        <v>0</v>
      </c>
      <c r="AV68" s="2070" t="str">
        <f>IF(AND(AU68=0, AS68=0, AT68=0), 'TRAD-Calculs dispo Données FA'!$B$82, "")</f>
        <v/>
      </c>
      <c r="AW68" s="2062" t="str">
        <f>IF(AND(AU68=0, AS68&gt;0, AT68=0), CONCATENATE(AS68,'TRAD-Calculs dispo Données FA'!$B$80," =0"), "")</f>
        <v>8969B &amp; conso =0</v>
      </c>
      <c r="AX68" s="2063" t="str">
        <f>IF(AND(AS68=0, OR(AT68&gt;=1, AU68&gt;=1)), 'TRAD-Calculs dispo Données FA'!$B$81, "")</f>
        <v/>
      </c>
    </row>
    <row r="69" spans="3:51" s="358" customFormat="1" ht="25.5" x14ac:dyDescent="0.2">
      <c r="C69" s="374"/>
      <c r="D69" s="375"/>
      <c r="E69" s="501" t="str">
        <f>'Saisie données stocks'!F20</f>
        <v>AZT+3TC+NVP</v>
      </c>
      <c r="F69" s="502" t="str">
        <f>'Saisie données stocks'!G20</f>
        <v>Cp</v>
      </c>
      <c r="G69" s="502" t="str">
        <f>'Saisie données stocks'!H20</f>
        <v>60/30/50 mg</v>
      </c>
      <c r="H69" s="504" t="str">
        <f>CONCATENATE(E69, " - ", G69, " - ", 'TRAD-Calculs dispo Données FA'!$B$79,"/", K69)</f>
        <v>AZT+3TC+NVP - 60/30/50 mg - B/60</v>
      </c>
      <c r="I69" s="505">
        <f>Calculs!K103</f>
        <v>2</v>
      </c>
      <c r="J69" s="505">
        <f t="shared" si="12"/>
        <v>60</v>
      </c>
      <c r="K69" s="114">
        <f>Calculs!J103</f>
        <v>60</v>
      </c>
      <c r="L69" s="381">
        <f t="shared" si="13"/>
        <v>1</v>
      </c>
      <c r="M69" s="1820">
        <f>Calculs!N263</f>
        <v>490</v>
      </c>
      <c r="N69" s="1820">
        <f>Calculs!O154</f>
        <v>0</v>
      </c>
      <c r="O69" s="1820">
        <f>Calculs!N208</f>
        <v>0</v>
      </c>
      <c r="P69"/>
      <c r="Q69" s="231" t="e">
        <f>IF(Calculs!N208&gt;0, (-(Calculs!N208+2*Calculs!O154)+SQRT((Calculs!N208+2*Calculs!O154)*(Calculs!N208+2*Calculs!O154)+8*Calculs!N208*(M69)))/(2*Calculs!N208), ((M69)/Calculs!O154))</f>
        <v>#DIV/0!</v>
      </c>
      <c r="R69" s="231" t="e">
        <f t="shared" si="14"/>
        <v>#DIV/0!</v>
      </c>
      <c r="S69" s="236" t="e">
        <f>Q69-Paramétrage!$D$29</f>
        <v>#DIV/0!</v>
      </c>
      <c r="T69" s="241" t="e">
        <f>IF(Q69&lt;Paramétrage!$D$29, Q69, Paramétrage!$D$29)</f>
        <v>#DIV/0!</v>
      </c>
      <c r="U69" s="247" t="e">
        <f>Paramétrage!$H$19+S69*(365/12)</f>
        <v>#DIV/0!</v>
      </c>
      <c r="V69" s="248" t="e">
        <f>IF(Q69&lt;Paramétrage!$D$29, Paramétrage!$H$19+T69*(365/12), Paramétrage!$H$19+Q69*(365/12))</f>
        <v>#DIV/0!</v>
      </c>
      <c r="X69" s="231" t="str">
        <f>IF(ISERROR(Q69),"", IF(Q69=0, "", IF(Q69&gt;'Calculs Péremption FA'!$CB8, 'Calculs Péremption FA'!$CB8, Q69)))</f>
        <v/>
      </c>
      <c r="Y69" s="582" t="str">
        <f t="shared" si="15"/>
        <v/>
      </c>
      <c r="Z69" s="236" t="str">
        <f>IF(ISERROR(Q69),"", IF(Q69=0, "", IF(Q69&gt;'Calculs Péremption FA'!$CB8, 'Calculs Péremption FA'!$CB8-Paramétrage!$D$29, S69)))</f>
        <v/>
      </c>
      <c r="AA69" s="425" t="str">
        <f>IF(ISERROR(Q69),"", IF(Q69=0, "", IF(Q69&gt;'Calculs Péremption FA'!$CB8, Paramétrage!$D$29, T69)))</f>
        <v/>
      </c>
      <c r="AB69" s="247" t="str">
        <f>IF(ISERROR(Q69),"", IF(Q69=0, "", IF(Q69&gt;'Calculs Péremption FA'!$CB8, 'Calculs Péremption FA'!$BX8-Paramétrage!$D$29*(365/12), U69)))</f>
        <v/>
      </c>
      <c r="AC69" s="248" t="str">
        <f>IF(ISERROR(Q69), AW69, IF(Q69=0, "", IF(Q69&gt;'Calculs Péremption FA'!$CB8, IF(Q69&lt;'Saisie données stocks'!$N$14, CONCATENATE('TRAD-Calculs dispo Données FA'!$B$88, " - ", 'Calculs Péremption FA'!$BY8, "/", 'Calculs Péremption FA'!$BZ8, "/", 'Calculs Péremption FA'!$CA8), 'Calculs Péremption FA'!CC8), V69)))</f>
        <v>490B &amp; conso =0</v>
      </c>
      <c r="AE69" s="231" t="e">
        <f>(Calculs!N263/Calculs!O154)</f>
        <v>#DIV/0!</v>
      </c>
      <c r="AF69" s="231" t="e">
        <f t="shared" si="16"/>
        <v>#DIV/0!</v>
      </c>
      <c r="AG69" s="236" t="e">
        <f>AE69-Paramétrage!$D$29</f>
        <v>#DIV/0!</v>
      </c>
      <c r="AH69" s="241" t="e">
        <f>IF(AE69&lt;Paramétrage!$D$29, AE69, Paramétrage!$D$29)</f>
        <v>#DIV/0!</v>
      </c>
      <c r="AI69" s="247" t="e">
        <f>Paramétrage!$H$19+AG69*(365/12)</f>
        <v>#DIV/0!</v>
      </c>
      <c r="AJ69" s="248" t="e">
        <f>IF(AE69&lt;Paramétrage!$D$29, Paramétrage!$H$19+AH69*(365/12), Paramétrage!$H$19+AE69*(365/12))</f>
        <v>#DIV/0!</v>
      </c>
      <c r="AL69" s="231" t="str">
        <f>IF(ISERROR(AE69),"", IF(AE69=0, "", IF(AE69&gt;'Calculs Péremption FA'!$CB8, 'Calculs Péremption FA'!$CB8, AE69)))</f>
        <v/>
      </c>
      <c r="AM69" s="582" t="str">
        <f t="shared" si="17"/>
        <v/>
      </c>
      <c r="AN69" s="236" t="str">
        <f>IF(ISERROR(AE69),"", IF(AE69=0, "", IF(AE69&gt;'Calculs Péremption FA'!$CB8, 'Calculs Péremption FA'!$CB8-Paramétrage!$D$29, AG69)))</f>
        <v/>
      </c>
      <c r="AO69" s="425" t="str">
        <f>IF(ISERROR(AE69),"", IF(AE69=0, "", IF(AE69&gt;'Calculs Péremption FA'!$CB8, Paramétrage!$D$29, AH69)))</f>
        <v/>
      </c>
      <c r="AP69" s="247" t="str">
        <f>IF(ISERROR(AE69),"", IF(AE69=0, "", IF(AE69&gt;'Calculs Péremption FA'!$CB8, 'Calculs Péremption FA'!$BX8-Paramétrage!$D$29*(365/12), AI69)))</f>
        <v/>
      </c>
      <c r="AQ69" s="248" t="str">
        <f>IF(ISERROR(AE69),"", IF(AE69=0, "", IF(AE69&gt;'Calculs Péremption FA'!$CB8, CONCATENATE('TRAD-Calculs dispo Données FA'!$B$88, " - ", 'Saisie données stocks'!$AE79, "/", 'Saisie données stocks'!$AF79, "/", 'Saisie données stocks'!$AG79), AJ69)))</f>
        <v/>
      </c>
      <c r="AS69" s="2061">
        <f>Calculs!$N263</f>
        <v>490</v>
      </c>
      <c r="AT69" s="2062">
        <f>Calculs!$O154</f>
        <v>0</v>
      </c>
      <c r="AU69" s="2068">
        <f>Calculs!$N208</f>
        <v>0</v>
      </c>
      <c r="AV69" s="2070" t="str">
        <f>IF(AND(AU69=0, AS69=0, AT69=0), 'TRAD-Calculs dispo Données FA'!$B$82, "")</f>
        <v/>
      </c>
      <c r="AW69" s="2062" t="str">
        <f>IF(AND(AU69=0, AS69&gt;0, AT69=0), CONCATENATE(AS69,'TRAD-Calculs dispo Données FA'!$B$80," =0"), "")</f>
        <v>490B &amp; conso =0</v>
      </c>
      <c r="AX69" s="2063" t="str">
        <f>IF(AND(AS69=0, OR(AT69&gt;=1, AU69&gt;=1)), 'TRAD-Calculs dispo Données FA'!$B$81, "")</f>
        <v/>
      </c>
    </row>
    <row r="70" spans="3:51" s="358" customFormat="1" ht="25.5" x14ac:dyDescent="0.2">
      <c r="C70" s="374"/>
      <c r="D70" s="375"/>
      <c r="E70" s="376" t="str">
        <f>'Saisie données stocks'!F21</f>
        <v>AZT+3TC+ABC</v>
      </c>
      <c r="F70" s="377" t="str">
        <f>'Saisie données stocks'!G21</f>
        <v>Cp</v>
      </c>
      <c r="G70" s="377" t="str">
        <f>'Saisie données stocks'!H21</f>
        <v>300/150/300 mg</v>
      </c>
      <c r="H70" s="378" t="str">
        <f>CONCATENATE(E70, " - ", G70, " - ", 'TRAD-Calculs dispo Données FA'!$B$79,"/", K70)</f>
        <v>AZT+3TC+ABC - 300/150/300 mg - B/60</v>
      </c>
      <c r="I70" s="380">
        <f>Calculs!K104</f>
        <v>2</v>
      </c>
      <c r="J70" s="380">
        <f t="shared" si="12"/>
        <v>60</v>
      </c>
      <c r="K70" s="114">
        <f>Calculs!J104</f>
        <v>60</v>
      </c>
      <c r="L70" s="381">
        <f t="shared" si="13"/>
        <v>1</v>
      </c>
      <c r="M70" s="1820">
        <f>Calculs!N264</f>
        <v>0</v>
      </c>
      <c r="N70" s="1820">
        <f>Calculs!O155</f>
        <v>0</v>
      </c>
      <c r="O70" s="1820">
        <f>Calculs!N209</f>
        <v>0</v>
      </c>
      <c r="P70"/>
      <c r="Q70" s="231" t="e">
        <f>IF(Calculs!N209&gt;0, (-(Calculs!N209+2*Calculs!O155)+SQRT((Calculs!N209+2*Calculs!O155)*(Calculs!N209+2*Calculs!O155)+8*Calculs!N209*(M70)))/(2*Calculs!N209), ((M70)/Calculs!O155))</f>
        <v>#DIV/0!</v>
      </c>
      <c r="R70" s="231" t="e">
        <f t="shared" si="14"/>
        <v>#DIV/0!</v>
      </c>
      <c r="S70" s="236" t="e">
        <f>Q70-Paramétrage!$D$29</f>
        <v>#DIV/0!</v>
      </c>
      <c r="T70" s="241" t="e">
        <f>IF(Q70&lt;Paramétrage!$D$29, Q70, Paramétrage!$D$29)</f>
        <v>#DIV/0!</v>
      </c>
      <c r="U70" s="247" t="e">
        <f>Paramétrage!$H$19+S70*(365/12)</f>
        <v>#DIV/0!</v>
      </c>
      <c r="V70" s="248" t="e">
        <f>IF(Q70&lt;Paramétrage!$D$29, Paramétrage!$H$19+T70*(365/12), Paramétrage!$H$19+Q70*(365/12))</f>
        <v>#DIV/0!</v>
      </c>
      <c r="X70" s="231" t="str">
        <f>IF(ISERROR(Q70),"", IF(Q70=0, "", IF(Q70&gt;'Calculs Péremption FA'!$CB9, 'Calculs Péremption FA'!$CB9, Q70)))</f>
        <v/>
      </c>
      <c r="Y70" s="582" t="str">
        <f t="shared" si="15"/>
        <v/>
      </c>
      <c r="Z70" s="236" t="str">
        <f>IF(ISERROR(Q70),"", IF(Q70=0, "", IF(Q70&gt;'Calculs Péremption FA'!$CB9, 'Calculs Péremption FA'!$CB9-Paramétrage!$D$29, S70)))</f>
        <v/>
      </c>
      <c r="AA70" s="425" t="str">
        <f>IF(ISERROR(Q70),"", IF(Q70=0, "", IF(Q70&gt;'Calculs Péremption FA'!$CB9, Paramétrage!$D$29, T70)))</f>
        <v/>
      </c>
      <c r="AB70" s="247" t="str">
        <f>IF(ISERROR(Q70),"", IF(Q70=0, "", IF(Q70&gt;'Calculs Péremption FA'!$CB9, 'Calculs Péremption FA'!$BX9-Paramétrage!$D$29*(365/12), U70)))</f>
        <v/>
      </c>
      <c r="AC70" s="248" t="str">
        <f>IF(ISERROR(Q70), AW70, IF(Q70=0, "", IF(Q70&gt;'Calculs Péremption FA'!$CB9, IF(Q70&lt;'Saisie données stocks'!$N$14, CONCATENATE('TRAD-Calculs dispo Données FA'!$B$88, " - ", 'Calculs Péremption FA'!$BY9, "/", 'Calculs Péremption FA'!$BZ9, "/", 'Calculs Péremption FA'!$CA9), 'Calculs Péremption FA'!CC9), V70)))</f>
        <v/>
      </c>
      <c r="AE70" s="231" t="e">
        <f>(Calculs!N264/Calculs!O155)</f>
        <v>#DIV/0!</v>
      </c>
      <c r="AF70" s="231" t="e">
        <f t="shared" si="16"/>
        <v>#DIV/0!</v>
      </c>
      <c r="AG70" s="236" t="e">
        <f>AE70-Paramétrage!$D$29</f>
        <v>#DIV/0!</v>
      </c>
      <c r="AH70" s="241" t="e">
        <f>IF(AE70&lt;Paramétrage!$D$29, AE70, Paramétrage!$D$29)</f>
        <v>#DIV/0!</v>
      </c>
      <c r="AI70" s="247" t="e">
        <f>Paramétrage!$H$19+AG70*(365/12)</f>
        <v>#DIV/0!</v>
      </c>
      <c r="AJ70" s="248" t="e">
        <f>IF(AE70&lt;Paramétrage!$D$29, Paramétrage!$H$19+AH70*(365/12), Paramétrage!$H$19+AE70*(365/12))</f>
        <v>#DIV/0!</v>
      </c>
      <c r="AL70" s="231" t="str">
        <f>IF(ISERROR(AE70),"", IF(AE70=0, "", IF(AE70&gt;'Calculs Péremption FA'!$CB9, 'Calculs Péremption FA'!$CB9, AE70)))</f>
        <v/>
      </c>
      <c r="AM70" s="582" t="str">
        <f t="shared" si="17"/>
        <v/>
      </c>
      <c r="AN70" s="236" t="str">
        <f>IF(ISERROR(AE70),"", IF(AE70=0, "", IF(AE70&gt;'Calculs Péremption FA'!$CB9, 'Calculs Péremption FA'!$CB9-Paramétrage!$D$29, AG70)))</f>
        <v/>
      </c>
      <c r="AO70" s="425" t="str">
        <f>IF(ISERROR(AE70),"", IF(AE70=0, "", IF(AE70&gt;'Calculs Péremption FA'!$CB9, Paramétrage!$D$29, AH70)))</f>
        <v/>
      </c>
      <c r="AP70" s="247" t="str">
        <f>IF(ISERROR(AE70),"", IF(AE70=0, "", IF(AE70&gt;'Calculs Péremption FA'!$CB9, 'Calculs Péremption FA'!$BX9-Paramétrage!$D$29*(365/12), AI70)))</f>
        <v/>
      </c>
      <c r="AQ70" s="248" t="str">
        <f>IF(ISERROR(AE70),"", IF(AE70=0, "", IF(AE70&gt;'Calculs Péremption FA'!$CB9, CONCATENATE('TRAD-Calculs dispo Données FA'!$B$88, " - ", 'Saisie données stocks'!$AE81, "/", 'Saisie données stocks'!$AF81, "/", 'Saisie données stocks'!$AG81), AJ70)))</f>
        <v/>
      </c>
      <c r="AS70" s="2061">
        <f>Calculs!$N264</f>
        <v>0</v>
      </c>
      <c r="AT70" s="2062">
        <f>Calculs!$O155</f>
        <v>0</v>
      </c>
      <c r="AU70" s="2068">
        <f>Calculs!$N209</f>
        <v>0</v>
      </c>
      <c r="AV70" s="2070" t="str">
        <f>IF(AND(AU70=0, AS70=0, AT70=0), 'TRAD-Calculs dispo Données FA'!$B$82, "")</f>
        <v>Stock et besoin nul</v>
      </c>
      <c r="AW70" s="2062" t="str">
        <f>IF(AND(AU70=0, AS70&gt;0, AT70=0), CONCATENATE(AS70,'TRAD-Calculs dispo Données FA'!$B$80," =0"), "")</f>
        <v/>
      </c>
      <c r="AX70" s="2063" t="str">
        <f>IF(AND(AS70=0, OR(AT70&gt;=1, AU70&gt;=1)), 'TRAD-Calculs dispo Données FA'!$B$81, "")</f>
        <v/>
      </c>
    </row>
    <row r="71" spans="3:51" s="358" customFormat="1" ht="25.5" x14ac:dyDescent="0.2">
      <c r="C71" s="374"/>
      <c r="D71" s="375"/>
      <c r="E71" s="376" t="str">
        <f>'Saisie données stocks'!F22</f>
        <v>AZT+3TC</v>
      </c>
      <c r="F71" s="377" t="str">
        <f>'Saisie données stocks'!G22</f>
        <v>Cp</v>
      </c>
      <c r="G71" s="377" t="str">
        <f>'Saisie données stocks'!H22</f>
        <v>300/150 mg</v>
      </c>
      <c r="H71" s="378" t="str">
        <f>CONCATENATE(E71, " - ", G71, " - ", 'TRAD-Calculs dispo Données FA'!$B$79,"/", K71)</f>
        <v>AZT+3TC - 300/150 mg - B/60</v>
      </c>
      <c r="I71" s="380">
        <f>Calculs!K105</f>
        <v>2</v>
      </c>
      <c r="J71" s="380">
        <f t="shared" si="12"/>
        <v>60</v>
      </c>
      <c r="K71" s="114">
        <f>Calculs!J105</f>
        <v>60</v>
      </c>
      <c r="L71" s="381">
        <f t="shared" si="13"/>
        <v>1</v>
      </c>
      <c r="M71" s="1820">
        <f>Calculs!N265</f>
        <v>1052</v>
      </c>
      <c r="N71" s="1820">
        <f>Calculs!O156</f>
        <v>0</v>
      </c>
      <c r="O71" s="1820">
        <f>Calculs!N210</f>
        <v>0</v>
      </c>
      <c r="P71"/>
      <c r="Q71" s="231" t="e">
        <f>IF(Calculs!N210&gt;0, (-(Calculs!N210+2*Calculs!O156)+SQRT((Calculs!N210+2*Calculs!O156)*(Calculs!N210+2*Calculs!O156)+8*Calculs!N210*(M71)))/(2*Calculs!N210), ((M71)/Calculs!O156))</f>
        <v>#DIV/0!</v>
      </c>
      <c r="R71" s="231" t="e">
        <f t="shared" si="14"/>
        <v>#DIV/0!</v>
      </c>
      <c r="S71" s="236" t="e">
        <f>Q71-Paramétrage!$D$29</f>
        <v>#DIV/0!</v>
      </c>
      <c r="T71" s="241" t="e">
        <f>IF(Q71&lt;Paramétrage!$D$29, Q71, Paramétrage!$D$29)</f>
        <v>#DIV/0!</v>
      </c>
      <c r="U71" s="247" t="e">
        <f>Paramétrage!$H$19+S71*(365/12)</f>
        <v>#DIV/0!</v>
      </c>
      <c r="V71" s="248" t="e">
        <f>IF(Q71&lt;Paramétrage!$D$29, Paramétrage!$H$19+T71*(365/12), Paramétrage!$H$19+Q71*(365/12))</f>
        <v>#DIV/0!</v>
      </c>
      <c r="X71" s="231" t="str">
        <f>IF(ISERROR(Q71),"", IF(Q71=0, "", IF(Q71&gt;'Calculs Péremption FA'!$CB10, 'Calculs Péremption FA'!$CB10, Q71)))</f>
        <v/>
      </c>
      <c r="Y71" s="582" t="str">
        <f t="shared" si="15"/>
        <v/>
      </c>
      <c r="Z71" s="236" t="str">
        <f>IF(ISERROR(Q71),"", IF(Q71=0, "", IF(Q71&gt;'Calculs Péremption FA'!$CB10, 'Calculs Péremption FA'!$CB10-Paramétrage!$D$29, S71)))</f>
        <v/>
      </c>
      <c r="AA71" s="425" t="str">
        <f>IF(ISERROR(Q71),"", IF(Q71=0, "", IF(Q71&gt;'Calculs Péremption FA'!$CB10, Paramétrage!$D$29, T71)))</f>
        <v/>
      </c>
      <c r="AB71" s="247" t="str">
        <f>IF(ISERROR(Q71),"", IF(Q71=0, "", IF(Q71&gt;'Calculs Péremption FA'!$CB10, 'Calculs Péremption FA'!$BX10-Paramétrage!$D$29*(365/12), U71)))</f>
        <v/>
      </c>
      <c r="AC71" s="248" t="str">
        <f>IF(ISERROR(Q71), AW71, IF(Q71=0, "", IF(Q71&gt;'Calculs Péremption FA'!$CB10, IF(Q71&lt;'Saisie données stocks'!$N$14, CONCATENATE('TRAD-Calculs dispo Données FA'!$B$88, " - ", 'Calculs Péremption FA'!$BY10, "/", 'Calculs Péremption FA'!$BZ10, "/", 'Calculs Péremption FA'!$CA10), 'Calculs Péremption FA'!CC10), V71)))</f>
        <v>1052B &amp; conso =0</v>
      </c>
      <c r="AE71" s="231" t="e">
        <f>(Calculs!N265/Calculs!O156)</f>
        <v>#DIV/0!</v>
      </c>
      <c r="AF71" s="231" t="e">
        <f t="shared" si="16"/>
        <v>#DIV/0!</v>
      </c>
      <c r="AG71" s="236" t="e">
        <f>AE71-Paramétrage!$D$29</f>
        <v>#DIV/0!</v>
      </c>
      <c r="AH71" s="241" t="e">
        <f>IF(AE71&lt;Paramétrage!$D$29, AE71, Paramétrage!$D$29)</f>
        <v>#DIV/0!</v>
      </c>
      <c r="AI71" s="247" t="e">
        <f>Paramétrage!$H$19+AG71*(365/12)</f>
        <v>#DIV/0!</v>
      </c>
      <c r="AJ71" s="248" t="e">
        <f>IF(AE71&lt;Paramétrage!$D$29, Paramétrage!$H$19+AH71*(365/12), Paramétrage!$H$19+AE71*(365/12))</f>
        <v>#DIV/0!</v>
      </c>
      <c r="AL71" s="231" t="str">
        <f>IF(ISERROR(AE71),"", IF(AE71=0, "", IF(AE71&gt;'Calculs Péremption FA'!$CB10, 'Calculs Péremption FA'!$CB10, AE71)))</f>
        <v/>
      </c>
      <c r="AM71" s="582" t="str">
        <f t="shared" si="17"/>
        <v/>
      </c>
      <c r="AN71" s="236" t="str">
        <f>IF(ISERROR(AE71),"", IF(AE71=0, "", IF(AE71&gt;'Calculs Péremption FA'!$CB10, 'Calculs Péremption FA'!$CB10-Paramétrage!$D$29, AG71)))</f>
        <v/>
      </c>
      <c r="AO71" s="425" t="str">
        <f>IF(ISERROR(AE71),"", IF(AE71=0, "", IF(AE71&gt;'Calculs Péremption FA'!$CB10, Paramétrage!$D$29, AH71)))</f>
        <v/>
      </c>
      <c r="AP71" s="247" t="str">
        <f>IF(ISERROR(AE71),"", IF(AE71=0, "", IF(AE71&gt;'Calculs Péremption FA'!$CB10, 'Calculs Péremption FA'!$BX10-Paramétrage!$D$29*(365/12), AI71)))</f>
        <v/>
      </c>
      <c r="AQ71" s="248" t="str">
        <f>IF(ISERROR(AE71),"", IF(AE71=0, "", IF(AE71&gt;'Calculs Péremption FA'!$CB10, CONCATENATE('TRAD-Calculs dispo Données FA'!$B$88, " - ", 'Saisie données stocks'!$AF82, "/", 'Saisie données stocks'!$AG82, "/", 'Saisie données stocks'!$AH82), AJ71)))</f>
        <v/>
      </c>
      <c r="AS71" s="2061">
        <f>Calculs!$N265</f>
        <v>1052</v>
      </c>
      <c r="AT71" s="2062">
        <f>Calculs!$O156</f>
        <v>0</v>
      </c>
      <c r="AU71" s="2068">
        <f>Calculs!$N210</f>
        <v>0</v>
      </c>
      <c r="AV71" s="2070" t="str">
        <f>IF(AND(AU71=0, AS71=0, AT71=0), 'TRAD-Calculs dispo Données FA'!$B$82, "")</f>
        <v/>
      </c>
      <c r="AW71" s="2062" t="str">
        <f>IF(AND(AU71=0, AS71&gt;0, AT71=0), CONCATENATE(AS71,'TRAD-Calculs dispo Données FA'!$B$80," =0"), "")</f>
        <v>1052B &amp; conso =0</v>
      </c>
      <c r="AX71" s="2063" t="str">
        <f>IF(AND(AS71=0, OR(AT71&gt;=1, AU71&gt;=1)), 'TRAD-Calculs dispo Données FA'!$B$81, "")</f>
        <v/>
      </c>
    </row>
    <row r="72" spans="3:51" s="358" customFormat="1" x14ac:dyDescent="0.2">
      <c r="C72" s="374"/>
      <c r="D72" s="375"/>
      <c r="E72" s="376" t="str">
        <f>'Saisie données stocks'!F23</f>
        <v>AZT+3TC</v>
      </c>
      <c r="F72" s="377" t="str">
        <f>'Saisie données stocks'!G23</f>
        <v>Cp</v>
      </c>
      <c r="G72" s="377" t="str">
        <f>'Saisie données stocks'!H23</f>
        <v>60/30 mg</v>
      </c>
      <c r="H72" s="378" t="str">
        <f>CONCATENATE(E72, " - ", G72, " - ", 'TRAD-Calculs dispo Données FA'!$B$79,"/", K72)</f>
        <v>AZT+3TC - 60/30 mg - B/60</v>
      </c>
      <c r="I72" s="380">
        <f>Calculs!K106</f>
        <v>2</v>
      </c>
      <c r="J72" s="380">
        <f t="shared" si="12"/>
        <v>60</v>
      </c>
      <c r="K72" s="114">
        <f>Calculs!J106</f>
        <v>60</v>
      </c>
      <c r="L72" s="381">
        <f t="shared" si="13"/>
        <v>1</v>
      </c>
      <c r="M72" s="1820">
        <f>Calculs!N266</f>
        <v>160</v>
      </c>
      <c r="N72" s="1820">
        <f>Calculs!O157</f>
        <v>0</v>
      </c>
      <c r="O72" s="1820">
        <f>Calculs!N211</f>
        <v>0</v>
      </c>
      <c r="P72"/>
      <c r="Q72" s="231" t="e">
        <f>IF(Calculs!N211&gt;0, (-(Calculs!N211+2*Calculs!O157)+SQRT((Calculs!N211+2*Calculs!O157)*(Calculs!N211+2*Calculs!O157)+8*Calculs!N211*(M72)))/(2*Calculs!N211), ((M72)/Calculs!O157))</f>
        <v>#DIV/0!</v>
      </c>
      <c r="R72" s="231" t="e">
        <f t="shared" si="14"/>
        <v>#DIV/0!</v>
      </c>
      <c r="S72" s="236" t="e">
        <f>Q72-Paramétrage!$D$29</f>
        <v>#DIV/0!</v>
      </c>
      <c r="T72" s="241" t="e">
        <f>IF(Q72&lt;Paramétrage!$D$29, Q72, Paramétrage!$D$29)</f>
        <v>#DIV/0!</v>
      </c>
      <c r="U72" s="247" t="e">
        <f>Paramétrage!$H$19+S72*(365/12)</f>
        <v>#DIV/0!</v>
      </c>
      <c r="V72" s="248" t="e">
        <f>IF(Q72&lt;Paramétrage!$D$29, Paramétrage!$H$19+T72*(365/12), Paramétrage!$H$19+Q72*(365/12))</f>
        <v>#DIV/0!</v>
      </c>
      <c r="X72" s="231" t="str">
        <f>IF(ISERROR(Q72),"", IF(Q72=0, "", IF(Q72&gt;'Calculs Péremption FA'!$CB11, 'Calculs Péremption FA'!$CB11, Q72)))</f>
        <v/>
      </c>
      <c r="Y72" s="582" t="str">
        <f t="shared" si="15"/>
        <v/>
      </c>
      <c r="Z72" s="236" t="str">
        <f>IF(ISERROR(Q72),"", IF(Q72=0, "", IF(Q72&gt;'Calculs Péremption FA'!$CB11, 'Calculs Péremption FA'!$CB11-Paramétrage!$D$29, S72)))</f>
        <v/>
      </c>
      <c r="AA72" s="425" t="str">
        <f>IF(ISERROR(Q72),"", IF(Q72=0, "", IF(Q72&gt;'Calculs Péremption FA'!$CB11, Paramétrage!$D$29, T72)))</f>
        <v/>
      </c>
      <c r="AB72" s="247" t="str">
        <f>IF(ISERROR(Q72),"", IF(Q72=0, "", IF(Q72&gt;'Calculs Péremption FA'!$CB11, 'Calculs Péremption FA'!$BX11-Paramétrage!$D$29*(365/12), U72)))</f>
        <v/>
      </c>
      <c r="AC72" s="248" t="str">
        <f>IF(ISERROR(Q72), AW72, IF(Q72=0, "", IF(Q72&gt;'Calculs Péremption FA'!$CB11, IF(Q72&lt;'Saisie données stocks'!$N$14, CONCATENATE('TRAD-Calculs dispo Données FA'!$B$88, " - ", 'Calculs Péremption FA'!$BY11, "/", 'Calculs Péremption FA'!$BZ11, "/", 'Calculs Péremption FA'!$CA11), 'Calculs Péremption FA'!CC11), V72)))</f>
        <v>160B &amp; conso =0</v>
      </c>
      <c r="AE72" s="231" t="e">
        <f>(Calculs!N266/Calculs!O157)</f>
        <v>#DIV/0!</v>
      </c>
      <c r="AF72" s="231" t="e">
        <f t="shared" si="16"/>
        <v>#DIV/0!</v>
      </c>
      <c r="AG72" s="236" t="e">
        <f>AE72-Paramétrage!$D$29</f>
        <v>#DIV/0!</v>
      </c>
      <c r="AH72" s="241" t="e">
        <f>IF(AE72&lt;Paramétrage!$D$29, AE72, Paramétrage!$D$29)</f>
        <v>#DIV/0!</v>
      </c>
      <c r="AI72" s="247" t="e">
        <f>Paramétrage!$H$19+AG72*(365/12)</f>
        <v>#DIV/0!</v>
      </c>
      <c r="AJ72" s="248" t="e">
        <f>IF(AE72&lt;Paramétrage!$D$29, Paramétrage!$H$19+AH72*(365/12), Paramétrage!$H$19+AE72*(365/12))</f>
        <v>#DIV/0!</v>
      </c>
      <c r="AL72" s="231" t="str">
        <f>IF(ISERROR(AE72),"", IF(AE72=0, "", IF(AE72&gt;'Calculs Péremption FA'!$CB11, 'Calculs Péremption FA'!$CB11, AE72)))</f>
        <v/>
      </c>
      <c r="AM72" s="582" t="str">
        <f t="shared" si="17"/>
        <v/>
      </c>
      <c r="AN72" s="236" t="str">
        <f>IF(ISERROR(AE72),"", IF(AE72=0, "", IF(AE72&gt;'Calculs Péremption FA'!$CB11, 'Calculs Péremption FA'!$CB11-Paramétrage!$D$29, AG72)))</f>
        <v/>
      </c>
      <c r="AO72" s="425" t="str">
        <f>IF(ISERROR(AE72),"", IF(AE72=0, "", IF(AE72&gt;'Calculs Péremption FA'!$CB11, Paramétrage!$D$29, AH72)))</f>
        <v/>
      </c>
      <c r="AP72" s="247" t="str">
        <f>IF(ISERROR(AE72),"", IF(AE72=0, "", IF(AE72&gt;'Calculs Péremption FA'!$CB11, 'Calculs Péremption FA'!$BX11-Paramétrage!$D$29*(365/12), AI72)))</f>
        <v/>
      </c>
      <c r="AQ72" s="248" t="str">
        <f>IF(ISERROR(AE72),"", IF(AE72=0, "", IF(AE72&gt;'Calculs Péremption FA'!$CB11, CONCATENATE('TRAD-Calculs dispo Données FA'!$B$88, " - ", 'Saisie données stocks'!$AF83, "/", 'Saisie données stocks'!$AG83, "/", 'Saisie données stocks'!$AH83), AJ72)))</f>
        <v/>
      </c>
      <c r="AS72" s="2061">
        <f>Calculs!$N266</f>
        <v>160</v>
      </c>
      <c r="AT72" s="2062">
        <f>Calculs!$O157</f>
        <v>0</v>
      </c>
      <c r="AU72" s="2068">
        <f>Calculs!$N211</f>
        <v>0</v>
      </c>
      <c r="AV72" s="2070" t="str">
        <f>IF(AND(AU72=0, AS72=0, AT72=0), 'TRAD-Calculs dispo Données FA'!$B$82, "")</f>
        <v/>
      </c>
      <c r="AW72" s="2062" t="str">
        <f>IF(AND(AU72=0, AS72&gt;0, AT72=0), CONCATENATE(AS72,'TRAD-Calculs dispo Données FA'!$B$80," =0"), "")</f>
        <v>160B &amp; conso =0</v>
      </c>
      <c r="AX72" s="2063" t="str">
        <f>IF(AND(AS72=0, OR(AT72&gt;=1, AU72&gt;=1)), 'TRAD-Calculs dispo Données FA'!$B$81, "")</f>
        <v/>
      </c>
    </row>
    <row r="73" spans="3:51" s="358" customFormat="1" ht="25.5" x14ac:dyDescent="0.2">
      <c r="C73" s="374"/>
      <c r="D73" s="375"/>
      <c r="E73" s="376" t="str">
        <f>'Saisie données stocks'!F24</f>
        <v>3TC+ABC</v>
      </c>
      <c r="F73" s="377" t="str">
        <f>'Saisie données stocks'!G24</f>
        <v>Cp</v>
      </c>
      <c r="G73" s="377" t="str">
        <f>'Saisie données stocks'!H24</f>
        <v>300/600 mg</v>
      </c>
      <c r="H73" s="378" t="str">
        <f>CONCATENATE(E73, " - ", G73, " - ", 'TRAD-Calculs dispo Données FA'!$B$79,"/", K73)</f>
        <v>3TC+ABC - 300/600 mg - B/30</v>
      </c>
      <c r="I73" s="380">
        <f>Calculs!K107</f>
        <v>1</v>
      </c>
      <c r="J73" s="380">
        <f t="shared" si="12"/>
        <v>30</v>
      </c>
      <c r="K73" s="114">
        <f>Calculs!J107</f>
        <v>30</v>
      </c>
      <c r="L73" s="381">
        <f t="shared" si="13"/>
        <v>1</v>
      </c>
      <c r="M73" s="1820">
        <f>Calculs!N267</f>
        <v>40</v>
      </c>
      <c r="N73" s="1820">
        <f>Calculs!O158</f>
        <v>0</v>
      </c>
      <c r="O73" s="1820">
        <f>Calculs!N212</f>
        <v>0</v>
      </c>
      <c r="P73"/>
      <c r="Q73" s="231" t="e">
        <f>IF(Calculs!N212&gt;0, (-(Calculs!N212+2*Calculs!O158)+SQRT((Calculs!N212+2*Calculs!O158)*(Calculs!N212+2*Calculs!O158)+8*Calculs!N212*(M73)))/(2*Calculs!N212), ((M73)/Calculs!O158))</f>
        <v>#DIV/0!</v>
      </c>
      <c r="R73" s="231" t="e">
        <f t="shared" si="14"/>
        <v>#DIV/0!</v>
      </c>
      <c r="S73" s="236" t="e">
        <f>Q73-Paramétrage!$D$29</f>
        <v>#DIV/0!</v>
      </c>
      <c r="T73" s="241" t="e">
        <f>IF(Q73&lt;Paramétrage!$D$29, Q73, Paramétrage!$D$29)</f>
        <v>#DIV/0!</v>
      </c>
      <c r="U73" s="247" t="e">
        <f>Paramétrage!$H$19+S73*(365/12)</f>
        <v>#DIV/0!</v>
      </c>
      <c r="V73" s="248" t="e">
        <f>IF(Q73&lt;Paramétrage!$D$29, Paramétrage!$H$19+T73*(365/12), Paramétrage!$H$19+Q73*(365/12))</f>
        <v>#DIV/0!</v>
      </c>
      <c r="X73" s="231" t="str">
        <f>IF(ISERROR(Q73),"", IF(Q73=0, "", IF(Q73&gt;'Calculs Péremption FA'!$CB12, 'Calculs Péremption FA'!$CB12, Q73)))</f>
        <v/>
      </c>
      <c r="Y73" s="582" t="str">
        <f t="shared" si="15"/>
        <v/>
      </c>
      <c r="Z73" s="236" t="str">
        <f>IF(ISERROR(Q73),"", IF(Q73=0, "", IF(Q73&gt;'Calculs Péremption FA'!$CB12, 'Calculs Péremption FA'!$CB12-Paramétrage!$D$29, S73)))</f>
        <v/>
      </c>
      <c r="AA73" s="425" t="str">
        <f>IF(ISERROR(Q73),"", IF(Q73=0, "", IF(Q73&gt;'Calculs Péremption FA'!$CB12, Paramétrage!$D$29, T73)))</f>
        <v/>
      </c>
      <c r="AB73" s="247" t="str">
        <f>IF(ISERROR(Q73),"", IF(Q73=0, "", IF(Q73&gt;'Calculs Péremption FA'!$CB12, 'Calculs Péremption FA'!$BX12-Paramétrage!$D$29*(365/12), U73)))</f>
        <v/>
      </c>
      <c r="AC73" s="248" t="str">
        <f>IF(ISERROR(Q73), AW73, IF(Q73=0, "", IF(Q73&gt;'Calculs Péremption FA'!$CB12, IF(Q73&lt;'Saisie données stocks'!$N$14, CONCATENATE('TRAD-Calculs dispo Données FA'!$B$88, " - ", 'Calculs Péremption FA'!$BY12, "/", 'Calculs Péremption FA'!$BZ12, "/", 'Calculs Péremption FA'!$CA12), 'Calculs Péremption FA'!CC12), V73)))</f>
        <v>40B &amp; conso =0</v>
      </c>
      <c r="AE73" s="231" t="e">
        <f>(Calculs!N267/Calculs!O158)</f>
        <v>#DIV/0!</v>
      </c>
      <c r="AF73" s="231" t="e">
        <f t="shared" si="16"/>
        <v>#DIV/0!</v>
      </c>
      <c r="AG73" s="236" t="e">
        <f>AE73-Paramétrage!$D$29</f>
        <v>#DIV/0!</v>
      </c>
      <c r="AH73" s="241" t="e">
        <f>IF(AE73&lt;Paramétrage!$D$29, AE73, Paramétrage!$D$29)</f>
        <v>#DIV/0!</v>
      </c>
      <c r="AI73" s="247" t="e">
        <f>Paramétrage!$H$19+AG73*(365/12)</f>
        <v>#DIV/0!</v>
      </c>
      <c r="AJ73" s="248" t="e">
        <f>IF(AE73&lt;Paramétrage!$D$29, Paramétrage!$H$19+AH73*(365/12), Paramétrage!$H$19+AE73*(365/12))</f>
        <v>#DIV/0!</v>
      </c>
      <c r="AL73" s="231" t="str">
        <f>IF(ISERROR(AE73),"", IF(AE73=0, "", IF(AE73&gt;'Calculs Péremption FA'!$CB12, 'Calculs Péremption FA'!$CB12, AE73)))</f>
        <v/>
      </c>
      <c r="AM73" s="582" t="str">
        <f t="shared" si="17"/>
        <v/>
      </c>
      <c r="AN73" s="236" t="str">
        <f>IF(ISERROR(AE73),"", IF(AE73=0, "", IF(AE73&gt;'Calculs Péremption FA'!$CB12, 'Calculs Péremption FA'!$CB12-Paramétrage!$D$29, AG73)))</f>
        <v/>
      </c>
      <c r="AO73" s="425" t="str">
        <f>IF(ISERROR(AE73),"", IF(AE73=0, "", IF(AE73&gt;'Calculs Péremption FA'!$CB12, Paramétrage!$D$29, AH73)))</f>
        <v/>
      </c>
      <c r="AP73" s="247" t="str">
        <f>IF(ISERROR(AE73),"", IF(AE73=0, "", IF(AE73&gt;'Calculs Péremption FA'!$CB12, 'Calculs Péremption FA'!$BX12-Paramétrage!$D$29*(365/12), AI73)))</f>
        <v/>
      </c>
      <c r="AQ73" s="248" t="str">
        <f>IF(ISERROR(AE73),"", IF(AE73=0, "", IF(AE73&gt;'Calculs Péremption FA'!$CB12, CONCATENATE('TRAD-Calculs dispo Données FA'!$B$88, " - ", 'Saisie données stocks'!$AF84, "/", 'Saisie données stocks'!$AG84, "/", 'Saisie données stocks'!$AH84), AJ73)))</f>
        <v/>
      </c>
      <c r="AS73" s="2061">
        <f>Calculs!$N267</f>
        <v>40</v>
      </c>
      <c r="AT73" s="2062">
        <f>Calculs!$O158</f>
        <v>0</v>
      </c>
      <c r="AU73" s="2068">
        <f>Calculs!$N212</f>
        <v>0</v>
      </c>
      <c r="AV73" s="2070" t="str">
        <f>IF(AND(AU73=0, AS73=0, AT73=0), 'TRAD-Calculs dispo Données FA'!$B$82, "")</f>
        <v/>
      </c>
      <c r="AW73" s="2062" t="str">
        <f>IF(AND(AU73=0, AS73&gt;0, AT73=0), CONCATENATE(AS73,'TRAD-Calculs dispo Données FA'!$B$80," =0"), "")</f>
        <v>40B &amp; conso =0</v>
      </c>
      <c r="AX73" s="2063" t="str">
        <f>IF(AND(AS73=0, OR(AT73&gt;=1, AU73&gt;=1)), 'TRAD-Calculs dispo Données FA'!$B$81, "")</f>
        <v/>
      </c>
    </row>
    <row r="74" spans="3:51" s="358" customFormat="1" ht="25.5" x14ac:dyDescent="0.2">
      <c r="C74" s="374"/>
      <c r="D74" s="375"/>
      <c r="E74" s="376" t="str">
        <f>'Saisie données stocks'!F25</f>
        <v>3TC+ABC</v>
      </c>
      <c r="F74" s="377" t="str">
        <f>'Saisie données stocks'!G25</f>
        <v>Cp</v>
      </c>
      <c r="G74" s="377" t="str">
        <f>'Saisie données stocks'!H25</f>
        <v>30/60 mg</v>
      </c>
      <c r="H74" s="378" t="str">
        <f>CONCATENATE(E74, " - ", G74, " - ", 'TRAD-Calculs dispo Données FA'!$B$79,"/", K74)</f>
        <v>3TC+ABC - 30/60 mg - B/60</v>
      </c>
      <c r="I74" s="380">
        <f>Calculs!K108</f>
        <v>2</v>
      </c>
      <c r="J74" s="380">
        <f t="shared" si="12"/>
        <v>60</v>
      </c>
      <c r="K74" s="114">
        <f>Calculs!J108</f>
        <v>60</v>
      </c>
      <c r="L74" s="381">
        <f t="shared" si="13"/>
        <v>1</v>
      </c>
      <c r="M74" s="1820">
        <f>Calculs!N268</f>
        <v>0</v>
      </c>
      <c r="N74" s="1820">
        <f>Calculs!O159</f>
        <v>0</v>
      </c>
      <c r="O74" s="1820">
        <f>Calculs!N213</f>
        <v>0</v>
      </c>
      <c r="P74"/>
      <c r="Q74" s="231" t="e">
        <f>IF(Calculs!N213&gt;0, (-(Calculs!N213+2*Calculs!O159)+SQRT((Calculs!N213+2*Calculs!O159)*(Calculs!N213+2*Calculs!O159)+8*Calculs!N213*(M74)))/(2*Calculs!N213), ((M74)/Calculs!O159))</f>
        <v>#DIV/0!</v>
      </c>
      <c r="R74" s="231" t="e">
        <f t="shared" si="14"/>
        <v>#DIV/0!</v>
      </c>
      <c r="S74" s="236" t="e">
        <f>Q74-Paramétrage!$D$29</f>
        <v>#DIV/0!</v>
      </c>
      <c r="T74" s="241" t="e">
        <f>IF(Q74&lt;Paramétrage!$D$29, Q74, Paramétrage!$D$29)</f>
        <v>#DIV/0!</v>
      </c>
      <c r="U74" s="247" t="e">
        <f>Paramétrage!$H$19+S74*(365/12)</f>
        <v>#DIV/0!</v>
      </c>
      <c r="V74" s="248" t="e">
        <f>IF(Q74&lt;Paramétrage!$D$29, Paramétrage!$H$19+T74*(365/12), Paramétrage!$H$19+Q74*(365/12))</f>
        <v>#DIV/0!</v>
      </c>
      <c r="X74" s="231" t="str">
        <f>IF(ISERROR(Q74),"", IF(Q74=0, "", IF(Q74&gt;'Calculs Péremption FA'!$CB13, 'Calculs Péremption FA'!$CB13, Q74)))</f>
        <v/>
      </c>
      <c r="Y74" s="582" t="str">
        <f t="shared" si="15"/>
        <v/>
      </c>
      <c r="Z74" s="236" t="str">
        <f>IF(ISERROR(Q74),"", IF(Q74=0, "", IF(Q74&gt;'Calculs Péremption FA'!$CB13, 'Calculs Péremption FA'!$CB13-Paramétrage!$D$29, S74)))</f>
        <v/>
      </c>
      <c r="AA74" s="425" t="str">
        <f>IF(ISERROR(Q74),"", IF(Q74=0, "", IF(Q74&gt;'Calculs Péremption FA'!$CB13, Paramétrage!$D$29, T74)))</f>
        <v/>
      </c>
      <c r="AB74" s="247" t="str">
        <f>IF(ISERROR(Q74),"", IF(Q74=0, "", IF(Q74&gt;'Calculs Péremption FA'!$CB13, 'Calculs Péremption FA'!$BX13-Paramétrage!$D$29*(365/12), U74)))</f>
        <v/>
      </c>
      <c r="AC74" s="248" t="str">
        <f>IF(ISERROR(Q74), AW74, IF(Q74=0, "", IF(Q74&gt;'Calculs Péremption FA'!$CB13, IF(Q74&lt;'Saisie données stocks'!$N$14, CONCATENATE('TRAD-Calculs dispo Données FA'!$B$88, " - ", 'Calculs Péremption FA'!$BY13, "/", 'Calculs Péremption FA'!$BZ13, "/", 'Calculs Péremption FA'!$CA13), 'Calculs Péremption FA'!CC13), V74)))</f>
        <v/>
      </c>
      <c r="AE74" s="231" t="e">
        <f>(Calculs!N268/Calculs!O159)</f>
        <v>#DIV/0!</v>
      </c>
      <c r="AF74" s="231" t="e">
        <f t="shared" si="16"/>
        <v>#DIV/0!</v>
      </c>
      <c r="AG74" s="236" t="e">
        <f>AE74-Paramétrage!$D$29</f>
        <v>#DIV/0!</v>
      </c>
      <c r="AH74" s="241" t="e">
        <f>IF(AE74&lt;Paramétrage!$D$29, AE74, Paramétrage!$D$29)</f>
        <v>#DIV/0!</v>
      </c>
      <c r="AI74" s="247" t="e">
        <f>Paramétrage!$H$19+AG74*(365/12)</f>
        <v>#DIV/0!</v>
      </c>
      <c r="AJ74" s="248" t="e">
        <f>IF(AE74&lt;Paramétrage!$D$29, Paramétrage!$H$19+AH74*(365/12), Paramétrage!$H$19+AE74*(365/12))</f>
        <v>#DIV/0!</v>
      </c>
      <c r="AL74" s="231" t="str">
        <f>IF(ISERROR(AE74),"", IF(AE74=0, "", IF(AE74&gt;'Calculs Péremption FA'!$CB13, 'Calculs Péremption FA'!$CB13, AE74)))</f>
        <v/>
      </c>
      <c r="AM74" s="582" t="str">
        <f t="shared" si="17"/>
        <v/>
      </c>
      <c r="AN74" s="236" t="str">
        <f>IF(ISERROR(AE74),"", IF(AE74=0, "", IF(AE74&gt;'Calculs Péremption FA'!$CB13, 'Calculs Péremption FA'!$CB13-Paramétrage!$D$29, AG74)))</f>
        <v/>
      </c>
      <c r="AO74" s="425" t="str">
        <f>IF(ISERROR(AE74),"", IF(AE74=0, "", IF(AE74&gt;'Calculs Péremption FA'!$CB13, Paramétrage!$D$29, AH74)))</f>
        <v/>
      </c>
      <c r="AP74" s="247" t="str">
        <f>IF(ISERROR(AE74),"", IF(AE74=0, "", IF(AE74&gt;'Calculs Péremption FA'!$CB13, 'Calculs Péremption FA'!$BX13-Paramétrage!$D$29*(365/12), AI74)))</f>
        <v/>
      </c>
      <c r="AQ74" s="248" t="str">
        <f>IF(ISERROR(AE74),"", IF(AE74=0, "", IF(AE74&gt;'Calculs Péremption FA'!$CB13, CONCATENATE('TRAD-Calculs dispo Données FA'!$B$88, " - ", 'Saisie données stocks'!$AF85, "/", 'Saisie données stocks'!$AG85, "/", 'Saisie données stocks'!$AH85), AJ74)))</f>
        <v/>
      </c>
      <c r="AS74" s="2061">
        <f>Calculs!$N268</f>
        <v>0</v>
      </c>
      <c r="AT74" s="2062">
        <f>Calculs!$O159</f>
        <v>0</v>
      </c>
      <c r="AU74" s="2068">
        <f>Calculs!$N213</f>
        <v>0</v>
      </c>
      <c r="AV74" s="2070" t="str">
        <f>IF(AND(AU74=0, AS74=0, AT74=0), 'TRAD-Calculs dispo Données FA'!$B$82, "")</f>
        <v>Stock et besoin nul</v>
      </c>
      <c r="AW74" s="2062" t="str">
        <f>IF(AND(AU74=0, AS74&gt;0, AT74=0), CONCATENATE(AS74,'TRAD-Calculs dispo Données FA'!$B$80," =0"), "")</f>
        <v/>
      </c>
      <c r="AX74" s="2063" t="str">
        <f>IF(AND(AS74=0, OR(AT74&gt;=1, AU74&gt;=1)), 'TRAD-Calculs dispo Données FA'!$B$81, "")</f>
        <v/>
      </c>
    </row>
    <row r="75" spans="3:51" s="358" customFormat="1" ht="25.5" x14ac:dyDescent="0.2">
      <c r="C75" s="374"/>
      <c r="D75" s="375"/>
      <c r="E75" s="382" t="str">
        <f>'Saisie données stocks'!F26</f>
        <v>D4T+3TC+NVP</v>
      </c>
      <c r="F75" s="383" t="str">
        <f>'Saisie données stocks'!G26</f>
        <v>Cp</v>
      </c>
      <c r="G75" s="383" t="str">
        <f>'Saisie données stocks'!H26</f>
        <v>30/150/200 mg</v>
      </c>
      <c r="H75" s="384" t="str">
        <f>CONCATENATE(E75, " - ", G75, " - ", 'TRAD-Calculs dispo Données FA'!$B$79,"/", K75)</f>
        <v>D4T+3TC+NVP - 30/150/200 mg - B/60</v>
      </c>
      <c r="I75" s="386">
        <f>Calculs!K109</f>
        <v>2</v>
      </c>
      <c r="J75" s="386">
        <f t="shared" si="12"/>
        <v>60</v>
      </c>
      <c r="K75" s="115">
        <f>Calculs!J109</f>
        <v>60</v>
      </c>
      <c r="L75" s="387">
        <f t="shared" si="13"/>
        <v>1</v>
      </c>
      <c r="M75" s="1821">
        <f>Calculs!N269</f>
        <v>0</v>
      </c>
      <c r="N75" s="1870">
        <f>Calculs!O160</f>
        <v>0</v>
      </c>
      <c r="O75" s="1870">
        <f>Calculs!N214</f>
        <v>0</v>
      </c>
      <c r="P75"/>
      <c r="Q75" s="232" t="e">
        <f>IF(Calculs!N214&gt;0, (-(Calculs!N214+2*Calculs!O160)+SQRT((Calculs!N214+2*Calculs!O160)*(Calculs!N214+2*Calculs!O160)+8*Calculs!N214*(M75)))/(2*Calculs!N214), ((M75)/Calculs!O160))</f>
        <v>#DIV/0!</v>
      </c>
      <c r="R75" s="232" t="e">
        <f t="shared" si="14"/>
        <v>#DIV/0!</v>
      </c>
      <c r="S75" s="236" t="e">
        <f>Q75-Paramétrage!$D$29</f>
        <v>#DIV/0!</v>
      </c>
      <c r="T75" s="242" t="e">
        <f>IF(Q75&lt;Paramétrage!$D$29, Q75, Paramétrage!$D$29)</f>
        <v>#DIV/0!</v>
      </c>
      <c r="U75" s="249" t="e">
        <f>Paramétrage!$H$19+S75*(365/12)</f>
        <v>#DIV/0!</v>
      </c>
      <c r="V75" s="250" t="e">
        <f>IF(Q75&lt;Paramétrage!$D$29, Paramétrage!$H$19+T75*(365/12), Paramétrage!$H$19+Q75*(365/12))</f>
        <v>#DIV/0!</v>
      </c>
      <c r="X75" s="232" t="str">
        <f>IF(ISERROR(Q75),"", IF(Q75=0, "", IF(Q75&gt;'Calculs Péremption FA'!$CB14, 'Calculs Péremption FA'!$CB14, Q75)))</f>
        <v/>
      </c>
      <c r="Y75" s="583" t="str">
        <f t="shared" si="15"/>
        <v/>
      </c>
      <c r="Z75" s="237" t="str">
        <f>IF(ISERROR(Q75),"", IF(Q75=0, "", IF(Q75&gt;'Calculs Péremption FA'!$CB14, 'Calculs Péremption FA'!$CB14-Paramétrage!$D$29, S75)))</f>
        <v/>
      </c>
      <c r="AA75" s="426" t="str">
        <f>IF(ISERROR(Q75),"", IF(Q75=0, "", IF(Q75&gt;'Calculs Péremption FA'!$CB14, Paramétrage!$D$29, T75)))</f>
        <v/>
      </c>
      <c r="AB75" s="249" t="str">
        <f>IF(ISERROR(Q75),"", IF(Q75=0, "", IF(Q75&gt;'Calculs Péremption FA'!$CB14, 'Calculs Péremption FA'!$BX14-Paramétrage!$D$29*(365/12), U75)))</f>
        <v/>
      </c>
      <c r="AC75" s="250" t="str">
        <f>IF(ISERROR(Q75), AW75, IF(Q75=0, "", IF(Q75&gt;'Calculs Péremption FA'!$CB14, IF(Q75&lt;'Saisie données stocks'!$N$14, CONCATENATE('TRAD-Calculs dispo Données FA'!$B$88, " - ", 'Calculs Péremption FA'!$BY14, "/", 'Calculs Péremption FA'!$BZ14, "/", 'Calculs Péremption FA'!$CA14), 'Calculs Péremption FA'!CC14), V75)))</f>
        <v/>
      </c>
      <c r="AE75" s="232" t="e">
        <f>(Calculs!N269/Calculs!O160)</f>
        <v>#DIV/0!</v>
      </c>
      <c r="AF75" s="232" t="e">
        <f t="shared" si="16"/>
        <v>#DIV/0!</v>
      </c>
      <c r="AG75" s="236" t="e">
        <f>AE75-Paramétrage!$D$29</f>
        <v>#DIV/0!</v>
      </c>
      <c r="AH75" s="242" t="e">
        <f>IF(AE75&lt;Paramétrage!$D$29, AE75, Paramétrage!$D$29)</f>
        <v>#DIV/0!</v>
      </c>
      <c r="AI75" s="249" t="e">
        <f>Paramétrage!$H$19+AG75*(365/12)</f>
        <v>#DIV/0!</v>
      </c>
      <c r="AJ75" s="250" t="e">
        <f>IF(AE75&lt;Paramétrage!$D$29, Paramétrage!$H$19+AH75*(365/12), Paramétrage!$H$19+AE75*(365/12))</f>
        <v>#DIV/0!</v>
      </c>
      <c r="AL75" s="232" t="str">
        <f>IF(ISERROR(AE75),"", IF(AE75=0, "", IF(AE75&gt;'Calculs Péremption FA'!$CB14, 'Calculs Péremption FA'!$CB14, AE75)))</f>
        <v/>
      </c>
      <c r="AM75" s="583" t="str">
        <f t="shared" si="17"/>
        <v/>
      </c>
      <c r="AN75" s="237" t="str">
        <f>IF(ISERROR(AE75),"", IF(AE75=0, "", IF(AE75&gt;'Calculs Péremption FA'!$CB14, 'Calculs Péremption FA'!$CB14-Paramétrage!$D$29, AG75)))</f>
        <v/>
      </c>
      <c r="AO75" s="426" t="str">
        <f>IF(ISERROR(AE75),"", IF(AE75=0, "", IF(AE75&gt;'Calculs Péremption FA'!$CB14, Paramétrage!$D$29, AH75)))</f>
        <v/>
      </c>
      <c r="AP75" s="249" t="str">
        <f>IF(ISERROR(AE75),"", IF(AE75=0, "", IF(AE75&gt;'Calculs Péremption FA'!$CB14, 'Calculs Péremption FA'!$BX14-Paramétrage!$D$29*(365/12), AI75)))</f>
        <v/>
      </c>
      <c r="AQ75" s="250" t="str">
        <f>IF(ISERROR(AE75),"", IF(AE75=0, "", IF(AE75&gt;'Calculs Péremption FA'!$CB14, CONCATENATE('TRAD-Calculs dispo Données FA'!$B$88, " - ", 'Saisie données stocks'!$AF86, "/", 'Saisie données stocks'!$AG86, "/", 'Saisie données stocks'!$AH86), AJ75)))</f>
        <v/>
      </c>
      <c r="AS75" s="2061">
        <f>Calculs!$N269</f>
        <v>0</v>
      </c>
      <c r="AT75" s="2062">
        <f>Calculs!$O160</f>
        <v>0</v>
      </c>
      <c r="AU75" s="2068">
        <f>Calculs!$N214</f>
        <v>0</v>
      </c>
      <c r="AV75" s="2070" t="str">
        <f>IF(AND(AU75=0, AS75=0, AT75=0), 'TRAD-Calculs dispo Données FA'!$B$82, "")</f>
        <v>Stock et besoin nul</v>
      </c>
      <c r="AW75" s="2062" t="str">
        <f>IF(AND(AU75=0, AS75&gt;0, AT75=0), CONCATENATE(AS75,'TRAD-Calculs dispo Données FA'!$B$80," =0"), "")</f>
        <v/>
      </c>
      <c r="AX75" s="2063" t="str">
        <f>IF(AND(AS75=0, OR(AT75&gt;=1, AU75&gt;=1)), 'TRAD-Calculs dispo Données FA'!$B$81, "")</f>
        <v/>
      </c>
    </row>
    <row r="76" spans="3:51" s="358" customFormat="1" ht="25.5" x14ac:dyDescent="0.2">
      <c r="C76" s="374"/>
      <c r="D76" s="375"/>
      <c r="E76" s="382" t="str">
        <f>'Saisie données stocks'!F27</f>
        <v>D4T+3TC+NVP</v>
      </c>
      <c r="F76" s="383" t="str">
        <f>'Saisie données stocks'!G27</f>
        <v>Cp</v>
      </c>
      <c r="G76" s="383" t="str">
        <f>'Saisie données stocks'!H27</f>
        <v>6/30/50 mg</v>
      </c>
      <c r="H76" s="385" t="str">
        <f>CONCATENATE(E76, " - ", G76, " - ", 'TRAD-Calculs dispo Données FA'!$B$79,"/", K76)</f>
        <v>D4T+3TC+NVP - 6/30/50 mg - B/60</v>
      </c>
      <c r="I76" s="386">
        <f>Calculs!K110</f>
        <v>2</v>
      </c>
      <c r="J76" s="386">
        <f t="shared" si="12"/>
        <v>60</v>
      </c>
      <c r="K76" s="115">
        <f>Calculs!J110</f>
        <v>60</v>
      </c>
      <c r="L76" s="387">
        <f t="shared" si="13"/>
        <v>1</v>
      </c>
      <c r="M76" s="1821">
        <f>Calculs!N270</f>
        <v>30</v>
      </c>
      <c r="N76" s="1870">
        <f>Calculs!O161</f>
        <v>0</v>
      </c>
      <c r="O76" s="1870">
        <f>Calculs!N215</f>
        <v>0</v>
      </c>
      <c r="P76"/>
      <c r="Q76" s="232" t="e">
        <f>IF(Calculs!N215&gt;0, (-(Calculs!N215+2*Calculs!O161)+SQRT((Calculs!N215+2*Calculs!O161)*(Calculs!N215+2*Calculs!O161)+8*Calculs!N215*(M76)))/(2*Calculs!N215), ((M76)/Calculs!O161))</f>
        <v>#DIV/0!</v>
      </c>
      <c r="R76" s="232" t="e">
        <f t="shared" si="14"/>
        <v>#DIV/0!</v>
      </c>
      <c r="S76" s="237" t="e">
        <f>Q76-Paramétrage!$D$29</f>
        <v>#DIV/0!</v>
      </c>
      <c r="T76" s="242" t="e">
        <f>IF(Q76&lt;Paramétrage!$D$29, Q76, Paramétrage!$D$29)</f>
        <v>#DIV/0!</v>
      </c>
      <c r="U76" s="249" t="e">
        <f>Paramétrage!$H$19+S76*(365/12)</f>
        <v>#DIV/0!</v>
      </c>
      <c r="V76" s="250" t="e">
        <f>IF(Q76&lt;Paramétrage!$D$29, Paramétrage!$H$19+T76*(365/12), Paramétrage!$H$19+Q76*(365/12))</f>
        <v>#DIV/0!</v>
      </c>
      <c r="X76" s="232" t="str">
        <f>IF(ISERROR(Q76),"", IF(Q76=0, "", IF(Q76&gt;'Calculs Péremption FA'!$CB15, 'Calculs Péremption FA'!$CB15, Q76)))</f>
        <v/>
      </c>
      <c r="Y76" s="583" t="str">
        <f t="shared" si="15"/>
        <v/>
      </c>
      <c r="Z76" s="237" t="str">
        <f>IF(ISERROR(Q76),"", IF(Q76=0, "", IF(Q76&gt;'Calculs Péremption FA'!$CB15, 'Calculs Péremption FA'!$CB15-Paramétrage!$D$29, S76)))</f>
        <v/>
      </c>
      <c r="AA76" s="426" t="str">
        <f>IF(ISERROR(Q76),"", IF(Q76=0, "", IF(Q76&gt;'Calculs Péremption FA'!$CB15, Paramétrage!$D$29, T76)))</f>
        <v/>
      </c>
      <c r="AB76" s="249" t="str">
        <f>IF(ISERROR(Q76),"", IF(Q76=0, "", IF(Q76&gt;'Calculs Péremption FA'!$CB15, 'Calculs Péremption FA'!$BX15-Paramétrage!$D$29*(365/12), U76)))</f>
        <v/>
      </c>
      <c r="AC76" s="250" t="str">
        <f>IF(ISERROR(Q76), AW76, IF(Q76=0, "", IF(Q76&gt;'Calculs Péremption FA'!$CB15, IF(Q76&lt;'Saisie données stocks'!$N$14, CONCATENATE('TRAD-Calculs dispo Données FA'!$B$88, " - ", 'Calculs Péremption FA'!$BY15, "/", 'Calculs Péremption FA'!$BZ15, "/", 'Calculs Péremption FA'!$CA15), 'Calculs Péremption FA'!CC15), V76)))</f>
        <v>30B &amp; conso =0</v>
      </c>
      <c r="AE76" s="232" t="e">
        <f>(Calculs!N270/Calculs!O161)</f>
        <v>#DIV/0!</v>
      </c>
      <c r="AF76" s="232" t="e">
        <f t="shared" si="16"/>
        <v>#DIV/0!</v>
      </c>
      <c r="AG76" s="237" t="e">
        <f>AE76-Paramétrage!$D$29</f>
        <v>#DIV/0!</v>
      </c>
      <c r="AH76" s="242" t="e">
        <f>IF(AE76&lt;Paramétrage!$D$29, AE76, Paramétrage!$D$29)</f>
        <v>#DIV/0!</v>
      </c>
      <c r="AI76" s="249" t="e">
        <f>Paramétrage!$H$19+AG76*(365/12)</f>
        <v>#DIV/0!</v>
      </c>
      <c r="AJ76" s="250" t="e">
        <f>IF(AE76&lt;Paramétrage!$D$29, Paramétrage!$H$19+AH76*(365/12), Paramétrage!$H$19+AE76*(365/12))</f>
        <v>#DIV/0!</v>
      </c>
      <c r="AL76" s="232" t="str">
        <f>IF(ISERROR(AE76),"", IF(AE76=0, "", IF(AE76&gt;'Calculs Péremption FA'!$CB15, 'Calculs Péremption FA'!$CB15, AE76)))</f>
        <v/>
      </c>
      <c r="AM76" s="583" t="str">
        <f t="shared" si="17"/>
        <v/>
      </c>
      <c r="AN76" s="237" t="str">
        <f>IF(ISERROR(AE76),"", IF(AE76=0, "", IF(AE76&gt;'Calculs Péremption FA'!$CB15, 'Calculs Péremption FA'!$CB15-Paramétrage!$D$29, AG76)))</f>
        <v/>
      </c>
      <c r="AO76" s="426" t="str">
        <f>IF(ISERROR(AE76),"", IF(AE76=0, "", IF(AE76&gt;'Calculs Péremption FA'!$CB15, Paramétrage!$D$29, AH76)))</f>
        <v/>
      </c>
      <c r="AP76" s="249" t="str">
        <f>IF(ISERROR(AE76),"", IF(AE76=0, "", IF(AE76&gt;'Calculs Péremption FA'!$CB15, 'Calculs Péremption FA'!$BX15-Paramétrage!$D$29*(365/12), AI76)))</f>
        <v/>
      </c>
      <c r="AQ76" s="250" t="str">
        <f>IF(ISERROR(AE76),"", IF(AE76=0, "", IF(AE76&gt;'Calculs Péremption FA'!$CB15, CONCATENATE('TRAD-Calculs dispo Données FA'!$B$88, " - ", 'Saisie données stocks'!$AF87, "/", 'Saisie données stocks'!$AG87, "/", 'Saisie données stocks'!$AH87), AJ76)))</f>
        <v/>
      </c>
      <c r="AS76" s="2061">
        <f>Calculs!$N270</f>
        <v>30</v>
      </c>
      <c r="AT76" s="2062">
        <f>Calculs!$O161</f>
        <v>0</v>
      </c>
      <c r="AU76" s="2068">
        <f>Calculs!$N215</f>
        <v>0</v>
      </c>
      <c r="AV76" s="2070" t="str">
        <f>IF(AND(AU76=0, AS76=0, AT76=0), 'TRAD-Calculs dispo Données FA'!$B$82, "")</f>
        <v/>
      </c>
      <c r="AW76" s="2062" t="str">
        <f>IF(AND(AU76=0, AS76&gt;0, AT76=0), CONCATENATE(AS76,'TRAD-Calculs dispo Données FA'!$B$80," =0"), "")</f>
        <v>30B &amp; conso =0</v>
      </c>
      <c r="AX76" s="2063" t="str">
        <f>IF(AND(AS76=0, OR(AT76&gt;=1, AU76&gt;=1)), 'TRAD-Calculs dispo Données FA'!$B$81, "")</f>
        <v/>
      </c>
    </row>
    <row r="77" spans="3:51" s="358" customFormat="1" x14ac:dyDescent="0.2">
      <c r="C77" s="374"/>
      <c r="D77" s="375"/>
      <c r="E77" s="382" t="str">
        <f>'Saisie données stocks'!F28</f>
        <v>D4T+3TC</v>
      </c>
      <c r="F77" s="383" t="str">
        <f>'Saisie données stocks'!G28</f>
        <v>Cp</v>
      </c>
      <c r="G77" s="383" t="str">
        <f>'Saisie données stocks'!H28</f>
        <v>30/150 mg</v>
      </c>
      <c r="H77" s="379" t="str">
        <f>CONCATENATE(E77, " - ", G77, " - ", 'TRAD-Calculs dispo Données FA'!$B$79,"/", K77)</f>
        <v>D4T+3TC - 30/150 mg - B/60</v>
      </c>
      <c r="I77" s="386">
        <f>Calculs!K111</f>
        <v>2</v>
      </c>
      <c r="J77" s="386">
        <f t="shared" si="12"/>
        <v>60</v>
      </c>
      <c r="K77" s="115">
        <f>Calculs!J111</f>
        <v>60</v>
      </c>
      <c r="L77" s="387">
        <f t="shared" si="13"/>
        <v>1</v>
      </c>
      <c r="M77" s="1821">
        <f>Calculs!N271</f>
        <v>14</v>
      </c>
      <c r="N77" s="1870">
        <f>Calculs!O162</f>
        <v>0</v>
      </c>
      <c r="O77" s="1870">
        <f>Calculs!N216</f>
        <v>0</v>
      </c>
      <c r="P77"/>
      <c r="Q77" s="232" t="e">
        <f>IF(Calculs!N216&gt;0, (-(Calculs!N216+2*Calculs!O162)+SQRT((Calculs!N216+2*Calculs!O162)*(Calculs!N216+2*Calculs!O162)+8*Calculs!N216*(M77)))/(2*Calculs!N216), ((M77)/Calculs!O162))</f>
        <v>#DIV/0!</v>
      </c>
      <c r="R77" s="232" t="e">
        <f t="shared" si="14"/>
        <v>#DIV/0!</v>
      </c>
      <c r="S77" s="237" t="e">
        <f>Q77-Paramétrage!$D$29</f>
        <v>#DIV/0!</v>
      </c>
      <c r="T77" s="242" t="e">
        <f>IF(Q77&lt;Paramétrage!$D$29, Q77, Paramétrage!$D$29)</f>
        <v>#DIV/0!</v>
      </c>
      <c r="U77" s="249" t="e">
        <f>Paramétrage!$H$19+S77*(365/12)</f>
        <v>#DIV/0!</v>
      </c>
      <c r="V77" s="250" t="e">
        <f>IF(Q77&lt;Paramétrage!$D$29, Paramétrage!$H$19+T77*(365/12), Paramétrage!$H$19+Q77*(365/12))</f>
        <v>#DIV/0!</v>
      </c>
      <c r="X77" s="232" t="str">
        <f>IF(ISERROR(Q77),"", IF(Q77=0, "", IF(Q77&gt;'Calculs Péremption FA'!$CB16, 'Calculs Péremption FA'!$CB16, Q77)))</f>
        <v/>
      </c>
      <c r="Y77" s="583" t="str">
        <f t="shared" si="15"/>
        <v/>
      </c>
      <c r="Z77" s="237" t="str">
        <f>IF(ISERROR(Q77),"", IF(Q77=0, "", IF(Q77&gt;'Calculs Péremption FA'!$CB16, 'Calculs Péremption FA'!$CB16-Paramétrage!$D$29, S77)))</f>
        <v/>
      </c>
      <c r="AA77" s="426" t="str">
        <f>IF(ISERROR(Q77),"", IF(Q77=0, "", IF(Q77&gt;'Calculs Péremption FA'!$CB16, Paramétrage!$D$29, T77)))</f>
        <v/>
      </c>
      <c r="AB77" s="249" t="str">
        <f>IF(ISERROR(Q77),"", IF(Q77=0, "", IF(Q77&gt;'Calculs Péremption FA'!$CB16, 'Calculs Péremption FA'!$BX16-Paramétrage!$D$29*(365/12), U77)))</f>
        <v/>
      </c>
      <c r="AC77" s="250" t="str">
        <f>IF(ISERROR(Q77), AW77, IF(Q77=0, "", IF(Q77&gt;'Calculs Péremption FA'!$CB16, IF(Q77&lt;'Saisie données stocks'!$N$14, CONCATENATE('TRAD-Calculs dispo Données FA'!$B$88, " - ", 'Calculs Péremption FA'!$BY16, "/", 'Calculs Péremption FA'!$BZ16, "/", 'Calculs Péremption FA'!$CA16), 'Calculs Péremption FA'!CC16), V77)))</f>
        <v>14B &amp; conso =0</v>
      </c>
      <c r="AE77" s="232" t="e">
        <f>(Calculs!N271/Calculs!O162)</f>
        <v>#DIV/0!</v>
      </c>
      <c r="AF77" s="232" t="e">
        <f t="shared" si="16"/>
        <v>#DIV/0!</v>
      </c>
      <c r="AG77" s="237" t="e">
        <f>AE77-Paramétrage!$D$29</f>
        <v>#DIV/0!</v>
      </c>
      <c r="AH77" s="242" t="e">
        <f>IF(AE77&lt;Paramétrage!$D$29, AE77, Paramétrage!$D$29)</f>
        <v>#DIV/0!</v>
      </c>
      <c r="AI77" s="249" t="e">
        <f>Paramétrage!$H$19+AG77*(365/12)</f>
        <v>#DIV/0!</v>
      </c>
      <c r="AJ77" s="250" t="e">
        <f>IF(AE77&lt;Paramétrage!$D$29, Paramétrage!$H$19+AH77*(365/12), Paramétrage!$H$19+AE77*(365/12))</f>
        <v>#DIV/0!</v>
      </c>
      <c r="AL77" s="232" t="str">
        <f>IF(ISERROR(AE77),"", IF(AE77=0, "", IF(AE77&gt;'Calculs Péremption FA'!$CB16, 'Calculs Péremption FA'!$CB16, AE77)))</f>
        <v/>
      </c>
      <c r="AM77" s="583" t="str">
        <f t="shared" si="17"/>
        <v/>
      </c>
      <c r="AN77" s="237" t="str">
        <f>IF(ISERROR(AE77),"", IF(AE77=0, "", IF(AE77&gt;'Calculs Péremption FA'!$CB16, 'Calculs Péremption FA'!$CB16-Paramétrage!$D$29, AG77)))</f>
        <v/>
      </c>
      <c r="AO77" s="426" t="str">
        <f>IF(ISERROR(AE77),"", IF(AE77=0, "", IF(AE77&gt;'Calculs Péremption FA'!$CB16, Paramétrage!$D$29, AH77)))</f>
        <v/>
      </c>
      <c r="AP77" s="249" t="str">
        <f>IF(ISERROR(AE77),"", IF(AE77=0, "", IF(AE77&gt;'Calculs Péremption FA'!$CB16, 'Calculs Péremption FA'!$BX16-Paramétrage!$D$29*(365/12), AI77)))</f>
        <v/>
      </c>
      <c r="AQ77" s="250" t="str">
        <f>IF(ISERROR(AE77),"", IF(AE77=0, "", IF(AE77&gt;'Calculs Péremption FA'!$CB16, CONCATENATE('TRAD-Calculs dispo Données FA'!$B$88, " - ", 'Saisie données stocks'!$AF88, "/", 'Saisie données stocks'!$AG88, "/", 'Saisie données stocks'!$AH88), AJ77)))</f>
        <v/>
      </c>
      <c r="AS77" s="2061">
        <f>Calculs!$N271</f>
        <v>14</v>
      </c>
      <c r="AT77" s="2062">
        <f>Calculs!$O162</f>
        <v>0</v>
      </c>
      <c r="AU77" s="2068">
        <f>Calculs!$N216</f>
        <v>0</v>
      </c>
      <c r="AV77" s="2070" t="str">
        <f>IF(AND(AU77=0, AS77=0, AT77=0), 'TRAD-Calculs dispo Données FA'!$B$82, "")</f>
        <v/>
      </c>
      <c r="AW77" s="2062" t="str">
        <f>IF(AND(AU77=0, AS77&gt;0, AT77=0), CONCATENATE(AS77,'TRAD-Calculs dispo Données FA'!$B$80," =0"), "")</f>
        <v>14B &amp; conso =0</v>
      </c>
      <c r="AX77" s="2063" t="str">
        <f>IF(AND(AS77=0, OR(AT77&gt;=1, AU77&gt;=1)), 'TRAD-Calculs dispo Données FA'!$B$81, "")</f>
        <v/>
      </c>
    </row>
    <row r="78" spans="3:51" s="358" customFormat="1" ht="25.5" x14ac:dyDescent="0.2">
      <c r="C78" s="374"/>
      <c r="D78" s="375"/>
      <c r="E78" s="382" t="str">
        <f>'Saisie données stocks'!F29</f>
        <v>TDF+FTC+EFV</v>
      </c>
      <c r="F78" s="383" t="str">
        <f>'Saisie données stocks'!G29</f>
        <v>Cp</v>
      </c>
      <c r="G78" s="383" t="str">
        <f>'Saisie données stocks'!H29</f>
        <v>300/200/600 mg</v>
      </c>
      <c r="H78" s="379" t="str">
        <f>CONCATENATE(E78, " - ", G78, " - ", 'TRAD-Calculs dispo Données FA'!$B$79,"/", K78)</f>
        <v>TDF+FTC+EFV - 300/200/600 mg - B/30</v>
      </c>
      <c r="I78" s="386">
        <f>Calculs!K112</f>
        <v>1</v>
      </c>
      <c r="J78" s="386">
        <f t="shared" si="12"/>
        <v>30</v>
      </c>
      <c r="K78" s="115">
        <f>Calculs!J112</f>
        <v>30</v>
      </c>
      <c r="L78" s="387">
        <f t="shared" si="13"/>
        <v>1</v>
      </c>
      <c r="M78" s="1821">
        <f>Calculs!N272</f>
        <v>0</v>
      </c>
      <c r="N78" s="1870">
        <f>Calculs!O163</f>
        <v>0</v>
      </c>
      <c r="O78" s="1870">
        <f>Calculs!N217</f>
        <v>0</v>
      </c>
      <c r="P78"/>
      <c r="Q78" s="232" t="e">
        <f>IF(Calculs!N217&gt;0, (-(Calculs!N217+2*Calculs!O163)+SQRT((Calculs!N217+2*Calculs!O163)*(Calculs!N217+2*Calculs!O163)+8*Calculs!N217*(M78)))/(2*Calculs!N217), ((M78)/Calculs!O163))</f>
        <v>#DIV/0!</v>
      </c>
      <c r="R78" s="232" t="e">
        <f t="shared" si="14"/>
        <v>#DIV/0!</v>
      </c>
      <c r="S78" s="237" t="e">
        <f>Q78-Paramétrage!$D$29</f>
        <v>#DIV/0!</v>
      </c>
      <c r="T78" s="242" t="e">
        <f>IF(Q78&lt;Paramétrage!$D$29, Q78, Paramétrage!$D$29)</f>
        <v>#DIV/0!</v>
      </c>
      <c r="U78" s="249" t="e">
        <f>Paramétrage!$H$19+S78*(365/12)</f>
        <v>#DIV/0!</v>
      </c>
      <c r="V78" s="250" t="e">
        <f>IF(Q78&lt;Paramétrage!$D$29, Paramétrage!$H$19+T78*(365/12), Paramétrage!$H$19+Q78*(365/12))</f>
        <v>#DIV/0!</v>
      </c>
      <c r="X78" s="232" t="str">
        <f>IF(ISERROR(Q78),"", IF(Q78=0, "", IF(Q78&gt;'Calculs Péremption FA'!$CB17, 'Calculs Péremption FA'!$CB17, Q78)))</f>
        <v/>
      </c>
      <c r="Y78" s="583" t="str">
        <f t="shared" si="15"/>
        <v/>
      </c>
      <c r="Z78" s="237" t="str">
        <f>IF(ISERROR(Q78),"", IF(Q78=0, "", IF(Q78&gt;'Calculs Péremption FA'!$CB17, 'Calculs Péremption FA'!$CB17-Paramétrage!$D$29, S78)))</f>
        <v/>
      </c>
      <c r="AA78" s="426" t="str">
        <f>IF(ISERROR(Q78),"", IF(Q78=0, "", IF(Q78&gt;'Calculs Péremption FA'!$CB17, Paramétrage!$D$29, T78)))</f>
        <v/>
      </c>
      <c r="AB78" s="249" t="str">
        <f>IF(ISERROR(Q78),"", IF(Q78=0, "", IF(Q78&gt;'Calculs Péremption FA'!$CB17, 'Calculs Péremption FA'!$BX17-Paramétrage!$D$29*(365/12), U78)))</f>
        <v/>
      </c>
      <c r="AC78" s="250" t="str">
        <f>IF(ISERROR(Q78), AW78, IF(Q78=0, "", IF(Q78&gt;'Calculs Péremption FA'!$CB17, IF(Q78&lt;'Saisie données stocks'!$N$14, CONCATENATE('TRAD-Calculs dispo Données FA'!$B$88, " - ", 'Calculs Péremption FA'!$BY17, "/", 'Calculs Péremption FA'!$BZ17, "/", 'Calculs Péremption FA'!$CA17), 'Calculs Péremption FA'!CC17), V78)))</f>
        <v/>
      </c>
      <c r="AE78" s="232" t="e">
        <f>(Calculs!N272/Calculs!O163)</f>
        <v>#DIV/0!</v>
      </c>
      <c r="AF78" s="232" t="e">
        <f t="shared" si="16"/>
        <v>#DIV/0!</v>
      </c>
      <c r="AG78" s="237" t="e">
        <f>AE78-Paramétrage!$D$29</f>
        <v>#DIV/0!</v>
      </c>
      <c r="AH78" s="242" t="e">
        <f>IF(AE78&lt;Paramétrage!$D$29, AE78, Paramétrage!$D$29)</f>
        <v>#DIV/0!</v>
      </c>
      <c r="AI78" s="249" t="e">
        <f>Paramétrage!$H$19+AG78*(365/12)</f>
        <v>#DIV/0!</v>
      </c>
      <c r="AJ78" s="250" t="e">
        <f>IF(AE78&lt;Paramétrage!$D$29, Paramétrage!$H$19+AH78*(365/12), Paramétrage!$H$19+AE78*(365/12))</f>
        <v>#DIV/0!</v>
      </c>
      <c r="AL78" s="232" t="str">
        <f>IF(ISERROR(AE78),"", IF(AE78=0, "", IF(AE78&gt;'Calculs Péremption FA'!$CB17, 'Calculs Péremption FA'!$CB17, AE78)))</f>
        <v/>
      </c>
      <c r="AM78" s="583" t="str">
        <f t="shared" si="17"/>
        <v/>
      </c>
      <c r="AN78" s="237" t="str">
        <f>IF(ISERROR(AE78),"", IF(AE78=0, "", IF(AE78&gt;'Calculs Péremption FA'!$CB17, 'Calculs Péremption FA'!$CB17-Paramétrage!$D$29, AG78)))</f>
        <v/>
      </c>
      <c r="AO78" s="426" t="str">
        <f>IF(ISERROR(AE78),"", IF(AE78=0, "", IF(AE78&gt;'Calculs Péremption FA'!$CB17, Paramétrage!$D$29, AH78)))</f>
        <v/>
      </c>
      <c r="AP78" s="249" t="str">
        <f>IF(ISERROR(AE78),"", IF(AE78=0, "", IF(AE78&gt;'Calculs Péremption FA'!$CB17, 'Calculs Péremption FA'!$BX17-Paramétrage!$D$29*(365/12), AI78)))</f>
        <v/>
      </c>
      <c r="AQ78" s="250" t="str">
        <f>IF(ISERROR(AE78),"", IF(AE78=0, "", IF(AE78&gt;'Calculs Péremption FA'!$CB17, CONCATENATE('TRAD-Calculs dispo Données FA'!$B$88, " - ", 'Saisie données stocks'!$AF89, "/", 'Saisie données stocks'!$AG89, "/", 'Saisie données stocks'!$AH89), AJ78)))</f>
        <v/>
      </c>
      <c r="AS78" s="2061">
        <f>Calculs!$N272</f>
        <v>0</v>
      </c>
      <c r="AT78" s="2062">
        <f>Calculs!$O163</f>
        <v>0</v>
      </c>
      <c r="AU78" s="2068">
        <f>Calculs!$N217</f>
        <v>0</v>
      </c>
      <c r="AV78" s="2070" t="str">
        <f>IF(AND(AU78=0, AS78=0, AT78=0), 'TRAD-Calculs dispo Données FA'!$B$82, "")</f>
        <v>Stock et besoin nul</v>
      </c>
      <c r="AW78" s="2062" t="str">
        <f>IF(AND(AU78=0, AS78&gt;0, AT78=0), CONCATENATE(AS78,'TRAD-Calculs dispo Données FA'!$B$80," =0"), "")</f>
        <v/>
      </c>
      <c r="AX78" s="2063" t="str">
        <f>IF(AND(AS78=0, OR(AT78&gt;=1, AU78&gt;=1)), 'TRAD-Calculs dispo Données FA'!$B$81, "")</f>
        <v/>
      </c>
    </row>
    <row r="79" spans="3:51" s="358" customFormat="1" ht="25.5" x14ac:dyDescent="0.2">
      <c r="C79" s="374"/>
      <c r="D79" s="375"/>
      <c r="E79" s="382" t="str">
        <f>'Saisie données stocks'!F30</f>
        <v>TDF+FTC</v>
      </c>
      <c r="F79" s="383" t="str">
        <f>'Saisie données stocks'!G30</f>
        <v>Cp</v>
      </c>
      <c r="G79" s="383" t="str">
        <f>'Saisie données stocks'!H30</f>
        <v>300/200 mg</v>
      </c>
      <c r="H79" s="379" t="str">
        <f>CONCATENATE(E79, " - ", G79, " - ", 'TRAD-Calculs dispo Données FA'!$B$79,"/", K79)</f>
        <v>TDF+FTC - 300/200 mg - B/30</v>
      </c>
      <c r="I79" s="386">
        <f>Calculs!K113</f>
        <v>1</v>
      </c>
      <c r="J79" s="386">
        <f t="shared" si="12"/>
        <v>30</v>
      </c>
      <c r="K79" s="115">
        <f>Calculs!J113</f>
        <v>30</v>
      </c>
      <c r="L79" s="387">
        <f t="shared" si="13"/>
        <v>1</v>
      </c>
      <c r="M79" s="1821">
        <f>Calculs!N273</f>
        <v>0</v>
      </c>
      <c r="N79" s="1870">
        <f>Calculs!O164</f>
        <v>0</v>
      </c>
      <c r="O79" s="1870">
        <f>Calculs!N218</f>
        <v>0</v>
      </c>
      <c r="P79"/>
      <c r="Q79" s="232" t="e">
        <f>IF(Calculs!N218&gt;0, (-(Calculs!N218+2*Calculs!O164)+SQRT((Calculs!N218+2*Calculs!O164)*(Calculs!N218+2*Calculs!O164)+8*Calculs!N218*(M79)))/(2*Calculs!N218), ((M79)/Calculs!O164))</f>
        <v>#DIV/0!</v>
      </c>
      <c r="R79" s="232" t="e">
        <f t="shared" si="14"/>
        <v>#DIV/0!</v>
      </c>
      <c r="S79" s="237" t="e">
        <f>Q79-Paramétrage!$D$29</f>
        <v>#DIV/0!</v>
      </c>
      <c r="T79" s="242" t="e">
        <f>IF(Q79&lt;Paramétrage!$D$29, Q79, Paramétrage!$D$29)</f>
        <v>#DIV/0!</v>
      </c>
      <c r="U79" s="249" t="e">
        <f>Paramétrage!$H$19+S79*(365/12)</f>
        <v>#DIV/0!</v>
      </c>
      <c r="V79" s="250" t="e">
        <f>IF(Q79&lt;Paramétrage!$D$29, Paramétrage!$H$19+T79*(365/12), Paramétrage!$H$19+Q79*(365/12))</f>
        <v>#DIV/0!</v>
      </c>
      <c r="X79" s="232" t="str">
        <f>IF(ISERROR(Q79),"", IF(Q79=0, "", IF(Q79&gt;'Calculs Péremption FA'!$CB18, 'Calculs Péremption FA'!$CB18, Q79)))</f>
        <v/>
      </c>
      <c r="Y79" s="583" t="str">
        <f t="shared" si="15"/>
        <v/>
      </c>
      <c r="Z79" s="237" t="str">
        <f>IF(ISERROR(Q79),"", IF(Q79=0, "", IF(Q79&gt;'Calculs Péremption FA'!$CB18, 'Calculs Péremption FA'!$CB18-Paramétrage!$D$29, S79)))</f>
        <v/>
      </c>
      <c r="AA79" s="426" t="str">
        <f>IF(ISERROR(Q79),"", IF(Q79=0, "", IF(Q79&gt;'Calculs Péremption FA'!$CB18, Paramétrage!$D$29, T79)))</f>
        <v/>
      </c>
      <c r="AB79" s="249" t="str">
        <f>IF(ISERROR(Q79),"", IF(Q79=0, "", IF(Q79&gt;'Calculs Péremption FA'!$CB18, 'Calculs Péremption FA'!$BX18-Paramétrage!$D$29*(365/12), U79)))</f>
        <v/>
      </c>
      <c r="AC79" s="250" t="str">
        <f>IF(ISERROR(Q79), AW79, IF(Q79=0, "", IF(Q79&gt;'Calculs Péremption FA'!$CB18, IF(Q79&lt;'Saisie données stocks'!$N$14, CONCATENATE('TRAD-Calculs dispo Données FA'!$B$88, " - ", 'Calculs Péremption FA'!$BY18, "/", 'Calculs Péremption FA'!$BZ18, "/", 'Calculs Péremption FA'!$CA18), 'Calculs Péremption FA'!CC18), V79)))</f>
        <v/>
      </c>
      <c r="AE79" s="232" t="e">
        <f>(Calculs!N273/Calculs!O164)</f>
        <v>#DIV/0!</v>
      </c>
      <c r="AF79" s="232" t="e">
        <f t="shared" si="16"/>
        <v>#DIV/0!</v>
      </c>
      <c r="AG79" s="237" t="e">
        <f>AE79-Paramétrage!$D$29</f>
        <v>#DIV/0!</v>
      </c>
      <c r="AH79" s="242" t="e">
        <f>IF(AE79&lt;Paramétrage!$D$29, AE79, Paramétrage!$D$29)</f>
        <v>#DIV/0!</v>
      </c>
      <c r="AI79" s="249" t="e">
        <f>Paramétrage!$H$19+AG79*(365/12)</f>
        <v>#DIV/0!</v>
      </c>
      <c r="AJ79" s="250" t="e">
        <f>IF(AE79&lt;Paramétrage!$D$29, Paramétrage!$H$19+AH79*(365/12), Paramétrage!$H$19+AE79*(365/12))</f>
        <v>#DIV/0!</v>
      </c>
      <c r="AL79" s="232" t="str">
        <f>IF(ISERROR(AE79),"", IF(AE79=0, "", IF(AE79&gt;'Calculs Péremption FA'!$CB18, 'Calculs Péremption FA'!$CB18, AE79)))</f>
        <v/>
      </c>
      <c r="AM79" s="583" t="str">
        <f t="shared" si="17"/>
        <v/>
      </c>
      <c r="AN79" s="237" t="str">
        <f>IF(ISERROR(AE79),"", IF(AE79=0, "", IF(AE79&gt;'Calculs Péremption FA'!$CB18, 'Calculs Péremption FA'!$CB18-Paramétrage!$D$29, AG79)))</f>
        <v/>
      </c>
      <c r="AO79" s="426" t="str">
        <f>IF(ISERROR(AE79),"", IF(AE79=0, "", IF(AE79&gt;'Calculs Péremption FA'!$CB18, Paramétrage!$D$29, AH79)))</f>
        <v/>
      </c>
      <c r="AP79" s="249" t="str">
        <f>IF(ISERROR(AE79),"", IF(AE79=0, "", IF(AE79&gt;'Calculs Péremption FA'!$CB18, 'Calculs Péremption FA'!$BX18-Paramétrage!$D$29*(365/12), AI79)))</f>
        <v/>
      </c>
      <c r="AQ79" s="250" t="str">
        <f>IF(ISERROR(AE79),"", IF(AE79=0, "", IF(AE79&gt;'Calculs Péremption FA'!$CB18, CONCATENATE('TRAD-Calculs dispo Données FA'!$B$88, " - ", 'Saisie données stocks'!$AF90, "/", 'Saisie données stocks'!$AG90, "/", 'Saisie données stocks'!$AH90), AJ79)))</f>
        <v/>
      </c>
      <c r="AS79" s="2061">
        <f>Calculs!$N273</f>
        <v>0</v>
      </c>
      <c r="AT79" s="2062">
        <f>Calculs!$O164</f>
        <v>0</v>
      </c>
      <c r="AU79" s="2068">
        <f>Calculs!$N218</f>
        <v>0</v>
      </c>
      <c r="AV79" s="2070" t="str">
        <f>IF(AND(AU79=0, AS79=0, AT79=0), 'TRAD-Calculs dispo Données FA'!$B$82, "")</f>
        <v>Stock et besoin nul</v>
      </c>
      <c r="AW79" s="2062" t="str">
        <f>IF(AND(AU79=0, AS79&gt;0, AT79=0), CONCATENATE(AS79,'TRAD-Calculs dispo Données FA'!$B$80," =0"), "")</f>
        <v/>
      </c>
      <c r="AX79" s="2063" t="str">
        <f>IF(AND(AS79=0, OR(AT79&gt;=1, AU79&gt;=1)), 'TRAD-Calculs dispo Données FA'!$B$81, "")</f>
        <v/>
      </c>
    </row>
    <row r="80" spans="3:51" s="358" customFormat="1" ht="25.5" x14ac:dyDescent="0.2">
      <c r="C80" s="374"/>
      <c r="D80" s="375"/>
      <c r="E80" s="382" t="str">
        <f>'Saisie données stocks'!F31</f>
        <v>TDF+3TC+EFV</v>
      </c>
      <c r="F80" s="383" t="str">
        <f>'Saisie données stocks'!G31</f>
        <v>Cp</v>
      </c>
      <c r="G80" s="383" t="str">
        <f>'Saisie données stocks'!H31</f>
        <v>300/200/600 mg</v>
      </c>
      <c r="H80" s="385" t="str">
        <f>CONCATENATE(E80, " - ", G80, " - ", 'TRAD-Calculs dispo Données FA'!$B$79,"/", K80)</f>
        <v>TDF+3TC+EFV - 300/200/600 mg - B/30</v>
      </c>
      <c r="I80" s="386">
        <f>Calculs!K114</f>
        <v>1</v>
      </c>
      <c r="J80" s="386">
        <f t="shared" si="12"/>
        <v>30</v>
      </c>
      <c r="K80" s="115">
        <f>Calculs!J114</f>
        <v>30</v>
      </c>
      <c r="L80" s="387">
        <f t="shared" si="13"/>
        <v>1</v>
      </c>
      <c r="M80" s="1821">
        <f>Calculs!N274</f>
        <v>2712</v>
      </c>
      <c r="N80" s="1870">
        <f>Calculs!O165</f>
        <v>0</v>
      </c>
      <c r="O80" s="1870">
        <f>Calculs!N219</f>
        <v>0</v>
      </c>
      <c r="P80"/>
      <c r="Q80" s="232" t="e">
        <f>IF(Calculs!N219&gt;0, (-(Calculs!N219+2*Calculs!O165)+SQRT((Calculs!N219+2*Calculs!O165)*(Calculs!N219+2*Calculs!O165)+8*Calculs!N219*(M80)))/(2*Calculs!N219), ((M80)/Calculs!O165))</f>
        <v>#DIV/0!</v>
      </c>
      <c r="R80" s="232" t="e">
        <f t="shared" si="14"/>
        <v>#DIV/0!</v>
      </c>
      <c r="S80" s="237" t="e">
        <f>Q80-Paramétrage!$D$29</f>
        <v>#DIV/0!</v>
      </c>
      <c r="T80" s="242" t="e">
        <f>IF(Q80&lt;Paramétrage!$D$29, Q80, Paramétrage!$D$29)</f>
        <v>#DIV/0!</v>
      </c>
      <c r="U80" s="249" t="e">
        <f>Paramétrage!$H$19+S80*(365/12)</f>
        <v>#DIV/0!</v>
      </c>
      <c r="V80" s="250" t="e">
        <f>IF(Q80&lt;Paramétrage!$D$29, Paramétrage!$H$19+T80*(365/12), Paramétrage!$H$19+Q80*(365/12))</f>
        <v>#DIV/0!</v>
      </c>
      <c r="X80" s="232" t="str">
        <f>IF(ISERROR(Q80),"", IF(Q80=0, "", IF(Q80&gt;'Calculs Péremption FA'!$CB19, 'Calculs Péremption FA'!$CB19, Q80)))</f>
        <v/>
      </c>
      <c r="Y80" s="583" t="str">
        <f t="shared" si="15"/>
        <v/>
      </c>
      <c r="Z80" s="237" t="str">
        <f>IF(ISERROR(Q80),"", IF(Q80=0, "", IF(Q80&gt;'Calculs Péremption FA'!$CB19, 'Calculs Péremption FA'!$CB19-Paramétrage!$D$29, S80)))</f>
        <v/>
      </c>
      <c r="AA80" s="426" t="str">
        <f>IF(ISERROR(Q80),"", IF(Q80=0, "", IF(Q80&gt;'Calculs Péremption FA'!$CB19, Paramétrage!$D$29, T80)))</f>
        <v/>
      </c>
      <c r="AB80" s="249" t="str">
        <f>IF(ISERROR(Q80),"", IF(Q80=0, "", IF(Q80&gt;'Calculs Péremption FA'!$CB19, 'Calculs Péremption FA'!$BX19-Paramétrage!$D$29*(365/12), U80)))</f>
        <v/>
      </c>
      <c r="AC80" s="250" t="str">
        <f>IF(ISERROR(Q80), AW80, IF(Q80=0, "", IF(Q80&gt;'Calculs Péremption FA'!$CB19, IF(Q80&lt;'Saisie données stocks'!$N$14, CONCATENATE('TRAD-Calculs dispo Données FA'!$B$88, " - ", 'Calculs Péremption FA'!$BY19, "/", 'Calculs Péremption FA'!$BZ19, "/", 'Calculs Péremption FA'!$CA19), 'Calculs Péremption FA'!CC19), V80)))</f>
        <v>2712B &amp; conso =0</v>
      </c>
      <c r="AE80" s="232" t="e">
        <f>(Calculs!N274/Calculs!O165)</f>
        <v>#DIV/0!</v>
      </c>
      <c r="AF80" s="232" t="e">
        <f t="shared" si="16"/>
        <v>#DIV/0!</v>
      </c>
      <c r="AG80" s="237" t="e">
        <f>AE80-Paramétrage!$D$29</f>
        <v>#DIV/0!</v>
      </c>
      <c r="AH80" s="242" t="e">
        <f>IF(AE80&lt;Paramétrage!$D$29, AE80, Paramétrage!$D$29)</f>
        <v>#DIV/0!</v>
      </c>
      <c r="AI80" s="249" t="e">
        <f>Paramétrage!$H$19+AG80*(365/12)</f>
        <v>#DIV/0!</v>
      </c>
      <c r="AJ80" s="250" t="e">
        <f>IF(AE80&lt;Paramétrage!$D$29, Paramétrage!$H$19+AH80*(365/12), Paramétrage!$H$19+AE80*(365/12))</f>
        <v>#DIV/0!</v>
      </c>
      <c r="AL80" s="232" t="str">
        <f>IF(ISERROR(AE80),"", IF(AE80=0, "", IF(AE80&gt;'Calculs Péremption FA'!$CB19, 'Calculs Péremption FA'!$CB19, AE80)))</f>
        <v/>
      </c>
      <c r="AM80" s="583" t="str">
        <f t="shared" si="17"/>
        <v/>
      </c>
      <c r="AN80" s="237" t="str">
        <f>IF(ISERROR(AE80),"", IF(AE80=0, "", IF(AE80&gt;'Calculs Péremption FA'!$CB19, 'Calculs Péremption FA'!$CB19-Paramétrage!$D$29, AG80)))</f>
        <v/>
      </c>
      <c r="AO80" s="426" t="str">
        <f>IF(ISERROR(AE80),"", IF(AE80=0, "", IF(AE80&gt;'Calculs Péremption FA'!$CB19, Paramétrage!$D$29, AH80)))</f>
        <v/>
      </c>
      <c r="AP80" s="249" t="str">
        <f>IF(ISERROR(AE80),"", IF(AE80=0, "", IF(AE80&gt;'Calculs Péremption FA'!$CB19, 'Calculs Péremption FA'!$BX19-Paramétrage!$D$29*(365/12), AI80)))</f>
        <v/>
      </c>
      <c r="AQ80" s="250" t="str">
        <f>IF(ISERROR(AE80),"", IF(AE80=0, "", IF(AE80&gt;'Calculs Péremption FA'!$CB19, CONCATENATE('TRAD-Calculs dispo Données FA'!$B$88, " - ", 'Saisie données stocks'!$AF91, "/", 'Saisie données stocks'!$AG91, "/", 'Saisie données stocks'!$AH91), AJ80)))</f>
        <v/>
      </c>
      <c r="AS80" s="2061">
        <f>Calculs!$N274</f>
        <v>2712</v>
      </c>
      <c r="AT80" s="2062">
        <f>Calculs!$O165</f>
        <v>0</v>
      </c>
      <c r="AU80" s="2068">
        <f>Calculs!$N219</f>
        <v>0</v>
      </c>
      <c r="AV80" s="2070" t="str">
        <f>IF(AND(AU80=0, AS80=0, AT80=0), 'TRAD-Calculs dispo Données FA'!$B$82, "")</f>
        <v/>
      </c>
      <c r="AW80" s="2062" t="str">
        <f>IF(AND(AU80=0, AS80&gt;0, AT80=0), CONCATENATE(AS80,'TRAD-Calculs dispo Données FA'!$B$80," =0"), "")</f>
        <v>2712B &amp; conso =0</v>
      </c>
      <c r="AX80" s="2063" t="str">
        <f>IF(AND(AS80=0, OR(AT80&gt;=1, AU80&gt;=1)), 'TRAD-Calculs dispo Données FA'!$B$81, "")</f>
        <v/>
      </c>
    </row>
    <row r="81" spans="3:50" s="358" customFormat="1" ht="25.5" x14ac:dyDescent="0.2">
      <c r="C81" s="374"/>
      <c r="D81" s="375"/>
      <c r="E81" s="382" t="str">
        <f>'Saisie données stocks'!F32</f>
        <v>TDF+3TC</v>
      </c>
      <c r="F81" s="383" t="str">
        <f>'Saisie données stocks'!G32</f>
        <v>Cp</v>
      </c>
      <c r="G81" s="383" t="str">
        <f>'Saisie données stocks'!H32</f>
        <v>300/200 mg</v>
      </c>
      <c r="H81" s="385" t="str">
        <f>CONCATENATE(E81, " - ", G81, " - ", 'TRAD-Calculs dispo Données FA'!$B$79,"/", K81)</f>
        <v>TDF+3TC - 300/200 mg - B/30</v>
      </c>
      <c r="I81" s="386">
        <f>Calculs!K115</f>
        <v>1</v>
      </c>
      <c r="J81" s="386">
        <f t="shared" si="12"/>
        <v>30</v>
      </c>
      <c r="K81" s="115">
        <f>Calculs!J115</f>
        <v>30</v>
      </c>
      <c r="L81" s="387">
        <f t="shared" si="13"/>
        <v>1</v>
      </c>
      <c r="M81" s="1821">
        <f>Calculs!N275</f>
        <v>0</v>
      </c>
      <c r="N81" s="1870">
        <f>Calculs!O166</f>
        <v>0</v>
      </c>
      <c r="O81" s="1870">
        <f>Calculs!N220</f>
        <v>0</v>
      </c>
      <c r="P81"/>
      <c r="Q81" s="232" t="e">
        <f>IF(Calculs!N220&gt;0, (-(Calculs!N220+2*Calculs!O166)+SQRT((Calculs!N220+2*Calculs!O166)*(Calculs!N220+2*Calculs!O166)+8*Calculs!N220*(M81)))/(2*Calculs!N220), ((M81)/Calculs!O166))</f>
        <v>#DIV/0!</v>
      </c>
      <c r="R81" s="232" t="e">
        <f t="shared" si="14"/>
        <v>#DIV/0!</v>
      </c>
      <c r="S81" s="237" t="e">
        <f>Q81-Paramétrage!$D$29</f>
        <v>#DIV/0!</v>
      </c>
      <c r="T81" s="242" t="e">
        <f>IF(Q81&lt;Paramétrage!$D$29, Q81, Paramétrage!$D$29)</f>
        <v>#DIV/0!</v>
      </c>
      <c r="U81" s="249" t="e">
        <f>Paramétrage!$H$19+S81*(365/12)</f>
        <v>#DIV/0!</v>
      </c>
      <c r="V81" s="250" t="e">
        <f>IF(Q81&lt;Paramétrage!$D$29, Paramétrage!$H$19+T81*(365/12), Paramétrage!$H$19+Q81*(365/12))</f>
        <v>#DIV/0!</v>
      </c>
      <c r="X81" s="232" t="str">
        <f>IF(ISERROR(Q81),"", IF(Q81=0, "", IF(Q81&gt;'Calculs Péremption FA'!$CB20, 'Calculs Péremption FA'!$CB20, Q81)))</f>
        <v/>
      </c>
      <c r="Y81" s="583" t="str">
        <f t="shared" si="15"/>
        <v/>
      </c>
      <c r="Z81" s="237" t="str">
        <f>IF(ISERROR(Q81),"", IF(Q81=0, "", IF(Q81&gt;'Calculs Péremption FA'!$CB20, 'Calculs Péremption FA'!$CB20-Paramétrage!$D$29, S81)))</f>
        <v/>
      </c>
      <c r="AA81" s="426" t="str">
        <f>IF(ISERROR(Q81),"", IF(Q81=0, "", IF(Q81&gt;'Calculs Péremption FA'!$CB20, Paramétrage!$D$29, T81)))</f>
        <v/>
      </c>
      <c r="AB81" s="249" t="str">
        <f>IF(ISERROR(Q81),"", IF(Q81=0, "", IF(Q81&gt;'Calculs Péremption FA'!$CB20, 'Calculs Péremption FA'!$BX20-Paramétrage!$D$29*(365/12), U81)))</f>
        <v/>
      </c>
      <c r="AC81" s="250" t="str">
        <f>IF(ISERROR(Q81), AW81, IF(Q81=0, "", IF(Q81&gt;'Calculs Péremption FA'!$CB20, IF(Q81&lt;'Saisie données stocks'!$N$14, CONCATENATE('TRAD-Calculs dispo Données FA'!$B$88, " - ", 'Calculs Péremption FA'!$BY20, "/", 'Calculs Péremption FA'!$BZ20, "/", 'Calculs Péremption FA'!$CA20), 'Calculs Péremption FA'!CC20), V81)))</f>
        <v/>
      </c>
      <c r="AE81" s="232" t="e">
        <f>(Calculs!N275/Calculs!O166)</f>
        <v>#DIV/0!</v>
      </c>
      <c r="AF81" s="232" t="e">
        <f t="shared" si="16"/>
        <v>#DIV/0!</v>
      </c>
      <c r="AG81" s="237" t="e">
        <f>AE81-Paramétrage!$D$29</f>
        <v>#DIV/0!</v>
      </c>
      <c r="AH81" s="242" t="e">
        <f>IF(AE81&lt;Paramétrage!$D$29, AE81, Paramétrage!$D$29)</f>
        <v>#DIV/0!</v>
      </c>
      <c r="AI81" s="249" t="e">
        <f>Paramétrage!$H$19+AG81*(365/12)</f>
        <v>#DIV/0!</v>
      </c>
      <c r="AJ81" s="250" t="e">
        <f>IF(AE81&lt;Paramétrage!$D$29, Paramétrage!$H$19+AH81*(365/12), Paramétrage!$H$19+AE81*(365/12))</f>
        <v>#DIV/0!</v>
      </c>
      <c r="AL81" s="232" t="str">
        <f>IF(ISERROR(AE81),"", IF(AE81=0, "", IF(AE81&gt;'Calculs Péremption FA'!$CB20, 'Calculs Péremption FA'!$CB20, AE81)))</f>
        <v/>
      </c>
      <c r="AM81" s="583" t="str">
        <f t="shared" si="17"/>
        <v/>
      </c>
      <c r="AN81" s="237" t="str">
        <f>IF(ISERROR(AE81),"", IF(AE81=0, "", IF(AE81&gt;'Calculs Péremption FA'!$CB20, 'Calculs Péremption FA'!$CB20-Paramétrage!$D$29, AG81)))</f>
        <v/>
      </c>
      <c r="AO81" s="426" t="str">
        <f>IF(ISERROR(AE81),"", IF(AE81=0, "", IF(AE81&gt;'Calculs Péremption FA'!$CB20, Paramétrage!$D$29, AH81)))</f>
        <v/>
      </c>
      <c r="AP81" s="249" t="str">
        <f>IF(ISERROR(AE81),"", IF(AE81=0, "", IF(AE81&gt;'Calculs Péremption FA'!$CB20, 'Calculs Péremption FA'!$BX20-Paramétrage!$D$29*(365/12), AI81)))</f>
        <v/>
      </c>
      <c r="AQ81" s="250" t="str">
        <f>IF(ISERROR(AE81),"", IF(AE81=0, "", IF(AE81&gt;'Calculs Péremption FA'!$CB20, CONCATENATE('TRAD-Calculs dispo Données FA'!$B$88, " - ", 'Saisie données stocks'!$AF92, "/", 'Saisie données stocks'!$AG92, "/", 'Saisie données stocks'!$AH92), AJ81)))</f>
        <v/>
      </c>
      <c r="AS81" s="2061">
        <f>Calculs!$N275</f>
        <v>0</v>
      </c>
      <c r="AT81" s="2062">
        <f>Calculs!$O166</f>
        <v>0</v>
      </c>
      <c r="AU81" s="2068">
        <f>Calculs!$N220</f>
        <v>0</v>
      </c>
      <c r="AV81" s="2070" t="str">
        <f>IF(AND(AU81=0, AS81=0, AT81=0), 'TRAD-Calculs dispo Données FA'!$B$82, "")</f>
        <v>Stock et besoin nul</v>
      </c>
      <c r="AW81" s="2062" t="str">
        <f>IF(AND(AU81=0, AS81&gt;0, AT81=0), CONCATENATE(AS81,'TRAD-Calculs dispo Données FA'!$B$80," =0"), "")</f>
        <v/>
      </c>
      <c r="AX81" s="2063" t="str">
        <f>IF(AND(AS81=0, OR(AT81&gt;=1, AU81&gt;=1)), 'TRAD-Calculs dispo Données FA'!$B$81, "")</f>
        <v/>
      </c>
    </row>
    <row r="82" spans="3:50" s="358" customFormat="1" ht="38.25" x14ac:dyDescent="0.2">
      <c r="C82" s="388"/>
      <c r="D82" s="389"/>
      <c r="E82" s="390" t="str">
        <f>'Saisie données stocks'!F33</f>
        <v>[TDF+3TC]+ATV/r</v>
      </c>
      <c r="F82" s="391" t="str">
        <f>'Saisie données stocks'!G33</f>
        <v>Cp coblister</v>
      </c>
      <c r="G82" s="391" t="str">
        <f>'Saisie données stocks'!H33</f>
        <v>[300/300]+300/100 mg</v>
      </c>
      <c r="H82" s="393" t="str">
        <f>CONCATENATE(E82, " - ", G82, " - ", 'TRAD-Calculs dispo Données FA'!$B$79,"/", K82)</f>
        <v>[TDF+3TC]+ATV/r - [300/300]+300/100 mg - B/30</v>
      </c>
      <c r="I82" s="394">
        <f>Calculs!K116</f>
        <v>1</v>
      </c>
      <c r="J82" s="394">
        <f t="shared" si="12"/>
        <v>30</v>
      </c>
      <c r="K82" s="116">
        <f>Calculs!J116</f>
        <v>30</v>
      </c>
      <c r="L82" s="395">
        <f t="shared" si="13"/>
        <v>1</v>
      </c>
      <c r="M82" s="1822">
        <f>Calculs!N276</f>
        <v>0</v>
      </c>
      <c r="N82" s="1822">
        <f>Calculs!O167</f>
        <v>0</v>
      </c>
      <c r="O82" s="1822">
        <f>Calculs!N221</f>
        <v>0</v>
      </c>
      <c r="P82"/>
      <c r="Q82" s="233" t="e">
        <f>IF(Calculs!N221&gt;0, (-(Calculs!N221+2*Calculs!O167)+SQRT((Calculs!N221+2*Calculs!O167)*(Calculs!N221+2*Calculs!O167)+8*Calculs!N221*(M82)))/(2*Calculs!N221), ((M82)/Calculs!O167))</f>
        <v>#DIV/0!</v>
      </c>
      <c r="R82" s="233" t="e">
        <f t="shared" si="14"/>
        <v>#DIV/0!</v>
      </c>
      <c r="S82" s="239" t="e">
        <f>Q82-Paramétrage!$D$29</f>
        <v>#DIV/0!</v>
      </c>
      <c r="T82" s="243" t="e">
        <f>IF(Q82&lt;Paramétrage!$D$29, Q82, Paramétrage!$D$29)</f>
        <v>#DIV/0!</v>
      </c>
      <c r="U82" s="251" t="e">
        <f>Paramétrage!$H$19+S82*(365/12)</f>
        <v>#DIV/0!</v>
      </c>
      <c r="V82" s="252" t="e">
        <f>IF(Q82&lt;Paramétrage!$D$29, Paramétrage!$H$19+T82*(365/12), Paramétrage!$H$19+Q82*(365/12))</f>
        <v>#DIV/0!</v>
      </c>
      <c r="X82" s="233" t="str">
        <f>IF(ISERROR(Q82),"", IF(Q82=0, "", IF(Q82&gt;'Calculs Péremption FA'!$CB21, 'Calculs Péremption FA'!$CB21, Q82)))</f>
        <v/>
      </c>
      <c r="Y82" s="575" t="str">
        <f t="shared" si="15"/>
        <v/>
      </c>
      <c r="Z82" s="238" t="str">
        <f>IF(ISERROR(Q82),"", IF(Q82=0, "", IF(Q82&gt;'Calculs Péremption FA'!$CB21, 'Calculs Péremption FA'!$CB21-Paramétrage!$D$29, S82)))</f>
        <v/>
      </c>
      <c r="AA82" s="427" t="str">
        <f>IF(ISERROR(Q82),"", IF(Q82=0, "", IF(Q82&gt;'Calculs Péremption FA'!$CB21, Paramétrage!$D$29, T82)))</f>
        <v/>
      </c>
      <c r="AB82" s="251" t="str">
        <f>IF(ISERROR(Q82),"", IF(Q82=0, "", IF(Q82&gt;'Calculs Péremption FA'!$CB21, 'Calculs Péremption FA'!$BX21-Paramétrage!$D$29*(365/12), U82)))</f>
        <v/>
      </c>
      <c r="AC82" s="252" t="str">
        <f>IF(ISERROR(Q82), AW82, IF(Q82=0, "", IF(Q82&gt;'Calculs Péremption FA'!$CB21, IF(Q82&lt;'Saisie données stocks'!$N$14, CONCATENATE('TRAD-Calculs dispo Données FA'!$B$88, " - ", 'Calculs Péremption FA'!$BY21, "/", 'Calculs Péremption FA'!$BZ21, "/", 'Calculs Péremption FA'!$CA21), 'Calculs Péremption FA'!CC21), V82)))</f>
        <v/>
      </c>
      <c r="AE82" s="233" t="e">
        <f>(Calculs!N276/Calculs!O167)</f>
        <v>#DIV/0!</v>
      </c>
      <c r="AF82" s="233" t="e">
        <f t="shared" si="16"/>
        <v>#DIV/0!</v>
      </c>
      <c r="AG82" s="237" t="e">
        <f>AE82-Paramétrage!$D$29</f>
        <v>#DIV/0!</v>
      </c>
      <c r="AH82" s="243" t="e">
        <f>IF(AE82&lt;Paramétrage!$D$29, AE82, Paramétrage!$D$29)</f>
        <v>#DIV/0!</v>
      </c>
      <c r="AI82" s="251" t="e">
        <f>Paramétrage!$H$19+AG82*(365/12)</f>
        <v>#DIV/0!</v>
      </c>
      <c r="AJ82" s="252" t="e">
        <f>IF(AE82&lt;Paramétrage!$D$29, Paramétrage!$H$19+AH82*(365/12), Paramétrage!$H$19+AE82*(365/12))</f>
        <v>#DIV/0!</v>
      </c>
      <c r="AL82" s="233" t="str">
        <f>IF(ISERROR(AE82),"", IF(AE82=0, "", IF(AE82&gt;'Calculs Péremption FA'!$CB21, 'Calculs Péremption FA'!$CB21, AE82)))</f>
        <v/>
      </c>
      <c r="AM82" s="575" t="str">
        <f t="shared" si="17"/>
        <v/>
      </c>
      <c r="AN82" s="238" t="str">
        <f>IF(ISERROR(AE82),"", IF(AE82=0, "", IF(AE82&gt;'Calculs Péremption FA'!$CB21, 'Calculs Péremption FA'!$CB21-Paramétrage!$D$29, AG82)))</f>
        <v/>
      </c>
      <c r="AO82" s="427" t="str">
        <f>IF(ISERROR(AE82),"", IF(AE82=0, "", IF(AE82&gt;'Calculs Péremption FA'!$CB21, Paramétrage!$D$29, AH82)))</f>
        <v/>
      </c>
      <c r="AP82" s="251" t="str">
        <f>IF(ISERROR(AE82),"", IF(AE82=0, "", IF(AE82&gt;'Calculs Péremption FA'!$CB21, 'Calculs Péremption FA'!$BX21-Paramétrage!$D$29*(365/12), AI82)))</f>
        <v/>
      </c>
      <c r="AQ82" s="252" t="str">
        <f>IF(ISERROR(AE82),"", IF(AE82=0, "", IF(AE82&gt;'Calculs Péremption FA'!$CB21, CONCATENATE('TRAD-Calculs dispo Données FA'!$B$88, " - ", 'Saisie données stocks'!$AF93, "/", 'Saisie données stocks'!$AG93, "/", 'Saisie données stocks'!$AH93), AJ82)))</f>
        <v/>
      </c>
      <c r="AS82" s="2061">
        <f>Calculs!$N276</f>
        <v>0</v>
      </c>
      <c r="AT82" s="2062">
        <f>Calculs!$O167</f>
        <v>0</v>
      </c>
      <c r="AU82" s="2068">
        <f>Calculs!$N221</f>
        <v>0</v>
      </c>
      <c r="AV82" s="2070" t="str">
        <f>IF(AND(AU82=0, AS82=0, AT82=0), 'TRAD-Calculs dispo Données FA'!$B$82, "")</f>
        <v>Stock et besoin nul</v>
      </c>
      <c r="AW82" s="2062" t="str">
        <f>IF(AND(AU82=0, AS82&gt;0, AT82=0), CONCATENATE(AS82,'TRAD-Calculs dispo Données FA'!$B$80," =0"), "")</f>
        <v/>
      </c>
      <c r="AX82" s="2063" t="str">
        <f>IF(AND(AS82=0, OR(AT82&gt;=1, AU82&gt;=1)), 'TRAD-Calculs dispo Données FA'!$B$81, "")</f>
        <v/>
      </c>
    </row>
    <row r="83" spans="3:50" s="358" customFormat="1" ht="25.5" x14ac:dyDescent="0.2">
      <c r="C83" s="374"/>
      <c r="D83" s="375" t="s">
        <v>26</v>
      </c>
      <c r="E83" s="376" t="str">
        <f>'Saisie données stocks'!F34</f>
        <v>EFV</v>
      </c>
      <c r="F83" s="377" t="str">
        <f>'Saisie données stocks'!G34</f>
        <v>Gél</v>
      </c>
      <c r="G83" s="377" t="str">
        <f>'Saisie données stocks'!H34</f>
        <v>50 mg</v>
      </c>
      <c r="H83" s="379" t="str">
        <f>CONCATENATE(E83, " - ", G83, " - ", 'TRAD-Calculs dispo Données FA'!$B$79,"/", K83)</f>
        <v>EFV - 50 mg - B/30</v>
      </c>
      <c r="I83" s="380">
        <f>Calculs!K117</f>
        <v>0</v>
      </c>
      <c r="J83" s="380">
        <f t="shared" si="12"/>
        <v>0</v>
      </c>
      <c r="K83" s="114">
        <f>Calculs!J117</f>
        <v>30</v>
      </c>
      <c r="L83" s="381">
        <f t="shared" si="13"/>
        <v>0</v>
      </c>
      <c r="M83" s="1820">
        <f>Calculs!N277</f>
        <v>0</v>
      </c>
      <c r="N83" s="1820">
        <f>Calculs!O168</f>
        <v>0</v>
      </c>
      <c r="O83" s="1820">
        <f>Calculs!N222</f>
        <v>0</v>
      </c>
      <c r="P83"/>
      <c r="Q83" s="231" t="e">
        <f>IF(Calculs!N222&gt;0, (-(Calculs!N222+2*Calculs!O168)+SQRT((Calculs!N222+2*Calculs!O168)*(Calculs!N222+2*Calculs!O168)+8*Calculs!N222*(M83)))/(2*Calculs!N222), ((M83)/Calculs!O168))</f>
        <v>#DIV/0!</v>
      </c>
      <c r="R83" s="231" t="e">
        <f t="shared" si="14"/>
        <v>#DIV/0!</v>
      </c>
      <c r="S83" s="574" t="e">
        <f>Q83-Paramétrage!$D$29</f>
        <v>#DIV/0!</v>
      </c>
      <c r="T83" s="241" t="e">
        <f>IF(Q83&lt;Paramétrage!$D$29, Q83, Paramétrage!$D$29)</f>
        <v>#DIV/0!</v>
      </c>
      <c r="U83" s="247" t="e">
        <f>Paramétrage!$H$19+S83*(365/12)</f>
        <v>#DIV/0!</v>
      </c>
      <c r="V83" s="248" t="e">
        <f>IF(Q83&lt;Paramétrage!$D$29, Paramétrage!$H$19+T83*(365/12), Paramétrage!$H$19+Q83*(365/12))</f>
        <v>#DIV/0!</v>
      </c>
      <c r="X83" s="231" t="str">
        <f>IF(ISERROR(Q83),"", IF(Q83=0, "", IF(Q83&gt;'Calculs Péremption FA'!$CB22, 'Calculs Péremption FA'!$CB22, Q83)))</f>
        <v/>
      </c>
      <c r="Y83" s="582" t="str">
        <f t="shared" si="15"/>
        <v/>
      </c>
      <c r="Z83" s="236" t="str">
        <f>IF(ISERROR(Q83),"", IF(Q83=0, "", IF(Q83&gt;'Calculs Péremption FA'!$CB22, 'Calculs Péremption FA'!$CB22-Paramétrage!$D$29, S83)))</f>
        <v/>
      </c>
      <c r="AA83" s="425" t="str">
        <f>IF(ISERROR(Q83),"", IF(Q83=0, "", IF(Q83&gt;'Calculs Péremption FA'!$CB22, Paramétrage!$D$29, T83)))</f>
        <v/>
      </c>
      <c r="AB83" s="247" t="str">
        <f>IF(ISERROR(Q83),"", IF(Q83=0, "", IF(Q83&gt;'Calculs Péremption FA'!$CB22, 'Calculs Péremption FA'!$BX22-Paramétrage!$D$29*(365/12), U83)))</f>
        <v/>
      </c>
      <c r="AC83" s="248" t="str">
        <f>IF(ISERROR(Q83), AW83, IF(Q83=0, "", IF(Q83&gt;'Calculs Péremption FA'!$CB22, IF(Q83&lt;'Saisie données stocks'!$N$14, CONCATENATE('TRAD-Calculs dispo Données FA'!$B$88, " - ", 'Calculs Péremption FA'!$BY22, "/", 'Calculs Péremption FA'!$BZ22, "/", 'Calculs Péremption FA'!$CA22), 'Calculs Péremption FA'!CC22), V83)))</f>
        <v/>
      </c>
      <c r="AE83" s="231" t="e">
        <f>(Calculs!N277/Calculs!O168)</f>
        <v>#DIV/0!</v>
      </c>
      <c r="AF83" s="231" t="e">
        <f t="shared" si="16"/>
        <v>#DIV/0!</v>
      </c>
      <c r="AG83" s="237" t="e">
        <f>AE83-Paramétrage!$D$29</f>
        <v>#DIV/0!</v>
      </c>
      <c r="AH83" s="241" t="e">
        <f>IF(AE83&lt;Paramétrage!$D$29, AE83, Paramétrage!$D$29)</f>
        <v>#DIV/0!</v>
      </c>
      <c r="AI83" s="247" t="e">
        <f>Paramétrage!$H$19+AG83*(365/12)</f>
        <v>#DIV/0!</v>
      </c>
      <c r="AJ83" s="248" t="e">
        <f>IF(AE83&lt;Paramétrage!$D$29, Paramétrage!$H$19+AH83*(365/12), Paramétrage!$H$19+AE83*(365/12))</f>
        <v>#DIV/0!</v>
      </c>
      <c r="AL83" s="231" t="str">
        <f>IF(ISERROR(AE83),"", IF(AE83=0, "", IF(AE83&gt;'Calculs Péremption FA'!$CB22, 'Calculs Péremption FA'!$CB22, AE83)))</f>
        <v/>
      </c>
      <c r="AM83" s="582" t="str">
        <f t="shared" si="17"/>
        <v/>
      </c>
      <c r="AN83" s="236" t="str">
        <f>IF(ISERROR(AE83),"", IF(AE83=0, "", IF(AE83&gt;'Calculs Péremption FA'!$CB22, 'Calculs Péremption FA'!$CB22-Paramétrage!$D$29, AG83)))</f>
        <v/>
      </c>
      <c r="AO83" s="425" t="str">
        <f>IF(ISERROR(AE83),"", IF(AE83=0, "", IF(AE83&gt;'Calculs Péremption FA'!$CB22, Paramétrage!$D$29, AH83)))</f>
        <v/>
      </c>
      <c r="AP83" s="247" t="str">
        <f>IF(ISERROR(AE83),"", IF(AE83=0, "", IF(AE83&gt;'Calculs Péremption FA'!$CB22, 'Calculs Péremption FA'!$BX22-Paramétrage!$D$29*(365/12), AI83)))</f>
        <v/>
      </c>
      <c r="AQ83" s="248" t="str">
        <f>IF(ISERROR(AE83),"", IF(AE83=0, "", IF(AE83&gt;'Calculs Péremption FA'!$CB22, CONCATENATE('TRAD-Calculs dispo Données FA'!$B$88, " - ", 'Saisie données stocks'!$AF94, "/", 'Saisie données stocks'!$AG94, "/", 'Saisie données stocks'!$AH94), AJ83)))</f>
        <v/>
      </c>
      <c r="AS83" s="2061">
        <f>Calculs!$N277</f>
        <v>0</v>
      </c>
      <c r="AT83" s="2062">
        <f>Calculs!$O168</f>
        <v>0</v>
      </c>
      <c r="AU83" s="2068">
        <f>Calculs!$N222</f>
        <v>0</v>
      </c>
      <c r="AV83" s="2070" t="str">
        <f>IF(AND(AU83=0, AS83=0, AT83=0), 'TRAD-Calculs dispo Données FA'!$B$82, "")</f>
        <v>Stock et besoin nul</v>
      </c>
      <c r="AW83" s="2062" t="str">
        <f>IF(AND(AU83=0, AS83&gt;0, AT83=0), CONCATENATE(AS83,'TRAD-Calculs dispo Données FA'!$B$80," =0"), "")</f>
        <v/>
      </c>
      <c r="AX83" s="2063" t="str">
        <f>IF(AND(AS83=0, OR(AT83&gt;=1, AU83&gt;=1)), 'TRAD-Calculs dispo Données FA'!$B$81, "")</f>
        <v/>
      </c>
    </row>
    <row r="84" spans="3:50" s="358" customFormat="1" ht="25.5" x14ac:dyDescent="0.2">
      <c r="C84" s="374"/>
      <c r="D84" s="375"/>
      <c r="E84" s="382" t="str">
        <f>'Saisie données stocks'!F35</f>
        <v>EFV</v>
      </c>
      <c r="F84" s="383" t="str">
        <f>'Saisie données stocks'!G35</f>
        <v>Gél</v>
      </c>
      <c r="G84" s="383" t="str">
        <f>'Saisie données stocks'!H35</f>
        <v>200 mg</v>
      </c>
      <c r="H84" s="379" t="str">
        <f>CONCATENATE(E84, " - ", G84, " - ", 'TRAD-Calculs dispo Données FA'!$B$79,"/", K84)</f>
        <v>EFV - 200 mg - B/90</v>
      </c>
      <c r="I84" s="386">
        <f>Calculs!K118</f>
        <v>0</v>
      </c>
      <c r="J84" s="386">
        <f t="shared" si="12"/>
        <v>0</v>
      </c>
      <c r="K84" s="115">
        <f>Calculs!J118</f>
        <v>90</v>
      </c>
      <c r="L84" s="387">
        <f t="shared" si="13"/>
        <v>0</v>
      </c>
      <c r="M84" s="1821">
        <f>Calculs!N278</f>
        <v>0</v>
      </c>
      <c r="N84" s="1870">
        <f>Calculs!O169</f>
        <v>0</v>
      </c>
      <c r="O84" s="1870">
        <f>Calculs!N223</f>
        <v>0</v>
      </c>
      <c r="P84"/>
      <c r="Q84" s="232" t="e">
        <f>IF(Calculs!N223&gt;0, (-(Calculs!N223+2*Calculs!O169)+SQRT((Calculs!N223+2*Calculs!O169)*(Calculs!N223+2*Calculs!O169)+8*Calculs!N223*(M84)))/(2*Calculs!N223), ((M84)/Calculs!O169))</f>
        <v>#DIV/0!</v>
      </c>
      <c r="R84" s="232" t="e">
        <f t="shared" si="14"/>
        <v>#DIV/0!</v>
      </c>
      <c r="S84" s="237" t="e">
        <f>Q84-Paramétrage!$D$29</f>
        <v>#DIV/0!</v>
      </c>
      <c r="T84" s="242" t="e">
        <f>IF(Q84&lt;Paramétrage!$D$29, Q84, Paramétrage!$D$29)</f>
        <v>#DIV/0!</v>
      </c>
      <c r="U84" s="249" t="e">
        <f>Paramétrage!$H$19+S84*(365/12)</f>
        <v>#DIV/0!</v>
      </c>
      <c r="V84" s="250" t="e">
        <f>IF(Q84&lt;Paramétrage!$D$29, Paramétrage!$H$19+T84*(365/12), Paramétrage!$H$19+Q84*(365/12))</f>
        <v>#DIV/0!</v>
      </c>
      <c r="X84" s="232" t="str">
        <f>IF(ISERROR(Q84),"", IF(Q84=0, "", IF(Q84&gt;'Calculs Péremption FA'!$CB23, 'Calculs Péremption FA'!$CB23, Q84)))</f>
        <v/>
      </c>
      <c r="Y84" s="583" t="str">
        <f t="shared" si="15"/>
        <v/>
      </c>
      <c r="Z84" s="237" t="str">
        <f>IF(ISERROR(Q84),"", IF(Q84=0, "", IF(Q84&gt;'Calculs Péremption FA'!$CB23, 'Calculs Péremption FA'!$CB23-Paramétrage!$D$29, S84)))</f>
        <v/>
      </c>
      <c r="AA84" s="426" t="str">
        <f>IF(ISERROR(Q84),"", IF(Q84=0, "", IF(Q84&gt;'Calculs Péremption FA'!$CB23, Paramétrage!$D$29, T84)))</f>
        <v/>
      </c>
      <c r="AB84" s="249" t="str">
        <f>IF(ISERROR(Q84),"", IF(Q84=0, "", IF(Q84&gt;'Calculs Péremption FA'!$CB23, 'Calculs Péremption FA'!$BX23-Paramétrage!$D$29*(365/12), U84)))</f>
        <v/>
      </c>
      <c r="AC84" s="250" t="str">
        <f>IF(ISERROR(Q84), AW84, IF(Q84=0, "", IF(Q84&gt;'Calculs Péremption FA'!$CB23, IF(Q84&lt;'Saisie données stocks'!$N$14, CONCATENATE('TRAD-Calculs dispo Données FA'!$B$88, " - ", 'Calculs Péremption FA'!$BY23, "/", 'Calculs Péremption FA'!$BZ23, "/", 'Calculs Péremption FA'!$CA23), 'Calculs Péremption FA'!CC23), V84)))</f>
        <v/>
      </c>
      <c r="AE84" s="232" t="e">
        <f>(Calculs!N278/Calculs!O169)</f>
        <v>#DIV/0!</v>
      </c>
      <c r="AF84" s="232" t="e">
        <f t="shared" si="16"/>
        <v>#DIV/0!</v>
      </c>
      <c r="AG84" s="237" t="e">
        <f>AE84-Paramétrage!$D$29</f>
        <v>#DIV/0!</v>
      </c>
      <c r="AH84" s="242" t="e">
        <f>IF(AE84&lt;Paramétrage!$D$29, AE84, Paramétrage!$D$29)</f>
        <v>#DIV/0!</v>
      </c>
      <c r="AI84" s="249" t="e">
        <f>Paramétrage!$H$19+AG84*(365/12)</f>
        <v>#DIV/0!</v>
      </c>
      <c r="AJ84" s="250" t="e">
        <f>IF(AE84&lt;Paramétrage!$D$29, Paramétrage!$H$19+AH84*(365/12), Paramétrage!$H$19+AE84*(365/12))</f>
        <v>#DIV/0!</v>
      </c>
      <c r="AL84" s="232" t="str">
        <f>IF(ISERROR(AE84),"", IF(AE84=0, "", IF(AE84&gt;'Calculs Péremption FA'!$CB23, 'Calculs Péremption FA'!$CB23, AE84)))</f>
        <v/>
      </c>
      <c r="AM84" s="583" t="str">
        <f t="shared" si="17"/>
        <v/>
      </c>
      <c r="AN84" s="237" t="str">
        <f>IF(ISERROR(AE84),"", IF(AE84=0, "", IF(AE84&gt;'Calculs Péremption FA'!$CB23, 'Calculs Péremption FA'!$CB23-Paramétrage!$D$29, AG84)))</f>
        <v/>
      </c>
      <c r="AO84" s="426" t="str">
        <f>IF(ISERROR(AE84),"", IF(AE84=0, "", IF(AE84&gt;'Calculs Péremption FA'!$CB23, Paramétrage!$D$29, AH84)))</f>
        <v/>
      </c>
      <c r="AP84" s="249" t="str">
        <f>IF(ISERROR(AE84),"", IF(AE84=0, "", IF(AE84&gt;'Calculs Péremption FA'!$CB23, 'Calculs Péremption FA'!$BX23-Paramétrage!$D$29*(365/12), AI84)))</f>
        <v/>
      </c>
      <c r="AQ84" s="250" t="str">
        <f>IF(ISERROR(AE84),"", IF(AE84=0, "", IF(AE84&gt;'Calculs Péremption FA'!$CB23, CONCATENATE('TRAD-Calculs dispo Données FA'!$B$88, " - ", 'Saisie données stocks'!$AF95, "/", 'Saisie données stocks'!$AG95, "/", 'Saisie données stocks'!$AH95), AJ84)))</f>
        <v/>
      </c>
      <c r="AS84" s="2061">
        <f>Calculs!$N278</f>
        <v>0</v>
      </c>
      <c r="AT84" s="2062">
        <f>Calculs!$O169</f>
        <v>0</v>
      </c>
      <c r="AU84" s="2068">
        <f>Calculs!$N223</f>
        <v>0</v>
      </c>
      <c r="AV84" s="2070" t="str">
        <f>IF(AND(AU84=0, AS84=0, AT84=0), 'TRAD-Calculs dispo Données FA'!$B$82, "")</f>
        <v>Stock et besoin nul</v>
      </c>
      <c r="AW84" s="2062" t="str">
        <f>IF(AND(AU84=0, AS84&gt;0, AT84=0), CONCATENATE(AS84,'TRAD-Calculs dispo Données FA'!$B$80," =0"), "")</f>
        <v/>
      </c>
      <c r="AX84" s="2063" t="str">
        <f>IF(AND(AS84=0, OR(AT84&gt;=1, AU84&gt;=1)), 'TRAD-Calculs dispo Données FA'!$B$81, "")</f>
        <v/>
      </c>
    </row>
    <row r="85" spans="3:50" s="358" customFormat="1" ht="25.5" x14ac:dyDescent="0.2">
      <c r="C85" s="374"/>
      <c r="D85" s="375"/>
      <c r="E85" s="396" t="str">
        <f>'Saisie données stocks'!F36</f>
        <v>EFV</v>
      </c>
      <c r="F85" s="397" t="str">
        <f>'Saisie données stocks'!G36</f>
        <v>Cp</v>
      </c>
      <c r="G85" s="397" t="str">
        <f>'Saisie données stocks'!H36</f>
        <v>600 mg</v>
      </c>
      <c r="H85" s="379" t="str">
        <f>CONCATENATE(E85, " - ", G85, " - ", 'TRAD-Calculs dispo Données FA'!$B$79,"/", K85)</f>
        <v>EFV - 600 mg - B/30</v>
      </c>
      <c r="I85" s="399">
        <f>Calculs!K119</f>
        <v>1</v>
      </c>
      <c r="J85" s="399">
        <f t="shared" si="12"/>
        <v>30</v>
      </c>
      <c r="K85" s="117">
        <f>Calculs!J119</f>
        <v>30</v>
      </c>
      <c r="L85" s="400">
        <f t="shared" si="13"/>
        <v>1</v>
      </c>
      <c r="M85" s="1823">
        <f>Calculs!N279</f>
        <v>2210</v>
      </c>
      <c r="N85" s="1871">
        <f>Calculs!O170</f>
        <v>0</v>
      </c>
      <c r="O85" s="1871">
        <f>Calculs!N224</f>
        <v>0</v>
      </c>
      <c r="P85"/>
      <c r="Q85" s="234" t="e">
        <f>IF(Calculs!N224&gt;0, (-(Calculs!N224+2*Calculs!O170)+SQRT((Calculs!N224+2*Calculs!O170)*(Calculs!N224+2*Calculs!O170)+8*Calculs!N224*(M85)))/(2*Calculs!N224), ((M85)/Calculs!O170))</f>
        <v>#DIV/0!</v>
      </c>
      <c r="R85" s="234" t="e">
        <f t="shared" si="14"/>
        <v>#DIV/0!</v>
      </c>
      <c r="S85" s="237" t="e">
        <f>Q85-Paramétrage!$D$29</f>
        <v>#DIV/0!</v>
      </c>
      <c r="T85" s="244" t="e">
        <f>IF(Q85&lt;Paramétrage!$D$29, Q85, Paramétrage!$D$29)</f>
        <v>#DIV/0!</v>
      </c>
      <c r="U85" s="253" t="e">
        <f>Paramétrage!$H$19+S85*(365/12)</f>
        <v>#DIV/0!</v>
      </c>
      <c r="V85" s="254" t="e">
        <f>IF(Q85&lt;Paramétrage!$D$29, Paramétrage!$H$19+T85*(365/12), Paramétrage!$H$19+Q85*(365/12))</f>
        <v>#DIV/0!</v>
      </c>
      <c r="X85" s="234" t="str">
        <f>IF(ISERROR(Q85),"", IF(Q85=0, "", IF(Q85&gt;'Calculs Péremption FA'!$CB24, 'Calculs Péremption FA'!$CB24, Q85)))</f>
        <v/>
      </c>
      <c r="Y85" s="584" t="str">
        <f t="shared" si="15"/>
        <v/>
      </c>
      <c r="Z85" s="239" t="str">
        <f>IF(ISERROR(Q85),"", IF(Q85=0, "", IF(Q85&gt;'Calculs Péremption FA'!$CB24, 'Calculs Péremption FA'!$CB24-Paramétrage!$D$29, S85)))</f>
        <v/>
      </c>
      <c r="AA85" s="428" t="str">
        <f>IF(ISERROR(Q85),"", IF(Q85=0, "", IF(Q85&gt;'Calculs Péremption FA'!$CB24, Paramétrage!$D$29, T85)))</f>
        <v/>
      </c>
      <c r="AB85" s="253" t="str">
        <f>IF(ISERROR(Q85),"", IF(Q85=0, "", IF(Q85&gt;'Calculs Péremption FA'!$CB24, 'Calculs Péremption FA'!$BX24-Paramétrage!$D$29*(365/12), U85)))</f>
        <v/>
      </c>
      <c r="AC85" s="254" t="str">
        <f>IF(ISERROR(Q85), AW85, IF(Q85=0, "", IF(Q85&gt;'Calculs Péremption FA'!$CB24, IF(Q85&lt;'Saisie données stocks'!$N$14, CONCATENATE('TRAD-Calculs dispo Données FA'!$B$88, " - ", 'Calculs Péremption FA'!$BY24, "/", 'Calculs Péremption FA'!$BZ24, "/", 'Calculs Péremption FA'!$CA24), 'Calculs Péremption FA'!CC24), V85)))</f>
        <v>2210B &amp; conso =0</v>
      </c>
      <c r="AE85" s="234" t="e">
        <f>(Calculs!N279/Calculs!O170)</f>
        <v>#DIV/0!</v>
      </c>
      <c r="AF85" s="234" t="e">
        <f t="shared" si="16"/>
        <v>#DIV/0!</v>
      </c>
      <c r="AG85" s="237" t="e">
        <f>AE85-Paramétrage!$D$29</f>
        <v>#DIV/0!</v>
      </c>
      <c r="AH85" s="244" t="e">
        <f>IF(AE85&lt;Paramétrage!$D$29, AE85, Paramétrage!$D$29)</f>
        <v>#DIV/0!</v>
      </c>
      <c r="AI85" s="253" t="e">
        <f>Paramétrage!$H$19+AG85*(365/12)</f>
        <v>#DIV/0!</v>
      </c>
      <c r="AJ85" s="254" t="e">
        <f>IF(AE85&lt;Paramétrage!$D$29, Paramétrage!$H$19+AH85*(365/12), Paramétrage!$H$19+AE85*(365/12))</f>
        <v>#DIV/0!</v>
      </c>
      <c r="AL85" s="234" t="str">
        <f>IF(ISERROR(AE85),"", IF(AE85=0, "", IF(AE85&gt;'Calculs Péremption FA'!$CB24, 'Calculs Péremption FA'!$CB24, AE85)))</f>
        <v/>
      </c>
      <c r="AM85" s="584" t="str">
        <f t="shared" si="17"/>
        <v/>
      </c>
      <c r="AN85" s="239" t="str">
        <f>IF(ISERROR(AE85),"", IF(AE85=0, "", IF(AE85&gt;'Calculs Péremption FA'!$CB24, 'Calculs Péremption FA'!$CB24-Paramétrage!$D$29, AG85)))</f>
        <v/>
      </c>
      <c r="AO85" s="428" t="str">
        <f>IF(ISERROR(AE85),"", IF(AE85=0, "", IF(AE85&gt;'Calculs Péremption FA'!$CB24, Paramétrage!$D$29, AH85)))</f>
        <v/>
      </c>
      <c r="AP85" s="253" t="str">
        <f>IF(ISERROR(AE85),"", IF(AE85=0, "", IF(AE85&gt;'Calculs Péremption FA'!$CB24, 'Calculs Péremption FA'!$BX24-Paramétrage!$D$29*(365/12), AI85)))</f>
        <v/>
      </c>
      <c r="AQ85" s="254" t="str">
        <f>IF(ISERROR(AE85),"", IF(AE85=0, "", IF(AE85&gt;'Calculs Péremption FA'!$CB24, CONCATENATE('TRAD-Calculs dispo Données FA'!$B$88, " - ", 'Saisie données stocks'!$AF96, "/", 'Saisie données stocks'!$AG96, "/", 'Saisie données stocks'!$AH96), AJ85)))</f>
        <v/>
      </c>
      <c r="AS85" s="2061">
        <f>Calculs!$N279</f>
        <v>2210</v>
      </c>
      <c r="AT85" s="2062">
        <f>Calculs!$O170</f>
        <v>0</v>
      </c>
      <c r="AU85" s="2068">
        <f>Calculs!$N224</f>
        <v>0</v>
      </c>
      <c r="AV85" s="2070" t="str">
        <f>IF(AND(AU85=0, AS85=0, AT85=0), 'TRAD-Calculs dispo Données FA'!$B$82, "")</f>
        <v/>
      </c>
      <c r="AW85" s="2062" t="str">
        <f>IF(AND(AU85=0, AS85&gt;0, AT85=0), CONCATENATE(AS85,'TRAD-Calculs dispo Données FA'!$B$80," =0"), "")</f>
        <v>2210B &amp; conso =0</v>
      </c>
      <c r="AX85" s="2063" t="str">
        <f>IF(AND(AS85=0, OR(AT85&gt;=1, AU85&gt;=1)), 'TRAD-Calculs dispo Données FA'!$B$81, "")</f>
        <v/>
      </c>
    </row>
    <row r="86" spans="3:50" s="358" customFormat="1" ht="25.5" x14ac:dyDescent="0.2">
      <c r="C86" s="374"/>
      <c r="D86" s="375"/>
      <c r="E86" s="1722" t="str">
        <f>'Saisie données stocks'!F37</f>
        <v>ETV</v>
      </c>
      <c r="F86" s="1723" t="str">
        <f>'Saisie données stocks'!G37</f>
        <v>Cp</v>
      </c>
      <c r="G86" s="1723" t="str">
        <f>'Saisie données stocks'!H37</f>
        <v>200 mg</v>
      </c>
      <c r="H86" s="533" t="str">
        <f>CONCATENATE(E86, " - ", G86, " - ", 'TRAD-Calculs dispo Données FA'!$B$79,"/", K86)</f>
        <v>ETV - 200 mg - B/60</v>
      </c>
      <c r="I86" s="1724">
        <f>Calculs!K120</f>
        <v>2</v>
      </c>
      <c r="J86" s="1724">
        <f t="shared" si="12"/>
        <v>60</v>
      </c>
      <c r="K86" s="1725">
        <f>Calculs!J120</f>
        <v>60</v>
      </c>
      <c r="L86" s="1726">
        <f t="shared" si="13"/>
        <v>1</v>
      </c>
      <c r="M86" s="1824">
        <f>Calculs!N280</f>
        <v>0</v>
      </c>
      <c r="N86" s="1871">
        <f>Calculs!O171</f>
        <v>0</v>
      </c>
      <c r="O86" s="1871">
        <f>Calculs!N225</f>
        <v>0</v>
      </c>
      <c r="P86"/>
      <c r="Q86" s="1727" t="e">
        <f>IF(Calculs!N225&gt;0, (-(Calculs!N225+2*Calculs!O171)+SQRT((Calculs!N225+2*Calculs!O171)*(Calculs!N225+2*Calculs!O171)+8*Calculs!N225*(M86)))/(2*Calculs!N225), ((M86)/Calculs!O171))</f>
        <v>#DIV/0!</v>
      </c>
      <c r="R86" s="1727" t="e">
        <f t="shared" si="14"/>
        <v>#DIV/0!</v>
      </c>
      <c r="S86" s="1728" t="e">
        <f>Q86-Paramétrage!$D$29</f>
        <v>#DIV/0!</v>
      </c>
      <c r="T86" s="1729" t="e">
        <f>IF(Q86&lt;Paramétrage!$D$29, Q86, Paramétrage!$D$29)</f>
        <v>#DIV/0!</v>
      </c>
      <c r="U86" s="1730" t="e">
        <f>Paramétrage!$H$19+S86*(365/12)</f>
        <v>#DIV/0!</v>
      </c>
      <c r="V86" s="1731" t="e">
        <f>IF(Q86&lt;Paramétrage!$D$29, Paramétrage!$H$19+T86*(365/12), Paramétrage!$H$19+Q86*(365/12))</f>
        <v>#DIV/0!</v>
      </c>
      <c r="X86" s="1727" t="str">
        <f>IF(ISERROR(Q86),"", IF(Q86=0, "", IF(Q86&gt;'Calculs Péremption FA'!$CB25, 'Calculs Péremption FA'!$CB25, Q86)))</f>
        <v/>
      </c>
      <c r="Y86" s="1733" t="str">
        <f t="shared" si="15"/>
        <v/>
      </c>
      <c r="Z86" s="1728" t="str">
        <f>IF(ISERROR(Q86),"", IF(Q86=0, "", IF(Q86&gt;'Calculs Péremption FA'!$CB25, 'Calculs Péremption FA'!$CB25-Paramétrage!$D$29, S86)))</f>
        <v/>
      </c>
      <c r="AA86" s="1732" t="str">
        <f>IF(ISERROR(Q86),"", IF(Q86=0, "", IF(Q86&gt;'Calculs Péremption FA'!$CB25, Paramétrage!$D$29, T86)))</f>
        <v/>
      </c>
      <c r="AB86" s="1730" t="str">
        <f>IF(ISERROR(Q86),"", IF(Q86=0, "", IF(Q86&gt;'Calculs Péremption FA'!$CB25, 'Calculs Péremption FA'!$BX25-Paramétrage!$D$29*(365/12), U86)))</f>
        <v/>
      </c>
      <c r="AC86" s="1731" t="str">
        <f>IF(ISERROR(Q86), AW86, IF(Q86=0, "", IF(Q86&gt;'Calculs Péremption FA'!$CB25, IF(Q86&lt;'Saisie données stocks'!$N$14, CONCATENATE('TRAD-Calculs dispo Données FA'!$B$88, " - ", 'Calculs Péremption FA'!$BY25, "/", 'Calculs Péremption FA'!$BZ25, "/", 'Calculs Péremption FA'!$CA25), 'Calculs Péremption FA'!CC25), V86)))</f>
        <v/>
      </c>
      <c r="AE86" s="1727" t="e">
        <f>(Calculs!N280/Calculs!O171)</f>
        <v>#DIV/0!</v>
      </c>
      <c r="AF86" s="1727" t="e">
        <f t="shared" si="16"/>
        <v>#DIV/0!</v>
      </c>
      <c r="AG86" s="1721" t="e">
        <f>AE86-Paramétrage!$D$29</f>
        <v>#DIV/0!</v>
      </c>
      <c r="AH86" s="1729" t="e">
        <f>IF(AE86&lt;Paramétrage!$D$29, AE86, Paramétrage!$D$29)</f>
        <v>#DIV/0!</v>
      </c>
      <c r="AI86" s="1730" t="e">
        <f>Paramétrage!$H$19+AG86*(365/12)</f>
        <v>#DIV/0!</v>
      </c>
      <c r="AJ86" s="1731" t="e">
        <f>IF(AE86&lt;Paramétrage!$D$29, Paramétrage!$H$19+AH86*(365/12), Paramétrage!$H$19+AE86*(365/12))</f>
        <v>#DIV/0!</v>
      </c>
      <c r="AL86" s="1727" t="str">
        <f>IF(ISERROR(AE86),"", IF(AE86=0, "", IF(AE86&gt;'Calculs Péremption FA'!$CB25, 'Calculs Péremption FA'!$CB25, AE86)))</f>
        <v/>
      </c>
      <c r="AM86" s="1733" t="str">
        <f t="shared" si="17"/>
        <v/>
      </c>
      <c r="AN86" s="1728" t="str">
        <f>IF(ISERROR(AE86),"", IF(AE86=0, "", IF(AE86&gt;'Calculs Péremption FA'!$CB25, 'Calculs Péremption FA'!$CB25-Paramétrage!$D$29, AG86)))</f>
        <v/>
      </c>
      <c r="AO86" s="1732" t="str">
        <f>IF(ISERROR(AE86),"", IF(AE86=0, "", IF(AE86&gt;'Calculs Péremption FA'!$CB25, Paramétrage!$D$29, AH86)))</f>
        <v/>
      </c>
      <c r="AP86" s="1730" t="str">
        <f>IF(ISERROR(AE86),"", IF(AE86=0, "", IF(AE86&gt;'Calculs Péremption FA'!$CB25, 'Calculs Péremption FA'!$BX25-Paramétrage!$D$29*(365/12), AI86)))</f>
        <v/>
      </c>
      <c r="AQ86" s="1731" t="str">
        <f>IF(ISERROR(AE86),"", IF(AE86=0, "", IF(AE86&gt;'Calculs Péremption FA'!$CB25, CONCATENATE('TRAD-Calculs dispo Données FA'!$B$88, " - ", 'Saisie données stocks'!$AF97, "/", 'Saisie données stocks'!$AG97, "/", 'Saisie données stocks'!$AH97), AJ86)))</f>
        <v/>
      </c>
      <c r="AS86" s="2061">
        <f>Calculs!$N280</f>
        <v>0</v>
      </c>
      <c r="AT86" s="2062">
        <f>Calculs!$O171</f>
        <v>0</v>
      </c>
      <c r="AU86" s="2068">
        <f>Calculs!$N225</f>
        <v>0</v>
      </c>
      <c r="AV86" s="2070" t="str">
        <f>IF(AND(AU86=0, AS86=0, AT86=0), 'TRAD-Calculs dispo Données FA'!$B$82, "")</f>
        <v>Stock et besoin nul</v>
      </c>
      <c r="AW86" s="2062" t="str">
        <f>IF(AND(AU86=0, AS86&gt;0, AT86=0), CONCATENATE(AS86,'TRAD-Calculs dispo Données FA'!$B$80," =0"), "")</f>
        <v/>
      </c>
      <c r="AX86" s="2063" t="str">
        <f>IF(AND(AS86=0, OR(AT86&gt;=1, AU86&gt;=1)), 'TRAD-Calculs dispo Données FA'!$B$81, "")</f>
        <v/>
      </c>
    </row>
    <row r="87" spans="3:50" s="358" customFormat="1" ht="25.5" x14ac:dyDescent="0.2">
      <c r="C87" s="374"/>
      <c r="D87" s="375"/>
      <c r="E87" s="382" t="str">
        <f>'Saisie données stocks'!F38</f>
        <v>NVP</v>
      </c>
      <c r="F87" s="383" t="str">
        <f>'Saisie données stocks'!G38</f>
        <v>Cp</v>
      </c>
      <c r="G87" s="383" t="str">
        <f>'Saisie données stocks'!H38</f>
        <v>200 mg</v>
      </c>
      <c r="H87" s="385" t="str">
        <f>CONCATENATE(E87, " - ", G87, " - ", 'TRAD-Calculs dispo Données FA'!$B$79,"/", K87)</f>
        <v>NVP - 200 mg - B/60</v>
      </c>
      <c r="I87" s="386">
        <f>Calculs!K121</f>
        <v>2</v>
      </c>
      <c r="J87" s="386">
        <f t="shared" si="12"/>
        <v>60</v>
      </c>
      <c r="K87" s="115">
        <f>Calculs!J121</f>
        <v>60</v>
      </c>
      <c r="L87" s="387">
        <f t="shared" si="13"/>
        <v>1</v>
      </c>
      <c r="M87" s="1821">
        <f>Calculs!N281</f>
        <v>0</v>
      </c>
      <c r="N87" s="1870">
        <f>Calculs!O172</f>
        <v>0</v>
      </c>
      <c r="O87" s="1870">
        <f>Calculs!N226</f>
        <v>0</v>
      </c>
      <c r="P87"/>
      <c r="Q87" s="232" t="e">
        <f>IF(Calculs!N226&gt;0, (-(Calculs!N226+2*Calculs!O172)+SQRT((Calculs!N226+2*Calculs!O172)*(Calculs!N226+2*Calculs!O172)+8*Calculs!N226*(M87)))/(2*Calculs!N226), ((M87)/Calculs!O172))</f>
        <v>#DIV/0!</v>
      </c>
      <c r="R87" s="232" t="e">
        <f t="shared" si="14"/>
        <v>#DIV/0!</v>
      </c>
      <c r="S87" s="237" t="e">
        <f>Q87-Paramétrage!$D$29</f>
        <v>#DIV/0!</v>
      </c>
      <c r="T87" s="242" t="e">
        <f>IF(Q87&lt;Paramétrage!$D$29, Q87, Paramétrage!$D$29)</f>
        <v>#DIV/0!</v>
      </c>
      <c r="U87" s="249" t="e">
        <f>Paramétrage!$H$19+S87*(365/12)</f>
        <v>#DIV/0!</v>
      </c>
      <c r="V87" s="250" t="e">
        <f>IF(Q87&lt;Paramétrage!$D$29, Paramétrage!$H$19+T87*(365/12), Paramétrage!$H$19+Q87*(365/12))</f>
        <v>#DIV/0!</v>
      </c>
      <c r="X87" s="232" t="str">
        <f>IF(ISERROR(Q87),"", IF(Q87=0, "", IF(Q87&gt;'Calculs Péremption FA'!$CB26, 'Calculs Péremption FA'!$CB26, Q87)))</f>
        <v/>
      </c>
      <c r="Y87" s="583" t="str">
        <f t="shared" si="15"/>
        <v/>
      </c>
      <c r="Z87" s="237" t="str">
        <f>IF(ISERROR(Q87),"", IF(Q87=0, "", IF(Q87&gt;'Calculs Péremption FA'!$CB26, 'Calculs Péremption FA'!$CB26-Paramétrage!$D$29, S87)))</f>
        <v/>
      </c>
      <c r="AA87" s="426" t="str">
        <f>IF(ISERROR(Q87),"", IF(Q87=0, "", IF(Q87&gt;'Calculs Péremption FA'!$CB26, Paramétrage!$D$29, T87)))</f>
        <v/>
      </c>
      <c r="AB87" s="249" t="str">
        <f>IF(ISERROR(Q87),"", IF(Q87=0, "", IF(Q87&gt;'Calculs Péremption FA'!$CB26, 'Calculs Péremption FA'!$BX26-Paramétrage!$D$29*(365/12), U87)))</f>
        <v/>
      </c>
      <c r="AC87" s="250" t="str">
        <f>IF(ISERROR(Q87), AW87, IF(Q87=0, "", IF(Q87&gt;'Calculs Péremption FA'!$CB26, IF(Q87&lt;'Saisie données stocks'!$N$14, CONCATENATE('TRAD-Calculs dispo Données FA'!$B$88, " - ", 'Calculs Péremption FA'!$BY26, "/", 'Calculs Péremption FA'!$BZ26, "/", 'Calculs Péremption FA'!$CA26), 'Calculs Péremption FA'!CC26), V87)))</f>
        <v/>
      </c>
      <c r="AE87" s="232" t="e">
        <f>(Calculs!N281/Calculs!O172)</f>
        <v>#DIV/0!</v>
      </c>
      <c r="AF87" s="232" t="e">
        <f t="shared" si="16"/>
        <v>#DIV/0!</v>
      </c>
      <c r="AG87" s="237" t="e">
        <f>AE87-Paramétrage!$D$29</f>
        <v>#DIV/0!</v>
      </c>
      <c r="AH87" s="242" t="e">
        <f>IF(AE87&lt;Paramétrage!$D$29, AE87, Paramétrage!$D$29)</f>
        <v>#DIV/0!</v>
      </c>
      <c r="AI87" s="249" t="e">
        <f>Paramétrage!$H$19+AG87*(365/12)</f>
        <v>#DIV/0!</v>
      </c>
      <c r="AJ87" s="250" t="e">
        <f>IF(AE87&lt;Paramétrage!$D$29, Paramétrage!$H$19+AH87*(365/12), Paramétrage!$H$19+AE87*(365/12))</f>
        <v>#DIV/0!</v>
      </c>
      <c r="AL87" s="232" t="str">
        <f>IF(ISERROR(AE87),"", IF(AE87=0, "", IF(AE87&gt;'Calculs Péremption FA'!$CB26, 'Calculs Péremption FA'!$CB26, AE87)))</f>
        <v/>
      </c>
      <c r="AM87" s="583" t="str">
        <f t="shared" si="17"/>
        <v/>
      </c>
      <c r="AN87" s="237" t="str">
        <f>IF(ISERROR(AE87),"", IF(AE87=0, "", IF(AE87&gt;'Calculs Péremption FA'!$CB26, 'Calculs Péremption FA'!$CB26-Paramétrage!$D$29, AG87)))</f>
        <v/>
      </c>
      <c r="AO87" s="426" t="str">
        <f>IF(ISERROR(AE87),"", IF(AE87=0, "", IF(AE87&gt;'Calculs Péremption FA'!$CB26, Paramétrage!$D$29, AH87)))</f>
        <v/>
      </c>
      <c r="AP87" s="249" t="str">
        <f>IF(ISERROR(AE87),"", IF(AE87=0, "", IF(AE87&gt;'Calculs Péremption FA'!$CB26, 'Calculs Péremption FA'!$BX26-Paramétrage!$D$29*(365/12), AI87)))</f>
        <v/>
      </c>
      <c r="AQ87" s="250" t="str">
        <f>IF(ISERROR(AE87),"", IF(AE87=0, "", IF(AE87&gt;'Calculs Péremption FA'!$CB26, CONCATENATE('TRAD-Calculs dispo Données FA'!$B$88, " - ", 'Saisie données stocks'!$AF98, "/", 'Saisie données stocks'!$AG98, "/", 'Saisie données stocks'!$AH98), AJ87)))</f>
        <v/>
      </c>
      <c r="AS87" s="2061">
        <f>Calculs!$N281</f>
        <v>0</v>
      </c>
      <c r="AT87" s="2062">
        <f>Calculs!$O172</f>
        <v>0</v>
      </c>
      <c r="AU87" s="2068">
        <f>Calculs!$N226</f>
        <v>0</v>
      </c>
      <c r="AV87" s="2070" t="str">
        <f>IF(AND(AU87=0, AS87=0, AT87=0), 'TRAD-Calculs dispo Données FA'!$B$82, "")</f>
        <v>Stock et besoin nul</v>
      </c>
      <c r="AW87" s="2062" t="str">
        <f>IF(AND(AU87=0, AS87&gt;0, AT87=0), CONCATENATE(AS87,'TRAD-Calculs dispo Données FA'!$B$80," =0"), "")</f>
        <v/>
      </c>
      <c r="AX87" s="2063" t="str">
        <f>IF(AND(AS87=0, OR(AT87&gt;=1, AU87&gt;=1)), 'TRAD-Calculs dispo Données FA'!$B$81, "")</f>
        <v/>
      </c>
    </row>
    <row r="88" spans="3:50" s="358" customFormat="1" ht="25.5" x14ac:dyDescent="0.2">
      <c r="C88" s="388"/>
      <c r="D88" s="389"/>
      <c r="E88" s="390" t="str">
        <f>'Saisie données stocks'!F39</f>
        <v>RPV</v>
      </c>
      <c r="F88" s="391" t="str">
        <f>'Saisie données stocks'!G39</f>
        <v>Cp</v>
      </c>
      <c r="G88" s="391" t="str">
        <f>'Saisie données stocks'!H39</f>
        <v>25 mg</v>
      </c>
      <c r="H88" s="393" t="str">
        <f>CONCATENATE(E88, " - ", G88, " - ", 'TRAD-Calculs dispo Données FA'!$B$79,"/", K88)</f>
        <v>RPV - 25 mg - B/30</v>
      </c>
      <c r="I88" s="394">
        <f>Calculs!K122</f>
        <v>1</v>
      </c>
      <c r="J88" s="394">
        <f t="shared" si="12"/>
        <v>30</v>
      </c>
      <c r="K88" s="116">
        <f>Calculs!J122</f>
        <v>30</v>
      </c>
      <c r="L88" s="395">
        <f t="shared" si="13"/>
        <v>1</v>
      </c>
      <c r="M88" s="1822">
        <f>Calculs!N282</f>
        <v>0</v>
      </c>
      <c r="N88" s="1822">
        <f>Calculs!O173</f>
        <v>0</v>
      </c>
      <c r="O88" s="1822">
        <f>Calculs!N227</f>
        <v>0</v>
      </c>
      <c r="P88"/>
      <c r="Q88" s="233" t="e">
        <f>IF(Calculs!N227&gt;0, (-(Calculs!N227+2*Calculs!O173)+SQRT((Calculs!N227+2*Calculs!O173)*(Calculs!N227+2*Calculs!O173)+8*Calculs!N227*(M88)))/(2*Calculs!N227), ((M88)/Calculs!O173))</f>
        <v>#DIV/0!</v>
      </c>
      <c r="R88" s="233" t="e">
        <f t="shared" si="14"/>
        <v>#DIV/0!</v>
      </c>
      <c r="S88" s="239" t="e">
        <f>Q88-Paramétrage!$D$29</f>
        <v>#DIV/0!</v>
      </c>
      <c r="T88" s="243" t="e">
        <f>IF(Q88&lt;Paramétrage!$D$29, Q88, Paramétrage!$D$29)</f>
        <v>#DIV/0!</v>
      </c>
      <c r="U88" s="251" t="e">
        <f>Paramétrage!$H$19+S88*(365/12)</f>
        <v>#DIV/0!</v>
      </c>
      <c r="V88" s="252" t="e">
        <f>IF(Q88&lt;Paramétrage!$D$29, Paramétrage!$H$19+T88*(365/12), Paramétrage!$H$19+Q88*(365/12))</f>
        <v>#DIV/0!</v>
      </c>
      <c r="X88" s="233" t="str">
        <f>IF(ISERROR(Q88),"", IF(Q88=0, "", IF(Q88&gt;'Calculs Péremption FA'!$CB27, 'Calculs Péremption FA'!$CB27, Q88)))</f>
        <v/>
      </c>
      <c r="Y88" s="575" t="str">
        <f t="shared" si="15"/>
        <v/>
      </c>
      <c r="Z88" s="238" t="str">
        <f>IF(ISERROR(Q88),"", IF(Q88=0, "", IF(Q88&gt;'Calculs Péremption FA'!$CB27, 'Calculs Péremption FA'!$CB27-Paramétrage!$D$29, S88)))</f>
        <v/>
      </c>
      <c r="AA88" s="427" t="str">
        <f>IF(ISERROR(Q88),"", IF(Q88=0, "", IF(Q88&gt;'Calculs Péremption FA'!$CB27, Paramétrage!$D$29, T88)))</f>
        <v/>
      </c>
      <c r="AB88" s="251" t="str">
        <f>IF(ISERROR(Q88),"", IF(Q88=0, "", IF(Q88&gt;'Calculs Péremption FA'!$CB27, 'Calculs Péremption FA'!$BX27-Paramétrage!$D$29*(365/12), U88)))</f>
        <v/>
      </c>
      <c r="AC88" s="252" t="str">
        <f>IF(ISERROR(Q88), AW88, IF(Q88=0, "", IF(Q88&gt;'Calculs Péremption FA'!$CB27, IF(Q88&lt;'Saisie données stocks'!$N$14, CONCATENATE('TRAD-Calculs dispo Données FA'!$B$88, " - ", 'Calculs Péremption FA'!$BY27, "/", 'Calculs Péremption FA'!$BZ27, "/", 'Calculs Péremption FA'!$CA27), 'Calculs Péremption FA'!CC27), V88)))</f>
        <v/>
      </c>
      <c r="AE88" s="233" t="e">
        <f>(Calculs!N282/Calculs!O173)</f>
        <v>#DIV/0!</v>
      </c>
      <c r="AF88" s="233" t="e">
        <f t="shared" si="16"/>
        <v>#DIV/0!</v>
      </c>
      <c r="AG88" s="237" t="e">
        <f>AE88-Paramétrage!$D$29</f>
        <v>#DIV/0!</v>
      </c>
      <c r="AH88" s="243" t="e">
        <f>IF(AE88&lt;Paramétrage!$D$29, AE88, Paramétrage!$D$29)</f>
        <v>#DIV/0!</v>
      </c>
      <c r="AI88" s="251" t="e">
        <f>Paramétrage!$H$19+AG88*(365/12)</f>
        <v>#DIV/0!</v>
      </c>
      <c r="AJ88" s="252" t="e">
        <f>IF(AE88&lt;Paramétrage!$D$29, Paramétrage!$H$19+AH88*(365/12), Paramétrage!$H$19+AE88*(365/12))</f>
        <v>#DIV/0!</v>
      </c>
      <c r="AL88" s="233" t="str">
        <f>IF(ISERROR(AE88),"", IF(AE88=0, "", IF(AE88&gt;'Calculs Péremption FA'!$CB27, 'Calculs Péremption FA'!$CB27, AE88)))</f>
        <v/>
      </c>
      <c r="AM88" s="575" t="str">
        <f t="shared" si="17"/>
        <v/>
      </c>
      <c r="AN88" s="238" t="str">
        <f>IF(ISERROR(AE88),"", IF(AE88=0, "", IF(AE88&gt;'Calculs Péremption FA'!$CB27, 'Calculs Péremption FA'!$CB27-Paramétrage!$D$29, AG88)))</f>
        <v/>
      </c>
      <c r="AO88" s="427" t="str">
        <f>IF(ISERROR(AE88),"", IF(AE88=0, "", IF(AE88&gt;'Calculs Péremption FA'!$CB27, Paramétrage!$D$29, AH88)))</f>
        <v/>
      </c>
      <c r="AP88" s="251" t="str">
        <f>IF(ISERROR(AE88),"", IF(AE88=0, "", IF(AE88&gt;'Calculs Péremption FA'!$CB27, 'Calculs Péremption FA'!$BX27-Paramétrage!$D$29*(365/12), AI88)))</f>
        <v/>
      </c>
      <c r="AQ88" s="252" t="str">
        <f>IF(ISERROR(AE88),"", IF(AE88=0, "", IF(AE88&gt;'Calculs Péremption FA'!$CB27, CONCATENATE('TRAD-Calculs dispo Données FA'!$B$88, " - ", 'Saisie données stocks'!$AF99, "/", 'Saisie données stocks'!$AG99, "/", 'Saisie données stocks'!$AH99), AJ88)))</f>
        <v/>
      </c>
      <c r="AS88" s="2061">
        <f>Calculs!$N282</f>
        <v>0</v>
      </c>
      <c r="AT88" s="2062">
        <f>Calculs!$O173</f>
        <v>0</v>
      </c>
      <c r="AU88" s="2068">
        <f>Calculs!$N227</f>
        <v>0</v>
      </c>
      <c r="AV88" s="2070" t="str">
        <f>IF(AND(AU88=0, AS88=0, AT88=0), 'TRAD-Calculs dispo Données FA'!$B$82, "")</f>
        <v>Stock et besoin nul</v>
      </c>
      <c r="AW88" s="2062" t="str">
        <f>IF(AND(AU88=0, AS88&gt;0, AT88=0), CONCATENATE(AS88,'TRAD-Calculs dispo Données FA'!$B$80," =0"), "")</f>
        <v/>
      </c>
      <c r="AX88" s="2063" t="str">
        <f>IF(AND(AS88=0, OR(AT88&gt;=1, AU88&gt;=1)), 'TRAD-Calculs dispo Données FA'!$B$81, "")</f>
        <v/>
      </c>
    </row>
    <row r="89" spans="3:50" s="358" customFormat="1" ht="25.5" x14ac:dyDescent="0.2">
      <c r="C89" s="374"/>
      <c r="D89" s="375" t="s">
        <v>31</v>
      </c>
      <c r="E89" s="376" t="str">
        <f>'Saisie données stocks'!F40</f>
        <v>ABC</v>
      </c>
      <c r="F89" s="377" t="str">
        <f>'Saisie données stocks'!G40</f>
        <v>Cp</v>
      </c>
      <c r="G89" s="377" t="str">
        <f>'Saisie données stocks'!H40</f>
        <v>300 mg</v>
      </c>
      <c r="H89" s="378" t="str">
        <f>CONCATENATE(E89, " - ", G89, " - ", 'TRAD-Calculs dispo Données FA'!$B$79,"/", K89)</f>
        <v>ABC - 300 mg - B/60</v>
      </c>
      <c r="I89" s="380">
        <f>Calculs!K123</f>
        <v>2</v>
      </c>
      <c r="J89" s="380">
        <f t="shared" si="12"/>
        <v>60</v>
      </c>
      <c r="K89" s="114">
        <f>Calculs!J123</f>
        <v>60</v>
      </c>
      <c r="L89" s="381">
        <f t="shared" si="13"/>
        <v>1</v>
      </c>
      <c r="M89" s="1820">
        <f>Calculs!N283</f>
        <v>0</v>
      </c>
      <c r="N89" s="1820">
        <f>Calculs!O174</f>
        <v>0</v>
      </c>
      <c r="O89" s="1820">
        <f>Calculs!N228</f>
        <v>0</v>
      </c>
      <c r="P89"/>
      <c r="Q89" s="231" t="e">
        <f>IF(Calculs!N228&gt;0, (-(Calculs!N228+2*Calculs!O174)+SQRT((Calculs!N228+2*Calculs!O174)*(Calculs!N228+2*Calculs!O174)+8*Calculs!N228*(M89)))/(2*Calculs!N228), ((M89)/Calculs!O174))</f>
        <v>#DIV/0!</v>
      </c>
      <c r="R89" s="231" t="e">
        <f t="shared" si="14"/>
        <v>#DIV/0!</v>
      </c>
      <c r="S89" s="574" t="e">
        <f>Q89-Paramétrage!$D$29</f>
        <v>#DIV/0!</v>
      </c>
      <c r="T89" s="241" t="e">
        <f>IF(Q89&lt;Paramétrage!$D$29, Q89, Paramétrage!$D$29)</f>
        <v>#DIV/0!</v>
      </c>
      <c r="U89" s="247" t="e">
        <f>Paramétrage!$H$19+S89*(365/12)</f>
        <v>#DIV/0!</v>
      </c>
      <c r="V89" s="248" t="e">
        <f>IF(Q89&lt;Paramétrage!$D$29, Paramétrage!$H$19+T89*(365/12), Paramétrage!$H$19+Q89*(365/12))</f>
        <v>#DIV/0!</v>
      </c>
      <c r="X89" s="231" t="str">
        <f>IF(ISERROR(Q89),"", IF(Q89=0, "", IF(Q89&gt;'Calculs Péremption FA'!$CB28, 'Calculs Péremption FA'!$CB28, Q89)))</f>
        <v/>
      </c>
      <c r="Y89" s="582" t="str">
        <f t="shared" si="15"/>
        <v/>
      </c>
      <c r="Z89" s="236" t="str">
        <f>IF(ISERROR(Q89),"", IF(Q89=0, "", IF(Q89&gt;'Calculs Péremption FA'!$CB28, 'Calculs Péremption FA'!$CB28-Paramétrage!$D$29, S89)))</f>
        <v/>
      </c>
      <c r="AA89" s="425" t="str">
        <f>IF(ISERROR(Q89),"", IF(Q89=0, "", IF(Q89&gt;'Calculs Péremption FA'!$CB28, Paramétrage!$D$29, T89)))</f>
        <v/>
      </c>
      <c r="AB89" s="247" t="str">
        <f>IF(ISERROR(Q89),"", IF(Q89=0, "", IF(Q89&gt;'Calculs Péremption FA'!$CB28, 'Calculs Péremption FA'!$BX28-Paramétrage!$D$29*(365/12), U89)))</f>
        <v/>
      </c>
      <c r="AC89" s="248" t="str">
        <f>IF(ISERROR(Q89), AW89, IF(Q89=0, "", IF(Q89&gt;'Calculs Péremption FA'!$CB28, IF(Q89&lt;'Saisie données stocks'!$N$14, CONCATENATE('TRAD-Calculs dispo Données FA'!$B$88, " - ", 'Calculs Péremption FA'!$BY28, "/", 'Calculs Péremption FA'!$BZ28, "/", 'Calculs Péremption FA'!$CA28), 'Calculs Péremption FA'!CC28), V89)))</f>
        <v/>
      </c>
      <c r="AE89" s="231" t="e">
        <f>(Calculs!N283/Calculs!O174)</f>
        <v>#DIV/0!</v>
      </c>
      <c r="AF89" s="231" t="e">
        <f t="shared" si="16"/>
        <v>#DIV/0!</v>
      </c>
      <c r="AG89" s="236" t="e">
        <f>AE89-Paramétrage!$D$29</f>
        <v>#DIV/0!</v>
      </c>
      <c r="AH89" s="241" t="e">
        <f>IF(AE89&lt;Paramétrage!$D$29, AE89, Paramétrage!$D$29)</f>
        <v>#DIV/0!</v>
      </c>
      <c r="AI89" s="247" t="e">
        <f>Paramétrage!$H$19+AG89*(365/12)</f>
        <v>#DIV/0!</v>
      </c>
      <c r="AJ89" s="248" t="e">
        <f>IF(AE89&lt;Paramétrage!$D$29, Paramétrage!$H$19+AH89*(365/12), Paramétrage!$H$19+AE89*(365/12))</f>
        <v>#DIV/0!</v>
      </c>
      <c r="AL89" s="231" t="str">
        <f>IF(ISERROR(AE89),"", IF(AE89=0, "", IF(AE89&gt;'Calculs Péremption FA'!$CB28, 'Calculs Péremption FA'!$CB28, AE89)))</f>
        <v/>
      </c>
      <c r="AM89" s="582" t="str">
        <f t="shared" si="17"/>
        <v/>
      </c>
      <c r="AN89" s="236" t="str">
        <f>IF(ISERROR(AE89),"", IF(AE89=0, "", IF(AE89&gt;'Calculs Péremption FA'!$CB28, 'Calculs Péremption FA'!$CB28-Paramétrage!$D$29, AG89)))</f>
        <v/>
      </c>
      <c r="AO89" s="425" t="str">
        <f>IF(ISERROR(AE89),"", IF(AE89=0, "", IF(AE89&gt;'Calculs Péremption FA'!$CB28, Paramétrage!$D$29, AH89)))</f>
        <v/>
      </c>
      <c r="AP89" s="247" t="str">
        <f>IF(ISERROR(AE89),"", IF(AE89=0, "", IF(AE89&gt;'Calculs Péremption FA'!$CB28, 'Calculs Péremption FA'!$BX28-Paramétrage!$D$29*(365/12), AI89)))</f>
        <v/>
      </c>
      <c r="AQ89" s="248" t="str">
        <f>IF(ISERROR(AE89),"", IF(AE89=0, "", IF(AE89&gt;'Calculs Péremption FA'!$CB28, CONCATENATE('TRAD-Calculs dispo Données FA'!$B$88, " - ", 'Saisie données stocks'!$AF100, "/", 'Saisie données stocks'!$AG100, "/", 'Saisie données stocks'!$AH100), AJ89)))</f>
        <v/>
      </c>
      <c r="AS89" s="2061">
        <f>Calculs!$N283</f>
        <v>0</v>
      </c>
      <c r="AT89" s="2062">
        <f>Calculs!$O174</f>
        <v>0</v>
      </c>
      <c r="AU89" s="2068">
        <f>Calculs!$N228</f>
        <v>0</v>
      </c>
      <c r="AV89" s="2070" t="str">
        <f>IF(AND(AU89=0, AS89=0, AT89=0), 'TRAD-Calculs dispo Données FA'!$B$82, "")</f>
        <v>Stock et besoin nul</v>
      </c>
      <c r="AW89" s="2062" t="str">
        <f>IF(AND(AU89=0, AS89&gt;0, AT89=0), CONCATENATE(AS89,'TRAD-Calculs dispo Données FA'!$B$80," =0"), "")</f>
        <v/>
      </c>
      <c r="AX89" s="2063" t="str">
        <f>IF(AND(AS89=0, OR(AT89&gt;=1, AU89&gt;=1)), 'TRAD-Calculs dispo Données FA'!$B$81, "")</f>
        <v/>
      </c>
    </row>
    <row r="90" spans="3:50" s="358" customFormat="1" ht="25.5" x14ac:dyDescent="0.2">
      <c r="C90" s="374"/>
      <c r="D90" s="375"/>
      <c r="E90" s="376" t="str">
        <f>'Saisie données stocks'!F41</f>
        <v>ABC</v>
      </c>
      <c r="F90" s="377" t="str">
        <f>'Saisie données stocks'!G41</f>
        <v>Cp</v>
      </c>
      <c r="G90" s="377" t="str">
        <f>'Saisie données stocks'!H41</f>
        <v>60 mg</v>
      </c>
      <c r="H90" s="378" t="str">
        <f>CONCATENATE(E90, " - ", G90, " - ", 'TRAD-Calculs dispo Données FA'!$B$79,"/", K90)</f>
        <v>ABC - 60 mg - B/60</v>
      </c>
      <c r="I90" s="380">
        <f>Calculs!K124</f>
        <v>2</v>
      </c>
      <c r="J90" s="380">
        <f t="shared" si="12"/>
        <v>60</v>
      </c>
      <c r="K90" s="114">
        <f>Calculs!J124</f>
        <v>60</v>
      </c>
      <c r="L90" s="381">
        <f t="shared" si="13"/>
        <v>1</v>
      </c>
      <c r="M90" s="1820">
        <f>Calculs!N284</f>
        <v>0</v>
      </c>
      <c r="N90" s="1820">
        <f>Calculs!O175</f>
        <v>0</v>
      </c>
      <c r="O90" s="1820">
        <f>Calculs!N229</f>
        <v>0</v>
      </c>
      <c r="P90"/>
      <c r="Q90" s="231" t="e">
        <f>IF(Calculs!N229&gt;0, (-(Calculs!N229+2*Calculs!O175)+SQRT((Calculs!N229+2*Calculs!O175)*(Calculs!N229+2*Calculs!O175)+8*Calculs!N229*(M90)))/(2*Calculs!N229), ((M90)/Calculs!O175))</f>
        <v>#DIV/0!</v>
      </c>
      <c r="R90" s="231" t="e">
        <f t="shared" si="14"/>
        <v>#DIV/0!</v>
      </c>
      <c r="S90" s="236" t="e">
        <f>Q90-Paramétrage!$D$29</f>
        <v>#DIV/0!</v>
      </c>
      <c r="T90" s="241" t="e">
        <f>IF(Q90&lt;Paramétrage!$D$29, Q90, Paramétrage!$D$29)</f>
        <v>#DIV/0!</v>
      </c>
      <c r="U90" s="247" t="e">
        <f>Paramétrage!$H$19+S90*(365/12)</f>
        <v>#DIV/0!</v>
      </c>
      <c r="V90" s="248" t="e">
        <f>IF(Q90&lt;Paramétrage!$D$29, Paramétrage!$H$19+T90*(365/12), Paramétrage!$H$19+Q90*(365/12))</f>
        <v>#DIV/0!</v>
      </c>
      <c r="X90" s="231" t="str">
        <f>IF(ISERROR(Q90),"", IF(Q90=0, "", IF(Q90&gt;'Calculs Péremption FA'!$CB29, 'Calculs Péremption FA'!$CB29, Q90)))</f>
        <v/>
      </c>
      <c r="Y90" s="582" t="str">
        <f t="shared" si="15"/>
        <v/>
      </c>
      <c r="Z90" s="236" t="str">
        <f>IF(ISERROR(Q90),"", IF(Q90=0, "", IF(Q90&gt;'Calculs Péremption FA'!$CB29, 'Calculs Péremption FA'!$CB29-Paramétrage!$D$29, S90)))</f>
        <v/>
      </c>
      <c r="AA90" s="425" t="str">
        <f>IF(ISERROR(Q90),"", IF(Q90=0, "", IF(Q90&gt;'Calculs Péremption FA'!$CB29, Paramétrage!$D$29, T90)))</f>
        <v/>
      </c>
      <c r="AB90" s="247" t="str">
        <f>IF(ISERROR(Q90),"", IF(Q90=0, "", IF(Q90&gt;'Calculs Péremption FA'!$CB29, 'Calculs Péremption FA'!$BX29-Paramétrage!$D$29*(365/12), U90)))</f>
        <v/>
      </c>
      <c r="AC90" s="248" t="str">
        <f>IF(ISERROR(Q90), AW90, IF(Q90=0, "", IF(Q90&gt;'Calculs Péremption FA'!$CB29, IF(Q90&lt;'Saisie données stocks'!$N$14, CONCATENATE('TRAD-Calculs dispo Données FA'!$B$88, " - ", 'Calculs Péremption FA'!$BY29, "/", 'Calculs Péremption FA'!$BZ29, "/", 'Calculs Péremption FA'!$CA29), 'Calculs Péremption FA'!CC29), V90)))</f>
        <v/>
      </c>
      <c r="AE90" s="231" t="e">
        <f>(Calculs!N284/Calculs!O175)</f>
        <v>#DIV/0!</v>
      </c>
      <c r="AF90" s="231" t="e">
        <f t="shared" si="16"/>
        <v>#DIV/0!</v>
      </c>
      <c r="AG90" s="236" t="e">
        <f>AE90-Paramétrage!$D$29</f>
        <v>#DIV/0!</v>
      </c>
      <c r="AH90" s="241" t="e">
        <f>IF(AE90&lt;Paramétrage!$D$29, AE90, Paramétrage!$D$29)</f>
        <v>#DIV/0!</v>
      </c>
      <c r="AI90" s="247" t="e">
        <f>Paramétrage!$H$19+AG90*(365/12)</f>
        <v>#DIV/0!</v>
      </c>
      <c r="AJ90" s="248" t="e">
        <f>IF(AE90&lt;Paramétrage!$D$29, Paramétrage!$H$19+AH90*(365/12), Paramétrage!$H$19+AE90*(365/12))</f>
        <v>#DIV/0!</v>
      </c>
      <c r="AL90" s="231" t="str">
        <f>IF(ISERROR(AE90),"", IF(AE90=0, "", IF(AE90&gt;'Calculs Péremption FA'!$CB29, 'Calculs Péremption FA'!$CB29, AE90)))</f>
        <v/>
      </c>
      <c r="AM90" s="582" t="str">
        <f t="shared" si="17"/>
        <v/>
      </c>
      <c r="AN90" s="236" t="str">
        <f>IF(ISERROR(AE90),"", IF(AE90=0, "", IF(AE90&gt;'Calculs Péremption FA'!$CB29, 'Calculs Péremption FA'!$CB29-Paramétrage!$D$29, AG90)))</f>
        <v/>
      </c>
      <c r="AO90" s="425" t="str">
        <f>IF(ISERROR(AE90),"", IF(AE90=0, "", IF(AE90&gt;'Calculs Péremption FA'!$CB29, Paramétrage!$D$29, AH90)))</f>
        <v/>
      </c>
      <c r="AP90" s="247" t="str">
        <f>IF(ISERROR(AE90),"", IF(AE90=0, "", IF(AE90&gt;'Calculs Péremption FA'!$CB29, 'Calculs Péremption FA'!$BX29-Paramétrage!$D$29*(365/12), AI90)))</f>
        <v/>
      </c>
      <c r="AQ90" s="248" t="str">
        <f>IF(ISERROR(AE90),"", IF(AE90=0, "", IF(AE90&gt;'Calculs Péremption FA'!$CB29, CONCATENATE('TRAD-Calculs dispo Données FA'!$B$88, " - ", 'Saisie données stocks'!$AF101, "/", 'Saisie données stocks'!$AG101, "/", 'Saisie données stocks'!$AH101), AJ90)))</f>
        <v/>
      </c>
      <c r="AS90" s="2061">
        <f>Calculs!$N284</f>
        <v>0</v>
      </c>
      <c r="AT90" s="2062">
        <f>Calculs!$O175</f>
        <v>0</v>
      </c>
      <c r="AU90" s="2068">
        <f>Calculs!$N229</f>
        <v>0</v>
      </c>
      <c r="AV90" s="2070" t="str">
        <f>IF(AND(AU90=0, AS90=0, AT90=0), 'TRAD-Calculs dispo Données FA'!$B$82, "")</f>
        <v>Stock et besoin nul</v>
      </c>
      <c r="AW90" s="2062" t="str">
        <f>IF(AND(AU90=0, AS90&gt;0, AT90=0), CONCATENATE(AS90,'TRAD-Calculs dispo Données FA'!$B$80," =0"), "")</f>
        <v/>
      </c>
      <c r="AX90" s="2063" t="str">
        <f>IF(AND(AS90=0, OR(AT90&gt;=1, AU90&gt;=1)), 'TRAD-Calculs dispo Données FA'!$B$81, "")</f>
        <v/>
      </c>
    </row>
    <row r="91" spans="3:50" s="358" customFormat="1" ht="25.5" x14ac:dyDescent="0.2">
      <c r="C91" s="374"/>
      <c r="D91" s="375"/>
      <c r="E91" s="376" t="str">
        <f>'Saisie données stocks'!F42</f>
        <v>AZT</v>
      </c>
      <c r="F91" s="377" t="str">
        <f>'Saisie données stocks'!G42</f>
        <v>Cp</v>
      </c>
      <c r="G91" s="383" t="str">
        <f>'Saisie données stocks'!H42</f>
        <v>300 mg</v>
      </c>
      <c r="H91" s="378" t="str">
        <f>CONCATENATE(E91, " - ", G91, " - ", 'TRAD-Calculs dispo Données FA'!$B$79,"/", K91)</f>
        <v>AZT - 300 mg - B/60</v>
      </c>
      <c r="I91" s="380">
        <f>Calculs!K125</f>
        <v>2</v>
      </c>
      <c r="J91" s="380">
        <f t="shared" si="12"/>
        <v>60</v>
      </c>
      <c r="K91" s="114">
        <f>Calculs!J125</f>
        <v>60</v>
      </c>
      <c r="L91" s="381">
        <f t="shared" si="13"/>
        <v>1</v>
      </c>
      <c r="M91" s="1820">
        <f>Calculs!N285</f>
        <v>0</v>
      </c>
      <c r="N91" s="1820">
        <f>Calculs!O176</f>
        <v>0</v>
      </c>
      <c r="O91" s="1820">
        <f>Calculs!N230</f>
        <v>0</v>
      </c>
      <c r="P91"/>
      <c r="Q91" s="231" t="e">
        <f>IF(Calculs!N230&gt;0, (-(Calculs!N230+2*Calculs!O176)+SQRT((Calculs!N230+2*Calculs!O176)*(Calculs!N230+2*Calculs!O176)+8*Calculs!N230*(M91)))/(2*Calculs!N230), ((M91)/Calculs!O176))</f>
        <v>#DIV/0!</v>
      </c>
      <c r="R91" s="231" t="e">
        <f t="shared" si="14"/>
        <v>#DIV/0!</v>
      </c>
      <c r="S91" s="236" t="e">
        <f>Q91-Paramétrage!$D$29</f>
        <v>#DIV/0!</v>
      </c>
      <c r="T91" s="241" t="e">
        <f>IF(Q91&lt;Paramétrage!$D$29, Q91, Paramétrage!$D$29)</f>
        <v>#DIV/0!</v>
      </c>
      <c r="U91" s="247" t="e">
        <f>Paramétrage!$H$19+S91*(365/12)</f>
        <v>#DIV/0!</v>
      </c>
      <c r="V91" s="248" t="e">
        <f>IF(Q91&lt;Paramétrage!$D$29, Paramétrage!$H$19+T91*(365/12), Paramétrage!$H$19+Q91*(365/12))</f>
        <v>#DIV/0!</v>
      </c>
      <c r="X91" s="231" t="str">
        <f>IF(ISERROR(Q91),"", IF(Q91=0, "", IF(Q91&gt;'Calculs Péremption FA'!$CB30, 'Calculs Péremption FA'!$CB30, Q91)))</f>
        <v/>
      </c>
      <c r="Y91" s="582" t="str">
        <f t="shared" si="15"/>
        <v/>
      </c>
      <c r="Z91" s="236" t="str">
        <f>IF(ISERROR(Q91),"", IF(Q91=0, "", IF(Q91&gt;'Calculs Péremption FA'!$CB30, 'Calculs Péremption FA'!$CB30-Paramétrage!$D$29, S91)))</f>
        <v/>
      </c>
      <c r="AA91" s="425" t="str">
        <f>IF(ISERROR(Q91),"", IF(Q91=0, "", IF(Q91&gt;'Calculs Péremption FA'!$CB30, Paramétrage!$D$29, T91)))</f>
        <v/>
      </c>
      <c r="AB91" s="247" t="str">
        <f>IF(ISERROR(Q91),"", IF(Q91=0, "", IF(Q91&gt;'Calculs Péremption FA'!$CB30, 'Calculs Péremption FA'!$BX30-Paramétrage!$D$29*(365/12), U91)))</f>
        <v/>
      </c>
      <c r="AC91" s="248" t="str">
        <f>IF(ISERROR(Q91), AW91, IF(Q91=0, "", IF(Q91&gt;'Calculs Péremption FA'!$CB30, IF(Q91&lt;'Saisie données stocks'!$N$14, CONCATENATE('TRAD-Calculs dispo Données FA'!$B$88, " - ", 'Calculs Péremption FA'!$BY30, "/", 'Calculs Péremption FA'!$BZ30, "/", 'Calculs Péremption FA'!$CA30), 'Calculs Péremption FA'!CC30), V91)))</f>
        <v/>
      </c>
      <c r="AE91" s="231" t="e">
        <f>(Calculs!N285/Calculs!O176)</f>
        <v>#DIV/0!</v>
      </c>
      <c r="AF91" s="231" t="e">
        <f t="shared" si="16"/>
        <v>#DIV/0!</v>
      </c>
      <c r="AG91" s="236" t="e">
        <f>AE91-Paramétrage!$D$29</f>
        <v>#DIV/0!</v>
      </c>
      <c r="AH91" s="241" t="e">
        <f>IF(AE91&lt;Paramétrage!$D$29, AE91, Paramétrage!$D$29)</f>
        <v>#DIV/0!</v>
      </c>
      <c r="AI91" s="247" t="e">
        <f>Paramétrage!$H$19+AG91*(365/12)</f>
        <v>#DIV/0!</v>
      </c>
      <c r="AJ91" s="248" t="e">
        <f>IF(AE91&lt;Paramétrage!$D$29, Paramétrage!$H$19+AH91*(365/12), Paramétrage!$H$19+AE91*(365/12))</f>
        <v>#DIV/0!</v>
      </c>
      <c r="AL91" s="231" t="str">
        <f>IF(ISERROR(AE91),"", IF(AE91=0, "", IF(AE91&gt;'Calculs Péremption FA'!$CB30, 'Calculs Péremption FA'!$CB30, AE91)))</f>
        <v/>
      </c>
      <c r="AM91" s="582" t="str">
        <f t="shared" si="17"/>
        <v/>
      </c>
      <c r="AN91" s="236" t="str">
        <f>IF(ISERROR(AE91),"", IF(AE91=0, "", IF(AE91&gt;'Calculs Péremption FA'!$CB30, 'Calculs Péremption FA'!$CB30-Paramétrage!$D$29, AG91)))</f>
        <v/>
      </c>
      <c r="AO91" s="425" t="str">
        <f>IF(ISERROR(AE91),"", IF(AE91=0, "", IF(AE91&gt;'Calculs Péremption FA'!$CB30, Paramétrage!$D$29, AH91)))</f>
        <v/>
      </c>
      <c r="AP91" s="247" t="str">
        <f>IF(ISERROR(AE91),"", IF(AE91=0, "", IF(AE91&gt;'Calculs Péremption FA'!$CB30, 'Calculs Péremption FA'!$BX30-Paramétrage!$D$29*(365/12), AI91)))</f>
        <v/>
      </c>
      <c r="AQ91" s="248" t="str">
        <f>IF(ISERROR(AE91),"", IF(AE91=0, "", IF(AE91&gt;'Calculs Péremption FA'!$CB30, CONCATENATE('TRAD-Calculs dispo Données FA'!$B$88, " - ", 'Saisie données stocks'!$AF102, "/", 'Saisie données stocks'!$AG102, "/", 'Saisie données stocks'!$AH102), AJ91)))</f>
        <v/>
      </c>
      <c r="AS91" s="2061">
        <f>Calculs!$N285</f>
        <v>0</v>
      </c>
      <c r="AT91" s="2062">
        <f>Calculs!$O176</f>
        <v>0</v>
      </c>
      <c r="AU91" s="2068">
        <f>Calculs!$N230</f>
        <v>0</v>
      </c>
      <c r="AV91" s="2070" t="str">
        <f>IF(AND(AU91=0, AS91=0, AT91=0), 'TRAD-Calculs dispo Données FA'!$B$82, "")</f>
        <v>Stock et besoin nul</v>
      </c>
      <c r="AW91" s="2062" t="str">
        <f>IF(AND(AU91=0, AS91&gt;0, AT91=0), CONCATENATE(AS91,'TRAD-Calculs dispo Données FA'!$B$80," =0"), "")</f>
        <v/>
      </c>
      <c r="AX91" s="2063" t="str">
        <f>IF(AND(AS91=0, OR(AT91&gt;=1, AU91&gt;=1)), 'TRAD-Calculs dispo Données FA'!$B$81, "")</f>
        <v/>
      </c>
    </row>
    <row r="92" spans="3:50" s="358" customFormat="1" ht="25.5" x14ac:dyDescent="0.2">
      <c r="C92" s="374"/>
      <c r="D92" s="375"/>
      <c r="E92" s="376" t="str">
        <f>'Saisie données stocks'!F43</f>
        <v>AZT</v>
      </c>
      <c r="F92" s="377" t="str">
        <f>'Saisie données stocks'!G43</f>
        <v>Cp</v>
      </c>
      <c r="G92" s="1208" t="str">
        <f>'Saisie données stocks'!H43</f>
        <v>100 mg</v>
      </c>
      <c r="H92" s="378" t="str">
        <f>CONCATENATE(E92, " - ", G92, " - ", 'TRAD-Calculs dispo Données FA'!$B$79,"/", K92)</f>
        <v>AZT - 100 mg - B/100</v>
      </c>
      <c r="I92" s="380">
        <f>Calculs!K126</f>
        <v>0</v>
      </c>
      <c r="J92" s="380">
        <f t="shared" si="12"/>
        <v>0</v>
      </c>
      <c r="K92" s="114">
        <f>Calculs!J126</f>
        <v>100</v>
      </c>
      <c r="L92" s="381">
        <f t="shared" si="13"/>
        <v>0</v>
      </c>
      <c r="M92" s="1820">
        <f>Calculs!N286</f>
        <v>0</v>
      </c>
      <c r="N92" s="1820">
        <f>Calculs!O177</f>
        <v>0</v>
      </c>
      <c r="O92" s="1820">
        <f>Calculs!N231</f>
        <v>0</v>
      </c>
      <c r="P92"/>
      <c r="Q92" s="231" t="e">
        <f>IF(Calculs!N231&gt;0, (-(Calculs!N231+2*Calculs!O177)+SQRT((Calculs!N231+2*Calculs!O177)*(Calculs!N231+2*Calculs!O177)+8*Calculs!N231*(M92)))/(2*Calculs!N231), ((M92)/Calculs!O177))</f>
        <v>#DIV/0!</v>
      </c>
      <c r="R92" s="231" t="e">
        <f t="shared" si="14"/>
        <v>#DIV/0!</v>
      </c>
      <c r="S92" s="236" t="e">
        <f>Q92-Paramétrage!$D$29</f>
        <v>#DIV/0!</v>
      </c>
      <c r="T92" s="241" t="e">
        <f>IF(Q92&lt;Paramétrage!$D$29, Q92, Paramétrage!$D$29)</f>
        <v>#DIV/0!</v>
      </c>
      <c r="U92" s="247" t="e">
        <f>Paramétrage!$H$19+S92*(365/12)</f>
        <v>#DIV/0!</v>
      </c>
      <c r="V92" s="248" t="e">
        <f>IF(Q92&lt;Paramétrage!$D$29, Paramétrage!$H$19+T92*(365/12), Paramétrage!$H$19+Q92*(365/12))</f>
        <v>#DIV/0!</v>
      </c>
      <c r="X92" s="231" t="str">
        <f>IF(ISERROR(Q92),"", IF(Q92=0, "", IF(Q92&gt;'Calculs Péremption FA'!$CB31, 'Calculs Péremption FA'!$CB31, Q92)))</f>
        <v/>
      </c>
      <c r="Y92" s="582" t="str">
        <f t="shared" si="15"/>
        <v/>
      </c>
      <c r="Z92" s="236" t="str">
        <f>IF(ISERROR(Q92),"", IF(Q92=0, "", IF(Q92&gt;'Calculs Péremption FA'!$CB31, 'Calculs Péremption FA'!$CB31-Paramétrage!$D$29, S92)))</f>
        <v/>
      </c>
      <c r="AA92" s="425" t="str">
        <f>IF(ISERROR(Q92),"", IF(Q92=0, "", IF(Q92&gt;'Calculs Péremption FA'!$CB31, Paramétrage!$D$29, T92)))</f>
        <v/>
      </c>
      <c r="AB92" s="247" t="str">
        <f>IF(ISERROR(Q92),"", IF(Q92=0, "", IF(Q92&gt;'Calculs Péremption FA'!$CB31, 'Calculs Péremption FA'!$BX31-Paramétrage!$D$29*(365/12), U92)))</f>
        <v/>
      </c>
      <c r="AC92" s="248" t="str">
        <f>IF(ISERROR(Q92), AW92, IF(Q92=0, "", IF(Q92&gt;'Calculs Péremption FA'!$CB31, IF(Q92&lt;'Saisie données stocks'!$N$14, CONCATENATE('TRAD-Calculs dispo Données FA'!$B$88, " - ", 'Calculs Péremption FA'!$BY31, "/", 'Calculs Péremption FA'!$BZ31, "/", 'Calculs Péremption FA'!$CA31), 'Calculs Péremption FA'!CC31), V92)))</f>
        <v/>
      </c>
      <c r="AE92" s="231" t="e">
        <f>(Calculs!N286/Calculs!O177)</f>
        <v>#DIV/0!</v>
      </c>
      <c r="AF92" s="231" t="e">
        <f t="shared" si="16"/>
        <v>#DIV/0!</v>
      </c>
      <c r="AG92" s="236" t="e">
        <f>AE92-Paramétrage!$D$29</f>
        <v>#DIV/0!</v>
      </c>
      <c r="AH92" s="241" t="e">
        <f>IF(AE92&lt;Paramétrage!$D$29, AE92, Paramétrage!$D$29)</f>
        <v>#DIV/0!</v>
      </c>
      <c r="AI92" s="247" t="e">
        <f>Paramétrage!$H$19+AG92*(365/12)</f>
        <v>#DIV/0!</v>
      </c>
      <c r="AJ92" s="248" t="e">
        <f>IF(AE92&lt;Paramétrage!$D$29, Paramétrage!$H$19+AH92*(365/12), Paramétrage!$H$19+AE92*(365/12))</f>
        <v>#DIV/0!</v>
      </c>
      <c r="AL92" s="231" t="str">
        <f>IF(ISERROR(AE92),"", IF(AE92=0, "", IF(AE92&gt;'Calculs Péremption FA'!$CB31, 'Calculs Péremption FA'!$CB31, AE92)))</f>
        <v/>
      </c>
      <c r="AM92" s="582" t="str">
        <f t="shared" si="17"/>
        <v/>
      </c>
      <c r="AN92" s="236" t="str">
        <f>IF(ISERROR(AE92),"", IF(AE92=0, "", IF(AE92&gt;'Calculs Péremption FA'!$CB31, 'Calculs Péremption FA'!$CB31-Paramétrage!$D$29, AG92)))</f>
        <v/>
      </c>
      <c r="AO92" s="425" t="str">
        <f>IF(ISERROR(AE92),"", IF(AE92=0, "", IF(AE92&gt;'Calculs Péremption FA'!$CB31, Paramétrage!$D$29, AH92)))</f>
        <v/>
      </c>
      <c r="AP92" s="247" t="str">
        <f>IF(ISERROR(AE92),"", IF(AE92=0, "", IF(AE92&gt;'Calculs Péremption FA'!$CB31, 'Calculs Péremption FA'!$BX31-Paramétrage!$D$29*(365/12), AI92)))</f>
        <v/>
      </c>
      <c r="AQ92" s="248" t="str">
        <f>IF(ISERROR(AE92),"", IF(AE92=0, "", IF(AE92&gt;'Calculs Péremption FA'!$CB31, CONCATENATE('TRAD-Calculs dispo Données FA'!$B$88, " - ", 'Saisie données stocks'!$AF103, "/", 'Saisie données stocks'!$AG103, "/", 'Saisie données stocks'!$AH103), AJ92)))</f>
        <v/>
      </c>
      <c r="AS92" s="2061">
        <f>Calculs!$N286</f>
        <v>0</v>
      </c>
      <c r="AT92" s="2062">
        <f>Calculs!$O177</f>
        <v>0</v>
      </c>
      <c r="AU92" s="2068">
        <f>Calculs!$N231</f>
        <v>0</v>
      </c>
      <c r="AV92" s="2070" t="str">
        <f>IF(AND(AU92=0, AS92=0, AT92=0), 'TRAD-Calculs dispo Données FA'!$B$82, "")</f>
        <v>Stock et besoin nul</v>
      </c>
      <c r="AW92" s="2062" t="str">
        <f>IF(AND(AU92=0, AS92&gt;0, AT92=0), CONCATENATE(AS92,'TRAD-Calculs dispo Données FA'!$B$80," =0"), "")</f>
        <v/>
      </c>
      <c r="AX92" s="2063" t="str">
        <f>IF(AND(AS92=0, OR(AT92&gt;=1, AU92&gt;=1)), 'TRAD-Calculs dispo Données FA'!$B$81, "")</f>
        <v/>
      </c>
    </row>
    <row r="93" spans="3:50" s="358" customFormat="1" ht="25.5" x14ac:dyDescent="0.2">
      <c r="C93" s="374"/>
      <c r="D93" s="375"/>
      <c r="E93" s="376" t="str">
        <f>'Saisie données stocks'!F44</f>
        <v>AZT</v>
      </c>
      <c r="F93" s="377" t="str">
        <f>'Saisie données stocks'!G44</f>
        <v>Cp</v>
      </c>
      <c r="G93" s="1208" t="str">
        <f>'Saisie données stocks'!H44</f>
        <v>60 mg</v>
      </c>
      <c r="H93" s="378" t="str">
        <f>CONCATENATE(E93, " - ", G93, " - ", 'TRAD-Calculs dispo Données FA'!$B$79,"/", K93)</f>
        <v>AZT - 60 mg - B/60</v>
      </c>
      <c r="I93" s="380">
        <f>Calculs!K127</f>
        <v>2</v>
      </c>
      <c r="J93" s="380">
        <f t="shared" si="12"/>
        <v>60</v>
      </c>
      <c r="K93" s="114">
        <f>Calculs!J127</f>
        <v>60</v>
      </c>
      <c r="L93" s="381">
        <f t="shared" si="13"/>
        <v>1</v>
      </c>
      <c r="M93" s="1820">
        <f>Calculs!N287</f>
        <v>0</v>
      </c>
      <c r="N93" s="1820">
        <f>Calculs!O178</f>
        <v>0</v>
      </c>
      <c r="O93" s="1820">
        <f>Calculs!N232</f>
        <v>0</v>
      </c>
      <c r="P93"/>
      <c r="Q93" s="231" t="e">
        <f>IF(Calculs!N232&gt;0, (-(Calculs!N232+2*Calculs!O178)+SQRT((Calculs!N232+2*Calculs!O178)*(Calculs!N232+2*Calculs!O178)+8*Calculs!N232*(M93)))/(2*Calculs!N232), ((M93)/Calculs!O178))</f>
        <v>#DIV/0!</v>
      </c>
      <c r="R93" s="231" t="e">
        <f t="shared" si="14"/>
        <v>#DIV/0!</v>
      </c>
      <c r="S93" s="236" t="e">
        <f>Q93-Paramétrage!$D$29</f>
        <v>#DIV/0!</v>
      </c>
      <c r="T93" s="241" t="e">
        <f>IF(Q93&lt;Paramétrage!$D$29, Q93, Paramétrage!$D$29)</f>
        <v>#DIV/0!</v>
      </c>
      <c r="U93" s="247" t="e">
        <f>Paramétrage!$H$19+S93*(365/12)</f>
        <v>#DIV/0!</v>
      </c>
      <c r="V93" s="248" t="e">
        <f>IF(Q93&lt;Paramétrage!$D$29, Paramétrage!$H$19+T93*(365/12), Paramétrage!$H$19+Q93*(365/12))</f>
        <v>#DIV/0!</v>
      </c>
      <c r="X93" s="231" t="str">
        <f>IF(ISERROR(Q93),"", IF(Q93=0, "", IF(Q93&gt;'Calculs Péremption FA'!$CB32, 'Calculs Péremption FA'!$CB32, Q93)))</f>
        <v/>
      </c>
      <c r="Y93" s="582" t="str">
        <f t="shared" si="15"/>
        <v/>
      </c>
      <c r="Z93" s="236" t="str">
        <f>IF(ISERROR(Q93),"", IF(Q93=0, "", IF(Q93&gt;'Calculs Péremption FA'!$CB32, 'Calculs Péremption FA'!$CB32-Paramétrage!$D$29, S93)))</f>
        <v/>
      </c>
      <c r="AA93" s="425" t="str">
        <f>IF(ISERROR(Q93),"", IF(Q93=0, "", IF(Q93&gt;'Calculs Péremption FA'!$CB32, Paramétrage!$D$29, T93)))</f>
        <v/>
      </c>
      <c r="AB93" s="247" t="str">
        <f>IF(ISERROR(Q93),"", IF(Q93=0, "", IF(Q93&gt;'Calculs Péremption FA'!$CB32, 'Calculs Péremption FA'!$BX32-Paramétrage!$D$29*(365/12), U93)))</f>
        <v/>
      </c>
      <c r="AC93" s="248" t="str">
        <f>IF(ISERROR(Q93), AW93, IF(Q93=0, "", IF(Q93&gt;'Calculs Péremption FA'!$CB32, IF(Q93&lt;'Saisie données stocks'!$N$14, CONCATENATE('TRAD-Calculs dispo Données FA'!$B$88, " - ", 'Calculs Péremption FA'!$BY32, "/", 'Calculs Péremption FA'!$BZ32, "/", 'Calculs Péremption FA'!$CA32), 'Calculs Péremption FA'!CC32), V93)))</f>
        <v/>
      </c>
      <c r="AE93" s="231" t="e">
        <f>(Calculs!N287/Calculs!O178)</f>
        <v>#DIV/0!</v>
      </c>
      <c r="AF93" s="231" t="e">
        <f t="shared" si="16"/>
        <v>#DIV/0!</v>
      </c>
      <c r="AG93" s="236" t="e">
        <f>AE93-Paramétrage!$D$29</f>
        <v>#DIV/0!</v>
      </c>
      <c r="AH93" s="241" t="e">
        <f>IF(AE93&lt;Paramétrage!$D$29, AE93, Paramétrage!$D$29)</f>
        <v>#DIV/0!</v>
      </c>
      <c r="AI93" s="247" t="e">
        <f>Paramétrage!$H$19+AG93*(365/12)</f>
        <v>#DIV/0!</v>
      </c>
      <c r="AJ93" s="248" t="e">
        <f>IF(AE93&lt;Paramétrage!$D$29, Paramétrage!$H$19+AH93*(365/12), Paramétrage!$H$19+AE93*(365/12))</f>
        <v>#DIV/0!</v>
      </c>
      <c r="AL93" s="231" t="str">
        <f>IF(ISERROR(AE93),"", IF(AE93=0, "", IF(AE93&gt;'Calculs Péremption FA'!$CB32, 'Calculs Péremption FA'!$CB32, AE93)))</f>
        <v/>
      </c>
      <c r="AM93" s="582" t="str">
        <f t="shared" si="17"/>
        <v/>
      </c>
      <c r="AN93" s="236" t="str">
        <f>IF(ISERROR(AE93),"", IF(AE93=0, "", IF(AE93&gt;'Calculs Péremption FA'!$CB32, 'Calculs Péremption FA'!$CB32-Paramétrage!$D$29, AG93)))</f>
        <v/>
      </c>
      <c r="AO93" s="425" t="str">
        <f>IF(ISERROR(AE93),"", IF(AE93=0, "", IF(AE93&gt;'Calculs Péremption FA'!$CB32, Paramétrage!$D$29, AH93)))</f>
        <v/>
      </c>
      <c r="AP93" s="247" t="str">
        <f>IF(ISERROR(AE93),"", IF(AE93=0, "", IF(AE93&gt;'Calculs Péremption FA'!$CB32, 'Calculs Péremption FA'!$BX32-Paramétrage!$D$29*(365/12), AI93)))</f>
        <v/>
      </c>
      <c r="AQ93" s="248" t="str">
        <f>IF(ISERROR(AE93),"", IF(AE93=0, "", IF(AE93&gt;'Calculs Péremption FA'!$CB32, CONCATENATE('TRAD-Calculs dispo Données FA'!$B$88, " - ", 'Saisie données stocks'!$AF104, "/", 'Saisie données stocks'!$AG104, "/", 'Saisie données stocks'!$AH104), AJ93)))</f>
        <v/>
      </c>
      <c r="AS93" s="2061">
        <f>Calculs!$N287</f>
        <v>0</v>
      </c>
      <c r="AT93" s="2062">
        <f>Calculs!$O178</f>
        <v>0</v>
      </c>
      <c r="AU93" s="2068">
        <f>Calculs!$N232</f>
        <v>0</v>
      </c>
      <c r="AV93" s="2070" t="str">
        <f>IF(AND(AU93=0, AS93=0, AT93=0), 'TRAD-Calculs dispo Données FA'!$B$82, "")</f>
        <v>Stock et besoin nul</v>
      </c>
      <c r="AW93" s="2062" t="str">
        <f>IF(AND(AU93=0, AS93&gt;0, AT93=0), CONCATENATE(AS93,'TRAD-Calculs dispo Données FA'!$B$80," =0"), "")</f>
        <v/>
      </c>
      <c r="AX93" s="2063" t="str">
        <f>IF(AND(AS93=0, OR(AT93&gt;=1, AU93&gt;=1)), 'TRAD-Calculs dispo Données FA'!$B$81, "")</f>
        <v/>
      </c>
    </row>
    <row r="94" spans="3:50" s="358" customFormat="1" ht="25.5" x14ac:dyDescent="0.2">
      <c r="C94" s="374"/>
      <c r="D94" s="375"/>
      <c r="E94" s="376" t="str">
        <f>'Saisie données stocks'!F45</f>
        <v>D4T</v>
      </c>
      <c r="F94" s="377" t="str">
        <f>'Saisie données stocks'!G45</f>
        <v>Cp</v>
      </c>
      <c r="G94" s="383" t="str">
        <f>'Saisie données stocks'!H45</f>
        <v>30 mg</v>
      </c>
      <c r="H94" s="378" t="str">
        <f>CONCATENATE(E94, " - ", G94, " - ", 'TRAD-Calculs dispo Données FA'!$B$79,"/", K94)</f>
        <v>D4T - 30 mg - B/60</v>
      </c>
      <c r="I94" s="380">
        <f>Calculs!K128</f>
        <v>2</v>
      </c>
      <c r="J94" s="380">
        <f t="shared" si="12"/>
        <v>60</v>
      </c>
      <c r="K94" s="114">
        <f>Calculs!J128</f>
        <v>60</v>
      </c>
      <c r="L94" s="381">
        <f t="shared" si="13"/>
        <v>1</v>
      </c>
      <c r="M94" s="1820">
        <f>Calculs!N288</f>
        <v>0</v>
      </c>
      <c r="N94" s="1820">
        <f>Calculs!O179</f>
        <v>0</v>
      </c>
      <c r="O94" s="1820">
        <f>Calculs!N233</f>
        <v>0</v>
      </c>
      <c r="P94"/>
      <c r="Q94" s="231" t="e">
        <f>IF(Calculs!N233&gt;0, (-(Calculs!N233+2*Calculs!O179)+SQRT((Calculs!N233+2*Calculs!O179)*(Calculs!N233+2*Calculs!O179)+8*Calculs!N233*(M94)))/(2*Calculs!N233), ((M94)/Calculs!O179))</f>
        <v>#DIV/0!</v>
      </c>
      <c r="R94" s="231" t="e">
        <f t="shared" si="14"/>
        <v>#DIV/0!</v>
      </c>
      <c r="S94" s="236" t="e">
        <f>Q94-Paramétrage!$D$29</f>
        <v>#DIV/0!</v>
      </c>
      <c r="T94" s="241" t="e">
        <f>IF(Q94&lt;Paramétrage!$D$29, Q94, Paramétrage!$D$29)</f>
        <v>#DIV/0!</v>
      </c>
      <c r="U94" s="247" t="e">
        <f>Paramétrage!$H$19+S94*(365/12)</f>
        <v>#DIV/0!</v>
      </c>
      <c r="V94" s="248" t="e">
        <f>IF(Q94&lt;Paramétrage!$D$29, Paramétrage!$H$19+T94*(365/12), Paramétrage!$H$19+Q94*(365/12))</f>
        <v>#DIV/0!</v>
      </c>
      <c r="X94" s="231" t="str">
        <f>IF(ISERROR(Q94),"", IF(Q94=0, "", IF(Q94&gt;'Calculs Péremption FA'!$CB33, 'Calculs Péremption FA'!$CB33, Q94)))</f>
        <v/>
      </c>
      <c r="Y94" s="582" t="str">
        <f t="shared" si="15"/>
        <v/>
      </c>
      <c r="Z94" s="236" t="str">
        <f>IF(ISERROR(Q94),"", IF(Q94=0, "", IF(Q94&gt;'Calculs Péremption FA'!$CB33, 'Calculs Péremption FA'!$CB33-Paramétrage!$D$29, S94)))</f>
        <v/>
      </c>
      <c r="AA94" s="425" t="str">
        <f>IF(ISERROR(Q94),"", IF(Q94=0, "", IF(Q94&gt;'Calculs Péremption FA'!$CB33, Paramétrage!$D$29, T94)))</f>
        <v/>
      </c>
      <c r="AB94" s="247" t="str">
        <f>IF(ISERROR(Q94),"", IF(Q94=0, "", IF(Q94&gt;'Calculs Péremption FA'!$CB33, 'Calculs Péremption FA'!$BX33-Paramétrage!$D$29*(365/12), U94)))</f>
        <v/>
      </c>
      <c r="AC94" s="248" t="str">
        <f>IF(ISERROR(Q94), AW94, IF(Q94=0, "", IF(Q94&gt;'Calculs Péremption FA'!$CB33, IF(Q94&lt;'Saisie données stocks'!$N$14, CONCATENATE('TRAD-Calculs dispo Données FA'!$B$88, " - ", 'Calculs Péremption FA'!$BY33, "/", 'Calculs Péremption FA'!$BZ33, "/", 'Calculs Péremption FA'!$CA33), 'Calculs Péremption FA'!CC33), V94)))</f>
        <v/>
      </c>
      <c r="AE94" s="231" t="e">
        <f>(Calculs!N288/Calculs!O179)</f>
        <v>#DIV/0!</v>
      </c>
      <c r="AF94" s="231" t="e">
        <f t="shared" si="16"/>
        <v>#DIV/0!</v>
      </c>
      <c r="AG94" s="236" t="e">
        <f>AE94-Paramétrage!$D$29</f>
        <v>#DIV/0!</v>
      </c>
      <c r="AH94" s="241" t="e">
        <f>IF(AE94&lt;Paramétrage!$D$29, AE94, Paramétrage!$D$29)</f>
        <v>#DIV/0!</v>
      </c>
      <c r="AI94" s="247" t="e">
        <f>Paramétrage!$H$19+AG94*(365/12)</f>
        <v>#DIV/0!</v>
      </c>
      <c r="AJ94" s="248" t="e">
        <f>IF(AE94&lt;Paramétrage!$D$29, Paramétrage!$H$19+AH94*(365/12), Paramétrage!$H$19+AE94*(365/12))</f>
        <v>#DIV/0!</v>
      </c>
      <c r="AL94" s="231" t="str">
        <f>IF(ISERROR(AE94),"", IF(AE94=0, "", IF(AE94&gt;'Calculs Péremption FA'!$CB33, 'Calculs Péremption FA'!$CB33, AE94)))</f>
        <v/>
      </c>
      <c r="AM94" s="582" t="str">
        <f t="shared" si="17"/>
        <v/>
      </c>
      <c r="AN94" s="236" t="str">
        <f>IF(ISERROR(AE94),"", IF(AE94=0, "", IF(AE94&gt;'Calculs Péremption FA'!$CB33, 'Calculs Péremption FA'!$CB33-Paramétrage!$D$29, AG94)))</f>
        <v/>
      </c>
      <c r="AO94" s="425" t="str">
        <f>IF(ISERROR(AE94),"", IF(AE94=0, "", IF(AE94&gt;'Calculs Péremption FA'!$CB33, Paramétrage!$D$29, AH94)))</f>
        <v/>
      </c>
      <c r="AP94" s="247" t="str">
        <f>IF(ISERROR(AE94),"", IF(AE94=0, "", IF(AE94&gt;'Calculs Péremption FA'!$CB33, 'Calculs Péremption FA'!$BX33-Paramétrage!$D$29*(365/12), AI94)))</f>
        <v/>
      </c>
      <c r="AQ94" s="248" t="str">
        <f>IF(ISERROR(AE94),"", IF(AE94=0, "", IF(AE94&gt;'Calculs Péremption FA'!$CB33, CONCATENATE('TRAD-Calculs dispo Données FA'!$B$88, " - ", 'Saisie données stocks'!$AF105, "/", 'Saisie données stocks'!$AG105, "/", 'Saisie données stocks'!$AH105), AJ94)))</f>
        <v/>
      </c>
      <c r="AS94" s="2061">
        <f>Calculs!$N288</f>
        <v>0</v>
      </c>
      <c r="AT94" s="2062">
        <f>Calculs!$O179</f>
        <v>0</v>
      </c>
      <c r="AU94" s="2068">
        <f>Calculs!$N233</f>
        <v>0</v>
      </c>
      <c r="AV94" s="2070" t="str">
        <f>IF(AND(AU94=0, AS94=0, AT94=0), 'TRAD-Calculs dispo Données FA'!$B$82, "")</f>
        <v>Stock et besoin nul</v>
      </c>
      <c r="AW94" s="2062" t="str">
        <f>IF(AND(AU94=0, AS94&gt;0, AT94=0), CONCATENATE(AS94,'TRAD-Calculs dispo Données FA'!$B$80," =0"), "")</f>
        <v/>
      </c>
      <c r="AX94" s="2063" t="str">
        <f>IF(AND(AS94=0, OR(AT94&gt;=1, AU94&gt;=1)), 'TRAD-Calculs dispo Données FA'!$B$81, "")</f>
        <v/>
      </c>
    </row>
    <row r="95" spans="3:50" s="358" customFormat="1" ht="25.5" x14ac:dyDescent="0.2">
      <c r="C95" s="374"/>
      <c r="D95" s="375"/>
      <c r="E95" s="376" t="str">
        <f>'Saisie données stocks'!F46</f>
        <v>3TC</v>
      </c>
      <c r="F95" s="377" t="str">
        <f>'Saisie données stocks'!G46</f>
        <v>Cp</v>
      </c>
      <c r="G95" s="1208" t="str">
        <f>'Saisie données stocks'!H46</f>
        <v>150 mg</v>
      </c>
      <c r="H95" s="378" t="str">
        <f>CONCATENATE(E95, " - ", G95, " - ", 'TRAD-Calculs dispo Données FA'!$B$79,"/", K95)</f>
        <v>3TC - 150 mg - B/60</v>
      </c>
      <c r="I95" s="380">
        <f>Calculs!K129</f>
        <v>2</v>
      </c>
      <c r="J95" s="380">
        <f t="shared" si="12"/>
        <v>60</v>
      </c>
      <c r="K95" s="114">
        <f>Calculs!J129</f>
        <v>60</v>
      </c>
      <c r="L95" s="381">
        <f t="shared" si="13"/>
        <v>1</v>
      </c>
      <c r="M95" s="1820">
        <f>Calculs!N289</f>
        <v>0</v>
      </c>
      <c r="N95" s="1820">
        <f>Calculs!O180</f>
        <v>0</v>
      </c>
      <c r="O95" s="1820">
        <f>Calculs!N234</f>
        <v>0</v>
      </c>
      <c r="P95"/>
      <c r="Q95" s="231" t="e">
        <f>IF(Calculs!N234&gt;0, (-(Calculs!N234+2*Calculs!O180)+SQRT((Calculs!N234+2*Calculs!O180)*(Calculs!N234+2*Calculs!O180)+8*Calculs!N234*(M95)))/(2*Calculs!N234), ((M95)/Calculs!O180))</f>
        <v>#DIV/0!</v>
      </c>
      <c r="R95" s="231" t="e">
        <f t="shared" si="14"/>
        <v>#DIV/0!</v>
      </c>
      <c r="S95" s="236" t="e">
        <f>Q95-Paramétrage!$D$29</f>
        <v>#DIV/0!</v>
      </c>
      <c r="T95" s="241" t="e">
        <f>IF(Q95&lt;Paramétrage!$D$29, Q95, Paramétrage!$D$29)</f>
        <v>#DIV/0!</v>
      </c>
      <c r="U95" s="247" t="e">
        <f>Paramétrage!$H$19+S95*(365/12)</f>
        <v>#DIV/0!</v>
      </c>
      <c r="V95" s="248" t="e">
        <f>IF(Q95&lt;Paramétrage!$D$29, Paramétrage!$H$19+T95*(365/12), Paramétrage!$H$19+Q95*(365/12))</f>
        <v>#DIV/0!</v>
      </c>
      <c r="X95" s="231" t="str">
        <f>IF(ISERROR(Q95),"", IF(Q95=0, "", IF(Q95&gt;'Calculs Péremption FA'!$CB34, 'Calculs Péremption FA'!$CB34, Q95)))</f>
        <v/>
      </c>
      <c r="Y95" s="582" t="str">
        <f t="shared" si="15"/>
        <v/>
      </c>
      <c r="Z95" s="236" t="str">
        <f>IF(ISERROR(Q95),"", IF(Q95=0, "", IF(Q95&gt;'Calculs Péremption FA'!$CB34, 'Calculs Péremption FA'!$CB34-Paramétrage!$D$29, S95)))</f>
        <v/>
      </c>
      <c r="AA95" s="425" t="str">
        <f>IF(ISERROR(Q95),"", IF(Q95=0, "", IF(Q95&gt;'Calculs Péremption FA'!$CB34, Paramétrage!$D$29, T95)))</f>
        <v/>
      </c>
      <c r="AB95" s="247" t="str">
        <f>IF(ISERROR(Q95),"", IF(Q95=0, "", IF(Q95&gt;'Calculs Péremption FA'!$CB34, 'Calculs Péremption FA'!$BX34-Paramétrage!$D$29*(365/12), U95)))</f>
        <v/>
      </c>
      <c r="AC95" s="248" t="str">
        <f>IF(ISERROR(Q95), AW95, IF(Q95=0, "", IF(Q95&gt;'Calculs Péremption FA'!$CB34, IF(Q95&lt;'Saisie données stocks'!$N$14, CONCATENATE('TRAD-Calculs dispo Données FA'!$B$88, " - ", 'Calculs Péremption FA'!$BY34, "/", 'Calculs Péremption FA'!$BZ34, "/", 'Calculs Péremption FA'!$CA34), 'Calculs Péremption FA'!CC34), V95)))</f>
        <v/>
      </c>
      <c r="AE95" s="231" t="e">
        <f>(Calculs!N289/Calculs!O180)</f>
        <v>#DIV/0!</v>
      </c>
      <c r="AF95" s="231" t="e">
        <f t="shared" si="16"/>
        <v>#DIV/0!</v>
      </c>
      <c r="AG95" s="236" t="e">
        <f>AE95-Paramétrage!$D$29</f>
        <v>#DIV/0!</v>
      </c>
      <c r="AH95" s="241" t="e">
        <f>IF(AE95&lt;Paramétrage!$D$29, AE95, Paramétrage!$D$29)</f>
        <v>#DIV/0!</v>
      </c>
      <c r="AI95" s="247" t="e">
        <f>Paramétrage!$H$19+AG95*(365/12)</f>
        <v>#DIV/0!</v>
      </c>
      <c r="AJ95" s="248" t="e">
        <f>IF(AE95&lt;Paramétrage!$D$29, Paramétrage!$H$19+AH95*(365/12), Paramétrage!$H$19+AE95*(365/12))</f>
        <v>#DIV/0!</v>
      </c>
      <c r="AL95" s="231" t="str">
        <f>IF(ISERROR(AE95),"", IF(AE95=0, "", IF(AE95&gt;'Calculs Péremption FA'!$CB34, 'Calculs Péremption FA'!$CB34, AE95)))</f>
        <v/>
      </c>
      <c r="AM95" s="582" t="str">
        <f t="shared" si="17"/>
        <v/>
      </c>
      <c r="AN95" s="236" t="str">
        <f>IF(ISERROR(AE95),"", IF(AE95=0, "", IF(AE95&gt;'Calculs Péremption FA'!$CB34, 'Calculs Péremption FA'!$CB34-Paramétrage!$D$29, AG95)))</f>
        <v/>
      </c>
      <c r="AO95" s="425" t="str">
        <f>IF(ISERROR(AE95),"", IF(AE95=0, "", IF(AE95&gt;'Calculs Péremption FA'!$CB34, Paramétrage!$D$29, AH95)))</f>
        <v/>
      </c>
      <c r="AP95" s="247" t="str">
        <f>IF(ISERROR(AE95),"", IF(AE95=0, "", IF(AE95&gt;'Calculs Péremption FA'!$CB34, 'Calculs Péremption FA'!$BX34-Paramétrage!$D$29*(365/12), AI95)))</f>
        <v/>
      </c>
      <c r="AQ95" s="248" t="str">
        <f>IF(ISERROR(AE95),"", IF(AE95=0, "", IF(AE95&gt;'Calculs Péremption FA'!$CB34, CONCATENATE('TRAD-Calculs dispo Données FA'!$B$88, " - ", 'Saisie données stocks'!$AF106, "/", 'Saisie données stocks'!$AG106, "/", 'Saisie données stocks'!$AH106), AJ95)))</f>
        <v/>
      </c>
      <c r="AS95" s="2061">
        <f>Calculs!$N289</f>
        <v>0</v>
      </c>
      <c r="AT95" s="2062">
        <f>Calculs!$O180</f>
        <v>0</v>
      </c>
      <c r="AU95" s="2068">
        <f>Calculs!$N234</f>
        <v>0</v>
      </c>
      <c r="AV95" s="2070" t="str">
        <f>IF(AND(AU95=0, AS95=0, AT95=0), 'TRAD-Calculs dispo Données FA'!$B$82, "")</f>
        <v>Stock et besoin nul</v>
      </c>
      <c r="AW95" s="2062" t="str">
        <f>IF(AND(AU95=0, AS95&gt;0, AT95=0), CONCATENATE(AS95,'TRAD-Calculs dispo Données FA'!$B$80," =0"), "")</f>
        <v/>
      </c>
      <c r="AX95" s="2063" t="str">
        <f>IF(AND(AS95=0, OR(AT95&gt;=1, AU95&gt;=1)), 'TRAD-Calculs dispo Données FA'!$B$81, "")</f>
        <v/>
      </c>
    </row>
    <row r="96" spans="3:50" s="358" customFormat="1" ht="25.5" x14ac:dyDescent="0.2">
      <c r="C96" s="374"/>
      <c r="D96" s="375"/>
      <c r="E96" s="376" t="str">
        <f>'Saisie données stocks'!F47</f>
        <v>3TC</v>
      </c>
      <c r="F96" s="377" t="str">
        <f>'Saisie données stocks'!G47</f>
        <v>Cp</v>
      </c>
      <c r="G96" s="383" t="str">
        <f>'Saisie données stocks'!H47</f>
        <v>30 mg</v>
      </c>
      <c r="H96" s="378" t="str">
        <f>CONCATENATE(E96, " - ", G96, " - ", 'TRAD-Calculs dispo Données FA'!$B$79,"/", K96)</f>
        <v>3TC - 30 mg - B/60</v>
      </c>
      <c r="I96" s="380">
        <f>Calculs!K130</f>
        <v>2</v>
      </c>
      <c r="J96" s="380">
        <f t="shared" si="12"/>
        <v>60</v>
      </c>
      <c r="K96" s="114">
        <f>Calculs!J130</f>
        <v>60</v>
      </c>
      <c r="L96" s="381">
        <f t="shared" si="13"/>
        <v>1</v>
      </c>
      <c r="M96" s="1820">
        <f>Calculs!N290</f>
        <v>0</v>
      </c>
      <c r="N96" s="1820">
        <f>Calculs!O181</f>
        <v>0</v>
      </c>
      <c r="O96" s="1820">
        <f>Calculs!N235</f>
        <v>0</v>
      </c>
      <c r="P96"/>
      <c r="Q96" s="231" t="e">
        <f>IF(Calculs!N235&gt;0, (-(Calculs!N235+2*Calculs!O181)+SQRT((Calculs!N235+2*Calculs!O181)*(Calculs!N235+2*Calculs!O181)+8*Calculs!N235*(M96)))/(2*Calculs!N235), ((M96)/Calculs!O181))</f>
        <v>#DIV/0!</v>
      </c>
      <c r="R96" s="231" t="e">
        <f t="shared" si="14"/>
        <v>#DIV/0!</v>
      </c>
      <c r="S96" s="236" t="e">
        <f>Q96-Paramétrage!$D$29</f>
        <v>#DIV/0!</v>
      </c>
      <c r="T96" s="241" t="e">
        <f>IF(Q96&lt;Paramétrage!$D$29, Q96, Paramétrage!$D$29)</f>
        <v>#DIV/0!</v>
      </c>
      <c r="U96" s="247" t="e">
        <f>Paramétrage!$H$19+S96*(365/12)</f>
        <v>#DIV/0!</v>
      </c>
      <c r="V96" s="248" t="e">
        <f>IF(Q96&lt;Paramétrage!$D$29, Paramétrage!$H$19+T96*(365/12), Paramétrage!$H$19+Q96*(365/12))</f>
        <v>#DIV/0!</v>
      </c>
      <c r="X96" s="231" t="str">
        <f>IF(ISERROR(Q96),"", IF(Q96=0, "", IF(Q96&gt;'Calculs Péremption FA'!$CB35, 'Calculs Péremption FA'!$CB35, Q96)))</f>
        <v/>
      </c>
      <c r="Y96" s="582" t="str">
        <f t="shared" si="15"/>
        <v/>
      </c>
      <c r="Z96" s="236" t="str">
        <f>IF(ISERROR(Q96),"", IF(Q96=0, "", IF(Q96&gt;'Calculs Péremption FA'!$CB35, 'Calculs Péremption FA'!$CB35-Paramétrage!$D$29, S96)))</f>
        <v/>
      </c>
      <c r="AA96" s="425" t="str">
        <f>IF(ISERROR(Q96),"", IF(Q96=0, "", IF(Q96&gt;'Calculs Péremption FA'!$CB35, Paramétrage!$D$29, T96)))</f>
        <v/>
      </c>
      <c r="AB96" s="247" t="str">
        <f>IF(ISERROR(Q96),"", IF(Q96=0, "", IF(Q96&gt;'Calculs Péremption FA'!$CB35, 'Calculs Péremption FA'!$BX35-Paramétrage!$D$29*(365/12), U96)))</f>
        <v/>
      </c>
      <c r="AC96" s="248" t="str">
        <f>IF(ISERROR(Q96), AW96, IF(Q96=0, "", IF(Q96&gt;'Calculs Péremption FA'!$CB35, IF(Q96&lt;'Saisie données stocks'!$N$14, CONCATENATE('TRAD-Calculs dispo Données FA'!$B$88, " - ", 'Calculs Péremption FA'!$BY35, "/", 'Calculs Péremption FA'!$BZ35, "/", 'Calculs Péremption FA'!$CA35), 'Calculs Péremption FA'!CC35), V96)))</f>
        <v/>
      </c>
      <c r="AE96" s="231" t="e">
        <f>(Calculs!N290/Calculs!O181)</f>
        <v>#DIV/0!</v>
      </c>
      <c r="AF96" s="231" t="e">
        <f t="shared" si="16"/>
        <v>#DIV/0!</v>
      </c>
      <c r="AG96" s="236" t="e">
        <f>AE96-Paramétrage!$D$29</f>
        <v>#DIV/0!</v>
      </c>
      <c r="AH96" s="241" t="e">
        <f>IF(AE96&lt;Paramétrage!$D$29, AE96, Paramétrage!$D$29)</f>
        <v>#DIV/0!</v>
      </c>
      <c r="AI96" s="247" t="e">
        <f>Paramétrage!$H$19+AG96*(365/12)</f>
        <v>#DIV/0!</v>
      </c>
      <c r="AJ96" s="248" t="e">
        <f>IF(AE96&lt;Paramétrage!$D$29, Paramétrage!$H$19+AH96*(365/12), Paramétrage!$H$19+AE96*(365/12))</f>
        <v>#DIV/0!</v>
      </c>
      <c r="AL96" s="231" t="str">
        <f>IF(ISERROR(AE96),"", IF(AE96=0, "", IF(AE96&gt;'Calculs Péremption FA'!$CB35, 'Calculs Péremption FA'!$CB35, AE96)))</f>
        <v/>
      </c>
      <c r="AM96" s="582" t="str">
        <f t="shared" si="17"/>
        <v/>
      </c>
      <c r="AN96" s="236" t="str">
        <f>IF(ISERROR(AE96),"", IF(AE96=0, "", IF(AE96&gt;'Calculs Péremption FA'!$CB35, 'Calculs Péremption FA'!$CB35-Paramétrage!$D$29, AG96)))</f>
        <v/>
      </c>
      <c r="AO96" s="425" t="str">
        <f>IF(ISERROR(AE96),"", IF(AE96=0, "", IF(AE96&gt;'Calculs Péremption FA'!$CB35, Paramétrage!$D$29, AH96)))</f>
        <v/>
      </c>
      <c r="AP96" s="247" t="str">
        <f>IF(ISERROR(AE96),"", IF(AE96=0, "", IF(AE96&gt;'Calculs Péremption FA'!$CB35, 'Calculs Péremption FA'!$BX35-Paramétrage!$D$29*(365/12), AI96)))</f>
        <v/>
      </c>
      <c r="AQ96" s="248" t="str">
        <f>IF(ISERROR(AE96),"", IF(AE96=0, "", IF(AE96&gt;'Calculs Péremption FA'!$CB35, CONCATENATE('TRAD-Calculs dispo Données FA'!$B$88, " - ", 'Saisie données stocks'!$AF107, "/", 'Saisie données stocks'!$AG107, "/", 'Saisie données stocks'!$AH107), AJ96)))</f>
        <v/>
      </c>
      <c r="AS96" s="2061">
        <f>Calculs!$N290</f>
        <v>0</v>
      </c>
      <c r="AT96" s="2062">
        <f>Calculs!$O181</f>
        <v>0</v>
      </c>
      <c r="AU96" s="2068">
        <f>Calculs!$N235</f>
        <v>0</v>
      </c>
      <c r="AV96" s="2070" t="str">
        <f>IF(AND(AU96=0, AS96=0, AT96=0), 'TRAD-Calculs dispo Données FA'!$B$82, "")</f>
        <v>Stock et besoin nul</v>
      </c>
      <c r="AW96" s="2062" t="str">
        <f>IF(AND(AU96=0, AS96&gt;0, AT96=0), CONCATENATE(AS96,'TRAD-Calculs dispo Données FA'!$B$80," =0"), "")</f>
        <v/>
      </c>
      <c r="AX96" s="2063" t="str">
        <f>IF(AND(AS96=0, OR(AT96&gt;=1, AU96&gt;=1)), 'TRAD-Calculs dispo Données FA'!$B$81, "")</f>
        <v/>
      </c>
    </row>
    <row r="97" spans="3:50" s="358" customFormat="1" ht="25.5" x14ac:dyDescent="0.2">
      <c r="C97" s="374"/>
      <c r="D97" s="375"/>
      <c r="E97" s="382" t="str">
        <f>'Saisie données stocks'!F48</f>
        <v>DDI</v>
      </c>
      <c r="F97" s="383" t="str">
        <f>'Saisie données stocks'!G48</f>
        <v>Cp</v>
      </c>
      <c r="G97" s="383" t="str">
        <f>'Saisie données stocks'!H48</f>
        <v>250 mg</v>
      </c>
      <c r="H97" s="384" t="str">
        <f>CONCATENATE(E97, " - ", G97, " - ", 'TRAD-Calculs dispo Données FA'!$B$79,"/", K97)</f>
        <v>DDI - 250 mg - B/30</v>
      </c>
      <c r="I97" s="386">
        <f>Calculs!K131</f>
        <v>1</v>
      </c>
      <c r="J97" s="386">
        <f t="shared" si="12"/>
        <v>30</v>
      </c>
      <c r="K97" s="115">
        <f>Calculs!J131</f>
        <v>30</v>
      </c>
      <c r="L97" s="387">
        <f t="shared" si="13"/>
        <v>1</v>
      </c>
      <c r="M97" s="1820">
        <f>Calculs!N291</f>
        <v>0</v>
      </c>
      <c r="N97" s="1820">
        <f>Calculs!O182</f>
        <v>0</v>
      </c>
      <c r="O97" s="1820">
        <f>Calculs!N236</f>
        <v>0</v>
      </c>
      <c r="P97"/>
      <c r="Q97" s="231" t="e">
        <f>IF(Calculs!N236&gt;0, (-(Calculs!N236+2*Calculs!O182)+SQRT((Calculs!N236+2*Calculs!O182)*(Calculs!N236+2*Calculs!O182)+8*Calculs!N236*(M97)))/(2*Calculs!N236), ((M97)/Calculs!O182))</f>
        <v>#DIV/0!</v>
      </c>
      <c r="R97" s="231" t="e">
        <f t="shared" si="14"/>
        <v>#DIV/0!</v>
      </c>
      <c r="S97" s="237" t="e">
        <f>Q97-Paramétrage!$D$29</f>
        <v>#DIV/0!</v>
      </c>
      <c r="T97" s="242" t="e">
        <f>IF(Q97&lt;Paramétrage!$D$29, Q97, Paramétrage!$D$29)</f>
        <v>#DIV/0!</v>
      </c>
      <c r="U97" s="249" t="e">
        <f>Paramétrage!$H$19+S97*(365/12)</f>
        <v>#DIV/0!</v>
      </c>
      <c r="V97" s="250" t="e">
        <f>IF(Q97&lt;Paramétrage!$D$29, Paramétrage!$H$19+T97*(365/12), Paramétrage!$H$19+Q97*(365/12))</f>
        <v>#DIV/0!</v>
      </c>
      <c r="X97" s="231" t="str">
        <f>IF(ISERROR(Q97),"", IF(Q97=0, "", IF(Q97&gt;'Calculs Péremption FA'!$CB36, 'Calculs Péremption FA'!$CB36, Q97)))</f>
        <v/>
      </c>
      <c r="Y97" s="582" t="str">
        <f t="shared" si="15"/>
        <v/>
      </c>
      <c r="Z97" s="237" t="str">
        <f>IF(ISERROR(Q97),"", IF(Q97=0, "", IF(Q97&gt;'Calculs Péremption FA'!$CB36, 'Calculs Péremption FA'!$CB36-Paramétrage!$D$29, S97)))</f>
        <v/>
      </c>
      <c r="AA97" s="426" t="str">
        <f>IF(ISERROR(Q97),"", IF(Q97=0, "", IF(Q97&gt;'Calculs Péremption FA'!$CB36, Paramétrage!$D$29, T97)))</f>
        <v/>
      </c>
      <c r="AB97" s="249" t="str">
        <f>IF(ISERROR(Q97),"", IF(Q97=0, "", IF(Q97&gt;'Calculs Péremption FA'!$CB36, 'Calculs Péremption FA'!$BX36-Paramétrage!$D$29*(365/12), U97)))</f>
        <v/>
      </c>
      <c r="AC97" s="250" t="str">
        <f>IF(ISERROR(Q97), AW97, IF(Q97=0, "", IF(Q97&gt;'Calculs Péremption FA'!$CB36, IF(Q97&lt;'Saisie données stocks'!$N$14, CONCATENATE('TRAD-Calculs dispo Données FA'!$B$88, " - ", 'Calculs Péremption FA'!$BY36, "/", 'Calculs Péremption FA'!$BZ36, "/", 'Calculs Péremption FA'!$CA36), 'Calculs Péremption FA'!CC36), V97)))</f>
        <v/>
      </c>
      <c r="AE97" s="231" t="e">
        <f>(Calculs!N291/Calculs!O182)</f>
        <v>#DIV/0!</v>
      </c>
      <c r="AF97" s="231" t="e">
        <f t="shared" si="16"/>
        <v>#DIV/0!</v>
      </c>
      <c r="AG97" s="237" t="e">
        <f>AE97-Paramétrage!$D$29</f>
        <v>#DIV/0!</v>
      </c>
      <c r="AH97" s="242" t="e">
        <f>IF(AE97&lt;Paramétrage!$D$29, AE97, Paramétrage!$D$29)</f>
        <v>#DIV/0!</v>
      </c>
      <c r="AI97" s="249" t="e">
        <f>Paramétrage!$H$19+AG97*(365/12)</f>
        <v>#DIV/0!</v>
      </c>
      <c r="AJ97" s="250" t="e">
        <f>IF(AE97&lt;Paramétrage!$D$29, Paramétrage!$H$19+AH97*(365/12), Paramétrage!$H$19+AE97*(365/12))</f>
        <v>#DIV/0!</v>
      </c>
      <c r="AL97" s="231" t="str">
        <f>IF(ISERROR(AE97),"", IF(AE97=0, "", IF(AE97&gt;'Calculs Péremption FA'!$CB36, 'Calculs Péremption FA'!$CB36, AE97)))</f>
        <v/>
      </c>
      <c r="AM97" s="582" t="str">
        <f t="shared" si="17"/>
        <v/>
      </c>
      <c r="AN97" s="237" t="str">
        <f>IF(ISERROR(AE97),"", IF(AE97=0, "", IF(AE97&gt;'Calculs Péremption FA'!$CB36, 'Calculs Péremption FA'!$CB36-Paramétrage!$D$29, AG97)))</f>
        <v/>
      </c>
      <c r="AO97" s="426" t="str">
        <f>IF(ISERROR(AE97),"", IF(AE97=0, "", IF(AE97&gt;'Calculs Péremption FA'!$CB36, Paramétrage!$D$29, AH97)))</f>
        <v/>
      </c>
      <c r="AP97" s="249" t="str">
        <f>IF(ISERROR(AE97),"", IF(AE97=0, "", IF(AE97&gt;'Calculs Péremption FA'!$CB36, 'Calculs Péremption FA'!$BX36-Paramétrage!$D$29*(365/12), AI97)))</f>
        <v/>
      </c>
      <c r="AQ97" s="250" t="str">
        <f>IF(ISERROR(AE97),"", IF(AE97=0, "", IF(AE97&gt;'Calculs Péremption FA'!$CB36, CONCATENATE('TRAD-Calculs dispo Données FA'!$B$88, " - ", 'Saisie données stocks'!$AF108, "/", 'Saisie données stocks'!$AG108, "/", 'Saisie données stocks'!$AH108), AJ97)))</f>
        <v/>
      </c>
      <c r="AS97" s="2061">
        <f>Calculs!$N291</f>
        <v>0</v>
      </c>
      <c r="AT97" s="2062">
        <f>Calculs!$O182</f>
        <v>0</v>
      </c>
      <c r="AU97" s="2068">
        <f>Calculs!$N236</f>
        <v>0</v>
      </c>
      <c r="AV97" s="2070" t="str">
        <f>IF(AND(AU97=0, AS97=0, AT97=0), 'TRAD-Calculs dispo Données FA'!$B$82, "")</f>
        <v>Stock et besoin nul</v>
      </c>
      <c r="AW97" s="2062" t="str">
        <f>IF(AND(AU97=0, AS97&gt;0, AT97=0), CONCATENATE(AS97,'TRAD-Calculs dispo Données FA'!$B$80," =0"), "")</f>
        <v/>
      </c>
      <c r="AX97" s="2063" t="str">
        <f>IF(AND(AS97=0, OR(AT97&gt;=1, AU97&gt;=1)), 'TRAD-Calculs dispo Données FA'!$B$81, "")</f>
        <v/>
      </c>
    </row>
    <row r="98" spans="3:50" s="358" customFormat="1" ht="25.5" x14ac:dyDescent="0.2">
      <c r="C98" s="374"/>
      <c r="D98" s="375"/>
      <c r="E98" s="382" t="str">
        <f>'Saisie données stocks'!F49</f>
        <v>DDI</v>
      </c>
      <c r="F98" s="383" t="str">
        <f>'Saisie données stocks'!G49</f>
        <v>Cp</v>
      </c>
      <c r="G98" s="397" t="str">
        <f>'Saisie données stocks'!H49</f>
        <v>400 mg</v>
      </c>
      <c r="H98" s="384" t="str">
        <f>CONCATENATE(E98, " - ", G98, " - ", 'TRAD-Calculs dispo Données FA'!$B$79,"/", K98)</f>
        <v>DDI - 400 mg - B/30</v>
      </c>
      <c r="I98" s="399">
        <f>Calculs!K132</f>
        <v>1</v>
      </c>
      <c r="J98" s="399">
        <f t="shared" si="12"/>
        <v>30</v>
      </c>
      <c r="K98" s="117">
        <f>Calculs!J132</f>
        <v>30</v>
      </c>
      <c r="L98" s="400">
        <f t="shared" si="13"/>
        <v>1</v>
      </c>
      <c r="M98" s="1823">
        <f>Calculs!N292</f>
        <v>0</v>
      </c>
      <c r="N98" s="1871">
        <f>Calculs!O183</f>
        <v>0</v>
      </c>
      <c r="O98" s="1871">
        <f>Calculs!N237</f>
        <v>0</v>
      </c>
      <c r="P98"/>
      <c r="Q98" s="234" t="e">
        <f>IF(Calculs!N237&gt;0, (-(Calculs!N237+2*Calculs!O183)+SQRT((Calculs!N237+2*Calculs!O183)*(Calculs!N237+2*Calculs!O183)+8*Calculs!N237*(M98)))/(2*Calculs!N237), ((M98)/Calculs!O183))</f>
        <v>#DIV/0!</v>
      </c>
      <c r="R98" s="234" t="e">
        <f t="shared" si="14"/>
        <v>#DIV/0!</v>
      </c>
      <c r="S98" s="237" t="e">
        <f>Q98-Paramétrage!$D$29</f>
        <v>#DIV/0!</v>
      </c>
      <c r="T98" s="242" t="e">
        <f>IF(Q98&lt;Paramétrage!$D$29, Q98, Paramétrage!$D$29)</f>
        <v>#DIV/0!</v>
      </c>
      <c r="U98" s="253" t="e">
        <f>Paramétrage!$H$19+S98*(365/12)</f>
        <v>#DIV/0!</v>
      </c>
      <c r="V98" s="254" t="e">
        <f>IF(Q98&lt;Paramétrage!$D$29, Paramétrage!$H$19+T98*(365/12), Paramétrage!$H$19+Q98*(365/12))</f>
        <v>#DIV/0!</v>
      </c>
      <c r="X98" s="234" t="str">
        <f>IF(ISERROR(Q98),"", IF(Q98=0, "", IF(Q98&gt;'Calculs Péremption FA'!$CB37, 'Calculs Péremption FA'!$CB37, Q98)))</f>
        <v/>
      </c>
      <c r="Y98" s="584" t="str">
        <f t="shared" si="15"/>
        <v/>
      </c>
      <c r="Z98" s="237" t="str">
        <f>IF(ISERROR(Q98),"", IF(Q98=0, "", IF(Q98&gt;'Calculs Péremption FA'!$CB37, 'Calculs Péremption FA'!$CB37-Paramétrage!$D$29, S98)))</f>
        <v/>
      </c>
      <c r="AA98" s="426" t="str">
        <f>IF(ISERROR(Q98),"", IF(Q98=0, "", IF(Q98&gt;'Calculs Péremption FA'!$CB37, Paramétrage!$D$29, T98)))</f>
        <v/>
      </c>
      <c r="AB98" s="253" t="str">
        <f>IF(ISERROR(Q98),"", IF(Q98=0, "", IF(Q98&gt;'Calculs Péremption FA'!$CB37, 'Calculs Péremption FA'!$BX37-Paramétrage!$D$29*(365/12), U98)))</f>
        <v/>
      </c>
      <c r="AC98" s="254" t="str">
        <f>IF(ISERROR(Q98), AW98, IF(Q98=0, "", IF(Q98&gt;'Calculs Péremption FA'!$CB37, IF(Q98&lt;'Saisie données stocks'!$N$14, CONCATENATE('TRAD-Calculs dispo Données FA'!$B$88, " - ", 'Calculs Péremption FA'!$BY37, "/", 'Calculs Péremption FA'!$BZ37, "/", 'Calculs Péremption FA'!$CA37), 'Calculs Péremption FA'!CC37), V98)))</f>
        <v/>
      </c>
      <c r="AE98" s="234" t="e">
        <f>(Calculs!N292/Calculs!O183)</f>
        <v>#DIV/0!</v>
      </c>
      <c r="AF98" s="234" t="e">
        <f t="shared" si="16"/>
        <v>#DIV/0!</v>
      </c>
      <c r="AG98" s="237" t="e">
        <f>AE98-Paramétrage!$D$29</f>
        <v>#DIV/0!</v>
      </c>
      <c r="AH98" s="242" t="e">
        <f>IF(AE98&lt;Paramétrage!$D$29, AE98, Paramétrage!$D$29)</f>
        <v>#DIV/0!</v>
      </c>
      <c r="AI98" s="253" t="e">
        <f>Paramétrage!$H$19+AG98*(365/12)</f>
        <v>#DIV/0!</v>
      </c>
      <c r="AJ98" s="254" t="e">
        <f>IF(AE98&lt;Paramétrage!$D$29, Paramétrage!$H$19+AH98*(365/12), Paramétrage!$H$19+AE98*(365/12))</f>
        <v>#DIV/0!</v>
      </c>
      <c r="AL98" s="234" t="str">
        <f>IF(ISERROR(AE98),"", IF(AE98=0, "", IF(AE98&gt;'Calculs Péremption FA'!$CB37, 'Calculs Péremption FA'!$CB37, AE98)))</f>
        <v/>
      </c>
      <c r="AM98" s="584" t="str">
        <f t="shared" si="17"/>
        <v/>
      </c>
      <c r="AN98" s="237" t="str">
        <f>IF(ISERROR(AE98),"", IF(AE98=0, "", IF(AE98&gt;'Calculs Péremption FA'!$CB37, 'Calculs Péremption FA'!$CB37-Paramétrage!$D$29, AG98)))</f>
        <v/>
      </c>
      <c r="AO98" s="426" t="str">
        <f>IF(ISERROR(AE98),"", IF(AE98=0, "", IF(AE98&gt;'Calculs Péremption FA'!$CB37, Paramétrage!$D$29, AH98)))</f>
        <v/>
      </c>
      <c r="AP98" s="253" t="str">
        <f>IF(ISERROR(AE98),"", IF(AE98=0, "", IF(AE98&gt;'Calculs Péremption FA'!$CB37, 'Calculs Péremption FA'!$BX37-Paramétrage!$D$29*(365/12), AI98)))</f>
        <v/>
      </c>
      <c r="AQ98" s="254" t="str">
        <f>IF(ISERROR(AE98),"", IF(AE98=0, "", IF(AE98&gt;'Calculs Péremption FA'!$CB37, CONCATENATE('TRAD-Calculs dispo Données FA'!$B$88, " - ", 'Saisie données stocks'!$AF109, "/", 'Saisie données stocks'!$AG109, "/", 'Saisie données stocks'!$AH109), AJ98)))</f>
        <v/>
      </c>
      <c r="AS98" s="2061">
        <f>Calculs!$N292</f>
        <v>0</v>
      </c>
      <c r="AT98" s="2062">
        <f>Calculs!$O183</f>
        <v>0</v>
      </c>
      <c r="AU98" s="2068">
        <f>Calculs!$N237</f>
        <v>0</v>
      </c>
      <c r="AV98" s="2070" t="str">
        <f>IF(AND(AU98=0, AS98=0, AT98=0), 'TRAD-Calculs dispo Données FA'!$B$82, "")</f>
        <v>Stock et besoin nul</v>
      </c>
      <c r="AW98" s="2062" t="str">
        <f>IF(AND(AU98=0, AS98&gt;0, AT98=0), CONCATENATE(AS98,'TRAD-Calculs dispo Données FA'!$B$80," =0"), "")</f>
        <v/>
      </c>
      <c r="AX98" s="2063" t="str">
        <f>IF(AND(AS98=0, OR(AT98&gt;=1, AU98&gt;=1)), 'TRAD-Calculs dispo Données FA'!$B$81, "")</f>
        <v/>
      </c>
    </row>
    <row r="99" spans="3:50" s="358" customFormat="1" ht="25.5" x14ac:dyDescent="0.2">
      <c r="C99" s="388"/>
      <c r="D99" s="389"/>
      <c r="E99" s="390" t="str">
        <f>'Saisie données stocks'!F50</f>
        <v>TDF</v>
      </c>
      <c r="F99" s="391" t="str">
        <f>'Saisie données stocks'!G50</f>
        <v>Cp</v>
      </c>
      <c r="G99" s="391" t="str">
        <f>'Saisie données stocks'!H50</f>
        <v>300 mg</v>
      </c>
      <c r="H99" s="401" t="str">
        <f>CONCATENATE(E99, " - ", G99, " - ", 'TRAD-Calculs dispo Données FA'!$B$79,"/", K99)</f>
        <v>TDF - 300 mg - B/30</v>
      </c>
      <c r="I99" s="394">
        <f>Calculs!K133</f>
        <v>1</v>
      </c>
      <c r="J99" s="394">
        <f t="shared" si="12"/>
        <v>30</v>
      </c>
      <c r="K99" s="116">
        <f>Calculs!J133</f>
        <v>30</v>
      </c>
      <c r="L99" s="395">
        <f t="shared" si="13"/>
        <v>1</v>
      </c>
      <c r="M99" s="1822">
        <f>Calculs!N293</f>
        <v>0</v>
      </c>
      <c r="N99" s="1822">
        <f>Calculs!O184</f>
        <v>0</v>
      </c>
      <c r="O99" s="1822">
        <f>Calculs!N238</f>
        <v>0</v>
      </c>
      <c r="P99"/>
      <c r="Q99" s="233" t="e">
        <f>IF(Calculs!N238&gt;0, (-(Calculs!N238+2*Calculs!O184)+SQRT((Calculs!N238+2*Calculs!O184)*(Calculs!N238+2*Calculs!O184)+8*Calculs!N238*(M99)))/(2*Calculs!N238), ((M99)/Calculs!O184))</f>
        <v>#DIV/0!</v>
      </c>
      <c r="R99" s="233" t="e">
        <f t="shared" si="14"/>
        <v>#DIV/0!</v>
      </c>
      <c r="S99" s="238" t="e">
        <f>Q99-Paramétrage!$D$29</f>
        <v>#DIV/0!</v>
      </c>
      <c r="T99" s="427" t="e">
        <f>IF(Q99&lt;Paramétrage!$D$29, Q99, Paramétrage!$D$29)</f>
        <v>#DIV/0!</v>
      </c>
      <c r="U99" s="251" t="e">
        <f>Paramétrage!$H$19+S99*(365/12)</f>
        <v>#DIV/0!</v>
      </c>
      <c r="V99" s="252" t="e">
        <f>IF(Q99&lt;Paramétrage!$D$29, Paramétrage!$H$19+T99*(365/12), Paramétrage!$H$19+Q99*(365/12))</f>
        <v>#DIV/0!</v>
      </c>
      <c r="X99" s="233" t="str">
        <f>IF(ISERROR(Q99),"", IF(Q99=0, "", IF(Q99&gt;'Calculs Péremption FA'!$CB38, 'Calculs Péremption FA'!$CB38, Q99)))</f>
        <v/>
      </c>
      <c r="Y99" s="575" t="str">
        <f t="shared" si="15"/>
        <v/>
      </c>
      <c r="Z99" s="238" t="str">
        <f>IF(ISERROR(Q99),"", IF(Q99=0, "", IF(Q99&gt;'Calculs Péremption FA'!$CB38, 'Calculs Péremption FA'!$CB38-Paramétrage!$D$29, S99)))</f>
        <v/>
      </c>
      <c r="AA99" s="427" t="str">
        <f>IF(ISERROR(Q99),"", IF(Q99=0, "", IF(Q99&gt;'Calculs Péremption FA'!$CB38, Paramétrage!$D$29, T99)))</f>
        <v/>
      </c>
      <c r="AB99" s="251" t="str">
        <f>IF(ISERROR(Q99),"", IF(Q99=0, "", IF(Q99&gt;'Calculs Péremption FA'!$CB38, 'Calculs Péremption FA'!$BX38-Paramétrage!$D$29*(365/12), U99)))</f>
        <v/>
      </c>
      <c r="AC99" s="252" t="str">
        <f>IF(ISERROR(Q99), AW99, IF(Q99=0, "", IF(Q99&gt;'Calculs Péremption FA'!$CB38, IF(Q99&lt;'Saisie données stocks'!$N$14, CONCATENATE('TRAD-Calculs dispo Données FA'!$B$88, " - ", 'Calculs Péremption FA'!$BY38, "/", 'Calculs Péremption FA'!$BZ38, "/", 'Calculs Péremption FA'!$CA38), 'Calculs Péremption FA'!CC38), V99)))</f>
        <v/>
      </c>
      <c r="AE99" s="233" t="e">
        <f>(Calculs!N293/Calculs!O184)</f>
        <v>#DIV/0!</v>
      </c>
      <c r="AF99" s="233" t="e">
        <f t="shared" si="16"/>
        <v>#DIV/0!</v>
      </c>
      <c r="AG99" s="238" t="e">
        <f>AE99-Paramétrage!$D$29</f>
        <v>#DIV/0!</v>
      </c>
      <c r="AH99" s="427" t="e">
        <f>IF(AE99&lt;Paramétrage!$D$29, AE99, Paramétrage!$D$29)</f>
        <v>#DIV/0!</v>
      </c>
      <c r="AI99" s="251" t="e">
        <f>Paramétrage!$H$19+AG99*(365/12)</f>
        <v>#DIV/0!</v>
      </c>
      <c r="AJ99" s="252" t="e">
        <f>IF(AE99&lt;Paramétrage!$D$29, Paramétrage!$H$19+AH99*(365/12), Paramétrage!$H$19+AE99*(365/12))</f>
        <v>#DIV/0!</v>
      </c>
      <c r="AL99" s="233" t="str">
        <f>IF(ISERROR(AE99),"", IF(AE99=0, "", IF(AE99&gt;'Calculs Péremption FA'!$CB38, 'Calculs Péremption FA'!$CB38, AE99)))</f>
        <v/>
      </c>
      <c r="AM99" s="575" t="str">
        <f t="shared" si="17"/>
        <v/>
      </c>
      <c r="AN99" s="238" t="str">
        <f>IF(ISERROR(AE99),"", IF(AE99=0, "", IF(AE99&gt;'Calculs Péremption FA'!$CB38, 'Calculs Péremption FA'!$CB38-Paramétrage!$D$29, AG99)))</f>
        <v/>
      </c>
      <c r="AO99" s="427" t="str">
        <f>IF(ISERROR(AE99),"", IF(AE99=0, "", IF(AE99&gt;'Calculs Péremption FA'!$CB38, Paramétrage!$D$29, AH99)))</f>
        <v/>
      </c>
      <c r="AP99" s="251" t="str">
        <f>IF(ISERROR(AE99),"", IF(AE99=0, "", IF(AE99&gt;'Calculs Péremption FA'!$CB38, 'Calculs Péremption FA'!$BX38-Paramétrage!$D$29*(365/12), AI99)))</f>
        <v/>
      </c>
      <c r="AQ99" s="252" t="str">
        <f>IF(ISERROR(AE99),"", IF(AE99=0, "", IF(AE99&gt;'Calculs Péremption FA'!$CB38, CONCATENATE('TRAD-Calculs dispo Données FA'!$B$88, " - ", 'Saisie données stocks'!$AF110, "/", 'Saisie données stocks'!$AG110, "/", 'Saisie données stocks'!$AH110), AJ99)))</f>
        <v/>
      </c>
      <c r="AS99" s="2061">
        <f>Calculs!$N293</f>
        <v>0</v>
      </c>
      <c r="AT99" s="2062">
        <f>Calculs!$O184</f>
        <v>0</v>
      </c>
      <c r="AU99" s="2068">
        <f>Calculs!$N238</f>
        <v>0</v>
      </c>
      <c r="AV99" s="2070" t="str">
        <f>IF(AND(AU99=0, AS99=0, AT99=0), 'TRAD-Calculs dispo Données FA'!$B$82, "")</f>
        <v>Stock et besoin nul</v>
      </c>
      <c r="AW99" s="2062" t="str">
        <f>IF(AND(AU99=0, AS99&gt;0, AT99=0), CONCATENATE(AS99,'TRAD-Calculs dispo Données FA'!$B$80," =0"), "")</f>
        <v/>
      </c>
      <c r="AX99" s="2063" t="str">
        <f>IF(AND(AS99=0, OR(AT99&gt;=1, AU99&gt;=1)), 'TRAD-Calculs dispo Données FA'!$B$81, "")</f>
        <v/>
      </c>
    </row>
    <row r="100" spans="3:50" s="358" customFormat="1" ht="25.5" x14ac:dyDescent="0.2">
      <c r="C100" s="374"/>
      <c r="D100" s="375" t="s">
        <v>41</v>
      </c>
      <c r="E100" s="376" t="str">
        <f>'Saisie données stocks'!F51</f>
        <v>LPV/r</v>
      </c>
      <c r="F100" s="377" t="str">
        <f>'Saisie données stocks'!G51</f>
        <v>Cp</v>
      </c>
      <c r="G100" s="377" t="str">
        <f>'Saisie données stocks'!H51</f>
        <v>200/50 mg</v>
      </c>
      <c r="H100" s="378" t="str">
        <f>CONCATENATE(E100, " - ", G100, " - ", 'TRAD-Calculs dispo Données FA'!$B$79,"/", K100)</f>
        <v>LPV/r - 200/50 mg - B/120</v>
      </c>
      <c r="I100" s="380">
        <f>Calculs!K134</f>
        <v>4</v>
      </c>
      <c r="J100" s="380">
        <f t="shared" si="12"/>
        <v>120</v>
      </c>
      <c r="K100" s="114">
        <f>Calculs!J134</f>
        <v>120</v>
      </c>
      <c r="L100" s="381">
        <f t="shared" si="13"/>
        <v>1</v>
      </c>
      <c r="M100" s="1820">
        <f>Calculs!N294</f>
        <v>0</v>
      </c>
      <c r="N100" s="1820">
        <f>Calculs!O185</f>
        <v>0</v>
      </c>
      <c r="O100" s="1820">
        <f>Calculs!N239</f>
        <v>0</v>
      </c>
      <c r="P100"/>
      <c r="Q100" s="231" t="e">
        <f>IF(Calculs!N239&gt;0, (-(Calculs!N239+2*Calculs!O185)+SQRT((Calculs!N239+2*Calculs!O185)*(Calculs!N239+2*Calculs!O185)+8*Calculs!N239*(M100)))/(2*Calculs!N239), ((M100)/Calculs!O185))</f>
        <v>#DIV/0!</v>
      </c>
      <c r="R100" s="231" t="e">
        <f t="shared" si="14"/>
        <v>#DIV/0!</v>
      </c>
      <c r="S100" s="236" t="e">
        <f>Q100-Paramétrage!$D$29</f>
        <v>#DIV/0!</v>
      </c>
      <c r="T100" s="241" t="e">
        <f>IF(Q100&lt;Paramétrage!$D$29, Q100, Paramétrage!$D$29)</f>
        <v>#DIV/0!</v>
      </c>
      <c r="U100" s="247" t="e">
        <f>Paramétrage!$H$19+S100*(365/12)</f>
        <v>#DIV/0!</v>
      </c>
      <c r="V100" s="248" t="e">
        <f>IF(Q100&lt;Paramétrage!$D$29, Paramétrage!$H$19+T100*(365/12), Paramétrage!$H$19+Q100*(365/12))</f>
        <v>#DIV/0!</v>
      </c>
      <c r="X100" s="231" t="str">
        <f>IF(ISERROR(Q100),"", IF(Q100=0, "", IF(Q100&gt;'Calculs Péremption FA'!$CB39, 'Calculs Péremption FA'!$CB39, Q100)))</f>
        <v/>
      </c>
      <c r="Y100" s="582" t="str">
        <f t="shared" si="15"/>
        <v/>
      </c>
      <c r="Z100" s="236" t="str">
        <f>IF(ISERROR(Q100),"", IF(Q100=0, "", IF(Q100&gt;'Calculs Péremption FA'!$CB39, 'Calculs Péremption FA'!$CB39-Paramétrage!$D$29, S100)))</f>
        <v/>
      </c>
      <c r="AA100" s="425" t="str">
        <f>IF(ISERROR(Q100),"", IF(Q100=0, "", IF(Q100&gt;'Calculs Péremption FA'!$CB39, Paramétrage!$D$29, T100)))</f>
        <v/>
      </c>
      <c r="AB100" s="247" t="str">
        <f>IF(ISERROR(Q100),"", IF(Q100=0, "", IF(Q100&gt;'Calculs Péremption FA'!$CB39, 'Calculs Péremption FA'!$BX39-Paramétrage!$D$29*(365/12), U100)))</f>
        <v/>
      </c>
      <c r="AC100" s="248" t="str">
        <f>IF(ISERROR(Q100), AW100, IF(Q100=0, "", IF(Q100&gt;'Calculs Péremption FA'!$CB39, IF(Q100&lt;'Saisie données stocks'!$N$14, CONCATENATE('TRAD-Calculs dispo Données FA'!$B$88, " - ", 'Calculs Péremption FA'!$BY39, "/", 'Calculs Péremption FA'!$BZ39, "/", 'Calculs Péremption FA'!$CA39), 'Calculs Péremption FA'!CC39), V100)))</f>
        <v/>
      </c>
      <c r="AE100" s="231" t="e">
        <f>(Calculs!N294/Calculs!O185)</f>
        <v>#DIV/0!</v>
      </c>
      <c r="AF100" s="231" t="e">
        <f t="shared" si="16"/>
        <v>#DIV/0!</v>
      </c>
      <c r="AG100" s="236" t="e">
        <f>AE100-Paramétrage!$D$29</f>
        <v>#DIV/0!</v>
      </c>
      <c r="AH100" s="241" t="e">
        <f>IF(AE100&lt;Paramétrage!$D$29, AE100, Paramétrage!$D$29)</f>
        <v>#DIV/0!</v>
      </c>
      <c r="AI100" s="247" t="e">
        <f>Paramétrage!$H$19+AG100*(365/12)</f>
        <v>#DIV/0!</v>
      </c>
      <c r="AJ100" s="248" t="e">
        <f>IF(AE100&lt;Paramétrage!$D$29, Paramétrage!$H$19+AH100*(365/12), Paramétrage!$H$19+AE100*(365/12))</f>
        <v>#DIV/0!</v>
      </c>
      <c r="AL100" s="231" t="str">
        <f>IF(ISERROR(AE100),"", IF(AE100=0, "", IF(AE100&gt;'Calculs Péremption FA'!$CB39, 'Calculs Péremption FA'!$CB39, AE100)))</f>
        <v/>
      </c>
      <c r="AM100" s="582" t="str">
        <f t="shared" si="17"/>
        <v/>
      </c>
      <c r="AN100" s="236" t="str">
        <f>IF(ISERROR(AE100),"", IF(AE100=0, "", IF(AE100&gt;'Calculs Péremption FA'!$CB39, 'Calculs Péremption FA'!$CB39-Paramétrage!$D$29, AG100)))</f>
        <v/>
      </c>
      <c r="AO100" s="425" t="str">
        <f>IF(ISERROR(AE100),"", IF(AE100=0, "", IF(AE100&gt;'Calculs Péremption FA'!$CB39, Paramétrage!$D$29, AH100)))</f>
        <v/>
      </c>
      <c r="AP100" s="247" t="str">
        <f>IF(ISERROR(AE100),"", IF(AE100=0, "", IF(AE100&gt;'Calculs Péremption FA'!$CB39, 'Calculs Péremption FA'!$BX39-Paramétrage!$D$29*(365/12), AI100)))</f>
        <v/>
      </c>
      <c r="AQ100" s="248" t="str">
        <f>IF(ISERROR(AE100),"", IF(AE100=0, "", IF(AE100&gt;'Calculs Péremption FA'!$CB39, CONCATENATE('TRAD-Calculs dispo Données FA'!$B$88, " - ", 'Saisie données stocks'!$AF111, "/", 'Saisie données stocks'!$AG111, "/", 'Saisie données stocks'!$AH111), AJ100)))</f>
        <v/>
      </c>
      <c r="AS100" s="2061">
        <f>Calculs!$N294</f>
        <v>0</v>
      </c>
      <c r="AT100" s="2062">
        <f>Calculs!$O185</f>
        <v>0</v>
      </c>
      <c r="AU100" s="2068">
        <f>Calculs!$N239</f>
        <v>0</v>
      </c>
      <c r="AV100" s="2070" t="str">
        <f>IF(AND(AU100=0, AS100=0, AT100=0), 'TRAD-Calculs dispo Données FA'!$B$82, "")</f>
        <v>Stock et besoin nul</v>
      </c>
      <c r="AW100" s="2062" t="str">
        <f>IF(AND(AU100=0, AS100&gt;0, AT100=0), CONCATENATE(AS100,'TRAD-Calculs dispo Données FA'!$B$80," =0"), "")</f>
        <v/>
      </c>
      <c r="AX100" s="2063" t="str">
        <f>IF(AND(AS100=0, OR(AT100&gt;=1, AU100&gt;=1)), 'TRAD-Calculs dispo Données FA'!$B$81, "")</f>
        <v/>
      </c>
    </row>
    <row r="101" spans="3:50" s="358" customFormat="1" x14ac:dyDescent="0.2">
      <c r="C101" s="374"/>
      <c r="D101" s="402"/>
      <c r="E101" s="396" t="str">
        <f>'Saisie données stocks'!F52</f>
        <v>LPV/r</v>
      </c>
      <c r="F101" s="397" t="str">
        <f>'Saisie données stocks'!G52</f>
        <v>Cp coblister</v>
      </c>
      <c r="G101" s="397" t="str">
        <f>'Saisie données stocks'!H52</f>
        <v>100/25 mg</v>
      </c>
      <c r="H101" s="403" t="str">
        <f>CONCATENATE(E101, " - ", G101, " - ", 'TRAD-Calculs dispo Données FA'!$B$79,"/", K101)</f>
        <v>LPV/r - 100/25 mg - B/60</v>
      </c>
      <c r="I101" s="399">
        <f>Calculs!K135</f>
        <v>2</v>
      </c>
      <c r="J101" s="399">
        <f t="shared" si="12"/>
        <v>60</v>
      </c>
      <c r="K101" s="117">
        <f>Calculs!J135</f>
        <v>60</v>
      </c>
      <c r="L101" s="400">
        <f t="shared" si="13"/>
        <v>1</v>
      </c>
      <c r="M101" s="1823">
        <f>Calculs!N295</f>
        <v>83</v>
      </c>
      <c r="N101" s="1871">
        <f>Calculs!O186</f>
        <v>0</v>
      </c>
      <c r="O101" s="1871">
        <f>Calculs!N240</f>
        <v>0</v>
      </c>
      <c r="P101"/>
      <c r="Q101" s="234" t="e">
        <f>IF(Calculs!N240&gt;0, (-(Calculs!N240+2*Calculs!O186)+SQRT((Calculs!N240+2*Calculs!O186)*(Calculs!N240+2*Calculs!O186)+8*Calculs!N240*(M101)))/(2*Calculs!N240), ((M101)/Calculs!O186))</f>
        <v>#DIV/0!</v>
      </c>
      <c r="R101" s="234" t="e">
        <f t="shared" si="14"/>
        <v>#DIV/0!</v>
      </c>
      <c r="S101" s="239" t="e">
        <f>Q101-Paramétrage!$D$29</f>
        <v>#DIV/0!</v>
      </c>
      <c r="T101" s="241" t="e">
        <f>IF(Q101&lt;Paramétrage!$D$29, Q101, Paramétrage!$D$29)</f>
        <v>#DIV/0!</v>
      </c>
      <c r="U101" s="253" t="e">
        <f>Paramétrage!$H$19+S101*(365/12)</f>
        <v>#DIV/0!</v>
      </c>
      <c r="V101" s="254" t="e">
        <f>IF(Q101&lt;Paramétrage!$D$29, Paramétrage!$H$19+T101*(365/12), Paramétrage!$H$19+Q101*(365/12))</f>
        <v>#DIV/0!</v>
      </c>
      <c r="X101" s="234" t="str">
        <f>IF(ISERROR(Q101),"", IF(Q101=0, "", IF(Q101&gt;'Calculs Péremption FA'!$CB40, 'Calculs Péremption FA'!$CB40, Q101)))</f>
        <v/>
      </c>
      <c r="Y101" s="584" t="str">
        <f t="shared" si="15"/>
        <v/>
      </c>
      <c r="Z101" s="239" t="str">
        <f>IF(ISERROR(Q101),"", IF(Q101=0, "", IF(Q101&gt;'Calculs Péremption FA'!$CB40, 'Calculs Péremption FA'!$CB40-Paramétrage!$D$29, S101)))</f>
        <v/>
      </c>
      <c r="AA101" s="425" t="str">
        <f>IF(ISERROR(Q101),"", IF(Q101=0, "", IF(Q101&gt;'Calculs Péremption FA'!$CB40, Paramétrage!$D$29, T101)))</f>
        <v/>
      </c>
      <c r="AB101" s="253" t="str">
        <f>IF(ISERROR(Q101),"", IF(Q101=0, "", IF(Q101&gt;'Calculs Péremption FA'!$CB40, 'Calculs Péremption FA'!$BX40-Paramétrage!$D$29*(365/12), U101)))</f>
        <v/>
      </c>
      <c r="AC101" s="254" t="str">
        <f>IF(ISERROR(Q101), AW101, IF(Q101=0, "", IF(Q101&gt;'Calculs Péremption FA'!$CB40, IF(Q101&lt;'Saisie données stocks'!$N$14, CONCATENATE('TRAD-Calculs dispo Données FA'!$B$88, " - ", 'Calculs Péremption FA'!$BY40, "/", 'Calculs Péremption FA'!$BZ40, "/", 'Calculs Péremption FA'!$CA40), 'Calculs Péremption FA'!CC40), V101)))</f>
        <v>83B &amp; conso =0</v>
      </c>
      <c r="AE101" s="234" t="e">
        <f>(Calculs!N295/Calculs!O186)</f>
        <v>#DIV/0!</v>
      </c>
      <c r="AF101" s="234" t="e">
        <f t="shared" si="16"/>
        <v>#DIV/0!</v>
      </c>
      <c r="AG101" s="239" t="e">
        <f>AE101-Paramétrage!$D$29</f>
        <v>#DIV/0!</v>
      </c>
      <c r="AH101" s="241" t="e">
        <f>IF(AE101&lt;Paramétrage!$D$29, AE101, Paramétrage!$D$29)</f>
        <v>#DIV/0!</v>
      </c>
      <c r="AI101" s="253" t="e">
        <f>Paramétrage!$H$19+AG101*(365/12)</f>
        <v>#DIV/0!</v>
      </c>
      <c r="AJ101" s="254" t="e">
        <f>IF(AE101&lt;Paramétrage!$D$29, Paramétrage!$H$19+AH101*(365/12), Paramétrage!$H$19+AE101*(365/12))</f>
        <v>#DIV/0!</v>
      </c>
      <c r="AL101" s="234" t="str">
        <f>IF(ISERROR(AE101),"", IF(AE101=0, "", IF(AE101&gt;'Calculs Péremption FA'!$CB40, 'Calculs Péremption FA'!$CB40, AE101)))</f>
        <v/>
      </c>
      <c r="AM101" s="584" t="str">
        <f t="shared" si="17"/>
        <v/>
      </c>
      <c r="AN101" s="239" t="str">
        <f>IF(ISERROR(AE101),"", IF(AE101=0, "", IF(AE101&gt;'Calculs Péremption FA'!$CB40, 'Calculs Péremption FA'!$CB40-Paramétrage!$D$29, AG101)))</f>
        <v/>
      </c>
      <c r="AO101" s="425" t="str">
        <f>IF(ISERROR(AE101),"", IF(AE101=0, "", IF(AE101&gt;'Calculs Péremption FA'!$CB40, Paramétrage!$D$29, AH101)))</f>
        <v/>
      </c>
      <c r="AP101" s="253" t="str">
        <f>IF(ISERROR(AE101),"", IF(AE101=0, "", IF(AE101&gt;'Calculs Péremption FA'!$CB40, 'Calculs Péremption FA'!$BX40-Paramétrage!$D$29*(365/12), AI101)))</f>
        <v/>
      </c>
      <c r="AQ101" s="254" t="str">
        <f>IF(ISERROR(AE101),"", IF(AE101=0, "", IF(AE101&gt;'Calculs Péremption FA'!$CB40, CONCATENATE('TRAD-Calculs dispo Données FA'!$B$88, " - ", 'Saisie données stocks'!$AF112, "/", 'Saisie données stocks'!$AG112, "/", 'Saisie données stocks'!$AH112), AJ101)))</f>
        <v/>
      </c>
      <c r="AS101" s="2061">
        <f>Calculs!$N295</f>
        <v>83</v>
      </c>
      <c r="AT101" s="2062">
        <f>Calculs!$O186</f>
        <v>0</v>
      </c>
      <c r="AU101" s="2068">
        <f>Calculs!$N240</f>
        <v>0</v>
      </c>
      <c r="AV101" s="2070" t="str">
        <f>IF(AND(AU101=0, AS101=0, AT101=0), 'TRAD-Calculs dispo Données FA'!$B$82, "")</f>
        <v/>
      </c>
      <c r="AW101" s="2062" t="str">
        <f>IF(AND(AU101=0, AS101&gt;0, AT101=0), CONCATENATE(AS101,'TRAD-Calculs dispo Données FA'!$B$80," =0"), "")</f>
        <v>83B &amp; conso =0</v>
      </c>
      <c r="AX101" s="2063" t="str">
        <f>IF(AND(AS101=0, OR(AT101&gt;=1, AU101&gt;=1)), 'TRAD-Calculs dispo Données FA'!$B$81, "")</f>
        <v/>
      </c>
    </row>
    <row r="102" spans="3:50" s="358" customFormat="1" ht="25.5" x14ac:dyDescent="0.2">
      <c r="C102" s="374"/>
      <c r="D102" s="402"/>
      <c r="E102" s="396" t="str">
        <f>'Saisie données stocks'!F53</f>
        <v>ATV/r</v>
      </c>
      <c r="F102" s="397" t="str">
        <f>'Saisie données stocks'!G53</f>
        <v>Cp</v>
      </c>
      <c r="G102" s="397" t="str">
        <f>'Saisie données stocks'!H53</f>
        <v>300/100 mg</v>
      </c>
      <c r="H102" s="403" t="str">
        <f>CONCATENATE(E102, " - ", G102, " - ", 'TRAD-Calculs dispo Données FA'!$B$79,"/", K102)</f>
        <v>ATV/r - 300/100 mg - B/60</v>
      </c>
      <c r="I102" s="399">
        <f>Calculs!K136</f>
        <v>2</v>
      </c>
      <c r="J102" s="399">
        <f t="shared" si="12"/>
        <v>60</v>
      </c>
      <c r="K102" s="117">
        <f>Calculs!J136</f>
        <v>60</v>
      </c>
      <c r="L102" s="400">
        <f t="shared" si="13"/>
        <v>1</v>
      </c>
      <c r="M102" s="1823">
        <f>Calculs!N296</f>
        <v>0</v>
      </c>
      <c r="N102" s="1871">
        <f>Calculs!O187</f>
        <v>0</v>
      </c>
      <c r="O102" s="1871">
        <f>Calculs!N241</f>
        <v>0</v>
      </c>
      <c r="P102"/>
      <c r="Q102" s="234" t="e">
        <f>IF(Calculs!N241&gt;0, (-(Calculs!N241+2*Calculs!O187)+SQRT((Calculs!N241+2*Calculs!O187)*(Calculs!N241+2*Calculs!O187)+8*Calculs!N241*(M102)))/(2*Calculs!N241), ((M102)/Calculs!O187))</f>
        <v>#DIV/0!</v>
      </c>
      <c r="R102" s="234" t="e">
        <f t="shared" si="14"/>
        <v>#DIV/0!</v>
      </c>
      <c r="S102" s="239" t="e">
        <f>Q102-Paramétrage!$D$29</f>
        <v>#DIV/0!</v>
      </c>
      <c r="T102" s="241" t="e">
        <f>IF(Q102&lt;Paramétrage!$D$29, Q102, Paramétrage!$D$29)</f>
        <v>#DIV/0!</v>
      </c>
      <c r="U102" s="253" t="e">
        <f>Paramétrage!$H$19+S102*(365/12)</f>
        <v>#DIV/0!</v>
      </c>
      <c r="V102" s="254" t="e">
        <f>IF(Q102&lt;Paramétrage!$D$29, Paramétrage!$H$19+T102*(365/12), Paramétrage!$H$19+Q102*(365/12))</f>
        <v>#DIV/0!</v>
      </c>
      <c r="X102" s="234" t="str">
        <f>IF(ISERROR(Q102),"", IF(Q102=0, "", IF(Q102&gt;'Calculs Péremption FA'!$CB41, 'Calculs Péremption FA'!$CB41, Q102)))</f>
        <v/>
      </c>
      <c r="Y102" s="584" t="str">
        <f t="shared" si="15"/>
        <v/>
      </c>
      <c r="Z102" s="239" t="str">
        <f>IF(ISERROR(Q102),"", IF(Q102=0, "", IF(Q102&gt;'Calculs Péremption FA'!$CB41, 'Calculs Péremption FA'!$CB41-Paramétrage!$D$29, S102)))</f>
        <v/>
      </c>
      <c r="AA102" s="425" t="str">
        <f>IF(ISERROR(Q102),"", IF(Q102=0, "", IF(Q102&gt;'Calculs Péremption FA'!$CB41, Paramétrage!$D$29, T102)))</f>
        <v/>
      </c>
      <c r="AB102" s="253" t="str">
        <f>IF(ISERROR(Q102),"", IF(Q102=0, "", IF(Q102&gt;'Calculs Péremption FA'!$CB41, 'Calculs Péremption FA'!$BX41-Paramétrage!$D$29*(365/12), U102)))</f>
        <v/>
      </c>
      <c r="AC102" s="254" t="str">
        <f>IF(ISERROR(Q102), AW102, IF(Q102=0, "", IF(Q102&gt;'Calculs Péremption FA'!$CB41, IF(Q102&lt;'Saisie données stocks'!$N$14, CONCATENATE('TRAD-Calculs dispo Données FA'!$B$88, " - ", 'Calculs Péremption FA'!$BY41, "/", 'Calculs Péremption FA'!$BZ41, "/", 'Calculs Péremption FA'!$CA41), 'Calculs Péremption FA'!CC41), V102)))</f>
        <v/>
      </c>
      <c r="AE102" s="234" t="e">
        <f>(Calculs!N296/Calculs!O187)</f>
        <v>#DIV/0!</v>
      </c>
      <c r="AF102" s="234" t="e">
        <f t="shared" si="16"/>
        <v>#DIV/0!</v>
      </c>
      <c r="AG102" s="239" t="e">
        <f>AE102-Paramétrage!$D$29</f>
        <v>#DIV/0!</v>
      </c>
      <c r="AH102" s="241" t="e">
        <f>IF(AE102&lt;Paramétrage!$D$29, AE102, Paramétrage!$D$29)</f>
        <v>#DIV/0!</v>
      </c>
      <c r="AI102" s="253" t="e">
        <f>Paramétrage!$H$19+AG102*(365/12)</f>
        <v>#DIV/0!</v>
      </c>
      <c r="AJ102" s="254" t="e">
        <f>IF(AE102&lt;Paramétrage!$D$29, Paramétrage!$H$19+AH102*(365/12), Paramétrage!$H$19+AE102*(365/12))</f>
        <v>#DIV/0!</v>
      </c>
      <c r="AL102" s="234" t="str">
        <f>IF(ISERROR(AE102),"", IF(AE102=0, "", IF(AE102&gt;'Calculs Péremption FA'!$CB41, 'Calculs Péremption FA'!$CB41, AE102)))</f>
        <v/>
      </c>
      <c r="AM102" s="584" t="str">
        <f t="shared" si="17"/>
        <v/>
      </c>
      <c r="AN102" s="239" t="str">
        <f>IF(ISERROR(AE102),"", IF(AE102=0, "", IF(AE102&gt;'Calculs Péremption FA'!$CB41, 'Calculs Péremption FA'!$CB41-Paramétrage!$D$29, AG102)))</f>
        <v/>
      </c>
      <c r="AO102" s="425" t="str">
        <f>IF(ISERROR(AE102),"", IF(AE102=0, "", IF(AE102&gt;'Calculs Péremption FA'!$CB41, Paramétrage!$D$29, AH102)))</f>
        <v/>
      </c>
      <c r="AP102" s="253" t="str">
        <f>IF(ISERROR(AE102),"", IF(AE102=0, "", IF(AE102&gt;'Calculs Péremption FA'!$CB41, 'Calculs Péremption FA'!$BX41-Paramétrage!$D$29*(365/12), AI102)))</f>
        <v/>
      </c>
      <c r="AQ102" s="254" t="str">
        <f>IF(ISERROR(AE102),"", IF(AE102=0, "", IF(AE102&gt;'Calculs Péremption FA'!$CB41, CONCATENATE('TRAD-Calculs dispo Données FA'!$B$88, " - ", 'Saisie données stocks'!$AF113, "/", 'Saisie données stocks'!$AG113, "/", 'Saisie données stocks'!$AH113), AJ102)))</f>
        <v/>
      </c>
      <c r="AS102" s="2061">
        <f>Calculs!$N296</f>
        <v>0</v>
      </c>
      <c r="AT102" s="2062">
        <f>Calculs!$O187</f>
        <v>0</v>
      </c>
      <c r="AU102" s="2068">
        <f>Calculs!$N241</f>
        <v>0</v>
      </c>
      <c r="AV102" s="2070" t="str">
        <f>IF(AND(AU102=0, AS102=0, AT102=0), 'TRAD-Calculs dispo Données FA'!$B$82, "")</f>
        <v>Stock et besoin nul</v>
      </c>
      <c r="AW102" s="2062" t="str">
        <f>IF(AND(AU102=0, AS102&gt;0, AT102=0), CONCATENATE(AS102,'TRAD-Calculs dispo Données FA'!$B$80," =0"), "")</f>
        <v/>
      </c>
      <c r="AX102" s="2063" t="str">
        <f>IF(AND(AS102=0, OR(AT102&gt;=1, AU102&gt;=1)), 'TRAD-Calculs dispo Données FA'!$B$81, "")</f>
        <v/>
      </c>
    </row>
    <row r="103" spans="3:50" s="358" customFormat="1" ht="25.5" x14ac:dyDescent="0.2">
      <c r="C103" s="374"/>
      <c r="D103" s="402"/>
      <c r="E103" s="396" t="str">
        <f>'Saisie données stocks'!F54</f>
        <v>FPV</v>
      </c>
      <c r="F103" s="397" t="str">
        <f>'Saisie données stocks'!G54</f>
        <v>Cp</v>
      </c>
      <c r="G103" s="397" t="str">
        <f>'Saisie données stocks'!H54</f>
        <v>700 mg</v>
      </c>
      <c r="H103" s="403" t="str">
        <f>CONCATENATE(E103, " - ", G103, " - ", 'TRAD-Calculs dispo Données FA'!$B$79,"/", K103)</f>
        <v>FPV - 700 mg - B/60</v>
      </c>
      <c r="I103" s="399">
        <f>Calculs!K137</f>
        <v>2</v>
      </c>
      <c r="J103" s="399">
        <f t="shared" si="12"/>
        <v>60</v>
      </c>
      <c r="K103" s="117">
        <f>Calculs!J137</f>
        <v>60</v>
      </c>
      <c r="L103" s="400">
        <f t="shared" si="13"/>
        <v>1</v>
      </c>
      <c r="M103" s="1823">
        <f>Calculs!N297</f>
        <v>0</v>
      </c>
      <c r="N103" s="1871">
        <f>Calculs!O188</f>
        <v>0</v>
      </c>
      <c r="O103" s="1871">
        <f>Calculs!N242</f>
        <v>0</v>
      </c>
      <c r="P103"/>
      <c r="Q103" s="234" t="e">
        <f>IF(Calculs!N242&gt;0, (-(Calculs!N242+2*Calculs!O188)+SQRT((Calculs!N242+2*Calculs!O188)*(Calculs!N242+2*Calculs!O188)+8*Calculs!N242*(M103)))/(2*Calculs!N242), ((M103)/Calculs!O188))</f>
        <v>#DIV/0!</v>
      </c>
      <c r="R103" s="234" t="e">
        <f t="shared" si="14"/>
        <v>#DIV/0!</v>
      </c>
      <c r="S103" s="239" t="e">
        <f>Q103-Paramétrage!$D$29</f>
        <v>#DIV/0!</v>
      </c>
      <c r="T103" s="241" t="e">
        <f>IF(Q103&lt;Paramétrage!$D$29, Q103, Paramétrage!$D$29)</f>
        <v>#DIV/0!</v>
      </c>
      <c r="U103" s="253" t="e">
        <f>Paramétrage!$H$19+S103*(365/12)</f>
        <v>#DIV/0!</v>
      </c>
      <c r="V103" s="254" t="e">
        <f>IF(Q103&lt;Paramétrage!$D$29, Paramétrage!$H$19+T103*(365/12), Paramétrage!$H$19+Q103*(365/12))</f>
        <v>#DIV/0!</v>
      </c>
      <c r="X103" s="234" t="str">
        <f>IF(ISERROR(Q103),"", IF(Q103=0, "", IF(Q103&gt;'Calculs Péremption FA'!$CB42, 'Calculs Péremption FA'!$CB42, Q103)))</f>
        <v/>
      </c>
      <c r="Y103" s="584" t="str">
        <f t="shared" si="15"/>
        <v/>
      </c>
      <c r="Z103" s="239" t="str">
        <f>IF(ISERROR(Q103),"", IF(Q103=0, "", IF(Q103&gt;'Calculs Péremption FA'!$CB42, 'Calculs Péremption FA'!$CB42-Paramétrage!$D$29, S103)))</f>
        <v/>
      </c>
      <c r="AA103" s="425" t="str">
        <f>IF(ISERROR(Q103),"", IF(Q103=0, "", IF(Q103&gt;'Calculs Péremption FA'!$CB42, Paramétrage!$D$29, T103)))</f>
        <v/>
      </c>
      <c r="AB103" s="253" t="str">
        <f>IF(ISERROR(Q103),"", IF(Q103=0, "", IF(Q103&gt;'Calculs Péremption FA'!$CB42, 'Calculs Péremption FA'!$BX42-Paramétrage!$D$29*(365/12), U103)))</f>
        <v/>
      </c>
      <c r="AC103" s="254" t="str">
        <f>IF(ISERROR(Q103), AW103, IF(Q103=0, "", IF(Q103&gt;'Calculs Péremption FA'!$CB42, IF(Q103&lt;'Saisie données stocks'!$N$14, CONCATENATE('TRAD-Calculs dispo Données FA'!$B$88, " - ", 'Calculs Péremption FA'!$BY42, "/", 'Calculs Péremption FA'!$BZ42, "/", 'Calculs Péremption FA'!$CA42), 'Calculs Péremption FA'!CC42), V103)))</f>
        <v/>
      </c>
      <c r="AE103" s="234" t="e">
        <f>(Calculs!N297/Calculs!O188)</f>
        <v>#DIV/0!</v>
      </c>
      <c r="AF103" s="234" t="e">
        <f t="shared" si="16"/>
        <v>#DIV/0!</v>
      </c>
      <c r="AG103" s="239" t="e">
        <f>AE103-Paramétrage!$D$29</f>
        <v>#DIV/0!</v>
      </c>
      <c r="AH103" s="241" t="e">
        <f>IF(AE103&lt;Paramétrage!$D$29, AE103, Paramétrage!$D$29)</f>
        <v>#DIV/0!</v>
      </c>
      <c r="AI103" s="253" t="e">
        <f>Paramétrage!$H$19+AG103*(365/12)</f>
        <v>#DIV/0!</v>
      </c>
      <c r="AJ103" s="254" t="e">
        <f>IF(AE103&lt;Paramétrage!$D$29, Paramétrage!$H$19+AH103*(365/12), Paramétrage!$H$19+AE103*(365/12))</f>
        <v>#DIV/0!</v>
      </c>
      <c r="AL103" s="234" t="str">
        <f>IF(ISERROR(AE103),"", IF(AE103=0, "", IF(AE103&gt;'Calculs Péremption FA'!$CB42, 'Calculs Péremption FA'!$CB42, AE103)))</f>
        <v/>
      </c>
      <c r="AM103" s="584" t="str">
        <f t="shared" si="17"/>
        <v/>
      </c>
      <c r="AN103" s="239" t="str">
        <f>IF(ISERROR(AE103),"", IF(AE103=0, "", IF(AE103&gt;'Calculs Péremption FA'!$CB42, 'Calculs Péremption FA'!$CB42-Paramétrage!$D$29, AG103)))</f>
        <v/>
      </c>
      <c r="AO103" s="425" t="str">
        <f>IF(ISERROR(AE103),"", IF(AE103=0, "", IF(AE103&gt;'Calculs Péremption FA'!$CB42, Paramétrage!$D$29, AH103)))</f>
        <v/>
      </c>
      <c r="AP103" s="253" t="str">
        <f>IF(ISERROR(AE103),"", IF(AE103=0, "", IF(AE103&gt;'Calculs Péremption FA'!$CB42, 'Calculs Péremption FA'!$BX42-Paramétrage!$D$29*(365/12), AI103)))</f>
        <v/>
      </c>
      <c r="AQ103" s="254" t="str">
        <f>IF(ISERROR(AE103),"", IF(AE103=0, "", IF(AE103&gt;'Calculs Péremption FA'!$CB42, CONCATENATE('TRAD-Calculs dispo Données FA'!$B$88, " - ", 'Saisie données stocks'!$AF114, "/", 'Saisie données stocks'!$AG114, "/", 'Saisie données stocks'!$AH114), AJ103)))</f>
        <v/>
      </c>
      <c r="AS103" s="2061">
        <f>Calculs!$N297</f>
        <v>0</v>
      </c>
      <c r="AT103" s="2062">
        <f>Calculs!$O188</f>
        <v>0</v>
      </c>
      <c r="AU103" s="2068">
        <f>Calculs!$N242</f>
        <v>0</v>
      </c>
      <c r="AV103" s="2070" t="str">
        <f>IF(AND(AU103=0, AS103=0, AT103=0), 'TRAD-Calculs dispo Données FA'!$B$82, "")</f>
        <v>Stock et besoin nul</v>
      </c>
      <c r="AW103" s="2062" t="str">
        <f>IF(AND(AU103=0, AS103&gt;0, AT103=0), CONCATENATE(AS103,'TRAD-Calculs dispo Données FA'!$B$80," =0"), "")</f>
        <v/>
      </c>
      <c r="AX103" s="2063" t="str">
        <f>IF(AND(AS103=0, OR(AT103&gt;=1, AU103&gt;=1)), 'TRAD-Calculs dispo Données FA'!$B$81, "")</f>
        <v/>
      </c>
    </row>
    <row r="104" spans="3:50" s="358" customFormat="1" ht="25.5" x14ac:dyDescent="0.2">
      <c r="C104" s="374"/>
      <c r="D104" s="402"/>
      <c r="E104" s="396" t="str">
        <f>'Saisie données stocks'!F55</f>
        <v>IDV</v>
      </c>
      <c r="F104" s="397" t="str">
        <f>'Saisie données stocks'!G55</f>
        <v>Gel</v>
      </c>
      <c r="G104" s="397" t="str">
        <f>'Saisie données stocks'!H55</f>
        <v>400 mg</v>
      </c>
      <c r="H104" s="403" t="str">
        <f>CONCATENATE(E104, " - ", G104, " - ", 'TRAD-Calculs dispo Données FA'!$B$79,"/", K104)</f>
        <v>IDV - 400 mg - B/180</v>
      </c>
      <c r="I104" s="399">
        <f>Calculs!K138</f>
        <v>0</v>
      </c>
      <c r="J104" s="399">
        <f t="shared" si="12"/>
        <v>0</v>
      </c>
      <c r="K104" s="117">
        <f>Calculs!J138</f>
        <v>180</v>
      </c>
      <c r="L104" s="400">
        <f t="shared" si="13"/>
        <v>0</v>
      </c>
      <c r="M104" s="1823">
        <f>Calculs!N298</f>
        <v>0</v>
      </c>
      <c r="N104" s="1871">
        <f>Calculs!O189</f>
        <v>0</v>
      </c>
      <c r="O104" s="1871">
        <f>Calculs!N243</f>
        <v>0</v>
      </c>
      <c r="P104"/>
      <c r="Q104" s="234" t="e">
        <f>IF(Calculs!N243&gt;0, (-(Calculs!N243+2*Calculs!O189)+SQRT((Calculs!N243+2*Calculs!O189)*(Calculs!N243+2*Calculs!O189)+8*Calculs!N243*(M104)))/(2*Calculs!N243), ((M104)/Calculs!O189))</f>
        <v>#DIV/0!</v>
      </c>
      <c r="R104" s="234" t="e">
        <f t="shared" si="14"/>
        <v>#DIV/0!</v>
      </c>
      <c r="S104" s="239" t="e">
        <f>Q104-Paramétrage!$D$29</f>
        <v>#DIV/0!</v>
      </c>
      <c r="T104" s="241" t="e">
        <f>IF(Q104&lt;Paramétrage!$D$29, Q104, Paramétrage!$D$29)</f>
        <v>#DIV/0!</v>
      </c>
      <c r="U104" s="253" t="e">
        <f>Paramétrage!$H$19+S104*(365/12)</f>
        <v>#DIV/0!</v>
      </c>
      <c r="V104" s="254" t="e">
        <f>IF(Q104&lt;Paramétrage!$D$29, Paramétrage!$H$19+T104*(365/12), Paramétrage!$H$19+Q104*(365/12))</f>
        <v>#DIV/0!</v>
      </c>
      <c r="X104" s="234" t="str">
        <f>IF(ISERROR(Q104),"", IF(Q104=0, "", IF(Q104&gt;'Calculs Péremption FA'!$CB43, 'Calculs Péremption FA'!$CB43, Q104)))</f>
        <v/>
      </c>
      <c r="Y104" s="584" t="str">
        <f t="shared" si="15"/>
        <v/>
      </c>
      <c r="Z104" s="239" t="str">
        <f>IF(ISERROR(Q104),"", IF(Q104=0, "", IF(Q104&gt;'Calculs Péremption FA'!$CB43, 'Calculs Péremption FA'!$CB43-Paramétrage!$D$29, S104)))</f>
        <v/>
      </c>
      <c r="AA104" s="425" t="str">
        <f>IF(ISERROR(Q104),"", IF(Q104=0, "", IF(Q104&gt;'Calculs Péremption FA'!$CB43, Paramétrage!$D$29, T104)))</f>
        <v/>
      </c>
      <c r="AB104" s="253" t="str">
        <f>IF(ISERROR(Q104),"", IF(Q104=0, "", IF(Q104&gt;'Calculs Péremption FA'!$CB43, 'Calculs Péremption FA'!$BX43-Paramétrage!$D$29*(365/12), U104)))</f>
        <v/>
      </c>
      <c r="AC104" s="254" t="str">
        <f>IF(ISERROR(Q104), AW104, IF(Q104=0, "", IF(Q104&gt;'Calculs Péremption FA'!$CB43, IF(Q104&lt;'Saisie données stocks'!$N$14, CONCATENATE('TRAD-Calculs dispo Données FA'!$B$88, " - ", 'Calculs Péremption FA'!$BY43, "/", 'Calculs Péremption FA'!$BZ43, "/", 'Calculs Péremption FA'!$CA43), 'Calculs Péremption FA'!CC43), V104)))</f>
        <v/>
      </c>
      <c r="AE104" s="234" t="e">
        <f>(Calculs!N298/Calculs!O189)</f>
        <v>#DIV/0!</v>
      </c>
      <c r="AF104" s="234" t="e">
        <f t="shared" si="16"/>
        <v>#DIV/0!</v>
      </c>
      <c r="AG104" s="239" t="e">
        <f>AE104-Paramétrage!$D$29</f>
        <v>#DIV/0!</v>
      </c>
      <c r="AH104" s="241" t="e">
        <f>IF(AE104&lt;Paramétrage!$D$29, AE104, Paramétrage!$D$29)</f>
        <v>#DIV/0!</v>
      </c>
      <c r="AI104" s="253" t="e">
        <f>Paramétrage!$H$19+AG104*(365/12)</f>
        <v>#DIV/0!</v>
      </c>
      <c r="AJ104" s="254" t="e">
        <f>IF(AE104&lt;Paramétrage!$D$29, Paramétrage!$H$19+AH104*(365/12), Paramétrage!$H$19+AE104*(365/12))</f>
        <v>#DIV/0!</v>
      </c>
      <c r="AL104" s="234" t="str">
        <f>IF(ISERROR(AE104),"", IF(AE104=0, "", IF(AE104&gt;'Calculs Péremption FA'!$CB43, 'Calculs Péremption FA'!$CB43, AE104)))</f>
        <v/>
      </c>
      <c r="AM104" s="584" t="str">
        <f t="shared" si="17"/>
        <v/>
      </c>
      <c r="AN104" s="239" t="str">
        <f>IF(ISERROR(AE104),"", IF(AE104=0, "", IF(AE104&gt;'Calculs Péremption FA'!$CB43, 'Calculs Péremption FA'!$CB43-Paramétrage!$D$29, AG104)))</f>
        <v/>
      </c>
      <c r="AO104" s="425" t="str">
        <f>IF(ISERROR(AE104),"", IF(AE104=0, "", IF(AE104&gt;'Calculs Péremption FA'!$CB43, Paramétrage!$D$29, AH104)))</f>
        <v/>
      </c>
      <c r="AP104" s="253" t="str">
        <f>IF(ISERROR(AE104),"", IF(AE104=0, "", IF(AE104&gt;'Calculs Péremption FA'!$CB43, 'Calculs Péremption FA'!$BX43-Paramétrage!$D$29*(365/12), AI104)))</f>
        <v/>
      </c>
      <c r="AQ104" s="254" t="str">
        <f>IF(ISERROR(AE104),"", IF(AE104=0, "", IF(AE104&gt;'Calculs Péremption FA'!$CB43, CONCATENATE('TRAD-Calculs dispo Données FA'!$B$88, " - ", 'Saisie données stocks'!$AF115, "/", 'Saisie données stocks'!$AG115, "/", 'Saisie données stocks'!$AH115), AJ104)))</f>
        <v/>
      </c>
      <c r="AS104" s="2061">
        <f>Calculs!$N298</f>
        <v>0</v>
      </c>
      <c r="AT104" s="2062">
        <f>Calculs!$O189</f>
        <v>0</v>
      </c>
      <c r="AU104" s="2068">
        <f>Calculs!$N243</f>
        <v>0</v>
      </c>
      <c r="AV104" s="2070" t="str">
        <f>IF(AND(AU104=0, AS104=0, AT104=0), 'TRAD-Calculs dispo Données FA'!$B$82, "")</f>
        <v>Stock et besoin nul</v>
      </c>
      <c r="AW104" s="2062" t="str">
        <f>IF(AND(AU104=0, AS104&gt;0, AT104=0), CONCATENATE(AS104,'TRAD-Calculs dispo Données FA'!$B$80," =0"), "")</f>
        <v/>
      </c>
      <c r="AX104" s="2063" t="str">
        <f>IF(AND(AS104=0, OR(AT104&gt;=1, AU104&gt;=1)), 'TRAD-Calculs dispo Données FA'!$B$81, "")</f>
        <v/>
      </c>
    </row>
    <row r="105" spans="3:50" s="358" customFormat="1" ht="25.5" x14ac:dyDescent="0.2">
      <c r="C105" s="374"/>
      <c r="D105" s="402"/>
      <c r="E105" s="93" t="str">
        <f>'Saisie données stocks'!F56</f>
        <v>DRV</v>
      </c>
      <c r="F105" s="94" t="str">
        <f>'Saisie données stocks'!G56</f>
        <v>Cp</v>
      </c>
      <c r="G105" s="94" t="str">
        <f>'Saisie données stocks'!H56</f>
        <v>300 mg</v>
      </c>
      <c r="H105" s="403" t="str">
        <f>CONCATENATE(E105, " - ", G105, " - ", 'TRAD-Calculs dispo Données FA'!$B$79,"/", K105)</f>
        <v>DRV - 300 mg - B/120</v>
      </c>
      <c r="I105" s="117">
        <f>Calculs!K139</f>
        <v>4</v>
      </c>
      <c r="J105" s="399">
        <f t="shared" si="12"/>
        <v>120</v>
      </c>
      <c r="K105" s="117">
        <f>Calculs!J139</f>
        <v>120</v>
      </c>
      <c r="L105" s="400">
        <f t="shared" si="13"/>
        <v>1</v>
      </c>
      <c r="M105" s="1823">
        <f>Calculs!N299</f>
        <v>0</v>
      </c>
      <c r="N105" s="1871">
        <f>Calculs!O190</f>
        <v>0</v>
      </c>
      <c r="O105" s="1871">
        <f>Calculs!N244</f>
        <v>0</v>
      </c>
      <c r="P105"/>
      <c r="Q105" s="234" t="e">
        <f>IF(Calculs!N244&gt;0, (-(Calculs!N244+2*Calculs!O190)+SQRT((Calculs!N244+2*Calculs!O190)*(Calculs!N244+2*Calculs!O190)+8*Calculs!N244*(M105)))/(2*Calculs!N244), ((M105)/Calculs!O190))</f>
        <v>#DIV/0!</v>
      </c>
      <c r="R105" s="234" t="e">
        <f t="shared" si="14"/>
        <v>#DIV/0!</v>
      </c>
      <c r="S105" s="239" t="e">
        <f>Q105-Paramétrage!$D$29</f>
        <v>#DIV/0!</v>
      </c>
      <c r="T105" s="244" t="e">
        <f>IF(Q105&lt;Paramétrage!$D$29, Q105, Paramétrage!$D$29)</f>
        <v>#DIV/0!</v>
      </c>
      <c r="U105" s="253" t="e">
        <f>Paramétrage!$H$19+S105*(365/12)</f>
        <v>#DIV/0!</v>
      </c>
      <c r="V105" s="254" t="e">
        <f>IF(Q105&lt;Paramétrage!$D$29, Paramétrage!$H$19+T105*(365/12), Paramétrage!$H$19+Q105*(365/12))</f>
        <v>#DIV/0!</v>
      </c>
      <c r="X105" s="234" t="str">
        <f>IF(ISERROR(Q105),"", IF(Q105=0, "", IF(Q105&gt;'Calculs Péremption FA'!$CB44, 'Calculs Péremption FA'!$CB44, Q105)))</f>
        <v/>
      </c>
      <c r="Y105" s="584" t="str">
        <f t="shared" si="15"/>
        <v/>
      </c>
      <c r="Z105" s="239" t="str">
        <f>IF(ISERROR(Q105),"", IF(Q105=0, "", IF(Q105&gt;'Calculs Péremption FA'!$CB44, 'Calculs Péremption FA'!$CB44-Paramétrage!$D$29, S105)))</f>
        <v/>
      </c>
      <c r="AA105" s="428" t="str">
        <f>IF(ISERROR(Q105),"", IF(Q105=0, "", IF(Q105&gt;'Calculs Péremption FA'!$CB44, Paramétrage!$D$29, T105)))</f>
        <v/>
      </c>
      <c r="AB105" s="253" t="str">
        <f>IF(ISERROR(Q105),"", IF(Q105=0, "", IF(Q105&gt;'Calculs Péremption FA'!$CB44, 'Calculs Péremption FA'!$BX44-Paramétrage!$D$29*(365/12), U105)))</f>
        <v/>
      </c>
      <c r="AC105" s="254" t="str">
        <f>IF(ISERROR(Q105), AW105, IF(Q105=0, "", IF(Q105&gt;'Calculs Péremption FA'!$CB44, IF(Q105&lt;'Saisie données stocks'!$N$14, CONCATENATE('TRAD-Calculs dispo Données FA'!$B$88, " - ", 'Calculs Péremption FA'!$BY44, "/", 'Calculs Péremption FA'!$BZ44, "/", 'Calculs Péremption FA'!$CA44), 'Calculs Péremption FA'!CC44), V105)))</f>
        <v/>
      </c>
      <c r="AE105" s="234" t="e">
        <f>(Calculs!N299/Calculs!O190)</f>
        <v>#DIV/0!</v>
      </c>
      <c r="AF105" s="234" t="e">
        <f t="shared" si="16"/>
        <v>#DIV/0!</v>
      </c>
      <c r="AG105" s="239" t="e">
        <f>AE105-Paramétrage!$D$29</f>
        <v>#DIV/0!</v>
      </c>
      <c r="AH105" s="244" t="e">
        <f>IF(AE105&lt;Paramétrage!$D$29, AE105, Paramétrage!$D$29)</f>
        <v>#DIV/0!</v>
      </c>
      <c r="AI105" s="253" t="e">
        <f>Paramétrage!$H$19+AG105*(365/12)</f>
        <v>#DIV/0!</v>
      </c>
      <c r="AJ105" s="254" t="e">
        <f>IF(AE105&lt;Paramétrage!$D$29, Paramétrage!$H$19+AH105*(365/12), Paramétrage!$H$19+AE105*(365/12))</f>
        <v>#DIV/0!</v>
      </c>
      <c r="AL105" s="234" t="str">
        <f>IF(ISERROR(AE105),"", IF(AE105=0, "", IF(AE105&gt;'Calculs Péremption FA'!$CB44, 'Calculs Péremption FA'!$CB44, AE105)))</f>
        <v/>
      </c>
      <c r="AM105" s="584" t="str">
        <f t="shared" si="17"/>
        <v/>
      </c>
      <c r="AN105" s="239" t="str">
        <f>IF(ISERROR(AE105),"", IF(AE105=0, "", IF(AE105&gt;'Calculs Péremption FA'!$CB44, 'Calculs Péremption FA'!$CB44-Paramétrage!$D$29, AG105)))</f>
        <v/>
      </c>
      <c r="AO105" s="428" t="str">
        <f>IF(ISERROR(AE105),"", IF(AE105=0, "", IF(AE105&gt;'Calculs Péremption FA'!$CB44, Paramétrage!$D$29, AH105)))</f>
        <v/>
      </c>
      <c r="AP105" s="253" t="str">
        <f>IF(ISERROR(AE105),"", IF(AE105=0, "", IF(AE105&gt;'Calculs Péremption FA'!$CB44, 'Calculs Péremption FA'!$BX44-Paramétrage!$D$29*(365/12), AI105)))</f>
        <v/>
      </c>
      <c r="AQ105" s="254" t="str">
        <f>IF(ISERROR(AE105),"", IF(AE105=0, "", IF(AE105&gt;'Calculs Péremption FA'!$CB44, CONCATENATE('TRAD-Calculs dispo Données FA'!$B$88, " - ", 'Saisie données stocks'!$AF116, "/", 'Saisie données stocks'!$AG116, "/", 'Saisie données stocks'!$AH116), AJ105)))</f>
        <v/>
      </c>
      <c r="AS105" s="2061">
        <f>Calculs!$N299</f>
        <v>0</v>
      </c>
      <c r="AT105" s="2062">
        <f>Calculs!$O190</f>
        <v>0</v>
      </c>
      <c r="AU105" s="2068">
        <f>Calculs!$N244</f>
        <v>0</v>
      </c>
      <c r="AV105" s="2070" t="str">
        <f>IF(AND(AU105=0, AS105=0, AT105=0), 'TRAD-Calculs dispo Données FA'!$B$82, "")</f>
        <v>Stock et besoin nul</v>
      </c>
      <c r="AW105" s="2062" t="str">
        <f>IF(AND(AU105=0, AS105&gt;0, AT105=0), CONCATENATE(AS105,'TRAD-Calculs dispo Données FA'!$B$80," =0"), "")</f>
        <v/>
      </c>
      <c r="AX105" s="2063" t="str">
        <f>IF(AND(AS105=0, OR(AT105&gt;=1, AU105&gt;=1)), 'TRAD-Calculs dispo Données FA'!$B$81, "")</f>
        <v/>
      </c>
    </row>
    <row r="106" spans="3:50" s="358" customFormat="1" ht="25.5" x14ac:dyDescent="0.2">
      <c r="C106" s="374"/>
      <c r="D106" s="402"/>
      <c r="E106" s="396" t="str">
        <f>'Saisie données stocks'!F57</f>
        <v>SQV</v>
      </c>
      <c r="F106" s="397" t="str">
        <f>'Saisie données stocks'!G57</f>
        <v>Cp</v>
      </c>
      <c r="G106" s="397" t="str">
        <f>'Saisie données stocks'!H57</f>
        <v>500 mg</v>
      </c>
      <c r="H106" s="403" t="str">
        <f>CONCATENATE(E106, " - ", G106, " - ", 'TRAD-Calculs dispo Données FA'!$B$79,"/", K106)</f>
        <v>SQV - 500 mg - B/120</v>
      </c>
      <c r="I106" s="399">
        <f>Calculs!K140</f>
        <v>4</v>
      </c>
      <c r="J106" s="399">
        <f t="shared" si="12"/>
        <v>120</v>
      </c>
      <c r="K106" s="117">
        <f>Calculs!J140</f>
        <v>120</v>
      </c>
      <c r="L106" s="400">
        <f t="shared" si="13"/>
        <v>1</v>
      </c>
      <c r="M106" s="1823">
        <f>Calculs!N300</f>
        <v>0</v>
      </c>
      <c r="N106" s="1871">
        <f>Calculs!O191</f>
        <v>0</v>
      </c>
      <c r="O106" s="1871">
        <f>Calculs!N245</f>
        <v>0</v>
      </c>
      <c r="P106"/>
      <c r="Q106" s="234" t="e">
        <f>IF(Calculs!N245&gt;0, (-(Calculs!N245+2*Calculs!O191)+SQRT((Calculs!N245+2*Calculs!O191)*(Calculs!N245+2*Calculs!O191)+8*Calculs!N245*(M106)))/(2*Calculs!N245), ((M106)/Calculs!O191))</f>
        <v>#DIV/0!</v>
      </c>
      <c r="R106" s="234" t="e">
        <f t="shared" si="14"/>
        <v>#DIV/0!</v>
      </c>
      <c r="S106" s="239" t="e">
        <f>Q106-Paramétrage!$D$29</f>
        <v>#DIV/0!</v>
      </c>
      <c r="T106" s="244" t="e">
        <f>IF(Q106&lt;Paramétrage!$D$29, Q106, Paramétrage!$D$29)</f>
        <v>#DIV/0!</v>
      </c>
      <c r="U106" s="253" t="e">
        <f>Paramétrage!$H$19+S106*(365/12)</f>
        <v>#DIV/0!</v>
      </c>
      <c r="V106" s="254" t="e">
        <f>IF(Q106&lt;Paramétrage!$D$29, Paramétrage!$H$19+T106*(365/12), Paramétrage!$H$19+Q106*(365/12))</f>
        <v>#DIV/0!</v>
      </c>
      <c r="X106" s="234" t="str">
        <f>IF(ISERROR(Q106),"", IF(Q106=0, "", IF(Q106&gt;'Calculs Péremption FA'!$CB45, 'Calculs Péremption FA'!$CB45, Q106)))</f>
        <v/>
      </c>
      <c r="Y106" s="584" t="str">
        <f t="shared" si="15"/>
        <v/>
      </c>
      <c r="Z106" s="239" t="str">
        <f>IF(ISERROR(Q106),"", IF(Q106=0, "", IF(Q106&gt;'Calculs Péremption FA'!$CB45, 'Calculs Péremption FA'!$CB45-Paramétrage!$D$29, S106)))</f>
        <v/>
      </c>
      <c r="AA106" s="428" t="str">
        <f>IF(ISERROR(Q106),"", IF(Q106=0, "", IF(Q106&gt;'Calculs Péremption FA'!$CB45, Paramétrage!$D$29, T106)))</f>
        <v/>
      </c>
      <c r="AB106" s="253" t="str">
        <f>IF(ISERROR(Q106),"", IF(Q106=0, "", IF(Q106&gt;'Calculs Péremption FA'!$CB45, 'Calculs Péremption FA'!$BX45-Paramétrage!$D$29*(365/12), U106)))</f>
        <v/>
      </c>
      <c r="AC106" s="254" t="str">
        <f>IF(ISERROR(Q106), AW106, IF(Q106=0, "", IF(Q106&gt;'Calculs Péremption FA'!$CB45, IF(Q106&lt;'Saisie données stocks'!$N$14, CONCATENATE('TRAD-Calculs dispo Données FA'!$B$88, " - ", 'Calculs Péremption FA'!$BY45, "/", 'Calculs Péremption FA'!$BZ45, "/", 'Calculs Péremption FA'!$CA45), 'Calculs Péremption FA'!CC45), V106)))</f>
        <v/>
      </c>
      <c r="AE106" s="234" t="e">
        <f>(Calculs!N300/Calculs!O191)</f>
        <v>#DIV/0!</v>
      </c>
      <c r="AF106" s="234" t="e">
        <f t="shared" si="16"/>
        <v>#DIV/0!</v>
      </c>
      <c r="AG106" s="239" t="e">
        <f>AE106-Paramétrage!$D$29</f>
        <v>#DIV/0!</v>
      </c>
      <c r="AH106" s="244" t="e">
        <f>IF(AE106&lt;Paramétrage!$D$29, AE106, Paramétrage!$D$29)</f>
        <v>#DIV/0!</v>
      </c>
      <c r="AI106" s="253" t="e">
        <f>Paramétrage!$H$19+AG106*(365/12)</f>
        <v>#DIV/0!</v>
      </c>
      <c r="AJ106" s="254" t="e">
        <f>IF(AE106&lt;Paramétrage!$D$29, Paramétrage!$H$19+AH106*(365/12), Paramétrage!$H$19+AE106*(365/12))</f>
        <v>#DIV/0!</v>
      </c>
      <c r="AL106" s="234" t="str">
        <f>IF(ISERROR(AE106),"", IF(AE106=0, "", IF(AE106&gt;'Calculs Péremption FA'!$CB45, 'Calculs Péremption FA'!$CB45, AE106)))</f>
        <v/>
      </c>
      <c r="AM106" s="584" t="str">
        <f t="shared" si="17"/>
        <v/>
      </c>
      <c r="AN106" s="239" t="str">
        <f>IF(ISERROR(AE106),"", IF(AE106=0, "", IF(AE106&gt;'Calculs Péremption FA'!$CB45, 'Calculs Péremption FA'!$CB45-Paramétrage!$D$29, AG106)))</f>
        <v/>
      </c>
      <c r="AO106" s="428" t="str">
        <f>IF(ISERROR(AE106),"", IF(AE106=0, "", IF(AE106&gt;'Calculs Péremption FA'!$CB45, Paramétrage!$D$29, AH106)))</f>
        <v/>
      </c>
      <c r="AP106" s="253" t="str">
        <f>IF(ISERROR(AE106),"", IF(AE106=0, "", IF(AE106&gt;'Calculs Péremption FA'!$CB45, 'Calculs Péremption FA'!$BX45-Paramétrage!$D$29*(365/12), AI106)))</f>
        <v/>
      </c>
      <c r="AQ106" s="254" t="str">
        <f>IF(ISERROR(AE106),"", IF(AE106=0, "", IF(AE106&gt;'Calculs Péremption FA'!$CB45, CONCATENATE('TRAD-Calculs dispo Données FA'!$B$88, " - ", 'Saisie données stocks'!$AF117, "/", 'Saisie données stocks'!$AG117, "/", 'Saisie données stocks'!$AH117), AJ106)))</f>
        <v/>
      </c>
      <c r="AS106" s="2061">
        <f>Calculs!$N300</f>
        <v>0</v>
      </c>
      <c r="AT106" s="2062">
        <f>Calculs!$O191</f>
        <v>0</v>
      </c>
      <c r="AU106" s="2068">
        <f>Calculs!$N245</f>
        <v>0</v>
      </c>
      <c r="AV106" s="2070" t="str">
        <f>IF(AND(AU106=0, AS106=0, AT106=0), 'TRAD-Calculs dispo Données FA'!$B$82, "")</f>
        <v>Stock et besoin nul</v>
      </c>
      <c r="AW106" s="2062" t="str">
        <f>IF(AND(AU106=0, AS106&gt;0, AT106=0), CONCATENATE(AS106,'TRAD-Calculs dispo Données FA'!$B$80," =0"), "")</f>
        <v/>
      </c>
      <c r="AX106" s="2063" t="str">
        <f>IF(AND(AS106=0, OR(AT106&gt;=1, AU106&gt;=1)), 'TRAD-Calculs dispo Données FA'!$B$81, "")</f>
        <v/>
      </c>
    </row>
    <row r="107" spans="3:50" s="358" customFormat="1" ht="25.5" x14ac:dyDescent="0.2">
      <c r="C107" s="388"/>
      <c r="D107" s="389"/>
      <c r="E107" s="390" t="str">
        <f>'Saisie données stocks'!F58</f>
        <v>RTV</v>
      </c>
      <c r="F107" s="391" t="str">
        <f>'Saisie données stocks'!G58</f>
        <v>Caps</v>
      </c>
      <c r="G107" s="391" t="str">
        <f>'Saisie données stocks'!H58</f>
        <v>100 mg</v>
      </c>
      <c r="H107" s="401" t="str">
        <f>CONCATENATE(E107, " - ", G107, " - ", 'TRAD-Calculs dispo Données FA'!$B$79,"/", K107)</f>
        <v>RTV - 100 mg - B/84</v>
      </c>
      <c r="I107" s="394">
        <f>Calculs!K141</f>
        <v>0</v>
      </c>
      <c r="J107" s="394">
        <f t="shared" si="12"/>
        <v>0</v>
      </c>
      <c r="K107" s="116">
        <f>Calculs!J141</f>
        <v>84</v>
      </c>
      <c r="L107" s="395">
        <f t="shared" si="13"/>
        <v>0</v>
      </c>
      <c r="M107" s="1822">
        <f>Calculs!N301</f>
        <v>0</v>
      </c>
      <c r="N107" s="1822">
        <f>Calculs!O192</f>
        <v>0</v>
      </c>
      <c r="O107" s="1822">
        <f>Calculs!N246</f>
        <v>0</v>
      </c>
      <c r="P107"/>
      <c r="Q107" s="233" t="e">
        <f>IF(Calculs!N246&gt;0, (-(Calculs!N246+2*Calculs!O192)+SQRT((Calculs!N246+2*Calculs!O192)*(Calculs!N246+2*Calculs!O192)+8*Calculs!N246*(M107)))/(2*Calculs!N246), ((M107)/Calculs!O192))</f>
        <v>#DIV/0!</v>
      </c>
      <c r="R107" s="233" t="e">
        <f t="shared" si="14"/>
        <v>#DIV/0!</v>
      </c>
      <c r="S107" s="238" t="e">
        <f>Q107-Paramétrage!$D$29</f>
        <v>#DIV/0!</v>
      </c>
      <c r="T107" s="427" t="e">
        <f>IF(Q107&lt;Paramétrage!$D$29, Q107, Paramétrage!$D$29)</f>
        <v>#DIV/0!</v>
      </c>
      <c r="U107" s="251" t="e">
        <f>Paramétrage!$H$19+S107*(365/12)</f>
        <v>#DIV/0!</v>
      </c>
      <c r="V107" s="252" t="e">
        <f>IF(Q107&lt;Paramétrage!$D$29, Paramétrage!$H$19+T107*(365/12), Paramétrage!$H$19+Q107*(365/12))</f>
        <v>#DIV/0!</v>
      </c>
      <c r="X107" s="233" t="str">
        <f>IF(ISERROR(Q107),"", IF(Q107=0, "", IF(Q107&gt;'Calculs Péremption FA'!$CB46, 'Calculs Péremption FA'!$CB46, Q107)))</f>
        <v/>
      </c>
      <c r="Y107" s="575" t="str">
        <f t="shared" si="15"/>
        <v/>
      </c>
      <c r="Z107" s="238" t="str">
        <f>IF(ISERROR(Q107),"", IF(Q107=0, "", IF(Q107&gt;'Calculs Péremption FA'!$CB46, 'Calculs Péremption FA'!$CB46-Paramétrage!$D$29, S107)))</f>
        <v/>
      </c>
      <c r="AA107" s="427" t="str">
        <f>IF(ISERROR(Q107),"", IF(Q107=0, "", IF(Q107&gt;'Calculs Péremption FA'!$CB46, Paramétrage!$D$29, T107)))</f>
        <v/>
      </c>
      <c r="AB107" s="251" t="str">
        <f>IF(ISERROR(Q107),"", IF(Q107=0, "", IF(Q107&gt;'Calculs Péremption FA'!$CB46, 'Calculs Péremption FA'!$BX46-Paramétrage!$D$29*(365/12), U107)))</f>
        <v/>
      </c>
      <c r="AC107" s="252" t="str">
        <f>IF(ISERROR(Q107), AW107, IF(Q107=0, "", IF(Q107&gt;'Calculs Péremption FA'!$CB46, IF(Q107&lt;'Saisie données stocks'!$N$14, CONCATENATE('TRAD-Calculs dispo Données FA'!$B$88, " - ", 'Calculs Péremption FA'!$BY46, "/", 'Calculs Péremption FA'!$BZ46, "/", 'Calculs Péremption FA'!$CA46), 'Calculs Péremption FA'!CC46), V107)))</f>
        <v/>
      </c>
      <c r="AE107" s="233" t="e">
        <f>(Calculs!N301/Calculs!O192)</f>
        <v>#DIV/0!</v>
      </c>
      <c r="AF107" s="233" t="e">
        <f t="shared" si="16"/>
        <v>#DIV/0!</v>
      </c>
      <c r="AG107" s="238" t="e">
        <f>AE107-Paramétrage!$D$29</f>
        <v>#DIV/0!</v>
      </c>
      <c r="AH107" s="427" t="e">
        <f>IF(AE107&lt;Paramétrage!$D$29, AE107, Paramétrage!$D$29)</f>
        <v>#DIV/0!</v>
      </c>
      <c r="AI107" s="251" t="e">
        <f>Paramétrage!$H$19+AG107*(365/12)</f>
        <v>#DIV/0!</v>
      </c>
      <c r="AJ107" s="252" t="e">
        <f>IF(AE107&lt;Paramétrage!$D$29, Paramétrage!$H$19+AH107*(365/12), Paramétrage!$H$19+AE107*(365/12))</f>
        <v>#DIV/0!</v>
      </c>
      <c r="AL107" s="233" t="str">
        <f>IF(ISERROR(AE107),"", IF(AE107=0, "", IF(AE107&gt;'Calculs Péremption FA'!$CB46, 'Calculs Péremption FA'!$CB46, AE107)))</f>
        <v/>
      </c>
      <c r="AM107" s="575" t="str">
        <f t="shared" si="17"/>
        <v/>
      </c>
      <c r="AN107" s="238" t="str">
        <f>IF(ISERROR(AE107),"", IF(AE107=0, "", IF(AE107&gt;'Calculs Péremption FA'!$CB46, 'Calculs Péremption FA'!$CB46-Paramétrage!$D$29, AG107)))</f>
        <v/>
      </c>
      <c r="AO107" s="427" t="str">
        <f>IF(ISERROR(AE107),"", IF(AE107=0, "", IF(AE107&gt;'Calculs Péremption FA'!$CB46, Paramétrage!$D$29, AH107)))</f>
        <v/>
      </c>
      <c r="AP107" s="251" t="str">
        <f>IF(ISERROR(AE107),"", IF(AE107=0, "", IF(AE107&gt;'Calculs Péremption FA'!$CB46, 'Calculs Péremption FA'!$BX46-Paramétrage!$D$29*(365/12), AI107)))</f>
        <v/>
      </c>
      <c r="AQ107" s="252" t="str">
        <f>IF(ISERROR(AE107),"", IF(AE107=0, "", IF(AE107&gt;'Calculs Péremption FA'!$CB46, CONCATENATE('TRAD-Calculs dispo Données FA'!$B$88, " - ", 'Saisie données stocks'!$AF118, "/", 'Saisie données stocks'!$AG118, "/", 'Saisie données stocks'!$AH118), AJ107)))</f>
        <v/>
      </c>
      <c r="AS107" s="2061">
        <f>Calculs!$N301</f>
        <v>0</v>
      </c>
      <c r="AT107" s="2062">
        <f>Calculs!$O192</f>
        <v>0</v>
      </c>
      <c r="AU107" s="2068">
        <f>Calculs!$N246</f>
        <v>0</v>
      </c>
      <c r="AV107" s="2070" t="str">
        <f>IF(AND(AU107=0, AS107=0, AT107=0), 'TRAD-Calculs dispo Données FA'!$B$82, "")</f>
        <v>Stock et besoin nul</v>
      </c>
      <c r="AW107" s="2062" t="str">
        <f>IF(AND(AU107=0, AS107&gt;0, AT107=0), CONCATENATE(AS107,'TRAD-Calculs dispo Données FA'!$B$80," =0"), "")</f>
        <v/>
      </c>
      <c r="AX107" s="2063" t="str">
        <f>IF(AND(AS107=0, OR(AT107&gt;=1, AU107&gt;=1)), 'TRAD-Calculs dispo Données FA'!$B$81, "")</f>
        <v/>
      </c>
    </row>
    <row r="108" spans="3:50" s="358" customFormat="1" ht="26.25" thickBot="1" x14ac:dyDescent="0.25">
      <c r="C108" s="374"/>
      <c r="D108" s="375" t="s">
        <v>266</v>
      </c>
      <c r="E108" s="376" t="str">
        <f>'Saisie données stocks'!F59</f>
        <v>RLT = RAL</v>
      </c>
      <c r="F108" s="377" t="str">
        <f>'Saisie données stocks'!G59</f>
        <v>Cp</v>
      </c>
      <c r="G108" s="377" t="str">
        <f>'Saisie données stocks'!H59</f>
        <v>400 mg</v>
      </c>
      <c r="H108" s="378" t="str">
        <f>CONCATENATE(E108, " - ", G108, " - ", 'TRAD-Calculs dispo Données FA'!$B$79,"/", K108)</f>
        <v>RLT = RAL - 400 mg - B/60</v>
      </c>
      <c r="I108" s="380">
        <f>Calculs!K142</f>
        <v>2</v>
      </c>
      <c r="J108" s="380">
        <f t="shared" si="12"/>
        <v>60</v>
      </c>
      <c r="K108" s="114">
        <f>Calculs!J142</f>
        <v>60</v>
      </c>
      <c r="L108" s="381">
        <f t="shared" si="13"/>
        <v>1</v>
      </c>
      <c r="M108" s="1820">
        <f>Calculs!N302</f>
        <v>0</v>
      </c>
      <c r="N108" s="1820">
        <f>Calculs!O193</f>
        <v>0</v>
      </c>
      <c r="O108" s="1820">
        <f>Calculs!N247</f>
        <v>0</v>
      </c>
      <c r="P108"/>
      <c r="Q108" s="231" t="e">
        <f>IF(Calculs!N247&gt;0, (-(Calculs!N247+2*Calculs!O193)+SQRT((Calculs!N247+2*Calculs!O193)*(Calculs!N247+2*Calculs!O193)+8*Calculs!N247*(M108)))/(2*Calculs!N247), ((M108)/Calculs!O193))</f>
        <v>#DIV/0!</v>
      </c>
      <c r="R108" s="231" t="e">
        <f t="shared" si="14"/>
        <v>#DIV/0!</v>
      </c>
      <c r="S108" s="236" t="e">
        <f>Q108-Paramétrage!$D$29</f>
        <v>#DIV/0!</v>
      </c>
      <c r="T108" s="241" t="e">
        <f>IF(Q108&lt;Paramétrage!$D$29, Q108, Paramétrage!$D$29)</f>
        <v>#DIV/0!</v>
      </c>
      <c r="U108" s="247" t="e">
        <f>Paramétrage!$H$19+S108*(365/12)</f>
        <v>#DIV/0!</v>
      </c>
      <c r="V108" s="248" t="e">
        <f>IF(Q108&lt;Paramétrage!$D$29, Paramétrage!$H$19+T108*(365/12), Paramétrage!$H$19+Q108*(365/12))</f>
        <v>#DIV/0!</v>
      </c>
      <c r="X108" s="233" t="str">
        <f>IF(ISERROR(Q108),"", IF(Q108=0, "", IF(Q108&gt;'Calculs Péremption FA'!$CB47, 'Calculs Péremption FA'!$CB47, Q108)))</f>
        <v/>
      </c>
      <c r="Y108" s="575" t="str">
        <f t="shared" si="15"/>
        <v/>
      </c>
      <c r="Z108" s="238" t="str">
        <f>IF(ISERROR(Q108),"", IF(Q108=0, "", IF(Q108&gt;'Calculs Péremption FA'!$CB47, 'Calculs Péremption FA'!$CB47-Paramétrage!$D$29, S108)))</f>
        <v/>
      </c>
      <c r="AA108" s="427" t="str">
        <f>IF(ISERROR(Q108),"", IF(Q108=0, "", IF(Q108&gt;'Calculs Péremption FA'!$CB47, Paramétrage!$D$29, T108)))</f>
        <v/>
      </c>
      <c r="AB108" s="251" t="str">
        <f>IF(ISERROR(Q108),"", IF(Q108=0, "", IF(Q108&gt;'Calculs Péremption FA'!$CB47, 'Calculs Péremption FA'!$BX47-Paramétrage!$D$29*(365/12), U108)))</f>
        <v/>
      </c>
      <c r="AC108" s="252" t="str">
        <f>IF(ISERROR(Q108), AW108, IF(Q108=0, "", IF(Q108&gt;'Calculs Péremption FA'!$CB47, IF(Q108&lt;'Saisie données stocks'!$N$14, CONCATENATE('TRAD-Calculs dispo Données FA'!$B$88, " - ", 'Calculs Péremption FA'!$BY47, "/", 'Calculs Péremption FA'!$BZ47, "/", 'Calculs Péremption FA'!$CA47), 'Calculs Péremption FA'!CC47), V108)))</f>
        <v/>
      </c>
      <c r="AE108" s="231" t="e">
        <f>(Calculs!N302/Calculs!O193)</f>
        <v>#DIV/0!</v>
      </c>
      <c r="AF108" s="231" t="e">
        <f t="shared" si="16"/>
        <v>#DIV/0!</v>
      </c>
      <c r="AG108" s="236" t="e">
        <f>AE108-Paramétrage!$D$29</f>
        <v>#DIV/0!</v>
      </c>
      <c r="AH108" s="241" t="e">
        <f>IF(AE108&lt;Paramétrage!$D$29, AE108, Paramétrage!$D$29)</f>
        <v>#DIV/0!</v>
      </c>
      <c r="AI108" s="247" t="e">
        <f>Paramétrage!$H$19+AG108*(365/12)</f>
        <v>#DIV/0!</v>
      </c>
      <c r="AJ108" s="248" t="e">
        <f>IF(AE108&lt;Paramétrage!$D$29, Paramétrage!$H$19+AH108*(365/12), Paramétrage!$H$19+AE108*(365/12))</f>
        <v>#DIV/0!</v>
      </c>
      <c r="AL108" s="233" t="str">
        <f>IF(ISERROR(AE108),"", IF(AE108=0, "", IF(AE108&gt;'Calculs Péremption FA'!$CB47, 'Calculs Péremption FA'!$CB47, AE108)))</f>
        <v/>
      </c>
      <c r="AM108" s="575" t="str">
        <f t="shared" si="17"/>
        <v/>
      </c>
      <c r="AN108" s="238" t="str">
        <f>IF(ISERROR(AE108),"", IF(AE108=0, "", IF(AE108&gt;'Calculs Péremption FA'!$CB47, 'Calculs Péremption FA'!$CB47-Paramétrage!$D$29, AG108)))</f>
        <v/>
      </c>
      <c r="AO108" s="427" t="str">
        <f>IF(ISERROR(AE108),"", IF(AE108=0, "", IF(AE108&gt;'Calculs Péremption FA'!$CB47, Paramétrage!$D$29, AH108)))</f>
        <v/>
      </c>
      <c r="AP108" s="251" t="str">
        <f>IF(ISERROR(AE108),"", IF(AE108=0, "", IF(AE108&gt;'Calculs Péremption FA'!$CB47, 'Calculs Péremption FA'!$BX47-Paramétrage!$D$29*(365/12), AI108)))</f>
        <v/>
      </c>
      <c r="AQ108" s="252" t="str">
        <f>IF(ISERROR(AE108),"", IF(AE108=0, "", IF(AE108&gt;'Calculs Péremption FA'!$CB47, CONCATENATE('TRAD-Calculs dispo Données FA'!$B$88, " - ", 'Saisie données stocks'!$AF119, "/", 'Saisie données stocks'!$AG119, "/", 'Saisie données stocks'!$AH119), AJ108)))</f>
        <v/>
      </c>
      <c r="AS108" s="2061">
        <f>Calculs!$N302</f>
        <v>0</v>
      </c>
      <c r="AT108" s="2062">
        <f>Calculs!$O193</f>
        <v>0</v>
      </c>
      <c r="AU108" s="2068">
        <f>Calculs!$N247</f>
        <v>0</v>
      </c>
      <c r="AV108" s="2548" t="str">
        <f>IF(AND(AU108=0, AS108=0, AT108=0), 'TRAD-Calculs dispo Données FA'!$B$82, "")</f>
        <v>Stock et besoin nul</v>
      </c>
      <c r="AW108" s="2062" t="str">
        <f>IF(AND(AU108=0, AS108&gt;0, AT108=0), CONCATENATE(AS108,'TRAD-Calculs dispo Données FA'!$B$80," =0"), "")</f>
        <v/>
      </c>
      <c r="AX108" s="2063" t="str">
        <f>IF(AND(AS108=0, OR(AT108&gt;=1, AU108&gt;=1)), 'TRAD-Calculs dispo Données FA'!$B$81, "")</f>
        <v/>
      </c>
    </row>
    <row r="109" spans="3:50" s="358" customFormat="1" ht="64.5" thickBot="1" x14ac:dyDescent="0.25">
      <c r="C109" s="577" t="str">
        <f>'TRAD-Calculs dispo Données FA'!B9</f>
        <v>Classe forme galénique</v>
      </c>
      <c r="D109" s="576" t="str">
        <f>'TRAD-Calculs dispo Données FA'!B10</f>
        <v>Classe thérapeutique</v>
      </c>
      <c r="E109" s="364" t="str">
        <f>'TRAD-Calculs dispo Données FA'!B11</f>
        <v>Composition</v>
      </c>
      <c r="F109" s="365" t="str">
        <f>'TRAD-Calculs dispo Données FA'!B12</f>
        <v>Forme galénique</v>
      </c>
      <c r="G109" s="365" t="str">
        <f>'TRAD-Calculs dispo Données FA'!B13</f>
        <v>Dosage</v>
      </c>
      <c r="H109" s="365" t="str">
        <f>'TRAD-Calculs dispo Données FA'!B14</f>
        <v>Nom pour représentation graphique</v>
      </c>
      <c r="I109" s="365"/>
      <c r="J109" s="365"/>
      <c r="K109" s="365" t="str">
        <f>'TRAD-Calculs dispo Données FA'!B18</f>
        <v>Volume conditionnement primaire (mL)</v>
      </c>
      <c r="L109" s="327" t="str">
        <f>'TRAD-Calculs dispo Données FA'!B19</f>
        <v>Conditionement secondaire</v>
      </c>
      <c r="M109" s="346" t="str">
        <f>'TRAD-Calculs dispo Données FA'!B21</f>
        <v>Stock disponible UTILISABLE au niveau considéré (nb de boites)</v>
      </c>
      <c r="N109" s="2057" t="str">
        <f>'TRAD-Calculs dispo Données FA'!B33</f>
        <v>Besoin mensuel patients suivis selon méthode</v>
      </c>
      <c r="O109" s="2057" t="str">
        <f>'TRAD-Calculs dispo Données FA'!B34</f>
        <v>Besoin mensuel patients initiés selon méthode</v>
      </c>
      <c r="P109"/>
      <c r="Q109" s="346" t="str">
        <f>'TRAD-Calculs dispo Données FA'!B35</f>
        <v>Nombre de mois de disponibilité de produits</v>
      </c>
      <c r="R109" s="346" t="str">
        <f>'TRAD-Calculs dispo Données FA'!B36</f>
        <v>Delta Nb de mois de disponibilité Stocks périph / Stocks total (périph + central)</v>
      </c>
      <c r="S109" s="347" t="str">
        <f>'TRAD-Calculs dispo Données FA'!B37</f>
        <v>Nombre de mois de disponibilité de produits hors ST</v>
      </c>
      <c r="T109" s="327" t="str">
        <f>'TRAD-Calculs dispo Données FA'!B38</f>
        <v>Nombre de mois de stock tampon (ST)</v>
      </c>
      <c r="U109" s="348" t="str">
        <f>'TRAD-Calculs dispo Données FA'!B39</f>
        <v>Date d'entrée en stock tampon</v>
      </c>
      <c r="V109" s="349" t="str">
        <f>'TRAD-Calculs dispo Données FA'!B40</f>
        <v>Date de rupture attendue</v>
      </c>
      <c r="X109" s="346" t="str">
        <f>'TRAD-Calculs dispo Données FA'!B35</f>
        <v>Nombre de mois de disponibilité de produits</v>
      </c>
      <c r="Y109" s="346" t="str">
        <f>'TRAD-Calculs dispo Données FA'!B36</f>
        <v>Delta Nb de mois de disponibilité Stocks périph / Stocks total (périph + central)</v>
      </c>
      <c r="Z109" s="347" t="str">
        <f>'TRAD-Calculs dispo Données FA'!B37</f>
        <v>Nombre de mois de disponibilité de produits hors ST</v>
      </c>
      <c r="AA109" s="424" t="str">
        <f>'TRAD-Calculs dispo Données FA'!B38</f>
        <v>Nombre de mois de stock tampon (ST)</v>
      </c>
      <c r="AB109" s="348" t="str">
        <f>'TRAD-Calculs dispo Données FA'!B39</f>
        <v>Date d'entrée en stock tampon</v>
      </c>
      <c r="AC109" s="349" t="str">
        <f>'TRAD-Calculs dispo Données FA'!B40</f>
        <v>Date de rupture attendue</v>
      </c>
      <c r="AE109" s="346" t="str">
        <f>'TRAD-Calculs dispo Données FA'!B35</f>
        <v>Nombre de mois de disponibilité de produits</v>
      </c>
      <c r="AF109" s="580" t="str">
        <f>'TRAD-Calculs dispo Données FA'!B46</f>
        <v>Gain Nb de mois de disponibilité si arrêt des initiations &amp; switch</v>
      </c>
      <c r="AG109" s="347" t="str">
        <f>'TRAD-Calculs dispo Données FA'!B37</f>
        <v>Nombre de mois de disponibilité de produits hors ST</v>
      </c>
      <c r="AH109" s="424" t="str">
        <f>'TRAD-Calculs dispo Données FA'!B38</f>
        <v>Nombre de mois de stock tampon (ST)</v>
      </c>
      <c r="AI109" s="348" t="str">
        <f>'TRAD-Calculs dispo Données FA'!B39</f>
        <v>Date d'entrée en stock tampon</v>
      </c>
      <c r="AJ109" s="349" t="str">
        <f>'TRAD-Calculs dispo Données FA'!B40</f>
        <v>Date de rupture attendue</v>
      </c>
      <c r="AL109" s="346" t="str">
        <f>'TRAD-Calculs dispo Données FA'!B35</f>
        <v>Nombre de mois de disponibilité de produits</v>
      </c>
      <c r="AM109" s="580" t="str">
        <f>'TRAD-Calculs dispo Données FA'!B46</f>
        <v>Gain Nb de mois de disponibilité si arrêt des initiations &amp; switch</v>
      </c>
      <c r="AN109" s="347" t="str">
        <f>'TRAD-Calculs dispo Données FA'!B37</f>
        <v>Nombre de mois de disponibilité de produits hors ST</v>
      </c>
      <c r="AO109" s="424" t="str">
        <f>'TRAD-Calculs dispo Données FA'!B38</f>
        <v>Nombre de mois de stock tampon (ST)</v>
      </c>
      <c r="AP109" s="424" t="str">
        <f>'TRAD-Calculs dispo Données FA'!B39</f>
        <v>Date d'entrée en stock tampon</v>
      </c>
      <c r="AQ109" s="349" t="str">
        <f>'TRAD-Calculs dispo Données FA'!B40</f>
        <v>Date de rupture attendue</v>
      </c>
      <c r="AS109" s="2077" t="str">
        <f>'TRAD-Calculs dispo Données FA'!B48</f>
        <v>Stock</v>
      </c>
      <c r="AT109" s="2078" t="str">
        <f>'TRAD-Calculs dispo Données FA'!B49</f>
        <v>besoin actuel</v>
      </c>
      <c r="AU109" s="2079" t="str">
        <f>'TRAD-Calculs dispo Données FA'!B50</f>
        <v>Progression besoin</v>
      </c>
      <c r="AV109" s="2077" t="str">
        <f>'TRAD-Calculs dispo Données FA'!B51</f>
        <v>Eval</v>
      </c>
      <c r="AW109" s="2078" t="str">
        <f>'TRAD-Calculs dispo Données FA'!B51</f>
        <v>Eval</v>
      </c>
      <c r="AX109" s="2080" t="str">
        <f>'TRAD-Calculs dispo Données FA'!B51</f>
        <v>Eval</v>
      </c>
    </row>
    <row r="110" spans="3:50" s="358" customFormat="1" ht="25.5" x14ac:dyDescent="0.2">
      <c r="C110" s="366" t="str">
        <f>'TRAD-Calculs dispo Données FA'!B67</f>
        <v>Solutions Buvables</v>
      </c>
      <c r="D110" s="367" t="s">
        <v>31</v>
      </c>
      <c r="E110" s="376" t="str">
        <f>'Saisie données stocks'!F61</f>
        <v>AZT</v>
      </c>
      <c r="F110" s="377" t="str">
        <f>'Saisie données stocks'!G61</f>
        <v>Sol buv</v>
      </c>
      <c r="G110" s="377" t="str">
        <f>'Saisie données stocks'!H61</f>
        <v>10 mg/mL</v>
      </c>
      <c r="H110" s="87" t="str">
        <f>CONCATENATE(E110, " - ", G110, "-",'TRAD-Calculs dispo Données FA'!$B$83, "/", K110, "mL")</f>
        <v>AZT - 10 mg/mL-Fl/240mL</v>
      </c>
      <c r="I110" s="370"/>
      <c r="J110" s="370"/>
      <c r="K110" s="113">
        <f>'Saisie données stocks'!L61</f>
        <v>240</v>
      </c>
      <c r="L110" s="300">
        <f>'Saisie données stocks'!M61</f>
        <v>1</v>
      </c>
      <c r="M110" s="1819">
        <f>Calculs!N304</f>
        <v>0</v>
      </c>
      <c r="N110" s="1819">
        <f>Calculs!O195</f>
        <v>0</v>
      </c>
      <c r="O110" s="1819">
        <f>Calculs!N249</f>
        <v>0</v>
      </c>
      <c r="P110"/>
      <c r="Q110" s="230" t="e">
        <f>IF(Calculs!N249&gt;0, (-(Calculs!N249+2*Calculs!O195)+SQRT((Calculs!N249+2*Calculs!O195)*(Calculs!N249+2*Calculs!O195)+8*Calculs!N249*(M110)))/(2*Calculs!N249), ((M110)/Calculs!O195))</f>
        <v>#DIV/0!</v>
      </c>
      <c r="R110" s="230" t="e">
        <f t="shared" ref="R110:R117" si="18">Q167-Q53</f>
        <v>#DIV/0!</v>
      </c>
      <c r="S110" s="235" t="e">
        <f>Q110-Paramétrage!$D$29</f>
        <v>#DIV/0!</v>
      </c>
      <c r="T110" s="240" t="e">
        <f>IF(Q110&lt;Paramétrage!$D$29, Q110, Paramétrage!$D$29)</f>
        <v>#DIV/0!</v>
      </c>
      <c r="U110" s="245" t="e">
        <f>Paramétrage!$H$19+S110*(365/12)</f>
        <v>#DIV/0!</v>
      </c>
      <c r="V110" s="246" t="e">
        <f>IF(Q110&lt;Paramétrage!$D$29, Paramétrage!$H$19+T110*(365/12), Paramétrage!$H$19+Q110*(365/12))</f>
        <v>#DIV/0!</v>
      </c>
      <c r="X110" s="230" t="str">
        <f>IF(ISERROR(Q110),"", IF(Q110=0, "", IF(Q110&gt;'Calculs Péremption FA'!$CB49, 'Calculs Péremption FA'!$CB49, Q110)))</f>
        <v/>
      </c>
      <c r="Y110" s="581" t="str">
        <f t="shared" ref="Y110:Y117" si="19">IF(ISERROR(R110),"", IF(R110=0, "", R110))</f>
        <v/>
      </c>
      <c r="Z110" s="235" t="str">
        <f>IF(ISERROR(Q110),"", IF(Q110=0, "", IF(Q110&gt;'Calculs Péremption FA'!$CB49, 'Calculs Péremption FA'!$CB49-Paramétrage!$D$29, S110)))</f>
        <v/>
      </c>
      <c r="AA110" s="429" t="str">
        <f>IF(ISERROR(Q110),"", IF(Q110=0, "", IF(Q110&gt;'Calculs Péremption FA'!$CB49, Paramétrage!$D$29, T110)))</f>
        <v/>
      </c>
      <c r="AB110" s="245" t="str">
        <f>IF(ISERROR(Q110),"", IF(Q110=0, "", IF(Q110&gt;'Calculs Péremption FA'!$CB49, 'Calculs Péremption FA'!$BX49-Paramétrage!$D$29*(365/12), U110)))</f>
        <v/>
      </c>
      <c r="AC110" s="246" t="str">
        <f>IF(ISERROR(Q110), AW110, IF(Q110=0, "", IF(Q110&gt;'Calculs Péremption FA'!$CB49, IF(Q110&lt;'Saisie données stocks'!$N$14, CONCATENATE('TRAD-Calculs dispo Données FA'!$B$88, " - ", 'Calculs Péremption FA'!$BY49, "/", 'Calculs Péremption FA'!$BZ49, "/", 'Calculs Péremption FA'!$CA49), 'Calculs Péremption FA'!CC49), V110)))</f>
        <v/>
      </c>
      <c r="AE110" s="230" t="e">
        <f>(Calculs!N304/Calculs!O195)</f>
        <v>#DIV/0!</v>
      </c>
      <c r="AF110" s="230" t="e">
        <f t="shared" ref="AF110:AF117" si="20">AE110-Q110</f>
        <v>#DIV/0!</v>
      </c>
      <c r="AG110" s="235" t="e">
        <f>AE110-Paramétrage!$D$29</f>
        <v>#DIV/0!</v>
      </c>
      <c r="AH110" s="240" t="e">
        <f>IF(AE110&lt;Paramétrage!$D$29, AE110, Paramétrage!$D$29)</f>
        <v>#DIV/0!</v>
      </c>
      <c r="AI110" s="245" t="e">
        <f>Paramétrage!$H$19+AG110*(365/12)</f>
        <v>#DIV/0!</v>
      </c>
      <c r="AJ110" s="246" t="e">
        <f>IF(AE110&lt;Paramétrage!$D$29, Paramétrage!$H$19+AH110*(365/12), Paramétrage!$H$19+AE110*(365/12))</f>
        <v>#DIV/0!</v>
      </c>
      <c r="AL110" s="230" t="str">
        <f>IF(ISERROR(AE110),"", IF(AE110=0, "", IF(AE110&gt;'Calculs Péremption FA'!$CB49, 'Calculs Péremption FA'!$CB49, AE110)))</f>
        <v/>
      </c>
      <c r="AM110" s="581" t="str">
        <f t="shared" ref="AM110:AM117" si="21">IF(ISERROR(AF110),"", IF(AF110=0, "", IF(AL110-X110=0, "0", AL110-X110)))</f>
        <v/>
      </c>
      <c r="AN110" s="235" t="str">
        <f>IF(ISERROR(AE110),"", IF(AE110=0, "", IF(AE110&gt;'Calculs Péremption FA'!$CB49, 'Calculs Péremption FA'!$CB49-Paramétrage!$D$29, AG110)))</f>
        <v/>
      </c>
      <c r="AO110" s="429" t="str">
        <f>IF(ISERROR(AE110),"", IF(AE110=0, "", IF(AE110&gt;'Calculs Péremption FA'!$CB49, Paramétrage!$D$29, AH110)))</f>
        <v/>
      </c>
      <c r="AP110" s="245" t="str">
        <f>IF(ISERROR(AE110),"", IF(AE110=0, "", IF(AE110&gt;'Calculs Péremption FA'!$CB49, 'Calculs Péremption FA'!$BX49-Paramétrage!$D$29*(365/12), AI110)))</f>
        <v/>
      </c>
      <c r="AQ110" s="246" t="str">
        <f>IF(ISERROR(AE110),"", IF(AE110=0, "", IF(AE110&gt;'Calculs Péremption FA'!$CB49, CONCATENATE('TRAD-Calculs dispo Données FA'!$B$88, " - ", 'Saisie données stocks'!$AF120, "/", 'Saisie données stocks'!$AG120, "/", 'Saisie données stocks'!$AH120), AJ110)))</f>
        <v/>
      </c>
      <c r="AS110" s="2072">
        <f>Calculs!$N304</f>
        <v>0</v>
      </c>
      <c r="AT110" s="2073">
        <f>Calculs!$O195</f>
        <v>0</v>
      </c>
      <c r="AU110" s="2074">
        <f>Calculs!$N249</f>
        <v>0</v>
      </c>
      <c r="AV110" s="2075" t="str">
        <f>IF(AND(AU110=0, AS110=0, AT110=0), 'TRAD-Calculs dispo Données FA'!$B$82, "")</f>
        <v>Stock et besoin nul</v>
      </c>
      <c r="AW110" s="2073" t="str">
        <f>IF(AND(AU110=0, AS110&gt;0, AT110=0), CONCATENATE(AS110, 'Calculs dispo Données FA'!$B$80," =0"), "")</f>
        <v/>
      </c>
      <c r="AX110" s="2063" t="str">
        <f>IF(AND(AS110=0, OR(AT110&gt;=1, AU110&gt;=1)), 'TRAD-Calculs dispo Données FA'!$B$81, "")</f>
        <v/>
      </c>
    </row>
    <row r="111" spans="3:50" s="358" customFormat="1" ht="25.5" x14ac:dyDescent="0.2">
      <c r="C111" s="374"/>
      <c r="D111" s="375"/>
      <c r="E111" s="376" t="str">
        <f>'Saisie données stocks'!F62</f>
        <v>D4T</v>
      </c>
      <c r="F111" s="377" t="str">
        <f>'Saisie données stocks'!G62</f>
        <v>Sol buv</v>
      </c>
      <c r="G111" s="377" t="str">
        <f>'Saisie données stocks'!H62</f>
        <v>10 mg/mL</v>
      </c>
      <c r="H111" s="89" t="str">
        <f>CONCATENATE(E111, " - ", G111, "-",'TRAD-Calculs dispo Données FA'!$B$83, "/", K111, "mL")</f>
        <v>D4T - 10 mg/mL-Fl/240mL</v>
      </c>
      <c r="I111" s="378"/>
      <c r="J111" s="378"/>
      <c r="K111" s="114">
        <f>'Saisie données stocks'!L62</f>
        <v>240</v>
      </c>
      <c r="L111" s="308">
        <f>'Saisie données stocks'!M62</f>
        <v>1</v>
      </c>
      <c r="M111" s="1820">
        <f>Calculs!N305</f>
        <v>0</v>
      </c>
      <c r="N111" s="1820">
        <f>Calculs!O196</f>
        <v>0</v>
      </c>
      <c r="O111" s="1820">
        <f>Calculs!N250</f>
        <v>0</v>
      </c>
      <c r="P111"/>
      <c r="Q111" s="231" t="e">
        <f>IF(Calculs!N250&gt;0, (-(Calculs!N250+2*Calculs!O196)+SQRT((Calculs!N250+2*Calculs!O196)*(Calculs!N250+2*Calculs!O196)+8*Calculs!N250*(M111)))/(2*Calculs!N250), ((M111)/Calculs!O196))</f>
        <v>#DIV/0!</v>
      </c>
      <c r="R111" s="231" t="e">
        <f t="shared" si="18"/>
        <v>#DIV/0!</v>
      </c>
      <c r="S111" s="236" t="e">
        <f>Q111-Paramétrage!$D$29</f>
        <v>#DIV/0!</v>
      </c>
      <c r="T111" s="241" t="e">
        <f>IF(Q111&lt;Paramétrage!$D$29, Q111, Paramétrage!$D$29)</f>
        <v>#DIV/0!</v>
      </c>
      <c r="U111" s="247" t="e">
        <f>Paramétrage!$H$19+S111*(365/12)</f>
        <v>#DIV/0!</v>
      </c>
      <c r="V111" s="248" t="e">
        <f>IF(Q111&lt;Paramétrage!$D$29, Paramétrage!$H$19+T111*(365/12), Paramétrage!$H$19+Q111*(365/12))</f>
        <v>#DIV/0!</v>
      </c>
      <c r="X111" s="231" t="str">
        <f>IF(ISERROR(Q111),"", IF(Q111=0, "", IF(Q111&gt;'Calculs Péremption FA'!$CB50, 'Calculs Péremption FA'!$CB50, Q111)))</f>
        <v/>
      </c>
      <c r="Y111" s="582" t="str">
        <f t="shared" si="19"/>
        <v/>
      </c>
      <c r="Z111" s="236" t="str">
        <f>IF(ISERROR(Q111),"", IF(Q111=0, "", IF(Q111&gt;'Calculs Péremption FA'!$CB50, 'Calculs Péremption FA'!$CB50-Paramétrage!$D$29, S111)))</f>
        <v/>
      </c>
      <c r="AA111" s="425" t="str">
        <f>IF(ISERROR(Q111),"", IF(Q111=0, "", IF(Q111&gt;'Calculs Péremption FA'!$CB50, Paramétrage!$D$29, T111)))</f>
        <v/>
      </c>
      <c r="AB111" s="247" t="str">
        <f>IF(ISERROR(Q111),"", IF(Q111=0, "", IF(Q111&gt;'Calculs Péremption FA'!$CB50, 'Calculs Péremption FA'!$BX50-Paramétrage!$D$29*(365/12), U111)))</f>
        <v/>
      </c>
      <c r="AC111" s="248" t="str">
        <f>IF(ISERROR(Q111), AW111, IF(Q111=0, "", IF(Q111&gt;'Calculs Péremption FA'!$CB50, IF(Q111&lt;'Saisie données stocks'!$N$14, CONCATENATE('TRAD-Calculs dispo Données FA'!$B$88, " - ", 'Calculs Péremption FA'!$BY50, "/", 'Calculs Péremption FA'!$BZ50, "/", 'Calculs Péremption FA'!$CA50), 'Calculs Péremption FA'!CC50), V111)))</f>
        <v/>
      </c>
      <c r="AE111" s="231" t="e">
        <f>(Calculs!N305/Calculs!O196)</f>
        <v>#DIV/0!</v>
      </c>
      <c r="AF111" s="231" t="e">
        <f t="shared" si="20"/>
        <v>#DIV/0!</v>
      </c>
      <c r="AG111" s="236" t="e">
        <f>AE111-Paramétrage!$D$29</f>
        <v>#DIV/0!</v>
      </c>
      <c r="AH111" s="241" t="e">
        <f>IF(AE111&lt;Paramétrage!$D$29, AE111, Paramétrage!$D$29)</f>
        <v>#DIV/0!</v>
      </c>
      <c r="AI111" s="247" t="e">
        <f>Paramétrage!$H$19+AG111*(365/12)</f>
        <v>#DIV/0!</v>
      </c>
      <c r="AJ111" s="248" t="e">
        <f>IF(AE111&lt;Paramétrage!$D$29, Paramétrage!$H$19+AH111*(365/12), Paramétrage!$H$19+AE111*(365/12))</f>
        <v>#DIV/0!</v>
      </c>
      <c r="AL111" s="231" t="str">
        <f>IF(ISERROR(AE111),"", IF(AE111=0, "", IF(AE111&gt;'Calculs Péremption FA'!$CB50, 'Calculs Péremption FA'!$CB50, AE111)))</f>
        <v/>
      </c>
      <c r="AM111" s="582" t="str">
        <f t="shared" si="21"/>
        <v/>
      </c>
      <c r="AN111" s="236" t="str">
        <f>IF(ISERROR(AE111),"", IF(AE111=0, "", IF(AE111&gt;'Calculs Péremption FA'!$CB50, 'Calculs Péremption FA'!$CB50-Paramétrage!$D$29, AG111)))</f>
        <v/>
      </c>
      <c r="AO111" s="425" t="str">
        <f>IF(ISERROR(AE111),"", IF(AE111=0, "", IF(AE111&gt;'Calculs Péremption FA'!$CB50, Paramétrage!$D$29, AH111)))</f>
        <v/>
      </c>
      <c r="AP111" s="247" t="str">
        <f>IF(ISERROR(AE111),"", IF(AE111=0, "", IF(AE111&gt;'Calculs Péremption FA'!$CB50, 'Calculs Péremption FA'!$BX50-Paramétrage!$D$29*(365/12), AI111)))</f>
        <v/>
      </c>
      <c r="AQ111" s="248" t="str">
        <f>IF(ISERROR(AE111),"", IF(AE111=0, "", IF(AE111&gt;'Calculs Péremption FA'!$CB50, CONCATENATE('TRAD-Calculs dispo Données FA'!$B$88, " - ", 'Saisie données stocks'!$AF122, "/", 'Saisie données stocks'!$AG122, "/", 'Saisie données stocks'!$AH122), AJ111)))</f>
        <v/>
      </c>
      <c r="AS111" s="2061">
        <f>Calculs!$N305</f>
        <v>0</v>
      </c>
      <c r="AT111" s="2062">
        <f>Calculs!$O196</f>
        <v>0</v>
      </c>
      <c r="AU111" s="2068">
        <f>Calculs!$N250</f>
        <v>0</v>
      </c>
      <c r="AV111" s="2075" t="str">
        <f>IF(AND(AU111=0, AS111=0, AT111=0), 'TRAD-Calculs dispo Données FA'!$B$82, "")</f>
        <v>Stock et besoin nul</v>
      </c>
      <c r="AW111" s="2073" t="str">
        <f>IF(AND(AU111=0, AS111&gt;0, AT111=0), CONCATENATE(AS111, 'Calculs dispo Données FA'!$B$80," =0"), "")</f>
        <v/>
      </c>
      <c r="AX111" s="2063" t="str">
        <f>IF(AND(AS111=0, OR(AT111&gt;=1, AU111&gt;=1)), 'TRAD-Calculs dispo Données FA'!$B$81, "")</f>
        <v/>
      </c>
    </row>
    <row r="112" spans="3:50" s="358" customFormat="1" ht="25.5" x14ac:dyDescent="0.2">
      <c r="C112" s="374"/>
      <c r="D112" s="375"/>
      <c r="E112" s="382" t="str">
        <f>'Saisie données stocks'!F63</f>
        <v>3TC</v>
      </c>
      <c r="F112" s="383" t="str">
        <f>'Saisie données stocks'!G63</f>
        <v>Sol buv</v>
      </c>
      <c r="G112" s="383" t="str">
        <f>'Saisie données stocks'!H63</f>
        <v>10 mg/mL</v>
      </c>
      <c r="H112" s="1207" t="str">
        <f>CONCATENATE(E112, " - ", G112, "-",'TRAD-Calculs dispo Données FA'!$B$83, "/", K112, "mL")</f>
        <v>3TC - 10 mg/mL-Fl/240mL</v>
      </c>
      <c r="I112" s="384"/>
      <c r="J112" s="384"/>
      <c r="K112" s="115">
        <f>'Saisie données stocks'!L63</f>
        <v>240</v>
      </c>
      <c r="L112" s="304">
        <f>'Saisie données stocks'!M63</f>
        <v>1</v>
      </c>
      <c r="M112" s="1821">
        <f>Calculs!N306</f>
        <v>0</v>
      </c>
      <c r="N112" s="1870">
        <f>Calculs!O197</f>
        <v>0</v>
      </c>
      <c r="O112" s="1870">
        <f>Calculs!N251</f>
        <v>0</v>
      </c>
      <c r="P112"/>
      <c r="Q112" s="232" t="e">
        <f>IF(Calculs!N251&gt;0, (-(Calculs!N251+2*Calculs!O197)+SQRT((Calculs!N251+2*Calculs!O197)*(Calculs!N251+2*Calculs!O197)+8*Calculs!N251*(M112)))/(2*Calculs!N251), ((M112)/Calculs!O197))</f>
        <v>#DIV/0!</v>
      </c>
      <c r="R112" s="232" t="e">
        <f t="shared" si="18"/>
        <v>#DIV/0!</v>
      </c>
      <c r="S112" s="237" t="e">
        <f>Q112-Paramétrage!$D$29</f>
        <v>#DIV/0!</v>
      </c>
      <c r="T112" s="242" t="e">
        <f>IF(Q112&lt;Paramétrage!$D$29, Q112, Paramétrage!$D$29)</f>
        <v>#DIV/0!</v>
      </c>
      <c r="U112" s="249" t="e">
        <f>Paramétrage!$H$19+S112*(365/12)</f>
        <v>#DIV/0!</v>
      </c>
      <c r="V112" s="250" t="e">
        <f>IF(Q112&lt;Paramétrage!$D$29, Paramétrage!$H$19+T112*(365/12), Paramétrage!$H$19+Q112*(365/12))</f>
        <v>#DIV/0!</v>
      </c>
      <c r="X112" s="232" t="str">
        <f>IF(ISERROR(Q112),"", IF(Q112=0, "", IF(Q112&gt;'Calculs Péremption FA'!$CB51, 'Calculs Péremption FA'!$CB51, Q112)))</f>
        <v/>
      </c>
      <c r="Y112" s="583" t="str">
        <f t="shared" si="19"/>
        <v/>
      </c>
      <c r="Z112" s="237" t="str">
        <f>IF(ISERROR(Q112),"", IF(Q112=0, "", IF(Q112&gt;'Calculs Péremption FA'!$CB51, 'Calculs Péremption FA'!$CB51-Paramétrage!$D$29, S112)))</f>
        <v/>
      </c>
      <c r="AA112" s="426" t="str">
        <f>IF(ISERROR(Q112),"", IF(Q112=0, "", IF(Q112&gt;'Calculs Péremption FA'!$CB51, Paramétrage!$D$29, T112)))</f>
        <v/>
      </c>
      <c r="AB112" s="249" t="str">
        <f>IF(ISERROR(Q112),"", IF(Q112=0, "", IF(Q112&gt;'Calculs Péremption FA'!$CB51, 'Calculs Péremption FA'!$BX51-Paramétrage!$D$29*(365/12), U112)))</f>
        <v/>
      </c>
      <c r="AC112" s="250" t="str">
        <f>IF(ISERROR(Q112), AW112, IF(Q112=0, "", IF(Q112&gt;'Calculs Péremption FA'!$CB51, IF(Q112&lt;'Saisie données stocks'!$N$14, CONCATENATE('TRAD-Calculs dispo Données FA'!$B$88, " - ", 'Calculs Péremption FA'!$BY51, "/", 'Calculs Péremption FA'!$BZ51, "/", 'Calculs Péremption FA'!$CA51), 'Calculs Péremption FA'!CC51), V112)))</f>
        <v/>
      </c>
      <c r="AE112" s="232" t="e">
        <f>(Calculs!N306/Calculs!O197)</f>
        <v>#DIV/0!</v>
      </c>
      <c r="AF112" s="232" t="e">
        <f t="shared" si="20"/>
        <v>#DIV/0!</v>
      </c>
      <c r="AG112" s="237" t="e">
        <f>AE112-Paramétrage!$D$29</f>
        <v>#DIV/0!</v>
      </c>
      <c r="AH112" s="242" t="e">
        <f>IF(AE112&lt;Paramétrage!$D$29, AE112, Paramétrage!$D$29)</f>
        <v>#DIV/0!</v>
      </c>
      <c r="AI112" s="249" t="e">
        <f>Paramétrage!$H$19+AG112*(365/12)</f>
        <v>#DIV/0!</v>
      </c>
      <c r="AJ112" s="250" t="e">
        <f>IF(AE112&lt;Paramétrage!$D$29, Paramétrage!$H$19+AH112*(365/12), Paramétrage!$H$19+AE112*(365/12))</f>
        <v>#DIV/0!</v>
      </c>
      <c r="AL112" s="232" t="str">
        <f>IF(ISERROR(AE112),"", IF(AE112=0, "", IF(AE112&gt;'Calculs Péremption FA'!$CB51, 'Calculs Péremption FA'!$CB51, AE112)))</f>
        <v/>
      </c>
      <c r="AM112" s="583" t="str">
        <f t="shared" si="21"/>
        <v/>
      </c>
      <c r="AN112" s="237" t="str">
        <f>IF(ISERROR(AE112),"", IF(AE112=0, "", IF(AE112&gt;'Calculs Péremption FA'!$CB51, 'Calculs Péremption FA'!$CB51-Paramétrage!$D$29, AG112)))</f>
        <v/>
      </c>
      <c r="AO112" s="426" t="str">
        <f>IF(ISERROR(AE112),"", IF(AE112=0, "", IF(AE112&gt;'Calculs Péremption FA'!$CB51, Paramétrage!$D$29, AH112)))</f>
        <v/>
      </c>
      <c r="AP112" s="249" t="str">
        <f>IF(ISERROR(AE112),"", IF(AE112=0, "", IF(AE112&gt;'Calculs Péremption FA'!$CB51, 'Calculs Péremption FA'!$BX51-Paramétrage!$D$29*(365/12), AI112)))</f>
        <v/>
      </c>
      <c r="AQ112" s="250" t="str">
        <f>IF(ISERROR(AE112),"", IF(AE112=0, "", IF(AE112&gt;'Calculs Péremption FA'!$CB51, CONCATENATE('TRAD-Calculs dispo Données FA'!$B$88, " - ", 'Saisie données stocks'!$AF123, "/", 'Saisie données stocks'!$AG123, "/", 'Saisie données stocks'!$AH123), AJ112)))</f>
        <v/>
      </c>
      <c r="AS112" s="2061">
        <f>Calculs!$N306</f>
        <v>0</v>
      </c>
      <c r="AT112" s="2062">
        <f>Calculs!$O197</f>
        <v>0</v>
      </c>
      <c r="AU112" s="2068">
        <f>Calculs!$N251</f>
        <v>0</v>
      </c>
      <c r="AV112" s="2075" t="str">
        <f>IF(AND(AU112=0, AS112=0, AT112=0), 'TRAD-Calculs dispo Données FA'!$B$82, "")</f>
        <v>Stock et besoin nul</v>
      </c>
      <c r="AW112" s="2073" t="str">
        <f>IF(AND(AU112=0, AS112&gt;0, AT112=0), CONCATENATE(AS112, 'Calculs dispo Données FA'!$B$80," =0"), "")</f>
        <v/>
      </c>
      <c r="AX112" s="2063" t="str">
        <f>IF(AND(AS112=0, OR(AT112&gt;=1, AU112&gt;=1)), 'TRAD-Calculs dispo Données FA'!$B$81, "")</f>
        <v/>
      </c>
    </row>
    <row r="113" spans="2:51" s="358" customFormat="1" ht="25.5" x14ac:dyDescent="0.2">
      <c r="C113" s="374"/>
      <c r="D113" s="407"/>
      <c r="E113" s="376" t="str">
        <f>'Saisie données stocks'!F64</f>
        <v>ABC</v>
      </c>
      <c r="F113" s="377" t="str">
        <f>'Saisie données stocks'!G64</f>
        <v>Sol buv</v>
      </c>
      <c r="G113" s="377" t="str">
        <f>'Saisie données stocks'!H64</f>
        <v>20 mg/mL</v>
      </c>
      <c r="H113" s="89" t="str">
        <f>CONCATENATE(E113, " - ", G113, "-",'TRAD-Calculs dispo Données FA'!$B$83, "/", K113, "mL")</f>
        <v>ABC - 20 mg/mL-Fl/240mL</v>
      </c>
      <c r="I113" s="378"/>
      <c r="J113" s="378"/>
      <c r="K113" s="114">
        <f>'Saisie données stocks'!L64</f>
        <v>240</v>
      </c>
      <c r="L113" s="308">
        <f>'Saisie données stocks'!M64</f>
        <v>1</v>
      </c>
      <c r="M113" s="1820">
        <f>Calculs!N307</f>
        <v>0</v>
      </c>
      <c r="N113" s="1820">
        <f>Calculs!O198</f>
        <v>0</v>
      </c>
      <c r="O113" s="1820">
        <f>Calculs!N252</f>
        <v>0</v>
      </c>
      <c r="P113"/>
      <c r="Q113" s="231" t="e">
        <f>IF(Calculs!N252&gt;0, (-(Calculs!N252+2*Calculs!O198)+SQRT((Calculs!N252+2*Calculs!O198)*(Calculs!N252+2*Calculs!O198)+8*Calculs!N252*(M113)))/(2*Calculs!N252), ((M113)/Calculs!O198))</f>
        <v>#DIV/0!</v>
      </c>
      <c r="R113" s="231" t="e">
        <f t="shared" si="18"/>
        <v>#DIV/0!</v>
      </c>
      <c r="S113" s="236" t="e">
        <f>Q113-Paramétrage!$D$29</f>
        <v>#DIV/0!</v>
      </c>
      <c r="T113" s="241" t="e">
        <f>IF(Q113&lt;Paramétrage!$D$29, Q113, Paramétrage!$D$29)</f>
        <v>#DIV/0!</v>
      </c>
      <c r="U113" s="247" t="e">
        <f>Paramétrage!$H$19+S113*(365/12)</f>
        <v>#DIV/0!</v>
      </c>
      <c r="V113" s="248" t="e">
        <f>IF(Q113&lt;Paramétrage!$D$29, Paramétrage!$H$19+T113*(365/12), Paramétrage!$H$19+Q113*(365/12))</f>
        <v>#DIV/0!</v>
      </c>
      <c r="X113" s="231" t="str">
        <f>IF(ISERROR(Q113),"", IF(Q113=0, "", IF(Q113&gt;'Calculs Péremption FA'!$CB52, 'Calculs Péremption FA'!$CB52, Q113)))</f>
        <v/>
      </c>
      <c r="Y113" s="582" t="str">
        <f t="shared" si="19"/>
        <v/>
      </c>
      <c r="Z113" s="236" t="str">
        <f>IF(ISERROR(Q113),"", IF(Q113=0, "", IF(Q113&gt;'Calculs Péremption FA'!$CB52, 'Calculs Péremption FA'!$CB52-Paramétrage!$D$29, S113)))</f>
        <v/>
      </c>
      <c r="AA113" s="425" t="str">
        <f>IF(ISERROR(Q113),"", IF(Q113=0, "", IF(Q113&gt;'Calculs Péremption FA'!$CB52, Paramétrage!$D$29, T113)))</f>
        <v/>
      </c>
      <c r="AB113" s="247" t="str">
        <f>IF(ISERROR(Q113),"", IF(Q113=0, "", IF(Q113&gt;'Calculs Péremption FA'!$CB52, 'Calculs Péremption FA'!$BX52-Paramétrage!$D$29*(365/12), U113)))</f>
        <v/>
      </c>
      <c r="AC113" s="248" t="str">
        <f>IF(ISERROR(Q113), AW113, IF(Q113=0, "", IF(Q113&gt;'Calculs Péremption FA'!$CB52, IF(Q113&lt;'Saisie données stocks'!$N$14, CONCATENATE('TRAD-Calculs dispo Données FA'!$B$88, " - ", 'Calculs Péremption FA'!$BY52, "/", 'Calculs Péremption FA'!$BZ52, "/", 'Calculs Péremption FA'!$CA52), 'Calculs Péremption FA'!CC52), V113)))</f>
        <v/>
      </c>
      <c r="AE113" s="231" t="e">
        <f>(Calculs!N307/Calculs!O198)</f>
        <v>#DIV/0!</v>
      </c>
      <c r="AF113" s="231" t="e">
        <f t="shared" si="20"/>
        <v>#DIV/0!</v>
      </c>
      <c r="AG113" s="236" t="e">
        <f>AE113-Paramétrage!$D$29</f>
        <v>#DIV/0!</v>
      </c>
      <c r="AH113" s="241" t="e">
        <f>IF(AE113&lt;Paramétrage!$D$29, AE113, Paramétrage!$D$29)</f>
        <v>#DIV/0!</v>
      </c>
      <c r="AI113" s="247" t="e">
        <f>Paramétrage!$H$19+AG113*(365/12)</f>
        <v>#DIV/0!</v>
      </c>
      <c r="AJ113" s="248" t="e">
        <f>IF(AE113&lt;Paramétrage!$D$29, Paramétrage!$H$19+AH113*(365/12), Paramétrage!$H$19+AE113*(365/12))</f>
        <v>#DIV/0!</v>
      </c>
      <c r="AL113" s="231" t="str">
        <f>IF(ISERROR(AE113),"", IF(AE113=0, "", IF(AE113&gt;'Calculs Péremption FA'!$CB52, 'Calculs Péremption FA'!$CB52, AE113)))</f>
        <v/>
      </c>
      <c r="AM113" s="582" t="str">
        <f t="shared" si="21"/>
        <v/>
      </c>
      <c r="AN113" s="236" t="str">
        <f>IF(ISERROR(AE113),"", IF(AE113=0, "", IF(AE113&gt;'Calculs Péremption FA'!$CB52, 'Calculs Péremption FA'!$CB52-Paramétrage!$D$29, AG113)))</f>
        <v/>
      </c>
      <c r="AO113" s="425" t="str">
        <f>IF(ISERROR(AE113),"", IF(AE113=0, "", IF(AE113&gt;'Calculs Péremption FA'!$CB52, Paramétrage!$D$29, AH113)))</f>
        <v/>
      </c>
      <c r="AP113" s="247" t="str">
        <f>IF(ISERROR(AE113),"", IF(AE113=0, "", IF(AE113&gt;'Calculs Péremption FA'!$CB52, 'Calculs Péremption FA'!$BX52-Paramétrage!$D$29*(365/12), AI113)))</f>
        <v/>
      </c>
      <c r="AQ113" s="248" t="str">
        <f>IF(ISERROR(AE113),"", IF(AE113=0, "", IF(AE113&gt;'Calculs Péremption FA'!$CB52, CONCATENATE('TRAD-Calculs dispo Données FA'!$B$88, " - ", 'Saisie données stocks'!$AF124, "/", 'Saisie données stocks'!$AG124, "/", 'Saisie données stocks'!$AH124), AJ113)))</f>
        <v/>
      </c>
      <c r="AS113" s="2061">
        <f>Calculs!$N307</f>
        <v>0</v>
      </c>
      <c r="AT113" s="2062">
        <f>Calculs!$O198</f>
        <v>0</v>
      </c>
      <c r="AU113" s="2068">
        <f>Calculs!$N252</f>
        <v>0</v>
      </c>
      <c r="AV113" s="2075" t="str">
        <f>IF(AND(AU113=0, AS113=0, AT113=0), 'TRAD-Calculs dispo Données FA'!$B$82, "")</f>
        <v>Stock et besoin nul</v>
      </c>
      <c r="AW113" s="2073" t="str">
        <f>IF(AND(AU113=0, AS113&gt;0, AT113=0), CONCATENATE(AS113, 'Calculs dispo Données FA'!$B$80," =0"), "")</f>
        <v/>
      </c>
      <c r="AX113" s="2063" t="str">
        <f>IF(AND(AS113=0, OR(AT113&gt;=1, AU113&gt;=1)), 'TRAD-Calculs dispo Données FA'!$B$81, "")</f>
        <v/>
      </c>
    </row>
    <row r="114" spans="2:51" s="358" customFormat="1" ht="25.5" x14ac:dyDescent="0.2">
      <c r="C114" s="374"/>
      <c r="D114" s="389"/>
      <c r="E114" s="390" t="str">
        <f>'Saisie données stocks'!F65</f>
        <v>DDI</v>
      </c>
      <c r="F114" s="391" t="str">
        <f>'Saisie données stocks'!G65</f>
        <v>Poudre buvable</v>
      </c>
      <c r="G114" s="391" t="str">
        <f>'Saisie données stocks'!H65</f>
        <v>2 g</v>
      </c>
      <c r="H114" s="1643" t="str">
        <f>CONCATENATE(E114, " - ", G114, "-",'TRAD-Calculs dispo Données FA'!$B$83, "/", K114, "mL")</f>
        <v>DDI - 2 g-Fl/200mL</v>
      </c>
      <c r="I114" s="401"/>
      <c r="J114" s="401"/>
      <c r="K114" s="116">
        <f>'Saisie données stocks'!L65</f>
        <v>200</v>
      </c>
      <c r="L114" s="311">
        <f>'Saisie données stocks'!M65</f>
        <v>1</v>
      </c>
      <c r="M114" s="1822">
        <f>Calculs!N308</f>
        <v>0</v>
      </c>
      <c r="N114" s="1822">
        <f>Calculs!O199</f>
        <v>0</v>
      </c>
      <c r="O114" s="1822">
        <f>Calculs!N253</f>
        <v>0</v>
      </c>
      <c r="P114"/>
      <c r="Q114" s="233" t="e">
        <f>IF(Calculs!N253&gt;0, (-(Calculs!N253+2*Calculs!O199)+SQRT((Calculs!N253+2*Calculs!O199)*(Calculs!N253+2*Calculs!O199)+8*Calculs!N253*(M114)))/(2*Calculs!N253), ((M114)/Calculs!O199))</f>
        <v>#DIV/0!</v>
      </c>
      <c r="R114" s="233" t="e">
        <f t="shared" si="18"/>
        <v>#DIV/0!</v>
      </c>
      <c r="S114" s="238" t="e">
        <f>Q114-Paramétrage!$D$29</f>
        <v>#DIV/0!</v>
      </c>
      <c r="T114" s="243" t="e">
        <f>IF(Q114&lt;Paramétrage!$D$29, Q114, Paramétrage!$D$29)</f>
        <v>#DIV/0!</v>
      </c>
      <c r="U114" s="251" t="e">
        <f>Paramétrage!$H$19+S114*(365/12)</f>
        <v>#DIV/0!</v>
      </c>
      <c r="V114" s="252" t="e">
        <f>IF(Q114&lt;Paramétrage!$D$29, Paramétrage!$H$19+T114*(365/12), Paramétrage!$H$19+Q114*(365/12))</f>
        <v>#DIV/0!</v>
      </c>
      <c r="X114" s="233" t="str">
        <f>IF(ISERROR(Q114),"", IF(Q114=0, "", IF(Q114&gt;'Calculs Péremption FA'!$CB53, 'Calculs Péremption FA'!$CB53, Q114)))</f>
        <v/>
      </c>
      <c r="Y114" s="575" t="str">
        <f t="shared" si="19"/>
        <v/>
      </c>
      <c r="Z114" s="238" t="str">
        <f>IF(ISERROR(Q114),"", IF(Q114=0, "", IF(Q114&gt;'Calculs Péremption FA'!$CB53, 'Calculs Péremption FA'!$CB53-Paramétrage!$D$29, S114)))</f>
        <v/>
      </c>
      <c r="AA114" s="427" t="str">
        <f>IF(ISERROR(Q114),"", IF(Q114=0, "", IF(Q114&gt;'Calculs Péremption FA'!$CB53, Paramétrage!$D$29, T114)))</f>
        <v/>
      </c>
      <c r="AB114" s="251" t="str">
        <f>IF(ISERROR(Q114),"", IF(Q114=0, "", IF(Q114&gt;'Calculs Péremption FA'!$CB53, 'Calculs Péremption FA'!$BX53-Paramétrage!$D$29*(365/12), U114)))</f>
        <v/>
      </c>
      <c r="AC114" s="252" t="str">
        <f>IF(ISERROR(Q114), AW114, IF(Q114=0, "", IF(Q114&gt;'Calculs Péremption FA'!$CB53, IF(Q114&lt;'Saisie données stocks'!$N$14, CONCATENATE('TRAD-Calculs dispo Données FA'!$B$88, " - ", 'Calculs Péremption FA'!$BY53, "/", 'Calculs Péremption FA'!$BZ53, "/", 'Calculs Péremption FA'!$CA53), 'Calculs Péremption FA'!CC53), V114)))</f>
        <v/>
      </c>
      <c r="AE114" s="233" t="e">
        <f>(Calculs!N308/Calculs!O199)</f>
        <v>#DIV/0!</v>
      </c>
      <c r="AF114" s="233" t="e">
        <f t="shared" si="20"/>
        <v>#DIV/0!</v>
      </c>
      <c r="AG114" s="238" t="e">
        <f>AE114-Paramétrage!$D$29</f>
        <v>#DIV/0!</v>
      </c>
      <c r="AH114" s="243" t="e">
        <f>IF(AE114&lt;Paramétrage!$D$29, AE114, Paramétrage!$D$29)</f>
        <v>#DIV/0!</v>
      </c>
      <c r="AI114" s="251" t="e">
        <f>Paramétrage!$H$19+AG114*(365/12)</f>
        <v>#DIV/0!</v>
      </c>
      <c r="AJ114" s="252" t="e">
        <f>IF(AE114&lt;Paramétrage!$D$29, Paramétrage!$H$19+AH114*(365/12), Paramétrage!$H$19+AE114*(365/12))</f>
        <v>#DIV/0!</v>
      </c>
      <c r="AL114" s="233" t="str">
        <f>IF(ISERROR(AE114),"", IF(AE114=0, "", IF(AE114&gt;'Calculs Péremption FA'!$CB53, 'Calculs Péremption FA'!$CB53, AE114)))</f>
        <v/>
      </c>
      <c r="AM114" s="575" t="str">
        <f t="shared" si="21"/>
        <v/>
      </c>
      <c r="AN114" s="238" t="str">
        <f>IF(ISERROR(AE114),"", IF(AE114=0, "", IF(AE114&gt;'Calculs Péremption FA'!$CB53, 'Calculs Péremption FA'!$CB53-Paramétrage!$D$29, AG114)))</f>
        <v/>
      </c>
      <c r="AO114" s="427" t="str">
        <f>IF(ISERROR(AE114),"", IF(AE114=0, "", IF(AE114&gt;'Calculs Péremption FA'!$CB53, Paramétrage!$D$29, AH114)))</f>
        <v/>
      </c>
      <c r="AP114" s="251" t="str">
        <f>IF(ISERROR(AE114),"", IF(AE114=0, "", IF(AE114&gt;'Calculs Péremption FA'!$CB53, 'Calculs Péremption FA'!$BX53-Paramétrage!$D$29*(365/12), AI114)))</f>
        <v/>
      </c>
      <c r="AQ114" s="252" t="str">
        <f>IF(ISERROR(AE114),"", IF(AE114=0, "", IF(AE114&gt;'Calculs Péremption FA'!$CB53, CONCATENATE('TRAD-Calculs dispo Données FA'!$B$88, " - ", 'Saisie données stocks'!$AF125, "/", 'Saisie données stocks'!$AG125, "/", 'Saisie données stocks'!$AH125), AJ114)))</f>
        <v/>
      </c>
      <c r="AS114" s="2061">
        <f>Calculs!$N308</f>
        <v>0</v>
      </c>
      <c r="AT114" s="2062">
        <f>Calculs!$O199</f>
        <v>0</v>
      </c>
      <c r="AU114" s="2068">
        <f>Calculs!$N253</f>
        <v>0</v>
      </c>
      <c r="AV114" s="2075" t="str">
        <f>IF(AND(AU114=0, AS114=0, AT114=0), 'TRAD-Calculs dispo Données FA'!$B$82, "")</f>
        <v>Stock et besoin nul</v>
      </c>
      <c r="AW114" s="2073" t="str">
        <f>IF(AND(AU114=0, AS114&gt;0, AT114=0), CONCATENATE(AS114, 'Calculs dispo Données FA'!$B$80," =0"), "")</f>
        <v/>
      </c>
      <c r="AX114" s="2063" t="str">
        <f>IF(AND(AS114=0, OR(AT114&gt;=1, AU114&gt;=1)), 'TRAD-Calculs dispo Données FA'!$B$81, "")</f>
        <v/>
      </c>
    </row>
    <row r="115" spans="2:51" s="358" customFormat="1" ht="25.5" x14ac:dyDescent="0.2">
      <c r="C115" s="374"/>
      <c r="D115" s="375" t="s">
        <v>26</v>
      </c>
      <c r="E115" s="376" t="str">
        <f>'Saisie données stocks'!F66</f>
        <v>NVP</v>
      </c>
      <c r="F115" s="377" t="str">
        <f>'Saisie données stocks'!G66</f>
        <v>Sol buv</v>
      </c>
      <c r="G115" s="377" t="str">
        <f>'Saisie données stocks'!H66</f>
        <v>10 mg/mL</v>
      </c>
      <c r="H115" s="89" t="str">
        <f>CONCATENATE(E115, " - ", G115, "-",'TRAD-Calculs dispo Données FA'!$B$83, "/", K115, "mL")</f>
        <v>NVP - 10 mg/mL-Fl/240mL</v>
      </c>
      <c r="I115" s="378"/>
      <c r="J115" s="378"/>
      <c r="K115" s="114">
        <f>'Saisie données stocks'!L66</f>
        <v>240</v>
      </c>
      <c r="L115" s="308">
        <f>'Saisie données stocks'!M66</f>
        <v>1</v>
      </c>
      <c r="M115" s="1820">
        <f>Calculs!N309</f>
        <v>0</v>
      </c>
      <c r="N115" s="1820">
        <f>Calculs!O200</f>
        <v>0</v>
      </c>
      <c r="O115" s="1820">
        <f>Calculs!N254</f>
        <v>0</v>
      </c>
      <c r="P115"/>
      <c r="Q115" s="231" t="e">
        <f>IF(Calculs!N254&gt;0, (-(Calculs!N254+2*Calculs!O200)+SQRT((Calculs!N254+2*Calculs!O200)*(Calculs!N254+2*Calculs!O200)+8*Calculs!N254*(M115)))/(2*Calculs!N254), ((M115)/Calculs!O200))</f>
        <v>#DIV/0!</v>
      </c>
      <c r="R115" s="231" t="e">
        <f t="shared" si="18"/>
        <v>#DIV/0!</v>
      </c>
      <c r="S115" s="236" t="e">
        <f>Q115-Paramétrage!$D$29</f>
        <v>#DIV/0!</v>
      </c>
      <c r="T115" s="241" t="e">
        <f>IF(Q115&lt;Paramétrage!$D$29, Q115, Paramétrage!$D$29)</f>
        <v>#DIV/0!</v>
      </c>
      <c r="U115" s="247" t="e">
        <f>Paramétrage!$H$19+S115*(365/12)</f>
        <v>#DIV/0!</v>
      </c>
      <c r="V115" s="248" t="e">
        <f>IF(Q115&lt;Paramétrage!$D$29, Paramétrage!$H$19+T115*(365/12), Paramétrage!$H$19+Q115*(365/12))</f>
        <v>#DIV/0!</v>
      </c>
      <c r="X115" s="231" t="str">
        <f>IF(ISERROR(Q115),"", IF(Q115=0, "", IF(Q115&gt;'Calculs Péremption FA'!$CB54, 'Calculs Péremption FA'!$CB54, Q115)))</f>
        <v/>
      </c>
      <c r="Y115" s="582" t="str">
        <f t="shared" si="19"/>
        <v/>
      </c>
      <c r="Z115" s="236" t="str">
        <f>IF(ISERROR(Q115),"", IF(Q115=0, "", IF(Q115&gt;'Calculs Péremption FA'!$CB54, 'Calculs Péremption FA'!$CB54-Paramétrage!$D$29, S115)))</f>
        <v/>
      </c>
      <c r="AA115" s="425" t="str">
        <f>IF(ISERROR(Q115),"", IF(Q115=0, "", IF(Q115&gt;'Calculs Péremption FA'!$CB54, Paramétrage!$D$29, T115)))</f>
        <v/>
      </c>
      <c r="AB115" s="247" t="str">
        <f>IF(ISERROR(Q115),"", IF(Q115=0, "", IF(Q115&gt;'Calculs Péremption FA'!$CB54, 'Calculs Péremption FA'!$BX54-Paramétrage!$D$29*(365/12), U115)))</f>
        <v/>
      </c>
      <c r="AC115" s="248" t="str">
        <f>IF(ISERROR(Q115), AW115, IF(Q115=0, "", IF(Q115&gt;'Calculs Péremption FA'!$CB54, IF(Q115&lt;'Saisie données stocks'!$N$14, CONCATENATE('TRAD-Calculs dispo Données FA'!$B$88, " - ", 'Calculs Péremption FA'!$BY54, "/", 'Calculs Péremption FA'!$BZ54, "/", 'Calculs Péremption FA'!$CA54), 'Calculs Péremption FA'!CC54), V115)))</f>
        <v/>
      </c>
      <c r="AE115" s="231" t="e">
        <f>(Calculs!N309/Calculs!O200)</f>
        <v>#DIV/0!</v>
      </c>
      <c r="AF115" s="231" t="e">
        <f t="shared" si="20"/>
        <v>#DIV/0!</v>
      </c>
      <c r="AG115" s="236" t="e">
        <f>AE115-Paramétrage!$D$29</f>
        <v>#DIV/0!</v>
      </c>
      <c r="AH115" s="241" t="e">
        <f>IF(AE115&lt;Paramétrage!$D$29, AE115, Paramétrage!$D$29)</f>
        <v>#DIV/0!</v>
      </c>
      <c r="AI115" s="247" t="e">
        <f>Paramétrage!$H$19+AG115*(365/12)</f>
        <v>#DIV/0!</v>
      </c>
      <c r="AJ115" s="248" t="e">
        <f>IF(AE115&lt;Paramétrage!$D$29, Paramétrage!$H$19+AH115*(365/12), Paramétrage!$H$19+AE115*(365/12))</f>
        <v>#DIV/0!</v>
      </c>
      <c r="AL115" s="231" t="str">
        <f>IF(ISERROR(AE115),"", IF(AE115=0, "", IF(AE115&gt;'Calculs Péremption FA'!$CB54, 'Calculs Péremption FA'!$CB54, AE115)))</f>
        <v/>
      </c>
      <c r="AM115" s="582" t="str">
        <f t="shared" si="21"/>
        <v/>
      </c>
      <c r="AN115" s="236" t="str">
        <f>IF(ISERROR(AE115),"", IF(AE115=0, "", IF(AE115&gt;'Calculs Péremption FA'!$CB54, 'Calculs Péremption FA'!$CB54-Paramétrage!$D$29, AG115)))</f>
        <v/>
      </c>
      <c r="AO115" s="425" t="str">
        <f>IF(ISERROR(AE115),"", IF(AE115=0, "", IF(AE115&gt;'Calculs Péremption FA'!$CB54, Paramétrage!$D$29, AH115)))</f>
        <v/>
      </c>
      <c r="AP115" s="247" t="str">
        <f>IF(ISERROR(AE115),"", IF(AE115=0, "", IF(AE115&gt;'Calculs Péremption FA'!$CB54, 'Calculs Péremption FA'!$BX54-Paramétrage!$D$29*(365/12), AI115)))</f>
        <v/>
      </c>
      <c r="AQ115" s="248" t="str">
        <f>IF(ISERROR(AE115),"", IF(AE115=0, "", IF(AE115&gt;'Calculs Péremption FA'!$CB54, CONCATENATE('TRAD-Calculs dispo Données FA'!$B$88, " - ", 'Saisie données stocks'!$AF126, "/", 'Saisie données stocks'!$AG126, "/", 'Saisie données stocks'!$AH126), AJ115)))</f>
        <v/>
      </c>
      <c r="AS115" s="2061">
        <f>Calculs!$N309</f>
        <v>0</v>
      </c>
      <c r="AT115" s="2062">
        <f>Calculs!$O200</f>
        <v>0</v>
      </c>
      <c r="AU115" s="2068">
        <f>Calculs!$N254</f>
        <v>0</v>
      </c>
      <c r="AV115" s="2075" t="str">
        <f>IF(AND(AU115=0, AS115=0, AT115=0), 'TRAD-Calculs dispo Données FA'!$B$82, "")</f>
        <v>Stock et besoin nul</v>
      </c>
      <c r="AW115" s="2073" t="str">
        <f>IF(AND(AU115=0, AS115&gt;0, AT115=0), CONCATENATE(AS115, 'Calculs dispo Données FA'!$B$80," =0"), "")</f>
        <v/>
      </c>
      <c r="AX115" s="2063" t="str">
        <f>IF(AND(AS115=0, OR(AT115&gt;=1, AU115&gt;=1)), 'TRAD-Calculs dispo Données FA'!$B$81, "")</f>
        <v/>
      </c>
    </row>
    <row r="116" spans="2:51" s="358" customFormat="1" ht="25.5" x14ac:dyDescent="0.2">
      <c r="C116" s="374"/>
      <c r="D116" s="389"/>
      <c r="E116" s="390" t="str">
        <f>'Saisie données stocks'!F67</f>
        <v>EFV</v>
      </c>
      <c r="F116" s="391" t="str">
        <f>'Saisie données stocks'!G67</f>
        <v>Sol buv</v>
      </c>
      <c r="G116" s="391" t="str">
        <f>'Saisie données stocks'!H67</f>
        <v>30 mg/mL</v>
      </c>
      <c r="H116" s="1643" t="str">
        <f>CONCATENATE(E116, " - ", G116, "-",'TRAD-Calculs dispo Données FA'!$B$83, "/", K116, "mL")</f>
        <v>EFV - 30 mg/mL-Fl/180mL</v>
      </c>
      <c r="I116" s="401"/>
      <c r="J116" s="401"/>
      <c r="K116" s="116">
        <f>'Saisie données stocks'!L67</f>
        <v>180</v>
      </c>
      <c r="L116" s="311">
        <f>'Saisie données stocks'!M67</f>
        <v>1</v>
      </c>
      <c r="M116" s="1822">
        <f>Calculs!N310</f>
        <v>0</v>
      </c>
      <c r="N116" s="1822">
        <f>Calculs!O201</f>
        <v>0</v>
      </c>
      <c r="O116" s="1822">
        <f>Calculs!N255</f>
        <v>0</v>
      </c>
      <c r="P116"/>
      <c r="Q116" s="233" t="e">
        <f>IF(Calculs!N255&gt;0, (-(Calculs!N255+2*Calculs!O201)+SQRT((Calculs!N255+2*Calculs!O201)*(Calculs!N255+2*Calculs!O201)+8*Calculs!N255*(M116)))/(2*Calculs!N255), ((M116)/Calculs!O201))</f>
        <v>#DIV/0!</v>
      </c>
      <c r="R116" s="233" t="e">
        <f t="shared" si="18"/>
        <v>#DIV/0!</v>
      </c>
      <c r="S116" s="238" t="e">
        <f>Q116-Paramétrage!$D$29</f>
        <v>#DIV/0!</v>
      </c>
      <c r="T116" s="243" t="e">
        <f>IF(Q116&lt;Paramétrage!$D$29, Q116, Paramétrage!$D$29)</f>
        <v>#DIV/0!</v>
      </c>
      <c r="U116" s="251" t="e">
        <f>Paramétrage!$H$19+S116*(365/12)</f>
        <v>#DIV/0!</v>
      </c>
      <c r="V116" s="252" t="e">
        <f>IF(Q116&lt;Paramétrage!$D$29, Paramétrage!$H$19+T116*(365/12), Paramétrage!$H$19+Q116*(365/12))</f>
        <v>#DIV/0!</v>
      </c>
      <c r="X116" s="233" t="str">
        <f>IF(ISERROR(Q116),"", IF(Q116=0, "", IF(Q116&gt;'Calculs Péremption FA'!$CB55, 'Calculs Péremption FA'!$CB55, Q116)))</f>
        <v/>
      </c>
      <c r="Y116" s="575" t="str">
        <f t="shared" si="19"/>
        <v/>
      </c>
      <c r="Z116" s="238" t="str">
        <f>IF(ISERROR(Q116),"", IF(Q116=0, "", IF(Q116&gt;'Calculs Péremption FA'!$CB55, 'Calculs Péremption FA'!$CB55-Paramétrage!$D$29, S116)))</f>
        <v/>
      </c>
      <c r="AA116" s="427" t="str">
        <f>IF(ISERROR(Q116),"", IF(Q116=0, "", IF(Q116&gt;'Calculs Péremption FA'!$CB55, Paramétrage!$D$29, T116)))</f>
        <v/>
      </c>
      <c r="AB116" s="251" t="str">
        <f>IF(ISERROR(Q116),"", IF(Q116=0, "", IF(Q116&gt;'Calculs Péremption FA'!$CB55, 'Calculs Péremption FA'!$BX55-Paramétrage!$D$29*(365/12), U116)))</f>
        <v/>
      </c>
      <c r="AC116" s="252" t="str">
        <f>IF(ISERROR(Q116), AW116, IF(Q116=0, "", IF(Q116&gt;'Calculs Péremption FA'!$CB55, IF(Q116&lt;'Saisie données stocks'!$N$14, CONCATENATE('TRAD-Calculs dispo Données FA'!$B$88, " - ", 'Calculs Péremption FA'!$BY55, "/", 'Calculs Péremption FA'!$BZ55, "/", 'Calculs Péremption FA'!$CA55), 'Calculs Péremption FA'!CC55), V116)))</f>
        <v/>
      </c>
      <c r="AE116" s="233" t="e">
        <f>(Calculs!N310/Calculs!O201)</f>
        <v>#DIV/0!</v>
      </c>
      <c r="AF116" s="233" t="e">
        <f t="shared" si="20"/>
        <v>#DIV/0!</v>
      </c>
      <c r="AG116" s="238" t="e">
        <f>AE116-Paramétrage!$D$29</f>
        <v>#DIV/0!</v>
      </c>
      <c r="AH116" s="243" t="e">
        <f>IF(AE116&lt;Paramétrage!$D$29, AE116, Paramétrage!$D$29)</f>
        <v>#DIV/0!</v>
      </c>
      <c r="AI116" s="251" t="e">
        <f>Paramétrage!$H$19+AG116*(365/12)</f>
        <v>#DIV/0!</v>
      </c>
      <c r="AJ116" s="252" t="e">
        <f>IF(AE116&lt;Paramétrage!$D$29, Paramétrage!$H$19+AH116*(365/12), Paramétrage!$H$19+AE116*(365/12))</f>
        <v>#DIV/0!</v>
      </c>
      <c r="AL116" s="233" t="str">
        <f>IF(ISERROR(AE116),"", IF(AE116=0, "", IF(AE116&gt;'Calculs Péremption FA'!$CB55, 'Calculs Péremption FA'!$CB55, AE116)))</f>
        <v/>
      </c>
      <c r="AM116" s="575" t="str">
        <f t="shared" si="21"/>
        <v/>
      </c>
      <c r="AN116" s="238" t="str">
        <f>IF(ISERROR(AE116),"", IF(AE116=0, "", IF(AE116&gt;'Calculs Péremption FA'!$CB55, 'Calculs Péremption FA'!$CB55-Paramétrage!$D$29, AG116)))</f>
        <v/>
      </c>
      <c r="AO116" s="427" t="str">
        <f>IF(ISERROR(AE116),"", IF(AE116=0, "", IF(AE116&gt;'Calculs Péremption FA'!$CB55, Paramétrage!$D$29, AH116)))</f>
        <v/>
      </c>
      <c r="AP116" s="251" t="str">
        <f>IF(ISERROR(AE116),"", IF(AE116=0, "", IF(AE116&gt;'Calculs Péremption FA'!$CB55, 'Calculs Péremption FA'!$BX55-Paramétrage!$D$29*(365/12), AI116)))</f>
        <v/>
      </c>
      <c r="AQ116" s="252" t="str">
        <f>IF(ISERROR(AE116),"", IF(AE116=0, "", IF(AE116&gt;'Calculs Péremption FA'!$CB55, CONCATENATE('TRAD-Calculs dispo Données FA'!$B$88, " - ", 'Saisie données stocks'!$AF127, "/", 'Saisie données stocks'!$AG127, "/", 'Saisie données stocks'!$AH127), AJ116)))</f>
        <v/>
      </c>
      <c r="AS116" s="2061">
        <f>Calculs!$N310</f>
        <v>0</v>
      </c>
      <c r="AT116" s="2062">
        <f>Calculs!$O201</f>
        <v>0</v>
      </c>
      <c r="AU116" s="2068">
        <f>Calculs!$N255</f>
        <v>0</v>
      </c>
      <c r="AV116" s="2075" t="str">
        <f>IF(AND(AU116=0, AS116=0, AT116=0), 'TRAD-Calculs dispo Données FA'!$B$82, "")</f>
        <v>Stock et besoin nul</v>
      </c>
      <c r="AW116" s="2073" t="str">
        <f>IF(AND(AU116=0, AS116&gt;0, AT116=0), CONCATENATE(AS116, 'Calculs dispo Données FA'!$B$80," =0"), "")</f>
        <v/>
      </c>
      <c r="AX116" s="2063" t="str">
        <f>IF(AND(AS116=0, OR(AT116&gt;=1, AU116&gt;=1)), 'TRAD-Calculs dispo Données FA'!$B$81, "")</f>
        <v/>
      </c>
    </row>
    <row r="117" spans="2:51" s="358" customFormat="1" ht="26.25" thickBot="1" x14ac:dyDescent="0.25">
      <c r="C117" s="404"/>
      <c r="D117" s="408" t="s">
        <v>41</v>
      </c>
      <c r="E117" s="409" t="str">
        <f>'Saisie données stocks'!F68</f>
        <v>LPV/r</v>
      </c>
      <c r="F117" s="410" t="str">
        <f>'Saisie données stocks'!G68</f>
        <v>Sol buv</v>
      </c>
      <c r="G117" s="410" t="str">
        <f>'Saisie données stocks'!H68</f>
        <v>80/20 mg/mL</v>
      </c>
      <c r="H117" s="107" t="str">
        <f>CONCATENATE(E117, " - ", G117, "-",'TRAD-Calculs dispo Données FA'!$B$83, "/", K117, "mL")</f>
        <v>LPV/r - 80/20 mg/mL-Fl/60mL</v>
      </c>
      <c r="I117" s="411"/>
      <c r="J117" s="411"/>
      <c r="K117" s="312">
        <f>'Saisie données stocks'!L68</f>
        <v>60</v>
      </c>
      <c r="L117" s="313">
        <f>'Saisie données stocks'!M68</f>
        <v>4</v>
      </c>
      <c r="M117" s="1825">
        <f>Calculs!N311</f>
        <v>0</v>
      </c>
      <c r="N117" s="1825">
        <f>Calculs!O202</f>
        <v>0</v>
      </c>
      <c r="O117" s="1825">
        <f>Calculs!N256</f>
        <v>0</v>
      </c>
      <c r="P117"/>
      <c r="Q117" s="350" t="e">
        <f>IF(Calculs!N256&gt;0, (-(Calculs!N256+2*Calculs!O202)+SQRT((Calculs!N256+2*Calculs!O202)*(Calculs!N256+2*Calculs!O202)+8*Calculs!N256*(M117)))/(2*Calculs!N256), ((M117)/Calculs!O202))</f>
        <v>#DIV/0!</v>
      </c>
      <c r="R117" s="350" t="e">
        <f t="shared" si="18"/>
        <v>#DIV/0!</v>
      </c>
      <c r="S117" s="351" t="e">
        <f>Q117-Paramétrage!$D$29</f>
        <v>#DIV/0!</v>
      </c>
      <c r="T117" s="352" t="e">
        <f>IF(Q117&lt;Paramétrage!$D$29, Q117, Paramétrage!$D$29)</f>
        <v>#DIV/0!</v>
      </c>
      <c r="U117" s="353" t="e">
        <f>Paramétrage!$H$19+S117*(365/12)</f>
        <v>#DIV/0!</v>
      </c>
      <c r="V117" s="354" t="e">
        <f>IF(Q117&lt;Paramétrage!$D$29, Paramétrage!$H$19+T117*(365/12), Paramétrage!$H$19+Q117*(365/12))</f>
        <v>#DIV/0!</v>
      </c>
      <c r="X117" s="350" t="str">
        <f>IF(ISERROR(Q117),"", IF(Q117=0, "", IF(Q117&gt;'Calculs Péremption FA'!$CB56, 'Calculs Péremption FA'!$CB56, Q117)))</f>
        <v/>
      </c>
      <c r="Y117" s="585" t="str">
        <f t="shared" si="19"/>
        <v/>
      </c>
      <c r="Z117" s="351" t="str">
        <f>IF(ISERROR(Q117),"", IF(Q117=0, "", IF(Q117&gt;'Calculs Péremption FA'!$CB56, 'Calculs Péremption FA'!$CB56-Paramétrage!$D$29, S117)))</f>
        <v/>
      </c>
      <c r="AA117" s="430" t="str">
        <f>IF(ISERROR(Q117),"", IF(Q117=0, "", IF(Q117&gt;'Calculs Péremption FA'!$CB56, Paramétrage!$D$29, T117)))</f>
        <v/>
      </c>
      <c r="AB117" s="353" t="str">
        <f>IF(ISERROR(Q117),"", IF(Q117=0, "", IF(Q117&gt;'Calculs Péremption FA'!$CB56, 'Calculs Péremption FA'!$BX56-Paramétrage!$D$29*(365/12), U117)))</f>
        <v/>
      </c>
      <c r="AC117" s="354" t="str">
        <f>IF(ISERROR(Q117), AW117, IF(Q117=0, "", IF(Q117&gt;'Calculs Péremption FA'!$CB56, IF(Q117&lt;'Saisie données stocks'!$N$14, CONCATENATE('TRAD-Calculs dispo Données FA'!$B$88, " - ", 'Calculs Péremption FA'!$BY56, "/", 'Calculs Péremption FA'!$BZ56, "/", 'Calculs Péremption FA'!$CA56), 'Calculs Péremption FA'!CC56), V117)))</f>
        <v/>
      </c>
      <c r="AE117" s="350" t="e">
        <f>(Calculs!N311/Calculs!O202)</f>
        <v>#DIV/0!</v>
      </c>
      <c r="AF117" s="350" t="e">
        <f t="shared" si="20"/>
        <v>#DIV/0!</v>
      </c>
      <c r="AG117" s="351" t="e">
        <f>AE117-Paramétrage!$D$29</f>
        <v>#DIV/0!</v>
      </c>
      <c r="AH117" s="352" t="e">
        <f>IF(AE117&lt;Paramétrage!$D$29, AE117, Paramétrage!$D$29)</f>
        <v>#DIV/0!</v>
      </c>
      <c r="AI117" s="353" t="e">
        <f>Paramétrage!$H$19+AG117*(365/12)</f>
        <v>#DIV/0!</v>
      </c>
      <c r="AJ117" s="354" t="e">
        <f>IF(AE117&lt;Paramétrage!$D$29, Paramétrage!$H$19+AH117*(365/12), Paramétrage!$H$19+AE117*(365/12))</f>
        <v>#DIV/0!</v>
      </c>
      <c r="AL117" s="350" t="str">
        <f>IF(ISERROR(AE117),"", IF(AE117=0, "", IF(AE117&gt;'Calculs Péremption FA'!$CB56, 'Calculs Péremption FA'!$CB56, AE117)))</f>
        <v/>
      </c>
      <c r="AM117" s="585" t="str">
        <f t="shared" si="21"/>
        <v/>
      </c>
      <c r="AN117" s="351" t="str">
        <f>IF(ISERROR(AE117),"", IF(AE117=0, "", IF(AE117&gt;'Calculs Péremption FA'!$CB56, 'Calculs Péremption FA'!$CB56-Paramétrage!$D$29, AG117)))</f>
        <v/>
      </c>
      <c r="AO117" s="430" t="str">
        <f>IF(ISERROR(AE117),"", IF(AE117=0, "", IF(AE117&gt;'Calculs Péremption FA'!$CB56, Paramétrage!$D$29, AH117)))</f>
        <v/>
      </c>
      <c r="AP117" s="353" t="str">
        <f>IF(ISERROR(AE117),"", IF(AE117=0, "", IF(AE117&gt;'Calculs Péremption FA'!$CB56, 'Calculs Péremption FA'!$BX56-Paramétrage!$D$29*(365/12), AI117)))</f>
        <v/>
      </c>
      <c r="AQ117" s="354" t="str">
        <f>IF(ISERROR(AE117),"", IF(AE117=0, "", IF(AE117&gt;'Calculs Péremption FA'!$CB56, CONCATENATE('TRAD-Calculs dispo Données FA'!$B$88, " - ", 'Saisie données stocks'!$AF128, "/", 'Saisie données stocks'!$AG128, "/", 'Saisie données stocks'!$AH128), AJ117)))</f>
        <v/>
      </c>
      <c r="AS117" s="2064">
        <f>Calculs!$N311</f>
        <v>0</v>
      </c>
      <c r="AT117" s="2065">
        <f>Calculs!$O202</f>
        <v>0</v>
      </c>
      <c r="AU117" s="2069">
        <f>Calculs!$N256</f>
        <v>0</v>
      </c>
      <c r="AV117" s="2075" t="str">
        <f>IF(AND(AU117=0, AS117=0, AT117=0), 'TRAD-Calculs dispo Données FA'!$B$82, "")</f>
        <v>Stock et besoin nul</v>
      </c>
      <c r="AW117" s="2073" t="str">
        <f>IF(AND(AU117=0, AS117&gt;0, AT117=0), CONCATENATE(AS117, 'Calculs dispo Données FA'!$B$80," =0"), "")</f>
        <v/>
      </c>
      <c r="AX117" s="2063" t="str">
        <f>IF(AND(AS117=0, OR(AT117&gt;=1, AU117&gt;=1)), 'TRAD-Calculs dispo Données FA'!$B$81, "")</f>
        <v/>
      </c>
    </row>
    <row r="118" spans="2:51" x14ac:dyDescent="0.2">
      <c r="U118" s="361"/>
      <c r="AG118" s="361"/>
      <c r="AX118" s="356"/>
      <c r="AY118" s="356"/>
    </row>
    <row r="119" spans="2:51" s="358" customFormat="1" x14ac:dyDescent="0.2">
      <c r="C119" s="412"/>
      <c r="D119" s="413"/>
      <c r="E119" s="414"/>
      <c r="F119" s="415"/>
      <c r="G119" s="415"/>
      <c r="H119" s="416"/>
      <c r="I119" s="416"/>
      <c r="J119" s="416"/>
      <c r="K119" s="417"/>
      <c r="L119" s="418"/>
      <c r="P119"/>
      <c r="T119" s="361"/>
      <c r="U119" s="361"/>
      <c r="AF119" s="361"/>
      <c r="AG119" s="361"/>
      <c r="AK119" s="500"/>
    </row>
    <row r="120" spans="2:51" s="358" customFormat="1" ht="14.25" x14ac:dyDescent="0.2">
      <c r="B120" s="359" t="str">
        <f>+'TRAD-Calculs dispo Données FA'!B73</f>
        <v>1.C. Avec les stocks actuellement disponibles (niveau central &amp; périphériques) SELON PARAMETRAGE</v>
      </c>
      <c r="C120" s="359"/>
      <c r="D120" s="359"/>
      <c r="E120" s="359"/>
      <c r="F120" s="359"/>
      <c r="G120" s="359"/>
      <c r="H120" s="359"/>
      <c r="I120" s="359"/>
      <c r="J120" s="359"/>
      <c r="K120" s="359"/>
      <c r="L120" s="359"/>
      <c r="M120" s="360"/>
      <c r="N120" s="360"/>
      <c r="O120" s="360"/>
      <c r="P120"/>
      <c r="Q120" s="360"/>
      <c r="T120" s="361"/>
      <c r="U120" s="361"/>
      <c r="AF120" s="361"/>
      <c r="AG120" s="361"/>
      <c r="AK120" s="500"/>
    </row>
    <row r="121" spans="2:51" ht="13.5" thickBot="1" x14ac:dyDescent="0.25">
      <c r="AX121" s="356"/>
      <c r="AY121" s="356"/>
    </row>
    <row r="122" spans="2:51" ht="26.25" thickBot="1" x14ac:dyDescent="0.25">
      <c r="C122" s="1886" t="str">
        <f>'TRAD-Calculs dispo Données FA'!B7</f>
        <v>Nature des stocks utilisés :</v>
      </c>
      <c r="D122" s="845"/>
      <c r="E122" s="845"/>
      <c r="F122" s="579" t="str">
        <f>CONCATENATE('TRAD-Calculs dispo Données FA'!$B$8, Calculs!D494)</f>
        <v>Stocks centraux</v>
      </c>
      <c r="G122" s="579"/>
      <c r="M122" s="356"/>
      <c r="N122" s="356"/>
      <c r="O122" s="356"/>
      <c r="Q122" s="3286" t="str">
        <f>'TRAD-Calculs dispo Données FA'!B23</f>
        <v>CALCULS avec croissance des besoins / Stocks dispo centraux &amp; périphériques</v>
      </c>
      <c r="R122" s="3287"/>
      <c r="S122" s="3287"/>
      <c r="T122" s="3287"/>
      <c r="U122" s="3287"/>
      <c r="V122" s="3287"/>
      <c r="W122" s="3287"/>
      <c r="X122" s="3287"/>
      <c r="Y122" s="3287"/>
      <c r="Z122" s="3287"/>
      <c r="AA122" s="3288"/>
      <c r="AC122" s="3286" t="str">
        <f>'TRAD-Calculs dispo Données FA'!B29</f>
        <v>CALCULS Marge extrême arrêt d'initiations / Stocks dispo centraux et périph</v>
      </c>
      <c r="AD122" s="3287"/>
      <c r="AE122" s="3287"/>
      <c r="AF122" s="3287"/>
      <c r="AG122" s="3287"/>
      <c r="AH122" s="3287"/>
      <c r="AI122" s="3287"/>
      <c r="AJ122" s="3287"/>
      <c r="AK122" s="3287"/>
      <c r="AL122" s="3287"/>
      <c r="AM122" s="3287"/>
      <c r="AN122" s="3287"/>
      <c r="AO122" s="3288"/>
      <c r="AX122" s="356"/>
      <c r="AY122" s="356"/>
    </row>
    <row r="123" spans="2:51" ht="26.25" thickBot="1" x14ac:dyDescent="0.25">
      <c r="R123" s="3289"/>
      <c r="S123" s="3289"/>
      <c r="T123" s="431"/>
      <c r="W123" s="3291" t="str">
        <f>'TRAD-Calculs dispo Données FA'!B27</f>
        <v>Données nettoyées pour représentation graphique</v>
      </c>
      <c r="X123" s="3289"/>
      <c r="Y123" s="3289"/>
      <c r="Z123" s="3289"/>
      <c r="AA123" s="3292"/>
      <c r="AC123" s="355"/>
      <c r="AD123" s="3289"/>
      <c r="AE123" s="3289"/>
      <c r="AF123" s="573"/>
      <c r="AG123" s="431"/>
      <c r="AH123" s="357"/>
      <c r="AJ123" s="3283" t="str">
        <f>'TRAD-Calculs dispo Données FA'!B27</f>
        <v>Données nettoyées pour représentation graphique</v>
      </c>
      <c r="AK123" s="3284"/>
      <c r="AL123" s="3284"/>
      <c r="AM123" s="3284"/>
      <c r="AN123" s="3284"/>
      <c r="AO123" s="3285"/>
      <c r="AP123" s="2137"/>
      <c r="AQ123" s="2137"/>
      <c r="AS123" s="2077" t="str">
        <f>'TRAD-Calculs dispo Données FA'!B48</f>
        <v>Stock</v>
      </c>
      <c r="AT123" s="2078" t="str">
        <f>'TRAD-Calculs dispo Données FA'!B49</f>
        <v>besoin actuel</v>
      </c>
      <c r="AU123" s="2079" t="str">
        <f>'TRAD-Calculs dispo Données FA'!B50</f>
        <v>Progression besoin</v>
      </c>
      <c r="AV123" s="2077" t="str">
        <f>'TRAD-Calculs dispo Données FA'!B51</f>
        <v>Eval</v>
      </c>
      <c r="AW123" s="2078" t="str">
        <f>'TRAD-Calculs dispo Données FA'!B51</f>
        <v>Eval</v>
      </c>
      <c r="AX123" s="2080" t="str">
        <f>'TRAD-Calculs dispo Données FA'!B51</f>
        <v>Eval</v>
      </c>
      <c r="AY123" s="356"/>
    </row>
    <row r="124" spans="2:51" s="358" customFormat="1" ht="64.5" thickBot="1" x14ac:dyDescent="0.25">
      <c r="C124" s="577" t="str">
        <f>'TRAD-Calculs dispo Données FA'!B9</f>
        <v>Classe forme galénique</v>
      </c>
      <c r="D124" s="576" t="str">
        <f>'TRAD-Calculs dispo Données FA'!B10</f>
        <v>Classe thérapeutique</v>
      </c>
      <c r="E124" s="364" t="str">
        <f>'TRAD-Calculs dispo Données FA'!B11</f>
        <v>Composition</v>
      </c>
      <c r="F124" s="365" t="str">
        <f>'TRAD-Calculs dispo Données FA'!B12</f>
        <v>Forme galénique</v>
      </c>
      <c r="G124" s="365" t="str">
        <f>'TRAD-Calculs dispo Données FA'!B13</f>
        <v>Dosage</v>
      </c>
      <c r="H124" s="365" t="str">
        <f>'TRAD-Calculs dispo Données FA'!B14</f>
        <v>Nom pour représentation graphique</v>
      </c>
      <c r="I124" s="365" t="str">
        <f>'TRAD-Calculs dispo Données FA'!B15</f>
        <v>Nb de prise / jour</v>
      </c>
      <c r="J124" s="365" t="str">
        <f>'TRAD-Calculs dispo Données FA'!B16</f>
        <v>Nb de prise / mois</v>
      </c>
      <c r="K124" s="365" t="str">
        <f>'TRAD-Calculs dispo Données FA'!B17</f>
        <v>Conditionnement</v>
      </c>
      <c r="L124" s="327" t="str">
        <f>'TRAD-Calculs dispo Données FA'!B20</f>
        <v>Nb de boites nécessaire pour 1 mois pour 1 patient</v>
      </c>
      <c r="M124" s="346" t="str">
        <f>'TRAD-Calculs dispo Données FA'!B21</f>
        <v>Stock disponible UTILISABLE au niveau considéré (nb de boites)</v>
      </c>
      <c r="N124" s="2057" t="str">
        <f>'TRAD-Calculs dispo Données FA'!B33</f>
        <v>Besoin mensuel patients suivis selon méthode</v>
      </c>
      <c r="O124" s="2057" t="str">
        <f>'TRAD-Calculs dispo Données FA'!B34</f>
        <v>Besoin mensuel patients initiés selon méthode</v>
      </c>
      <c r="P124"/>
      <c r="Q124" s="346" t="str">
        <f>'TRAD-Calculs dispo Données FA'!B35</f>
        <v>Nombre de mois de disponibilité de produits</v>
      </c>
      <c r="R124" s="346" t="str">
        <f>'TRAD-Calculs dispo Données FA'!B37</f>
        <v>Nombre de mois de disponibilité de produits hors ST</v>
      </c>
      <c r="S124" s="347" t="str">
        <f>'TRAD-Calculs dispo Données FA'!B38</f>
        <v>Nombre de mois de stock tampon (ST)</v>
      </c>
      <c r="T124" s="348" t="str">
        <f>'TRAD-Calculs dispo Données FA'!B39</f>
        <v>Date d'entrée en stock tampon</v>
      </c>
      <c r="U124" s="349" t="str">
        <f>'TRAD-Calculs dispo Données FA'!B40</f>
        <v>Date de rupture attendue</v>
      </c>
      <c r="W124" s="346" t="str">
        <f>'TRAD-Calculs dispo Données FA'!B35</f>
        <v>Nombre de mois de disponibilité de produits</v>
      </c>
      <c r="X124" s="580" t="str">
        <f>'TRAD-Calculs dispo Données FA'!B37</f>
        <v>Nombre de mois de disponibilité de produits hors ST</v>
      </c>
      <c r="Y124" s="347" t="str">
        <f>CONCATENATE( 'TRAD-Calculs dispo Données FA'!$B$85,  " ",  "(",  'TRAD-Calculs dispo Données FA'!$B$86, " ",  Calculs!$D$486, ")", ")")</f>
        <v>Nombre de mois de stock tampon (ST - max 3 mois))</v>
      </c>
      <c r="Z124" s="348" t="str">
        <f>'TRAD-Calculs dispo Données FA'!B39</f>
        <v>Date d'entrée en stock tampon</v>
      </c>
      <c r="AA124" s="349" t="str">
        <f>'TRAD-Calculs dispo Données FA'!B40</f>
        <v>Date de rupture attendue</v>
      </c>
      <c r="AC124" s="346" t="str">
        <f>'TRAD-Calculs dispo Données FA'!B35</f>
        <v>Nombre de mois de disponibilité de produits</v>
      </c>
      <c r="AD124" s="580" t="str">
        <f>'TRAD-Calculs dispo Données FA'!B46</f>
        <v>Gain Nb de mois de disponibilité si arrêt des initiations &amp; switch</v>
      </c>
      <c r="AE124" s="347" t="str">
        <f>'TRAD-Calculs dispo Données FA'!B37</f>
        <v>Nombre de mois de disponibilité de produits hors ST</v>
      </c>
      <c r="AF124" s="424" t="str">
        <f>'TRAD-Calculs dispo Données FA'!B38</f>
        <v>Nombre de mois de stock tampon (ST)</v>
      </c>
      <c r="AG124" s="348" t="str">
        <f>'TRAD-Calculs dispo Données FA'!B39</f>
        <v>Date d'entrée en stock tampon</v>
      </c>
      <c r="AH124" s="349" t="str">
        <f>'TRAD-Calculs dispo Données FA'!B40</f>
        <v>Date de rupture attendue</v>
      </c>
      <c r="AJ124" s="346" t="str">
        <f>'TRAD-Calculs dispo Données FA'!B35</f>
        <v>Nombre de mois de disponibilité de produits</v>
      </c>
      <c r="AK124" s="580" t="str">
        <f>'TRAD-Calculs dispo Données FA'!B46</f>
        <v>Gain Nb de mois de disponibilité si arrêt des initiations &amp; switch</v>
      </c>
      <c r="AL124" s="347" t="str">
        <f>'TRAD-Calculs dispo Données FA'!B37</f>
        <v>Nombre de mois de disponibilité de produits hors ST</v>
      </c>
      <c r="AM124" s="424" t="str">
        <f>'TRAD-Calculs dispo Données FA'!B38</f>
        <v>Nombre de mois de stock tampon (ST)</v>
      </c>
      <c r="AN124" s="424" t="str">
        <f>'TRAD-Calculs dispo Données FA'!B39</f>
        <v>Date d'entrée en stock tampon</v>
      </c>
      <c r="AO124" s="349" t="str">
        <f>'TRAD-Calculs dispo Données FA'!B40</f>
        <v>Date de rupture attendue</v>
      </c>
      <c r="AP124" s="2138"/>
      <c r="AQ124" s="2139"/>
      <c r="AS124" s="2058" t="s">
        <v>565</v>
      </c>
      <c r="AT124" s="2059" t="s">
        <v>561</v>
      </c>
      <c r="AU124" s="2067" t="s">
        <v>562</v>
      </c>
      <c r="AV124" s="2058" t="str">
        <f>'TRAD-Calculs dispo Données FA'!B60</f>
        <v>Stock et besoin actuel et futur =0</v>
      </c>
      <c r="AW124" s="2059" t="str">
        <f>'TRAD-Calculs dispo Données FA'!B61</f>
        <v>Stock &gt;0 et besoin actuel et futur =0</v>
      </c>
      <c r="AX124" s="2060" t="str">
        <f>'TRAD-Calculs dispo Données FA'!B62</f>
        <v>Stock=0; Besoin &gt;0</v>
      </c>
    </row>
    <row r="125" spans="2:51" s="358" customFormat="1" ht="25.5" x14ac:dyDescent="0.2">
      <c r="C125" s="366" t="str">
        <f>'TRAD-Calculs dispo Données FA'!B66</f>
        <v>Comprimés</v>
      </c>
      <c r="D125" s="367" t="s">
        <v>15</v>
      </c>
      <c r="E125" s="368" t="str">
        <f>'Saisie données stocks'!F19</f>
        <v>AZT+3TC+NVP</v>
      </c>
      <c r="F125" s="369" t="str">
        <f>'Saisie données stocks'!G19</f>
        <v>Cp</v>
      </c>
      <c r="G125" s="369" t="str">
        <f>'Saisie données stocks'!H19</f>
        <v>300/150/200 mg</v>
      </c>
      <c r="H125" s="370" t="str">
        <f>CONCATENATE(E125, " - ", G125, " - ", 'TRAD-Calculs dispo Données FA'!$B$79,"/", K125)</f>
        <v>AZT+3TC+NVP - 300/150/200 mg - B/60</v>
      </c>
      <c r="I125" s="372">
        <f>Calculs!K102</f>
        <v>2</v>
      </c>
      <c r="J125" s="372">
        <f t="shared" ref="J125:J165" si="22">I125*30</f>
        <v>60</v>
      </c>
      <c r="K125" s="113">
        <f>Calculs!J102</f>
        <v>60</v>
      </c>
      <c r="L125" s="373">
        <f t="shared" ref="L125:L165" si="23">J125/K125</f>
        <v>1</v>
      </c>
      <c r="M125" s="1819">
        <f>IF('Saisie données stocks'!$O$10='TRAD-Saisie données stocks'!$B$51, 'Calculs Péremption FA'!BU7, Calculs!M262)+IF('Saisie données stocks'!$M$76='TRAD-Saisie données stocks'!$B$51, Calculs!N262, "0")</f>
        <v>8969</v>
      </c>
      <c r="N125" s="1819">
        <f>Calculs!O153</f>
        <v>0</v>
      </c>
      <c r="O125" s="1819">
        <f>Calculs!N207</f>
        <v>0</v>
      </c>
      <c r="P125"/>
      <c r="Q125" s="230" t="e">
        <f>IF(Calculs!N207&gt;0, (-(Calculs!N207+2*Calculs!O153)+SQRT((Calculs!N207+2*Calculs!O153)*(Calculs!N207+2*Calculs!O153)+8*Calculs!N207*(M125)))/(2*Calculs!N207), ((M125)/Calculs!O153))</f>
        <v>#DIV/0!</v>
      </c>
      <c r="R125" s="230" t="e">
        <f>Q125-Paramétrage!$D$29</f>
        <v>#DIV/0!</v>
      </c>
      <c r="S125" s="235" t="e">
        <f>IF(Q125&lt;Paramétrage!$D$29, Q125, Paramétrage!$D$29)</f>
        <v>#DIV/0!</v>
      </c>
      <c r="T125" s="245" t="e">
        <f>Paramétrage!$H$19+R125*(365/12)</f>
        <v>#DIV/0!</v>
      </c>
      <c r="U125" s="246" t="e">
        <f>IF(Q125&lt;Paramétrage!$D$29, Paramétrage!$H$19+S125*(365/12), Paramétrage!$H$19+Q125*(365/12))</f>
        <v>#DIV/0!</v>
      </c>
      <c r="W125" s="230" t="str">
        <f>IF(ISERROR(Q125),"", IF(Q125=0, "", IF(Q125&gt;'Calculs Péremption FA'!$CB7, 'Calculs Péremption FA'!$CB7, Q125)))</f>
        <v/>
      </c>
      <c r="X125" s="581" t="str">
        <f>IF(ISERROR(Q125),"", IF(Q125=0, "", IF(Q125&gt;'Calculs Péremption FA'!$CB7, 'Calculs Péremption FA'!$CB7-Paramétrage!$D$29, R125)))</f>
        <v/>
      </c>
      <c r="Y125" s="2155" t="str">
        <f>IF(ISERROR(Q125),"", IF(Q125=0, "",  S125))</f>
        <v/>
      </c>
      <c r="Z125" s="245" t="str">
        <f>IF(ISERROR(Q125),"", IF(Q125=0, "", IF(Q125&gt;'Calculs Péremption FA'!$CB7, 'Calculs Péremption FA'!$BX7-Paramétrage!$D$29*(365/12), T125)))</f>
        <v/>
      </c>
      <c r="AA125" s="246" t="str">
        <f>IF(ISERROR(Q125),AW125,IF(Q125=0,IF(AND(M125=0,OR(N125&gt;0,O125&gt;0)),AX125,""),IF('Saisie données stocks'!$O$10='TRAD-Saisie données stocks'!$B$51,IF('Calculs Péremption FA'!P7="OK",IF('Calculs Péremption FA'!BV7&gt;0,CONCATENATE('TRAD-Calculs dispo Données FA'!$B$88, " - ",'Calculs Péremption FA'!$BY7,"/",'Calculs Péremption FA'!$BZ7,"/",'Calculs Péremption FA'!$CA7),U125),IF(Q125&gt;'Saisie données stocks'!$N$14,'Calculs Péremption FA'!CC7,U125)),IF(Q125&gt;'Saisie données stocks'!$N$14,'Calculs Péremption FA'!CC7,U125))))</f>
        <v>71892 B &amp; conso =0</v>
      </c>
      <c r="AC125" s="230" t="e">
        <f>(Calculs!O262)/Calculs!O153</f>
        <v>#DIV/0!</v>
      </c>
      <c r="AD125" s="230" t="e">
        <f t="shared" ref="AD125:AD165" si="24">AC125-Q125</f>
        <v>#DIV/0!</v>
      </c>
      <c r="AE125" s="235" t="e">
        <f>AC125-Paramétrage!$D$29</f>
        <v>#DIV/0!</v>
      </c>
      <c r="AF125" s="240" t="e">
        <f>IF(AC125&lt;Paramétrage!$D$29, AC125, Paramétrage!$D$29)</f>
        <v>#DIV/0!</v>
      </c>
      <c r="AG125" s="245" t="e">
        <f>Paramétrage!$H$19+AE125*(365/12)</f>
        <v>#DIV/0!</v>
      </c>
      <c r="AH125" s="246" t="e">
        <f>IF(AC125&lt;Paramétrage!$D$29, Paramétrage!$H$19+AF125*(365/12), Paramétrage!$H$19+AC125*(365/12))</f>
        <v>#DIV/0!</v>
      </c>
      <c r="AJ125" s="230" t="str">
        <f>IF(ISERROR(AC125),"", IF(AC125=0, "", IF(AC125&gt;'Calculs Péremption FA'!$CB7, 'Calculs Péremption FA'!$CB7, AC125)))</f>
        <v/>
      </c>
      <c r="AK125" s="581" t="str">
        <f t="shared" ref="AK125:AK165" si="25">IF(ISERROR(AD125),"", IF(AD125=0, "", IF(AJ125-W125=0, "0", AJ125-W125)))</f>
        <v/>
      </c>
      <c r="AL125" s="235" t="str">
        <f>IF(ISERROR(AC125),"", IF(AC125=0, "", IF(AC125&gt;'Calculs Péremption FA'!$CB7, 'Calculs Péremption FA'!$CB7-Paramétrage!$D$29, AE125)))</f>
        <v/>
      </c>
      <c r="AM125" s="429" t="str">
        <f>IF(ISERROR(AC125),"", IF(AC125=0, "", IF(AC125&gt;'Calculs Péremption FA'!$CB7, Paramétrage!$D$29, AF125)))</f>
        <v/>
      </c>
      <c r="AN125" s="245" t="str">
        <f>IF(ISERROR(AC125),Z125, IF(AC125=0, "", IF(AC125&gt;'Calculs Péremption FA'!$CB7, 'Calculs Péremption FA'!$BX7-Paramétrage!$D$29*(365/12), AG125)))</f>
        <v/>
      </c>
      <c r="AO125" s="246" t="str">
        <f>IF(ISERROR(AC125),AA125, IF(AC125=0, "", IF(AC125&gt;'Calculs Péremption FA'!$CB7, CONCATENATE('TRAD-Calculs dispo Données FA'!$B$88, " - ", 'Calculs Péremption FA'!$BY7, "/", 'Calculs Péremption FA'!$BZ7, "/", 'Calculs Péremption FA'!$CA7), AH125)))</f>
        <v>71892 B &amp; conso =0</v>
      </c>
      <c r="AP125" s="2140"/>
      <c r="AQ125" s="2141"/>
      <c r="AS125" s="2061">
        <f>Calculs!$O262</f>
        <v>71892</v>
      </c>
      <c r="AT125" s="2062">
        <f>Calculs!$O153</f>
        <v>0</v>
      </c>
      <c r="AU125" s="2068">
        <f>Calculs!$N207</f>
        <v>0</v>
      </c>
      <c r="AV125" s="2070" t="str">
        <f>IF(AND(AU125=0, AS125=0, AT125=0), 'TRAD-Calculs dispo Données FA'!$B$82, "")</f>
        <v/>
      </c>
      <c r="AW125" s="2062" t="str">
        <f>IF(AND(AU125=0, AS125&gt;0, AT125=0), CONCATENATE(AS125, " ", 'TRAD-Calculs dispo Données FA'!$B$80, " =0"), "")</f>
        <v>71892 B &amp; conso =0</v>
      </c>
      <c r="AX125" s="2063" t="str">
        <f>IF(AND(AS125=0, OR(AT125&gt;=1, AU125&gt;=1)),'TRAD-Calculs dispo Données FA'!$B$81, "")</f>
        <v/>
      </c>
    </row>
    <row r="126" spans="2:51" s="358" customFormat="1" ht="25.5" x14ac:dyDescent="0.2">
      <c r="C126" s="374"/>
      <c r="D126" s="375"/>
      <c r="E126" s="501" t="str">
        <f>'Saisie données stocks'!F20</f>
        <v>AZT+3TC+NVP</v>
      </c>
      <c r="F126" s="502" t="str">
        <f>'Saisie données stocks'!G20</f>
        <v>Cp</v>
      </c>
      <c r="G126" s="502" t="str">
        <f>'Saisie données stocks'!H20</f>
        <v>60/30/50 mg</v>
      </c>
      <c r="H126" s="504" t="str">
        <f>CONCATENATE(E126, " - ", G126, " - ", 'TRAD-Calculs dispo Données FA'!$B$79,"/", K126)</f>
        <v>AZT+3TC+NVP - 60/30/50 mg - B/60</v>
      </c>
      <c r="I126" s="505">
        <f>Calculs!K103</f>
        <v>2</v>
      </c>
      <c r="J126" s="505">
        <f t="shared" si="22"/>
        <v>60</v>
      </c>
      <c r="K126" s="114">
        <f>Calculs!J103</f>
        <v>60</v>
      </c>
      <c r="L126" s="381">
        <f t="shared" si="23"/>
        <v>1</v>
      </c>
      <c r="M126" s="1820">
        <f>IF('Saisie données stocks'!$O$10='TRAD-Saisie données stocks'!$B$51, 'Calculs Péremption FA'!BU8, Calculs!M263)+IF('Saisie données stocks'!$M$76='TRAD-Saisie données stocks'!$B$51, Calculs!N263, "0")</f>
        <v>490</v>
      </c>
      <c r="N126" s="1820">
        <f>Calculs!O154</f>
        <v>0</v>
      </c>
      <c r="O126" s="1820">
        <f>Calculs!N208</f>
        <v>0</v>
      </c>
      <c r="P126"/>
      <c r="Q126" s="231" t="e">
        <f>IF(Calculs!N208&gt;0, (-(Calculs!N208+2*Calculs!O154)+SQRT((Calculs!N208+2*Calculs!O154)*(Calculs!N208+2*Calculs!O154)+8*Calculs!N208*(M126)))/(2*Calculs!N208), ((M126)/Calculs!O154))</f>
        <v>#DIV/0!</v>
      </c>
      <c r="R126" s="231" t="e">
        <f>Q126-Paramétrage!$D$29</f>
        <v>#DIV/0!</v>
      </c>
      <c r="S126" s="236" t="e">
        <f>IF(Q126&lt;Paramétrage!$D$29, Q126, Paramétrage!$D$29)</f>
        <v>#DIV/0!</v>
      </c>
      <c r="T126" s="247" t="e">
        <f>Paramétrage!$H$19+R126*(365/12)</f>
        <v>#DIV/0!</v>
      </c>
      <c r="U126" s="248" t="e">
        <f>IF(Q126&lt;Paramétrage!$D$29, Paramétrage!$H$19+S126*(365/12), Paramétrage!$H$19+Q126*(365/12))</f>
        <v>#DIV/0!</v>
      </c>
      <c r="W126" s="231" t="str">
        <f>IF(ISERROR(Q126),"", IF(Q126=0, "", IF(Q126&gt;'Calculs Péremption FA'!$CB8, 'Calculs Péremption FA'!$CB8, Q126)))</f>
        <v/>
      </c>
      <c r="X126" s="582" t="str">
        <f>IF(ISERROR(Q126),"", IF(Q126=0, "", IF(Q126&gt;'Calculs Péremption FA'!$CB8, 'Calculs Péremption FA'!$CB8-Paramétrage!$D$29, R126)))</f>
        <v/>
      </c>
      <c r="Y126" s="236" t="str">
        <f t="shared" ref="Y126:Y174" si="26">IF(ISERROR(Q126),"", IF(Q126=0, "",  S126))</f>
        <v/>
      </c>
      <c r="Z126" s="247" t="str">
        <f>IF(ISERROR(Q126),"", IF(Q126=0, "", IF(Q126&gt;'Calculs Péremption FA'!$CB8, 'Calculs Péremption FA'!$BX8-Paramétrage!$D$29*(365/12), T126)))</f>
        <v/>
      </c>
      <c r="AA126" s="248" t="str">
        <f>IF(ISERROR(Q126),AW126,IF(Q126=0,IF(AND(M126=0,OR(N126&gt;0,O126&gt;0)),AX126,""),IF('Saisie données stocks'!$O$10='TRAD-Saisie données stocks'!$B$51,IF('Calculs Péremption FA'!P8="OK",IF('Calculs Péremption FA'!BV8&gt;0,CONCATENATE('TRAD-Calculs dispo Données FA'!$B$88, " - ",'Calculs Péremption FA'!$BY8,"/",'Calculs Péremption FA'!$BZ8,"/",'Calculs Péremption FA'!$CA8),U126),IF(Q126&gt;'Saisie données stocks'!$N$14,'Calculs Péremption FA'!CC8,U126)),IF(Q126&gt;'Saisie données stocks'!$N$14,'Calculs Péremption FA'!CC8,U126))))</f>
        <v>1522 B &amp; conso =0</v>
      </c>
      <c r="AC126" s="231" t="e">
        <f>(Calculs!O263)/Calculs!O154</f>
        <v>#DIV/0!</v>
      </c>
      <c r="AD126" s="231" t="e">
        <f t="shared" si="24"/>
        <v>#DIV/0!</v>
      </c>
      <c r="AE126" s="236" t="e">
        <f>AC126-Paramétrage!$D$29</f>
        <v>#DIV/0!</v>
      </c>
      <c r="AF126" s="241" t="e">
        <f>IF(AC126&lt;Paramétrage!$D$29, AC126, Paramétrage!$D$29)</f>
        <v>#DIV/0!</v>
      </c>
      <c r="AG126" s="247" t="e">
        <f>Paramétrage!$H$19+AE126*(365/12)</f>
        <v>#DIV/0!</v>
      </c>
      <c r="AH126" s="248" t="e">
        <f>IF(AC126&lt;Paramétrage!$D$29, Paramétrage!$H$19+AF126*(365/12), Paramétrage!$H$19+AC126*(365/12))</f>
        <v>#DIV/0!</v>
      </c>
      <c r="AJ126" s="231" t="str">
        <f>IF(ISERROR(AC126),"", IF(AC126=0, "", IF(AC126&gt;'Calculs Péremption FA'!$CB8, 'Calculs Péremption FA'!$CB8, AC126)))</f>
        <v/>
      </c>
      <c r="AK126" s="582" t="str">
        <f t="shared" si="25"/>
        <v/>
      </c>
      <c r="AL126" s="236" t="str">
        <f>IF(ISERROR(AC126),"", IF(AC126=0, "", IF(AC126&gt;'Calculs Péremption FA'!$CB8, 'Calculs Péremption FA'!$CB8-Paramétrage!$D$29, AE126)))</f>
        <v/>
      </c>
      <c r="AM126" s="425" t="str">
        <f>IF(ISERROR(AC126),"", IF(AC126=0, "", IF(AC126&gt;'Calculs Péremption FA'!$CB8, Paramétrage!$D$29, AF126)))</f>
        <v/>
      </c>
      <c r="AN126" s="247" t="str">
        <f>IF(ISERROR(AC126),Z126, IF(AC126=0, "", IF(AC126&gt;'Calculs Péremption FA'!$CB8, 'Calculs Péremption FA'!$BX8-Paramétrage!$D$29*(365/12), AG126)))</f>
        <v/>
      </c>
      <c r="AO126" s="248" t="str">
        <f>IF(ISERROR(AC126),AA126, IF(AC126=0, "", IF(AC126&gt;'Calculs Péremption FA'!$CB8, CONCATENATE('TRAD-Calculs dispo Données FA'!$B$88, " - ", 'Calculs Péremption FA'!$BY8, "/", 'Calculs Péremption FA'!$BZ8, "/", 'Calculs Péremption FA'!$CA8), AH126)))</f>
        <v>1522 B &amp; conso =0</v>
      </c>
      <c r="AP126" s="2140"/>
      <c r="AQ126" s="2141"/>
      <c r="AS126" s="2061">
        <f>Calculs!$O263</f>
        <v>1522</v>
      </c>
      <c r="AT126" s="2062">
        <f>Calculs!$O154</f>
        <v>0</v>
      </c>
      <c r="AU126" s="2068">
        <f>Calculs!$N208</f>
        <v>0</v>
      </c>
      <c r="AV126" s="2070" t="str">
        <f>IF(AND(AU126=0, AS126=0, AT126=0), 'TRAD-Calculs dispo Données FA'!$B$82, "")</f>
        <v/>
      </c>
      <c r="AW126" s="2062" t="str">
        <f>IF(AND(AU126=0, AS126&gt;0, AT126=0), CONCATENATE(AS126, " ", 'TRAD-Calculs dispo Données FA'!$B$80, " =0"), "")</f>
        <v>1522 B &amp; conso =0</v>
      </c>
      <c r="AX126" s="2063" t="str">
        <f>IF(AND(AS126=0, OR(AT126&gt;=1, AU126&gt;=1)),'TRAD-Calculs dispo Données FA'!$B$81, "")</f>
        <v/>
      </c>
    </row>
    <row r="127" spans="2:51" s="358" customFormat="1" ht="25.5" x14ac:dyDescent="0.2">
      <c r="C127" s="374"/>
      <c r="D127" s="375"/>
      <c r="E127" s="376" t="str">
        <f>'Saisie données stocks'!F21</f>
        <v>AZT+3TC+ABC</v>
      </c>
      <c r="F127" s="377" t="str">
        <f>'Saisie données stocks'!G21</f>
        <v>Cp</v>
      </c>
      <c r="G127" s="377" t="str">
        <f>'Saisie données stocks'!H21</f>
        <v>300/150/300 mg</v>
      </c>
      <c r="H127" s="378" t="str">
        <f>CONCATENATE(E127, " - ", G127, " - ", 'TRAD-Calculs dispo Données FA'!$B$79,"/", K127)</f>
        <v>AZT+3TC+ABC - 300/150/300 mg - B/60</v>
      </c>
      <c r="I127" s="380">
        <f>Calculs!K104</f>
        <v>2</v>
      </c>
      <c r="J127" s="380">
        <f t="shared" si="22"/>
        <v>60</v>
      </c>
      <c r="K127" s="114">
        <f>Calculs!J104</f>
        <v>60</v>
      </c>
      <c r="L127" s="381">
        <f t="shared" si="23"/>
        <v>1</v>
      </c>
      <c r="M127" s="1820">
        <f>IF('Saisie données stocks'!$O$10='TRAD-Saisie données stocks'!$B$51, 'Calculs Péremption FA'!BU9, Calculs!M264)+IF('Saisie données stocks'!$M$76='TRAD-Saisie données stocks'!$B$51, Calculs!N264, "0")</f>
        <v>0</v>
      </c>
      <c r="N127" s="1820">
        <f>Calculs!O155</f>
        <v>0</v>
      </c>
      <c r="O127" s="1820">
        <f>Calculs!N209</f>
        <v>0</v>
      </c>
      <c r="P127"/>
      <c r="Q127" s="231" t="e">
        <f>IF(Calculs!N209&gt;0, (-(Calculs!N209+2*Calculs!O155)+SQRT((Calculs!N209+2*Calculs!O155)*(Calculs!N209+2*Calculs!O155)+8*Calculs!N209*(M127)))/(2*Calculs!N209), ((M127)/Calculs!O155))</f>
        <v>#DIV/0!</v>
      </c>
      <c r="R127" s="231" t="e">
        <f>Q127-Paramétrage!$D$29</f>
        <v>#DIV/0!</v>
      </c>
      <c r="S127" s="236" t="e">
        <f>IF(Q127&lt;Paramétrage!$D$29, Q127, Paramétrage!$D$29)</f>
        <v>#DIV/0!</v>
      </c>
      <c r="T127" s="247" t="e">
        <f>Paramétrage!$H$19+R127*(365/12)</f>
        <v>#DIV/0!</v>
      </c>
      <c r="U127" s="248" t="e">
        <f>IF(Q127&lt;Paramétrage!$D$29, Paramétrage!$H$19+S127*(365/12), Paramétrage!$H$19+Q127*(365/12))</f>
        <v>#DIV/0!</v>
      </c>
      <c r="W127" s="231" t="str">
        <f>IF(ISERROR(Q127),"", IF(Q127=0, "", IF(Q127&gt;'Calculs Péremption FA'!$CB9, 'Calculs Péremption FA'!$CB9, Q127)))</f>
        <v/>
      </c>
      <c r="X127" s="582" t="str">
        <f>IF(ISERROR(Q127),"", IF(Q127=0, "", IF(Q127&gt;'Calculs Péremption FA'!$CB9, 'Calculs Péremption FA'!$CB9-Paramétrage!$D$29, R127)))</f>
        <v/>
      </c>
      <c r="Y127" s="236" t="str">
        <f t="shared" si="26"/>
        <v/>
      </c>
      <c r="Z127" s="247" t="str">
        <f>IF(ISERROR(Q127),"", IF(Q127=0, "", IF(Q127&gt;'Calculs Péremption FA'!$CB9, 'Calculs Péremption FA'!$BX9-Paramétrage!$D$29*(365/12), T127)))</f>
        <v/>
      </c>
      <c r="AA127" s="248" t="str">
        <f>IF(ISERROR(Q127),AW127,IF(Q127=0,IF(AND(M127=0,OR(N127&gt;0,O127&gt;0)),AX127,""),IF('Saisie données stocks'!$O$10='TRAD-Saisie données stocks'!$B$51,IF('Calculs Péremption FA'!P9="OK",IF('Calculs Péremption FA'!BV9&gt;0,CONCATENATE('TRAD-Calculs dispo Données FA'!$B$88, " - ",'Calculs Péremption FA'!$BY9,"/",'Calculs Péremption FA'!$BZ9,"/",'Calculs Péremption FA'!$CA9),U127),IF(Q127&gt;'Saisie données stocks'!$N$14,'Calculs Péremption FA'!CC9,U127)),IF(Q127&gt;'Saisie données stocks'!$N$14,'Calculs Péremption FA'!CC9,U127))))</f>
        <v>666 B &amp; conso =0</v>
      </c>
      <c r="AC127" s="231" t="e">
        <f>(Calculs!O264)/Calculs!O155</f>
        <v>#DIV/0!</v>
      </c>
      <c r="AD127" s="231" t="e">
        <f t="shared" si="24"/>
        <v>#DIV/0!</v>
      </c>
      <c r="AE127" s="236" t="e">
        <f>AC127-Paramétrage!$D$29</f>
        <v>#DIV/0!</v>
      </c>
      <c r="AF127" s="241" t="e">
        <f>IF(AC127&lt;Paramétrage!$D$29, AC127, Paramétrage!$D$29)</f>
        <v>#DIV/0!</v>
      </c>
      <c r="AG127" s="247" t="e">
        <f>Paramétrage!$H$19+AE127*(365/12)</f>
        <v>#DIV/0!</v>
      </c>
      <c r="AH127" s="248" t="e">
        <f>IF(AC127&lt;Paramétrage!$D$29, Paramétrage!$H$19+AF127*(365/12), Paramétrage!$H$19+AC127*(365/12))</f>
        <v>#DIV/0!</v>
      </c>
      <c r="AJ127" s="231" t="str">
        <f>IF(ISERROR(AC127),"", IF(AC127=0, "", IF(AC127&gt;'Calculs Péremption FA'!$CB9, 'Calculs Péremption FA'!$CB9, AC127)))</f>
        <v/>
      </c>
      <c r="AK127" s="582" t="str">
        <f t="shared" si="25"/>
        <v/>
      </c>
      <c r="AL127" s="236" t="str">
        <f>IF(ISERROR(AC127),"", IF(AC127=0, "", IF(AC127&gt;'Calculs Péremption FA'!$CB9, 'Calculs Péremption FA'!$CB9-Paramétrage!$D$29, AE127)))</f>
        <v/>
      </c>
      <c r="AM127" s="425" t="str">
        <f>IF(ISERROR(AC127),"", IF(AC127=0, "", IF(AC127&gt;'Calculs Péremption FA'!$CB9, Paramétrage!$D$29, AF127)))</f>
        <v/>
      </c>
      <c r="AN127" s="247" t="str">
        <f>IF(ISERROR(AC127),Z127, IF(AC127=0, "", IF(AC127&gt;'Calculs Péremption FA'!$CB9, 'Calculs Péremption FA'!$BX9-Paramétrage!$D$29*(365/12), AG127)))</f>
        <v/>
      </c>
      <c r="AO127" s="248" t="str">
        <f>IF(ISERROR(AC127),AA127, IF(AC127=0, "", IF(AC127&gt;'Calculs Péremption FA'!$CB9, CONCATENATE('TRAD-Calculs dispo Données FA'!$B$88, " - ", 'Calculs Péremption FA'!$BY9, "/", 'Calculs Péremption FA'!$BZ9, "/", 'Calculs Péremption FA'!$CA9), AH127)))</f>
        <v>666 B &amp; conso =0</v>
      </c>
      <c r="AP127" s="2140"/>
      <c r="AQ127" s="2141"/>
      <c r="AS127" s="2061">
        <f>Calculs!$O264</f>
        <v>666</v>
      </c>
      <c r="AT127" s="2062">
        <f>Calculs!$O155</f>
        <v>0</v>
      </c>
      <c r="AU127" s="2068">
        <f>Calculs!$N209</f>
        <v>0</v>
      </c>
      <c r="AV127" s="2070" t="str">
        <f>IF(AND(AU127=0, AS127=0, AT127=0), 'TRAD-Calculs dispo Données FA'!$B$82, "")</f>
        <v/>
      </c>
      <c r="AW127" s="2062" t="str">
        <f>IF(AND(AU127=0, AS127&gt;0, AT127=0), CONCATENATE(AS127, " ", 'TRAD-Calculs dispo Données FA'!$B$80, " =0"), "")</f>
        <v>666 B &amp; conso =0</v>
      </c>
      <c r="AX127" s="2063" t="str">
        <f>IF(AND(AS127=0, OR(AT127&gt;=1, AU127&gt;=1)),'TRAD-Calculs dispo Données FA'!$B$81, "")</f>
        <v/>
      </c>
    </row>
    <row r="128" spans="2:51" s="358" customFormat="1" ht="25.5" x14ac:dyDescent="0.2">
      <c r="C128" s="374"/>
      <c r="D128" s="375"/>
      <c r="E128" s="376" t="str">
        <f>'Saisie données stocks'!F22</f>
        <v>AZT+3TC</v>
      </c>
      <c r="F128" s="377" t="str">
        <f>'Saisie données stocks'!G22</f>
        <v>Cp</v>
      </c>
      <c r="G128" s="377" t="str">
        <f>'Saisie données stocks'!H22</f>
        <v>300/150 mg</v>
      </c>
      <c r="H128" s="378" t="str">
        <f>CONCATENATE(E128, " - ", G128, " - ", 'TRAD-Calculs dispo Données FA'!$B$79,"/", K128)</f>
        <v>AZT+3TC - 300/150 mg - B/60</v>
      </c>
      <c r="I128" s="380">
        <f>Calculs!K105</f>
        <v>2</v>
      </c>
      <c r="J128" s="380">
        <f t="shared" si="22"/>
        <v>60</v>
      </c>
      <c r="K128" s="114">
        <f>Calculs!J105</f>
        <v>60</v>
      </c>
      <c r="L128" s="381">
        <f t="shared" si="23"/>
        <v>1</v>
      </c>
      <c r="M128" s="1820">
        <f>IF('Saisie données stocks'!$O$10='TRAD-Saisie données stocks'!$B$51, 'Calculs Péremption FA'!BU10, Calculs!M265)+IF('Saisie données stocks'!$M$76='TRAD-Saisie données stocks'!$B$51, Calculs!N265, "0")</f>
        <v>1052</v>
      </c>
      <c r="N128" s="1820">
        <f>Calculs!O156</f>
        <v>0</v>
      </c>
      <c r="O128" s="1820">
        <f>Calculs!N210</f>
        <v>0</v>
      </c>
      <c r="P128"/>
      <c r="Q128" s="231" t="e">
        <f>IF(Calculs!N210&gt;0, (-(Calculs!N210+2*Calculs!O156)+SQRT((Calculs!N210+2*Calculs!O156)*(Calculs!N210+2*Calculs!O156)+8*Calculs!N210*(M128)))/(2*Calculs!N210), ((M128)/Calculs!O156))</f>
        <v>#DIV/0!</v>
      </c>
      <c r="R128" s="231" t="e">
        <f>Q128-Paramétrage!$D$29</f>
        <v>#DIV/0!</v>
      </c>
      <c r="S128" s="236" t="e">
        <f>IF(Q128&lt;Paramétrage!$D$29, Q128, Paramétrage!$D$29)</f>
        <v>#DIV/0!</v>
      </c>
      <c r="T128" s="247" t="e">
        <f>Paramétrage!$H$19+R128*(365/12)</f>
        <v>#DIV/0!</v>
      </c>
      <c r="U128" s="248" t="e">
        <f>IF(Q128&lt;Paramétrage!$D$29, Paramétrage!$H$19+S128*(365/12), Paramétrage!$H$19+Q128*(365/12))</f>
        <v>#DIV/0!</v>
      </c>
      <c r="W128" s="231" t="str">
        <f>IF(ISERROR(Q128),"", IF(Q128=0, "", IF(Q128&gt;'Calculs Péremption FA'!$CB10, 'Calculs Péremption FA'!$CB10, Q128)))</f>
        <v/>
      </c>
      <c r="X128" s="582" t="str">
        <f>IF(ISERROR(Q128),"", IF(Q128=0, "", IF(Q128&gt;'Calculs Péremption FA'!$CB10, 'Calculs Péremption FA'!$CB10-Paramétrage!$D$29, R128)))</f>
        <v/>
      </c>
      <c r="Y128" s="236" t="str">
        <f t="shared" si="26"/>
        <v/>
      </c>
      <c r="Z128" s="247" t="str">
        <f>IF(ISERROR(Q128),"", IF(Q128=0, "", IF(Q128&gt;'Calculs Péremption FA'!$CB10, 'Calculs Péremption FA'!$BX10-Paramétrage!$D$29*(365/12), T128)))</f>
        <v/>
      </c>
      <c r="AA128" s="248" t="str">
        <f>IF(ISERROR(Q128),AW128,IF(Q128=0,IF(AND(M128=0,OR(N128&gt;0,O128&gt;0)),AX128,""),IF('Saisie données stocks'!$O$10='TRAD-Saisie données stocks'!$B$51,IF('Calculs Péremption FA'!P10="OK",IF('Calculs Péremption FA'!BV10&gt;0,CONCATENATE('TRAD-Calculs dispo Données FA'!$B$88, " - ",'Calculs Péremption FA'!$BY10,"/",'Calculs Péremption FA'!$BZ10,"/",'Calculs Péremption FA'!$CA10),U128),IF(Q128&gt;'Saisie données stocks'!$N$14,'Calculs Péremption FA'!CC10,U128)),IF(Q128&gt;'Saisie données stocks'!$N$14,'Calculs Péremption FA'!CC10,U128))))</f>
        <v>12350 B &amp; conso =0</v>
      </c>
      <c r="AC128" s="231" t="e">
        <f>(Calculs!O265)/Calculs!O156</f>
        <v>#DIV/0!</v>
      </c>
      <c r="AD128" s="231" t="e">
        <f t="shared" si="24"/>
        <v>#DIV/0!</v>
      </c>
      <c r="AE128" s="236" t="e">
        <f>AC128-Paramétrage!$D$29</f>
        <v>#DIV/0!</v>
      </c>
      <c r="AF128" s="241" t="e">
        <f>IF(AC128&lt;Paramétrage!$D$29, AC128, Paramétrage!$D$29)</f>
        <v>#DIV/0!</v>
      </c>
      <c r="AG128" s="247" t="e">
        <f>Paramétrage!$H$19+AE128*(365/12)</f>
        <v>#DIV/0!</v>
      </c>
      <c r="AH128" s="248" t="e">
        <f>IF(AC128&lt;Paramétrage!$D$29, Paramétrage!$H$19+AF128*(365/12), Paramétrage!$H$19+AC128*(365/12))</f>
        <v>#DIV/0!</v>
      </c>
      <c r="AJ128" s="231" t="str">
        <f>IF(ISERROR(AC128),"", IF(AC128=0, "", IF(AC128&gt;'Calculs Péremption FA'!$CB10, 'Calculs Péremption FA'!$CB10, AC128)))</f>
        <v/>
      </c>
      <c r="AK128" s="582" t="str">
        <f t="shared" si="25"/>
        <v/>
      </c>
      <c r="AL128" s="236" t="str">
        <f>IF(ISERROR(AC128),"", IF(AC128=0, "", IF(AC128&gt;'Calculs Péremption FA'!$CB10, 'Calculs Péremption FA'!$CB10-Paramétrage!$D$29, AE128)))</f>
        <v/>
      </c>
      <c r="AM128" s="425" t="str">
        <f>IF(ISERROR(AC128),"", IF(AC128=0, "", IF(AC128&gt;'Calculs Péremption FA'!$CB10, Paramétrage!$D$29, AF128)))</f>
        <v/>
      </c>
      <c r="AN128" s="247" t="str">
        <f>IF(ISERROR(AC128),Z128, IF(AC128=0, "", IF(AC128&gt;'Calculs Péremption FA'!$CB10, 'Calculs Péremption FA'!$BX10-Paramétrage!$D$29*(365/12), AG128)))</f>
        <v/>
      </c>
      <c r="AO128" s="248" t="str">
        <f>IF(ISERROR(AC128),AA128, IF(AC128=0, "", IF(AC128&gt;'Calculs Péremption FA'!$CB10, CONCATENATE('TRAD-Calculs dispo Données FA'!$B$88, " - ", 'Calculs Péremption FA'!$BY10, "/", 'Calculs Péremption FA'!$BZ10, "/", 'Calculs Péremption FA'!$CA10), AH128)))</f>
        <v>12350 B &amp; conso =0</v>
      </c>
      <c r="AP128" s="2140"/>
      <c r="AQ128" s="2141"/>
      <c r="AS128" s="2061">
        <f>Calculs!$O265</f>
        <v>12350</v>
      </c>
      <c r="AT128" s="2062">
        <f>Calculs!$O156</f>
        <v>0</v>
      </c>
      <c r="AU128" s="2068">
        <f>Calculs!$N210</f>
        <v>0</v>
      </c>
      <c r="AV128" s="2070" t="str">
        <f>IF(AND(AU128=0, AS128=0, AT128=0), 'TRAD-Calculs dispo Données FA'!$B$82, "")</f>
        <v/>
      </c>
      <c r="AW128" s="2062" t="str">
        <f>IF(AND(AU128=0, AS128&gt;0, AT128=0), CONCATENATE(AS128, " ", 'TRAD-Calculs dispo Données FA'!$B$80, " =0"), "")</f>
        <v>12350 B &amp; conso =0</v>
      </c>
      <c r="AX128" s="2063" t="str">
        <f>IF(AND(AS128=0, OR(AT128&gt;=1, AU128&gt;=1)),'TRAD-Calculs dispo Données FA'!$B$81, "")</f>
        <v/>
      </c>
    </row>
    <row r="129" spans="3:50" s="358" customFormat="1" x14ac:dyDescent="0.2">
      <c r="C129" s="374"/>
      <c r="D129" s="375"/>
      <c r="E129" s="376" t="str">
        <f>'Saisie données stocks'!F23</f>
        <v>AZT+3TC</v>
      </c>
      <c r="F129" s="377" t="str">
        <f>'Saisie données stocks'!G23</f>
        <v>Cp</v>
      </c>
      <c r="G129" s="377" t="str">
        <f>'Saisie données stocks'!H23</f>
        <v>60/30 mg</v>
      </c>
      <c r="H129" s="378" t="str">
        <f>CONCATENATE(E129, " - ", G129, " - ", 'TRAD-Calculs dispo Données FA'!$B$79,"/", K129)</f>
        <v>AZT+3TC - 60/30 mg - B/60</v>
      </c>
      <c r="I129" s="380">
        <f>Calculs!K106</f>
        <v>2</v>
      </c>
      <c r="J129" s="380">
        <f t="shared" si="22"/>
        <v>60</v>
      </c>
      <c r="K129" s="114">
        <f>Calculs!J106</f>
        <v>60</v>
      </c>
      <c r="L129" s="381">
        <f t="shared" si="23"/>
        <v>1</v>
      </c>
      <c r="M129" s="1820">
        <f>IF('Saisie données stocks'!$O$10='TRAD-Saisie données stocks'!$B$51, 'Calculs Péremption FA'!BU11, Calculs!M266)+IF('Saisie données stocks'!$M$76='TRAD-Saisie données stocks'!$B$51, Calculs!N266, "0")</f>
        <v>160</v>
      </c>
      <c r="N129" s="1820">
        <f>Calculs!O157</f>
        <v>0</v>
      </c>
      <c r="O129" s="1820">
        <f>Calculs!N211</f>
        <v>0</v>
      </c>
      <c r="P129"/>
      <c r="Q129" s="231" t="e">
        <f>IF(Calculs!N211&gt;0, (-(Calculs!N211+2*Calculs!O157)+SQRT((Calculs!N211+2*Calculs!O157)*(Calculs!N211+2*Calculs!O157)+8*Calculs!N211*(M129)))/(2*Calculs!N211), ((M129)/Calculs!O157))</f>
        <v>#DIV/0!</v>
      </c>
      <c r="R129" s="231" t="e">
        <f>Q129-Paramétrage!$D$29</f>
        <v>#DIV/0!</v>
      </c>
      <c r="S129" s="236" t="e">
        <f>IF(Q129&lt;Paramétrage!$D$29, Q129, Paramétrage!$D$29)</f>
        <v>#DIV/0!</v>
      </c>
      <c r="T129" s="247" t="e">
        <f>Paramétrage!$H$19+R129*(365/12)</f>
        <v>#DIV/0!</v>
      </c>
      <c r="U129" s="248" t="e">
        <f>IF(Q129&lt;Paramétrage!$D$29, Paramétrage!$H$19+S129*(365/12), Paramétrage!$H$19+Q129*(365/12))</f>
        <v>#DIV/0!</v>
      </c>
      <c r="W129" s="231" t="str">
        <f>IF(ISERROR(Q129),"", IF(Q129=0, "", IF(Q129&gt;'Calculs Péremption FA'!$CB11, 'Calculs Péremption FA'!$CB11, Q129)))</f>
        <v/>
      </c>
      <c r="X129" s="582" t="str">
        <f>IF(ISERROR(Q129),"", IF(Q129=0, "", IF(Q129&gt;'Calculs Péremption FA'!$CB11, 'Calculs Péremption FA'!$CB11-Paramétrage!$D$29, R129)))</f>
        <v/>
      </c>
      <c r="Y129" s="236" t="str">
        <f t="shared" si="26"/>
        <v/>
      </c>
      <c r="Z129" s="247" t="str">
        <f>IF(ISERROR(Q129),"", IF(Q129=0, "", IF(Q129&gt;'Calculs Péremption FA'!$CB11, 'Calculs Péremption FA'!$BX11-Paramétrage!$D$29*(365/12), T129)))</f>
        <v/>
      </c>
      <c r="AA129" s="248" t="str">
        <f>IF(ISERROR(Q129),AW129,IF(Q129=0,IF(AND(M129=0,OR(N129&gt;0,O129&gt;0)),AX129,""),IF('Saisie données stocks'!$O$10='TRAD-Saisie données stocks'!$B$51,IF('Calculs Péremption FA'!P11="OK",IF('Calculs Péremption FA'!BV11&gt;0,CONCATENATE('TRAD-Calculs dispo Données FA'!$B$88, " - ",'Calculs Péremption FA'!$BY11,"/",'Calculs Péremption FA'!$BZ11,"/",'Calculs Péremption FA'!$CA11),U129),IF(Q129&gt;'Saisie données stocks'!$N$14,'Calculs Péremption FA'!CC11,U129)),IF(Q129&gt;'Saisie données stocks'!$N$14,'Calculs Péremption FA'!CC11,U129))))</f>
        <v>903 B &amp; conso =0</v>
      </c>
      <c r="AC129" s="231" t="e">
        <f>(Calculs!O266)/Calculs!O157</f>
        <v>#DIV/0!</v>
      </c>
      <c r="AD129" s="231" t="e">
        <f t="shared" si="24"/>
        <v>#DIV/0!</v>
      </c>
      <c r="AE129" s="236" t="e">
        <f>AC129-Paramétrage!$D$29</f>
        <v>#DIV/0!</v>
      </c>
      <c r="AF129" s="241" t="e">
        <f>IF(AC129&lt;Paramétrage!$D$29, AC129, Paramétrage!$D$29)</f>
        <v>#DIV/0!</v>
      </c>
      <c r="AG129" s="247" t="e">
        <f>Paramétrage!$H$19+AE129*(365/12)</f>
        <v>#DIV/0!</v>
      </c>
      <c r="AH129" s="248" t="e">
        <f>IF(AC129&lt;Paramétrage!$D$29, Paramétrage!$H$19+AF129*(365/12), Paramétrage!$H$19+AC129*(365/12))</f>
        <v>#DIV/0!</v>
      </c>
      <c r="AJ129" s="231" t="str">
        <f>IF(ISERROR(AC129),"", IF(AC129=0, "", IF(AC129&gt;'Calculs Péremption FA'!$CB11, 'Calculs Péremption FA'!$CB11, AC129)))</f>
        <v/>
      </c>
      <c r="AK129" s="582" t="str">
        <f t="shared" si="25"/>
        <v/>
      </c>
      <c r="AL129" s="236" t="str">
        <f>IF(ISERROR(AC129),"", IF(AC129=0, "", IF(AC129&gt;'Calculs Péremption FA'!$CB11, 'Calculs Péremption FA'!$CB11-Paramétrage!$D$29, AE129)))</f>
        <v/>
      </c>
      <c r="AM129" s="425" t="str">
        <f>IF(ISERROR(AC129),"", IF(AC129=0, "", IF(AC129&gt;'Calculs Péremption FA'!$CB11, Paramétrage!$D$29, AF129)))</f>
        <v/>
      </c>
      <c r="AN129" s="247" t="str">
        <f>IF(ISERROR(AC129),Z129, IF(AC129=0, "", IF(AC129&gt;'Calculs Péremption FA'!$CB11, 'Calculs Péremption FA'!$BX11-Paramétrage!$D$29*(365/12), AG129)))</f>
        <v/>
      </c>
      <c r="AO129" s="248" t="str">
        <f>IF(ISERROR(AC129),AA129, IF(AC129=0, "", IF(AC129&gt;'Calculs Péremption FA'!$CB11, CONCATENATE('TRAD-Calculs dispo Données FA'!$B$88, " - ", 'Calculs Péremption FA'!$BY11, "/", 'Calculs Péremption FA'!$BZ11, "/", 'Calculs Péremption FA'!$CA11), AH129)))</f>
        <v>903 B &amp; conso =0</v>
      </c>
      <c r="AP129" s="2140"/>
      <c r="AQ129" s="2141"/>
      <c r="AS129" s="2061">
        <f>Calculs!$O266</f>
        <v>903</v>
      </c>
      <c r="AT129" s="2062">
        <f>Calculs!$O157</f>
        <v>0</v>
      </c>
      <c r="AU129" s="2068">
        <f>Calculs!$N211</f>
        <v>0</v>
      </c>
      <c r="AV129" s="2070" t="str">
        <f>IF(AND(AU129=0, AS129=0, AT129=0), 'TRAD-Calculs dispo Données FA'!$B$82, "")</f>
        <v/>
      </c>
      <c r="AW129" s="2062" t="str">
        <f>IF(AND(AU129=0, AS129&gt;0, AT129=0), CONCATENATE(AS129, " ", 'TRAD-Calculs dispo Données FA'!$B$80, " =0"), "")</f>
        <v>903 B &amp; conso =0</v>
      </c>
      <c r="AX129" s="2063" t="str">
        <f>IF(AND(AS129=0, OR(AT129&gt;=1, AU129&gt;=1)),'TRAD-Calculs dispo Données FA'!$B$81, "")</f>
        <v/>
      </c>
    </row>
    <row r="130" spans="3:50" s="358" customFormat="1" ht="25.5" x14ac:dyDescent="0.2">
      <c r="C130" s="374"/>
      <c r="D130" s="375"/>
      <c r="E130" s="376" t="str">
        <f>'Saisie données stocks'!F24</f>
        <v>3TC+ABC</v>
      </c>
      <c r="F130" s="377" t="str">
        <f>'Saisie données stocks'!G24</f>
        <v>Cp</v>
      </c>
      <c r="G130" s="377" t="str">
        <f>'Saisie données stocks'!H24</f>
        <v>300/600 mg</v>
      </c>
      <c r="H130" s="378" t="str">
        <f>CONCATENATE(E130, " - ", G130, " - ", 'TRAD-Calculs dispo Données FA'!$B$79,"/", K130)</f>
        <v>3TC+ABC - 300/600 mg - B/30</v>
      </c>
      <c r="I130" s="380">
        <f>Calculs!K107</f>
        <v>1</v>
      </c>
      <c r="J130" s="380">
        <f t="shared" si="22"/>
        <v>30</v>
      </c>
      <c r="K130" s="114">
        <f>Calculs!J107</f>
        <v>30</v>
      </c>
      <c r="L130" s="381">
        <f t="shared" si="23"/>
        <v>1</v>
      </c>
      <c r="M130" s="1820">
        <f>IF('Saisie données stocks'!$O$10='TRAD-Saisie données stocks'!$B$51, 'Calculs Péremption FA'!BU12, Calculs!M267)+IF('Saisie données stocks'!$M$76='TRAD-Saisie données stocks'!$B$51, Calculs!N267, "0")</f>
        <v>40</v>
      </c>
      <c r="N130" s="1820">
        <f>Calculs!O158</f>
        <v>0</v>
      </c>
      <c r="O130" s="1820">
        <f>Calculs!N212</f>
        <v>0</v>
      </c>
      <c r="P130"/>
      <c r="Q130" s="231" t="e">
        <f>IF(Calculs!N212&gt;0, (-(Calculs!N212+2*Calculs!O158)+SQRT((Calculs!N212+2*Calculs!O158)*(Calculs!N212+2*Calculs!O158)+8*Calculs!N212*(M130)))/(2*Calculs!N212), ((M130)/Calculs!O158))</f>
        <v>#DIV/0!</v>
      </c>
      <c r="R130" s="231" t="e">
        <f>Q130-Paramétrage!$D$29</f>
        <v>#DIV/0!</v>
      </c>
      <c r="S130" s="236" t="e">
        <f>IF(Q130&lt;Paramétrage!$D$29, Q130, Paramétrage!$D$29)</f>
        <v>#DIV/0!</v>
      </c>
      <c r="T130" s="247" t="e">
        <f>Paramétrage!$H$19+R130*(365/12)</f>
        <v>#DIV/0!</v>
      </c>
      <c r="U130" s="248" t="e">
        <f>IF(Q130&lt;Paramétrage!$D$29, Paramétrage!$H$19+S130*(365/12), Paramétrage!$H$19+Q130*(365/12))</f>
        <v>#DIV/0!</v>
      </c>
      <c r="W130" s="231" t="str">
        <f>IF(ISERROR(Q130),"", IF(Q130=0, "", IF(Q130&gt;'Calculs Péremption FA'!$CB12, 'Calculs Péremption FA'!$CB12, Q130)))</f>
        <v/>
      </c>
      <c r="X130" s="582" t="str">
        <f>IF(ISERROR(Q130),"", IF(Q130=0, "", IF(Q130&gt;'Calculs Péremption FA'!$CB12, 'Calculs Péremption FA'!$CB12-Paramétrage!$D$29, R130)))</f>
        <v/>
      </c>
      <c r="Y130" s="236" t="str">
        <f t="shared" si="26"/>
        <v/>
      </c>
      <c r="Z130" s="247" t="str">
        <f>IF(ISERROR(Q130),"", IF(Q130=0, "", IF(Q130&gt;'Calculs Péremption FA'!$CB12, 'Calculs Péremption FA'!$BX12-Paramétrage!$D$29*(365/12), T130)))</f>
        <v/>
      </c>
      <c r="AA130" s="248" t="str">
        <f>IF(ISERROR(Q130),AW130,IF(Q130=0,IF(AND(M130=0,OR(N130&gt;0,O130&gt;0)),AX130,""),IF('Saisie données stocks'!$O$10='TRAD-Saisie données stocks'!$B$51,IF('Calculs Péremption FA'!P12="OK",IF('Calculs Péremption FA'!BV12&gt;0,CONCATENATE('TRAD-Calculs dispo Données FA'!$B$88, " - ",'Calculs Péremption FA'!$BY12,"/",'Calculs Péremption FA'!$BZ12,"/",'Calculs Péremption FA'!$CA12),U130),IF(Q130&gt;'Saisie données stocks'!$N$14,'Calculs Péremption FA'!CC12,U130)),IF(Q130&gt;'Saisie données stocks'!$N$14,'Calculs Péremption FA'!CC12,U130))))</f>
        <v>187 B &amp; conso =0</v>
      </c>
      <c r="AC130" s="231" t="e">
        <f>(Calculs!O267)/Calculs!O158</f>
        <v>#DIV/0!</v>
      </c>
      <c r="AD130" s="231" t="e">
        <f t="shared" si="24"/>
        <v>#DIV/0!</v>
      </c>
      <c r="AE130" s="236" t="e">
        <f>AC130-Paramétrage!$D$29</f>
        <v>#DIV/0!</v>
      </c>
      <c r="AF130" s="241" t="e">
        <f>IF(AC130&lt;Paramétrage!$D$29, AC130, Paramétrage!$D$29)</f>
        <v>#DIV/0!</v>
      </c>
      <c r="AG130" s="247" t="e">
        <f>Paramétrage!$H$19+AE130*(365/12)</f>
        <v>#DIV/0!</v>
      </c>
      <c r="AH130" s="248" t="e">
        <f>IF(AC130&lt;Paramétrage!$D$29, Paramétrage!$H$19+AF130*(365/12), Paramétrage!$H$19+AC130*(365/12))</f>
        <v>#DIV/0!</v>
      </c>
      <c r="AJ130" s="231" t="str">
        <f>IF(ISERROR(AC130),"", IF(AC130=0, "", IF(AC130&gt;'Calculs Péremption FA'!$CB12, 'Calculs Péremption FA'!$CB12, AC130)))</f>
        <v/>
      </c>
      <c r="AK130" s="582" t="str">
        <f t="shared" si="25"/>
        <v/>
      </c>
      <c r="AL130" s="236" t="str">
        <f>IF(ISERROR(AC130),"", IF(AC130=0, "", IF(AC130&gt;'Calculs Péremption FA'!$CB12, 'Calculs Péremption FA'!$CB12-Paramétrage!$D$29, AE130)))</f>
        <v/>
      </c>
      <c r="AM130" s="425" t="str">
        <f>IF(ISERROR(AC130),"", IF(AC130=0, "", IF(AC130&gt;'Calculs Péremption FA'!$CB12, Paramétrage!$D$29, AF130)))</f>
        <v/>
      </c>
      <c r="AN130" s="247" t="str">
        <f>IF(ISERROR(AC130),Z130, IF(AC130=0, "", IF(AC130&gt;'Calculs Péremption FA'!$CB12, 'Calculs Péremption FA'!$BX12-Paramétrage!$D$29*(365/12), AG130)))</f>
        <v/>
      </c>
      <c r="AO130" s="248" t="str">
        <f>IF(ISERROR(AC130),AA130, IF(AC130=0, "", IF(AC130&gt;'Calculs Péremption FA'!$CB12, CONCATENATE('TRAD-Calculs dispo Données FA'!$B$88, " - ", 'Calculs Péremption FA'!$BY12, "/", 'Calculs Péremption FA'!$BZ12, "/", 'Calculs Péremption FA'!$CA12), AH130)))</f>
        <v>187 B &amp; conso =0</v>
      </c>
      <c r="AP130" s="2140"/>
      <c r="AQ130" s="2141"/>
      <c r="AS130" s="2061">
        <f>Calculs!$O267</f>
        <v>187</v>
      </c>
      <c r="AT130" s="2062">
        <f>Calculs!$O158</f>
        <v>0</v>
      </c>
      <c r="AU130" s="2068">
        <f>Calculs!$N212</f>
        <v>0</v>
      </c>
      <c r="AV130" s="2070" t="str">
        <f>IF(AND(AU130=0, AS130=0, AT130=0), 'TRAD-Calculs dispo Données FA'!$B$82, "")</f>
        <v/>
      </c>
      <c r="AW130" s="2062" t="str">
        <f>IF(AND(AU130=0, AS130&gt;0, AT130=0), CONCATENATE(AS130, " ", 'TRAD-Calculs dispo Données FA'!$B$80, " =0"), "")</f>
        <v>187 B &amp; conso =0</v>
      </c>
      <c r="AX130" s="2063" t="str">
        <f>IF(AND(AS130=0, OR(AT130&gt;=1, AU130&gt;=1)),'TRAD-Calculs dispo Données FA'!$B$81, "")</f>
        <v/>
      </c>
    </row>
    <row r="131" spans="3:50" s="358" customFormat="1" ht="12.75" customHeight="1" x14ac:dyDescent="0.2">
      <c r="C131" s="374"/>
      <c r="D131" s="375"/>
      <c r="E131" s="376" t="str">
        <f>'Saisie données stocks'!F25</f>
        <v>3TC+ABC</v>
      </c>
      <c r="F131" s="377" t="str">
        <f>'Saisie données stocks'!G25</f>
        <v>Cp</v>
      </c>
      <c r="G131" s="377" t="str">
        <f>'Saisie données stocks'!H25</f>
        <v>30/60 mg</v>
      </c>
      <c r="H131" s="378" t="str">
        <f>CONCATENATE(E131, " - ", G131, " - ", 'TRAD-Calculs dispo Données FA'!$B$79,"/", K131)</f>
        <v>3TC+ABC - 30/60 mg - B/60</v>
      </c>
      <c r="I131" s="380">
        <f>Calculs!K108</f>
        <v>2</v>
      </c>
      <c r="J131" s="380">
        <f t="shared" si="22"/>
        <v>60</v>
      </c>
      <c r="K131" s="114">
        <f>Calculs!J108</f>
        <v>60</v>
      </c>
      <c r="L131" s="381">
        <f t="shared" si="23"/>
        <v>1</v>
      </c>
      <c r="M131" s="1820">
        <f>IF('Saisie données stocks'!$O$10='TRAD-Saisie données stocks'!$B$51, 'Calculs Péremption FA'!BU13, Calculs!M268)+IF('Saisie données stocks'!$M$76='TRAD-Saisie données stocks'!$B$51, Calculs!N268, "0")</f>
        <v>0</v>
      </c>
      <c r="N131" s="1820">
        <f>Calculs!O159</f>
        <v>0</v>
      </c>
      <c r="O131" s="1820">
        <f>Calculs!N213</f>
        <v>0</v>
      </c>
      <c r="P131"/>
      <c r="Q131" s="231" t="e">
        <f>IF(Calculs!N213&gt;0, (-(Calculs!N213+2*Calculs!O159)+SQRT((Calculs!N213+2*Calculs!O159)*(Calculs!N213+2*Calculs!O159)+8*Calculs!N213*(M131)))/(2*Calculs!N213), ((M131)/Calculs!O159))</f>
        <v>#DIV/0!</v>
      </c>
      <c r="R131" s="231" t="e">
        <f>Q131-Paramétrage!$D$29</f>
        <v>#DIV/0!</v>
      </c>
      <c r="S131" s="236" t="e">
        <f>IF(Q131&lt;Paramétrage!$D$29, Q131, Paramétrage!$D$29)</f>
        <v>#DIV/0!</v>
      </c>
      <c r="T131" s="247" t="e">
        <f>Paramétrage!$H$19+R131*(365/12)</f>
        <v>#DIV/0!</v>
      </c>
      <c r="U131" s="248" t="e">
        <f>IF(Q131&lt;Paramétrage!$D$29, Paramétrage!$H$19+S131*(365/12), Paramétrage!$H$19+Q131*(365/12))</f>
        <v>#DIV/0!</v>
      </c>
      <c r="W131" s="231" t="str">
        <f>IF(ISERROR(Q131),"", IF(Q131=0, "", IF(Q131&gt;'Calculs Péremption FA'!$CB13, 'Calculs Péremption FA'!$CB13, Q131)))</f>
        <v/>
      </c>
      <c r="X131" s="582" t="str">
        <f>IF(ISERROR(Q131),"", IF(Q131=0, "", IF(Q131&gt;'Calculs Péremption FA'!$CB13, 'Calculs Péremption FA'!$CB13-Paramétrage!$D$29, R131)))</f>
        <v/>
      </c>
      <c r="Y131" s="236" t="str">
        <f t="shared" si="26"/>
        <v/>
      </c>
      <c r="Z131" s="247" t="str">
        <f>IF(ISERROR(Q131),"", IF(Q131=0, "", IF(Q131&gt;'Calculs Péremption FA'!$CB13, 'Calculs Péremption FA'!$BX13-Paramétrage!$D$29*(365/12), T131)))</f>
        <v/>
      </c>
      <c r="AA131" s="248" t="str">
        <f>IF(ISERROR(Q131),AW131,IF(Q131=0,IF(AND(M131=0,OR(N131&gt;0,O131&gt;0)),AX131,""),IF('Saisie données stocks'!$O$10='TRAD-Saisie données stocks'!$B$51,IF('Calculs Péremption FA'!P13="OK",IF('Calculs Péremption FA'!BV13&gt;0,CONCATENATE('TRAD-Calculs dispo Données FA'!$B$88, " - ",'Calculs Péremption FA'!$BY13,"/",'Calculs Péremption FA'!$BZ13,"/",'Calculs Péremption FA'!$CA13),U131),IF(Q131&gt;'Saisie données stocks'!$N$14,'Calculs Péremption FA'!CC13,U131)),IF(Q131&gt;'Saisie données stocks'!$N$14,'Calculs Péremption FA'!CC13,U131))))</f>
        <v>231 B &amp; conso =0</v>
      </c>
      <c r="AC131" s="231" t="e">
        <f>(Calculs!O268)/Calculs!O159</f>
        <v>#DIV/0!</v>
      </c>
      <c r="AD131" s="231" t="e">
        <f t="shared" si="24"/>
        <v>#DIV/0!</v>
      </c>
      <c r="AE131" s="236" t="e">
        <f>AC131-Paramétrage!$D$29</f>
        <v>#DIV/0!</v>
      </c>
      <c r="AF131" s="241" t="e">
        <f>IF(AC131&lt;Paramétrage!$D$29, AC131, Paramétrage!$D$29)</f>
        <v>#DIV/0!</v>
      </c>
      <c r="AG131" s="247" t="e">
        <f>Paramétrage!$H$19+AE131*(365/12)</f>
        <v>#DIV/0!</v>
      </c>
      <c r="AH131" s="248" t="e">
        <f>IF(AC131&lt;Paramétrage!$D$29, Paramétrage!$H$19+AF131*(365/12), Paramétrage!$H$19+AC131*(365/12))</f>
        <v>#DIV/0!</v>
      </c>
      <c r="AJ131" s="231" t="str">
        <f>IF(ISERROR(AC131),"", IF(AC131=0, "", IF(AC131&gt;'Calculs Péremption FA'!$CB13, 'Calculs Péremption FA'!$CB13, AC131)))</f>
        <v/>
      </c>
      <c r="AK131" s="582" t="str">
        <f t="shared" si="25"/>
        <v/>
      </c>
      <c r="AL131" s="236" t="str">
        <f>IF(ISERROR(AC131),"", IF(AC131=0, "", IF(AC131&gt;'Calculs Péremption FA'!$CB13, 'Calculs Péremption FA'!$CB13-Paramétrage!$D$29, AE131)))</f>
        <v/>
      </c>
      <c r="AM131" s="425" t="str">
        <f>IF(ISERROR(AC131),"", IF(AC131=0, "", IF(AC131&gt;'Calculs Péremption FA'!$CB13, Paramétrage!$D$29, AF131)))</f>
        <v/>
      </c>
      <c r="AN131" s="247" t="str">
        <f>IF(ISERROR(AC131),Z131, IF(AC131=0, "", IF(AC131&gt;'Calculs Péremption FA'!$CB13, 'Calculs Péremption FA'!$BX13-Paramétrage!$D$29*(365/12), AG131)))</f>
        <v/>
      </c>
      <c r="AO131" s="248" t="str">
        <f>IF(ISERROR(AC131),AA131, IF(AC131=0, "", IF(AC131&gt;'Calculs Péremption FA'!$CB13, CONCATENATE('TRAD-Calculs dispo Données FA'!$B$88, " - ", 'Calculs Péremption FA'!$BY13, "/", 'Calculs Péremption FA'!$BZ13, "/", 'Calculs Péremption FA'!$CA13), AH131)))</f>
        <v>231 B &amp; conso =0</v>
      </c>
      <c r="AP131" s="2140"/>
      <c r="AQ131" s="2141"/>
      <c r="AS131" s="2061">
        <f>Calculs!$O268</f>
        <v>231</v>
      </c>
      <c r="AT131" s="2062">
        <f>Calculs!$O159</f>
        <v>0</v>
      </c>
      <c r="AU131" s="2068">
        <f>Calculs!$N213</f>
        <v>0</v>
      </c>
      <c r="AV131" s="2070" t="str">
        <f>IF(AND(AU131=0, AS131=0, AT131=0), 'TRAD-Calculs dispo Données FA'!$B$82, "")</f>
        <v/>
      </c>
      <c r="AW131" s="2062" t="str">
        <f>IF(AND(AU131=0, AS131&gt;0, AT131=0), CONCATENATE(AS131, " ", 'TRAD-Calculs dispo Données FA'!$B$80, " =0"), "")</f>
        <v>231 B &amp; conso =0</v>
      </c>
      <c r="AX131" s="2063" t="str">
        <f>IF(AND(AS131=0, OR(AT131&gt;=1, AU131&gt;=1)),'TRAD-Calculs dispo Données FA'!$B$81, "")</f>
        <v/>
      </c>
    </row>
    <row r="132" spans="3:50" s="358" customFormat="1" ht="25.5" x14ac:dyDescent="0.2">
      <c r="C132" s="374"/>
      <c r="D132" s="375"/>
      <c r="E132" s="382" t="str">
        <f>'Saisie données stocks'!F26</f>
        <v>D4T+3TC+NVP</v>
      </c>
      <c r="F132" s="383" t="str">
        <f>'Saisie données stocks'!G26</f>
        <v>Cp</v>
      </c>
      <c r="G132" s="383" t="str">
        <f>'Saisie données stocks'!H26</f>
        <v>30/150/200 mg</v>
      </c>
      <c r="H132" s="384" t="str">
        <f>CONCATENATE(E132, " - ", G132, " - ", 'TRAD-Calculs dispo Données FA'!$B$79,"/", K132)</f>
        <v>D4T+3TC+NVP - 30/150/200 mg - B/60</v>
      </c>
      <c r="I132" s="386">
        <f>Calculs!K109</f>
        <v>2</v>
      </c>
      <c r="J132" s="386">
        <f t="shared" si="22"/>
        <v>60</v>
      </c>
      <c r="K132" s="115">
        <f>Calculs!J109</f>
        <v>60</v>
      </c>
      <c r="L132" s="387">
        <f t="shared" si="23"/>
        <v>1</v>
      </c>
      <c r="M132" s="1821">
        <f>IF('Saisie données stocks'!$O$10='TRAD-Saisie données stocks'!$B$51, 'Calculs Péremption FA'!BU14, Calculs!M269)+IF('Saisie données stocks'!$M$76='TRAD-Saisie données stocks'!$B$51, Calculs!N269, "0")</f>
        <v>0</v>
      </c>
      <c r="N132" s="1870">
        <f>Calculs!O160</f>
        <v>0</v>
      </c>
      <c r="O132" s="1870">
        <f>Calculs!N214</f>
        <v>0</v>
      </c>
      <c r="P132"/>
      <c r="Q132" s="232" t="e">
        <f>IF(Calculs!N214&gt;0, (-(Calculs!N214+2*Calculs!O160)+SQRT((Calculs!N214+2*Calculs!O160)*(Calculs!N214+2*Calculs!O160)+8*Calculs!N214*(M132)))/(2*Calculs!N214), ((M132)/Calculs!O160))</f>
        <v>#DIV/0!</v>
      </c>
      <c r="R132" s="232" t="e">
        <f>Q132-Paramétrage!$D$29</f>
        <v>#DIV/0!</v>
      </c>
      <c r="S132" s="236" t="e">
        <f>IF(Q132&lt;Paramétrage!$D$29, Q132, Paramétrage!$D$29)</f>
        <v>#DIV/0!</v>
      </c>
      <c r="T132" s="249" t="e">
        <f>Paramétrage!$H$19+R132*(365/12)</f>
        <v>#DIV/0!</v>
      </c>
      <c r="U132" s="250" t="e">
        <f>IF(Q132&lt;Paramétrage!$D$29, Paramétrage!$H$19+S132*(365/12), Paramétrage!$H$19+Q132*(365/12))</f>
        <v>#DIV/0!</v>
      </c>
      <c r="W132" s="232" t="str">
        <f>IF(ISERROR(Q132),"", IF(Q132=0, "", IF(Q132&gt;'Calculs Péremption FA'!$CB14, 'Calculs Péremption FA'!$CB14, Q132)))</f>
        <v/>
      </c>
      <c r="X132" s="583" t="str">
        <f>IF(ISERROR(Q132),"", IF(Q132=0, "", IF(Q132&gt;'Calculs Péremption FA'!$CB14, 'Calculs Péremption FA'!$CB14-Paramétrage!$D$29, R132)))</f>
        <v/>
      </c>
      <c r="Y132" s="237" t="str">
        <f t="shared" si="26"/>
        <v/>
      </c>
      <c r="Z132" s="249" t="str">
        <f>IF(ISERROR(Q132),"", IF(Q132=0, "", IF(Q132&gt;'Calculs Péremption FA'!$CB14, 'Calculs Péremption FA'!$BX14-Paramétrage!$D$29*(365/12), T132)))</f>
        <v/>
      </c>
      <c r="AA132" s="250" t="str">
        <f>IF(ISERROR(Q132),AW132,IF(Q132=0,IF(AND(M132=0,OR(N132&gt;0,O132&gt;0)),AX132,""),IF('Saisie données stocks'!$O$10='TRAD-Saisie données stocks'!$B$51,IF('Calculs Péremption FA'!P14="OK",IF('Calculs Péremption FA'!BV14&gt;0,CONCATENATE('TRAD-Calculs dispo Données FA'!$B$88, " - ",'Calculs Péremption FA'!$BY14,"/",'Calculs Péremption FA'!$BZ14,"/",'Calculs Péremption FA'!$CA14),U132),IF(Q132&gt;'Saisie données stocks'!$N$14,'Calculs Péremption FA'!CC14,U132)),IF(Q132&gt;'Saisie données stocks'!$N$14,'Calculs Péremption FA'!CC14,U132))))</f>
        <v/>
      </c>
      <c r="AC132" s="232" t="e">
        <f>(Calculs!O269)/Calculs!O160</f>
        <v>#DIV/0!</v>
      </c>
      <c r="AD132" s="232" t="e">
        <f t="shared" si="24"/>
        <v>#DIV/0!</v>
      </c>
      <c r="AE132" s="236" t="e">
        <f>AC132-Paramétrage!$D$29</f>
        <v>#DIV/0!</v>
      </c>
      <c r="AF132" s="242" t="e">
        <f>IF(AC132&lt;Paramétrage!$D$29, AC132, Paramétrage!$D$29)</f>
        <v>#DIV/0!</v>
      </c>
      <c r="AG132" s="249" t="e">
        <f>Paramétrage!$H$19+AE132*(365/12)</f>
        <v>#DIV/0!</v>
      </c>
      <c r="AH132" s="250" t="e">
        <f>IF(AC132&lt;Paramétrage!$D$29, Paramétrage!$H$19+AF132*(365/12), Paramétrage!$H$19+AC132*(365/12))</f>
        <v>#DIV/0!</v>
      </c>
      <c r="AJ132" s="232" t="str">
        <f>IF(ISERROR(AC132),"", IF(AC132=0, "", IF(AC132&gt;'Calculs Péremption FA'!$CB14, 'Calculs Péremption FA'!$CB14, AC132)))</f>
        <v/>
      </c>
      <c r="AK132" s="583" t="str">
        <f t="shared" si="25"/>
        <v/>
      </c>
      <c r="AL132" s="237" t="str">
        <f>IF(ISERROR(AC132),"", IF(AC132=0, "", IF(AC132&gt;'Calculs Péremption FA'!$CB14, 'Calculs Péremption FA'!$CB14-Paramétrage!$D$29, AE132)))</f>
        <v/>
      </c>
      <c r="AM132" s="426" t="str">
        <f>IF(ISERROR(AC132),"", IF(AC132=0, "", IF(AC132&gt;'Calculs Péremption FA'!$CB14, Paramétrage!$D$29, AF132)))</f>
        <v/>
      </c>
      <c r="AN132" s="249" t="str">
        <f>IF(ISERROR(AC132),Z132, IF(AC132=0, "", IF(AC132&gt;'Calculs Péremption FA'!$CB14, 'Calculs Péremption FA'!$BX14-Paramétrage!$D$29*(365/12), AG132)))</f>
        <v/>
      </c>
      <c r="AO132" s="250" t="str">
        <f>IF(ISERROR(AC132),AA132, IF(AC132=0, "", IF(AC132&gt;'Calculs Péremption FA'!$CB14, CONCATENATE('TRAD-Calculs dispo Données FA'!$B$88, " - ", 'Calculs Péremption FA'!$BY14, "/", 'Calculs Péremption FA'!$BZ14, "/", 'Calculs Péremption FA'!$CA14), AH132)))</f>
        <v/>
      </c>
      <c r="AP132" s="2140"/>
      <c r="AQ132" s="2141"/>
      <c r="AS132" s="2061">
        <f>Calculs!$O269</f>
        <v>0</v>
      </c>
      <c r="AT132" s="2062">
        <f>Calculs!$O160</f>
        <v>0</v>
      </c>
      <c r="AU132" s="2068">
        <f>Calculs!$N214</f>
        <v>0</v>
      </c>
      <c r="AV132" s="2070" t="str">
        <f>IF(AND(AU132=0, AS132=0, AT132=0), 'TRAD-Calculs dispo Données FA'!$B$82, "")</f>
        <v>Stock et besoin nul</v>
      </c>
      <c r="AW132" s="2062" t="str">
        <f>IF(AND(AU132=0, AS132&gt;0, AT132=0), CONCATENATE(AS132, " ", 'TRAD-Calculs dispo Données FA'!$B$80, " =0"), "")</f>
        <v/>
      </c>
      <c r="AX132" s="2063" t="str">
        <f>IF(AND(AS132=0, OR(AT132&gt;=1, AU132&gt;=1)),'TRAD-Calculs dispo Données FA'!$B$81, "")</f>
        <v/>
      </c>
    </row>
    <row r="133" spans="3:50" s="358" customFormat="1" ht="25.5" x14ac:dyDescent="0.2">
      <c r="C133" s="374"/>
      <c r="D133" s="375"/>
      <c r="E133" s="382" t="str">
        <f>'Saisie données stocks'!F27</f>
        <v>D4T+3TC+NVP</v>
      </c>
      <c r="F133" s="383" t="str">
        <f>'Saisie données stocks'!G27</f>
        <v>Cp</v>
      </c>
      <c r="G133" s="383" t="str">
        <f>'Saisie données stocks'!H27</f>
        <v>6/30/50 mg</v>
      </c>
      <c r="H133" s="385" t="str">
        <f>CONCATENATE(E133, " - ", G133, " - ", 'TRAD-Calculs dispo Données FA'!$B$79,"/", K133)</f>
        <v>D4T+3TC+NVP - 6/30/50 mg - B/60</v>
      </c>
      <c r="I133" s="386">
        <f>Calculs!K110</f>
        <v>2</v>
      </c>
      <c r="J133" s="386">
        <f t="shared" si="22"/>
        <v>60</v>
      </c>
      <c r="K133" s="115">
        <f>Calculs!J110</f>
        <v>60</v>
      </c>
      <c r="L133" s="387">
        <f t="shared" si="23"/>
        <v>1</v>
      </c>
      <c r="M133" s="1821">
        <f>IF('Saisie données stocks'!$O$10='TRAD-Saisie données stocks'!$B$51, 'Calculs Péremption FA'!BU15, Calculs!M270)+IF('Saisie données stocks'!$M$76='TRAD-Saisie données stocks'!$B$51, Calculs!N270, "0")</f>
        <v>30</v>
      </c>
      <c r="N133" s="1870">
        <f>Calculs!O161</f>
        <v>0</v>
      </c>
      <c r="O133" s="1870">
        <f>Calculs!N215</f>
        <v>0</v>
      </c>
      <c r="P133"/>
      <c r="Q133" s="232" t="e">
        <f>IF(Calculs!N215&gt;0, (-(Calculs!N215+2*Calculs!O161)+SQRT((Calculs!N215+2*Calculs!O161)*(Calculs!N215+2*Calculs!O161)+8*Calculs!N215*(M133)))/(2*Calculs!N215), ((M133)/Calculs!O161))</f>
        <v>#DIV/0!</v>
      </c>
      <c r="R133" s="232" t="e">
        <f>Q133-Paramétrage!$D$29</f>
        <v>#DIV/0!</v>
      </c>
      <c r="S133" s="237" t="e">
        <f>IF(Q133&lt;Paramétrage!$D$29, Q133, Paramétrage!$D$29)</f>
        <v>#DIV/0!</v>
      </c>
      <c r="T133" s="249" t="e">
        <f>Paramétrage!$H$19+R133*(365/12)</f>
        <v>#DIV/0!</v>
      </c>
      <c r="U133" s="250" t="e">
        <f>IF(Q133&lt;Paramétrage!$D$29, Paramétrage!$H$19+S133*(365/12), Paramétrage!$H$19+Q133*(365/12))</f>
        <v>#DIV/0!</v>
      </c>
      <c r="W133" s="232" t="str">
        <f>IF(ISERROR(Q133),"", IF(Q133=0, "", IF(Q133&gt;'Calculs Péremption FA'!$CB15, 'Calculs Péremption FA'!$CB15, Q133)))</f>
        <v/>
      </c>
      <c r="X133" s="583" t="str">
        <f>IF(ISERROR(Q133),"", IF(Q133=0, "", IF(Q133&gt;'Calculs Péremption FA'!$CB15, 'Calculs Péremption FA'!$CB15-Paramétrage!$D$29, R133)))</f>
        <v/>
      </c>
      <c r="Y133" s="237" t="str">
        <f t="shared" si="26"/>
        <v/>
      </c>
      <c r="Z133" s="249" t="str">
        <f>IF(ISERROR(Q133),"", IF(Q133=0, "", IF(Q133&gt;'Calculs Péremption FA'!$CB15, 'Calculs Péremption FA'!$BX15-Paramétrage!$D$29*(365/12), T133)))</f>
        <v/>
      </c>
      <c r="AA133" s="250" t="str">
        <f>IF(ISERROR(Q133),AW133,IF(Q133=0,IF(AND(M133=0,OR(N133&gt;0,O133&gt;0)),AX133,""),IF('Saisie données stocks'!$O$10='TRAD-Saisie données stocks'!$B$51,IF('Calculs Péremption FA'!P15="OK",IF('Calculs Péremption FA'!BV15&gt;0,CONCATENATE('TRAD-Calculs dispo Données FA'!$B$88, " - ",'Calculs Péremption FA'!$BY15,"/",'Calculs Péremption FA'!$BZ15,"/",'Calculs Péremption FA'!$CA15),U133),IF(Q133&gt;'Saisie données stocks'!$N$14,'Calculs Péremption FA'!CC15,U133)),IF(Q133&gt;'Saisie données stocks'!$N$14,'Calculs Péremption FA'!CC15,U133))))</f>
        <v>121 B &amp; conso =0</v>
      </c>
      <c r="AC133" s="232" t="e">
        <f>(Calculs!O270)/Calculs!O161</f>
        <v>#DIV/0!</v>
      </c>
      <c r="AD133" s="232" t="e">
        <f t="shared" si="24"/>
        <v>#DIV/0!</v>
      </c>
      <c r="AE133" s="237" t="e">
        <f>AC133-Paramétrage!$D$29</f>
        <v>#DIV/0!</v>
      </c>
      <c r="AF133" s="242" t="e">
        <f>IF(AC133&lt;Paramétrage!$D$29, AC133, Paramétrage!$D$29)</f>
        <v>#DIV/0!</v>
      </c>
      <c r="AG133" s="249" t="e">
        <f>Paramétrage!$H$19+AE133*(365/12)</f>
        <v>#DIV/0!</v>
      </c>
      <c r="AH133" s="250" t="e">
        <f>IF(AC133&lt;Paramétrage!$D$29, Paramétrage!$H$19+AF133*(365/12), Paramétrage!$H$19+AC133*(365/12))</f>
        <v>#DIV/0!</v>
      </c>
      <c r="AJ133" s="232" t="str">
        <f>IF(ISERROR(AC133),"", IF(AC133=0, "", IF(AC133&gt;'Calculs Péremption FA'!$CB15, 'Calculs Péremption FA'!$CB15, AC133)))</f>
        <v/>
      </c>
      <c r="AK133" s="583" t="str">
        <f t="shared" si="25"/>
        <v/>
      </c>
      <c r="AL133" s="237" t="str">
        <f>IF(ISERROR(AC133),"", IF(AC133=0, "", IF(AC133&gt;'Calculs Péremption FA'!$CB15, 'Calculs Péremption FA'!$CB15-Paramétrage!$D$29, AE133)))</f>
        <v/>
      </c>
      <c r="AM133" s="426" t="str">
        <f>IF(ISERROR(AC133),"", IF(AC133=0, "", IF(AC133&gt;'Calculs Péremption FA'!$CB15, Paramétrage!$D$29, AF133)))</f>
        <v/>
      </c>
      <c r="AN133" s="249" t="str">
        <f>IF(ISERROR(AC133),Z133, IF(AC133=0, "", IF(AC133&gt;'Calculs Péremption FA'!$CB15, 'Calculs Péremption FA'!$BX15-Paramétrage!$D$29*(365/12), AG133)))</f>
        <v/>
      </c>
      <c r="AO133" s="250" t="str">
        <f>IF(ISERROR(AC133),AA133, IF(AC133=0, "", IF(AC133&gt;'Calculs Péremption FA'!$CB15, CONCATENATE('TRAD-Calculs dispo Données FA'!$B$88, " - ", 'Calculs Péremption FA'!$BY15, "/", 'Calculs Péremption FA'!$BZ15, "/", 'Calculs Péremption FA'!$CA15), AH133)))</f>
        <v>121 B &amp; conso =0</v>
      </c>
      <c r="AP133" s="2140"/>
      <c r="AQ133" s="2141"/>
      <c r="AS133" s="2061">
        <f>Calculs!$O270</f>
        <v>121</v>
      </c>
      <c r="AT133" s="2062">
        <f>Calculs!$O161</f>
        <v>0</v>
      </c>
      <c r="AU133" s="2068">
        <f>Calculs!$N215</f>
        <v>0</v>
      </c>
      <c r="AV133" s="2070" t="str">
        <f>IF(AND(AU133=0, AS133=0, AT133=0), 'TRAD-Calculs dispo Données FA'!$B$82, "")</f>
        <v/>
      </c>
      <c r="AW133" s="2062" t="str">
        <f>IF(AND(AU133=0, AS133&gt;0, AT133=0), CONCATENATE(AS133, " ", 'TRAD-Calculs dispo Données FA'!$B$80, " =0"), "")</f>
        <v>121 B &amp; conso =0</v>
      </c>
      <c r="AX133" s="2063" t="str">
        <f>IF(AND(AS133=0, OR(AT133&gt;=1, AU133&gt;=1)),'TRAD-Calculs dispo Données FA'!$B$81, "")</f>
        <v/>
      </c>
    </row>
    <row r="134" spans="3:50" s="358" customFormat="1" x14ac:dyDescent="0.2">
      <c r="C134" s="374"/>
      <c r="D134" s="375"/>
      <c r="E134" s="382" t="str">
        <f>'Saisie données stocks'!F28</f>
        <v>D4T+3TC</v>
      </c>
      <c r="F134" s="383" t="str">
        <f>'Saisie données stocks'!G28</f>
        <v>Cp</v>
      </c>
      <c r="G134" s="383" t="str">
        <f>'Saisie données stocks'!H28</f>
        <v>30/150 mg</v>
      </c>
      <c r="H134" s="379" t="str">
        <f>CONCATENATE(E134, " - ", G134, " - ", 'TRAD-Calculs dispo Données FA'!$B$79,"/", K134)</f>
        <v>D4T+3TC - 30/150 mg - B/60</v>
      </c>
      <c r="I134" s="386">
        <f>Calculs!K111</f>
        <v>2</v>
      </c>
      <c r="J134" s="386">
        <f t="shared" si="22"/>
        <v>60</v>
      </c>
      <c r="K134" s="115">
        <f>Calculs!J111</f>
        <v>60</v>
      </c>
      <c r="L134" s="387">
        <f t="shared" si="23"/>
        <v>1</v>
      </c>
      <c r="M134" s="1821">
        <f>IF('Saisie données stocks'!$O$10='TRAD-Saisie données stocks'!$B$51, 'Calculs Péremption FA'!BU16, Calculs!M271)+IF('Saisie données stocks'!$M$76='TRAD-Saisie données stocks'!$B$51, Calculs!N271, "0")</f>
        <v>14</v>
      </c>
      <c r="N134" s="1870">
        <f>Calculs!O162</f>
        <v>0</v>
      </c>
      <c r="O134" s="1870">
        <f>Calculs!N216</f>
        <v>0</v>
      </c>
      <c r="P134"/>
      <c r="Q134" s="232" t="e">
        <f>IF(Calculs!N216&gt;0, (-(Calculs!N216+2*Calculs!O162)+SQRT((Calculs!N216+2*Calculs!O162)*(Calculs!N216+2*Calculs!O162)+8*Calculs!N216*(M134)))/(2*Calculs!N216), ((M134)/Calculs!O162))</f>
        <v>#DIV/0!</v>
      </c>
      <c r="R134" s="232" t="e">
        <f>Q134-Paramétrage!$D$29</f>
        <v>#DIV/0!</v>
      </c>
      <c r="S134" s="237" t="e">
        <f>IF(Q134&lt;Paramétrage!$D$29, Q134, Paramétrage!$D$29)</f>
        <v>#DIV/0!</v>
      </c>
      <c r="T134" s="249" t="e">
        <f>Paramétrage!$H$19+R134*(365/12)</f>
        <v>#DIV/0!</v>
      </c>
      <c r="U134" s="250" t="e">
        <f>IF(Q134&lt;Paramétrage!$D$29, Paramétrage!$H$19+S134*(365/12), Paramétrage!$H$19+Q134*(365/12))</f>
        <v>#DIV/0!</v>
      </c>
      <c r="W134" s="232" t="str">
        <f>IF(ISERROR(Q134),"", IF(Q134=0, "", IF(Q134&gt;'Calculs Péremption FA'!$CB16, 'Calculs Péremption FA'!$CB16, Q134)))</f>
        <v/>
      </c>
      <c r="X134" s="583" t="str">
        <f>IF(ISERROR(Q134),"", IF(Q134=0, "", IF(Q134&gt;'Calculs Péremption FA'!$CB16, 'Calculs Péremption FA'!$CB16-Paramétrage!$D$29, R134)))</f>
        <v/>
      </c>
      <c r="Y134" s="237" t="str">
        <f t="shared" si="26"/>
        <v/>
      </c>
      <c r="Z134" s="249" t="str">
        <f>IF(ISERROR(Q134),"", IF(Q134=0, "", IF(Q134&gt;'Calculs Péremption FA'!$CB16, 'Calculs Péremption FA'!$BX16-Paramétrage!$D$29*(365/12), T134)))</f>
        <v/>
      </c>
      <c r="AA134" s="250" t="str">
        <f>IF(ISERROR(Q134),AW134,IF(Q134=0,IF(AND(M134=0,OR(N134&gt;0,O134&gt;0)),AX134,""),IF('Saisie données stocks'!$O$10='TRAD-Saisie données stocks'!$B$51,IF('Calculs Péremption FA'!P16="OK",IF('Calculs Péremption FA'!BV16&gt;0,CONCATENATE('TRAD-Calculs dispo Données FA'!$B$88, " - ",'Calculs Péremption FA'!$BY16,"/",'Calculs Péremption FA'!$BZ16,"/",'Calculs Péremption FA'!$CA16),U134),IF(Q134&gt;'Saisie données stocks'!$N$14,'Calculs Péremption FA'!CC16,U134)),IF(Q134&gt;'Saisie données stocks'!$N$14,'Calculs Péremption FA'!CC16,U134))))</f>
        <v>16 B &amp; conso =0</v>
      </c>
      <c r="AC134" s="232" t="e">
        <f>(Calculs!O271)/Calculs!O162</f>
        <v>#DIV/0!</v>
      </c>
      <c r="AD134" s="232" t="e">
        <f t="shared" si="24"/>
        <v>#DIV/0!</v>
      </c>
      <c r="AE134" s="237" t="e">
        <f>AC134-Paramétrage!$D$29</f>
        <v>#DIV/0!</v>
      </c>
      <c r="AF134" s="242" t="e">
        <f>IF(AC134&lt;Paramétrage!$D$29, AC134, Paramétrage!$D$29)</f>
        <v>#DIV/0!</v>
      </c>
      <c r="AG134" s="249" t="e">
        <f>Paramétrage!$H$19+AE134*(365/12)</f>
        <v>#DIV/0!</v>
      </c>
      <c r="AH134" s="250" t="e">
        <f>IF(AC134&lt;Paramétrage!$D$29, Paramétrage!$H$19+AF134*(365/12), Paramétrage!$H$19+AC134*(365/12))</f>
        <v>#DIV/0!</v>
      </c>
      <c r="AJ134" s="232" t="str">
        <f>IF(ISERROR(AC134),"", IF(AC134=0, "", IF(AC134&gt;'Calculs Péremption FA'!$CB16, 'Calculs Péremption FA'!$CB16, AC134)))</f>
        <v/>
      </c>
      <c r="AK134" s="583" t="str">
        <f t="shared" si="25"/>
        <v/>
      </c>
      <c r="AL134" s="237" t="str">
        <f>IF(ISERROR(AC134),"", IF(AC134=0, "", IF(AC134&gt;'Calculs Péremption FA'!$CB16, 'Calculs Péremption FA'!$CB16-Paramétrage!$D$29, AE134)))</f>
        <v/>
      </c>
      <c r="AM134" s="426" t="str">
        <f>IF(ISERROR(AC134),"", IF(AC134=0, "", IF(AC134&gt;'Calculs Péremption FA'!$CB16, Paramétrage!$D$29, AF134)))</f>
        <v/>
      </c>
      <c r="AN134" s="249" t="str">
        <f>IF(ISERROR(AC134),Z134, IF(AC134=0, "", IF(AC134&gt;'Calculs Péremption FA'!$CB16, 'Calculs Péremption FA'!$BX16-Paramétrage!$D$29*(365/12), AG134)))</f>
        <v/>
      </c>
      <c r="AO134" s="250" t="str">
        <f>IF(ISERROR(AC134),AA134, IF(AC134=0, "", IF(AC134&gt;'Calculs Péremption FA'!$CB16, CONCATENATE('TRAD-Calculs dispo Données FA'!$B$88, " - ", 'Calculs Péremption FA'!$BY16, "/", 'Calculs Péremption FA'!$BZ16, "/", 'Calculs Péremption FA'!$CA16), AH134)))</f>
        <v>16 B &amp; conso =0</v>
      </c>
      <c r="AP134" s="2140"/>
      <c r="AQ134" s="2141"/>
      <c r="AS134" s="2061">
        <f>Calculs!$O271</f>
        <v>16</v>
      </c>
      <c r="AT134" s="2062">
        <f>Calculs!$O162</f>
        <v>0</v>
      </c>
      <c r="AU134" s="2068">
        <f>Calculs!$N216</f>
        <v>0</v>
      </c>
      <c r="AV134" s="2070" t="str">
        <f>IF(AND(AU134=0, AS134=0, AT134=0), 'TRAD-Calculs dispo Données FA'!$B$82, "")</f>
        <v/>
      </c>
      <c r="AW134" s="2062" t="str">
        <f>IF(AND(AU134=0, AS134&gt;0, AT134=0), CONCATENATE(AS134, " ", 'TRAD-Calculs dispo Données FA'!$B$80, " =0"), "")</f>
        <v>16 B &amp; conso =0</v>
      </c>
      <c r="AX134" s="2063" t="str">
        <f>IF(AND(AS134=0, OR(AT134&gt;=1, AU134&gt;=1)),'TRAD-Calculs dispo Données FA'!$B$81, "")</f>
        <v/>
      </c>
    </row>
    <row r="135" spans="3:50" s="358" customFormat="1" ht="25.5" x14ac:dyDescent="0.2">
      <c r="C135" s="374"/>
      <c r="D135" s="375"/>
      <c r="E135" s="382" t="str">
        <f>'Saisie données stocks'!F29</f>
        <v>TDF+FTC+EFV</v>
      </c>
      <c r="F135" s="383" t="str">
        <f>'Saisie données stocks'!G29</f>
        <v>Cp</v>
      </c>
      <c r="G135" s="383" t="str">
        <f>'Saisie données stocks'!H29</f>
        <v>300/200/600 mg</v>
      </c>
      <c r="H135" s="379" t="str">
        <f>CONCATENATE(E135, " - ", G135, " - ", 'TRAD-Calculs dispo Données FA'!$B$79,"/", K135)</f>
        <v>TDF+FTC+EFV - 300/200/600 mg - B/30</v>
      </c>
      <c r="I135" s="386">
        <f>Calculs!K112</f>
        <v>1</v>
      </c>
      <c r="J135" s="386">
        <f t="shared" si="22"/>
        <v>30</v>
      </c>
      <c r="K135" s="115">
        <f>Calculs!J112</f>
        <v>30</v>
      </c>
      <c r="L135" s="387">
        <f t="shared" si="23"/>
        <v>1</v>
      </c>
      <c r="M135" s="1821">
        <f>IF('Saisie données stocks'!$O$10='TRAD-Saisie données stocks'!$B$51, 'Calculs Péremption FA'!BU17, Calculs!M272)+IF('Saisie données stocks'!$M$76='TRAD-Saisie données stocks'!$B$51, Calculs!N272, "0")</f>
        <v>0</v>
      </c>
      <c r="N135" s="1870">
        <f>Calculs!O163</f>
        <v>0</v>
      </c>
      <c r="O135" s="1870">
        <f>Calculs!N217</f>
        <v>0</v>
      </c>
      <c r="P135"/>
      <c r="Q135" s="232" t="e">
        <f>IF(Calculs!N217&gt;0, (-(Calculs!N217+2*Calculs!O163)+SQRT((Calculs!N217+2*Calculs!O163)*(Calculs!N217+2*Calculs!O163)+8*Calculs!N217*(M135)))/(2*Calculs!N217), ((M135)/Calculs!O163))</f>
        <v>#DIV/0!</v>
      </c>
      <c r="R135" s="232" t="e">
        <f>Q135-Paramétrage!$D$29</f>
        <v>#DIV/0!</v>
      </c>
      <c r="S135" s="237" t="e">
        <f>IF(Q135&lt;Paramétrage!$D$29, Q135, Paramétrage!$D$29)</f>
        <v>#DIV/0!</v>
      </c>
      <c r="T135" s="249" t="e">
        <f>Paramétrage!$H$19+R135*(365/12)</f>
        <v>#DIV/0!</v>
      </c>
      <c r="U135" s="250" t="e">
        <f>IF(Q135&lt;Paramétrage!$D$29, Paramétrage!$H$19+S135*(365/12), Paramétrage!$H$19+Q135*(365/12))</f>
        <v>#DIV/0!</v>
      </c>
      <c r="W135" s="232" t="str">
        <f>IF(ISERROR(Q135),"", IF(Q135=0, "", IF(Q135&gt;'Calculs Péremption FA'!$CB17, 'Calculs Péremption FA'!$CB17, Q135)))</f>
        <v/>
      </c>
      <c r="X135" s="583" t="str">
        <f>IF(ISERROR(Q135),"", IF(Q135=0, "", IF(Q135&gt;'Calculs Péremption FA'!$CB17, 'Calculs Péremption FA'!$CB17-Paramétrage!$D$29, R135)))</f>
        <v/>
      </c>
      <c r="Y135" s="237" t="str">
        <f t="shared" si="26"/>
        <v/>
      </c>
      <c r="Z135" s="249" t="str">
        <f>IF(ISERROR(Q135),"", IF(Q135=0, "", IF(Q135&gt;'Calculs Péremption FA'!$CB17, 'Calculs Péremption FA'!$BX17-Paramétrage!$D$29*(365/12), T135)))</f>
        <v/>
      </c>
      <c r="AA135" s="250" t="str">
        <f>IF(ISERROR(Q135),AW135,IF(Q135=0,IF(AND(M135=0,OR(N135&gt;0,O135&gt;0)),AX135,""),IF('Saisie données stocks'!$O$10='TRAD-Saisie données stocks'!$B$51,IF('Calculs Péremption FA'!P17="OK",IF('Calculs Péremption FA'!BV17&gt;0,CONCATENATE('TRAD-Calculs dispo Données FA'!$B$88, " - ",'Calculs Péremption FA'!$BY17,"/",'Calculs Péremption FA'!$BZ17,"/",'Calculs Péremption FA'!$CA17),U135),IF(Q135&gt;'Saisie données stocks'!$N$14,'Calculs Péremption FA'!CC17,U135)),IF(Q135&gt;'Saisie données stocks'!$N$14,'Calculs Péremption FA'!CC17,U135))))</f>
        <v/>
      </c>
      <c r="AC135" s="232" t="e">
        <f>(Calculs!O272)/Calculs!O163</f>
        <v>#DIV/0!</v>
      </c>
      <c r="AD135" s="232" t="e">
        <f t="shared" si="24"/>
        <v>#DIV/0!</v>
      </c>
      <c r="AE135" s="237" t="e">
        <f>AC135-Paramétrage!$D$29</f>
        <v>#DIV/0!</v>
      </c>
      <c r="AF135" s="242" t="e">
        <f>IF(AC135&lt;Paramétrage!$D$29, AC135, Paramétrage!$D$29)</f>
        <v>#DIV/0!</v>
      </c>
      <c r="AG135" s="249" t="e">
        <f>Paramétrage!$H$19+AE135*(365/12)</f>
        <v>#DIV/0!</v>
      </c>
      <c r="AH135" s="250" t="e">
        <f>IF(AC135&lt;Paramétrage!$D$29, Paramétrage!$H$19+AF135*(365/12), Paramétrage!$H$19+AC135*(365/12))</f>
        <v>#DIV/0!</v>
      </c>
      <c r="AJ135" s="232" t="str">
        <f>IF(ISERROR(AC135),"", IF(AC135=0, "", IF(AC135&gt;'Calculs Péremption FA'!$CB17, 'Calculs Péremption FA'!$CB17, AC135)))</f>
        <v/>
      </c>
      <c r="AK135" s="583" t="str">
        <f t="shared" si="25"/>
        <v/>
      </c>
      <c r="AL135" s="237" t="str">
        <f>IF(ISERROR(AC135),"", IF(AC135=0, "", IF(AC135&gt;'Calculs Péremption FA'!$CB17, 'Calculs Péremption FA'!$CB17-Paramétrage!$D$29, AE135)))</f>
        <v/>
      </c>
      <c r="AM135" s="426" t="str">
        <f>IF(ISERROR(AC135),"", IF(AC135=0, "", IF(AC135&gt;'Calculs Péremption FA'!$CB17, Paramétrage!$D$29, AF135)))</f>
        <v/>
      </c>
      <c r="AN135" s="249" t="str">
        <f>IF(ISERROR(AC135),Z135, IF(AC135=0, "", IF(AC135&gt;'Calculs Péremption FA'!$CB17, 'Calculs Péremption FA'!$BX17-Paramétrage!$D$29*(365/12), AG135)))</f>
        <v/>
      </c>
      <c r="AO135" s="250" t="str">
        <f>IF(ISERROR(AC135),AA135, IF(AC135=0, "", IF(AC135&gt;'Calculs Péremption FA'!$CB17, CONCATENATE('TRAD-Calculs dispo Données FA'!$B$88, " - ", 'Calculs Péremption FA'!$BY17, "/", 'Calculs Péremption FA'!$BZ17, "/", 'Calculs Péremption FA'!$CA17), AH135)))</f>
        <v/>
      </c>
      <c r="AP135" s="2140"/>
      <c r="AQ135" s="2141"/>
      <c r="AS135" s="2061">
        <f>Calculs!$O272</f>
        <v>0</v>
      </c>
      <c r="AT135" s="2062">
        <f>Calculs!$O163</f>
        <v>0</v>
      </c>
      <c r="AU135" s="2068">
        <f>Calculs!$N217</f>
        <v>0</v>
      </c>
      <c r="AV135" s="2070" t="str">
        <f>IF(AND(AU135=0, AS135=0, AT135=0), 'TRAD-Calculs dispo Données FA'!$B$82, "")</f>
        <v>Stock et besoin nul</v>
      </c>
      <c r="AW135" s="2062" t="str">
        <f>IF(AND(AU135=0, AS135&gt;0, AT135=0), CONCATENATE(AS135, " ", 'TRAD-Calculs dispo Données FA'!$B$80, " =0"), "")</f>
        <v/>
      </c>
      <c r="AX135" s="2063" t="str">
        <f>IF(AND(AS135=0, OR(AT135&gt;=1, AU135&gt;=1)),'TRAD-Calculs dispo Données FA'!$B$81, "")</f>
        <v/>
      </c>
    </row>
    <row r="136" spans="3:50" s="358" customFormat="1" ht="25.5" x14ac:dyDescent="0.2">
      <c r="C136" s="374"/>
      <c r="D136" s="375"/>
      <c r="E136" s="382" t="str">
        <f>'Saisie données stocks'!F30</f>
        <v>TDF+FTC</v>
      </c>
      <c r="F136" s="383" t="str">
        <f>'Saisie données stocks'!G30</f>
        <v>Cp</v>
      </c>
      <c r="G136" s="383" t="str">
        <f>'Saisie données stocks'!H30</f>
        <v>300/200 mg</v>
      </c>
      <c r="H136" s="379" t="str">
        <f>CONCATENATE(E136, " - ", G136, " - ", 'TRAD-Calculs dispo Données FA'!$B$79,"/", K136)</f>
        <v>TDF+FTC - 300/200 mg - B/30</v>
      </c>
      <c r="I136" s="386">
        <f>Calculs!K113</f>
        <v>1</v>
      </c>
      <c r="J136" s="386">
        <f t="shared" si="22"/>
        <v>30</v>
      </c>
      <c r="K136" s="115">
        <f>Calculs!J113</f>
        <v>30</v>
      </c>
      <c r="L136" s="387">
        <f t="shared" si="23"/>
        <v>1</v>
      </c>
      <c r="M136" s="1821">
        <f>IF('Saisie données stocks'!$O$10='TRAD-Saisie données stocks'!$B$51, 'Calculs Péremption FA'!BU18, Calculs!M273)+IF('Saisie données stocks'!$M$76='TRAD-Saisie données stocks'!$B$51, Calculs!N273, "0")</f>
        <v>0</v>
      </c>
      <c r="N136" s="1870">
        <f>Calculs!O164</f>
        <v>0</v>
      </c>
      <c r="O136" s="1870">
        <f>Calculs!N218</f>
        <v>0</v>
      </c>
      <c r="P136"/>
      <c r="Q136" s="232" t="e">
        <f>IF(Calculs!N218&gt;0, (-(Calculs!N218+2*Calculs!O164)+SQRT((Calculs!N218+2*Calculs!O164)*(Calculs!N218+2*Calculs!O164)+8*Calculs!N218*(M136)))/(2*Calculs!N218), ((M136)/Calculs!O164))</f>
        <v>#DIV/0!</v>
      </c>
      <c r="R136" s="232" t="e">
        <f>Q136-Paramétrage!$D$29</f>
        <v>#DIV/0!</v>
      </c>
      <c r="S136" s="237" t="e">
        <f>IF(Q136&lt;Paramétrage!$D$29, Q136, Paramétrage!$D$29)</f>
        <v>#DIV/0!</v>
      </c>
      <c r="T136" s="249" t="e">
        <f>Paramétrage!$H$19+R136*(365/12)</f>
        <v>#DIV/0!</v>
      </c>
      <c r="U136" s="250" t="e">
        <f>IF(Q136&lt;Paramétrage!$D$29, Paramétrage!$H$19+S136*(365/12), Paramétrage!$H$19+Q136*(365/12))</f>
        <v>#DIV/0!</v>
      </c>
      <c r="W136" s="232" t="str">
        <f>IF(ISERROR(Q136),"", IF(Q136=0, "", IF(Q136&gt;'Calculs Péremption FA'!$CB18, 'Calculs Péremption FA'!$CB18, Q136)))</f>
        <v/>
      </c>
      <c r="X136" s="583" t="str">
        <f>IF(ISERROR(Q136),"", IF(Q136=0, "", IF(Q136&gt;'Calculs Péremption FA'!$CB18, 'Calculs Péremption FA'!$CB18-Paramétrage!$D$29, R136)))</f>
        <v/>
      </c>
      <c r="Y136" s="237" t="str">
        <f t="shared" si="26"/>
        <v/>
      </c>
      <c r="Z136" s="249" t="str">
        <f>IF(ISERROR(Q136),"", IF(Q136=0, "", IF(Q136&gt;'Calculs Péremption FA'!$CB18, 'Calculs Péremption FA'!$BX18-Paramétrage!$D$29*(365/12), T136)))</f>
        <v/>
      </c>
      <c r="AA136" s="250" t="str">
        <f>IF(ISERROR(Q136),AW136,IF(Q136=0,IF(AND(M136=0,OR(N136&gt;0,O136&gt;0)),AX136,""),IF('Saisie données stocks'!$O$10='TRAD-Saisie données stocks'!$B$51,IF('Calculs Péremption FA'!P18="OK",IF('Calculs Péremption FA'!BV18&gt;0,CONCATENATE('TRAD-Calculs dispo Données FA'!$B$88, " - ",'Calculs Péremption FA'!$BY18,"/",'Calculs Péremption FA'!$BZ18,"/",'Calculs Péremption FA'!$CA18),U136),IF(Q136&gt;'Saisie données stocks'!$N$14,'Calculs Péremption FA'!CC18,U136)),IF(Q136&gt;'Saisie données stocks'!$N$14,'Calculs Péremption FA'!CC18,U136))))</f>
        <v/>
      </c>
      <c r="AC136" s="232" t="e">
        <f>(Calculs!O273)/Calculs!O164</f>
        <v>#DIV/0!</v>
      </c>
      <c r="AD136" s="232" t="e">
        <f t="shared" si="24"/>
        <v>#DIV/0!</v>
      </c>
      <c r="AE136" s="237" t="e">
        <f>AC136-Paramétrage!$D$29</f>
        <v>#DIV/0!</v>
      </c>
      <c r="AF136" s="242" t="e">
        <f>IF(AC136&lt;Paramétrage!$D$29, AC136, Paramétrage!$D$29)</f>
        <v>#DIV/0!</v>
      </c>
      <c r="AG136" s="249" t="e">
        <f>Paramétrage!$H$19+AE136*(365/12)</f>
        <v>#DIV/0!</v>
      </c>
      <c r="AH136" s="250" t="e">
        <f>IF(AC136&lt;Paramétrage!$D$29, Paramétrage!$H$19+AF136*(365/12), Paramétrage!$H$19+AC136*(365/12))</f>
        <v>#DIV/0!</v>
      </c>
      <c r="AJ136" s="232" t="str">
        <f>IF(ISERROR(AC136),"", IF(AC136=0, "", IF(AC136&gt;'Calculs Péremption FA'!$CB18, 'Calculs Péremption FA'!$CB18, AC136)))</f>
        <v/>
      </c>
      <c r="AK136" s="583" t="str">
        <f t="shared" si="25"/>
        <v/>
      </c>
      <c r="AL136" s="237" t="str">
        <f>IF(ISERROR(AC136),"", IF(AC136=0, "", IF(AC136&gt;'Calculs Péremption FA'!$CB18, 'Calculs Péremption FA'!$CB18-Paramétrage!$D$29, AE136)))</f>
        <v/>
      </c>
      <c r="AM136" s="426" t="str">
        <f>IF(ISERROR(AC136),"", IF(AC136=0, "", IF(AC136&gt;'Calculs Péremption FA'!$CB18, Paramétrage!$D$29, AF136)))</f>
        <v/>
      </c>
      <c r="AN136" s="249" t="str">
        <f>IF(ISERROR(AC136),Z136, IF(AC136=0, "", IF(AC136&gt;'Calculs Péremption FA'!$CB18, 'Calculs Péremption FA'!$BX18-Paramétrage!$D$29*(365/12), AG136)))</f>
        <v/>
      </c>
      <c r="AO136" s="250" t="str">
        <f>IF(ISERROR(AC136),AA136, IF(AC136=0, "", IF(AC136&gt;'Calculs Péremption FA'!$CB18, CONCATENATE('TRAD-Calculs dispo Données FA'!$B$88, " - ", 'Calculs Péremption FA'!$BY18, "/", 'Calculs Péremption FA'!$BZ18, "/", 'Calculs Péremption FA'!$CA18), AH136)))</f>
        <v/>
      </c>
      <c r="AP136" s="2140"/>
      <c r="AQ136" s="2141"/>
      <c r="AS136" s="2061">
        <f>Calculs!$O273</f>
        <v>0</v>
      </c>
      <c r="AT136" s="2062">
        <f>Calculs!$O164</f>
        <v>0</v>
      </c>
      <c r="AU136" s="2068">
        <f>Calculs!$N218</f>
        <v>0</v>
      </c>
      <c r="AV136" s="2070" t="str">
        <f>IF(AND(AU136=0, AS136=0, AT136=0), 'TRAD-Calculs dispo Données FA'!$B$82, "")</f>
        <v>Stock et besoin nul</v>
      </c>
      <c r="AW136" s="2062" t="str">
        <f>IF(AND(AU136=0, AS136&gt;0, AT136=0), CONCATENATE(AS136, " ", 'TRAD-Calculs dispo Données FA'!$B$80, " =0"), "")</f>
        <v/>
      </c>
      <c r="AX136" s="2063" t="str">
        <f>IF(AND(AS136=0, OR(AT136&gt;=1, AU136&gt;=1)),'TRAD-Calculs dispo Données FA'!$B$81, "")</f>
        <v/>
      </c>
    </row>
    <row r="137" spans="3:50" s="358" customFormat="1" ht="25.5" x14ac:dyDescent="0.2">
      <c r="C137" s="374"/>
      <c r="D137" s="375"/>
      <c r="E137" s="382" t="str">
        <f>'Saisie données stocks'!F31</f>
        <v>TDF+3TC+EFV</v>
      </c>
      <c r="F137" s="383" t="str">
        <f>'Saisie données stocks'!G31</f>
        <v>Cp</v>
      </c>
      <c r="G137" s="383" t="str">
        <f>'Saisie données stocks'!H31</f>
        <v>300/200/600 mg</v>
      </c>
      <c r="H137" s="385" t="str">
        <f>CONCATENATE(E137, " - ", G137, " - ", 'TRAD-Calculs dispo Données FA'!$B$79,"/", K137)</f>
        <v>TDF+3TC+EFV - 300/200/600 mg - B/30</v>
      </c>
      <c r="I137" s="386">
        <f>Calculs!K114</f>
        <v>1</v>
      </c>
      <c r="J137" s="386">
        <f t="shared" si="22"/>
        <v>30</v>
      </c>
      <c r="K137" s="115">
        <f>Calculs!J114</f>
        <v>30</v>
      </c>
      <c r="L137" s="387">
        <f t="shared" si="23"/>
        <v>1</v>
      </c>
      <c r="M137" s="1821">
        <f>IF('Saisie données stocks'!$O$10='TRAD-Saisie données stocks'!$B$51, 'Calculs Péremption FA'!BU19, Calculs!M274)+IF('Saisie données stocks'!$M$76='TRAD-Saisie données stocks'!$B$51, Calculs!N274, "0")</f>
        <v>2712</v>
      </c>
      <c r="N137" s="1870">
        <f>Calculs!O165</f>
        <v>0</v>
      </c>
      <c r="O137" s="1870">
        <f>Calculs!N219</f>
        <v>0</v>
      </c>
      <c r="P137"/>
      <c r="Q137" s="232" t="e">
        <f>IF(Calculs!N219&gt;0, (-(Calculs!N219+2*Calculs!O165)+SQRT((Calculs!N219+2*Calculs!O165)*(Calculs!N219+2*Calculs!O165)+8*Calculs!N219*(M137)))/(2*Calculs!N219), ((M137)/Calculs!O165))</f>
        <v>#DIV/0!</v>
      </c>
      <c r="R137" s="232" t="e">
        <f>Q137-Paramétrage!$D$29</f>
        <v>#DIV/0!</v>
      </c>
      <c r="S137" s="237" t="e">
        <f>IF(Q137&lt;Paramétrage!$D$29, Q137, Paramétrage!$D$29)</f>
        <v>#DIV/0!</v>
      </c>
      <c r="T137" s="249" t="e">
        <f>Paramétrage!$H$19+R137*(365/12)</f>
        <v>#DIV/0!</v>
      </c>
      <c r="U137" s="250" t="e">
        <f>IF(Q137&lt;Paramétrage!$D$29, Paramétrage!$H$19+S137*(365/12), Paramétrage!$H$19+Q137*(365/12))</f>
        <v>#DIV/0!</v>
      </c>
      <c r="W137" s="232" t="str">
        <f>IF(ISERROR(Q137),"", IF(Q137=0, "", IF(Q137&gt;'Calculs Péremption FA'!$CB19, 'Calculs Péremption FA'!$CB19, Q137)))</f>
        <v/>
      </c>
      <c r="X137" s="583" t="str">
        <f>IF(ISERROR(Q137),"", IF(Q137=0, "", IF(Q137&gt;'Calculs Péremption FA'!$CB19, 'Calculs Péremption FA'!$CB19-Paramétrage!$D$29, R137)))</f>
        <v/>
      </c>
      <c r="Y137" s="237" t="str">
        <f t="shared" si="26"/>
        <v/>
      </c>
      <c r="Z137" s="249" t="str">
        <f>IF(ISERROR(Q137),"", IF(Q137=0, "", IF(Q137&gt;'Calculs Péremption FA'!$CB19, 'Calculs Péremption FA'!$BX19-Paramétrage!$D$29*(365/12), T137)))</f>
        <v/>
      </c>
      <c r="AA137" s="250" t="str">
        <f>IF(ISERROR(Q137),AW137,IF(Q137=0,IF(AND(M137=0,OR(N137&gt;0,O137&gt;0)),AX137,""),IF('Saisie données stocks'!$O$10='TRAD-Saisie données stocks'!$B$51,IF('Calculs Péremption FA'!P19="OK",IF('Calculs Péremption FA'!BV19&gt;0,CONCATENATE('TRAD-Calculs dispo Données FA'!$B$88, " - ",'Calculs Péremption FA'!$BY19,"/",'Calculs Péremption FA'!$BZ19,"/",'Calculs Péremption FA'!$CA19),U137),IF(Q137&gt;'Saisie données stocks'!$N$14,'Calculs Péremption FA'!CC19,U137)),IF(Q137&gt;'Saisie données stocks'!$N$14,'Calculs Péremption FA'!CC19,U137))))</f>
        <v>38746 B &amp; conso =0</v>
      </c>
      <c r="AC137" s="232" t="e">
        <f>(Calculs!O274)/Calculs!O165</f>
        <v>#DIV/0!</v>
      </c>
      <c r="AD137" s="232" t="e">
        <f t="shared" si="24"/>
        <v>#DIV/0!</v>
      </c>
      <c r="AE137" s="237" t="e">
        <f>AC137-Paramétrage!$D$29</f>
        <v>#DIV/0!</v>
      </c>
      <c r="AF137" s="242" t="e">
        <f>IF(AC137&lt;Paramétrage!$D$29, AC137, Paramétrage!$D$29)</f>
        <v>#DIV/0!</v>
      </c>
      <c r="AG137" s="249" t="e">
        <f>Paramétrage!$H$19+AE137*(365/12)</f>
        <v>#DIV/0!</v>
      </c>
      <c r="AH137" s="250" t="e">
        <f>IF(AC137&lt;Paramétrage!$D$29, Paramétrage!$H$19+AF137*(365/12), Paramétrage!$H$19+AC137*(365/12))</f>
        <v>#DIV/0!</v>
      </c>
      <c r="AJ137" s="232" t="str">
        <f>IF(ISERROR(AC137),"", IF(AC137=0, "", IF(AC137&gt;'Calculs Péremption FA'!$CB19, 'Calculs Péremption FA'!$CB19, AC137)))</f>
        <v/>
      </c>
      <c r="AK137" s="583" t="str">
        <f t="shared" si="25"/>
        <v/>
      </c>
      <c r="AL137" s="237" t="str">
        <f>IF(ISERROR(AC137),"", IF(AC137=0, "", IF(AC137&gt;'Calculs Péremption FA'!$CB19, 'Calculs Péremption FA'!$CB19-Paramétrage!$D$29, AE137)))</f>
        <v/>
      </c>
      <c r="AM137" s="426" t="str">
        <f>IF(ISERROR(AC137),"", IF(AC137=0, "", IF(AC137&gt;'Calculs Péremption FA'!$CB19, Paramétrage!$D$29, AF137)))</f>
        <v/>
      </c>
      <c r="AN137" s="249" t="str">
        <f>IF(ISERROR(AC137),Z137, IF(AC137=0, "", IF(AC137&gt;'Calculs Péremption FA'!$CB19, 'Calculs Péremption FA'!$BX19-Paramétrage!$D$29*(365/12), AG137)))</f>
        <v/>
      </c>
      <c r="AO137" s="250" t="str">
        <f>IF(ISERROR(AC137),AA137, IF(AC137=0, "", IF(AC137&gt;'Calculs Péremption FA'!$CB19, CONCATENATE('TRAD-Calculs dispo Données FA'!$B$88, " - ", 'Calculs Péremption FA'!$BY19, "/", 'Calculs Péremption FA'!$BZ19, "/", 'Calculs Péremption FA'!$CA19), AH137)))</f>
        <v>38746 B &amp; conso =0</v>
      </c>
      <c r="AP137" s="2140"/>
      <c r="AQ137" s="2141"/>
      <c r="AS137" s="2061">
        <f>Calculs!$O274</f>
        <v>38746</v>
      </c>
      <c r="AT137" s="2062">
        <f>Calculs!$O165</f>
        <v>0</v>
      </c>
      <c r="AU137" s="2068">
        <f>Calculs!$N219</f>
        <v>0</v>
      </c>
      <c r="AV137" s="2070" t="str">
        <f>IF(AND(AU137=0, AS137=0, AT137=0), 'TRAD-Calculs dispo Données FA'!$B$82, "")</f>
        <v/>
      </c>
      <c r="AW137" s="2062" t="str">
        <f>IF(AND(AU137=0, AS137&gt;0, AT137=0), CONCATENATE(AS137, " ", 'TRAD-Calculs dispo Données FA'!$B$80, " =0"), "")</f>
        <v>38746 B &amp; conso =0</v>
      </c>
      <c r="AX137" s="2063" t="str">
        <f>IF(AND(AS137=0, OR(AT137&gt;=1, AU137&gt;=1)),'TRAD-Calculs dispo Données FA'!$B$81, "")</f>
        <v/>
      </c>
    </row>
    <row r="138" spans="3:50" s="358" customFormat="1" ht="25.5" x14ac:dyDescent="0.2">
      <c r="C138" s="374"/>
      <c r="D138" s="375"/>
      <c r="E138" s="382" t="str">
        <f>'Saisie données stocks'!F32</f>
        <v>TDF+3TC</v>
      </c>
      <c r="F138" s="383" t="str">
        <f>'Saisie données stocks'!G32</f>
        <v>Cp</v>
      </c>
      <c r="G138" s="383" t="str">
        <f>'Saisie données stocks'!H32</f>
        <v>300/200 mg</v>
      </c>
      <c r="H138" s="385" t="str">
        <f>CONCATENATE(E138, " - ", G138, " - ", 'TRAD-Calculs dispo Données FA'!$B$79,"/", K138)</f>
        <v>TDF+3TC - 300/200 mg - B/30</v>
      </c>
      <c r="I138" s="386">
        <f>Calculs!K115</f>
        <v>1</v>
      </c>
      <c r="J138" s="386">
        <f t="shared" si="22"/>
        <v>30</v>
      </c>
      <c r="K138" s="115">
        <f>Calculs!J115</f>
        <v>30</v>
      </c>
      <c r="L138" s="387">
        <f t="shared" si="23"/>
        <v>1</v>
      </c>
      <c r="M138" s="1821">
        <f>IF('Saisie données stocks'!$O$10='TRAD-Saisie données stocks'!$B$51, 'Calculs Péremption FA'!BU20, Calculs!M275)+IF('Saisie données stocks'!$M$76='TRAD-Saisie données stocks'!$B$51, Calculs!N275, "0")</f>
        <v>0</v>
      </c>
      <c r="N138" s="1870">
        <f>Calculs!O166</f>
        <v>0</v>
      </c>
      <c r="O138" s="1870">
        <f>Calculs!N220</f>
        <v>0</v>
      </c>
      <c r="P138"/>
      <c r="Q138" s="232" t="e">
        <f>IF(Calculs!N220&gt;0, (-(Calculs!N220+2*Calculs!O166)+SQRT((Calculs!N220+2*Calculs!O166)*(Calculs!N220+2*Calculs!O166)+8*Calculs!N220*(M138)))/(2*Calculs!N220), ((M138)/Calculs!O166))</f>
        <v>#DIV/0!</v>
      </c>
      <c r="R138" s="232" t="e">
        <f>Q138-Paramétrage!$D$29</f>
        <v>#DIV/0!</v>
      </c>
      <c r="S138" s="237" t="e">
        <f>IF(Q138&lt;Paramétrage!$D$29, Q138, Paramétrage!$D$29)</f>
        <v>#DIV/0!</v>
      </c>
      <c r="T138" s="249" t="e">
        <f>Paramétrage!$H$19+R138*(365/12)</f>
        <v>#DIV/0!</v>
      </c>
      <c r="U138" s="250" t="e">
        <f>IF(Q138&lt;Paramétrage!$D$29, Paramétrage!$H$19+S138*(365/12), Paramétrage!$H$19+Q138*(365/12))</f>
        <v>#DIV/0!</v>
      </c>
      <c r="W138" s="232" t="str">
        <f>IF(ISERROR(Q138),"", IF(Q138=0, "", IF(Q138&gt;'Calculs Péremption FA'!$CB20, 'Calculs Péremption FA'!$CB20, Q138)))</f>
        <v/>
      </c>
      <c r="X138" s="583" t="str">
        <f>IF(ISERROR(Q138),"", IF(Q138=0, "", IF(Q138&gt;'Calculs Péremption FA'!$CB20, 'Calculs Péremption FA'!$CB20-Paramétrage!$D$29, R138)))</f>
        <v/>
      </c>
      <c r="Y138" s="237" t="str">
        <f t="shared" si="26"/>
        <v/>
      </c>
      <c r="Z138" s="249" t="str">
        <f>IF(ISERROR(Q138),"", IF(Q138=0, "", IF(Q138&gt;'Calculs Péremption FA'!$CB20, 'Calculs Péremption FA'!$BX20-Paramétrage!$D$29*(365/12), T138)))</f>
        <v/>
      </c>
      <c r="AA138" s="250" t="str">
        <f>IF(ISERROR(Q138),AW138,IF(Q138=0,IF(AND(M138=0,OR(N138&gt;0,O138&gt;0)),AX138,""),IF('Saisie données stocks'!$O$10='TRAD-Saisie données stocks'!$B$51,IF('Calculs Péremption FA'!P20="OK",IF('Calculs Péremption FA'!BV20&gt;0,CONCATENATE('TRAD-Calculs dispo Données FA'!$B$88, " - ",'Calculs Péremption FA'!$BY20,"/",'Calculs Péremption FA'!$BZ20,"/",'Calculs Péremption FA'!$CA20),U138),IF(Q138&gt;'Saisie données stocks'!$N$14,'Calculs Péremption FA'!CC20,U138)),IF(Q138&gt;'Saisie données stocks'!$N$14,'Calculs Péremption FA'!CC20,U138))))</f>
        <v>505 B &amp; conso =0</v>
      </c>
      <c r="AC138" s="232" t="e">
        <f>(Calculs!O275)/Calculs!O166</f>
        <v>#DIV/0!</v>
      </c>
      <c r="AD138" s="232" t="e">
        <f t="shared" si="24"/>
        <v>#DIV/0!</v>
      </c>
      <c r="AE138" s="237" t="e">
        <f>AC138-Paramétrage!$D$29</f>
        <v>#DIV/0!</v>
      </c>
      <c r="AF138" s="242" t="e">
        <f>IF(AC138&lt;Paramétrage!$D$29, AC138, Paramétrage!$D$29)</f>
        <v>#DIV/0!</v>
      </c>
      <c r="AG138" s="249" t="e">
        <f>Paramétrage!$H$19+AE138*(365/12)</f>
        <v>#DIV/0!</v>
      </c>
      <c r="AH138" s="250" t="e">
        <f>IF(AC138&lt;Paramétrage!$D$29, Paramétrage!$H$19+AF138*(365/12), Paramétrage!$H$19+AC138*(365/12))</f>
        <v>#DIV/0!</v>
      </c>
      <c r="AJ138" s="232" t="str">
        <f>IF(ISERROR(AC138),"", IF(AC138=0, "", IF(AC138&gt;'Calculs Péremption FA'!$CB20, 'Calculs Péremption FA'!$CB20, AC138)))</f>
        <v/>
      </c>
      <c r="AK138" s="583" t="str">
        <f t="shared" si="25"/>
        <v/>
      </c>
      <c r="AL138" s="237" t="str">
        <f>IF(ISERROR(AC138),"", IF(AC138=0, "", IF(AC138&gt;'Calculs Péremption FA'!$CB20, 'Calculs Péremption FA'!$CB20-Paramétrage!$D$29, AE138)))</f>
        <v/>
      </c>
      <c r="AM138" s="426" t="str">
        <f>IF(ISERROR(AC138),"", IF(AC138=0, "", IF(AC138&gt;'Calculs Péremption FA'!$CB20, Paramétrage!$D$29, AF138)))</f>
        <v/>
      </c>
      <c r="AN138" s="249" t="str">
        <f>IF(ISERROR(AC138),Z138, IF(AC138=0, "", IF(AC138&gt;'Calculs Péremption FA'!$CB20, 'Calculs Péremption FA'!$BX20-Paramétrage!$D$29*(365/12), AG138)))</f>
        <v/>
      </c>
      <c r="AO138" s="250" t="str">
        <f>IF(ISERROR(AC138),AA138, IF(AC138=0, "", IF(AC138&gt;'Calculs Péremption FA'!$CB20, CONCATENATE('TRAD-Calculs dispo Données FA'!$B$88, " - ", 'Calculs Péremption FA'!$BY20, "/", 'Calculs Péremption FA'!$BZ20, "/", 'Calculs Péremption FA'!$CA20), AH138)))</f>
        <v>505 B &amp; conso =0</v>
      </c>
      <c r="AP138" s="2140"/>
      <c r="AQ138" s="2141"/>
      <c r="AS138" s="2061">
        <f>Calculs!$O275</f>
        <v>505</v>
      </c>
      <c r="AT138" s="2062">
        <f>Calculs!$O166</f>
        <v>0</v>
      </c>
      <c r="AU138" s="2068">
        <f>Calculs!$N220</f>
        <v>0</v>
      </c>
      <c r="AV138" s="2070" t="str">
        <f>IF(AND(AU138=0, AS138=0, AT138=0), 'TRAD-Calculs dispo Données FA'!$B$82, "")</f>
        <v/>
      </c>
      <c r="AW138" s="2062" t="str">
        <f>IF(AND(AU138=0, AS138&gt;0, AT138=0), CONCATENATE(AS138, " ", 'TRAD-Calculs dispo Données FA'!$B$80, " =0"), "")</f>
        <v>505 B &amp; conso =0</v>
      </c>
      <c r="AX138" s="2063" t="str">
        <f>IF(AND(AS138=0, OR(AT138&gt;=1, AU138&gt;=1)),'TRAD-Calculs dispo Données FA'!$B$81, "")</f>
        <v/>
      </c>
    </row>
    <row r="139" spans="3:50" s="358" customFormat="1" ht="38.25" x14ac:dyDescent="0.2">
      <c r="C139" s="388"/>
      <c r="D139" s="389"/>
      <c r="E139" s="390" t="str">
        <f>'Saisie données stocks'!F33</f>
        <v>[TDF+3TC]+ATV/r</v>
      </c>
      <c r="F139" s="391" t="str">
        <f>'Saisie données stocks'!G33</f>
        <v>Cp coblister</v>
      </c>
      <c r="G139" s="391" t="str">
        <f>'Saisie données stocks'!H33</f>
        <v>[300/300]+300/100 mg</v>
      </c>
      <c r="H139" s="393" t="str">
        <f>CONCATENATE(E139, " - ", G139, " - ", 'TRAD-Calculs dispo Données FA'!$B$79,"/", K139)</f>
        <v>[TDF+3TC]+ATV/r - [300/300]+300/100 mg - B/30</v>
      </c>
      <c r="I139" s="394">
        <f>Calculs!K116</f>
        <v>1</v>
      </c>
      <c r="J139" s="394">
        <f t="shared" si="22"/>
        <v>30</v>
      </c>
      <c r="K139" s="116">
        <f>Calculs!J116</f>
        <v>30</v>
      </c>
      <c r="L139" s="395">
        <f t="shared" si="23"/>
        <v>1</v>
      </c>
      <c r="M139" s="1822">
        <f>IF('Saisie données stocks'!$O$10='TRAD-Saisie données stocks'!$B$51, 'Calculs Péremption FA'!BU21, Calculs!M276)+IF('Saisie données stocks'!$M$76='TRAD-Saisie données stocks'!$B$51, Calculs!N276, "0")</f>
        <v>0</v>
      </c>
      <c r="N139" s="1822">
        <f>Calculs!O167</f>
        <v>0</v>
      </c>
      <c r="O139" s="1822">
        <f>Calculs!N221</f>
        <v>0</v>
      </c>
      <c r="P139"/>
      <c r="Q139" s="233" t="e">
        <f>IF(Calculs!N221&gt;0, (-(Calculs!N221+2*Calculs!O167)+SQRT((Calculs!N221+2*Calculs!O167)*(Calculs!N221+2*Calculs!O167)+8*Calculs!N221*(M139)))/(2*Calculs!N221), ((M139)/Calculs!O167))</f>
        <v>#DIV/0!</v>
      </c>
      <c r="R139" s="233" t="e">
        <f>Q139-Paramétrage!$D$29</f>
        <v>#DIV/0!</v>
      </c>
      <c r="S139" s="239" t="e">
        <f>IF(Q139&lt;Paramétrage!$D$29, Q139, Paramétrage!$D$29)</f>
        <v>#DIV/0!</v>
      </c>
      <c r="T139" s="251" t="e">
        <f>Paramétrage!$H$19+R139*(365/12)</f>
        <v>#DIV/0!</v>
      </c>
      <c r="U139" s="252" t="e">
        <f>IF(Q139&lt;Paramétrage!$D$29, Paramétrage!$H$19+S139*(365/12), Paramétrage!$H$19+Q139*(365/12))</f>
        <v>#DIV/0!</v>
      </c>
      <c r="W139" s="233" t="str">
        <f>IF(ISERROR(Q139),"", IF(Q139=0, "", IF(Q139&gt;'Calculs Péremption FA'!$CB21, 'Calculs Péremption FA'!$CB21, Q139)))</f>
        <v/>
      </c>
      <c r="X139" s="575" t="str">
        <f>IF(ISERROR(Q139),"", IF(Q139=0, "", IF(Q139&gt;'Calculs Péremption FA'!$CB21, 'Calculs Péremption FA'!$CB21-Paramétrage!$D$29, R139)))</f>
        <v/>
      </c>
      <c r="Y139" s="238" t="str">
        <f t="shared" si="26"/>
        <v/>
      </c>
      <c r="Z139" s="251" t="str">
        <f>IF(ISERROR(Q139),"", IF(Q139=0, "", IF(Q139&gt;'Calculs Péremption FA'!$CB21, 'Calculs Péremption FA'!$BX21-Paramétrage!$D$29*(365/12), T139)))</f>
        <v/>
      </c>
      <c r="AA139" s="252" t="str">
        <f>IF(ISERROR(Q139),AW139,IF(Q139=0,IF(AND(M139=0,OR(N139&gt;0,O139&gt;0)),AX139,""),IF('Saisie données stocks'!$O$10='TRAD-Saisie données stocks'!$B$51,IF('Calculs Péremption FA'!P21="OK",IF('Calculs Péremption FA'!BV21&gt;0,CONCATENATE('TRAD-Calculs dispo Données FA'!$B$88, " - ",'Calculs Péremption FA'!$BY21,"/",'Calculs Péremption FA'!$BZ21,"/",'Calculs Péremption FA'!$CA21),U139),IF(Q139&gt;'Saisie données stocks'!$N$14,'Calculs Péremption FA'!CC21,U139)),IF(Q139&gt;'Saisie données stocks'!$N$14,'Calculs Péremption FA'!CC21,U139))))</f>
        <v/>
      </c>
      <c r="AC139" s="233" t="e">
        <f>(Calculs!O276)/Calculs!O167</f>
        <v>#DIV/0!</v>
      </c>
      <c r="AD139" s="233" t="e">
        <f t="shared" si="24"/>
        <v>#DIV/0!</v>
      </c>
      <c r="AE139" s="237" t="e">
        <f>AC139-Paramétrage!$D$29</f>
        <v>#DIV/0!</v>
      </c>
      <c r="AF139" s="243" t="e">
        <f>IF(AC139&lt;Paramétrage!$D$29, AC139, Paramétrage!$D$29)</f>
        <v>#DIV/0!</v>
      </c>
      <c r="AG139" s="251" t="e">
        <f>Paramétrage!$H$19+AE139*(365/12)</f>
        <v>#DIV/0!</v>
      </c>
      <c r="AH139" s="252" t="e">
        <f>IF(AC139&lt;Paramétrage!$D$29, Paramétrage!$H$19+AF139*(365/12), Paramétrage!$H$19+AC139*(365/12))</f>
        <v>#DIV/0!</v>
      </c>
      <c r="AJ139" s="233" t="str">
        <f>IF(ISERROR(AC139),"", IF(AC139=0, "", IF(AC139&gt;'Calculs Péremption FA'!$CB21, 'Calculs Péremption FA'!$CB21, AC139)))</f>
        <v/>
      </c>
      <c r="AK139" s="575" t="str">
        <f t="shared" si="25"/>
        <v/>
      </c>
      <c r="AL139" s="238" t="str">
        <f>IF(ISERROR(AC139),"", IF(AC139=0, "", IF(AC139&gt;'Calculs Péremption FA'!$CB21, 'Calculs Péremption FA'!$CB21-Paramétrage!$D$29, AE139)))</f>
        <v/>
      </c>
      <c r="AM139" s="427" t="str">
        <f>IF(ISERROR(AC139),"", IF(AC139=0, "", IF(AC139&gt;'Calculs Péremption FA'!$CB21, Paramétrage!$D$29, AF139)))</f>
        <v/>
      </c>
      <c r="AN139" s="251" t="str">
        <f>IF(ISERROR(AC139),Z139, IF(AC139=0, "", IF(AC139&gt;'Calculs Péremption FA'!$CB21, 'Calculs Péremption FA'!$BX21-Paramétrage!$D$29*(365/12), AG139)))</f>
        <v/>
      </c>
      <c r="AO139" s="252" t="str">
        <f>IF(ISERROR(AC139),AA139, IF(AC139=0, "", IF(AC139&gt;'Calculs Péremption FA'!$CB21, CONCATENATE('TRAD-Calculs dispo Données FA'!$B$88, " - ", 'Calculs Péremption FA'!$BY21, "/", 'Calculs Péremption FA'!$BZ21, "/", 'Calculs Péremption FA'!$CA21), AH139)))</f>
        <v/>
      </c>
      <c r="AP139" s="2140"/>
      <c r="AQ139" s="2141"/>
      <c r="AS139" s="2061">
        <f>Calculs!$O276</f>
        <v>0</v>
      </c>
      <c r="AT139" s="2062">
        <f>Calculs!$O167</f>
        <v>0</v>
      </c>
      <c r="AU139" s="2068">
        <f>Calculs!$N221</f>
        <v>0</v>
      </c>
      <c r="AV139" s="2070" t="str">
        <f>IF(AND(AU139=0, AS139=0, AT139=0), 'TRAD-Calculs dispo Données FA'!$B$82, "")</f>
        <v>Stock et besoin nul</v>
      </c>
      <c r="AW139" s="2062" t="str">
        <f>IF(AND(AU139=0, AS139&gt;0, AT139=0), CONCATENATE(AS139, " ", 'TRAD-Calculs dispo Données FA'!$B$80, " =0"), "")</f>
        <v/>
      </c>
      <c r="AX139" s="2063" t="str">
        <f>IF(AND(AS139=0, OR(AT139&gt;=1, AU139&gt;=1)),'TRAD-Calculs dispo Données FA'!$B$81, "")</f>
        <v/>
      </c>
    </row>
    <row r="140" spans="3:50" s="358" customFormat="1" ht="25.5" x14ac:dyDescent="0.2">
      <c r="C140" s="374"/>
      <c r="D140" s="375" t="s">
        <v>26</v>
      </c>
      <c r="E140" s="376" t="str">
        <f>'Saisie données stocks'!F34</f>
        <v>EFV</v>
      </c>
      <c r="F140" s="377" t="str">
        <f>'Saisie données stocks'!G34</f>
        <v>Gél</v>
      </c>
      <c r="G140" s="377" t="str">
        <f>'Saisie données stocks'!H34</f>
        <v>50 mg</v>
      </c>
      <c r="H140" s="379" t="str">
        <f>CONCATENATE(E140, " - ", G140, " - ", 'TRAD-Calculs dispo Données FA'!$B$79,"/", K140)</f>
        <v>EFV - 50 mg - B/30</v>
      </c>
      <c r="I140" s="380">
        <f>Calculs!K117</f>
        <v>0</v>
      </c>
      <c r="J140" s="380">
        <f t="shared" si="22"/>
        <v>0</v>
      </c>
      <c r="K140" s="114">
        <f>Calculs!J117</f>
        <v>30</v>
      </c>
      <c r="L140" s="381">
        <f t="shared" si="23"/>
        <v>0</v>
      </c>
      <c r="M140" s="1820">
        <f>IF('Saisie données stocks'!$O$10='TRAD-Saisie données stocks'!$B$51, 'Calculs Péremption FA'!BU22, Calculs!M277)+IF('Saisie données stocks'!$M$76='TRAD-Saisie données stocks'!$B$51, Calculs!N277, "0")</f>
        <v>0</v>
      </c>
      <c r="N140" s="1820">
        <f>Calculs!O168</f>
        <v>0</v>
      </c>
      <c r="O140" s="1820">
        <f>Calculs!N222</f>
        <v>0</v>
      </c>
      <c r="P140"/>
      <c r="Q140" s="231" t="e">
        <f>IF(Calculs!N222&gt;0, (-(Calculs!N222+2*Calculs!O168)+SQRT((Calculs!N222+2*Calculs!O168)*(Calculs!N222+2*Calculs!O168)+8*Calculs!N222*(M140)))/(2*Calculs!N222), ((M140)/Calculs!O168))</f>
        <v>#DIV/0!</v>
      </c>
      <c r="R140" s="231" t="e">
        <f>Q140-Paramétrage!$D$29</f>
        <v>#DIV/0!</v>
      </c>
      <c r="S140" s="574" t="e">
        <f>IF(Q140&lt;Paramétrage!$D$29, Q140, Paramétrage!$D$29)</f>
        <v>#DIV/0!</v>
      </c>
      <c r="T140" s="247" t="e">
        <f>Paramétrage!$H$19+R140*(365/12)</f>
        <v>#DIV/0!</v>
      </c>
      <c r="U140" s="248" t="e">
        <f>IF(Q140&lt;Paramétrage!$D$29, Paramétrage!$H$19+S140*(365/12), Paramétrage!$H$19+Q140*(365/12))</f>
        <v>#DIV/0!</v>
      </c>
      <c r="W140" s="231" t="str">
        <f>IF(ISERROR(Q140),"", IF(Q140=0, "", IF(Q140&gt;'Calculs Péremption FA'!$CB22, 'Calculs Péremption FA'!$CB22, Q140)))</f>
        <v/>
      </c>
      <c r="X140" s="582" t="str">
        <f>IF(ISERROR(Q140),"", IF(Q140=0, "", IF(Q140&gt;'Calculs Péremption FA'!$CB22, 'Calculs Péremption FA'!$CB22-Paramétrage!$D$29, R140)))</f>
        <v/>
      </c>
      <c r="Y140" s="236" t="str">
        <f t="shared" si="26"/>
        <v/>
      </c>
      <c r="Z140" s="247" t="str">
        <f>IF(ISERROR(Q140),"", IF(Q140=0, "", IF(Q140&gt;'Calculs Péremption FA'!$CB22, 'Calculs Péremption FA'!$BX22-Paramétrage!$D$29*(365/12), T140)))</f>
        <v/>
      </c>
      <c r="AA140" s="248" t="str">
        <f>IF(ISERROR(Q140),AW140,IF(Q140=0,IF(AND(M140=0,OR(N140&gt;0,O140&gt;0)),AX140,""),IF('Saisie données stocks'!$O$10='TRAD-Saisie données stocks'!$B$51,IF('Calculs Péremption FA'!P22="OK",IF('Calculs Péremption FA'!BV22&gt;0,CONCATENATE('TRAD-Calculs dispo Données FA'!$B$88, " - ",'Calculs Péremption FA'!$BY22,"/",'Calculs Péremption FA'!$BZ22,"/",'Calculs Péremption FA'!$CA22),U140),IF(Q140&gt;'Saisie données stocks'!$N$14,'Calculs Péremption FA'!CC22,U140)),IF(Q140&gt;'Saisie données stocks'!$N$14,'Calculs Péremption FA'!CC22,U140))))</f>
        <v/>
      </c>
      <c r="AC140" s="231" t="e">
        <f>(Calculs!O277)/Calculs!O168</f>
        <v>#DIV/0!</v>
      </c>
      <c r="AD140" s="231" t="e">
        <f t="shared" si="24"/>
        <v>#DIV/0!</v>
      </c>
      <c r="AE140" s="237" t="e">
        <f>AC140-Paramétrage!$D$29</f>
        <v>#DIV/0!</v>
      </c>
      <c r="AF140" s="241" t="e">
        <f>IF(AC140&lt;Paramétrage!$D$29, AC140, Paramétrage!$D$29)</f>
        <v>#DIV/0!</v>
      </c>
      <c r="AG140" s="247" t="e">
        <f>Paramétrage!$H$19+AE140*(365/12)</f>
        <v>#DIV/0!</v>
      </c>
      <c r="AH140" s="248" t="e">
        <f>IF(AC140&lt;Paramétrage!$D$29, Paramétrage!$H$19+AF140*(365/12), Paramétrage!$H$19+AC140*(365/12))</f>
        <v>#DIV/0!</v>
      </c>
      <c r="AJ140" s="231" t="str">
        <f>IF(ISERROR(AC140),"", IF(AC140=0, "", IF(AC140&gt;'Calculs Péremption FA'!$CB22, 'Calculs Péremption FA'!$CB22, AC140)))</f>
        <v/>
      </c>
      <c r="AK140" s="582" t="str">
        <f t="shared" si="25"/>
        <v/>
      </c>
      <c r="AL140" s="236" t="str">
        <f>IF(ISERROR(AC140),"", IF(AC140=0, "", IF(AC140&gt;'Calculs Péremption FA'!$CB22, 'Calculs Péremption FA'!$CB22-Paramétrage!$D$29, AE140)))</f>
        <v/>
      </c>
      <c r="AM140" s="425" t="str">
        <f>IF(ISERROR(AC140),"", IF(AC140=0, "", IF(AC140&gt;'Calculs Péremption FA'!$CB22, Paramétrage!$D$29, AF140)))</f>
        <v/>
      </c>
      <c r="AN140" s="247" t="str">
        <f>IF(ISERROR(AC140),Z140, IF(AC140=0, "", IF(AC140&gt;'Calculs Péremption FA'!$CB22, 'Calculs Péremption FA'!$BX22-Paramétrage!$D$29*(365/12), AG140)))</f>
        <v/>
      </c>
      <c r="AO140" s="248" t="str">
        <f>IF(ISERROR(AC140),AA140, IF(AC140=0, "", IF(AC140&gt;'Calculs Péremption FA'!$CB22, CONCATENATE('TRAD-Calculs dispo Données FA'!$B$88, " - ", 'Calculs Péremption FA'!$BY22, "/", 'Calculs Péremption FA'!$BZ22, "/", 'Calculs Péremption FA'!$CA22), AH140)))</f>
        <v/>
      </c>
      <c r="AP140" s="2140"/>
      <c r="AQ140" s="2141"/>
      <c r="AS140" s="2061">
        <f>Calculs!$O277</f>
        <v>0</v>
      </c>
      <c r="AT140" s="2062">
        <f>Calculs!$O168</f>
        <v>0</v>
      </c>
      <c r="AU140" s="2068">
        <f>Calculs!$N222</f>
        <v>0</v>
      </c>
      <c r="AV140" s="2070" t="str">
        <f>IF(AND(AU140=0, AS140=0, AT140=0), 'TRAD-Calculs dispo Données FA'!$B$82, "")</f>
        <v>Stock et besoin nul</v>
      </c>
      <c r="AW140" s="2062" t="str">
        <f>IF(AND(AU140=0, AS140&gt;0, AT140=0), CONCATENATE(AS140, " ", 'TRAD-Calculs dispo Données FA'!$B$80, " =0"), "")</f>
        <v/>
      </c>
      <c r="AX140" s="2063" t="str">
        <f>IF(AND(AS140=0, OR(AT140&gt;=1, AU140&gt;=1)),'TRAD-Calculs dispo Données FA'!$B$81, "")</f>
        <v/>
      </c>
    </row>
    <row r="141" spans="3:50" s="358" customFormat="1" x14ac:dyDescent="0.2">
      <c r="C141" s="374"/>
      <c r="D141" s="375"/>
      <c r="E141" s="382" t="str">
        <f>'Saisie données stocks'!F35</f>
        <v>EFV</v>
      </c>
      <c r="F141" s="383" t="str">
        <f>'Saisie données stocks'!G35</f>
        <v>Gél</v>
      </c>
      <c r="G141" s="383" t="str">
        <f>'Saisie données stocks'!H35</f>
        <v>200 mg</v>
      </c>
      <c r="H141" s="379" t="str">
        <f>CONCATENATE(E141, " - ", G141, " - ", 'TRAD-Calculs dispo Données FA'!$B$79,"/", K141)</f>
        <v>EFV - 200 mg - B/90</v>
      </c>
      <c r="I141" s="386">
        <f>Calculs!K118</f>
        <v>0</v>
      </c>
      <c r="J141" s="386">
        <f t="shared" si="22"/>
        <v>0</v>
      </c>
      <c r="K141" s="115">
        <f>Calculs!J118</f>
        <v>90</v>
      </c>
      <c r="L141" s="387">
        <f t="shared" si="23"/>
        <v>0</v>
      </c>
      <c r="M141" s="1821">
        <f>IF('Saisie données stocks'!$O$10='TRAD-Saisie données stocks'!$B$51, 'Calculs Péremption FA'!BU23, Calculs!M278)+IF('Saisie données stocks'!$M$76='TRAD-Saisie données stocks'!$B$51, Calculs!N278, "0")</f>
        <v>0</v>
      </c>
      <c r="N141" s="1870">
        <f>Calculs!O169</f>
        <v>0</v>
      </c>
      <c r="O141" s="1870">
        <f>Calculs!N223</f>
        <v>0</v>
      </c>
      <c r="P141"/>
      <c r="Q141" s="232" t="e">
        <f>IF(Calculs!N223&gt;0, (-(Calculs!N223+2*Calculs!O169)+SQRT((Calculs!N223+2*Calculs!O169)*(Calculs!N223+2*Calculs!O169)+8*Calculs!N223*(M141)))/(2*Calculs!N223), ((M141)/Calculs!O169))</f>
        <v>#DIV/0!</v>
      </c>
      <c r="R141" s="232" t="e">
        <f>Q141-Paramétrage!$D$29</f>
        <v>#DIV/0!</v>
      </c>
      <c r="S141" s="237" t="e">
        <f>IF(Q141&lt;Paramétrage!$D$29, Q141, Paramétrage!$D$29)</f>
        <v>#DIV/0!</v>
      </c>
      <c r="T141" s="249" t="e">
        <f>Paramétrage!$H$19+R141*(365/12)</f>
        <v>#DIV/0!</v>
      </c>
      <c r="U141" s="250" t="e">
        <f>IF(Q141&lt;Paramétrage!$D$29, Paramétrage!$H$19+S141*(365/12), Paramétrage!$H$19+Q141*(365/12))</f>
        <v>#DIV/0!</v>
      </c>
      <c r="W141" s="232" t="str">
        <f>IF(ISERROR(Q141),"", IF(Q141=0, "", IF(Q141&gt;'Calculs Péremption FA'!$CB23, 'Calculs Péremption FA'!$CB23, Q141)))</f>
        <v/>
      </c>
      <c r="X141" s="583" t="str">
        <f>IF(ISERROR(Q141),"", IF(Q141=0, "", IF(Q141&gt;'Calculs Péremption FA'!$CB23, 'Calculs Péremption FA'!$CB23-Paramétrage!$D$29, R141)))</f>
        <v/>
      </c>
      <c r="Y141" s="237" t="str">
        <f t="shared" si="26"/>
        <v/>
      </c>
      <c r="Z141" s="249" t="str">
        <f>IF(ISERROR(Q141),"", IF(Q141=0, "", IF(Q141&gt;'Calculs Péremption FA'!$CB23, 'Calculs Péremption FA'!$BX23-Paramétrage!$D$29*(365/12), T141)))</f>
        <v/>
      </c>
      <c r="AA141" s="250" t="str">
        <f>IF(ISERROR(Q141),AW141,IF(Q141=0,IF(AND(M141=0,OR(N141&gt;0,O141&gt;0)),AX141,""),IF('Saisie données stocks'!$O$10='TRAD-Saisie données stocks'!$B$51,IF('Calculs Péremption FA'!P23="OK",IF('Calculs Péremption FA'!BV23&gt;0,CONCATENATE('TRAD-Calculs dispo Données FA'!$B$88, " - ",'Calculs Péremption FA'!$BY23,"/",'Calculs Péremption FA'!$BZ23,"/",'Calculs Péremption FA'!$CA23),U141),IF(Q141&gt;'Saisie données stocks'!$N$14,'Calculs Péremption FA'!CC23,U141)),IF(Q141&gt;'Saisie données stocks'!$N$14,'Calculs Péremption FA'!CC23,U141))))</f>
        <v>2 B &amp; conso =0</v>
      </c>
      <c r="AC141" s="232" t="e">
        <f>(Calculs!O278)/Calculs!O169</f>
        <v>#DIV/0!</v>
      </c>
      <c r="AD141" s="232" t="e">
        <f t="shared" si="24"/>
        <v>#DIV/0!</v>
      </c>
      <c r="AE141" s="237" t="e">
        <f>AC141-Paramétrage!$D$29</f>
        <v>#DIV/0!</v>
      </c>
      <c r="AF141" s="242" t="e">
        <f>IF(AC141&lt;Paramétrage!$D$29, AC141, Paramétrage!$D$29)</f>
        <v>#DIV/0!</v>
      </c>
      <c r="AG141" s="249" t="e">
        <f>Paramétrage!$H$19+AE141*(365/12)</f>
        <v>#DIV/0!</v>
      </c>
      <c r="AH141" s="250" t="e">
        <f>IF(AC141&lt;Paramétrage!$D$29, Paramétrage!$H$19+AF141*(365/12), Paramétrage!$H$19+AC141*(365/12))</f>
        <v>#DIV/0!</v>
      </c>
      <c r="AJ141" s="232" t="str">
        <f>IF(ISERROR(AC141),"", IF(AC141=0, "", IF(AC141&gt;'Calculs Péremption FA'!$CB23, 'Calculs Péremption FA'!$CB23, AC141)))</f>
        <v/>
      </c>
      <c r="AK141" s="583" t="str">
        <f t="shared" si="25"/>
        <v/>
      </c>
      <c r="AL141" s="237" t="str">
        <f>IF(ISERROR(AC141),"", IF(AC141=0, "", IF(AC141&gt;'Calculs Péremption FA'!$CB23, 'Calculs Péremption FA'!$CB23-Paramétrage!$D$29, AE141)))</f>
        <v/>
      </c>
      <c r="AM141" s="426" t="str">
        <f>IF(ISERROR(AC141),"", IF(AC141=0, "", IF(AC141&gt;'Calculs Péremption FA'!$CB23, Paramétrage!$D$29, AF141)))</f>
        <v/>
      </c>
      <c r="AN141" s="249" t="str">
        <f>IF(ISERROR(AC141),Z141, IF(AC141=0, "", IF(AC141&gt;'Calculs Péremption FA'!$CB23, 'Calculs Péremption FA'!$BX23-Paramétrage!$D$29*(365/12), AG141)))</f>
        <v/>
      </c>
      <c r="AO141" s="250" t="str">
        <f>IF(ISERROR(AC141),AA141, IF(AC141=0, "", IF(AC141&gt;'Calculs Péremption FA'!$CB23, CONCATENATE('TRAD-Calculs dispo Données FA'!$B$88, " - ", 'Calculs Péremption FA'!$BY23, "/", 'Calculs Péremption FA'!$BZ23, "/", 'Calculs Péremption FA'!$CA23), AH141)))</f>
        <v>2 B &amp; conso =0</v>
      </c>
      <c r="AP141" s="2140"/>
      <c r="AQ141" s="2141"/>
      <c r="AS141" s="2061">
        <f>Calculs!$O278</f>
        <v>2</v>
      </c>
      <c r="AT141" s="2062">
        <f>Calculs!$O169</f>
        <v>0</v>
      </c>
      <c r="AU141" s="2068">
        <f>Calculs!$N223</f>
        <v>0</v>
      </c>
      <c r="AV141" s="2070" t="str">
        <f>IF(AND(AU141=0, AS141=0, AT141=0), 'TRAD-Calculs dispo Données FA'!$B$82, "")</f>
        <v/>
      </c>
      <c r="AW141" s="2062" t="str">
        <f>IF(AND(AU141=0, AS141&gt;0, AT141=0), CONCATENATE(AS141, " ", 'TRAD-Calculs dispo Données FA'!$B$80, " =0"), "")</f>
        <v>2 B &amp; conso =0</v>
      </c>
      <c r="AX141" s="2063" t="str">
        <f>IF(AND(AS141=0, OR(AT141&gt;=1, AU141&gt;=1)),'TRAD-Calculs dispo Données FA'!$B$81, "")</f>
        <v/>
      </c>
    </row>
    <row r="142" spans="3:50" s="358" customFormat="1" ht="25.5" x14ac:dyDescent="0.2">
      <c r="C142" s="374"/>
      <c r="D142" s="375"/>
      <c r="E142" s="396" t="str">
        <f>'Saisie données stocks'!F36</f>
        <v>EFV</v>
      </c>
      <c r="F142" s="397" t="str">
        <f>'Saisie données stocks'!G36</f>
        <v>Cp</v>
      </c>
      <c r="G142" s="397" t="str">
        <f>'Saisie données stocks'!H36</f>
        <v>600 mg</v>
      </c>
      <c r="H142" s="379" t="str">
        <f>CONCATENATE(E142, " - ", G142, " - ", 'TRAD-Calculs dispo Données FA'!$B$79,"/", K142)</f>
        <v>EFV - 600 mg - B/30</v>
      </c>
      <c r="I142" s="399">
        <f>Calculs!K119</f>
        <v>1</v>
      </c>
      <c r="J142" s="399">
        <f t="shared" si="22"/>
        <v>30</v>
      </c>
      <c r="K142" s="117">
        <f>Calculs!J119</f>
        <v>30</v>
      </c>
      <c r="L142" s="400">
        <f t="shared" si="23"/>
        <v>1</v>
      </c>
      <c r="M142" s="1823">
        <f>IF('Saisie données stocks'!$O$10='TRAD-Saisie données stocks'!$B$51, 'Calculs Péremption FA'!BU24, Calculs!M279)+IF('Saisie données stocks'!$M$76='TRAD-Saisie données stocks'!$B$51, Calculs!N279, "0")</f>
        <v>2210</v>
      </c>
      <c r="N142" s="1871">
        <f>Calculs!O170</f>
        <v>0</v>
      </c>
      <c r="O142" s="1871">
        <f>Calculs!N224</f>
        <v>0</v>
      </c>
      <c r="P142"/>
      <c r="Q142" s="234" t="e">
        <f>IF(Calculs!N224&gt;0, (-(Calculs!N224+2*Calculs!O170)+SQRT((Calculs!N224+2*Calculs!O170)*(Calculs!N224+2*Calculs!O170)+8*Calculs!N224*(M142)))/(2*Calculs!N224), ((M142)/Calculs!O170))</f>
        <v>#DIV/0!</v>
      </c>
      <c r="R142" s="234" t="e">
        <f>Q142-Paramétrage!$D$29</f>
        <v>#DIV/0!</v>
      </c>
      <c r="S142" s="237" t="e">
        <f>IF(Q142&lt;Paramétrage!$D$29, Q142, Paramétrage!$D$29)</f>
        <v>#DIV/0!</v>
      </c>
      <c r="T142" s="253" t="e">
        <f>Paramétrage!$H$19+R142*(365/12)</f>
        <v>#DIV/0!</v>
      </c>
      <c r="U142" s="254" t="e">
        <f>IF(Q142&lt;Paramétrage!$D$29, Paramétrage!$H$19+S142*(365/12), Paramétrage!$H$19+Q142*(365/12))</f>
        <v>#DIV/0!</v>
      </c>
      <c r="W142" s="234" t="str">
        <f>IF(ISERROR(Q142),"", IF(Q142=0, "", IF(Q142&gt;'Calculs Péremption FA'!$CB24, 'Calculs Péremption FA'!$CB24, Q142)))</f>
        <v/>
      </c>
      <c r="X142" s="584" t="str">
        <f>IF(ISERROR(Q142),"", IF(Q142=0, "", IF(Q142&gt;'Calculs Péremption FA'!$CB24, 'Calculs Péremption FA'!$CB24-Paramétrage!$D$29, R142)))</f>
        <v/>
      </c>
      <c r="Y142" s="239" t="str">
        <f t="shared" si="26"/>
        <v/>
      </c>
      <c r="Z142" s="253" t="str">
        <f>IF(ISERROR(Q142),"", IF(Q142=0, "", IF(Q142&gt;'Calculs Péremption FA'!$CB24, 'Calculs Péremption FA'!$BX24-Paramétrage!$D$29*(365/12), T142)))</f>
        <v/>
      </c>
      <c r="AA142" s="254" t="str">
        <f>IF(ISERROR(Q142),AW142,IF(Q142=0,IF(AND(M142=0,OR(N142&gt;0,O142&gt;0)),AX142,""),IF('Saisie données stocks'!$O$10='TRAD-Saisie données stocks'!$B$51,IF('Calculs Péremption FA'!P24="OK",IF('Calculs Péremption FA'!BV24&gt;0,CONCATENATE('TRAD-Calculs dispo Données FA'!$B$88, " - ",'Calculs Péremption FA'!$BY24,"/",'Calculs Péremption FA'!$BZ24,"/",'Calculs Péremption FA'!$CA24),U142),IF(Q142&gt;'Saisie données stocks'!$N$14,'Calculs Péremption FA'!CC24,U142)),IF(Q142&gt;'Saisie données stocks'!$N$14,'Calculs Péremption FA'!CC24,U142))))</f>
        <v>11566 B &amp; conso =0</v>
      </c>
      <c r="AC142" s="234" t="e">
        <f>(Calculs!O279)/Calculs!O170</f>
        <v>#DIV/0!</v>
      </c>
      <c r="AD142" s="234" t="e">
        <f t="shared" si="24"/>
        <v>#DIV/0!</v>
      </c>
      <c r="AE142" s="237" t="e">
        <f>AC142-Paramétrage!$D$29</f>
        <v>#DIV/0!</v>
      </c>
      <c r="AF142" s="244" t="e">
        <f>IF(AC142&lt;Paramétrage!$D$29, AC142, Paramétrage!$D$29)</f>
        <v>#DIV/0!</v>
      </c>
      <c r="AG142" s="253" t="e">
        <f>Paramétrage!$H$19+AE142*(365/12)</f>
        <v>#DIV/0!</v>
      </c>
      <c r="AH142" s="254" t="e">
        <f>IF(AC142&lt;Paramétrage!$D$29, Paramétrage!$H$19+AF142*(365/12), Paramétrage!$H$19+AC142*(365/12))</f>
        <v>#DIV/0!</v>
      </c>
      <c r="AJ142" s="234" t="str">
        <f>IF(ISERROR(AC142),"", IF(AC142=0, "", IF(AC142&gt;'Calculs Péremption FA'!$CB24, 'Calculs Péremption FA'!$CB24, AC142)))</f>
        <v/>
      </c>
      <c r="AK142" s="584" t="str">
        <f t="shared" si="25"/>
        <v/>
      </c>
      <c r="AL142" s="239" t="str">
        <f>IF(ISERROR(AC142),"", IF(AC142=0, "", IF(AC142&gt;'Calculs Péremption FA'!$CB24, 'Calculs Péremption FA'!$CB24-Paramétrage!$D$29, AE142)))</f>
        <v/>
      </c>
      <c r="AM142" s="428" t="str">
        <f>IF(ISERROR(AC142),"", IF(AC142=0, "", IF(AC142&gt;'Calculs Péremption FA'!$CB24, Paramétrage!$D$29, AF142)))</f>
        <v/>
      </c>
      <c r="AN142" s="253" t="str">
        <f>IF(ISERROR(AC142),Z142, IF(AC142=0, "", IF(AC142&gt;'Calculs Péremption FA'!$CB24, 'Calculs Péremption FA'!$BX24-Paramétrage!$D$29*(365/12), AG142)))</f>
        <v/>
      </c>
      <c r="AO142" s="254" t="str">
        <f>IF(ISERROR(AC142),AA142, IF(AC142=0, "", IF(AC142&gt;'Calculs Péremption FA'!$CB24, CONCATENATE('TRAD-Calculs dispo Données FA'!$B$88, " - ", 'Calculs Péremption FA'!$BY24, "/", 'Calculs Péremption FA'!$BZ24, "/", 'Calculs Péremption FA'!$CA24), AH142)))</f>
        <v>11566 B &amp; conso =0</v>
      </c>
      <c r="AP142" s="2140"/>
      <c r="AQ142" s="2141"/>
      <c r="AS142" s="2061">
        <f>Calculs!$O279</f>
        <v>11566</v>
      </c>
      <c r="AT142" s="2062">
        <f>Calculs!$O170</f>
        <v>0</v>
      </c>
      <c r="AU142" s="2068">
        <f>Calculs!$N224</f>
        <v>0</v>
      </c>
      <c r="AV142" s="2070" t="str">
        <f>IF(AND(AU142=0, AS142=0, AT142=0), 'TRAD-Calculs dispo Données FA'!$B$82, "")</f>
        <v/>
      </c>
      <c r="AW142" s="2062" t="str">
        <f>IF(AND(AU142=0, AS142&gt;0, AT142=0), CONCATENATE(AS142, " ", 'TRAD-Calculs dispo Données FA'!$B$80, " =0"), "")</f>
        <v>11566 B &amp; conso =0</v>
      </c>
      <c r="AX142" s="2063" t="str">
        <f>IF(AND(AS142=0, OR(AT142&gt;=1, AU142&gt;=1)),'TRAD-Calculs dispo Données FA'!$B$81, "")</f>
        <v/>
      </c>
    </row>
    <row r="143" spans="3:50" s="358" customFormat="1" ht="25.5" x14ac:dyDescent="0.2">
      <c r="C143" s="374"/>
      <c r="D143" s="375"/>
      <c r="E143" s="1722" t="str">
        <f>'Saisie données stocks'!F37</f>
        <v>ETV</v>
      </c>
      <c r="F143" s="1723" t="str">
        <f>'Saisie données stocks'!G37</f>
        <v>Cp</v>
      </c>
      <c r="G143" s="1723" t="str">
        <f>'Saisie données stocks'!H37</f>
        <v>200 mg</v>
      </c>
      <c r="H143" s="533" t="str">
        <f>CONCATENATE(E143, " - ", G143, " - ", 'TRAD-Calculs dispo Données FA'!$B$79,"/", K143)</f>
        <v>ETV - 200 mg - B/60</v>
      </c>
      <c r="I143" s="1724">
        <f>Calculs!K120</f>
        <v>2</v>
      </c>
      <c r="J143" s="1724">
        <f t="shared" si="22"/>
        <v>60</v>
      </c>
      <c r="K143" s="1725">
        <f>Calculs!J120</f>
        <v>60</v>
      </c>
      <c r="L143" s="1726">
        <f t="shared" si="23"/>
        <v>1</v>
      </c>
      <c r="M143" s="1824">
        <f>IF('Saisie données stocks'!$O$10='TRAD-Saisie données stocks'!$B$51, 'Calculs Péremption FA'!BU25, Calculs!M280)+IF('Saisie données stocks'!$M$76='TRAD-Saisie données stocks'!$B$51, Calculs!N280, "0")</f>
        <v>0</v>
      </c>
      <c r="N143" s="1871">
        <f>Calculs!O171</f>
        <v>0</v>
      </c>
      <c r="O143" s="1871">
        <f>Calculs!N225</f>
        <v>0</v>
      </c>
      <c r="P143"/>
      <c r="Q143" s="1727" t="e">
        <f>IF(Calculs!N225&gt;0, (-(Calculs!N225+2*Calculs!O171)+SQRT((Calculs!N225+2*Calculs!O171)*(Calculs!N225+2*Calculs!O171)+8*Calculs!N225*(M143)))/(2*Calculs!N225), ((M143)/Calculs!O171))</f>
        <v>#DIV/0!</v>
      </c>
      <c r="R143" s="1727" t="e">
        <f>Q143-Paramétrage!$D$29</f>
        <v>#DIV/0!</v>
      </c>
      <c r="S143" s="1728" t="e">
        <f>IF(Q143&lt;Paramétrage!$D$29, Q143, Paramétrage!$D$29)</f>
        <v>#DIV/0!</v>
      </c>
      <c r="T143" s="1730" t="e">
        <f>Paramétrage!$H$19+R143*(365/12)</f>
        <v>#DIV/0!</v>
      </c>
      <c r="U143" s="1731" t="e">
        <f>IF(Q143&lt;Paramétrage!$D$29, Paramétrage!$H$19+S143*(365/12), Paramétrage!$H$19+Q143*(365/12))</f>
        <v>#DIV/0!</v>
      </c>
      <c r="W143" s="1727" t="str">
        <f>IF(ISERROR(Q143),"", IF(Q143=0, "", IF(Q143&gt;'Calculs Péremption FA'!$CB25, 'Calculs Péremption FA'!$CB25, Q143)))</f>
        <v/>
      </c>
      <c r="X143" s="1733" t="str">
        <f>IF(ISERROR(Q143),"", IF(Q143=0, "", IF(Q143&gt;'Calculs Péremption FA'!$CB25, 'Calculs Péremption FA'!$CB25-Paramétrage!$D$29, R143)))</f>
        <v/>
      </c>
      <c r="Y143" s="1728" t="str">
        <f t="shared" si="26"/>
        <v/>
      </c>
      <c r="Z143" s="1730" t="str">
        <f>IF(ISERROR(Q143),"", IF(Q143=0, "", IF(Q143&gt;'Calculs Péremption FA'!$CB25, 'Calculs Péremption FA'!$BX25-Paramétrage!$D$29*(365/12), T143)))</f>
        <v/>
      </c>
      <c r="AA143" s="1731" t="str">
        <f>IF(ISERROR(Q143),AW143,IF(Q143=0,IF(AND(M143=0,OR(N143&gt;0,O143&gt;0)),AX143,""),IF('Saisie données stocks'!$O$10='TRAD-Saisie données stocks'!$B$51,IF('Calculs Péremption FA'!P25="OK",IF('Calculs Péremption FA'!BV25&gt;0,CONCATENATE('TRAD-Calculs dispo Données FA'!$B$88, " - ",'Calculs Péremption FA'!$BY25,"/",'Calculs Péremption FA'!$BZ25,"/",'Calculs Péremption FA'!$CA25),U143),IF(Q143&gt;'Saisie données stocks'!$N$14,'Calculs Péremption FA'!CC25,U143)),IF(Q143&gt;'Saisie données stocks'!$N$14,'Calculs Péremption FA'!CC25,U143))))</f>
        <v/>
      </c>
      <c r="AB143" s="2374"/>
      <c r="AC143" s="1727" t="e">
        <f>(Calculs!O280)/Calculs!O171</f>
        <v>#DIV/0!</v>
      </c>
      <c r="AD143" s="1727" t="e">
        <f t="shared" si="24"/>
        <v>#DIV/0!</v>
      </c>
      <c r="AE143" s="1721" t="e">
        <f>AC143-Paramétrage!$D$29</f>
        <v>#DIV/0!</v>
      </c>
      <c r="AF143" s="1729" t="e">
        <f>IF(AC143&lt;Paramétrage!$D$29, AC143, Paramétrage!$D$29)</f>
        <v>#DIV/0!</v>
      </c>
      <c r="AG143" s="1730" t="e">
        <f>Paramétrage!$H$19+AE143*(365/12)</f>
        <v>#DIV/0!</v>
      </c>
      <c r="AH143" s="1731" t="e">
        <f>IF(AC143&lt;Paramétrage!$D$29, Paramétrage!$H$19+AF143*(365/12), Paramétrage!$H$19+AC143*(365/12))</f>
        <v>#DIV/0!</v>
      </c>
      <c r="AJ143" s="1727" t="str">
        <f>IF(ISERROR(AC143),"", IF(AC143=0, "", IF(AC143&gt;'Calculs Péremption FA'!$CB25, 'Calculs Péremption FA'!$CB25, AC143)))</f>
        <v/>
      </c>
      <c r="AK143" s="1733" t="str">
        <f t="shared" si="25"/>
        <v/>
      </c>
      <c r="AL143" s="1728" t="str">
        <f>IF(ISERROR(AC143),"", IF(AC143=0, "", IF(AC143&gt;'Calculs Péremption FA'!$CB25, 'Calculs Péremption FA'!$CB25-Paramétrage!$D$29, AE143)))</f>
        <v/>
      </c>
      <c r="AM143" s="1732" t="str">
        <f>IF(ISERROR(AC143),"", IF(AC143=0, "", IF(AC143&gt;'Calculs Péremption FA'!$CB25, Paramétrage!$D$29, AF143)))</f>
        <v/>
      </c>
      <c r="AN143" s="1730" t="str">
        <f>IF(ISERROR(AC143),Z143, IF(AC143=0, "", IF(AC143&gt;'Calculs Péremption FA'!$CB25, 'Calculs Péremption FA'!$BX25-Paramétrage!$D$29*(365/12), AG143)))</f>
        <v/>
      </c>
      <c r="AO143" s="1731" t="str">
        <f>IF(ISERROR(AC143),AA143, IF(AC143=0, "", IF(AC143&gt;'Calculs Péremption FA'!$CB25, CONCATENATE('TRAD-Calculs dispo Données FA'!$B$88, " - ", 'Calculs Péremption FA'!$BY25, "/", 'Calculs Péremption FA'!$BZ25, "/", 'Calculs Péremption FA'!$CA25), AH143)))</f>
        <v/>
      </c>
      <c r="AP143" s="2140"/>
      <c r="AQ143" s="2141"/>
      <c r="AS143" s="2061">
        <f>Calculs!$O280</f>
        <v>0</v>
      </c>
      <c r="AT143" s="2062">
        <f>Calculs!$O171</f>
        <v>0</v>
      </c>
      <c r="AU143" s="2068">
        <f>Calculs!$N225</f>
        <v>0</v>
      </c>
      <c r="AV143" s="2070" t="str">
        <f>IF(AND(AU143=0, AS143=0, AT143=0), 'TRAD-Calculs dispo Données FA'!$B$82, "")</f>
        <v>Stock et besoin nul</v>
      </c>
      <c r="AW143" s="2062" t="str">
        <f>IF(AND(AU143=0, AS143&gt;0, AT143=0), CONCATENATE(AS143, " ", 'TRAD-Calculs dispo Données FA'!$B$80, " =0"), "")</f>
        <v/>
      </c>
      <c r="AX143" s="2063" t="str">
        <f>IF(AND(AS143=0, OR(AT143&gt;=1, AU143&gt;=1)),'TRAD-Calculs dispo Données FA'!$B$81, "")</f>
        <v/>
      </c>
    </row>
    <row r="144" spans="3:50" s="358" customFormat="1" ht="25.5" x14ac:dyDescent="0.2">
      <c r="C144" s="374"/>
      <c r="D144" s="375"/>
      <c r="E144" s="382" t="str">
        <f>'Saisie données stocks'!F38</f>
        <v>NVP</v>
      </c>
      <c r="F144" s="383" t="str">
        <f>'Saisie données stocks'!G38</f>
        <v>Cp</v>
      </c>
      <c r="G144" s="383" t="str">
        <f>'Saisie données stocks'!H38</f>
        <v>200 mg</v>
      </c>
      <c r="H144" s="385" t="str">
        <f>CONCATENATE(E144, " - ", G144, " - ", 'TRAD-Calculs dispo Données FA'!$B$79,"/", K144)</f>
        <v>NVP - 200 mg - B/60</v>
      </c>
      <c r="I144" s="386">
        <f>Calculs!K121</f>
        <v>2</v>
      </c>
      <c r="J144" s="386">
        <f t="shared" si="22"/>
        <v>60</v>
      </c>
      <c r="K144" s="115">
        <f>Calculs!J121</f>
        <v>60</v>
      </c>
      <c r="L144" s="387">
        <f t="shared" si="23"/>
        <v>1</v>
      </c>
      <c r="M144" s="1821">
        <f>IF('Saisie données stocks'!$O$10='TRAD-Saisie données stocks'!$B$51, 'Calculs Péremption FA'!BU26, Calculs!M281)+IF('Saisie données stocks'!$M$76='TRAD-Saisie données stocks'!$B$51, Calculs!N281, "0")</f>
        <v>0</v>
      </c>
      <c r="N144" s="1870">
        <f>Calculs!O172</f>
        <v>0</v>
      </c>
      <c r="O144" s="1870">
        <f>Calculs!N226</f>
        <v>0</v>
      </c>
      <c r="P144"/>
      <c r="Q144" s="232" t="e">
        <f>IF(Calculs!N226&gt;0, (-(Calculs!N226+2*Calculs!O172)+SQRT((Calculs!N226+2*Calculs!O172)*(Calculs!N226+2*Calculs!O172)+8*Calculs!N226*(M144)))/(2*Calculs!N226), ((M144)/Calculs!O172))</f>
        <v>#DIV/0!</v>
      </c>
      <c r="R144" s="232" t="e">
        <f>Q144-Paramétrage!$D$29</f>
        <v>#DIV/0!</v>
      </c>
      <c r="S144" s="237" t="e">
        <f>IF(Q144&lt;Paramétrage!$D$29, Q144, Paramétrage!$D$29)</f>
        <v>#DIV/0!</v>
      </c>
      <c r="T144" s="249" t="e">
        <f>Paramétrage!$H$19+R144*(365/12)</f>
        <v>#DIV/0!</v>
      </c>
      <c r="U144" s="250" t="e">
        <f>IF(Q144&lt;Paramétrage!$D$29, Paramétrage!$H$19+S144*(365/12), Paramétrage!$H$19+Q144*(365/12))</f>
        <v>#DIV/0!</v>
      </c>
      <c r="W144" s="232" t="str">
        <f>IF(ISERROR(Q144),"", IF(Q144=0, "", IF(Q144&gt;'Calculs Péremption FA'!$CB26, 'Calculs Péremption FA'!$CB26, Q144)))</f>
        <v/>
      </c>
      <c r="X144" s="583" t="str">
        <f>IF(ISERROR(Q144),"", IF(Q144=0, "", IF(Q144&gt;'Calculs Péremption FA'!$CB26, 'Calculs Péremption FA'!$CB26-Paramétrage!$D$29, R144)))</f>
        <v/>
      </c>
      <c r="Y144" s="237" t="str">
        <f t="shared" si="26"/>
        <v/>
      </c>
      <c r="Z144" s="249" t="str">
        <f>IF(ISERROR(Q144),"", IF(Q144=0, "", IF(Q144&gt;'Calculs Péremption FA'!$CB26, 'Calculs Péremption FA'!$BX26-Paramétrage!$D$29*(365/12), T144)))</f>
        <v/>
      </c>
      <c r="AA144" s="250" t="str">
        <f>IF(ISERROR(Q144),AW144,IF(Q144=0,IF(AND(M144=0,OR(N144&gt;0,O144&gt;0)),AX144,""),IF('Saisie données stocks'!$O$10='TRAD-Saisie données stocks'!$B$51,IF('Calculs Péremption FA'!P26="OK",IF('Calculs Péremption FA'!BV26&gt;0,CONCATENATE('TRAD-Calculs dispo Données FA'!$B$88, " - ",'Calculs Péremption FA'!$BY26,"/",'Calculs Péremption FA'!$BZ26,"/",'Calculs Péremption FA'!$CA26),U144),IF(Q144&gt;'Saisie données stocks'!$N$14,'Calculs Péremption FA'!CC26,U144)),IF(Q144&gt;'Saisie données stocks'!$N$14,'Calculs Péremption FA'!CC26,U144))))</f>
        <v/>
      </c>
      <c r="AC144" s="232" t="e">
        <f>(Calculs!O281)/Calculs!O172</f>
        <v>#DIV/0!</v>
      </c>
      <c r="AD144" s="232" t="e">
        <f t="shared" si="24"/>
        <v>#DIV/0!</v>
      </c>
      <c r="AE144" s="237" t="e">
        <f>AC144-Paramétrage!$D$29</f>
        <v>#DIV/0!</v>
      </c>
      <c r="AF144" s="242" t="e">
        <f>IF(AC144&lt;Paramétrage!$D$29, AC144, Paramétrage!$D$29)</f>
        <v>#DIV/0!</v>
      </c>
      <c r="AG144" s="249" t="e">
        <f>Paramétrage!$H$19+AE144*(365/12)</f>
        <v>#DIV/0!</v>
      </c>
      <c r="AH144" s="250" t="e">
        <f>IF(AC144&lt;Paramétrage!$D$29, Paramétrage!$H$19+AF144*(365/12), Paramétrage!$H$19+AC144*(365/12))</f>
        <v>#DIV/0!</v>
      </c>
      <c r="AJ144" s="232" t="str">
        <f>IF(ISERROR(AC144),"", IF(AC144=0, "", IF(AC144&gt;'Calculs Péremption FA'!$CB26, 'Calculs Péremption FA'!$CB26, AC144)))</f>
        <v/>
      </c>
      <c r="AK144" s="583" t="str">
        <f t="shared" si="25"/>
        <v/>
      </c>
      <c r="AL144" s="237" t="str">
        <f>IF(ISERROR(AC144),"", IF(AC144=0, "", IF(AC144&gt;'Calculs Péremption FA'!$CB26, 'Calculs Péremption FA'!$CB26-Paramétrage!$D$29, AE144)))</f>
        <v/>
      </c>
      <c r="AM144" s="426" t="str">
        <f>IF(ISERROR(AC144),"", IF(AC144=0, "", IF(AC144&gt;'Calculs Péremption FA'!$CB26, Paramétrage!$D$29, AF144)))</f>
        <v/>
      </c>
      <c r="AN144" s="249" t="str">
        <f>IF(ISERROR(AC144),Z144, IF(AC144=0, "", IF(AC144&gt;'Calculs Péremption FA'!$CB26, 'Calculs Péremption FA'!$BX26-Paramétrage!$D$29*(365/12), AG144)))</f>
        <v/>
      </c>
      <c r="AO144" s="250" t="str">
        <f>IF(ISERROR(AC144),AA144, IF(AC144=0, "", IF(AC144&gt;'Calculs Péremption FA'!$CB26, CONCATENATE('TRAD-Calculs dispo Données FA'!$B$88, " - ", 'Calculs Péremption FA'!$BY26, "/", 'Calculs Péremption FA'!$BZ26, "/", 'Calculs Péremption FA'!$CA26), AH144)))</f>
        <v/>
      </c>
      <c r="AP144" s="2140"/>
      <c r="AQ144" s="2141"/>
      <c r="AS144" s="2061">
        <f>Calculs!$O281</f>
        <v>0</v>
      </c>
      <c r="AT144" s="2062">
        <f>Calculs!$O172</f>
        <v>0</v>
      </c>
      <c r="AU144" s="2068">
        <f>Calculs!$N226</f>
        <v>0</v>
      </c>
      <c r="AV144" s="2070" t="str">
        <f>IF(AND(AU144=0, AS144=0, AT144=0), 'TRAD-Calculs dispo Données FA'!$B$82, "")</f>
        <v>Stock et besoin nul</v>
      </c>
      <c r="AW144" s="2062" t="str">
        <f>IF(AND(AU144=0, AS144&gt;0, AT144=0), CONCATENATE(AS144, " ", 'TRAD-Calculs dispo Données FA'!$B$80, " =0"), "")</f>
        <v/>
      </c>
      <c r="AX144" s="2063" t="str">
        <f>IF(AND(AS144=0, OR(AT144&gt;=1, AU144&gt;=1)),'TRAD-Calculs dispo Données FA'!$B$81, "")</f>
        <v/>
      </c>
    </row>
    <row r="145" spans="3:50" s="358" customFormat="1" ht="25.5" x14ac:dyDescent="0.2">
      <c r="C145" s="388"/>
      <c r="D145" s="389"/>
      <c r="E145" s="390" t="str">
        <f>'Saisie données stocks'!F39</f>
        <v>RPV</v>
      </c>
      <c r="F145" s="391" t="str">
        <f>'Saisie données stocks'!G39</f>
        <v>Cp</v>
      </c>
      <c r="G145" s="391" t="str">
        <f>'Saisie données stocks'!H39</f>
        <v>25 mg</v>
      </c>
      <c r="H145" s="393" t="str">
        <f>CONCATENATE(E145, " - ", G145, " - ", 'TRAD-Calculs dispo Données FA'!$B$79,"/", K145)</f>
        <v>RPV - 25 mg - B/30</v>
      </c>
      <c r="I145" s="394">
        <f>Calculs!K122</f>
        <v>1</v>
      </c>
      <c r="J145" s="394">
        <f t="shared" si="22"/>
        <v>30</v>
      </c>
      <c r="K145" s="116">
        <f>Calculs!J122</f>
        <v>30</v>
      </c>
      <c r="L145" s="395">
        <f t="shared" si="23"/>
        <v>1</v>
      </c>
      <c r="M145" s="1822">
        <f>IF('Saisie données stocks'!$O$10='TRAD-Saisie données stocks'!$B$51, 'Calculs Péremption FA'!BU27, Calculs!M282)+IF('Saisie données stocks'!$M$76='TRAD-Saisie données stocks'!$B$51, Calculs!N282, "0")</f>
        <v>0</v>
      </c>
      <c r="N145" s="1822">
        <f>Calculs!O173</f>
        <v>0</v>
      </c>
      <c r="O145" s="1822">
        <f>Calculs!N227</f>
        <v>0</v>
      </c>
      <c r="P145"/>
      <c r="Q145" s="233" t="e">
        <f>IF(Calculs!N227&gt;0, (-(Calculs!N227+2*Calculs!O173)+SQRT((Calculs!N227+2*Calculs!O173)*(Calculs!N227+2*Calculs!O173)+8*Calculs!N227*(M145)))/(2*Calculs!N227), ((M145)/Calculs!O173))</f>
        <v>#DIV/0!</v>
      </c>
      <c r="R145" s="233" t="e">
        <f>Q145-Paramétrage!$D$29</f>
        <v>#DIV/0!</v>
      </c>
      <c r="S145" s="239" t="e">
        <f>IF(Q145&lt;Paramétrage!$D$29, Q145, Paramétrage!$D$29)</f>
        <v>#DIV/0!</v>
      </c>
      <c r="T145" s="251" t="e">
        <f>Paramétrage!$H$19+R145*(365/12)</f>
        <v>#DIV/0!</v>
      </c>
      <c r="U145" s="252" t="e">
        <f>IF(Q145&lt;Paramétrage!$D$29, Paramétrage!$H$19+S145*(365/12), Paramétrage!$H$19+Q145*(365/12))</f>
        <v>#DIV/0!</v>
      </c>
      <c r="W145" s="233" t="str">
        <f>IF(ISERROR(Q145),"", IF(Q145=0, "", IF(Q145&gt;'Calculs Péremption FA'!$CB27, 'Calculs Péremption FA'!$CB27, Q145)))</f>
        <v/>
      </c>
      <c r="X145" s="575" t="str">
        <f>IF(ISERROR(Q145),"", IF(Q145=0, "", IF(Q145&gt;'Calculs Péremption FA'!$CB27, 'Calculs Péremption FA'!$CB27-Paramétrage!$D$29, R145)))</f>
        <v/>
      </c>
      <c r="Y145" s="238" t="str">
        <f t="shared" si="26"/>
        <v/>
      </c>
      <c r="Z145" s="251" t="str">
        <f>IF(ISERROR(Q145),"", IF(Q145=0, "", IF(Q145&gt;'Calculs Péremption FA'!$CB27, 'Calculs Péremption FA'!$BX27-Paramétrage!$D$29*(365/12), T145)))</f>
        <v/>
      </c>
      <c r="AA145" s="252" t="str">
        <f>IF(ISERROR(Q145),AW145,IF(Q145=0,IF(AND(M145=0,OR(N145&gt;0,O145&gt;0)),AX145,""),IF('Saisie données stocks'!$O$10='TRAD-Saisie données stocks'!$B$51,IF('Calculs Péremption FA'!P27="OK",IF('Calculs Péremption FA'!BV27&gt;0,CONCATENATE('TRAD-Calculs dispo Données FA'!$B$88, " - ",'Calculs Péremption FA'!$BY27,"/",'Calculs Péremption FA'!$BZ27,"/",'Calculs Péremption FA'!$CA27),U145),IF(Q145&gt;'Saisie données stocks'!$N$14,'Calculs Péremption FA'!CC27,U145)),IF(Q145&gt;'Saisie données stocks'!$N$14,'Calculs Péremption FA'!CC27,U145))))</f>
        <v/>
      </c>
      <c r="AC145" s="233" t="e">
        <f>(Calculs!O282)/Calculs!O173</f>
        <v>#DIV/0!</v>
      </c>
      <c r="AD145" s="233" t="e">
        <f t="shared" si="24"/>
        <v>#DIV/0!</v>
      </c>
      <c r="AE145" s="237" t="e">
        <f>AC145-Paramétrage!$D$29</f>
        <v>#DIV/0!</v>
      </c>
      <c r="AF145" s="243" t="e">
        <f>IF(AC145&lt;Paramétrage!$D$29, AC145, Paramétrage!$D$29)</f>
        <v>#DIV/0!</v>
      </c>
      <c r="AG145" s="251" t="e">
        <f>Paramétrage!$H$19+AE145*(365/12)</f>
        <v>#DIV/0!</v>
      </c>
      <c r="AH145" s="252" t="e">
        <f>IF(AC145&lt;Paramétrage!$D$29, Paramétrage!$H$19+AF145*(365/12), Paramétrage!$H$19+AC145*(365/12))</f>
        <v>#DIV/0!</v>
      </c>
      <c r="AJ145" s="233" t="str">
        <f>IF(ISERROR(AC145),"", IF(AC145=0, "", IF(AC145&gt;'Calculs Péremption FA'!$CB27, 'Calculs Péremption FA'!$CB27, AC145)))</f>
        <v/>
      </c>
      <c r="AK145" s="575" t="str">
        <f t="shared" si="25"/>
        <v/>
      </c>
      <c r="AL145" s="238" t="str">
        <f>IF(ISERROR(AC145),"", IF(AC145=0, "", IF(AC145&gt;'Calculs Péremption FA'!$CB27, 'Calculs Péremption FA'!$CB27-Paramétrage!$D$29, AE145)))</f>
        <v/>
      </c>
      <c r="AM145" s="427" t="str">
        <f>IF(ISERROR(AC145),"", IF(AC145=0, "", IF(AC145&gt;'Calculs Péremption FA'!$CB27, Paramétrage!$D$29, AF145)))</f>
        <v/>
      </c>
      <c r="AN145" s="251" t="str">
        <f>IF(ISERROR(AC145),Z145, IF(AC145=0, "", IF(AC145&gt;'Calculs Péremption FA'!$CB27, 'Calculs Péremption FA'!$BX27-Paramétrage!$D$29*(365/12), AG145)))</f>
        <v/>
      </c>
      <c r="AO145" s="252" t="str">
        <f>IF(ISERROR(AC145),AA145, IF(AC145=0, "", IF(AC145&gt;'Calculs Péremption FA'!$CB27, CONCATENATE('TRAD-Calculs dispo Données FA'!$B$88, " - ", 'Calculs Péremption FA'!$BY27, "/", 'Calculs Péremption FA'!$BZ27, "/", 'Calculs Péremption FA'!$CA27), AH145)))</f>
        <v/>
      </c>
      <c r="AP145" s="2140"/>
      <c r="AQ145" s="2141"/>
      <c r="AS145" s="2061">
        <f>Calculs!$O282</f>
        <v>0</v>
      </c>
      <c r="AT145" s="2062">
        <f>Calculs!$O173</f>
        <v>0</v>
      </c>
      <c r="AU145" s="2068">
        <f>Calculs!$N227</f>
        <v>0</v>
      </c>
      <c r="AV145" s="2070" t="str">
        <f>IF(AND(AU145=0, AS145=0, AT145=0), 'TRAD-Calculs dispo Données FA'!$B$82, "")</f>
        <v>Stock et besoin nul</v>
      </c>
      <c r="AW145" s="2062" t="str">
        <f>IF(AND(AU145=0, AS145&gt;0, AT145=0), CONCATENATE(AS145, " ", 'TRAD-Calculs dispo Données FA'!$B$80, " =0"), "")</f>
        <v/>
      </c>
      <c r="AX145" s="2063" t="str">
        <f>IF(AND(AS145=0, OR(AT145&gt;=1, AU145&gt;=1)),'TRAD-Calculs dispo Données FA'!$B$81, "")</f>
        <v/>
      </c>
    </row>
    <row r="146" spans="3:50" s="358" customFormat="1" ht="25.5" x14ac:dyDescent="0.2">
      <c r="C146" s="374"/>
      <c r="D146" s="375" t="s">
        <v>31</v>
      </c>
      <c r="E146" s="376" t="str">
        <f>'Saisie données stocks'!F40</f>
        <v>ABC</v>
      </c>
      <c r="F146" s="377" t="str">
        <f>'Saisie données stocks'!G40</f>
        <v>Cp</v>
      </c>
      <c r="G146" s="377" t="str">
        <f>'Saisie données stocks'!H40</f>
        <v>300 mg</v>
      </c>
      <c r="H146" s="378" t="str">
        <f>CONCATENATE(E146, " - ", G146, " - ", 'TRAD-Calculs dispo Données FA'!$B$79,"/", K146)</f>
        <v>ABC - 300 mg - B/60</v>
      </c>
      <c r="I146" s="380">
        <f>Calculs!K123</f>
        <v>2</v>
      </c>
      <c r="J146" s="380">
        <f t="shared" si="22"/>
        <v>60</v>
      </c>
      <c r="K146" s="114">
        <f>Calculs!J123</f>
        <v>60</v>
      </c>
      <c r="L146" s="381">
        <f t="shared" si="23"/>
        <v>1</v>
      </c>
      <c r="M146" s="1820">
        <f>IF('Saisie données stocks'!$O$10='TRAD-Saisie données stocks'!$B$51, 'Calculs Péremption FA'!BU28, Calculs!M283)+IF('Saisie données stocks'!$M$76='TRAD-Saisie données stocks'!$B$51, Calculs!N283, "0")</f>
        <v>0</v>
      </c>
      <c r="N146" s="1820">
        <f>Calculs!O174</f>
        <v>0</v>
      </c>
      <c r="O146" s="1820">
        <f>Calculs!N228</f>
        <v>0</v>
      </c>
      <c r="P146"/>
      <c r="Q146" s="231" t="e">
        <f>IF(Calculs!N228&gt;0, (-(Calculs!N228+2*Calculs!O174)+SQRT((Calculs!N228+2*Calculs!O174)*(Calculs!N228+2*Calculs!O174)+8*Calculs!N228*(M146)))/(2*Calculs!N228), ((M146)/Calculs!O174))</f>
        <v>#DIV/0!</v>
      </c>
      <c r="R146" s="231" t="e">
        <f>Q146-Paramétrage!$D$29</f>
        <v>#DIV/0!</v>
      </c>
      <c r="S146" s="574" t="e">
        <f>IF(Q146&lt;Paramétrage!$D$29, Q146, Paramétrage!$D$29)</f>
        <v>#DIV/0!</v>
      </c>
      <c r="T146" s="247" t="e">
        <f>Paramétrage!$H$19+R146*(365/12)</f>
        <v>#DIV/0!</v>
      </c>
      <c r="U146" s="248" t="e">
        <f>IF(Q146&lt;Paramétrage!$D$29, Paramétrage!$H$19+S146*(365/12), Paramétrage!$H$19+Q146*(365/12))</f>
        <v>#DIV/0!</v>
      </c>
      <c r="W146" s="231" t="str">
        <f>IF(ISERROR(Q146),"", IF(Q146=0, "", IF(Q146&gt;'Calculs Péremption FA'!$CB28, 'Calculs Péremption FA'!$CB28, Q146)))</f>
        <v/>
      </c>
      <c r="X146" s="582" t="str">
        <f>IF(ISERROR(Q146),"", IF(Q146=0, "", IF(Q146&gt;'Calculs Péremption FA'!$CB28, 'Calculs Péremption FA'!$CB28-Paramétrage!$D$29, R146)))</f>
        <v/>
      </c>
      <c r="Y146" s="236" t="str">
        <f t="shared" si="26"/>
        <v/>
      </c>
      <c r="Z146" s="247" t="str">
        <f>IF(ISERROR(Q146),"", IF(Q146=0, "", IF(Q146&gt;'Calculs Péremption FA'!$CB28, 'Calculs Péremption FA'!$BX28-Paramétrage!$D$29*(365/12), T146)))</f>
        <v/>
      </c>
      <c r="AA146" s="248" t="str">
        <f>IF(ISERROR(Q146),AW146,IF(Q146=0,IF(AND(M146=0,OR(N146&gt;0,O146&gt;0)),AX146,""),IF('Saisie données stocks'!$O$10='TRAD-Saisie données stocks'!$B$51,IF('Calculs Péremption FA'!P28="OK",IF('Calculs Péremption FA'!BV28&gt;0,CONCATENATE('TRAD-Calculs dispo Données FA'!$B$88, " - ",'Calculs Péremption FA'!$BY28,"/",'Calculs Péremption FA'!$BZ28,"/",'Calculs Péremption FA'!$CA28),U146),IF(Q146&gt;'Saisie données stocks'!$N$14,'Calculs Péremption FA'!CC28,U146)),IF(Q146&gt;'Saisie données stocks'!$N$14,'Calculs Péremption FA'!CC28,U146))))</f>
        <v>1093 B &amp; conso =0</v>
      </c>
      <c r="AC146" s="231" t="e">
        <f>(Calculs!O283)/Calculs!O174</f>
        <v>#DIV/0!</v>
      </c>
      <c r="AD146" s="231" t="e">
        <f t="shared" si="24"/>
        <v>#DIV/0!</v>
      </c>
      <c r="AE146" s="236" t="e">
        <f>AC146-Paramétrage!$D$29</f>
        <v>#DIV/0!</v>
      </c>
      <c r="AF146" s="241" t="e">
        <f>IF(AC146&lt;Paramétrage!$D$29, AC146, Paramétrage!$D$29)</f>
        <v>#DIV/0!</v>
      </c>
      <c r="AG146" s="247" t="e">
        <f>Paramétrage!$H$19+AE146*(365/12)</f>
        <v>#DIV/0!</v>
      </c>
      <c r="AH146" s="248" t="e">
        <f>IF(AC146&lt;Paramétrage!$D$29, Paramétrage!$H$19+AF146*(365/12), Paramétrage!$H$19+AC146*(365/12))</f>
        <v>#DIV/0!</v>
      </c>
      <c r="AJ146" s="231" t="str">
        <f>IF(ISERROR(AC146),"", IF(AC146=0, "", IF(AC146&gt;'Calculs Péremption FA'!$CB28, 'Calculs Péremption FA'!$CB28, AC146)))</f>
        <v/>
      </c>
      <c r="AK146" s="582" t="str">
        <f t="shared" si="25"/>
        <v/>
      </c>
      <c r="AL146" s="236" t="str">
        <f>IF(ISERROR(AC146),"", IF(AC146=0, "", IF(AC146&gt;'Calculs Péremption FA'!$CB28, 'Calculs Péremption FA'!$CB28-Paramétrage!$D$29, AE146)))</f>
        <v/>
      </c>
      <c r="AM146" s="425" t="str">
        <f>IF(ISERROR(AC146),"", IF(AC146=0, "", IF(AC146&gt;'Calculs Péremption FA'!$CB28, Paramétrage!$D$29, AF146)))</f>
        <v/>
      </c>
      <c r="AN146" s="247" t="str">
        <f>IF(ISERROR(AC146),Z146, IF(AC146=0, "", IF(AC146&gt;'Calculs Péremption FA'!$CB28, 'Calculs Péremption FA'!$BX28-Paramétrage!$D$29*(365/12), AG146)))</f>
        <v/>
      </c>
      <c r="AO146" s="248" t="str">
        <f>IF(ISERROR(AC146),AA146, IF(AC146=0, "", IF(AC146&gt;'Calculs Péremption FA'!$CB28, CONCATENATE('TRAD-Calculs dispo Données FA'!$B$88, " - ", 'Calculs Péremption FA'!$BY28, "/", 'Calculs Péremption FA'!$BZ28, "/", 'Calculs Péremption FA'!$CA28), AH146)))</f>
        <v>1093 B &amp; conso =0</v>
      </c>
      <c r="AP146" s="2140"/>
      <c r="AQ146" s="2141"/>
      <c r="AS146" s="2061">
        <f>Calculs!$O283</f>
        <v>1093</v>
      </c>
      <c r="AT146" s="2062">
        <f>Calculs!$O174</f>
        <v>0</v>
      </c>
      <c r="AU146" s="2068">
        <f>Calculs!$N228</f>
        <v>0</v>
      </c>
      <c r="AV146" s="2070" t="str">
        <f>IF(AND(AU146=0, AS146=0, AT146=0), 'TRAD-Calculs dispo Données FA'!$B$82, "")</f>
        <v/>
      </c>
      <c r="AW146" s="2062" t="str">
        <f>IF(AND(AU146=0, AS146&gt;0, AT146=0), CONCATENATE(AS146, " ", 'TRAD-Calculs dispo Données FA'!$B$80, " =0"), "")</f>
        <v>1093 B &amp; conso =0</v>
      </c>
      <c r="AX146" s="2063" t="str">
        <f>IF(AND(AS146=0, OR(AT146&gt;=1, AU146&gt;=1)),'TRAD-Calculs dispo Données FA'!$B$81, "")</f>
        <v/>
      </c>
    </row>
    <row r="147" spans="3:50" s="358" customFormat="1" ht="25.5" x14ac:dyDescent="0.2">
      <c r="C147" s="374"/>
      <c r="D147" s="375"/>
      <c r="E147" s="376" t="str">
        <f>'Saisie données stocks'!F41</f>
        <v>ABC</v>
      </c>
      <c r="F147" s="377" t="str">
        <f>'Saisie données stocks'!G41</f>
        <v>Cp</v>
      </c>
      <c r="G147" s="377" t="str">
        <f>'Saisie données stocks'!H41</f>
        <v>60 mg</v>
      </c>
      <c r="H147" s="378" t="str">
        <f>CONCATENATE(E147, " - ", G147, " - ", 'TRAD-Calculs dispo Données FA'!$B$79,"/", K147)</f>
        <v>ABC - 60 mg - B/60</v>
      </c>
      <c r="I147" s="380">
        <f>Calculs!K124</f>
        <v>2</v>
      </c>
      <c r="J147" s="380">
        <f t="shared" si="22"/>
        <v>60</v>
      </c>
      <c r="K147" s="114">
        <f>Calculs!J124</f>
        <v>60</v>
      </c>
      <c r="L147" s="381">
        <f t="shared" si="23"/>
        <v>1</v>
      </c>
      <c r="M147" s="1820">
        <f>IF('Saisie données stocks'!$O$10='TRAD-Saisie données stocks'!$B$51, 'Calculs Péremption FA'!BU29, Calculs!M284)+IF('Saisie données stocks'!$M$76='TRAD-Saisie données stocks'!$B$51, Calculs!N284, "0")</f>
        <v>0</v>
      </c>
      <c r="N147" s="1820">
        <f>Calculs!O175</f>
        <v>0</v>
      </c>
      <c r="O147" s="1820">
        <f>Calculs!N229</f>
        <v>0</v>
      </c>
      <c r="P147"/>
      <c r="Q147" s="231" t="e">
        <f>IF(Calculs!N229&gt;0, (-(Calculs!N229+2*Calculs!O175)+SQRT((Calculs!N229+2*Calculs!O175)*(Calculs!N229+2*Calculs!O175)+8*Calculs!N229*(M147)))/(2*Calculs!N229), ((M147)/Calculs!O175))</f>
        <v>#DIV/0!</v>
      </c>
      <c r="R147" s="231" t="e">
        <f>Q147-Paramétrage!$D$29</f>
        <v>#DIV/0!</v>
      </c>
      <c r="S147" s="236" t="e">
        <f>IF(Q147&lt;Paramétrage!$D$29, Q147, Paramétrage!$D$29)</f>
        <v>#DIV/0!</v>
      </c>
      <c r="T147" s="247" t="e">
        <f>Paramétrage!$H$19+R147*(365/12)</f>
        <v>#DIV/0!</v>
      </c>
      <c r="U147" s="248" t="e">
        <f>IF(Q147&lt;Paramétrage!$D$29, Paramétrage!$H$19+S147*(365/12), Paramétrage!$H$19+Q147*(365/12))</f>
        <v>#DIV/0!</v>
      </c>
      <c r="W147" s="231" t="str">
        <f>IF(ISERROR(Q147),"", IF(Q147=0, "", IF(Q147&gt;'Calculs Péremption FA'!$CB29, 'Calculs Péremption FA'!$CB29, Q147)))</f>
        <v/>
      </c>
      <c r="X147" s="582" t="str">
        <f>IF(ISERROR(Q147),"", IF(Q147=0, "", IF(Q147&gt;'Calculs Péremption FA'!$CB29, 'Calculs Péremption FA'!$CB29-Paramétrage!$D$29, R147)))</f>
        <v/>
      </c>
      <c r="Y147" s="236" t="str">
        <f t="shared" si="26"/>
        <v/>
      </c>
      <c r="Z147" s="247" t="str">
        <f>IF(ISERROR(Q147),"", IF(Q147=0, "", IF(Q147&gt;'Calculs Péremption FA'!$CB29, 'Calculs Péremption FA'!$BX29-Paramétrage!$D$29*(365/12), T147)))</f>
        <v/>
      </c>
      <c r="AA147" s="248" t="str">
        <f>IF(ISERROR(Q147),AW147,IF(Q147=0,IF(AND(M147=0,OR(N147&gt;0,O147&gt;0)),AX147,""),IF('Saisie données stocks'!$O$10='TRAD-Saisie données stocks'!$B$51,IF('Calculs Péremption FA'!P29="OK",IF('Calculs Péremption FA'!BV29&gt;0,CONCATENATE('TRAD-Calculs dispo Données FA'!$B$88, " - ",'Calculs Péremption FA'!$BY29,"/",'Calculs Péremption FA'!$BZ29,"/",'Calculs Péremption FA'!$CA29),U147),IF(Q147&gt;'Saisie données stocks'!$N$14,'Calculs Péremption FA'!CC29,U147)),IF(Q147&gt;'Saisie données stocks'!$N$14,'Calculs Péremption FA'!CC29,U147))))</f>
        <v/>
      </c>
      <c r="AC147" s="231" t="e">
        <f>(Calculs!O284)/Calculs!O175</f>
        <v>#DIV/0!</v>
      </c>
      <c r="AD147" s="231" t="e">
        <f t="shared" si="24"/>
        <v>#DIV/0!</v>
      </c>
      <c r="AE147" s="236" t="e">
        <f>AC147-Paramétrage!$D$29</f>
        <v>#DIV/0!</v>
      </c>
      <c r="AF147" s="241" t="e">
        <f>IF(AC147&lt;Paramétrage!$D$29, AC147, Paramétrage!$D$29)</f>
        <v>#DIV/0!</v>
      </c>
      <c r="AG147" s="247" t="e">
        <f>Paramétrage!$H$19+AE147*(365/12)</f>
        <v>#DIV/0!</v>
      </c>
      <c r="AH147" s="248" t="e">
        <f>IF(AC147&lt;Paramétrage!$D$29, Paramétrage!$H$19+AF147*(365/12), Paramétrage!$H$19+AC147*(365/12))</f>
        <v>#DIV/0!</v>
      </c>
      <c r="AJ147" s="231" t="str">
        <f>IF(ISERROR(AC147),"", IF(AC147=0, "", IF(AC147&gt;'Calculs Péremption FA'!$CB29, 'Calculs Péremption FA'!$CB29, AC147)))</f>
        <v/>
      </c>
      <c r="AK147" s="582" t="str">
        <f t="shared" si="25"/>
        <v/>
      </c>
      <c r="AL147" s="236" t="str">
        <f>IF(ISERROR(AC147),"", IF(AC147=0, "", IF(AC147&gt;'Calculs Péremption FA'!$CB29, 'Calculs Péremption FA'!$CB29-Paramétrage!$D$29, AE147)))</f>
        <v/>
      </c>
      <c r="AM147" s="425" t="str">
        <f>IF(ISERROR(AC147),"", IF(AC147=0, "", IF(AC147&gt;'Calculs Péremption FA'!$CB29, Paramétrage!$D$29, AF147)))</f>
        <v/>
      </c>
      <c r="AN147" s="247" t="str">
        <f>IF(ISERROR(AC147),Z147, IF(AC147=0, "", IF(AC147&gt;'Calculs Péremption FA'!$CB29, 'Calculs Péremption FA'!$BX29-Paramétrage!$D$29*(365/12), AG147)))</f>
        <v/>
      </c>
      <c r="AO147" s="248" t="str">
        <f>IF(ISERROR(AC147),AA147, IF(AC147=0, "", IF(AC147&gt;'Calculs Péremption FA'!$CB29, CONCATENATE('TRAD-Calculs dispo Données FA'!$B$88, " - ", 'Calculs Péremption FA'!$BY29, "/", 'Calculs Péremption FA'!$BZ29, "/", 'Calculs Péremption FA'!$CA29), AH147)))</f>
        <v/>
      </c>
      <c r="AP147" s="2140"/>
      <c r="AQ147" s="2141"/>
      <c r="AS147" s="2061">
        <f>Calculs!$O284</f>
        <v>0</v>
      </c>
      <c r="AT147" s="2062">
        <f>Calculs!$O175</f>
        <v>0</v>
      </c>
      <c r="AU147" s="2068">
        <f>Calculs!$N229</f>
        <v>0</v>
      </c>
      <c r="AV147" s="2070" t="str">
        <f>IF(AND(AU147=0, AS147=0, AT147=0), 'TRAD-Calculs dispo Données FA'!$B$82, "")</f>
        <v>Stock et besoin nul</v>
      </c>
      <c r="AW147" s="2062" t="str">
        <f>IF(AND(AU147=0, AS147&gt;0, AT147=0), CONCATENATE(AS147, " ", 'TRAD-Calculs dispo Données FA'!$B$80, " =0"), "")</f>
        <v/>
      </c>
      <c r="AX147" s="2063" t="str">
        <f>IF(AND(AS147=0, OR(AT147&gt;=1, AU147&gt;=1)),'TRAD-Calculs dispo Données FA'!$B$81, "")</f>
        <v/>
      </c>
    </row>
    <row r="148" spans="3:50" s="358" customFormat="1" ht="25.5" x14ac:dyDescent="0.2">
      <c r="C148" s="374"/>
      <c r="D148" s="375"/>
      <c r="E148" s="376" t="str">
        <f>'Saisie données stocks'!F42</f>
        <v>AZT</v>
      </c>
      <c r="F148" s="377" t="str">
        <f>'Saisie données stocks'!G42</f>
        <v>Cp</v>
      </c>
      <c r="G148" s="383" t="str">
        <f>'Saisie données stocks'!H42</f>
        <v>300 mg</v>
      </c>
      <c r="H148" s="378" t="str">
        <f>CONCATENATE(E148, " - ", G148, " - ", 'TRAD-Calculs dispo Données FA'!$B$79,"/", K148)</f>
        <v>AZT - 300 mg - B/60</v>
      </c>
      <c r="I148" s="380">
        <f>Calculs!K125</f>
        <v>2</v>
      </c>
      <c r="J148" s="380">
        <f t="shared" si="22"/>
        <v>60</v>
      </c>
      <c r="K148" s="114">
        <f>Calculs!J125</f>
        <v>60</v>
      </c>
      <c r="L148" s="381">
        <f t="shared" si="23"/>
        <v>1</v>
      </c>
      <c r="M148" s="1820">
        <f>IF('Saisie données stocks'!$O$10='TRAD-Saisie données stocks'!$B$51, 'Calculs Péremption FA'!BU30, Calculs!M285)+IF('Saisie données stocks'!$M$76='TRAD-Saisie données stocks'!$B$51, Calculs!N285, "0")</f>
        <v>0</v>
      </c>
      <c r="N148" s="1820">
        <f>Calculs!O176</f>
        <v>0</v>
      </c>
      <c r="O148" s="1820">
        <f>Calculs!N230</f>
        <v>0</v>
      </c>
      <c r="P148"/>
      <c r="Q148" s="231" t="e">
        <f>IF(Calculs!N230&gt;0, (-(Calculs!N230+2*Calculs!O176)+SQRT((Calculs!N230+2*Calculs!O176)*(Calculs!N230+2*Calculs!O176)+8*Calculs!N230*(M148)))/(2*Calculs!N230), ((M148)/Calculs!O176))</f>
        <v>#DIV/0!</v>
      </c>
      <c r="R148" s="231" t="e">
        <f>Q148-Paramétrage!$D$29</f>
        <v>#DIV/0!</v>
      </c>
      <c r="S148" s="236" t="e">
        <f>IF(Q148&lt;Paramétrage!$D$29, Q148, Paramétrage!$D$29)</f>
        <v>#DIV/0!</v>
      </c>
      <c r="T148" s="247" t="e">
        <f>Paramétrage!$H$19+R148*(365/12)</f>
        <v>#DIV/0!</v>
      </c>
      <c r="U148" s="248" t="e">
        <f>IF(Q148&lt;Paramétrage!$D$29, Paramétrage!$H$19+S148*(365/12), Paramétrage!$H$19+Q148*(365/12))</f>
        <v>#DIV/0!</v>
      </c>
      <c r="W148" s="231" t="str">
        <f>IF(ISERROR(Q148),"", IF(Q148=0, "", IF(Q148&gt;'Calculs Péremption FA'!$CB30, 'Calculs Péremption FA'!$CB30, Q148)))</f>
        <v/>
      </c>
      <c r="X148" s="582" t="str">
        <f>IF(ISERROR(Q148),"", IF(Q148=0, "", IF(Q148&gt;'Calculs Péremption FA'!$CB30, 'Calculs Péremption FA'!$CB30-Paramétrage!$D$29, R148)))</f>
        <v/>
      </c>
      <c r="Y148" s="236" t="str">
        <f t="shared" si="26"/>
        <v/>
      </c>
      <c r="Z148" s="247" t="str">
        <f>IF(ISERROR(Q148),"", IF(Q148=0, "", IF(Q148&gt;'Calculs Péremption FA'!$CB30, 'Calculs Péremption FA'!$BX30-Paramétrage!$D$29*(365/12), T148)))</f>
        <v/>
      </c>
      <c r="AA148" s="248" t="str">
        <f>IF(ISERROR(Q148),AW148,IF(Q148=0,IF(AND(M148=0,OR(N148&gt;0,O148&gt;0)),AX148,""),IF('Saisie données stocks'!$O$10='TRAD-Saisie données stocks'!$B$51,IF('Calculs Péremption FA'!P30="OK",IF('Calculs Péremption FA'!BV30&gt;0,CONCATENATE('TRAD-Calculs dispo Données FA'!$B$88, " - ",'Calculs Péremption FA'!$BY30,"/",'Calculs Péremption FA'!$BZ30,"/",'Calculs Péremption FA'!$CA30),U148),IF(Q148&gt;'Saisie données stocks'!$N$14,'Calculs Péremption FA'!CC30,U148)),IF(Q148&gt;'Saisie données stocks'!$N$14,'Calculs Péremption FA'!CC30,U148))))</f>
        <v/>
      </c>
      <c r="AC148" s="231" t="e">
        <f>(Calculs!O285)/Calculs!O176</f>
        <v>#DIV/0!</v>
      </c>
      <c r="AD148" s="231" t="e">
        <f t="shared" si="24"/>
        <v>#DIV/0!</v>
      </c>
      <c r="AE148" s="236" t="e">
        <f>AC148-Paramétrage!$D$29</f>
        <v>#DIV/0!</v>
      </c>
      <c r="AF148" s="241" t="e">
        <f>IF(AC148&lt;Paramétrage!$D$29, AC148, Paramétrage!$D$29)</f>
        <v>#DIV/0!</v>
      </c>
      <c r="AG148" s="247" t="e">
        <f>Paramétrage!$H$19+AE148*(365/12)</f>
        <v>#DIV/0!</v>
      </c>
      <c r="AH148" s="248" t="e">
        <f>IF(AC148&lt;Paramétrage!$D$29, Paramétrage!$H$19+AF148*(365/12), Paramétrage!$H$19+AC148*(365/12))</f>
        <v>#DIV/0!</v>
      </c>
      <c r="AJ148" s="231" t="str">
        <f>IF(ISERROR(AC148),"", IF(AC148=0, "", IF(AC148&gt;'Calculs Péremption FA'!$CB30, 'Calculs Péremption FA'!$CB30, AC148)))</f>
        <v/>
      </c>
      <c r="AK148" s="582" t="str">
        <f t="shared" si="25"/>
        <v/>
      </c>
      <c r="AL148" s="236" t="str">
        <f>IF(ISERROR(AC148),"", IF(AC148=0, "", IF(AC148&gt;'Calculs Péremption FA'!$CB30, 'Calculs Péremption FA'!$CB30-Paramétrage!$D$29, AE148)))</f>
        <v/>
      </c>
      <c r="AM148" s="425" t="str">
        <f>IF(ISERROR(AC148),"", IF(AC148=0, "", IF(AC148&gt;'Calculs Péremption FA'!$CB30, Paramétrage!$D$29, AF148)))</f>
        <v/>
      </c>
      <c r="AN148" s="247" t="str">
        <f>IF(ISERROR(AC148),Z148, IF(AC148=0, "", IF(AC148&gt;'Calculs Péremption FA'!$CB30, 'Calculs Péremption FA'!$BX30-Paramétrage!$D$29*(365/12), AG148)))</f>
        <v/>
      </c>
      <c r="AO148" s="248" t="str">
        <f>IF(ISERROR(AC148),AA148, IF(AC148=0, "", IF(AC148&gt;'Calculs Péremption FA'!$CB30, CONCATENATE('TRAD-Calculs dispo Données FA'!$B$88, " - ", 'Calculs Péremption FA'!$BY30, "/", 'Calculs Péremption FA'!$BZ30, "/", 'Calculs Péremption FA'!$CA30), AH148)))</f>
        <v/>
      </c>
      <c r="AP148" s="2140"/>
      <c r="AQ148" s="2141"/>
      <c r="AS148" s="2061">
        <f>Calculs!$O285</f>
        <v>0</v>
      </c>
      <c r="AT148" s="2062">
        <f>Calculs!$O176</f>
        <v>0</v>
      </c>
      <c r="AU148" s="2068">
        <f>Calculs!$N230</f>
        <v>0</v>
      </c>
      <c r="AV148" s="2070" t="str">
        <f>IF(AND(AU148=0, AS148=0, AT148=0), 'TRAD-Calculs dispo Données FA'!$B$82, "")</f>
        <v>Stock et besoin nul</v>
      </c>
      <c r="AW148" s="2062" t="str">
        <f>IF(AND(AU148=0, AS148&gt;0, AT148=0), CONCATENATE(AS148, " ", 'TRAD-Calculs dispo Données FA'!$B$80, " =0"), "")</f>
        <v/>
      </c>
      <c r="AX148" s="2063" t="str">
        <f>IF(AND(AS148=0, OR(AT148&gt;=1, AU148&gt;=1)),'TRAD-Calculs dispo Données FA'!$B$81, "")</f>
        <v/>
      </c>
    </row>
    <row r="149" spans="3:50" s="358" customFormat="1" ht="25.5" x14ac:dyDescent="0.2">
      <c r="C149" s="374"/>
      <c r="D149" s="375"/>
      <c r="E149" s="376" t="str">
        <f>'Saisie données stocks'!F43</f>
        <v>AZT</v>
      </c>
      <c r="F149" s="377" t="str">
        <f>'Saisie données stocks'!G43</f>
        <v>Cp</v>
      </c>
      <c r="G149" s="1208" t="str">
        <f>'Saisie données stocks'!H43</f>
        <v>100 mg</v>
      </c>
      <c r="H149" s="378" t="str">
        <f>CONCATENATE(E149, " - ", G149, " - ", 'TRAD-Calculs dispo Données FA'!$B$79,"/", K149)</f>
        <v>AZT - 100 mg - B/100</v>
      </c>
      <c r="I149" s="380">
        <f>Calculs!K126</f>
        <v>0</v>
      </c>
      <c r="J149" s="380">
        <f t="shared" si="22"/>
        <v>0</v>
      </c>
      <c r="K149" s="114">
        <f>Calculs!J126</f>
        <v>100</v>
      </c>
      <c r="L149" s="381">
        <f t="shared" si="23"/>
        <v>0</v>
      </c>
      <c r="M149" s="1820">
        <f>IF('Saisie données stocks'!$O$10='TRAD-Saisie données stocks'!$B$51, 'Calculs Péremption FA'!BU31, Calculs!M286)+IF('Saisie données stocks'!$M$76='TRAD-Saisie données stocks'!$B$51, Calculs!N286, "0")</f>
        <v>0</v>
      </c>
      <c r="N149" s="1820">
        <f>Calculs!O177</f>
        <v>0</v>
      </c>
      <c r="O149" s="1820">
        <f>Calculs!N231</f>
        <v>0</v>
      </c>
      <c r="P149"/>
      <c r="Q149" s="231" t="e">
        <f>IF(Calculs!N231&gt;0, (-(Calculs!N231+2*Calculs!O177)+SQRT((Calculs!N231+2*Calculs!O177)*(Calculs!N231+2*Calculs!O177)+8*Calculs!N231*(M149)))/(2*Calculs!N231), ((M149)/Calculs!O177))</f>
        <v>#DIV/0!</v>
      </c>
      <c r="R149" s="231" t="e">
        <f>Q149-Paramétrage!$D$29</f>
        <v>#DIV/0!</v>
      </c>
      <c r="S149" s="236" t="e">
        <f>IF(Q149&lt;Paramétrage!$D$29, Q149, Paramétrage!$D$29)</f>
        <v>#DIV/0!</v>
      </c>
      <c r="T149" s="247" t="e">
        <f>Paramétrage!$H$19+R149*(365/12)</f>
        <v>#DIV/0!</v>
      </c>
      <c r="U149" s="248" t="e">
        <f>IF(Q149&lt;Paramétrage!$D$29, Paramétrage!$H$19+S149*(365/12), Paramétrage!$H$19+Q149*(365/12))</f>
        <v>#DIV/0!</v>
      </c>
      <c r="W149" s="231" t="str">
        <f>IF(ISERROR(Q149),"", IF(Q149=0, "", IF(Q149&gt;'Calculs Péremption FA'!$CB31, 'Calculs Péremption FA'!$CB31, Q149)))</f>
        <v/>
      </c>
      <c r="X149" s="582" t="str">
        <f>IF(ISERROR(Q149),"", IF(Q149=0, "", IF(Q149&gt;'Calculs Péremption FA'!$CB31, 'Calculs Péremption FA'!$CB31-Paramétrage!$D$29, R149)))</f>
        <v/>
      </c>
      <c r="Y149" s="236" t="str">
        <f t="shared" si="26"/>
        <v/>
      </c>
      <c r="Z149" s="247" t="str">
        <f>IF(ISERROR(Q149),"", IF(Q149=0, "", IF(Q149&gt;'Calculs Péremption FA'!$CB31, 'Calculs Péremption FA'!$BX31-Paramétrage!$D$29*(365/12), T149)))</f>
        <v/>
      </c>
      <c r="AA149" s="248" t="str">
        <f>IF(ISERROR(Q149),AW149,IF(Q149=0,IF(AND(M149=0,OR(N149&gt;0,O149&gt;0)),AX149,""),IF('Saisie données stocks'!$O$10='TRAD-Saisie données stocks'!$B$51,IF('Calculs Péremption FA'!P31="OK",IF('Calculs Péremption FA'!BV31&gt;0,CONCATENATE('TRAD-Calculs dispo Données FA'!$B$88, " - ",'Calculs Péremption FA'!$BY31,"/",'Calculs Péremption FA'!$BZ31,"/",'Calculs Péremption FA'!$CA31),U149),IF(Q149&gt;'Saisie données stocks'!$N$14,'Calculs Péremption FA'!CC31,U149)),IF(Q149&gt;'Saisie données stocks'!$N$14,'Calculs Péremption FA'!CC31,U149))))</f>
        <v/>
      </c>
      <c r="AC149" s="231" t="e">
        <f>(Calculs!O286)/Calculs!O177</f>
        <v>#DIV/0!</v>
      </c>
      <c r="AD149" s="231" t="e">
        <f t="shared" si="24"/>
        <v>#DIV/0!</v>
      </c>
      <c r="AE149" s="236" t="e">
        <f>AC149-Paramétrage!$D$29</f>
        <v>#DIV/0!</v>
      </c>
      <c r="AF149" s="241" t="e">
        <f>IF(AC149&lt;Paramétrage!$D$29, AC149, Paramétrage!$D$29)</f>
        <v>#DIV/0!</v>
      </c>
      <c r="AG149" s="247" t="e">
        <f>Paramétrage!$H$19+AE149*(365/12)</f>
        <v>#DIV/0!</v>
      </c>
      <c r="AH149" s="248" t="e">
        <f>IF(AC149&lt;Paramétrage!$D$29, Paramétrage!$H$19+AF149*(365/12), Paramétrage!$H$19+AC149*(365/12))</f>
        <v>#DIV/0!</v>
      </c>
      <c r="AJ149" s="231" t="str">
        <f>IF(ISERROR(AC149),"", IF(AC149=0, "", IF(AC149&gt;'Calculs Péremption FA'!$CB31, 'Calculs Péremption FA'!$CB31, AC149)))</f>
        <v/>
      </c>
      <c r="AK149" s="582" t="str">
        <f t="shared" si="25"/>
        <v/>
      </c>
      <c r="AL149" s="236" t="str">
        <f>IF(ISERROR(AC149),"", IF(AC149=0, "", IF(AC149&gt;'Calculs Péremption FA'!$CB31, 'Calculs Péremption FA'!$CB31-Paramétrage!$D$29, AE149)))</f>
        <v/>
      </c>
      <c r="AM149" s="425" t="str">
        <f>IF(ISERROR(AC149),"", IF(AC149=0, "", IF(AC149&gt;'Calculs Péremption FA'!$CB31, Paramétrage!$D$29, AF149)))</f>
        <v/>
      </c>
      <c r="AN149" s="247" t="str">
        <f>IF(ISERROR(AC149),Z149, IF(AC149=0, "", IF(AC149&gt;'Calculs Péremption FA'!$CB31, 'Calculs Péremption FA'!$BX31-Paramétrage!$D$29*(365/12), AG149)))</f>
        <v/>
      </c>
      <c r="AO149" s="248" t="str">
        <f>IF(ISERROR(AC149),AA149, IF(AC149=0, "", IF(AC149&gt;'Calculs Péremption FA'!$CB31, CONCATENATE('TRAD-Calculs dispo Données FA'!$B$88, " - ", 'Calculs Péremption FA'!$BY31, "/", 'Calculs Péremption FA'!$BZ31, "/", 'Calculs Péremption FA'!$CA31), AH149)))</f>
        <v/>
      </c>
      <c r="AP149" s="2140"/>
      <c r="AQ149" s="2141"/>
      <c r="AS149" s="2061">
        <f>Calculs!$O286</f>
        <v>0</v>
      </c>
      <c r="AT149" s="2062">
        <f>Calculs!$O177</f>
        <v>0</v>
      </c>
      <c r="AU149" s="2068">
        <f>Calculs!$N231</f>
        <v>0</v>
      </c>
      <c r="AV149" s="2070" t="str">
        <f>IF(AND(AU149=0, AS149=0, AT149=0), 'TRAD-Calculs dispo Données FA'!$B$82, "")</f>
        <v>Stock et besoin nul</v>
      </c>
      <c r="AW149" s="2062" t="str">
        <f>IF(AND(AU149=0, AS149&gt;0, AT149=0), CONCATENATE(AS149, " ", 'TRAD-Calculs dispo Données FA'!$B$80, " =0"), "")</f>
        <v/>
      </c>
      <c r="AX149" s="2063" t="str">
        <f>IF(AND(AS149=0, OR(AT149&gt;=1, AU149&gt;=1)),'TRAD-Calculs dispo Données FA'!$B$81, "")</f>
        <v/>
      </c>
    </row>
    <row r="150" spans="3:50" s="358" customFormat="1" ht="25.5" x14ac:dyDescent="0.2">
      <c r="C150" s="374"/>
      <c r="D150" s="375"/>
      <c r="E150" s="376" t="str">
        <f>'Saisie données stocks'!F44</f>
        <v>AZT</v>
      </c>
      <c r="F150" s="377" t="str">
        <f>'Saisie données stocks'!G44</f>
        <v>Cp</v>
      </c>
      <c r="G150" s="1208" t="str">
        <f>'Saisie données stocks'!H44</f>
        <v>60 mg</v>
      </c>
      <c r="H150" s="378" t="str">
        <f>CONCATENATE(E150, " - ", G150, " - ", 'TRAD-Calculs dispo Données FA'!$B$79,"/", K150)</f>
        <v>AZT - 60 mg - B/60</v>
      </c>
      <c r="I150" s="380">
        <f>Calculs!K127</f>
        <v>2</v>
      </c>
      <c r="J150" s="380">
        <f t="shared" si="22"/>
        <v>60</v>
      </c>
      <c r="K150" s="114">
        <f>Calculs!J127</f>
        <v>60</v>
      </c>
      <c r="L150" s="381">
        <f t="shared" si="23"/>
        <v>1</v>
      </c>
      <c r="M150" s="1820">
        <f>IF('Saisie données stocks'!$O$10='TRAD-Saisie données stocks'!$B$51, 'Calculs Péremption FA'!BU32, Calculs!M287)+IF('Saisie données stocks'!$M$76='TRAD-Saisie données stocks'!$B$51, Calculs!N287, "0")</f>
        <v>0</v>
      </c>
      <c r="N150" s="1820">
        <f>Calculs!O178</f>
        <v>0</v>
      </c>
      <c r="O150" s="1820">
        <f>Calculs!N232</f>
        <v>0</v>
      </c>
      <c r="P150"/>
      <c r="Q150" s="231" t="e">
        <f>IF(Calculs!N232&gt;0, (-(Calculs!N232+2*Calculs!O178)+SQRT((Calculs!N232+2*Calculs!O178)*(Calculs!N232+2*Calculs!O178)+8*Calculs!N232*(M150)))/(2*Calculs!N232), ((M150)/Calculs!O178))</f>
        <v>#DIV/0!</v>
      </c>
      <c r="R150" s="231" t="e">
        <f>Q150-Paramétrage!$D$29</f>
        <v>#DIV/0!</v>
      </c>
      <c r="S150" s="236" t="e">
        <f>IF(Q150&lt;Paramétrage!$D$29, Q150, Paramétrage!$D$29)</f>
        <v>#DIV/0!</v>
      </c>
      <c r="T150" s="247" t="e">
        <f>Paramétrage!$H$19+R150*(365/12)</f>
        <v>#DIV/0!</v>
      </c>
      <c r="U150" s="248" t="e">
        <f>IF(Q150&lt;Paramétrage!$D$29, Paramétrage!$H$19+S150*(365/12), Paramétrage!$H$19+Q150*(365/12))</f>
        <v>#DIV/0!</v>
      </c>
      <c r="W150" s="231" t="str">
        <f>IF(ISERROR(Q150),"", IF(Q150=0, "", IF(Q150&gt;'Calculs Péremption FA'!$CB32, 'Calculs Péremption FA'!$CB32, Q150)))</f>
        <v/>
      </c>
      <c r="X150" s="582" t="str">
        <f>IF(ISERROR(Q150),"", IF(Q150=0, "", IF(Q150&gt;'Calculs Péremption FA'!$CB32, 'Calculs Péremption FA'!$CB32-Paramétrage!$D$29, R150)))</f>
        <v/>
      </c>
      <c r="Y150" s="236" t="str">
        <f t="shared" si="26"/>
        <v/>
      </c>
      <c r="Z150" s="247" t="str">
        <f>IF(ISERROR(Q150),"", IF(Q150=0, "", IF(Q150&gt;'Calculs Péremption FA'!$CB32, 'Calculs Péremption FA'!$BX32-Paramétrage!$D$29*(365/12), T150)))</f>
        <v/>
      </c>
      <c r="AA150" s="248" t="str">
        <f>IF(ISERROR(Q150),AW150,IF(Q150=0,IF(AND(M150=0,OR(N150&gt;0,O150&gt;0)),AX150,""),IF('Saisie données stocks'!$O$10='TRAD-Saisie données stocks'!$B$51,IF('Calculs Péremption FA'!P32="OK",IF('Calculs Péremption FA'!BV32&gt;0,CONCATENATE('TRAD-Calculs dispo Données FA'!$B$88, " - ",'Calculs Péremption FA'!$BY32,"/",'Calculs Péremption FA'!$BZ32,"/",'Calculs Péremption FA'!$CA32),U150),IF(Q150&gt;'Saisie données stocks'!$N$14,'Calculs Péremption FA'!CC32,U150)),IF(Q150&gt;'Saisie données stocks'!$N$14,'Calculs Péremption FA'!CC32,U150))))</f>
        <v/>
      </c>
      <c r="AC150" s="231" t="e">
        <f>(Calculs!O287)/Calculs!O178</f>
        <v>#DIV/0!</v>
      </c>
      <c r="AD150" s="231" t="e">
        <f t="shared" si="24"/>
        <v>#DIV/0!</v>
      </c>
      <c r="AE150" s="236" t="e">
        <f>AC150-Paramétrage!$D$29</f>
        <v>#DIV/0!</v>
      </c>
      <c r="AF150" s="241" t="e">
        <f>IF(AC150&lt;Paramétrage!$D$29, AC150, Paramétrage!$D$29)</f>
        <v>#DIV/0!</v>
      </c>
      <c r="AG150" s="247" t="e">
        <f>Paramétrage!$H$19+AE150*(365/12)</f>
        <v>#DIV/0!</v>
      </c>
      <c r="AH150" s="248" t="e">
        <f>IF(AC150&lt;Paramétrage!$D$29, Paramétrage!$H$19+AF150*(365/12), Paramétrage!$H$19+AC150*(365/12))</f>
        <v>#DIV/0!</v>
      </c>
      <c r="AJ150" s="231" t="str">
        <f>IF(ISERROR(AC150),"", IF(AC150=0, "", IF(AC150&gt;'Calculs Péremption FA'!$CB32, 'Calculs Péremption FA'!$CB32, AC150)))</f>
        <v/>
      </c>
      <c r="AK150" s="582" t="str">
        <f t="shared" si="25"/>
        <v/>
      </c>
      <c r="AL150" s="236" t="str">
        <f>IF(ISERROR(AC150),"", IF(AC150=0, "", IF(AC150&gt;'Calculs Péremption FA'!$CB32, 'Calculs Péremption FA'!$CB32-Paramétrage!$D$29, AE150)))</f>
        <v/>
      </c>
      <c r="AM150" s="425" t="str">
        <f>IF(ISERROR(AC150),"", IF(AC150=0, "", IF(AC150&gt;'Calculs Péremption FA'!$CB32, Paramétrage!$D$29, AF150)))</f>
        <v/>
      </c>
      <c r="AN150" s="247" t="str">
        <f>IF(ISERROR(AC150),Z150, IF(AC150=0, "", IF(AC150&gt;'Calculs Péremption FA'!$CB32, 'Calculs Péremption FA'!$BX32-Paramétrage!$D$29*(365/12), AG150)))</f>
        <v/>
      </c>
      <c r="AO150" s="248" t="str">
        <f>IF(ISERROR(AC150),AA150, IF(AC150=0, "", IF(AC150&gt;'Calculs Péremption FA'!$CB32, CONCATENATE('TRAD-Calculs dispo Données FA'!$B$88, " - ", 'Calculs Péremption FA'!$BY32, "/", 'Calculs Péremption FA'!$BZ32, "/", 'Calculs Péremption FA'!$CA32), AH150)))</f>
        <v/>
      </c>
      <c r="AP150" s="2140"/>
      <c r="AQ150" s="2141"/>
      <c r="AS150" s="2061">
        <f>Calculs!$O287</f>
        <v>0</v>
      </c>
      <c r="AT150" s="2062">
        <f>Calculs!$O178</f>
        <v>0</v>
      </c>
      <c r="AU150" s="2068">
        <f>Calculs!$N232</f>
        <v>0</v>
      </c>
      <c r="AV150" s="2070" t="str">
        <f>IF(AND(AU150=0, AS150=0, AT150=0), 'TRAD-Calculs dispo Données FA'!$B$82, "")</f>
        <v>Stock et besoin nul</v>
      </c>
      <c r="AW150" s="2062" t="str">
        <f>IF(AND(AU150=0, AS150&gt;0, AT150=0), CONCATENATE(AS150, " ", 'TRAD-Calculs dispo Données FA'!$B$80, " =0"), "")</f>
        <v/>
      </c>
      <c r="AX150" s="2063" t="str">
        <f>IF(AND(AS150=0, OR(AT150&gt;=1, AU150&gt;=1)),'TRAD-Calculs dispo Données FA'!$B$81, "")</f>
        <v/>
      </c>
    </row>
    <row r="151" spans="3:50" s="358" customFormat="1" ht="25.5" x14ac:dyDescent="0.2">
      <c r="C151" s="374"/>
      <c r="D151" s="375"/>
      <c r="E151" s="376" t="str">
        <f>'Saisie données stocks'!F45</f>
        <v>D4T</v>
      </c>
      <c r="F151" s="377" t="str">
        <f>'Saisie données stocks'!G45</f>
        <v>Cp</v>
      </c>
      <c r="G151" s="383" t="str">
        <f>'Saisie données stocks'!H45</f>
        <v>30 mg</v>
      </c>
      <c r="H151" s="378" t="str">
        <f>CONCATENATE(E151, " - ", G151, " - ", 'TRAD-Calculs dispo Données FA'!$B$79,"/", K151)</f>
        <v>D4T - 30 mg - B/60</v>
      </c>
      <c r="I151" s="380">
        <f>Calculs!K128</f>
        <v>2</v>
      </c>
      <c r="J151" s="380">
        <f t="shared" si="22"/>
        <v>60</v>
      </c>
      <c r="K151" s="114">
        <f>Calculs!J128</f>
        <v>60</v>
      </c>
      <c r="L151" s="381">
        <f t="shared" si="23"/>
        <v>1</v>
      </c>
      <c r="M151" s="1820">
        <f>IF('Saisie données stocks'!$O$10='TRAD-Saisie données stocks'!$B$51, 'Calculs Péremption FA'!BU33, Calculs!M288)+IF('Saisie données stocks'!$M$76='TRAD-Saisie données stocks'!$B$51, Calculs!N288, "0")</f>
        <v>0</v>
      </c>
      <c r="N151" s="1820">
        <f>Calculs!O179</f>
        <v>0</v>
      </c>
      <c r="O151" s="1820">
        <f>Calculs!N233</f>
        <v>0</v>
      </c>
      <c r="P151"/>
      <c r="Q151" s="231" t="e">
        <f>IF(Calculs!N233&gt;0, (-(Calculs!N233+2*Calculs!O179)+SQRT((Calculs!N233+2*Calculs!O179)*(Calculs!N233+2*Calculs!O179)+8*Calculs!N233*(M151)))/(2*Calculs!N233), ((M151)/Calculs!O179))</f>
        <v>#DIV/0!</v>
      </c>
      <c r="R151" s="231" t="e">
        <f>Q151-Paramétrage!$D$29</f>
        <v>#DIV/0!</v>
      </c>
      <c r="S151" s="236" t="e">
        <f>IF(Q151&lt;Paramétrage!$D$29, Q151, Paramétrage!$D$29)</f>
        <v>#DIV/0!</v>
      </c>
      <c r="T151" s="247" t="e">
        <f>Paramétrage!$H$19+R151*(365/12)</f>
        <v>#DIV/0!</v>
      </c>
      <c r="U151" s="248" t="e">
        <f>IF(Q151&lt;Paramétrage!$D$29, Paramétrage!$H$19+S151*(365/12), Paramétrage!$H$19+Q151*(365/12))</f>
        <v>#DIV/0!</v>
      </c>
      <c r="W151" s="231" t="str">
        <f>IF(ISERROR(Q151),"", IF(Q151=0, "", IF(Q151&gt;'Calculs Péremption FA'!$CB33, 'Calculs Péremption FA'!$CB33, Q151)))</f>
        <v/>
      </c>
      <c r="X151" s="582" t="str">
        <f>IF(ISERROR(Q151),"", IF(Q151=0, "", IF(Q151&gt;'Calculs Péremption FA'!$CB33, 'Calculs Péremption FA'!$CB33-Paramétrage!$D$29, R151)))</f>
        <v/>
      </c>
      <c r="Y151" s="236" t="str">
        <f t="shared" si="26"/>
        <v/>
      </c>
      <c r="Z151" s="247" t="str">
        <f>IF(ISERROR(Q151),"", IF(Q151=0, "", IF(Q151&gt;'Calculs Péremption FA'!$CB33, 'Calculs Péremption FA'!$BX33-Paramétrage!$D$29*(365/12), T151)))</f>
        <v/>
      </c>
      <c r="AA151" s="248" t="str">
        <f>IF(ISERROR(Q151),AW151,IF(Q151=0,IF(AND(M151=0,OR(N151&gt;0,O151&gt;0)),AX151,""),IF('Saisie données stocks'!$O$10='TRAD-Saisie données stocks'!$B$51,IF('Calculs Péremption FA'!P33="OK",IF('Calculs Péremption FA'!BV33&gt;0,CONCATENATE('TRAD-Calculs dispo Données FA'!$B$88, " - ",'Calculs Péremption FA'!$BY33,"/",'Calculs Péremption FA'!$BZ33,"/",'Calculs Péremption FA'!$CA33),U151),IF(Q151&gt;'Saisie données stocks'!$N$14,'Calculs Péremption FA'!CC33,U151)),IF(Q151&gt;'Saisie données stocks'!$N$14,'Calculs Péremption FA'!CC33,U151))))</f>
        <v/>
      </c>
      <c r="AC151" s="231" t="e">
        <f>(Calculs!O288)/Calculs!O179</f>
        <v>#DIV/0!</v>
      </c>
      <c r="AD151" s="231" t="e">
        <f t="shared" si="24"/>
        <v>#DIV/0!</v>
      </c>
      <c r="AE151" s="236" t="e">
        <f>AC151-Paramétrage!$D$29</f>
        <v>#DIV/0!</v>
      </c>
      <c r="AF151" s="241" t="e">
        <f>IF(AC151&lt;Paramétrage!$D$29, AC151, Paramétrage!$D$29)</f>
        <v>#DIV/0!</v>
      </c>
      <c r="AG151" s="247" t="e">
        <f>Paramétrage!$H$19+AE151*(365/12)</f>
        <v>#DIV/0!</v>
      </c>
      <c r="AH151" s="248" t="e">
        <f>IF(AC151&lt;Paramétrage!$D$29, Paramétrage!$H$19+AF151*(365/12), Paramétrage!$H$19+AC151*(365/12))</f>
        <v>#DIV/0!</v>
      </c>
      <c r="AJ151" s="231" t="str">
        <f>IF(ISERROR(AC151),"", IF(AC151=0, "", IF(AC151&gt;'Calculs Péremption FA'!$CB33, 'Calculs Péremption FA'!$CB33, AC151)))</f>
        <v/>
      </c>
      <c r="AK151" s="582" t="str">
        <f t="shared" si="25"/>
        <v/>
      </c>
      <c r="AL151" s="236" t="str">
        <f>IF(ISERROR(AC151),"", IF(AC151=0, "", IF(AC151&gt;'Calculs Péremption FA'!$CB33, 'Calculs Péremption FA'!$CB33-Paramétrage!$D$29, AE151)))</f>
        <v/>
      </c>
      <c r="AM151" s="425" t="str">
        <f>IF(ISERROR(AC151),"", IF(AC151=0, "", IF(AC151&gt;'Calculs Péremption FA'!$CB33, Paramétrage!$D$29, AF151)))</f>
        <v/>
      </c>
      <c r="AN151" s="247" t="str">
        <f>IF(ISERROR(AC151),Z151, IF(AC151=0, "", IF(AC151&gt;'Calculs Péremption FA'!$CB33, 'Calculs Péremption FA'!$BX33-Paramétrage!$D$29*(365/12), AG151)))</f>
        <v/>
      </c>
      <c r="AO151" s="248" t="str">
        <f>IF(ISERROR(AC151),AA151, IF(AC151=0, "", IF(AC151&gt;'Calculs Péremption FA'!$CB33, CONCATENATE('TRAD-Calculs dispo Données FA'!$B$88, " - ", 'Calculs Péremption FA'!$BY33, "/", 'Calculs Péremption FA'!$BZ33, "/", 'Calculs Péremption FA'!$CA33), AH151)))</f>
        <v/>
      </c>
      <c r="AP151" s="2140"/>
      <c r="AQ151" s="2141"/>
      <c r="AS151" s="2061">
        <f>Calculs!$O288</f>
        <v>0</v>
      </c>
      <c r="AT151" s="2062">
        <f>Calculs!$O179</f>
        <v>0</v>
      </c>
      <c r="AU151" s="2068">
        <f>Calculs!$N233</f>
        <v>0</v>
      </c>
      <c r="AV151" s="2070" t="str">
        <f>IF(AND(AU151=0, AS151=0, AT151=0), 'TRAD-Calculs dispo Données FA'!$B$82, "")</f>
        <v>Stock et besoin nul</v>
      </c>
      <c r="AW151" s="2062" t="str">
        <f>IF(AND(AU151=0, AS151&gt;0, AT151=0), CONCATENATE(AS151, " ", 'TRAD-Calculs dispo Données FA'!$B$80, " =0"), "")</f>
        <v/>
      </c>
      <c r="AX151" s="2063" t="str">
        <f>IF(AND(AS151=0, OR(AT151&gt;=1, AU151&gt;=1)),'TRAD-Calculs dispo Données FA'!$B$81, "")</f>
        <v/>
      </c>
    </row>
    <row r="152" spans="3:50" s="358" customFormat="1" ht="25.5" x14ac:dyDescent="0.2">
      <c r="C152" s="374"/>
      <c r="D152" s="375"/>
      <c r="E152" s="376" t="str">
        <f>'Saisie données stocks'!F46</f>
        <v>3TC</v>
      </c>
      <c r="F152" s="377" t="str">
        <f>'Saisie données stocks'!G46</f>
        <v>Cp</v>
      </c>
      <c r="G152" s="1208" t="str">
        <f>'Saisie données stocks'!H46</f>
        <v>150 mg</v>
      </c>
      <c r="H152" s="378" t="str">
        <f>CONCATENATE(E152, " - ", G152, " - ", 'TRAD-Calculs dispo Données FA'!$B$79,"/", K152)</f>
        <v>3TC - 150 mg - B/60</v>
      </c>
      <c r="I152" s="380">
        <f>Calculs!K129</f>
        <v>2</v>
      </c>
      <c r="J152" s="380">
        <f t="shared" si="22"/>
        <v>60</v>
      </c>
      <c r="K152" s="114">
        <f>Calculs!J129</f>
        <v>60</v>
      </c>
      <c r="L152" s="381">
        <f t="shared" si="23"/>
        <v>1</v>
      </c>
      <c r="M152" s="1820">
        <f>IF('Saisie données stocks'!$O$10='TRAD-Saisie données stocks'!$B$51, 'Calculs Péremption FA'!BU34, Calculs!M289)+IF('Saisie données stocks'!$M$76='TRAD-Saisie données stocks'!$B$51, Calculs!N289, "0")</f>
        <v>0</v>
      </c>
      <c r="N152" s="1820">
        <f>Calculs!O180</f>
        <v>0</v>
      </c>
      <c r="O152" s="1820">
        <f>Calculs!N234</f>
        <v>0</v>
      </c>
      <c r="P152"/>
      <c r="Q152" s="231" t="e">
        <f>IF(Calculs!N234&gt;0, (-(Calculs!N234+2*Calculs!O180)+SQRT((Calculs!N234+2*Calculs!O180)*(Calculs!N234+2*Calculs!O180)+8*Calculs!N234*(M152)))/(2*Calculs!N234), ((M152)/Calculs!O180))</f>
        <v>#DIV/0!</v>
      </c>
      <c r="R152" s="231" t="e">
        <f>Q152-Paramétrage!$D$29</f>
        <v>#DIV/0!</v>
      </c>
      <c r="S152" s="236" t="e">
        <f>IF(Q152&lt;Paramétrage!$D$29, Q152, Paramétrage!$D$29)</f>
        <v>#DIV/0!</v>
      </c>
      <c r="T152" s="247" t="e">
        <f>Paramétrage!$H$19+R152*(365/12)</f>
        <v>#DIV/0!</v>
      </c>
      <c r="U152" s="248" t="e">
        <f>IF(Q152&lt;Paramétrage!$D$29, Paramétrage!$H$19+S152*(365/12), Paramétrage!$H$19+Q152*(365/12))</f>
        <v>#DIV/0!</v>
      </c>
      <c r="W152" s="231" t="str">
        <f>IF(ISERROR(Q152),"", IF(Q152=0, "", IF(Q152&gt;'Calculs Péremption FA'!$CB34, 'Calculs Péremption FA'!$CB34, Q152)))</f>
        <v/>
      </c>
      <c r="X152" s="582" t="str">
        <f>IF(ISERROR(Q152),"", IF(Q152=0, "", IF(Q152&gt;'Calculs Péremption FA'!$CB34, 'Calculs Péremption FA'!$CB34-Paramétrage!$D$29, R152)))</f>
        <v/>
      </c>
      <c r="Y152" s="236" t="str">
        <f t="shared" si="26"/>
        <v/>
      </c>
      <c r="Z152" s="247" t="str">
        <f>IF(ISERROR(Q152),"", IF(Q152=0, "", IF(Q152&gt;'Calculs Péremption FA'!$CB34, 'Calculs Péremption FA'!$BX34-Paramétrage!$D$29*(365/12), T152)))</f>
        <v/>
      </c>
      <c r="AA152" s="248" t="str">
        <f>IF(ISERROR(Q152),AW152,IF(Q152=0,IF(AND(M152=0,OR(N152&gt;0,O152&gt;0)),AX152,""),IF('Saisie données stocks'!$O$10='TRAD-Saisie données stocks'!$B$51,IF('Calculs Péremption FA'!P34="OK",IF('Calculs Péremption FA'!BV34&gt;0,CONCATENATE('TRAD-Calculs dispo Données FA'!$B$88, " - ",'Calculs Péremption FA'!$BY34,"/",'Calculs Péremption FA'!$BZ34,"/",'Calculs Péremption FA'!$CA34),U152),IF(Q152&gt;'Saisie données stocks'!$N$14,'Calculs Péremption FA'!CC34,U152)),IF(Q152&gt;'Saisie données stocks'!$N$14,'Calculs Péremption FA'!CC34,U152))))</f>
        <v/>
      </c>
      <c r="AC152" s="231" t="e">
        <f>(Calculs!O289)/Calculs!O180</f>
        <v>#DIV/0!</v>
      </c>
      <c r="AD152" s="231" t="e">
        <f t="shared" si="24"/>
        <v>#DIV/0!</v>
      </c>
      <c r="AE152" s="236" t="e">
        <f>AC152-Paramétrage!$D$29</f>
        <v>#DIV/0!</v>
      </c>
      <c r="AF152" s="241" t="e">
        <f>IF(AC152&lt;Paramétrage!$D$29, AC152, Paramétrage!$D$29)</f>
        <v>#DIV/0!</v>
      </c>
      <c r="AG152" s="247" t="e">
        <f>Paramétrage!$H$19+AE152*(365/12)</f>
        <v>#DIV/0!</v>
      </c>
      <c r="AH152" s="248" t="e">
        <f>IF(AC152&lt;Paramétrage!$D$29, Paramétrage!$H$19+AF152*(365/12), Paramétrage!$H$19+AC152*(365/12))</f>
        <v>#DIV/0!</v>
      </c>
      <c r="AJ152" s="231" t="str">
        <f>IF(ISERROR(AC152),"", IF(AC152=0, "", IF(AC152&gt;'Calculs Péremption FA'!$CB34, 'Calculs Péremption FA'!$CB34, AC152)))</f>
        <v/>
      </c>
      <c r="AK152" s="582" t="str">
        <f t="shared" si="25"/>
        <v/>
      </c>
      <c r="AL152" s="236" t="str">
        <f>IF(ISERROR(AC152),"", IF(AC152=0, "", IF(AC152&gt;'Calculs Péremption FA'!$CB34, 'Calculs Péremption FA'!$CB34-Paramétrage!$D$29, AE152)))</f>
        <v/>
      </c>
      <c r="AM152" s="425" t="str">
        <f>IF(ISERROR(AC152),"", IF(AC152=0, "", IF(AC152&gt;'Calculs Péremption FA'!$CB34, Paramétrage!$D$29, AF152)))</f>
        <v/>
      </c>
      <c r="AN152" s="247" t="str">
        <f>IF(ISERROR(AC152),Z152, IF(AC152=0, "", IF(AC152&gt;'Calculs Péremption FA'!$CB34, 'Calculs Péremption FA'!$BX34-Paramétrage!$D$29*(365/12), AG152)))</f>
        <v/>
      </c>
      <c r="AO152" s="248" t="str">
        <f>IF(ISERROR(AC152),AA152, IF(AC152=0, "", IF(AC152&gt;'Calculs Péremption FA'!$CB34, CONCATENATE('TRAD-Calculs dispo Données FA'!$B$88, " - ", 'Calculs Péremption FA'!$BY34, "/", 'Calculs Péremption FA'!$BZ34, "/", 'Calculs Péremption FA'!$CA34), AH152)))</f>
        <v/>
      </c>
      <c r="AP152" s="2140"/>
      <c r="AQ152" s="2141"/>
      <c r="AS152" s="2061">
        <f>Calculs!$O289</f>
        <v>0</v>
      </c>
      <c r="AT152" s="2062">
        <f>Calculs!$O180</f>
        <v>0</v>
      </c>
      <c r="AU152" s="2068">
        <f>Calculs!$N234</f>
        <v>0</v>
      </c>
      <c r="AV152" s="2070" t="str">
        <f>IF(AND(AU152=0, AS152=0, AT152=0), 'TRAD-Calculs dispo Données FA'!$B$82, "")</f>
        <v>Stock et besoin nul</v>
      </c>
      <c r="AW152" s="2062" t="str">
        <f>IF(AND(AU152=0, AS152&gt;0, AT152=0), CONCATENATE(AS152, " ", 'TRAD-Calculs dispo Données FA'!$B$80, " =0"), "")</f>
        <v/>
      </c>
      <c r="AX152" s="2063" t="str">
        <f>IF(AND(AS152=0, OR(AT152&gt;=1, AU152&gt;=1)),'TRAD-Calculs dispo Données FA'!$B$81, "")</f>
        <v/>
      </c>
    </row>
    <row r="153" spans="3:50" s="358" customFormat="1" ht="25.5" x14ac:dyDescent="0.2">
      <c r="C153" s="374"/>
      <c r="D153" s="375"/>
      <c r="E153" s="376" t="str">
        <f>'Saisie données stocks'!F47</f>
        <v>3TC</v>
      </c>
      <c r="F153" s="377" t="str">
        <f>'Saisie données stocks'!G47</f>
        <v>Cp</v>
      </c>
      <c r="G153" s="383" t="str">
        <f>'Saisie données stocks'!H47</f>
        <v>30 mg</v>
      </c>
      <c r="H153" s="378" t="str">
        <f>CONCATENATE(E153, " - ", G153, " - ", 'TRAD-Calculs dispo Données FA'!$B$79,"/", K153)</f>
        <v>3TC - 30 mg - B/60</v>
      </c>
      <c r="I153" s="380">
        <f>Calculs!K130</f>
        <v>2</v>
      </c>
      <c r="J153" s="380">
        <f t="shared" si="22"/>
        <v>60</v>
      </c>
      <c r="K153" s="114">
        <f>Calculs!J130</f>
        <v>60</v>
      </c>
      <c r="L153" s="381">
        <f t="shared" si="23"/>
        <v>1</v>
      </c>
      <c r="M153" s="1820">
        <f>IF('Saisie données stocks'!$O$10='TRAD-Saisie données stocks'!$B$51, 'Calculs Péremption FA'!BU35, Calculs!M290)+IF('Saisie données stocks'!$M$76='TRAD-Saisie données stocks'!$B$51, Calculs!N290, "0")</f>
        <v>0</v>
      </c>
      <c r="N153" s="1820">
        <f>Calculs!O181</f>
        <v>0</v>
      </c>
      <c r="O153" s="1820">
        <f>Calculs!N235</f>
        <v>0</v>
      </c>
      <c r="P153"/>
      <c r="Q153" s="231" t="e">
        <f>IF(Calculs!N235&gt;0, (-(Calculs!N235+2*Calculs!O181)+SQRT((Calculs!N235+2*Calculs!O181)*(Calculs!N235+2*Calculs!O181)+8*Calculs!N235*(M153)))/(2*Calculs!N235), ((M153)/Calculs!O181))</f>
        <v>#DIV/0!</v>
      </c>
      <c r="R153" s="231" t="e">
        <f>Q153-Paramétrage!$D$29</f>
        <v>#DIV/0!</v>
      </c>
      <c r="S153" s="236" t="e">
        <f>IF(Q153&lt;Paramétrage!$D$29, Q153, Paramétrage!$D$29)</f>
        <v>#DIV/0!</v>
      </c>
      <c r="T153" s="247" t="e">
        <f>Paramétrage!$H$19+R153*(365/12)</f>
        <v>#DIV/0!</v>
      </c>
      <c r="U153" s="248" t="e">
        <f>IF(Q153&lt;Paramétrage!$D$29, Paramétrage!$H$19+S153*(365/12), Paramétrage!$H$19+Q153*(365/12))</f>
        <v>#DIV/0!</v>
      </c>
      <c r="W153" s="231" t="str">
        <f>IF(ISERROR(Q153),"", IF(Q153=0, "", IF(Q153&gt;'Calculs Péremption FA'!$CB35, 'Calculs Péremption FA'!$CB35, Q153)))</f>
        <v/>
      </c>
      <c r="X153" s="582" t="str">
        <f>IF(ISERROR(Q153),"", IF(Q153=0, "", IF(Q153&gt;'Calculs Péremption FA'!$CB35, 'Calculs Péremption FA'!$CB35-Paramétrage!$D$29, R153)))</f>
        <v/>
      </c>
      <c r="Y153" s="236" t="str">
        <f t="shared" si="26"/>
        <v/>
      </c>
      <c r="Z153" s="247" t="str">
        <f>IF(ISERROR(Q153),"", IF(Q153=0, "", IF(Q153&gt;'Calculs Péremption FA'!$CB35, 'Calculs Péremption FA'!$BX35-Paramétrage!$D$29*(365/12), T153)))</f>
        <v/>
      </c>
      <c r="AA153" s="248" t="str">
        <f>IF(ISERROR(Q153),AW153,IF(Q153=0,IF(AND(M153=0,OR(N153&gt;0,O153&gt;0)),AX153,""),IF('Saisie données stocks'!$O$10='TRAD-Saisie données stocks'!$B$51,IF('Calculs Péremption FA'!P35="OK",IF('Calculs Péremption FA'!BV35&gt;0,CONCATENATE('TRAD-Calculs dispo Données FA'!$B$88, " - ",'Calculs Péremption FA'!$BY35,"/",'Calculs Péremption FA'!$BZ35,"/",'Calculs Péremption FA'!$CA35),U153),IF(Q153&gt;'Saisie données stocks'!$N$14,'Calculs Péremption FA'!CC35,U153)),IF(Q153&gt;'Saisie données stocks'!$N$14,'Calculs Péremption FA'!CC35,U153))))</f>
        <v/>
      </c>
      <c r="AC153" s="231" t="e">
        <f>(Calculs!O290)/Calculs!O181</f>
        <v>#DIV/0!</v>
      </c>
      <c r="AD153" s="231" t="e">
        <f t="shared" si="24"/>
        <v>#DIV/0!</v>
      </c>
      <c r="AE153" s="236" t="e">
        <f>AC153-Paramétrage!$D$29</f>
        <v>#DIV/0!</v>
      </c>
      <c r="AF153" s="241" t="e">
        <f>IF(AC153&lt;Paramétrage!$D$29, AC153, Paramétrage!$D$29)</f>
        <v>#DIV/0!</v>
      </c>
      <c r="AG153" s="247" t="e">
        <f>Paramétrage!$H$19+AE153*(365/12)</f>
        <v>#DIV/0!</v>
      </c>
      <c r="AH153" s="248" t="e">
        <f>IF(AC153&lt;Paramétrage!$D$29, Paramétrage!$H$19+AF153*(365/12), Paramétrage!$H$19+AC153*(365/12))</f>
        <v>#DIV/0!</v>
      </c>
      <c r="AJ153" s="231" t="str">
        <f>IF(ISERROR(AC153),"", IF(AC153=0, "", IF(AC153&gt;'Calculs Péremption FA'!$CB35, 'Calculs Péremption FA'!$CB35, AC153)))</f>
        <v/>
      </c>
      <c r="AK153" s="582" t="str">
        <f t="shared" si="25"/>
        <v/>
      </c>
      <c r="AL153" s="236" t="str">
        <f>IF(ISERROR(AC153),"", IF(AC153=0, "", IF(AC153&gt;'Calculs Péremption FA'!$CB35, 'Calculs Péremption FA'!$CB35-Paramétrage!$D$29, AE153)))</f>
        <v/>
      </c>
      <c r="AM153" s="425" t="str">
        <f>IF(ISERROR(AC153),"", IF(AC153=0, "", IF(AC153&gt;'Calculs Péremption FA'!$CB35, Paramétrage!$D$29, AF153)))</f>
        <v/>
      </c>
      <c r="AN153" s="247" t="str">
        <f>IF(ISERROR(AC153),Z153, IF(AC153=0, "", IF(AC153&gt;'Calculs Péremption FA'!$CB35, 'Calculs Péremption FA'!$BX35-Paramétrage!$D$29*(365/12), AG153)))</f>
        <v/>
      </c>
      <c r="AO153" s="248" t="str">
        <f>IF(ISERROR(AC153),AA153, IF(AC153=0, "", IF(AC153&gt;'Calculs Péremption FA'!$CB35, CONCATENATE('TRAD-Calculs dispo Données FA'!$B$88, " - ", 'Calculs Péremption FA'!$BY35, "/", 'Calculs Péremption FA'!$BZ35, "/", 'Calculs Péremption FA'!$CA35), AH153)))</f>
        <v/>
      </c>
      <c r="AP153" s="2140"/>
      <c r="AQ153" s="2141"/>
      <c r="AS153" s="2061">
        <f>Calculs!$O290</f>
        <v>0</v>
      </c>
      <c r="AT153" s="2062">
        <f>Calculs!$O181</f>
        <v>0</v>
      </c>
      <c r="AU153" s="2068">
        <f>Calculs!$N235</f>
        <v>0</v>
      </c>
      <c r="AV153" s="2070" t="str">
        <f>IF(AND(AU153=0, AS153=0, AT153=0), 'TRAD-Calculs dispo Données FA'!$B$82, "")</f>
        <v>Stock et besoin nul</v>
      </c>
      <c r="AW153" s="2062" t="str">
        <f>IF(AND(AU153=0, AS153&gt;0, AT153=0), CONCATENATE(AS153, " ", 'TRAD-Calculs dispo Données FA'!$B$80, " =0"), "")</f>
        <v/>
      </c>
      <c r="AX153" s="2063" t="str">
        <f>IF(AND(AS153=0, OR(AT153&gt;=1, AU153&gt;=1)),'TRAD-Calculs dispo Données FA'!$B$81, "")</f>
        <v/>
      </c>
    </row>
    <row r="154" spans="3:50" s="358" customFormat="1" ht="25.5" x14ac:dyDescent="0.2">
      <c r="C154" s="374"/>
      <c r="D154" s="375"/>
      <c r="E154" s="382" t="str">
        <f>'Saisie données stocks'!F48</f>
        <v>DDI</v>
      </c>
      <c r="F154" s="383" t="str">
        <f>'Saisie données stocks'!G48</f>
        <v>Cp</v>
      </c>
      <c r="G154" s="383" t="str">
        <f>'Saisie données stocks'!H48</f>
        <v>250 mg</v>
      </c>
      <c r="H154" s="384" t="str">
        <f>CONCATENATE(E154, " - ", G154, " - ", 'TRAD-Calculs dispo Données FA'!$B$79,"/", K154)</f>
        <v>DDI - 250 mg - B/30</v>
      </c>
      <c r="I154" s="386">
        <f>Calculs!K131</f>
        <v>1</v>
      </c>
      <c r="J154" s="386">
        <f t="shared" si="22"/>
        <v>30</v>
      </c>
      <c r="K154" s="115">
        <f>Calculs!J131</f>
        <v>30</v>
      </c>
      <c r="L154" s="387">
        <f t="shared" si="23"/>
        <v>1</v>
      </c>
      <c r="M154" s="1820">
        <f>IF('Saisie données stocks'!$O$10='TRAD-Saisie données stocks'!$B$51, 'Calculs Péremption FA'!BU36, Calculs!M291)+IF('Saisie données stocks'!$M$76='TRAD-Saisie données stocks'!$B$51, Calculs!N291, "0")</f>
        <v>0</v>
      </c>
      <c r="N154" s="1820">
        <f>Calculs!O182</f>
        <v>0</v>
      </c>
      <c r="O154" s="1820">
        <f>Calculs!N236</f>
        <v>0</v>
      </c>
      <c r="P154"/>
      <c r="Q154" s="231" t="e">
        <f>IF(Calculs!N236&gt;0, (-(Calculs!N236+2*Calculs!O182)+SQRT((Calculs!N236+2*Calculs!O182)*(Calculs!N236+2*Calculs!O182)+8*Calculs!N236*(M154)))/(2*Calculs!N236), ((M154)/Calculs!O182))</f>
        <v>#DIV/0!</v>
      </c>
      <c r="R154" s="231" t="e">
        <f>Q154-Paramétrage!$D$29</f>
        <v>#DIV/0!</v>
      </c>
      <c r="S154" s="237" t="e">
        <f>IF(Q154&lt;Paramétrage!$D$29, Q154, Paramétrage!$D$29)</f>
        <v>#DIV/0!</v>
      </c>
      <c r="T154" s="249" t="e">
        <f>Paramétrage!$H$19+R154*(365/12)</f>
        <v>#DIV/0!</v>
      </c>
      <c r="U154" s="250" t="e">
        <f>IF(Q154&lt;Paramétrage!$D$29, Paramétrage!$H$19+S154*(365/12), Paramétrage!$H$19+Q154*(365/12))</f>
        <v>#DIV/0!</v>
      </c>
      <c r="W154" s="231" t="str">
        <f>IF(ISERROR(Q154),"", IF(Q154=0, "", IF(Q154&gt;'Calculs Péremption FA'!$CB36, 'Calculs Péremption FA'!$CB36, Q154)))</f>
        <v/>
      </c>
      <c r="X154" s="582" t="str">
        <f>IF(ISERROR(Q154),"", IF(Q154=0, "", IF(Q154&gt;'Calculs Péremption FA'!$CB36, 'Calculs Péremption FA'!$CB36-Paramétrage!$D$29, R154)))</f>
        <v/>
      </c>
      <c r="Y154" s="237" t="str">
        <f t="shared" si="26"/>
        <v/>
      </c>
      <c r="Z154" s="249" t="str">
        <f>IF(ISERROR(Q154),"", IF(Q154=0, "", IF(Q154&gt;'Calculs Péremption FA'!$CB36, 'Calculs Péremption FA'!$BX36-Paramétrage!$D$29*(365/12), T154)))</f>
        <v/>
      </c>
      <c r="AA154" s="250" t="str">
        <f>IF(ISERROR(Q154),AW154,IF(Q154=0,IF(AND(M154=0,OR(N154&gt;0,O154&gt;0)),AX154,""),IF('Saisie données stocks'!$O$10='TRAD-Saisie données stocks'!$B$51,IF('Calculs Péremption FA'!P36="OK",IF('Calculs Péremption FA'!BV36&gt;0,CONCATENATE('TRAD-Calculs dispo Données FA'!$B$88, " - ",'Calculs Péremption FA'!$BY36,"/",'Calculs Péremption FA'!$BZ36,"/",'Calculs Péremption FA'!$CA36),U154),IF(Q154&gt;'Saisie données stocks'!$N$14,'Calculs Péremption FA'!CC36,U154)),IF(Q154&gt;'Saisie données stocks'!$N$14,'Calculs Péremption FA'!CC36,U154))))</f>
        <v/>
      </c>
      <c r="AC154" s="231" t="e">
        <f>(Calculs!O291)/Calculs!O182</f>
        <v>#DIV/0!</v>
      </c>
      <c r="AD154" s="231" t="e">
        <f t="shared" si="24"/>
        <v>#DIV/0!</v>
      </c>
      <c r="AE154" s="237" t="e">
        <f>AC154-Paramétrage!$D$29</f>
        <v>#DIV/0!</v>
      </c>
      <c r="AF154" s="242" t="e">
        <f>IF(AC154&lt;Paramétrage!$D$29, AC154, Paramétrage!$D$29)</f>
        <v>#DIV/0!</v>
      </c>
      <c r="AG154" s="249" t="e">
        <f>Paramétrage!$H$19+AE154*(365/12)</f>
        <v>#DIV/0!</v>
      </c>
      <c r="AH154" s="250" t="e">
        <f>IF(AC154&lt;Paramétrage!$D$29, Paramétrage!$H$19+AF154*(365/12), Paramétrage!$H$19+AC154*(365/12))</f>
        <v>#DIV/0!</v>
      </c>
      <c r="AJ154" s="231" t="str">
        <f>IF(ISERROR(AC154),"", IF(AC154=0, "", IF(AC154&gt;'Calculs Péremption FA'!$CB36, 'Calculs Péremption FA'!$CB36, AC154)))</f>
        <v/>
      </c>
      <c r="AK154" s="582" t="str">
        <f t="shared" si="25"/>
        <v/>
      </c>
      <c r="AL154" s="237" t="str">
        <f>IF(ISERROR(AC154),"", IF(AC154=0, "", IF(AC154&gt;'Calculs Péremption FA'!$CB36, 'Calculs Péremption FA'!$CB36-Paramétrage!$D$29, AE154)))</f>
        <v/>
      </c>
      <c r="AM154" s="426" t="str">
        <f>IF(ISERROR(AC154),"", IF(AC154=0, "", IF(AC154&gt;'Calculs Péremption FA'!$CB36, Paramétrage!$D$29, AF154)))</f>
        <v/>
      </c>
      <c r="AN154" s="249" t="str">
        <f>IF(ISERROR(AC154),Z154, IF(AC154=0, "", IF(AC154&gt;'Calculs Péremption FA'!$CB36, 'Calculs Péremption FA'!$BX36-Paramétrage!$D$29*(365/12), AG154)))</f>
        <v/>
      </c>
      <c r="AO154" s="250" t="str">
        <f>IF(ISERROR(AC154),AA154, IF(AC154=0, "", IF(AC154&gt;'Calculs Péremption FA'!$CB36, CONCATENATE('TRAD-Calculs dispo Données FA'!$B$88, " - ", 'Calculs Péremption FA'!$BY36, "/", 'Calculs Péremption FA'!$BZ36, "/", 'Calculs Péremption FA'!$CA36), AH154)))</f>
        <v/>
      </c>
      <c r="AP154" s="2140"/>
      <c r="AQ154" s="2141"/>
      <c r="AS154" s="2061">
        <f>Calculs!$O291</f>
        <v>0</v>
      </c>
      <c r="AT154" s="2062">
        <f>Calculs!$O182</f>
        <v>0</v>
      </c>
      <c r="AU154" s="2068">
        <f>Calculs!$N236</f>
        <v>0</v>
      </c>
      <c r="AV154" s="2070" t="str">
        <f>IF(AND(AU154=0, AS154=0, AT154=0), 'TRAD-Calculs dispo Données FA'!$B$82, "")</f>
        <v>Stock et besoin nul</v>
      </c>
      <c r="AW154" s="2062" t="str">
        <f>IF(AND(AU154=0, AS154&gt;0, AT154=0), CONCATENATE(AS154, " ", 'TRAD-Calculs dispo Données FA'!$B$80, " =0"), "")</f>
        <v/>
      </c>
      <c r="AX154" s="2063" t="str">
        <f>IF(AND(AS154=0, OR(AT154&gt;=1, AU154&gt;=1)),'TRAD-Calculs dispo Données FA'!$B$81, "")</f>
        <v/>
      </c>
    </row>
    <row r="155" spans="3:50" s="358" customFormat="1" x14ac:dyDescent="0.2">
      <c r="C155" s="374"/>
      <c r="D155" s="375"/>
      <c r="E155" s="382" t="str">
        <f>'Saisie données stocks'!F49</f>
        <v>DDI</v>
      </c>
      <c r="F155" s="383" t="str">
        <f>'Saisie données stocks'!G49</f>
        <v>Cp</v>
      </c>
      <c r="G155" s="397" t="str">
        <f>'Saisie données stocks'!H49</f>
        <v>400 mg</v>
      </c>
      <c r="H155" s="384" t="str">
        <f>CONCATENATE(E155, " - ", G155, " - ", 'TRAD-Calculs dispo Données FA'!$B$79,"/", K155)</f>
        <v>DDI - 400 mg - B/30</v>
      </c>
      <c r="I155" s="399">
        <f>Calculs!K132</f>
        <v>1</v>
      </c>
      <c r="J155" s="399">
        <f t="shared" si="22"/>
        <v>30</v>
      </c>
      <c r="K155" s="117">
        <f>Calculs!J132</f>
        <v>30</v>
      </c>
      <c r="L155" s="400">
        <f t="shared" si="23"/>
        <v>1</v>
      </c>
      <c r="M155" s="1823">
        <f>IF('Saisie données stocks'!$O$10='TRAD-Saisie données stocks'!$B$51, 'Calculs Péremption FA'!BU37, Calculs!M292)+IF('Saisie données stocks'!$M$76='TRAD-Saisie données stocks'!$B$51, Calculs!N292, "0")</f>
        <v>0</v>
      </c>
      <c r="N155" s="1871">
        <f>Calculs!O183</f>
        <v>0</v>
      </c>
      <c r="O155" s="1871">
        <f>Calculs!N237</f>
        <v>0</v>
      </c>
      <c r="P155"/>
      <c r="Q155" s="234" t="e">
        <f>IF(Calculs!N237&gt;0, (-(Calculs!N237+2*Calculs!O183)+SQRT((Calculs!N237+2*Calculs!O183)*(Calculs!N237+2*Calculs!O183)+8*Calculs!N237*(M155)))/(2*Calculs!N237), ((M155)/Calculs!O183))</f>
        <v>#DIV/0!</v>
      </c>
      <c r="R155" s="234" t="e">
        <f>Q155-Paramétrage!$D$29</f>
        <v>#DIV/0!</v>
      </c>
      <c r="S155" s="237" t="e">
        <f>IF(Q155&lt;Paramétrage!$D$29, Q155, Paramétrage!$D$29)</f>
        <v>#DIV/0!</v>
      </c>
      <c r="T155" s="253" t="e">
        <f>Paramétrage!$H$19+R155*(365/12)</f>
        <v>#DIV/0!</v>
      </c>
      <c r="U155" s="254" t="e">
        <f>IF(Q155&lt;Paramétrage!$D$29, Paramétrage!$H$19+S155*(365/12), Paramétrage!$H$19+Q155*(365/12))</f>
        <v>#DIV/0!</v>
      </c>
      <c r="W155" s="234" t="str">
        <f>IF(ISERROR(Q155),"", IF(Q155=0, "", IF(Q155&gt;'Calculs Péremption FA'!$CB37, 'Calculs Péremption FA'!$CB37, Q155)))</f>
        <v/>
      </c>
      <c r="X155" s="584" t="str">
        <f>IF(ISERROR(Q155),"", IF(Q155=0, "", IF(Q155&gt;'Calculs Péremption FA'!$CB37, 'Calculs Péremption FA'!$CB37-Paramétrage!$D$29, R155)))</f>
        <v/>
      </c>
      <c r="Y155" s="237" t="str">
        <f t="shared" si="26"/>
        <v/>
      </c>
      <c r="Z155" s="253" t="str">
        <f>IF(ISERROR(Q155),"", IF(Q155=0, "", IF(Q155&gt;'Calculs Péremption FA'!$CB37, 'Calculs Péremption FA'!$BX37-Paramétrage!$D$29*(365/12), T155)))</f>
        <v/>
      </c>
      <c r="AA155" s="254" t="str">
        <f>IF(ISERROR(Q155),AW155,IF(Q155=0,IF(AND(M155=0,OR(N155&gt;0,O155&gt;0)),AX155,""),IF('Saisie données stocks'!$O$10='TRAD-Saisie données stocks'!$B$51,IF('Calculs Péremption FA'!P37="OK",IF('Calculs Péremption FA'!BV37&gt;0,CONCATENATE('TRAD-Calculs dispo Données FA'!$B$88, " - ",'Calculs Péremption FA'!$BY37,"/",'Calculs Péremption FA'!$BZ37,"/",'Calculs Péremption FA'!$CA37),U155),IF(Q155&gt;'Saisie données stocks'!$N$14,'Calculs Péremption FA'!CC37,U155)),IF(Q155&gt;'Saisie données stocks'!$N$14,'Calculs Péremption FA'!CC37,U155))))</f>
        <v>956 B &amp; conso =0</v>
      </c>
      <c r="AC155" s="234" t="e">
        <f>(Calculs!O292)/Calculs!O183</f>
        <v>#DIV/0!</v>
      </c>
      <c r="AD155" s="234" t="e">
        <f t="shared" si="24"/>
        <v>#DIV/0!</v>
      </c>
      <c r="AE155" s="237" t="e">
        <f>AC155-Paramétrage!$D$29</f>
        <v>#DIV/0!</v>
      </c>
      <c r="AF155" s="242" t="e">
        <f>IF(AC155&lt;Paramétrage!$D$29, AC155, Paramétrage!$D$29)</f>
        <v>#DIV/0!</v>
      </c>
      <c r="AG155" s="253" t="e">
        <f>Paramétrage!$H$19+AE155*(365/12)</f>
        <v>#DIV/0!</v>
      </c>
      <c r="AH155" s="254" t="e">
        <f>IF(AC155&lt;Paramétrage!$D$29, Paramétrage!$H$19+AF155*(365/12), Paramétrage!$H$19+AC155*(365/12))</f>
        <v>#DIV/0!</v>
      </c>
      <c r="AJ155" s="234" t="str">
        <f>IF(ISERROR(AC155),"", IF(AC155=0, "", IF(AC155&gt;'Calculs Péremption FA'!$CB37, 'Calculs Péremption FA'!$CB37, AC155)))</f>
        <v/>
      </c>
      <c r="AK155" s="584" t="str">
        <f t="shared" si="25"/>
        <v/>
      </c>
      <c r="AL155" s="237" t="str">
        <f>IF(ISERROR(AC155),"", IF(AC155=0, "", IF(AC155&gt;'Calculs Péremption FA'!$CB37, 'Calculs Péremption FA'!$CB37-Paramétrage!$D$29, AE155)))</f>
        <v/>
      </c>
      <c r="AM155" s="426" t="str">
        <f>IF(ISERROR(AC155),"", IF(AC155=0, "", IF(AC155&gt;'Calculs Péremption FA'!$CB37, Paramétrage!$D$29, AF155)))</f>
        <v/>
      </c>
      <c r="AN155" s="253" t="str">
        <f>IF(ISERROR(AC155),Z155, IF(AC155=0, "", IF(AC155&gt;'Calculs Péremption FA'!$CB37, 'Calculs Péremption FA'!$BX37-Paramétrage!$D$29*(365/12), AG155)))</f>
        <v/>
      </c>
      <c r="AO155" s="254" t="str">
        <f>IF(ISERROR(AC155),AA155, IF(AC155=0, "", IF(AC155&gt;'Calculs Péremption FA'!$CB37, CONCATENATE('TRAD-Calculs dispo Données FA'!$B$88, " - ", 'Calculs Péremption FA'!$BY37, "/", 'Calculs Péremption FA'!$BZ37, "/", 'Calculs Péremption FA'!$CA37), AH155)))</f>
        <v>956 B &amp; conso =0</v>
      </c>
      <c r="AP155" s="2140"/>
      <c r="AQ155" s="2141"/>
      <c r="AS155" s="2061">
        <f>Calculs!$O292</f>
        <v>956</v>
      </c>
      <c r="AT155" s="2062">
        <f>Calculs!$O183</f>
        <v>0</v>
      </c>
      <c r="AU155" s="2068">
        <f>Calculs!$N237</f>
        <v>0</v>
      </c>
      <c r="AV155" s="2070" t="str">
        <f>IF(AND(AU155=0, AS155=0, AT155=0), 'TRAD-Calculs dispo Données FA'!$B$82, "")</f>
        <v/>
      </c>
      <c r="AW155" s="2062" t="str">
        <f>IF(AND(AU155=0, AS155&gt;0, AT155=0), CONCATENATE(AS155, " ", 'TRAD-Calculs dispo Données FA'!$B$80, " =0"), "")</f>
        <v>956 B &amp; conso =0</v>
      </c>
      <c r="AX155" s="2063" t="str">
        <f>IF(AND(AS155=0, OR(AT155&gt;=1, AU155&gt;=1)),'TRAD-Calculs dispo Données FA'!$B$81, "")</f>
        <v/>
      </c>
    </row>
    <row r="156" spans="3:50" s="358" customFormat="1" ht="25.5" x14ac:dyDescent="0.2">
      <c r="C156" s="388"/>
      <c r="D156" s="389"/>
      <c r="E156" s="390" t="str">
        <f>'Saisie données stocks'!F50</f>
        <v>TDF</v>
      </c>
      <c r="F156" s="391" t="str">
        <f>'Saisie données stocks'!G50</f>
        <v>Cp</v>
      </c>
      <c r="G156" s="391" t="str">
        <f>'Saisie données stocks'!H50</f>
        <v>300 mg</v>
      </c>
      <c r="H156" s="401" t="str">
        <f>CONCATENATE(E156, " - ", G156, " - ", 'TRAD-Calculs dispo Données FA'!$B$79,"/", K156)</f>
        <v>TDF - 300 mg - B/30</v>
      </c>
      <c r="I156" s="394">
        <f>Calculs!K133</f>
        <v>1</v>
      </c>
      <c r="J156" s="394">
        <f t="shared" si="22"/>
        <v>30</v>
      </c>
      <c r="K156" s="116">
        <f>Calculs!J133</f>
        <v>30</v>
      </c>
      <c r="L156" s="395">
        <f t="shared" si="23"/>
        <v>1</v>
      </c>
      <c r="M156" s="1822">
        <f>IF('Saisie données stocks'!$O$10='TRAD-Saisie données stocks'!$B$51, 'Calculs Péremption FA'!BU38, Calculs!M293)+IF('Saisie données stocks'!$M$76='TRAD-Saisie données stocks'!$B$51, Calculs!N293, "0")</f>
        <v>0</v>
      </c>
      <c r="N156" s="1822">
        <f>Calculs!O184</f>
        <v>0</v>
      </c>
      <c r="O156" s="1822">
        <f>Calculs!N238</f>
        <v>0</v>
      </c>
      <c r="P156"/>
      <c r="Q156" s="233" t="e">
        <f>IF(Calculs!N238&gt;0, (-(Calculs!N238+2*Calculs!O184)+SQRT((Calculs!N238+2*Calculs!O184)*(Calculs!N238+2*Calculs!O184)+8*Calculs!N238*(M156)))/(2*Calculs!N238), ((M156)/Calculs!O184))</f>
        <v>#DIV/0!</v>
      </c>
      <c r="R156" s="233" t="e">
        <f>Q156-Paramétrage!$D$29</f>
        <v>#DIV/0!</v>
      </c>
      <c r="S156" s="238" t="e">
        <f>IF(Q156&lt;Paramétrage!$D$29, Q156, Paramétrage!$D$29)</f>
        <v>#DIV/0!</v>
      </c>
      <c r="T156" s="251" t="e">
        <f>Paramétrage!$H$19+R156*(365/12)</f>
        <v>#DIV/0!</v>
      </c>
      <c r="U156" s="252" t="e">
        <f>IF(Q156&lt;Paramétrage!$D$29, Paramétrage!$H$19+S156*(365/12), Paramétrage!$H$19+Q156*(365/12))</f>
        <v>#DIV/0!</v>
      </c>
      <c r="W156" s="233" t="str">
        <f>IF(ISERROR(Q156),"", IF(Q156=0, "", IF(Q156&gt;'Calculs Péremption FA'!$CB38, 'Calculs Péremption FA'!$CB38, Q156)))</f>
        <v/>
      </c>
      <c r="X156" s="575" t="str">
        <f>IF(ISERROR(Q156),"", IF(Q156=0, "", IF(Q156&gt;'Calculs Péremption FA'!$CB38, 'Calculs Péremption FA'!$CB38-Paramétrage!$D$29, R156)))</f>
        <v/>
      </c>
      <c r="Y156" s="238" t="str">
        <f t="shared" si="26"/>
        <v/>
      </c>
      <c r="Z156" s="251" t="str">
        <f>IF(ISERROR(Q156),"", IF(Q156=0, "", IF(Q156&gt;'Calculs Péremption FA'!$CB38, 'Calculs Péremption FA'!$BX38-Paramétrage!$D$29*(365/12), T156)))</f>
        <v/>
      </c>
      <c r="AA156" s="252" t="str">
        <f>IF(ISERROR(Q156),AW156,IF(Q156=0,IF(AND(M156=0,OR(N156&gt;0,O156&gt;0)),AX156,""),IF('Saisie données stocks'!$O$10='TRAD-Saisie données stocks'!$B$51,IF('Calculs Péremption FA'!P38="OK",IF('Calculs Péremption FA'!BV38&gt;0,CONCATENATE('TRAD-Calculs dispo Données FA'!$B$88, " - ",'Calculs Péremption FA'!$BY38,"/",'Calculs Péremption FA'!$BZ38,"/",'Calculs Péremption FA'!$CA38),U156),IF(Q156&gt;'Saisie données stocks'!$N$14,'Calculs Péremption FA'!CC38,U156)),IF(Q156&gt;'Saisie données stocks'!$N$14,'Calculs Péremption FA'!CC38,U156))))</f>
        <v/>
      </c>
      <c r="AC156" s="233" t="e">
        <f>(Calculs!O293)/Calculs!O184</f>
        <v>#DIV/0!</v>
      </c>
      <c r="AD156" s="233" t="e">
        <f t="shared" si="24"/>
        <v>#DIV/0!</v>
      </c>
      <c r="AE156" s="238" t="e">
        <f>AC156-Paramétrage!$D$29</f>
        <v>#DIV/0!</v>
      </c>
      <c r="AF156" s="427" t="e">
        <f>IF(AC156&lt;Paramétrage!$D$29, AC156, Paramétrage!$D$29)</f>
        <v>#DIV/0!</v>
      </c>
      <c r="AG156" s="251" t="e">
        <f>Paramétrage!$H$19+AE156*(365/12)</f>
        <v>#DIV/0!</v>
      </c>
      <c r="AH156" s="252" t="e">
        <f>IF(AC156&lt;Paramétrage!$D$29, Paramétrage!$H$19+AF156*(365/12), Paramétrage!$H$19+AC156*(365/12))</f>
        <v>#DIV/0!</v>
      </c>
      <c r="AJ156" s="233" t="str">
        <f>IF(ISERROR(AC156),"", IF(AC156=0, "", IF(AC156&gt;'Calculs Péremption FA'!$CB38, 'Calculs Péremption FA'!$CB38, AC156)))</f>
        <v/>
      </c>
      <c r="AK156" s="575" t="str">
        <f t="shared" si="25"/>
        <v/>
      </c>
      <c r="AL156" s="238" t="str">
        <f>IF(ISERROR(AC156),"", IF(AC156=0, "", IF(AC156&gt;'Calculs Péremption FA'!$CB38, 'Calculs Péremption FA'!$CB38-Paramétrage!$D$29, AE156)))</f>
        <v/>
      </c>
      <c r="AM156" s="427" t="str">
        <f>IF(ISERROR(AC156),"", IF(AC156=0, "", IF(AC156&gt;'Calculs Péremption FA'!$CB38, Paramétrage!$D$29, AF156)))</f>
        <v/>
      </c>
      <c r="AN156" s="251" t="str">
        <f>IF(ISERROR(AC156),Z156, IF(AC156=0, "", IF(AC156&gt;'Calculs Péremption FA'!$CB38, 'Calculs Péremption FA'!$BX38-Paramétrage!$D$29*(365/12), AG156)))</f>
        <v/>
      </c>
      <c r="AO156" s="252" t="str">
        <f>IF(ISERROR(AC156),AA156, IF(AC156=0, "", IF(AC156&gt;'Calculs Péremption FA'!$CB38, CONCATENATE('TRAD-Calculs dispo Données FA'!$B$88, " - ", 'Calculs Péremption FA'!$BY38, "/", 'Calculs Péremption FA'!$BZ38, "/", 'Calculs Péremption FA'!$CA38), AH156)))</f>
        <v/>
      </c>
      <c r="AP156" s="2140"/>
      <c r="AQ156" s="2141"/>
      <c r="AS156" s="2061">
        <f>Calculs!$O293</f>
        <v>0</v>
      </c>
      <c r="AT156" s="2062">
        <f>Calculs!$O184</f>
        <v>0</v>
      </c>
      <c r="AU156" s="2068">
        <f>Calculs!$N238</f>
        <v>0</v>
      </c>
      <c r="AV156" s="2070" t="str">
        <f>IF(AND(AU156=0, AS156=0, AT156=0), 'TRAD-Calculs dispo Données FA'!$B$82, "")</f>
        <v>Stock et besoin nul</v>
      </c>
      <c r="AW156" s="2062" t="str">
        <f>IF(AND(AU156=0, AS156&gt;0, AT156=0), CONCATENATE(AS156, " ", 'TRAD-Calculs dispo Données FA'!$B$80, " =0"), "")</f>
        <v/>
      </c>
      <c r="AX156" s="2063" t="str">
        <f>IF(AND(AS156=0, OR(AT156&gt;=1, AU156&gt;=1)),'TRAD-Calculs dispo Données FA'!$B$81, "")</f>
        <v/>
      </c>
    </row>
    <row r="157" spans="3:50" s="358" customFormat="1" x14ac:dyDescent="0.2">
      <c r="C157" s="374"/>
      <c r="D157" s="375" t="s">
        <v>41</v>
      </c>
      <c r="E157" s="376" t="str">
        <f>'Saisie données stocks'!F51</f>
        <v>LPV/r</v>
      </c>
      <c r="F157" s="377" t="str">
        <f>'Saisie données stocks'!G51</f>
        <v>Cp</v>
      </c>
      <c r="G157" s="377" t="str">
        <f>'Saisie données stocks'!H51</f>
        <v>200/50 mg</v>
      </c>
      <c r="H157" s="378" t="str">
        <f>CONCATENATE(E157, " - ", G157, " - ", 'TRAD-Calculs dispo Données FA'!$B$79,"/", K157)</f>
        <v>LPV/r - 200/50 mg - B/120</v>
      </c>
      <c r="I157" s="380">
        <f>Calculs!K134</f>
        <v>4</v>
      </c>
      <c r="J157" s="380">
        <f t="shared" si="22"/>
        <v>120</v>
      </c>
      <c r="K157" s="114">
        <f>Calculs!J134</f>
        <v>120</v>
      </c>
      <c r="L157" s="381">
        <f t="shared" si="23"/>
        <v>1</v>
      </c>
      <c r="M157" s="1820">
        <f>IF('Saisie données stocks'!$O$10='TRAD-Saisie données stocks'!$B$51, 'Calculs Péremption FA'!BU39, Calculs!M294)+IF('Saisie données stocks'!$M$76='TRAD-Saisie données stocks'!$B$51, Calculs!N294, "0")</f>
        <v>0</v>
      </c>
      <c r="N157" s="1820">
        <f>Calculs!O185</f>
        <v>0</v>
      </c>
      <c r="O157" s="1820">
        <f>Calculs!N239</f>
        <v>0</v>
      </c>
      <c r="P157"/>
      <c r="Q157" s="231" t="e">
        <f>IF(Calculs!N239&gt;0, (-(Calculs!N239+2*Calculs!O185)+SQRT((Calculs!N239+2*Calculs!O185)*(Calculs!N239+2*Calculs!O185)+8*Calculs!N239*(M157)))/(2*Calculs!N239), ((M157)/Calculs!O185))</f>
        <v>#DIV/0!</v>
      </c>
      <c r="R157" s="231" t="e">
        <f>Q157-Paramétrage!$D$29</f>
        <v>#DIV/0!</v>
      </c>
      <c r="S157" s="236" t="e">
        <f>IF(Q157&lt;Paramétrage!$D$29, Q157, Paramétrage!$D$29)</f>
        <v>#DIV/0!</v>
      </c>
      <c r="T157" s="247" t="e">
        <f>Paramétrage!$H$19+R157*(365/12)</f>
        <v>#DIV/0!</v>
      </c>
      <c r="U157" s="248" t="e">
        <f>IF(Q157&lt;Paramétrage!$D$29, Paramétrage!$H$19+S157*(365/12), Paramétrage!$H$19+Q157*(365/12))</f>
        <v>#DIV/0!</v>
      </c>
      <c r="W157" s="231" t="str">
        <f>IF(ISERROR(Q157),"", IF(Q157=0, "", IF(Q157&gt;'Calculs Péremption FA'!$CB39, 'Calculs Péremption FA'!$CB39, Q157)))</f>
        <v/>
      </c>
      <c r="X157" s="582" t="str">
        <f>IF(ISERROR(Q157),"", IF(Q157=0, "", IF(Q157&gt;'Calculs Péremption FA'!$CB39, 'Calculs Péremption FA'!$CB39-Paramétrage!$D$29, R157)))</f>
        <v/>
      </c>
      <c r="Y157" s="236" t="str">
        <f t="shared" si="26"/>
        <v/>
      </c>
      <c r="Z157" s="247" t="str">
        <f>IF(ISERROR(Q157),"", IF(Q157=0, "", IF(Q157&gt;'Calculs Péremption FA'!$CB39, 'Calculs Péremption FA'!$BX39-Paramétrage!$D$29*(365/12), T157)))</f>
        <v/>
      </c>
      <c r="AA157" s="248" t="str">
        <f>IF(ISERROR(Q157),AW157,IF(Q157=0,IF(AND(M157=0,OR(N157&gt;0,O157&gt;0)),AX157,""),IF('Saisie données stocks'!$O$10='TRAD-Saisie données stocks'!$B$51,IF('Calculs Péremption FA'!P39="OK",IF('Calculs Péremption FA'!BV39&gt;0,CONCATENATE('TRAD-Calculs dispo Données FA'!$B$88, " - ",'Calculs Péremption FA'!$BY39,"/",'Calculs Péremption FA'!$BZ39,"/",'Calculs Péremption FA'!$CA39),U157),IF(Q157&gt;'Saisie données stocks'!$N$14,'Calculs Péremption FA'!CC39,U157)),IF(Q157&gt;'Saisie données stocks'!$N$14,'Calculs Péremption FA'!CC39,U157))))</f>
        <v>750 B &amp; conso =0</v>
      </c>
      <c r="AC157" s="231" t="e">
        <f>(Calculs!O294)/Calculs!O185</f>
        <v>#DIV/0!</v>
      </c>
      <c r="AD157" s="231" t="e">
        <f t="shared" si="24"/>
        <v>#DIV/0!</v>
      </c>
      <c r="AE157" s="236" t="e">
        <f>AC157-Paramétrage!$D$29</f>
        <v>#DIV/0!</v>
      </c>
      <c r="AF157" s="241" t="e">
        <f>IF(AC157&lt;Paramétrage!$D$29, AC157, Paramétrage!$D$29)</f>
        <v>#DIV/0!</v>
      </c>
      <c r="AG157" s="247" t="e">
        <f>Paramétrage!$H$19+AE157*(365/12)</f>
        <v>#DIV/0!</v>
      </c>
      <c r="AH157" s="248" t="e">
        <f>IF(AC157&lt;Paramétrage!$D$29, Paramétrage!$H$19+AF157*(365/12), Paramétrage!$H$19+AC157*(365/12))</f>
        <v>#DIV/0!</v>
      </c>
      <c r="AJ157" s="231" t="str">
        <f>IF(ISERROR(AC157),"", IF(AC157=0, "", IF(AC157&gt;'Calculs Péremption FA'!$CB39, 'Calculs Péremption FA'!$CB39, AC157)))</f>
        <v/>
      </c>
      <c r="AK157" s="582" t="str">
        <f t="shared" si="25"/>
        <v/>
      </c>
      <c r="AL157" s="236" t="str">
        <f>IF(ISERROR(AC157),"", IF(AC157=0, "", IF(AC157&gt;'Calculs Péremption FA'!$CB39, 'Calculs Péremption FA'!$CB39-Paramétrage!$D$29, AE157)))</f>
        <v/>
      </c>
      <c r="AM157" s="425" t="str">
        <f>IF(ISERROR(AC157),"", IF(AC157=0, "", IF(AC157&gt;'Calculs Péremption FA'!$CB39, Paramétrage!$D$29, AF157)))</f>
        <v/>
      </c>
      <c r="AN157" s="247" t="str">
        <f>IF(ISERROR(AC157),Z157, IF(AC157=0, "", IF(AC157&gt;'Calculs Péremption FA'!$CB39, 'Calculs Péremption FA'!$BX39-Paramétrage!$D$29*(365/12), AG157)))</f>
        <v/>
      </c>
      <c r="AO157" s="248" t="str">
        <f>IF(ISERROR(AC157),AA157, IF(AC157=0, "", IF(AC157&gt;'Calculs Péremption FA'!$CB39, CONCATENATE('TRAD-Calculs dispo Données FA'!$B$88, " - ", 'Calculs Péremption FA'!$BY39, "/", 'Calculs Péremption FA'!$BZ39, "/", 'Calculs Péremption FA'!$CA39), AH157)))</f>
        <v>750 B &amp; conso =0</v>
      </c>
      <c r="AP157" s="2140"/>
      <c r="AQ157" s="2141"/>
      <c r="AS157" s="2061">
        <f>Calculs!$O294</f>
        <v>750</v>
      </c>
      <c r="AT157" s="2062">
        <f>Calculs!$O185</f>
        <v>0</v>
      </c>
      <c r="AU157" s="2068">
        <f>Calculs!$N239</f>
        <v>0</v>
      </c>
      <c r="AV157" s="2070" t="str">
        <f>IF(AND(AU157=0, AS157=0, AT157=0), 'TRAD-Calculs dispo Données FA'!$B$82, "")</f>
        <v/>
      </c>
      <c r="AW157" s="2062" t="str">
        <f>IF(AND(AU157=0, AS157&gt;0, AT157=0), CONCATENATE(AS157, " ", 'TRAD-Calculs dispo Données FA'!$B$80, " =0"), "")</f>
        <v>750 B &amp; conso =0</v>
      </c>
      <c r="AX157" s="2063" t="str">
        <f>IF(AND(AS157=0, OR(AT157&gt;=1, AU157&gt;=1)),'TRAD-Calculs dispo Données FA'!$B$81, "")</f>
        <v/>
      </c>
    </row>
    <row r="158" spans="3:50" s="358" customFormat="1" x14ac:dyDescent="0.2">
      <c r="C158" s="374"/>
      <c r="D158" s="402"/>
      <c r="E158" s="396" t="str">
        <f>'Saisie données stocks'!F52</f>
        <v>LPV/r</v>
      </c>
      <c r="F158" s="397" t="str">
        <f>'Saisie données stocks'!G52</f>
        <v>Cp coblister</v>
      </c>
      <c r="G158" s="397" t="str">
        <f>'Saisie données stocks'!H52</f>
        <v>100/25 mg</v>
      </c>
      <c r="H158" s="403" t="str">
        <f>CONCATENATE(E158, " - ", G158, " - ", 'TRAD-Calculs dispo Données FA'!$B$79,"/", K158)</f>
        <v>LPV/r - 100/25 mg - B/60</v>
      </c>
      <c r="I158" s="399">
        <f>Calculs!K135</f>
        <v>2</v>
      </c>
      <c r="J158" s="399">
        <f t="shared" si="22"/>
        <v>60</v>
      </c>
      <c r="K158" s="117">
        <f>Calculs!J135</f>
        <v>60</v>
      </c>
      <c r="L158" s="400">
        <f t="shared" si="23"/>
        <v>1</v>
      </c>
      <c r="M158" s="1823">
        <f>IF('Saisie données stocks'!$O$10='TRAD-Saisie données stocks'!$B$51, 'Calculs Péremption FA'!BU40, Calculs!M295)+IF('Saisie données stocks'!$M$76='TRAD-Saisie données stocks'!$B$51, Calculs!N295, "0")</f>
        <v>83</v>
      </c>
      <c r="N158" s="1871">
        <f>Calculs!O186</f>
        <v>0</v>
      </c>
      <c r="O158" s="1871">
        <f>Calculs!N240</f>
        <v>0</v>
      </c>
      <c r="P158"/>
      <c r="Q158" s="234" t="e">
        <f>IF(Calculs!N240&gt;0, (-(Calculs!N240+2*Calculs!O186)+SQRT((Calculs!N240+2*Calculs!O186)*(Calculs!N240+2*Calculs!O186)+8*Calculs!N240*(M158)))/(2*Calculs!N240), ((M158)/Calculs!O186))</f>
        <v>#DIV/0!</v>
      </c>
      <c r="R158" s="234" t="e">
        <f>Q158-Paramétrage!$D$29</f>
        <v>#DIV/0!</v>
      </c>
      <c r="S158" s="239" t="e">
        <f>IF(Q158&lt;Paramétrage!$D$29, Q158, Paramétrage!$D$29)</f>
        <v>#DIV/0!</v>
      </c>
      <c r="T158" s="253" t="e">
        <f>Paramétrage!$H$19+R158*(365/12)</f>
        <v>#DIV/0!</v>
      </c>
      <c r="U158" s="254" t="e">
        <f>IF(Q158&lt;Paramétrage!$D$29, Paramétrage!$H$19+S158*(365/12), Paramétrage!$H$19+Q158*(365/12))</f>
        <v>#DIV/0!</v>
      </c>
      <c r="W158" s="234" t="str">
        <f>IF(ISERROR(Q158),"", IF(Q158=0, "", IF(Q158&gt;'Calculs Péremption FA'!$CB40, 'Calculs Péremption FA'!$CB40, Q158)))</f>
        <v/>
      </c>
      <c r="X158" s="584" t="str">
        <f>IF(ISERROR(Q158),"", IF(Q158=0, "", IF(Q158&gt;'Calculs Péremption FA'!$CB40, 'Calculs Péremption FA'!$CB40-Paramétrage!$D$29, R158)))</f>
        <v/>
      </c>
      <c r="Y158" s="239" t="str">
        <f t="shared" si="26"/>
        <v/>
      </c>
      <c r="Z158" s="253" t="str">
        <f>IF(ISERROR(Q158),"", IF(Q158=0, "", IF(Q158&gt;'Calculs Péremption FA'!$CB40, 'Calculs Péremption FA'!$BX40-Paramétrage!$D$29*(365/12), T158)))</f>
        <v/>
      </c>
      <c r="AA158" s="254" t="str">
        <f>IF(ISERROR(Q158),AW158,IF(Q158=0,IF(AND(M158=0,OR(N158&gt;0,O158&gt;0)),AX158,""),IF('Saisie données stocks'!$O$10='TRAD-Saisie données stocks'!$B$51,IF('Calculs Péremption FA'!P40="OK",IF('Calculs Péremption FA'!BV40&gt;0,CONCATENATE('TRAD-Calculs dispo Données FA'!$B$88, " - ",'Calculs Péremption FA'!$BY40,"/",'Calculs Péremption FA'!$BZ40,"/",'Calculs Péremption FA'!$CA40),U158),IF(Q158&gt;'Saisie données stocks'!$N$14,'Calculs Péremption FA'!CC40,U158)),IF(Q158&gt;'Saisie données stocks'!$N$14,'Calculs Péremption FA'!CC40,U158))))</f>
        <v>770 B &amp; conso =0</v>
      </c>
      <c r="AC158" s="234" t="e">
        <f>(Calculs!O295)/Calculs!O186</f>
        <v>#DIV/0!</v>
      </c>
      <c r="AD158" s="234" t="e">
        <f t="shared" si="24"/>
        <v>#DIV/0!</v>
      </c>
      <c r="AE158" s="239" t="e">
        <f>AC158-Paramétrage!$D$29</f>
        <v>#DIV/0!</v>
      </c>
      <c r="AF158" s="241" t="e">
        <f>IF(AC158&lt;Paramétrage!$D$29, AC158, Paramétrage!$D$29)</f>
        <v>#DIV/0!</v>
      </c>
      <c r="AG158" s="253" t="e">
        <f>Paramétrage!$H$19+AE158*(365/12)</f>
        <v>#DIV/0!</v>
      </c>
      <c r="AH158" s="254" t="e">
        <f>IF(AC158&lt;Paramétrage!$D$29, Paramétrage!$H$19+AF158*(365/12), Paramétrage!$H$19+AC158*(365/12))</f>
        <v>#DIV/0!</v>
      </c>
      <c r="AJ158" s="234" t="str">
        <f>IF(ISERROR(AC158),"", IF(AC158=0, "", IF(AC158&gt;'Calculs Péremption FA'!$CB40, 'Calculs Péremption FA'!$CB40, AC158)))</f>
        <v/>
      </c>
      <c r="AK158" s="584" t="str">
        <f t="shared" si="25"/>
        <v/>
      </c>
      <c r="AL158" s="239" t="str">
        <f>IF(ISERROR(AC158),"", IF(AC158=0, "", IF(AC158&gt;'Calculs Péremption FA'!$CB40, 'Calculs Péremption FA'!$CB40-Paramétrage!$D$29, AE158)))</f>
        <v/>
      </c>
      <c r="AM158" s="425" t="str">
        <f>IF(ISERROR(AC158),"", IF(AC158=0, "", IF(AC158&gt;'Calculs Péremption FA'!$CB40, Paramétrage!$D$29, AF158)))</f>
        <v/>
      </c>
      <c r="AN158" s="253" t="str">
        <f>IF(ISERROR(AC158),Z158, IF(AC158=0, "", IF(AC158&gt;'Calculs Péremption FA'!$CB40, 'Calculs Péremption FA'!$BX40-Paramétrage!$D$29*(365/12), AG158)))</f>
        <v/>
      </c>
      <c r="AO158" s="254" t="str">
        <f>IF(ISERROR(AC158),AA158, IF(AC158=0, "", IF(AC158&gt;'Calculs Péremption FA'!$CB40, CONCATENATE('TRAD-Calculs dispo Données FA'!$B$88, " - ", 'Calculs Péremption FA'!$BY40, "/", 'Calculs Péremption FA'!$BZ40, "/", 'Calculs Péremption FA'!$CA40), AH158)))</f>
        <v>770 B &amp; conso =0</v>
      </c>
      <c r="AP158" s="2140"/>
      <c r="AQ158" s="2141"/>
      <c r="AS158" s="2061">
        <f>Calculs!$O295</f>
        <v>770</v>
      </c>
      <c r="AT158" s="2062">
        <f>Calculs!$O186</f>
        <v>0</v>
      </c>
      <c r="AU158" s="2068">
        <f>Calculs!$N240</f>
        <v>0</v>
      </c>
      <c r="AV158" s="2070" t="str">
        <f>IF(AND(AU158=0, AS158=0, AT158=0), 'TRAD-Calculs dispo Données FA'!$B$82, "")</f>
        <v/>
      </c>
      <c r="AW158" s="2062" t="str">
        <f>IF(AND(AU158=0, AS158&gt;0, AT158=0), CONCATENATE(AS158, " ", 'TRAD-Calculs dispo Données FA'!$B$80, " =0"), "")</f>
        <v>770 B &amp; conso =0</v>
      </c>
      <c r="AX158" s="2063" t="str">
        <f>IF(AND(AS158=0, OR(AT158&gt;=1, AU158&gt;=1)),'TRAD-Calculs dispo Données FA'!$B$81, "")</f>
        <v/>
      </c>
    </row>
    <row r="159" spans="3:50" s="358" customFormat="1" ht="25.5" x14ac:dyDescent="0.2">
      <c r="C159" s="374"/>
      <c r="D159" s="402"/>
      <c r="E159" s="396" t="str">
        <f>'Saisie données stocks'!F53</f>
        <v>ATV/r</v>
      </c>
      <c r="F159" s="397" t="str">
        <f>'Saisie données stocks'!G53</f>
        <v>Cp</v>
      </c>
      <c r="G159" s="397" t="str">
        <f>'Saisie données stocks'!H53</f>
        <v>300/100 mg</v>
      </c>
      <c r="H159" s="403" t="str">
        <f>CONCATENATE(E159, " - ", G159, " - ", 'TRAD-Calculs dispo Données FA'!$B$79,"/", K159)</f>
        <v>ATV/r - 300/100 mg - B/60</v>
      </c>
      <c r="I159" s="399">
        <f>Calculs!K136</f>
        <v>2</v>
      </c>
      <c r="J159" s="399">
        <f t="shared" si="22"/>
        <v>60</v>
      </c>
      <c r="K159" s="117">
        <f>Calculs!J136</f>
        <v>60</v>
      </c>
      <c r="L159" s="400">
        <f t="shared" si="23"/>
        <v>1</v>
      </c>
      <c r="M159" s="1823">
        <f>IF('Saisie données stocks'!$O$10='TRAD-Saisie données stocks'!$B$51, 'Calculs Péremption FA'!BU41, Calculs!M296)+IF('Saisie données stocks'!$M$76='TRAD-Saisie données stocks'!$B$51, Calculs!N296, "0")</f>
        <v>0</v>
      </c>
      <c r="N159" s="1871">
        <f>Calculs!O187</f>
        <v>0</v>
      </c>
      <c r="O159" s="1871">
        <f>Calculs!N241</f>
        <v>0</v>
      </c>
      <c r="P159"/>
      <c r="Q159" s="234" t="e">
        <f>IF(Calculs!N241&gt;0, (-(Calculs!N241+2*Calculs!O187)+SQRT((Calculs!N241+2*Calculs!O187)*(Calculs!N241+2*Calculs!O187)+8*Calculs!N241*(M159)))/(2*Calculs!N241), ((M159)/Calculs!O187))</f>
        <v>#DIV/0!</v>
      </c>
      <c r="R159" s="234" t="e">
        <f>Q159-Paramétrage!$D$29</f>
        <v>#DIV/0!</v>
      </c>
      <c r="S159" s="239" t="e">
        <f>IF(Q159&lt;Paramétrage!$D$29, Q159, Paramétrage!$D$29)</f>
        <v>#DIV/0!</v>
      </c>
      <c r="T159" s="253" t="e">
        <f>Paramétrage!$H$19+R159*(365/12)</f>
        <v>#DIV/0!</v>
      </c>
      <c r="U159" s="254" t="e">
        <f>IF(Q159&lt;Paramétrage!$D$29, Paramétrage!$H$19+S159*(365/12), Paramétrage!$H$19+Q159*(365/12))</f>
        <v>#DIV/0!</v>
      </c>
      <c r="W159" s="234" t="str">
        <f>IF(ISERROR(Q159),"", IF(Q159=0, "", IF(Q159&gt;'Calculs Péremption FA'!$CB41, 'Calculs Péremption FA'!$CB41, Q159)))</f>
        <v/>
      </c>
      <c r="X159" s="584" t="str">
        <f>IF(ISERROR(Q159),"", IF(Q159=0, "", IF(Q159&gt;'Calculs Péremption FA'!$CB41, 'Calculs Péremption FA'!$CB41-Paramétrage!$D$29, R159)))</f>
        <v/>
      </c>
      <c r="Y159" s="239" t="str">
        <f t="shared" si="26"/>
        <v/>
      </c>
      <c r="Z159" s="253" t="str">
        <f>IF(ISERROR(Q159),"", IF(Q159=0, "", IF(Q159&gt;'Calculs Péremption FA'!$CB41, 'Calculs Péremption FA'!$BX41-Paramétrage!$D$29*(365/12), T159)))</f>
        <v/>
      </c>
      <c r="AA159" s="254" t="str">
        <f>IF(ISERROR(Q159),AW159,IF(Q159=0,IF(AND(M159=0,OR(N159&gt;0,O159&gt;0)),AX159,""),IF('Saisie données stocks'!$O$10='TRAD-Saisie données stocks'!$B$51,IF('Calculs Péremption FA'!P41="OK",IF('Calculs Péremption FA'!BV41&gt;0,CONCATENATE('TRAD-Calculs dispo Données FA'!$B$88, " - ",'Calculs Péremption FA'!$BY41,"/",'Calculs Péremption FA'!$BZ41,"/",'Calculs Péremption FA'!$CA41),U159),IF(Q159&gt;'Saisie données stocks'!$N$14,'Calculs Péremption FA'!CC41,U159)),IF(Q159&gt;'Saisie données stocks'!$N$14,'Calculs Péremption FA'!CC41,U159))))</f>
        <v>1705 B &amp; conso =0</v>
      </c>
      <c r="AC159" s="234" t="e">
        <f>(Calculs!O296)/Calculs!O187</f>
        <v>#DIV/0!</v>
      </c>
      <c r="AD159" s="234" t="e">
        <f t="shared" si="24"/>
        <v>#DIV/0!</v>
      </c>
      <c r="AE159" s="239" t="e">
        <f>AC159-Paramétrage!$D$29</f>
        <v>#DIV/0!</v>
      </c>
      <c r="AF159" s="241" t="e">
        <f>IF(AC159&lt;Paramétrage!$D$29, AC159, Paramétrage!$D$29)</f>
        <v>#DIV/0!</v>
      </c>
      <c r="AG159" s="253" t="e">
        <f>Paramétrage!$H$19+AE159*(365/12)</f>
        <v>#DIV/0!</v>
      </c>
      <c r="AH159" s="254" t="e">
        <f>IF(AC159&lt;Paramétrage!$D$29, Paramétrage!$H$19+AF159*(365/12), Paramétrage!$H$19+AC159*(365/12))</f>
        <v>#DIV/0!</v>
      </c>
      <c r="AJ159" s="234" t="str">
        <f>IF(ISERROR(AC159),"", IF(AC159=0, "", IF(AC159&gt;'Calculs Péremption FA'!$CB41, 'Calculs Péremption FA'!$CB41, AC159)))</f>
        <v/>
      </c>
      <c r="AK159" s="584" t="str">
        <f t="shared" si="25"/>
        <v/>
      </c>
      <c r="AL159" s="239" t="str">
        <f>IF(ISERROR(AC159),"", IF(AC159=0, "", IF(AC159&gt;'Calculs Péremption FA'!$CB41, 'Calculs Péremption FA'!$CB41-Paramétrage!$D$29, AE159)))</f>
        <v/>
      </c>
      <c r="AM159" s="425" t="str">
        <f>IF(ISERROR(AC159),"", IF(AC159=0, "", IF(AC159&gt;'Calculs Péremption FA'!$CB41, Paramétrage!$D$29, AF159)))</f>
        <v/>
      </c>
      <c r="AN159" s="253" t="str">
        <f>IF(ISERROR(AC159),Z159, IF(AC159=0, "", IF(AC159&gt;'Calculs Péremption FA'!$CB41, 'Calculs Péremption FA'!$BX41-Paramétrage!$D$29*(365/12), AG159)))</f>
        <v/>
      </c>
      <c r="AO159" s="254" t="str">
        <f>IF(ISERROR(AC159),AA159, IF(AC159=0, "", IF(AC159&gt;'Calculs Péremption FA'!$CB41, CONCATENATE('TRAD-Calculs dispo Données FA'!$B$88, " - ", 'Calculs Péremption FA'!$BY41, "/", 'Calculs Péremption FA'!$BZ41, "/", 'Calculs Péremption FA'!$CA41), AH159)))</f>
        <v>1705 B &amp; conso =0</v>
      </c>
      <c r="AP159" s="2140"/>
      <c r="AQ159" s="2141"/>
      <c r="AS159" s="2061">
        <f>Calculs!$O296</f>
        <v>1705</v>
      </c>
      <c r="AT159" s="2062">
        <f>Calculs!$O187</f>
        <v>0</v>
      </c>
      <c r="AU159" s="2068">
        <f>Calculs!$N241</f>
        <v>0</v>
      </c>
      <c r="AV159" s="2070" t="str">
        <f>IF(AND(AU159=0, AS159=0, AT159=0), 'TRAD-Calculs dispo Données FA'!$B$82, "")</f>
        <v/>
      </c>
      <c r="AW159" s="2062" t="str">
        <f>IF(AND(AU159=0, AS159&gt;0, AT159=0), CONCATENATE(AS159, " ", 'TRAD-Calculs dispo Données FA'!$B$80, " =0"), "")</f>
        <v>1705 B &amp; conso =0</v>
      </c>
      <c r="AX159" s="2063" t="str">
        <f>IF(AND(AS159=0, OR(AT159&gt;=1, AU159&gt;=1)),'TRAD-Calculs dispo Données FA'!$B$81, "")</f>
        <v/>
      </c>
    </row>
    <row r="160" spans="3:50" s="358" customFormat="1" ht="25.5" x14ac:dyDescent="0.2">
      <c r="C160" s="374"/>
      <c r="D160" s="402"/>
      <c r="E160" s="396" t="str">
        <f>'Saisie données stocks'!F54</f>
        <v>FPV</v>
      </c>
      <c r="F160" s="397" t="str">
        <f>'Saisie données stocks'!G54</f>
        <v>Cp</v>
      </c>
      <c r="G160" s="397" t="str">
        <f>'Saisie données stocks'!H54</f>
        <v>700 mg</v>
      </c>
      <c r="H160" s="403" t="str">
        <f>CONCATENATE(E160, " - ", G160, " - ", 'TRAD-Calculs dispo Données FA'!$B$79,"/", K160)</f>
        <v>FPV - 700 mg - B/60</v>
      </c>
      <c r="I160" s="399">
        <f>Calculs!K137</f>
        <v>2</v>
      </c>
      <c r="J160" s="399">
        <f t="shared" si="22"/>
        <v>60</v>
      </c>
      <c r="K160" s="117">
        <f>Calculs!J137</f>
        <v>60</v>
      </c>
      <c r="L160" s="400">
        <f t="shared" si="23"/>
        <v>1</v>
      </c>
      <c r="M160" s="1823">
        <f>IF('Saisie données stocks'!$O$10='TRAD-Saisie données stocks'!$B$51, 'Calculs Péremption FA'!BU42, Calculs!M297)+IF('Saisie données stocks'!$M$76='TRAD-Saisie données stocks'!$B$51, Calculs!N297, "0")</f>
        <v>0</v>
      </c>
      <c r="N160" s="1871">
        <f>Calculs!O188</f>
        <v>0</v>
      </c>
      <c r="O160" s="1871">
        <f>Calculs!N242</f>
        <v>0</v>
      </c>
      <c r="P160"/>
      <c r="Q160" s="234" t="e">
        <f>IF(Calculs!N242&gt;0, (-(Calculs!N242+2*Calculs!O188)+SQRT((Calculs!N242+2*Calculs!O188)*(Calculs!N242+2*Calculs!O188)+8*Calculs!N242*(M160)))/(2*Calculs!N242), ((M160)/Calculs!O188))</f>
        <v>#DIV/0!</v>
      </c>
      <c r="R160" s="234" t="e">
        <f>Q160-Paramétrage!$D$29</f>
        <v>#DIV/0!</v>
      </c>
      <c r="S160" s="239" t="e">
        <f>IF(Q160&lt;Paramétrage!$D$29, Q160, Paramétrage!$D$29)</f>
        <v>#DIV/0!</v>
      </c>
      <c r="T160" s="253" t="e">
        <f>Paramétrage!$H$19+R160*(365/12)</f>
        <v>#DIV/0!</v>
      </c>
      <c r="U160" s="254" t="e">
        <f>IF(Q160&lt;Paramétrage!$D$29, Paramétrage!$H$19+S160*(365/12), Paramétrage!$H$19+Q160*(365/12))</f>
        <v>#DIV/0!</v>
      </c>
      <c r="W160" s="234" t="str">
        <f>IF(ISERROR(Q160),"", IF(Q160=0, "", IF(Q160&gt;'Calculs Péremption FA'!$CB42, 'Calculs Péremption FA'!$CB42, Q160)))</f>
        <v/>
      </c>
      <c r="X160" s="584" t="str">
        <f>IF(ISERROR(Q160),"", IF(Q160=0, "", IF(Q160&gt;'Calculs Péremption FA'!$CB42, 'Calculs Péremption FA'!$CB42-Paramétrage!$D$29, R160)))</f>
        <v/>
      </c>
      <c r="Y160" s="239" t="str">
        <f t="shared" si="26"/>
        <v/>
      </c>
      <c r="Z160" s="253" t="str">
        <f>IF(ISERROR(Q160),"", IF(Q160=0, "", IF(Q160&gt;'Calculs Péremption FA'!$CB42, 'Calculs Péremption FA'!$BX42-Paramétrage!$D$29*(365/12), T160)))</f>
        <v/>
      </c>
      <c r="AA160" s="254" t="str">
        <f>IF(ISERROR(Q160),AW160,IF(Q160=0,IF(AND(M160=0,OR(N160&gt;0,O160&gt;0)),AX160,""),IF('Saisie données stocks'!$O$10='TRAD-Saisie données stocks'!$B$51,IF('Calculs Péremption FA'!P42="OK",IF('Calculs Péremption FA'!BV42&gt;0,CONCATENATE('TRAD-Calculs dispo Données FA'!$B$88, " - ",'Calculs Péremption FA'!$BY42,"/",'Calculs Péremption FA'!$BZ42,"/",'Calculs Péremption FA'!$CA42),U160),IF(Q160&gt;'Saisie données stocks'!$N$14,'Calculs Péremption FA'!CC42,U160)),IF(Q160&gt;'Saisie données stocks'!$N$14,'Calculs Péremption FA'!CC42,U160))))</f>
        <v/>
      </c>
      <c r="AC160" s="234" t="e">
        <f>(Calculs!O297)/Calculs!O188</f>
        <v>#DIV/0!</v>
      </c>
      <c r="AD160" s="234" t="e">
        <f t="shared" si="24"/>
        <v>#DIV/0!</v>
      </c>
      <c r="AE160" s="239" t="e">
        <f>AC160-Paramétrage!$D$29</f>
        <v>#DIV/0!</v>
      </c>
      <c r="AF160" s="241" t="e">
        <f>IF(AC160&lt;Paramétrage!$D$29, AC160, Paramétrage!$D$29)</f>
        <v>#DIV/0!</v>
      </c>
      <c r="AG160" s="253" t="e">
        <f>Paramétrage!$H$19+AE160*(365/12)</f>
        <v>#DIV/0!</v>
      </c>
      <c r="AH160" s="254" t="e">
        <f>IF(AC160&lt;Paramétrage!$D$29, Paramétrage!$H$19+AF160*(365/12), Paramétrage!$H$19+AC160*(365/12))</f>
        <v>#DIV/0!</v>
      </c>
      <c r="AJ160" s="234" t="str">
        <f>IF(ISERROR(AC160),"", IF(AC160=0, "", IF(AC160&gt;'Calculs Péremption FA'!$CB42, 'Calculs Péremption FA'!$CB42, AC160)))</f>
        <v/>
      </c>
      <c r="AK160" s="584" t="str">
        <f t="shared" si="25"/>
        <v/>
      </c>
      <c r="AL160" s="239" t="str">
        <f>IF(ISERROR(AC160),"", IF(AC160=0, "", IF(AC160&gt;'Calculs Péremption FA'!$CB42, 'Calculs Péremption FA'!$CB42-Paramétrage!$D$29, AE160)))</f>
        <v/>
      </c>
      <c r="AM160" s="425" t="str">
        <f>IF(ISERROR(AC160),"", IF(AC160=0, "", IF(AC160&gt;'Calculs Péremption FA'!$CB42, Paramétrage!$D$29, AF160)))</f>
        <v/>
      </c>
      <c r="AN160" s="253" t="str">
        <f>IF(ISERROR(AC160),Z160, IF(AC160=0, "", IF(AC160&gt;'Calculs Péremption FA'!$CB42, 'Calculs Péremption FA'!$BX42-Paramétrage!$D$29*(365/12), AG160)))</f>
        <v/>
      </c>
      <c r="AO160" s="254" t="str">
        <f>IF(ISERROR(AC160),AA160, IF(AC160=0, "", IF(AC160&gt;'Calculs Péremption FA'!$CB42, CONCATENATE('TRAD-Calculs dispo Données FA'!$B$88, " - ", 'Calculs Péremption FA'!$BY42, "/", 'Calculs Péremption FA'!$BZ42, "/", 'Calculs Péremption FA'!$CA42), AH160)))</f>
        <v/>
      </c>
      <c r="AP160" s="2140"/>
      <c r="AQ160" s="2141"/>
      <c r="AS160" s="2061">
        <f>Calculs!$O297</f>
        <v>0</v>
      </c>
      <c r="AT160" s="2062">
        <f>Calculs!$O188</f>
        <v>0</v>
      </c>
      <c r="AU160" s="2068">
        <f>Calculs!$N242</f>
        <v>0</v>
      </c>
      <c r="AV160" s="2070" t="str">
        <f>IF(AND(AU160=0, AS160=0, AT160=0), 'TRAD-Calculs dispo Données FA'!$B$82, "")</f>
        <v>Stock et besoin nul</v>
      </c>
      <c r="AW160" s="2062" t="str">
        <f>IF(AND(AU160=0, AS160&gt;0, AT160=0), CONCATENATE(AS160, " ", 'TRAD-Calculs dispo Données FA'!$B$80, " =0"), "")</f>
        <v/>
      </c>
      <c r="AX160" s="2063" t="str">
        <f>IF(AND(AS160=0, OR(AT160&gt;=1, AU160&gt;=1)),'TRAD-Calculs dispo Données FA'!$B$81, "")</f>
        <v/>
      </c>
    </row>
    <row r="161" spans="3:51" s="358" customFormat="1" ht="25.5" x14ac:dyDescent="0.2">
      <c r="C161" s="374"/>
      <c r="D161" s="402"/>
      <c r="E161" s="396" t="str">
        <f>'Saisie données stocks'!F55</f>
        <v>IDV</v>
      </c>
      <c r="F161" s="397" t="str">
        <f>'Saisie données stocks'!G55</f>
        <v>Gel</v>
      </c>
      <c r="G161" s="397" t="str">
        <f>'Saisie données stocks'!H55</f>
        <v>400 mg</v>
      </c>
      <c r="H161" s="403" t="str">
        <f>CONCATENATE(E161, " - ", G161, " - ", 'TRAD-Calculs dispo Données FA'!$B$79,"/", K161)</f>
        <v>IDV - 400 mg - B/180</v>
      </c>
      <c r="I161" s="399">
        <f>Calculs!K138</f>
        <v>0</v>
      </c>
      <c r="J161" s="399">
        <f t="shared" si="22"/>
        <v>0</v>
      </c>
      <c r="K161" s="117">
        <f>Calculs!J138</f>
        <v>180</v>
      </c>
      <c r="L161" s="400">
        <f t="shared" si="23"/>
        <v>0</v>
      </c>
      <c r="M161" s="1823">
        <f>IF('Saisie données stocks'!$O$10='TRAD-Saisie données stocks'!$B$51, 'Calculs Péremption FA'!BU43, Calculs!M298)+IF('Saisie données stocks'!$M$76='TRAD-Saisie données stocks'!$B$51, Calculs!N298, "0")</f>
        <v>0</v>
      </c>
      <c r="N161" s="1871">
        <f>Calculs!O189</f>
        <v>0</v>
      </c>
      <c r="O161" s="1871">
        <f>Calculs!N243</f>
        <v>0</v>
      </c>
      <c r="P161"/>
      <c r="Q161" s="234" t="e">
        <f>IF(Calculs!N243&gt;0, (-(Calculs!N243+2*Calculs!O189)+SQRT((Calculs!N243+2*Calculs!O189)*(Calculs!N243+2*Calculs!O189)+8*Calculs!N243*(M161)))/(2*Calculs!N243), ((M161)/Calculs!O189))</f>
        <v>#DIV/0!</v>
      </c>
      <c r="R161" s="234" t="e">
        <f>Q161-Paramétrage!$D$29</f>
        <v>#DIV/0!</v>
      </c>
      <c r="S161" s="239" t="e">
        <f>IF(Q161&lt;Paramétrage!$D$29, Q161, Paramétrage!$D$29)</f>
        <v>#DIV/0!</v>
      </c>
      <c r="T161" s="253" t="e">
        <f>Paramétrage!$H$19+R161*(365/12)</f>
        <v>#DIV/0!</v>
      </c>
      <c r="U161" s="254" t="e">
        <f>IF(Q161&lt;Paramétrage!$D$29, Paramétrage!$H$19+S161*(365/12), Paramétrage!$H$19+Q161*(365/12))</f>
        <v>#DIV/0!</v>
      </c>
      <c r="W161" s="234" t="str">
        <f>IF(ISERROR(Q161),"", IF(Q161=0, "", IF(Q161&gt;'Calculs Péremption FA'!$CB43, 'Calculs Péremption FA'!$CB43, Q161)))</f>
        <v/>
      </c>
      <c r="X161" s="584" t="str">
        <f>IF(ISERROR(Q161),"", IF(Q161=0, "", IF(Q161&gt;'Calculs Péremption FA'!$CB43, 'Calculs Péremption FA'!$CB43-Paramétrage!$D$29, R161)))</f>
        <v/>
      </c>
      <c r="Y161" s="239" t="str">
        <f t="shared" si="26"/>
        <v/>
      </c>
      <c r="Z161" s="253" t="str">
        <f>IF(ISERROR(Q161),"", IF(Q161=0, "", IF(Q161&gt;'Calculs Péremption FA'!$CB43, 'Calculs Péremption FA'!$BX43-Paramétrage!$D$29*(365/12), T161)))</f>
        <v/>
      </c>
      <c r="AA161" s="254" t="str">
        <f>IF(ISERROR(Q161),AW161,IF(Q161=0,IF(AND(M161=0,OR(N161&gt;0,O161&gt;0)),AX161,""),IF('Saisie données stocks'!$O$10='TRAD-Saisie données stocks'!$B$51,IF('Calculs Péremption FA'!P43="OK",IF('Calculs Péremption FA'!BV43&gt;0,CONCATENATE('TRAD-Calculs dispo Données FA'!$B$88, " - ",'Calculs Péremption FA'!$BY43,"/",'Calculs Péremption FA'!$BZ43,"/",'Calculs Péremption FA'!$CA43),U161),IF(Q161&gt;'Saisie données stocks'!$N$14,'Calculs Péremption FA'!CC43,U161)),IF(Q161&gt;'Saisie données stocks'!$N$14,'Calculs Péremption FA'!CC43,U161))))</f>
        <v/>
      </c>
      <c r="AC161" s="234" t="e">
        <f>(Calculs!O298)/Calculs!O189</f>
        <v>#DIV/0!</v>
      </c>
      <c r="AD161" s="234" t="e">
        <f t="shared" si="24"/>
        <v>#DIV/0!</v>
      </c>
      <c r="AE161" s="239" t="e">
        <f>AC161-Paramétrage!$D$29</f>
        <v>#DIV/0!</v>
      </c>
      <c r="AF161" s="241" t="e">
        <f>IF(AC161&lt;Paramétrage!$D$29, AC161, Paramétrage!$D$29)</f>
        <v>#DIV/0!</v>
      </c>
      <c r="AG161" s="253" t="e">
        <f>Paramétrage!$H$19+AE161*(365/12)</f>
        <v>#DIV/0!</v>
      </c>
      <c r="AH161" s="254" t="e">
        <f>IF(AC161&lt;Paramétrage!$D$29, Paramétrage!$H$19+AF161*(365/12), Paramétrage!$H$19+AC161*(365/12))</f>
        <v>#DIV/0!</v>
      </c>
      <c r="AJ161" s="234" t="str">
        <f>IF(ISERROR(AC161),"", IF(AC161=0, "", IF(AC161&gt;'Calculs Péremption FA'!$CB43, 'Calculs Péremption FA'!$CB43, AC161)))</f>
        <v/>
      </c>
      <c r="AK161" s="584" t="str">
        <f t="shared" si="25"/>
        <v/>
      </c>
      <c r="AL161" s="239" t="str">
        <f>IF(ISERROR(AC161),"", IF(AC161=0, "", IF(AC161&gt;'Calculs Péremption FA'!$CB43, 'Calculs Péremption FA'!$CB43-Paramétrage!$D$29, AE161)))</f>
        <v/>
      </c>
      <c r="AM161" s="425" t="str">
        <f>IF(ISERROR(AC161),"", IF(AC161=0, "", IF(AC161&gt;'Calculs Péremption FA'!$CB43, Paramétrage!$D$29, AF161)))</f>
        <v/>
      </c>
      <c r="AN161" s="253" t="str">
        <f>IF(ISERROR(AC161),Z161, IF(AC161=0, "", IF(AC161&gt;'Calculs Péremption FA'!$CB43, 'Calculs Péremption FA'!$BX43-Paramétrage!$D$29*(365/12), AG161)))</f>
        <v/>
      </c>
      <c r="AO161" s="254" t="str">
        <f>IF(ISERROR(AC161),AA161, IF(AC161=0, "", IF(AC161&gt;'Calculs Péremption FA'!$CB43, CONCATENATE('TRAD-Calculs dispo Données FA'!$B$88, " - ", 'Calculs Péremption FA'!$BY43, "/", 'Calculs Péremption FA'!$BZ43, "/", 'Calculs Péremption FA'!$CA43), AH161)))</f>
        <v/>
      </c>
      <c r="AP161" s="2140"/>
      <c r="AQ161" s="2141"/>
      <c r="AS161" s="2061">
        <f>Calculs!$O298</f>
        <v>0</v>
      </c>
      <c r="AT161" s="2062">
        <f>Calculs!$O189</f>
        <v>0</v>
      </c>
      <c r="AU161" s="2068">
        <f>Calculs!$N243</f>
        <v>0</v>
      </c>
      <c r="AV161" s="2070" t="str">
        <f>IF(AND(AU161=0, AS161=0, AT161=0), 'TRAD-Calculs dispo Données FA'!$B$82, "")</f>
        <v>Stock et besoin nul</v>
      </c>
      <c r="AW161" s="2062" t="str">
        <f>IF(AND(AU161=0, AS161&gt;0, AT161=0), CONCATENATE(AS161, " ", 'TRAD-Calculs dispo Données FA'!$B$80, " =0"), "")</f>
        <v/>
      </c>
      <c r="AX161" s="2063" t="str">
        <f>IF(AND(AS161=0, OR(AT161&gt;=1, AU161&gt;=1)),'TRAD-Calculs dispo Données FA'!$B$81, "")</f>
        <v/>
      </c>
    </row>
    <row r="162" spans="3:51" s="358" customFormat="1" ht="25.5" x14ac:dyDescent="0.2">
      <c r="C162" s="374"/>
      <c r="D162" s="402"/>
      <c r="E162" s="93" t="str">
        <f>'Saisie données stocks'!F56</f>
        <v>DRV</v>
      </c>
      <c r="F162" s="94" t="str">
        <f>'Saisie données stocks'!G56</f>
        <v>Cp</v>
      </c>
      <c r="G162" s="94" t="str">
        <f>'Saisie données stocks'!H56</f>
        <v>300 mg</v>
      </c>
      <c r="H162" s="403" t="str">
        <f>CONCATENATE(E162, " - ", G162, " - ", 'TRAD-Calculs dispo Données FA'!$B$79,"/", K162)</f>
        <v>DRV - 300 mg - B/120</v>
      </c>
      <c r="I162" s="117">
        <f>Calculs!K139</f>
        <v>4</v>
      </c>
      <c r="J162" s="399">
        <f t="shared" si="22"/>
        <v>120</v>
      </c>
      <c r="K162" s="117">
        <f>Calculs!J139</f>
        <v>120</v>
      </c>
      <c r="L162" s="400">
        <f t="shared" si="23"/>
        <v>1</v>
      </c>
      <c r="M162" s="1823">
        <f>IF('Saisie données stocks'!$O$10='TRAD-Saisie données stocks'!$B$51, 'Calculs Péremption FA'!BU44, Calculs!M299)+IF('Saisie données stocks'!$M$76='TRAD-Saisie données stocks'!$B$51, Calculs!N299, "0")</f>
        <v>0</v>
      </c>
      <c r="N162" s="1871">
        <f>Calculs!O190</f>
        <v>0</v>
      </c>
      <c r="O162" s="1871">
        <f>Calculs!N244</f>
        <v>0</v>
      </c>
      <c r="P162"/>
      <c r="Q162" s="234" t="e">
        <f>IF(Calculs!N244&gt;0, (-(Calculs!N244+2*Calculs!O190)+SQRT((Calculs!N244+2*Calculs!O190)*(Calculs!N244+2*Calculs!O190)+8*Calculs!N244*(M162)))/(2*Calculs!N244), ((M162)/Calculs!O190))</f>
        <v>#DIV/0!</v>
      </c>
      <c r="R162" s="234" t="e">
        <f>Q162-Paramétrage!$D$29</f>
        <v>#DIV/0!</v>
      </c>
      <c r="S162" s="239" t="e">
        <f>IF(Q162&lt;Paramétrage!$D$29, Q162, Paramétrage!$D$29)</f>
        <v>#DIV/0!</v>
      </c>
      <c r="T162" s="253" t="e">
        <f>Paramétrage!$H$19+R162*(365/12)</f>
        <v>#DIV/0!</v>
      </c>
      <c r="U162" s="254" t="e">
        <f>IF(Q162&lt;Paramétrage!$D$29, Paramétrage!$H$19+S162*(365/12), Paramétrage!$H$19+Q162*(365/12))</f>
        <v>#DIV/0!</v>
      </c>
      <c r="W162" s="234" t="str">
        <f>IF(ISERROR(Q162),"", IF(Q162=0, "", IF(Q162&gt;'Calculs Péremption FA'!$CB44, 'Calculs Péremption FA'!$CB44, Q162)))</f>
        <v/>
      </c>
      <c r="X162" s="584" t="str">
        <f>IF(ISERROR(Q162),"", IF(Q162=0, "", IF(Q162&gt;'Calculs Péremption FA'!$CB44, 'Calculs Péremption FA'!$CB44-Paramétrage!$D$29, R162)))</f>
        <v/>
      </c>
      <c r="Y162" s="239" t="str">
        <f t="shared" si="26"/>
        <v/>
      </c>
      <c r="Z162" s="253" t="str">
        <f>IF(ISERROR(Q162),"", IF(Q162=0, "", IF(Q162&gt;'Calculs Péremption FA'!$CB44, 'Calculs Péremption FA'!$BX44-Paramétrage!$D$29*(365/12), T162)))</f>
        <v/>
      </c>
      <c r="AA162" s="254" t="str">
        <f>IF(ISERROR(Q162),AW162,IF(Q162=0,IF(AND(M162=0,OR(N162&gt;0,O162&gt;0)),AX162,""),IF('Saisie données stocks'!$O$10='TRAD-Saisie données stocks'!$B$51,IF('Calculs Péremption FA'!P44="OK",IF('Calculs Péremption FA'!BV44&gt;0,CONCATENATE('TRAD-Calculs dispo Données FA'!$B$88, " - ",'Calculs Péremption FA'!$BY44,"/",'Calculs Péremption FA'!$BZ44,"/",'Calculs Péremption FA'!$CA44),U162),IF(Q162&gt;'Saisie données stocks'!$N$14,'Calculs Péremption FA'!CC44,U162)),IF(Q162&gt;'Saisie données stocks'!$N$14,'Calculs Péremption FA'!CC44,U162))))</f>
        <v/>
      </c>
      <c r="AC162" s="234" t="e">
        <f>(Calculs!O299)/Calculs!O190</f>
        <v>#DIV/0!</v>
      </c>
      <c r="AD162" s="234" t="e">
        <f t="shared" si="24"/>
        <v>#DIV/0!</v>
      </c>
      <c r="AE162" s="239" t="e">
        <f>AC162-Paramétrage!$D$29</f>
        <v>#DIV/0!</v>
      </c>
      <c r="AF162" s="244" t="e">
        <f>IF(AC162&lt;Paramétrage!$D$29, AC162, Paramétrage!$D$29)</f>
        <v>#DIV/0!</v>
      </c>
      <c r="AG162" s="253" t="e">
        <f>Paramétrage!$H$19+AE162*(365/12)</f>
        <v>#DIV/0!</v>
      </c>
      <c r="AH162" s="254" t="e">
        <f>IF(AC162&lt;Paramétrage!$D$29, Paramétrage!$H$19+AF162*(365/12), Paramétrage!$H$19+AC162*(365/12))</f>
        <v>#DIV/0!</v>
      </c>
      <c r="AJ162" s="234" t="str">
        <f>IF(ISERROR(AC162),"", IF(AC162=0, "", IF(AC162&gt;'Calculs Péremption FA'!$CB44, 'Calculs Péremption FA'!$CB44, AC162)))</f>
        <v/>
      </c>
      <c r="AK162" s="584" t="str">
        <f t="shared" si="25"/>
        <v/>
      </c>
      <c r="AL162" s="239" t="str">
        <f>IF(ISERROR(AC162),"", IF(AC162=0, "", IF(AC162&gt;'Calculs Péremption FA'!$CB44, 'Calculs Péremption FA'!$CB44-Paramétrage!$D$29, AE162)))</f>
        <v/>
      </c>
      <c r="AM162" s="428" t="str">
        <f>IF(ISERROR(AC162),"", IF(AC162=0, "", IF(AC162&gt;'Calculs Péremption FA'!$CB44, Paramétrage!$D$29, AF162)))</f>
        <v/>
      </c>
      <c r="AN162" s="253" t="str">
        <f>IF(ISERROR(AC162),Z162, IF(AC162=0, "", IF(AC162&gt;'Calculs Péremption FA'!$CB44, 'Calculs Péremption FA'!$BX44-Paramétrage!$D$29*(365/12), AG162)))</f>
        <v/>
      </c>
      <c r="AO162" s="254" t="str">
        <f>IF(ISERROR(AC162),AA162, IF(AC162=0, "", IF(AC162&gt;'Calculs Péremption FA'!$CB44, CONCATENATE('TRAD-Calculs dispo Données FA'!$B$88, " - ", 'Calculs Péremption FA'!$BY44, "/", 'Calculs Péremption FA'!$BZ44, "/", 'Calculs Péremption FA'!$CA44), AH162)))</f>
        <v/>
      </c>
      <c r="AP162" s="2140"/>
      <c r="AQ162" s="2141"/>
      <c r="AS162" s="2061">
        <f>Calculs!$O299</f>
        <v>0</v>
      </c>
      <c r="AT162" s="2062">
        <f>Calculs!$O190</f>
        <v>0</v>
      </c>
      <c r="AU162" s="2068">
        <f>Calculs!$N244</f>
        <v>0</v>
      </c>
      <c r="AV162" s="2070" t="str">
        <f>IF(AND(AU162=0, AS162=0, AT162=0), 'TRAD-Calculs dispo Données FA'!$B$82, "")</f>
        <v>Stock et besoin nul</v>
      </c>
      <c r="AW162" s="2062" t="str">
        <f>IF(AND(AU162=0, AS162&gt;0, AT162=0), CONCATENATE(AS162, " ", 'TRAD-Calculs dispo Données FA'!$B$80, " =0"), "")</f>
        <v/>
      </c>
      <c r="AX162" s="2063" t="str">
        <f>IF(AND(AS162=0, OR(AT162&gt;=1, AU162&gt;=1)),'TRAD-Calculs dispo Données FA'!$B$81, "")</f>
        <v/>
      </c>
    </row>
    <row r="163" spans="3:51" s="358" customFormat="1" ht="25.5" x14ac:dyDescent="0.2">
      <c r="C163" s="374"/>
      <c r="D163" s="402"/>
      <c r="E163" s="396" t="str">
        <f>'Saisie données stocks'!F57</f>
        <v>SQV</v>
      </c>
      <c r="F163" s="397" t="str">
        <f>'Saisie données stocks'!G57</f>
        <v>Cp</v>
      </c>
      <c r="G163" s="397" t="str">
        <f>'Saisie données stocks'!H57</f>
        <v>500 mg</v>
      </c>
      <c r="H163" s="403" t="str">
        <f>CONCATENATE(E163, " - ", G163, " - ", 'TRAD-Calculs dispo Données FA'!$B$79,"/", K163)</f>
        <v>SQV - 500 mg - B/120</v>
      </c>
      <c r="I163" s="399">
        <f>Calculs!K140</f>
        <v>4</v>
      </c>
      <c r="J163" s="399">
        <f t="shared" si="22"/>
        <v>120</v>
      </c>
      <c r="K163" s="117">
        <f>Calculs!J140</f>
        <v>120</v>
      </c>
      <c r="L163" s="400">
        <f t="shared" si="23"/>
        <v>1</v>
      </c>
      <c r="M163" s="1823">
        <f>IF('Saisie données stocks'!$O$10='TRAD-Saisie données stocks'!$B$51, 'Calculs Péremption FA'!BU45, Calculs!M300)+IF('Saisie données stocks'!$M$76='TRAD-Saisie données stocks'!$B$51, Calculs!N300, "0")</f>
        <v>0</v>
      </c>
      <c r="N163" s="1871">
        <f>Calculs!O191</f>
        <v>0</v>
      </c>
      <c r="O163" s="1871">
        <f>Calculs!N245</f>
        <v>0</v>
      </c>
      <c r="P163"/>
      <c r="Q163" s="234" t="e">
        <f>IF(Calculs!N245&gt;0, (-(Calculs!N245+2*Calculs!O191)+SQRT((Calculs!N245+2*Calculs!O191)*(Calculs!N245+2*Calculs!O191)+8*Calculs!N245*(M163)))/(2*Calculs!N245), ((M163)/Calculs!O191))</f>
        <v>#DIV/0!</v>
      </c>
      <c r="R163" s="234" t="e">
        <f>Q163-Paramétrage!$D$29</f>
        <v>#DIV/0!</v>
      </c>
      <c r="S163" s="239" t="e">
        <f>IF(Q163&lt;Paramétrage!$D$29, Q163, Paramétrage!$D$29)</f>
        <v>#DIV/0!</v>
      </c>
      <c r="T163" s="253" t="e">
        <f>Paramétrage!$H$19+R163*(365/12)</f>
        <v>#DIV/0!</v>
      </c>
      <c r="U163" s="254" t="e">
        <f>IF(Q163&lt;Paramétrage!$D$29, Paramétrage!$H$19+S163*(365/12), Paramétrage!$H$19+Q163*(365/12))</f>
        <v>#DIV/0!</v>
      </c>
      <c r="W163" s="234" t="str">
        <f>IF(ISERROR(Q163),"", IF(Q163=0, "", IF(Q163&gt;'Calculs Péremption FA'!$CB45, 'Calculs Péremption FA'!$CB45, Q163)))</f>
        <v/>
      </c>
      <c r="X163" s="584" t="str">
        <f>IF(ISERROR(Q163),"", IF(Q163=0, "", IF(Q163&gt;'Calculs Péremption FA'!$CB45, 'Calculs Péremption FA'!$CB45-Paramétrage!$D$29, R163)))</f>
        <v/>
      </c>
      <c r="Y163" s="239" t="str">
        <f t="shared" si="26"/>
        <v/>
      </c>
      <c r="Z163" s="253" t="str">
        <f>IF(ISERROR(Q163),"", IF(Q163=0, "", IF(Q163&gt;'Calculs Péremption FA'!$CB45, 'Calculs Péremption FA'!$BX45-Paramétrage!$D$29*(365/12), T163)))</f>
        <v/>
      </c>
      <c r="AA163" s="254" t="str">
        <f>IF(ISERROR(Q163),AW163,IF(Q163=0,IF(AND(M163=0,OR(N163&gt;0,O163&gt;0)),AX163,""),IF('Saisie données stocks'!$O$10='TRAD-Saisie données stocks'!$B$51,IF('Calculs Péremption FA'!P45="OK",IF('Calculs Péremption FA'!BV45&gt;0,CONCATENATE('TRAD-Calculs dispo Données FA'!$B$88, " - ",'Calculs Péremption FA'!$BY45,"/",'Calculs Péremption FA'!$BZ45,"/",'Calculs Péremption FA'!$CA45),U163),IF(Q163&gt;'Saisie données stocks'!$N$14,'Calculs Péremption FA'!CC45,U163)),IF(Q163&gt;'Saisie données stocks'!$N$14,'Calculs Péremption FA'!CC45,U163))))</f>
        <v/>
      </c>
      <c r="AC163" s="234" t="e">
        <f>(Calculs!O300)/Calculs!O191</f>
        <v>#DIV/0!</v>
      </c>
      <c r="AD163" s="234" t="e">
        <f t="shared" si="24"/>
        <v>#DIV/0!</v>
      </c>
      <c r="AE163" s="239" t="e">
        <f>AC163-Paramétrage!$D$29</f>
        <v>#DIV/0!</v>
      </c>
      <c r="AF163" s="244" t="e">
        <f>IF(AC163&lt;Paramétrage!$D$29, AC163, Paramétrage!$D$29)</f>
        <v>#DIV/0!</v>
      </c>
      <c r="AG163" s="253" t="e">
        <f>Paramétrage!$H$19+AE163*(365/12)</f>
        <v>#DIV/0!</v>
      </c>
      <c r="AH163" s="254" t="e">
        <f>IF(AC163&lt;Paramétrage!$D$29, Paramétrage!$H$19+AF163*(365/12), Paramétrage!$H$19+AC163*(365/12))</f>
        <v>#DIV/0!</v>
      </c>
      <c r="AJ163" s="234" t="str">
        <f>IF(ISERROR(AC163),"", IF(AC163=0, "", IF(AC163&gt;'Calculs Péremption FA'!$CB45, 'Calculs Péremption FA'!$CB45, AC163)))</f>
        <v/>
      </c>
      <c r="AK163" s="584" t="str">
        <f t="shared" si="25"/>
        <v/>
      </c>
      <c r="AL163" s="239" t="str">
        <f>IF(ISERROR(AC163),"", IF(AC163=0, "", IF(AC163&gt;'Calculs Péremption FA'!$CB45, 'Calculs Péremption FA'!$CB45-Paramétrage!$D$29, AE163)))</f>
        <v/>
      </c>
      <c r="AM163" s="428" t="str">
        <f>IF(ISERROR(AC163),"", IF(AC163=0, "", IF(AC163&gt;'Calculs Péremption FA'!$CB45, Paramétrage!$D$29, AF163)))</f>
        <v/>
      </c>
      <c r="AN163" s="253" t="str">
        <f>IF(ISERROR(AC163),Z163, IF(AC163=0, "", IF(AC163&gt;'Calculs Péremption FA'!$CB45, 'Calculs Péremption FA'!$BX45-Paramétrage!$D$29*(365/12), AG163)))</f>
        <v/>
      </c>
      <c r="AO163" s="254" t="str">
        <f>IF(ISERROR(AC163),AA163, IF(AC163=0, "", IF(AC163&gt;'Calculs Péremption FA'!$CB45, CONCATENATE('TRAD-Calculs dispo Données FA'!$B$88, " - ", 'Calculs Péremption FA'!$BY45, "/", 'Calculs Péremption FA'!$BZ45, "/", 'Calculs Péremption FA'!$CA45), AH163)))</f>
        <v/>
      </c>
      <c r="AP163" s="2140"/>
      <c r="AQ163" s="2141"/>
      <c r="AS163" s="2061">
        <f>Calculs!$O300</f>
        <v>0</v>
      </c>
      <c r="AT163" s="2062">
        <f>Calculs!$O191</f>
        <v>0</v>
      </c>
      <c r="AU163" s="2068">
        <f>Calculs!$N245</f>
        <v>0</v>
      </c>
      <c r="AV163" s="2070" t="str">
        <f>IF(AND(AU163=0, AS163=0, AT163=0), 'TRAD-Calculs dispo Données FA'!$B$82, "")</f>
        <v>Stock et besoin nul</v>
      </c>
      <c r="AW163" s="2062" t="str">
        <f>IF(AND(AU163=0, AS163&gt;0, AT163=0), CONCATENATE(AS163, " ", 'TRAD-Calculs dispo Données FA'!$B$80, " =0"), "")</f>
        <v/>
      </c>
      <c r="AX163" s="2063" t="str">
        <f>IF(AND(AS163=0, OR(AT163&gt;=1, AU163&gt;=1)),'TRAD-Calculs dispo Données FA'!$B$81, "")</f>
        <v/>
      </c>
    </row>
    <row r="164" spans="3:51" s="358" customFormat="1" ht="25.5" x14ac:dyDescent="0.2">
      <c r="C164" s="388"/>
      <c r="D164" s="389"/>
      <c r="E164" s="390" t="str">
        <f>'Saisie données stocks'!F58</f>
        <v>RTV</v>
      </c>
      <c r="F164" s="391" t="str">
        <f>'Saisie données stocks'!G58</f>
        <v>Caps</v>
      </c>
      <c r="G164" s="391" t="str">
        <f>'Saisie données stocks'!H58</f>
        <v>100 mg</v>
      </c>
      <c r="H164" s="401" t="str">
        <f>CONCATENATE(E164, " - ", G164, " - ", 'TRAD-Calculs dispo Données FA'!$B$79,"/", K164)</f>
        <v>RTV - 100 mg - B/84</v>
      </c>
      <c r="I164" s="394">
        <f>Calculs!K141</f>
        <v>0</v>
      </c>
      <c r="J164" s="394">
        <f t="shared" si="22"/>
        <v>0</v>
      </c>
      <c r="K164" s="116">
        <f>Calculs!J141</f>
        <v>84</v>
      </c>
      <c r="L164" s="395">
        <f t="shared" si="23"/>
        <v>0</v>
      </c>
      <c r="M164" s="1822">
        <f>IF('Saisie données stocks'!$O$10='TRAD-Saisie données stocks'!$B$51, 'Calculs Péremption FA'!BU46, Calculs!M301)+IF('Saisie données stocks'!$M$76='TRAD-Saisie données stocks'!$B$51, Calculs!N301, "0")</f>
        <v>0</v>
      </c>
      <c r="N164" s="1822">
        <f>Calculs!O192</f>
        <v>0</v>
      </c>
      <c r="O164" s="1822">
        <f>Calculs!N246</f>
        <v>0</v>
      </c>
      <c r="P164"/>
      <c r="Q164" s="233" t="e">
        <f>IF(Calculs!N246&gt;0, (-(Calculs!N246+2*Calculs!O192)+SQRT((Calculs!N246+2*Calculs!O192)*(Calculs!N246+2*Calculs!O192)+8*Calculs!N246*(M164)))/(2*Calculs!N246), ((M164)/Calculs!O192))</f>
        <v>#DIV/0!</v>
      </c>
      <c r="R164" s="233" t="e">
        <f>Q164-Paramétrage!$D$29</f>
        <v>#DIV/0!</v>
      </c>
      <c r="S164" s="238" t="e">
        <f>IF(Q164&lt;Paramétrage!$D$29, Q164, Paramétrage!$D$29)</f>
        <v>#DIV/0!</v>
      </c>
      <c r="T164" s="251" t="e">
        <f>Paramétrage!$H$19+R164*(365/12)</f>
        <v>#DIV/0!</v>
      </c>
      <c r="U164" s="252" t="e">
        <f>IF(Q164&lt;Paramétrage!$D$29, Paramétrage!$H$19+S164*(365/12), Paramétrage!$H$19+Q164*(365/12))</f>
        <v>#DIV/0!</v>
      </c>
      <c r="W164" s="233" t="str">
        <f>IF(ISERROR(Q164),"", IF(Q164=0, "", IF(Q164&gt;'Calculs Péremption FA'!$CB46, 'Calculs Péremption FA'!$CB46, Q164)))</f>
        <v/>
      </c>
      <c r="X164" s="575" t="str">
        <f>IF(ISERROR(Q164),"", IF(Q164=0, "", IF(Q164&gt;'Calculs Péremption FA'!$CB46, 'Calculs Péremption FA'!$CB46-Paramétrage!$D$29, R164)))</f>
        <v/>
      </c>
      <c r="Y164" s="238" t="str">
        <f t="shared" si="26"/>
        <v/>
      </c>
      <c r="Z164" s="251" t="str">
        <f>IF(ISERROR(Q164),"", IF(Q164=0, "", IF(Q164&gt;'Calculs Péremption FA'!$CB46, 'Calculs Péremption FA'!$BX46-Paramétrage!$D$29*(365/12), T164)))</f>
        <v/>
      </c>
      <c r="AA164" s="252" t="str">
        <f>IF(ISERROR(Q164),AW164,IF(Q164=0,IF(AND(M164=0,OR(N164&gt;0,O164&gt;0)),AX164,""),IF('Saisie données stocks'!$O$10='TRAD-Saisie données stocks'!$B$51,IF('Calculs Péremption FA'!P46="OK",IF('Calculs Péremption FA'!BV46&gt;0,CONCATENATE('TRAD-Calculs dispo Données FA'!$B$88, " - ",'Calculs Péremption FA'!$BY46,"/",'Calculs Péremption FA'!$BZ46,"/",'Calculs Péremption FA'!$CA46),U164),IF(Q164&gt;'Saisie données stocks'!$N$14,'Calculs Péremption FA'!CC46,U164)),IF(Q164&gt;'Saisie données stocks'!$N$14,'Calculs Péremption FA'!CC46,U164))))</f>
        <v/>
      </c>
      <c r="AC164" s="233" t="e">
        <f>(Calculs!O301)/Calculs!O192</f>
        <v>#DIV/0!</v>
      </c>
      <c r="AD164" s="233" t="e">
        <f t="shared" si="24"/>
        <v>#DIV/0!</v>
      </c>
      <c r="AE164" s="238" t="e">
        <f>AC164-Paramétrage!$D$29</f>
        <v>#DIV/0!</v>
      </c>
      <c r="AF164" s="427" t="e">
        <f>IF(AC164&lt;Paramétrage!$D$29, AC164, Paramétrage!$D$29)</f>
        <v>#DIV/0!</v>
      </c>
      <c r="AG164" s="251" t="e">
        <f>Paramétrage!$H$19+AE164*(365/12)</f>
        <v>#DIV/0!</v>
      </c>
      <c r="AH164" s="252" t="e">
        <f>IF(AC164&lt;Paramétrage!$D$29, Paramétrage!$H$19+AF164*(365/12), Paramétrage!$H$19+AC164*(365/12))</f>
        <v>#DIV/0!</v>
      </c>
      <c r="AJ164" s="233" t="str">
        <f>IF(ISERROR(AC164),"", IF(AC164=0, "", IF(AC164&gt;'Calculs Péremption FA'!$CB46, 'Calculs Péremption FA'!$CB46, AC164)))</f>
        <v/>
      </c>
      <c r="AK164" s="575" t="str">
        <f t="shared" si="25"/>
        <v/>
      </c>
      <c r="AL164" s="238" t="str">
        <f>IF(ISERROR(AC164),"", IF(AC164=0, "", IF(AC164&gt;'Calculs Péremption FA'!$CB46, 'Calculs Péremption FA'!$CB46-Paramétrage!$D$29, AE164)))</f>
        <v/>
      </c>
      <c r="AM164" s="427" t="str">
        <f>IF(ISERROR(AC164),"", IF(AC164=0, "", IF(AC164&gt;'Calculs Péremption FA'!$CB46, Paramétrage!$D$29, AF164)))</f>
        <v/>
      </c>
      <c r="AN164" s="251" t="str">
        <f>IF(ISERROR(AC164),Z164, IF(AC164=0, "", IF(AC164&gt;'Calculs Péremption FA'!$CB46, 'Calculs Péremption FA'!$BX46-Paramétrage!$D$29*(365/12), AG164)))</f>
        <v/>
      </c>
      <c r="AO164" s="252" t="str">
        <f>IF(ISERROR(AC164),AA164, IF(AC164=0, "", IF(AC164&gt;'Calculs Péremption FA'!$CB46, CONCATENATE('TRAD-Calculs dispo Données FA'!$B$88, " - ", 'Calculs Péremption FA'!$BY46, "/", 'Calculs Péremption FA'!$BZ46, "/", 'Calculs Péremption FA'!$CA46), AH164)))</f>
        <v/>
      </c>
      <c r="AP164" s="2140"/>
      <c r="AQ164" s="2141"/>
      <c r="AS164" s="2061">
        <f>Calculs!$O301</f>
        <v>0</v>
      </c>
      <c r="AT164" s="2062">
        <f>Calculs!$O192</f>
        <v>0</v>
      </c>
      <c r="AU164" s="2068">
        <f>Calculs!$N246</f>
        <v>0</v>
      </c>
      <c r="AV164" s="2070" t="str">
        <f>IF(AND(AU164=0, AS164=0, AT164=0), 'TRAD-Calculs dispo Données FA'!$B$82, "")</f>
        <v>Stock et besoin nul</v>
      </c>
      <c r="AW164" s="2062" t="str">
        <f>IF(AND(AU164=0, AS164&gt;0, AT164=0), CONCATENATE(AS164, " ", 'TRAD-Calculs dispo Données FA'!$B$80, " =0"), "")</f>
        <v/>
      </c>
      <c r="AX164" s="2063" t="str">
        <f>IF(AND(AS164=0, OR(AT164&gt;=1, AU164&gt;=1)),'TRAD-Calculs dispo Données FA'!$B$81, "")</f>
        <v/>
      </c>
    </row>
    <row r="165" spans="3:51" s="358" customFormat="1" ht="26.25" thickBot="1" x14ac:dyDescent="0.25">
      <c r="C165" s="374"/>
      <c r="D165" s="375" t="s">
        <v>266</v>
      </c>
      <c r="E165" s="376" t="str">
        <f>'Saisie données stocks'!F59</f>
        <v>RLT = RAL</v>
      </c>
      <c r="F165" s="377" t="str">
        <f>'Saisie données stocks'!G59</f>
        <v>Cp</v>
      </c>
      <c r="G165" s="377" t="str">
        <f>'Saisie données stocks'!H59</f>
        <v>400 mg</v>
      </c>
      <c r="H165" s="378" t="str">
        <f>CONCATENATE(E165, " - ", G165, " - ", 'TRAD-Calculs dispo Données FA'!$B$79,"/", K165)</f>
        <v>RLT = RAL - 400 mg - B/60</v>
      </c>
      <c r="I165" s="380">
        <f>Calculs!K142</f>
        <v>2</v>
      </c>
      <c r="J165" s="380">
        <f t="shared" si="22"/>
        <v>60</v>
      </c>
      <c r="K165" s="114">
        <f>Calculs!J142</f>
        <v>60</v>
      </c>
      <c r="L165" s="381">
        <f t="shared" si="23"/>
        <v>1</v>
      </c>
      <c r="M165" s="1820">
        <f>IF('Saisie données stocks'!$O$10='TRAD-Saisie données stocks'!$B$51, 'Calculs Péremption FA'!BU47, Calculs!M302)+IF('Saisie données stocks'!$M$76='TRAD-Saisie données stocks'!$B$51, Calculs!N302, "0")</f>
        <v>0</v>
      </c>
      <c r="N165" s="1820">
        <f>Calculs!O193</f>
        <v>0</v>
      </c>
      <c r="O165" s="1820">
        <f>Calculs!N247</f>
        <v>0</v>
      </c>
      <c r="P165"/>
      <c r="Q165" s="231" t="e">
        <f>IF(Calculs!N247&gt;0, (-(Calculs!N247+2*Calculs!O193)+SQRT((Calculs!N247+2*Calculs!O193)*(Calculs!N247+2*Calculs!O193)+8*Calculs!N247*(M165)))/(2*Calculs!N247), ((M165)/Calculs!O193))</f>
        <v>#DIV/0!</v>
      </c>
      <c r="R165" s="231" t="e">
        <f>Q165-Paramétrage!$D$29</f>
        <v>#DIV/0!</v>
      </c>
      <c r="S165" s="236" t="e">
        <f>IF(Q165&lt;Paramétrage!$D$29, Q165, Paramétrage!$D$29)</f>
        <v>#DIV/0!</v>
      </c>
      <c r="T165" s="247" t="e">
        <f>Paramétrage!$H$19+R165*(365/12)</f>
        <v>#DIV/0!</v>
      </c>
      <c r="U165" s="248" t="e">
        <f>IF(Q165&lt;Paramétrage!$D$29, Paramétrage!$H$19+S165*(365/12), Paramétrage!$H$19+Q165*(365/12))</f>
        <v>#DIV/0!</v>
      </c>
      <c r="W165" s="233" t="str">
        <f>IF(ISERROR(Q165),"", IF(Q165=0, "", IF(Q165&gt;'Calculs Péremption FA'!$CB47, 'Calculs Péremption FA'!$CB47, Q165)))</f>
        <v/>
      </c>
      <c r="X165" s="575" t="str">
        <f>IF(ISERROR(Q165),"", IF(Q165=0, "", IF(Q165&gt;'Calculs Péremption FA'!$CB47, 'Calculs Péremption FA'!$CB47-Paramétrage!$D$29, R165)))</f>
        <v/>
      </c>
      <c r="Y165" s="238" t="str">
        <f t="shared" si="26"/>
        <v/>
      </c>
      <c r="Z165" s="251" t="str">
        <f>IF(ISERROR(Q165),"", IF(Q165=0, "", IF(Q165&gt;'Calculs Péremption FA'!$CB47, 'Calculs Péremption FA'!$BX47-Paramétrage!$D$29*(365/12), T165)))</f>
        <v/>
      </c>
      <c r="AA165" s="252" t="str">
        <f>IF(ISERROR(Q165),AW165,IF(Q165=0,IF(AND(M165=0,OR(N165&gt;0,O165&gt;0)),AX165,""),IF('Saisie données stocks'!$O$10='TRAD-Saisie données stocks'!$B$51,IF('Calculs Péremption FA'!P47="OK",IF('Calculs Péremption FA'!BV47&gt;0,CONCATENATE('TRAD-Calculs dispo Données FA'!$B$88, " - ",'Calculs Péremption FA'!$BY47,"/",'Calculs Péremption FA'!$BZ47,"/",'Calculs Péremption FA'!$CA47),U165),IF(Q165&gt;'Saisie données stocks'!$N$14,'Calculs Péremption FA'!CC47,U165)),IF(Q165&gt;'Saisie données stocks'!$N$14,'Calculs Péremption FA'!CC47,U165))))</f>
        <v/>
      </c>
      <c r="AC165" s="231" t="e">
        <f>(Calculs!O302)/Calculs!O193</f>
        <v>#DIV/0!</v>
      </c>
      <c r="AD165" s="231" t="e">
        <f t="shared" si="24"/>
        <v>#DIV/0!</v>
      </c>
      <c r="AE165" s="236" t="e">
        <f>AC165-Paramétrage!$D$29</f>
        <v>#DIV/0!</v>
      </c>
      <c r="AF165" s="241" t="e">
        <f>IF(AC165&lt;Paramétrage!$D$29, AC165, Paramétrage!$D$29)</f>
        <v>#DIV/0!</v>
      </c>
      <c r="AG165" s="247" t="e">
        <f>Paramétrage!$H$19+AE165*(365/12)</f>
        <v>#DIV/0!</v>
      </c>
      <c r="AH165" s="248" t="e">
        <f>IF(AC165&lt;Paramétrage!$D$29, Paramétrage!$H$19+AF165*(365/12), Paramétrage!$H$19+AC165*(365/12))</f>
        <v>#DIV/0!</v>
      </c>
      <c r="AJ165" s="233" t="str">
        <f>IF(ISERROR(AC165),"", IF(AC165=0, "", IF(AC165&gt;'Calculs Péremption FA'!$CB47, 'Calculs Péremption FA'!$CB47, AC165)))</f>
        <v/>
      </c>
      <c r="AK165" s="575" t="str">
        <f t="shared" si="25"/>
        <v/>
      </c>
      <c r="AL165" s="238" t="str">
        <f>IF(ISERROR(AC165),"", IF(AC165=0, "", IF(AC165&gt;'Calculs Péremption FA'!$CB47, 'Calculs Péremption FA'!$CB47-Paramétrage!$D$29, AE165)))</f>
        <v/>
      </c>
      <c r="AM165" s="427" t="str">
        <f>IF(ISERROR(AC165),"", IF(AC165=0, "", IF(AC165&gt;'Calculs Péremption FA'!$CB47, Paramétrage!$D$29, AF165)))</f>
        <v/>
      </c>
      <c r="AN165" s="251" t="str">
        <f>IF(ISERROR(AC165),Z165, IF(AC165=0, "", IF(AC165&gt;'Calculs Péremption FA'!$CB47, 'Calculs Péremption FA'!$BX47-Paramétrage!$D$29*(365/12), AG165)))</f>
        <v/>
      </c>
      <c r="AO165" s="252" t="str">
        <f>IF(ISERROR(AC165),AA165, IF(AC165=0, "", IF(AC165&gt;'Calculs Péremption FA'!$CB47, CONCATENATE('TRAD-Calculs dispo Données FA'!$B$88, " - ", 'Calculs Péremption FA'!$BY47, "/", 'Calculs Péremption FA'!$BZ47, "/", 'Calculs Péremption FA'!$CA47), AH165)))</f>
        <v/>
      </c>
      <c r="AP165" s="2140"/>
      <c r="AQ165" s="2141"/>
      <c r="AS165" s="2061">
        <f>Calculs!$O302</f>
        <v>0</v>
      </c>
      <c r="AT165" s="2062">
        <f>Calculs!$O193</f>
        <v>0</v>
      </c>
      <c r="AU165" s="2068">
        <f>Calculs!$N247</f>
        <v>0</v>
      </c>
      <c r="AV165" s="2070" t="str">
        <f>IF(AND(AU165=0, AS165=0, AT165=0), 'TRAD-Calculs dispo Données FA'!$B$82, "")</f>
        <v>Stock et besoin nul</v>
      </c>
      <c r="AW165" s="2062" t="str">
        <f>IF(AND(AU165=0, AS165&gt;0, AT165=0), CONCATENATE(AS165, " ", 'TRAD-Calculs dispo Données FA'!$B$80, " =0"), "")</f>
        <v/>
      </c>
      <c r="AX165" s="2063" t="str">
        <f>IF(AND(AS165=0, OR(AT165&gt;=1, AU165&gt;=1)),'TRAD-Calculs dispo Données FA'!$B$81, "")</f>
        <v/>
      </c>
    </row>
    <row r="166" spans="3:51" s="358" customFormat="1" ht="64.5" thickBot="1" x14ac:dyDescent="0.25">
      <c r="C166" s="577" t="str">
        <f>'TRAD-Calculs dispo Données FA'!B9</f>
        <v>Classe forme galénique</v>
      </c>
      <c r="D166" s="576" t="str">
        <f>'TRAD-Calculs dispo Données FA'!B10</f>
        <v>Classe thérapeutique</v>
      </c>
      <c r="E166" s="364" t="str">
        <f>'TRAD-Calculs dispo Données FA'!B11</f>
        <v>Composition</v>
      </c>
      <c r="F166" s="365" t="str">
        <f>'TRAD-Calculs dispo Données FA'!B12</f>
        <v>Forme galénique</v>
      </c>
      <c r="G166" s="365" t="str">
        <f>'TRAD-Calculs dispo Données FA'!B13</f>
        <v>Dosage</v>
      </c>
      <c r="H166" s="365" t="str">
        <f>'TRAD-Calculs dispo Données FA'!B14</f>
        <v>Nom pour représentation graphique</v>
      </c>
      <c r="I166" s="365"/>
      <c r="J166" s="365"/>
      <c r="K166" s="365" t="str">
        <f>'TRAD-Calculs dispo Données FA'!B18</f>
        <v>Volume conditionnement primaire (mL)</v>
      </c>
      <c r="L166" s="327" t="str">
        <f>'TRAD-Calculs dispo Données FA'!B19</f>
        <v>Conditionement secondaire</v>
      </c>
      <c r="M166" s="346" t="str">
        <f>'TRAD-Calculs dispo Données FA'!B21</f>
        <v>Stock disponible UTILISABLE au niveau considéré (nb de boites)</v>
      </c>
      <c r="N166" s="2057" t="str">
        <f>'TRAD-Calculs dispo Données FA'!B33</f>
        <v>Besoin mensuel patients suivis selon méthode</v>
      </c>
      <c r="O166" s="2057" t="str">
        <f>'TRAD-Calculs dispo Données FA'!B34</f>
        <v>Besoin mensuel patients initiés selon méthode</v>
      </c>
      <c r="P166"/>
      <c r="Q166" s="346" t="str">
        <f>'TRAD-Calculs dispo Données FA'!B35</f>
        <v>Nombre de mois de disponibilité de produits</v>
      </c>
      <c r="R166" s="346" t="str">
        <f>'TRAD-Calculs dispo Données FA'!B37</f>
        <v>Nombre de mois de disponibilité de produits hors ST</v>
      </c>
      <c r="S166" s="347" t="str">
        <f>'TRAD-Calculs dispo Données FA'!B38</f>
        <v>Nombre de mois de stock tampon (ST)</v>
      </c>
      <c r="T166" s="348" t="str">
        <f>'TRAD-Calculs dispo Données FA'!B39</f>
        <v>Date d'entrée en stock tampon</v>
      </c>
      <c r="U166" s="349" t="str">
        <f>'TRAD-Calculs dispo Données FA'!B40</f>
        <v>Date de rupture attendue</v>
      </c>
      <c r="W166" s="346" t="str">
        <f>'TRAD-Calculs dispo Données FA'!B35</f>
        <v>Nombre de mois de disponibilité de produits</v>
      </c>
      <c r="X166" s="346" t="str">
        <f>'TRAD-Calculs dispo Données FA'!B37</f>
        <v>Nombre de mois de disponibilité de produits hors ST</v>
      </c>
      <c r="Y166" s="347" t="str">
        <f>CONCATENATE('TRAD-Calculs dispo Données FA'!$B$85, " ",  "(max", " ", Calculs!$D$486, ")")</f>
        <v>Nombre de mois de stock tampon (max 3 mois)</v>
      </c>
      <c r="Z166" s="348" t="str">
        <f>'TRAD-Calculs dispo Données FA'!B39</f>
        <v>Date d'entrée en stock tampon</v>
      </c>
      <c r="AA166" s="349" t="str">
        <f>'TRAD-Calculs dispo Données FA'!B40</f>
        <v>Date de rupture attendue</v>
      </c>
      <c r="AC166" s="346" t="str">
        <f>'TRAD-Calculs dispo Données FA'!B35</f>
        <v>Nombre de mois de disponibilité de produits</v>
      </c>
      <c r="AD166" s="580" t="str">
        <f>'TRAD-Calculs dispo Données FA'!B46</f>
        <v>Gain Nb de mois de disponibilité si arrêt des initiations &amp; switch</v>
      </c>
      <c r="AE166" s="347" t="str">
        <f>'TRAD-Calculs dispo Données FA'!B37</f>
        <v>Nombre de mois de disponibilité de produits hors ST</v>
      </c>
      <c r="AF166" s="424" t="str">
        <f>'TRAD-Calculs dispo Données FA'!B38</f>
        <v>Nombre de mois de stock tampon (ST)</v>
      </c>
      <c r="AG166" s="348" t="str">
        <f>'TRAD-Calculs dispo Données FA'!B39</f>
        <v>Date d'entrée en stock tampon</v>
      </c>
      <c r="AH166" s="349" t="str">
        <f>'TRAD-Calculs dispo Données FA'!B40</f>
        <v>Date de rupture attendue</v>
      </c>
      <c r="AJ166" s="346" t="str">
        <f>'TRAD-Calculs dispo Données FA'!B35</f>
        <v>Nombre de mois de disponibilité de produits</v>
      </c>
      <c r="AK166" s="580" t="str">
        <f>'TRAD-Calculs dispo Données FA'!B46</f>
        <v>Gain Nb de mois de disponibilité si arrêt des initiations &amp; switch</v>
      </c>
      <c r="AL166" s="347" t="str">
        <f>'TRAD-Calculs dispo Données FA'!B37</f>
        <v>Nombre de mois de disponibilité de produits hors ST</v>
      </c>
      <c r="AM166" s="424" t="str">
        <f>'TRAD-Calculs dispo Données FA'!B38</f>
        <v>Nombre de mois de stock tampon (ST)</v>
      </c>
      <c r="AN166" s="424" t="str">
        <f>'TRAD-Calculs dispo Données FA'!B40</f>
        <v>Date de rupture attendue</v>
      </c>
      <c r="AO166" s="349" t="str">
        <f>'TRAD-Calculs dispo Données FA'!B40</f>
        <v>Date de rupture attendue</v>
      </c>
      <c r="AP166" s="2138"/>
      <c r="AQ166" s="2139"/>
      <c r="AS166" s="2077" t="str">
        <f>'TRAD-Calculs dispo Données FA'!B48</f>
        <v>Stock</v>
      </c>
      <c r="AT166" s="2078" t="str">
        <f>'TRAD-Calculs dispo Données FA'!B49</f>
        <v>besoin actuel</v>
      </c>
      <c r="AU166" s="2079" t="str">
        <f>'TRAD-Calculs dispo Données FA'!B50</f>
        <v>Progression besoin</v>
      </c>
      <c r="AV166" s="2077" t="str">
        <f>'TRAD-Calculs dispo Données FA'!B51</f>
        <v>Eval</v>
      </c>
      <c r="AW166" s="2078" t="str">
        <f>'TRAD-Calculs dispo Données FA'!B51</f>
        <v>Eval</v>
      </c>
      <c r="AX166" s="2080" t="str">
        <f>'TRAD-Calculs dispo Données FA'!B51</f>
        <v>Eval</v>
      </c>
    </row>
    <row r="167" spans="3:51" s="358" customFormat="1" ht="25.5" x14ac:dyDescent="0.2">
      <c r="C167" s="366" t="str">
        <f>'TRAD-Calculs dispo Données FA'!B67</f>
        <v>Solutions Buvables</v>
      </c>
      <c r="D167" s="367" t="s">
        <v>31</v>
      </c>
      <c r="E167" s="376" t="str">
        <f>'Saisie données stocks'!F61</f>
        <v>AZT</v>
      </c>
      <c r="F167" s="377" t="str">
        <f>'Saisie données stocks'!G61</f>
        <v>Sol buv</v>
      </c>
      <c r="G167" s="377" t="str">
        <f>'Saisie données stocks'!H61</f>
        <v>10 mg/mL</v>
      </c>
      <c r="H167" s="87" t="str">
        <f>CONCATENATE(E167, " - ", G167, "-",'TRAD-Calculs dispo Données FA'!$B$83, "/", K167, "mL")</f>
        <v>AZT - 10 mg/mL-Fl/240mL</v>
      </c>
      <c r="I167" s="370"/>
      <c r="J167" s="370"/>
      <c r="K167" s="113">
        <f>'Saisie données stocks'!L61</f>
        <v>240</v>
      </c>
      <c r="L167" s="300">
        <f>'Saisie données stocks'!M61</f>
        <v>1</v>
      </c>
      <c r="M167" s="1819">
        <f>IF('Saisie données stocks'!$O$10='TRAD-Saisie données stocks'!$B$51, 'Calculs Péremption FA'!BU49, Calculs!M304)+IF('Saisie données stocks'!$M$76='TRAD-Saisie données stocks'!$B$51, Calculs!N304, "0")</f>
        <v>0</v>
      </c>
      <c r="N167" s="1819">
        <f>Calculs!O195</f>
        <v>0</v>
      </c>
      <c r="O167" s="1819">
        <f>Calculs!N249</f>
        <v>0</v>
      </c>
      <c r="P167"/>
      <c r="Q167" s="230" t="e">
        <f>IF(Calculs!N249&gt;0, (-(Calculs!N249+2*Calculs!O195)+SQRT((Calculs!N249+2*Calculs!O195)*(Calculs!N249+2*Calculs!O195)+8*Calculs!N249*(M167)))/(2*Calculs!N249), ((M167)/Calculs!O195))</f>
        <v>#DIV/0!</v>
      </c>
      <c r="R167" s="230" t="e">
        <f>Q167-Paramétrage!$D$29</f>
        <v>#DIV/0!</v>
      </c>
      <c r="S167" s="235" t="e">
        <f>IF(Q167&lt;Paramétrage!$D$29, Q167, Paramétrage!$D$29)</f>
        <v>#DIV/0!</v>
      </c>
      <c r="T167" s="245" t="e">
        <f>Paramétrage!$H$19+R167*(365/12)</f>
        <v>#DIV/0!</v>
      </c>
      <c r="U167" s="246" t="e">
        <f>IF(Q167&lt;Paramétrage!$D$29, Paramétrage!$H$19+S167*(365/12), Paramétrage!$H$19+Q167*(365/12))</f>
        <v>#DIV/0!</v>
      </c>
      <c r="W167" s="230" t="str">
        <f>IF(ISERROR(Q167),"", IF(Q167=0, "", IF(Q167&gt;'Calculs Péremption FA'!$CB49, 'Calculs Péremption FA'!$CB49, Q167)))</f>
        <v/>
      </c>
      <c r="X167" s="581" t="str">
        <f>IF(ISERROR(Q167),"", IF(Q167=0, "", IF(Q167&gt;'Calculs Péremption FA'!$CB49, 'Calculs Péremption FA'!$CB49-Paramétrage!$D$29, R167)))</f>
        <v/>
      </c>
      <c r="Y167" s="235" t="str">
        <f t="shared" si="26"/>
        <v/>
      </c>
      <c r="Z167" s="245" t="str">
        <f>IF(ISERROR(Q167),"", IF(Q167=0, "", IF(Q167&gt;'Calculs Péremption FA'!$CB49, 'Calculs Péremption FA'!$BX49-Paramétrage!$D$29*(365/12), T167)))</f>
        <v/>
      </c>
      <c r="AA167" s="246" t="str">
        <f>IF(ISERROR(Q167),AW167,IF(Q167=0,IF(AND(M167=0,OR(N167&gt;0,O167&gt;0)),AX167,""),IF('Saisie données stocks'!$O$10='TRAD-Saisie données stocks'!$B$51,IF('Calculs Péremption FA'!P49="OK",IF('Calculs Péremption FA'!BV49&gt;0,CONCATENATE('TRAD-Calculs dispo Données FA'!$B$88, " - ",'Calculs Péremption FA'!$BY49,"/",'Calculs Péremption FA'!$BZ49,"/",'Calculs Péremption FA'!$CA49),U167),IF(Q167&gt;'Saisie données stocks'!$N$14,'Calculs Péremption FA'!CC49,U167)),IF(Q167&gt;'Saisie données stocks'!$N$14,'Calculs Péremption FA'!CC49,U167))))</f>
        <v/>
      </c>
      <c r="AC167" s="230" t="e">
        <f>((Calculs!O304)/Calculs!O195)</f>
        <v>#DIV/0!</v>
      </c>
      <c r="AD167" s="230" t="e">
        <f t="shared" ref="AD167:AD174" si="27">AC167-Q167</f>
        <v>#DIV/0!</v>
      </c>
      <c r="AE167" s="235" t="e">
        <f>AC167-Paramétrage!$D$29</f>
        <v>#DIV/0!</v>
      </c>
      <c r="AF167" s="240" t="e">
        <f>IF(AC167&lt;Paramétrage!$D$29, AC167, Paramétrage!$D$29)</f>
        <v>#DIV/0!</v>
      </c>
      <c r="AG167" s="245" t="e">
        <f>Paramétrage!$H$19+AE167*(365/12)</f>
        <v>#DIV/0!</v>
      </c>
      <c r="AH167" s="246" t="e">
        <f>IF(AC167&lt;Paramétrage!$D$29, Paramétrage!$H$19+AF167*(365/12), Paramétrage!$H$19+AC167*(365/12))</f>
        <v>#DIV/0!</v>
      </c>
      <c r="AJ167" s="230" t="str">
        <f>IF(ISERROR(AC167),"", IF(AC167=0, "", IF(AC167&gt;'Calculs Péremption FA'!$CB49, 'Calculs Péremption FA'!$CB49, AC167)))</f>
        <v/>
      </c>
      <c r="AK167" s="581" t="str">
        <f t="shared" ref="AK167:AK174" si="28">IF(ISERROR(AD167),"", IF(AD167=0, "", IF(AJ167-W167=0, "0", AJ167-W167)))</f>
        <v/>
      </c>
      <c r="AL167" s="235" t="str">
        <f>IF(ISERROR(AC167),"", IF(AC167=0, "", IF(AC167&gt;'Calculs Péremption FA'!$CB49, 'Calculs Péremption FA'!$CB49-Paramétrage!$D$29, AE167)))</f>
        <v/>
      </c>
      <c r="AM167" s="429" t="str">
        <f>IF(ISERROR(AC167),"", IF(AC167=0, "", IF(AC167&gt;'Calculs Péremption FA'!$CB49, Paramétrage!$D$29, AF167)))</f>
        <v/>
      </c>
      <c r="AN167" s="245" t="str">
        <f>IF(ISERROR(AC167),Z167, IF(AC167=0, "", IF(AC167&gt;'Calculs Péremption FA'!$CB49, 'Calculs Péremption FA'!$BX49-Paramétrage!$D$29*(365/12), AG167)))</f>
        <v/>
      </c>
      <c r="AO167" s="246" t="str">
        <f>IF(ISERROR(AC167),AA167, IF(AC167=0, "", IF(AC167&gt;'Calculs Péremption FA'!$CB49, CONCATENATE('TRAD-Calculs dispo Données FA'!$B$88, " - ", 'Calculs Péremption FA'!$BY49, "/", 'Calculs Péremption FA'!$BZ49, "/", 'Calculs Péremption FA'!$CA49), AH167)))</f>
        <v/>
      </c>
      <c r="AP167" s="2140"/>
      <c r="AQ167" s="2141"/>
      <c r="AS167" s="2072">
        <f>Calculs!$O304</f>
        <v>0</v>
      </c>
      <c r="AT167" s="2375">
        <f>Calculs!$O195</f>
        <v>0</v>
      </c>
      <c r="AU167" s="2376">
        <f>Calculs!$N249</f>
        <v>0</v>
      </c>
      <c r="AV167" s="2075" t="str">
        <f>IF(AND(AU167=0, AS167=0, AT167=0), 'TRAD-Calculs dispo Données FA'!$B$82, "")</f>
        <v>Stock et besoin nul</v>
      </c>
      <c r="AW167" s="2073" t="str">
        <f>IF(AND(AU167=0, AS167&gt;0, AT167=0), CONCATENATE(AS167, 'TRAD-Calculs dispo Données FA'!$B$80," =0"), "")</f>
        <v/>
      </c>
      <c r="AX167" s="2063" t="str">
        <f>IF(AND(AS167=0, OR(AT167&gt;=1, AU167&gt;=1)), 'TRAD-Calculs dispo Données FA'!$B$81, "")</f>
        <v/>
      </c>
    </row>
    <row r="168" spans="3:51" s="358" customFormat="1" ht="25.5" x14ac:dyDescent="0.2">
      <c r="C168" s="374"/>
      <c r="D168" s="375"/>
      <c r="E168" s="376" t="str">
        <f>'Saisie données stocks'!F62</f>
        <v>D4T</v>
      </c>
      <c r="F168" s="377" t="str">
        <f>'Saisie données stocks'!G62</f>
        <v>Sol buv</v>
      </c>
      <c r="G168" s="377" t="str">
        <f>'Saisie données stocks'!H62</f>
        <v>10 mg/mL</v>
      </c>
      <c r="H168" s="89" t="str">
        <f>CONCATENATE(E168, " - ", G168, "-",'TRAD-Calculs dispo Données FA'!$B$83, "/", K168, "mL")</f>
        <v>D4T - 10 mg/mL-Fl/240mL</v>
      </c>
      <c r="I168" s="378"/>
      <c r="J168" s="378"/>
      <c r="K168" s="114">
        <f>'Saisie données stocks'!L62</f>
        <v>240</v>
      </c>
      <c r="L168" s="308">
        <f>'Saisie données stocks'!M62</f>
        <v>1</v>
      </c>
      <c r="M168" s="1820">
        <f>IF('Saisie données stocks'!$O$10='TRAD-Saisie données stocks'!$B$51, 'Calculs Péremption FA'!BU50, Calculs!M305)+IF('Saisie données stocks'!$M$76='TRAD-Saisie données stocks'!$B$51, Calculs!N305, "0")</f>
        <v>0</v>
      </c>
      <c r="N168" s="1820">
        <f>Calculs!O196</f>
        <v>0</v>
      </c>
      <c r="O168" s="1820">
        <f>Calculs!N250</f>
        <v>0</v>
      </c>
      <c r="P168"/>
      <c r="Q168" s="231" t="e">
        <f>IF(Calculs!N250&gt;0, (-(Calculs!N250+2*Calculs!O196)+SQRT((Calculs!N250+2*Calculs!O196)*(Calculs!N250+2*Calculs!O196)+8*Calculs!N250*(M168)))/(2*Calculs!N250), ((M168)/Calculs!O196))</f>
        <v>#DIV/0!</v>
      </c>
      <c r="R168" s="231" t="e">
        <f>Q168-Paramétrage!$D$29</f>
        <v>#DIV/0!</v>
      </c>
      <c r="S168" s="236" t="e">
        <f>IF(Q168&lt;Paramétrage!$D$29, Q168, Paramétrage!$D$29)</f>
        <v>#DIV/0!</v>
      </c>
      <c r="T168" s="247" t="e">
        <f>Paramétrage!$H$19+R168*(365/12)</f>
        <v>#DIV/0!</v>
      </c>
      <c r="U168" s="248" t="e">
        <f>IF(Q168&lt;Paramétrage!$D$29, Paramétrage!$H$19+S168*(365/12), Paramétrage!$H$19+Q168*(365/12))</f>
        <v>#DIV/0!</v>
      </c>
      <c r="W168" s="231" t="str">
        <f>IF(ISERROR(Q168),"", IF(Q168=0, "", IF(Q168&gt;'Calculs Péremption FA'!$CB50, 'Calculs Péremption FA'!$CB50, Q168)))</f>
        <v/>
      </c>
      <c r="X168" s="582" t="str">
        <f>IF(ISERROR(Q168),"", IF(Q168=0, "", IF(Q168&gt;'Calculs Péremption FA'!$CB50, 'Calculs Péremption FA'!$CB50-Paramétrage!$D$29, R168)))</f>
        <v/>
      </c>
      <c r="Y168" s="236" t="str">
        <f t="shared" si="26"/>
        <v/>
      </c>
      <c r="Z168" s="247" t="str">
        <f>IF(ISERROR(Q168),"", IF(Q168=0, "", IF(Q168&gt;'Calculs Péremption FA'!$CB50, 'Calculs Péremption FA'!$BX50-Paramétrage!$D$29*(365/12), T168)))</f>
        <v/>
      </c>
      <c r="AA168" s="248" t="str">
        <f>IF(ISERROR(Q168),AW168,IF(Q168=0,IF(AND(M168=0,OR(N168&gt;0,O168&gt;0)),AX168,""),IF('Saisie données stocks'!$O$10='TRAD-Saisie données stocks'!$B$51,IF('Calculs Péremption FA'!P50="OK",IF('Calculs Péremption FA'!BV50&gt;0,CONCATENATE('TRAD-Calculs dispo Données FA'!$B$88, " - ",'Calculs Péremption FA'!$BY50,"/",'Calculs Péremption FA'!$BZ50,"/",'Calculs Péremption FA'!$CA50),U168),IF(Q168&gt;'Saisie données stocks'!$N$14,'Calculs Péremption FA'!CC50,U168)),IF(Q168&gt;'Saisie données stocks'!$N$14,'Calculs Péremption FA'!CC50,U168))))</f>
        <v/>
      </c>
      <c r="AC168" s="231" t="e">
        <f>(Calculs!O305)/Calculs!O196</f>
        <v>#DIV/0!</v>
      </c>
      <c r="AD168" s="231" t="e">
        <f t="shared" si="27"/>
        <v>#DIV/0!</v>
      </c>
      <c r="AE168" s="236" t="e">
        <f>AC168-Paramétrage!$D$29</f>
        <v>#DIV/0!</v>
      </c>
      <c r="AF168" s="241" t="e">
        <f>IF(AC168&lt;Paramétrage!$D$29, AC168, Paramétrage!$D$29)</f>
        <v>#DIV/0!</v>
      </c>
      <c r="AG168" s="247" t="e">
        <f>Paramétrage!$H$19+AE168*(365/12)</f>
        <v>#DIV/0!</v>
      </c>
      <c r="AH168" s="248" t="e">
        <f>IF(AC168&lt;Paramétrage!$D$29, Paramétrage!$H$19+AF168*(365/12), Paramétrage!$H$19+AC168*(365/12))</f>
        <v>#DIV/0!</v>
      </c>
      <c r="AJ168" s="231" t="str">
        <f>IF(ISERROR(AC168),"", IF(AC168=0, "", IF(AC168&gt;'Calculs Péremption FA'!$CB50, 'Calculs Péremption FA'!$CB50, AC168)))</f>
        <v/>
      </c>
      <c r="AK168" s="582" t="str">
        <f t="shared" si="28"/>
        <v/>
      </c>
      <c r="AL168" s="236" t="str">
        <f>IF(ISERROR(AC168),"", IF(AC168=0, "", IF(AC168&gt;'Calculs Péremption FA'!$CB50, 'Calculs Péremption FA'!$CB50-Paramétrage!$D$29, AE168)))</f>
        <v/>
      </c>
      <c r="AM168" s="425" t="str">
        <f>IF(ISERROR(AC168),"", IF(AC168=0, "", IF(AC168&gt;'Calculs Péremption FA'!$CB50, Paramétrage!$D$29, AF168)))</f>
        <v/>
      </c>
      <c r="AN168" s="247" t="str">
        <f>IF(ISERROR(AC168),Z168, IF(AC168=0, "", IF(AC168&gt;'Calculs Péremption FA'!$CB50, 'Calculs Péremption FA'!$BX50-Paramétrage!$D$29*(365/12), AG168)))</f>
        <v/>
      </c>
      <c r="AO168" s="248" t="str">
        <f>IF(ISERROR(AC168),AA168, IF(AC168=0, "", IF(AC168&gt;'Calculs Péremption FA'!$CB50, CONCATENATE('TRAD-Calculs dispo Données FA'!$B$88, " - ", 'Calculs Péremption FA'!$BY50, "/", 'Calculs Péremption FA'!$BZ50, "/", 'Calculs Péremption FA'!$CA50), AH168)))</f>
        <v/>
      </c>
      <c r="AP168" s="2140"/>
      <c r="AQ168" s="2141"/>
      <c r="AS168" s="2061">
        <f>Calculs!$O305</f>
        <v>0</v>
      </c>
      <c r="AT168" s="2377">
        <f>Calculs!$O196</f>
        <v>0</v>
      </c>
      <c r="AU168" s="2378">
        <f>Calculs!$N250</f>
        <v>0</v>
      </c>
      <c r="AV168" s="2070" t="str">
        <f>IF(AND(AU168=0, AS168=0, AT168=0), 'TRAD-Calculs dispo Données FA'!$B$82, "")</f>
        <v>Stock et besoin nul</v>
      </c>
      <c r="AW168" s="2073" t="str">
        <f>IF(AND(AU168=0, AS168&gt;0, AT168=0), CONCATENATE(AS168, 'TRAD-Calculs dispo Données FA'!$B$80," =0"), "")</f>
        <v/>
      </c>
      <c r="AX168" s="2063" t="str">
        <f>IF(AND(AS168=0, OR(AT168&gt;=1, AU168&gt;=1)), 'TRAD-Calculs dispo Données FA'!$B$81, "")</f>
        <v/>
      </c>
    </row>
    <row r="169" spans="3:51" s="358" customFormat="1" ht="25.5" x14ac:dyDescent="0.2">
      <c r="C169" s="374"/>
      <c r="D169" s="375"/>
      <c r="E169" s="382" t="str">
        <f>'Saisie données stocks'!F63</f>
        <v>3TC</v>
      </c>
      <c r="F169" s="383" t="str">
        <f>'Saisie données stocks'!G63</f>
        <v>Sol buv</v>
      </c>
      <c r="G169" s="383" t="str">
        <f>'Saisie données stocks'!H63</f>
        <v>10 mg/mL</v>
      </c>
      <c r="H169" s="1207" t="str">
        <f>CONCATENATE(E169, " - ", G169, "-",'TRAD-Calculs dispo Données FA'!$B$83, "/", K169, "mL")</f>
        <v>3TC - 10 mg/mL-Fl/240mL</v>
      </c>
      <c r="I169" s="384"/>
      <c r="J169" s="384"/>
      <c r="K169" s="115">
        <f>'Saisie données stocks'!L63</f>
        <v>240</v>
      </c>
      <c r="L169" s="304">
        <f>'Saisie données stocks'!M63</f>
        <v>1</v>
      </c>
      <c r="M169" s="1821">
        <f>IF('Saisie données stocks'!$O$10='TRAD-Saisie données stocks'!$B$51, 'Calculs Péremption FA'!BU51, Calculs!M306)+IF('Saisie données stocks'!$M$76='TRAD-Saisie données stocks'!$B$51, Calculs!N306, "0")</f>
        <v>0</v>
      </c>
      <c r="N169" s="1870">
        <f>Calculs!O197</f>
        <v>0</v>
      </c>
      <c r="O169" s="1870">
        <f>Calculs!N251</f>
        <v>0</v>
      </c>
      <c r="P169"/>
      <c r="Q169" s="232" t="e">
        <f>IF(Calculs!N251&gt;0, (-(Calculs!N251+2*Calculs!O197)+SQRT((Calculs!N251+2*Calculs!O197)*(Calculs!N251+2*Calculs!O197)+8*Calculs!N251*(M169)))/(2*Calculs!N251), ((M169)/Calculs!O197))</f>
        <v>#DIV/0!</v>
      </c>
      <c r="R169" s="232" t="e">
        <f>Q169-Paramétrage!$D$29</f>
        <v>#DIV/0!</v>
      </c>
      <c r="S169" s="237" t="e">
        <f>IF(Q169&lt;Paramétrage!$D$29, Q169, Paramétrage!$D$29)</f>
        <v>#DIV/0!</v>
      </c>
      <c r="T169" s="249" t="e">
        <f>Paramétrage!$H$19+R169*(365/12)</f>
        <v>#DIV/0!</v>
      </c>
      <c r="U169" s="250" t="e">
        <f>IF(Q169&lt;Paramétrage!$D$29, Paramétrage!$H$19+S169*(365/12), Paramétrage!$H$19+Q169*(365/12))</f>
        <v>#DIV/0!</v>
      </c>
      <c r="W169" s="232" t="str">
        <f>IF(ISERROR(Q169),"", IF(Q169=0, "", IF(Q169&gt;'Calculs Péremption FA'!$CB51, 'Calculs Péremption FA'!$CB51, Q169)))</f>
        <v/>
      </c>
      <c r="X169" s="583" t="str">
        <f>IF(ISERROR(Q169),"", IF(Q169=0, "", IF(Q169&gt;'Calculs Péremption FA'!$CB51, 'Calculs Péremption FA'!$CB51-Paramétrage!$D$29, R169)))</f>
        <v/>
      </c>
      <c r="Y169" s="237" t="str">
        <f t="shared" si="26"/>
        <v/>
      </c>
      <c r="Z169" s="249" t="str">
        <f>IF(ISERROR(Q169),"", IF(Q169=0, "", IF(Q169&gt;'Calculs Péremption FA'!$CB51, 'Calculs Péremption FA'!$BX51-Paramétrage!$D$29*(365/12), T169)))</f>
        <v/>
      </c>
      <c r="AA169" s="250" t="str">
        <f>IF(ISERROR(Q169),AW169,IF(Q169=0,IF(AND(M169=0,OR(N169&gt;0,O169&gt;0)),AX169,""),IF('Saisie données stocks'!$O$10='TRAD-Saisie données stocks'!$B$51,IF('Calculs Péremption FA'!P51="OK",IF('Calculs Péremption FA'!BV51&gt;0,CONCATENATE('TRAD-Calculs dispo Données FA'!$B$88, " - ",'Calculs Péremption FA'!$BY51,"/",'Calculs Péremption FA'!$BZ51,"/",'Calculs Péremption FA'!$CA51),U169),IF(Q169&gt;'Saisie données stocks'!$N$14,'Calculs Péremption FA'!CC51,U169)),IF(Q169&gt;'Saisie données stocks'!$N$14,'Calculs Péremption FA'!CC51,U169))))</f>
        <v/>
      </c>
      <c r="AC169" s="232" t="e">
        <f>(Calculs!O306)/Calculs!O197</f>
        <v>#DIV/0!</v>
      </c>
      <c r="AD169" s="232" t="e">
        <f t="shared" si="27"/>
        <v>#DIV/0!</v>
      </c>
      <c r="AE169" s="237" t="e">
        <f>AC169-Paramétrage!$D$29</f>
        <v>#DIV/0!</v>
      </c>
      <c r="AF169" s="242" t="e">
        <f>IF(AC169&lt;Paramétrage!$D$29, AC169, Paramétrage!$D$29)</f>
        <v>#DIV/0!</v>
      </c>
      <c r="AG169" s="249" t="e">
        <f>Paramétrage!$H$19+AE169*(365/12)</f>
        <v>#DIV/0!</v>
      </c>
      <c r="AH169" s="250" t="e">
        <f>IF(AC169&lt;Paramétrage!$D$29, Paramétrage!$H$19+AF169*(365/12), Paramétrage!$H$19+AC169*(365/12))</f>
        <v>#DIV/0!</v>
      </c>
      <c r="AJ169" s="232" t="str">
        <f>IF(ISERROR(AC169),"", IF(AC169=0, "", IF(AC169&gt;'Calculs Péremption FA'!$CB51, 'Calculs Péremption FA'!$CB51, AC169)))</f>
        <v/>
      </c>
      <c r="AK169" s="583" t="str">
        <f t="shared" si="28"/>
        <v/>
      </c>
      <c r="AL169" s="237" t="str">
        <f>IF(ISERROR(AC169),"", IF(AC169=0, "", IF(AC169&gt;'Calculs Péremption FA'!$CB51, 'Calculs Péremption FA'!$CB51-Paramétrage!$D$29, AE169)))</f>
        <v/>
      </c>
      <c r="AM169" s="426" t="str">
        <f>IF(ISERROR(AC169),"", IF(AC169=0, "", IF(AC169&gt;'Calculs Péremption FA'!$CB51, Paramétrage!$D$29, AF169)))</f>
        <v/>
      </c>
      <c r="AN169" s="249" t="str">
        <f>IF(ISERROR(AC169),Z169, IF(AC169=0, "", IF(AC169&gt;'Calculs Péremption FA'!$CB51, 'Calculs Péremption FA'!$BX51-Paramétrage!$D$29*(365/12), AG169)))</f>
        <v/>
      </c>
      <c r="AO169" s="250" t="str">
        <f>IF(ISERROR(AC169),AA169, IF(AC169=0, "", IF(AC169&gt;'Calculs Péremption FA'!$CB51, CONCATENATE('TRAD-Calculs dispo Données FA'!$B$88, " - ", 'Calculs Péremption FA'!$BY51, "/", 'Calculs Péremption FA'!$BZ51, "/", 'Calculs Péremption FA'!$CA51), AH169)))</f>
        <v/>
      </c>
      <c r="AP169" s="2140"/>
      <c r="AQ169" s="2141"/>
      <c r="AS169" s="2061">
        <f>Calculs!$O306</f>
        <v>0</v>
      </c>
      <c r="AT169" s="2377">
        <f>Calculs!$O197</f>
        <v>0</v>
      </c>
      <c r="AU169" s="2378">
        <f>Calculs!$N251</f>
        <v>0</v>
      </c>
      <c r="AV169" s="2070" t="str">
        <f>IF(AND(AU169=0, AS169=0, AT169=0), 'TRAD-Calculs dispo Données FA'!$B$82, "")</f>
        <v>Stock et besoin nul</v>
      </c>
      <c r="AW169" s="2073" t="str">
        <f>IF(AND(AU169=0, AS169&gt;0, AT169=0), CONCATENATE(AS169, 'TRAD-Calculs dispo Données FA'!$B$80," =0"), "")</f>
        <v/>
      </c>
      <c r="AX169" s="2063" t="str">
        <f>IF(AND(AS169=0, OR(AT169&gt;=1, AU169&gt;=1)), 'TRAD-Calculs dispo Données FA'!$B$81, "")</f>
        <v/>
      </c>
    </row>
    <row r="170" spans="3:51" s="358" customFormat="1" ht="25.5" x14ac:dyDescent="0.2">
      <c r="C170" s="374"/>
      <c r="D170" s="407"/>
      <c r="E170" s="376" t="str">
        <f>'Saisie données stocks'!F64</f>
        <v>ABC</v>
      </c>
      <c r="F170" s="377" t="str">
        <f>'Saisie données stocks'!G64</f>
        <v>Sol buv</v>
      </c>
      <c r="G170" s="377" t="str">
        <f>'Saisie données stocks'!H64</f>
        <v>20 mg/mL</v>
      </c>
      <c r="H170" s="89" t="str">
        <f>CONCATENATE(E170, " - ", G170, "-",'TRAD-Calculs dispo Données FA'!$B$83, "/", K170, "mL")</f>
        <v>ABC - 20 mg/mL-Fl/240mL</v>
      </c>
      <c r="I170" s="378"/>
      <c r="J170" s="378"/>
      <c r="K170" s="114">
        <f>'Saisie données stocks'!L64</f>
        <v>240</v>
      </c>
      <c r="L170" s="308">
        <f>'Saisie données stocks'!M64</f>
        <v>1</v>
      </c>
      <c r="M170" s="1820">
        <f>IF('Saisie données stocks'!$O$10='TRAD-Saisie données stocks'!$B$51, 'Calculs Péremption FA'!BU52, Calculs!M307)+IF('Saisie données stocks'!$M$76='TRAD-Saisie données stocks'!$B$51, Calculs!N307, "0")</f>
        <v>0</v>
      </c>
      <c r="N170" s="1820">
        <f>Calculs!O198</f>
        <v>0</v>
      </c>
      <c r="O170" s="1820">
        <f>Calculs!N252</f>
        <v>0</v>
      </c>
      <c r="P170"/>
      <c r="Q170" s="231" t="e">
        <f>IF(Calculs!N252&gt;0, (-(Calculs!N252+2*Calculs!O198)+SQRT((Calculs!N252+2*Calculs!O198)*(Calculs!N252+2*Calculs!O198)+8*Calculs!N252*(M170)))/(2*Calculs!N252), ((M170)/Calculs!O198))</f>
        <v>#DIV/0!</v>
      </c>
      <c r="R170" s="231" t="e">
        <f>Q170-Paramétrage!$D$29</f>
        <v>#DIV/0!</v>
      </c>
      <c r="S170" s="236" t="e">
        <f>IF(Q170&lt;Paramétrage!$D$29, Q170, Paramétrage!$D$29)</f>
        <v>#DIV/0!</v>
      </c>
      <c r="T170" s="247" t="e">
        <f>Paramétrage!$H$19+R170*(365/12)</f>
        <v>#DIV/0!</v>
      </c>
      <c r="U170" s="248" t="e">
        <f>IF(Q170&lt;Paramétrage!$D$29, Paramétrage!$H$19+S170*(365/12), Paramétrage!$H$19+Q170*(365/12))</f>
        <v>#DIV/0!</v>
      </c>
      <c r="W170" s="231" t="str">
        <f>IF(ISERROR(Q170),"", IF(Q170=0, "", IF(Q170&gt;'Calculs Péremption FA'!$CB52, 'Calculs Péremption FA'!$CB52, Q170)))</f>
        <v/>
      </c>
      <c r="X170" s="582" t="str">
        <f>IF(ISERROR(Q170),"", IF(Q170=0, "", IF(Q170&gt;'Calculs Péremption FA'!$CB52, 'Calculs Péremption FA'!$CB52-Paramétrage!$D$29, R170)))</f>
        <v/>
      </c>
      <c r="Y170" s="236" t="str">
        <f t="shared" si="26"/>
        <v/>
      </c>
      <c r="Z170" s="247" t="str">
        <f>IF(ISERROR(Q170),"", IF(Q170=0, "", IF(Q170&gt;'Calculs Péremption FA'!$CB52, 'Calculs Péremption FA'!$BX52-Paramétrage!$D$29*(365/12), T170)))</f>
        <v/>
      </c>
      <c r="AA170" s="248" t="str">
        <f>IF(ISERROR(Q170),AW170,IF(Q170=0,IF(AND(M170=0,OR(N170&gt;0,O170&gt;0)),AX170,""),IF('Saisie données stocks'!$O$10='TRAD-Saisie données stocks'!$B$51,IF('Calculs Péremption FA'!P52="OK",IF('Calculs Péremption FA'!BV52&gt;0,CONCATENATE('TRAD-Calculs dispo Données FA'!$B$88, " - ",'Calculs Péremption FA'!$BY52,"/",'Calculs Péremption FA'!$BZ52,"/",'Calculs Péremption FA'!$CA52),U170),IF(Q170&gt;'Saisie données stocks'!$N$14,'Calculs Péremption FA'!CC52,U170)),IF(Q170&gt;'Saisie données stocks'!$N$14,'Calculs Péremption FA'!CC52,U170))))</f>
        <v/>
      </c>
      <c r="AC170" s="231" t="e">
        <f>(Calculs!O307)/Calculs!O198</f>
        <v>#DIV/0!</v>
      </c>
      <c r="AD170" s="231" t="e">
        <f t="shared" si="27"/>
        <v>#DIV/0!</v>
      </c>
      <c r="AE170" s="236" t="e">
        <f>AC170-Paramétrage!$D$29</f>
        <v>#DIV/0!</v>
      </c>
      <c r="AF170" s="241" t="e">
        <f>IF(AC170&lt;Paramétrage!$D$29, AC170, Paramétrage!$D$29)</f>
        <v>#DIV/0!</v>
      </c>
      <c r="AG170" s="247" t="e">
        <f>Paramétrage!$H$19+AE170*(365/12)</f>
        <v>#DIV/0!</v>
      </c>
      <c r="AH170" s="248" t="e">
        <f>IF(AC170&lt;Paramétrage!$D$29, Paramétrage!$H$19+AF170*(365/12), Paramétrage!$H$19+AC170*(365/12))</f>
        <v>#DIV/0!</v>
      </c>
      <c r="AJ170" s="231" t="str">
        <f>IF(ISERROR(AC170),"", IF(AC170=0, "", IF(AC170&gt;'Calculs Péremption FA'!$CB52, 'Calculs Péremption FA'!$CB52, AC170)))</f>
        <v/>
      </c>
      <c r="AK170" s="582" t="str">
        <f t="shared" si="28"/>
        <v/>
      </c>
      <c r="AL170" s="236" t="str">
        <f>IF(ISERROR(AC170),"", IF(AC170=0, "", IF(AC170&gt;'Calculs Péremption FA'!$CB52, 'Calculs Péremption FA'!$CB52-Paramétrage!$D$29, AE170)))</f>
        <v/>
      </c>
      <c r="AM170" s="425" t="str">
        <f>IF(ISERROR(AC170),"", IF(AC170=0, "", IF(AC170&gt;'Calculs Péremption FA'!$CB52, Paramétrage!$D$29, AF170)))</f>
        <v/>
      </c>
      <c r="AN170" s="247" t="str">
        <f>IF(ISERROR(AC170),Z170, IF(AC170=0, "", IF(AC170&gt;'Calculs Péremption FA'!$CB52, 'Calculs Péremption FA'!$BX52-Paramétrage!$D$29*(365/12), AG170)))</f>
        <v/>
      </c>
      <c r="AO170" s="248" t="str">
        <f>IF(ISERROR(AC170),AA170, IF(AC170=0, "", IF(AC170&gt;'Calculs Péremption FA'!$CB52, CONCATENATE('TRAD-Calculs dispo Données FA'!$B$88, " - ", 'Calculs Péremption FA'!$BY52, "/", 'Calculs Péremption FA'!$BZ52, "/", 'Calculs Péremption FA'!$CA52), AH170)))</f>
        <v/>
      </c>
      <c r="AP170" s="2140"/>
      <c r="AQ170" s="2141"/>
      <c r="AS170" s="2061">
        <f>Calculs!$O307</f>
        <v>0</v>
      </c>
      <c r="AT170" s="2377">
        <f>Calculs!$O198</f>
        <v>0</v>
      </c>
      <c r="AU170" s="2378">
        <f>Calculs!$N252</f>
        <v>0</v>
      </c>
      <c r="AV170" s="2070" t="str">
        <f>IF(AND(AU170=0, AS170=0, AT170=0), 'TRAD-Calculs dispo Données FA'!$B$82, "")</f>
        <v>Stock et besoin nul</v>
      </c>
      <c r="AW170" s="2073" t="str">
        <f>IF(AND(AU170=0, AS170&gt;0, AT170=0), CONCATENATE(AS170, 'TRAD-Calculs dispo Données FA'!$B$80," =0"), "")</f>
        <v/>
      </c>
      <c r="AX170" s="2063" t="str">
        <f>IF(AND(AS170=0, OR(AT170&gt;=1, AU170&gt;=1)), 'TRAD-Calculs dispo Données FA'!$B$81, "")</f>
        <v/>
      </c>
    </row>
    <row r="171" spans="3:51" s="358" customFormat="1" ht="25.5" x14ac:dyDescent="0.2">
      <c r="C171" s="374"/>
      <c r="D171" s="389"/>
      <c r="E171" s="390" t="str">
        <f>'Saisie données stocks'!F65</f>
        <v>DDI</v>
      </c>
      <c r="F171" s="391" t="str">
        <f>'Saisie données stocks'!G65</f>
        <v>Poudre buvable</v>
      </c>
      <c r="G171" s="391" t="str">
        <f>'Saisie données stocks'!H65</f>
        <v>2 g</v>
      </c>
      <c r="H171" s="1643" t="str">
        <f>CONCATENATE(E171, " - ", G171, "-",'TRAD-Calculs dispo Données FA'!$B$83, "/", K171, "mL")</f>
        <v>DDI - 2 g-Fl/200mL</v>
      </c>
      <c r="I171" s="401"/>
      <c r="J171" s="401"/>
      <c r="K171" s="116">
        <f>'Saisie données stocks'!L65</f>
        <v>200</v>
      </c>
      <c r="L171" s="311">
        <f>'Saisie données stocks'!M65</f>
        <v>1</v>
      </c>
      <c r="M171" s="1822">
        <f>IF('Saisie données stocks'!$O$10='TRAD-Saisie données stocks'!$B$51, 'Calculs Péremption FA'!BU53, Calculs!M308)+IF('Saisie données stocks'!$M$76='TRAD-Saisie données stocks'!$B$51, Calculs!N308, "0")</f>
        <v>0</v>
      </c>
      <c r="N171" s="1822">
        <f>Calculs!O199</f>
        <v>0</v>
      </c>
      <c r="O171" s="1822">
        <f>Calculs!N253</f>
        <v>0</v>
      </c>
      <c r="P171"/>
      <c r="Q171" s="233" t="e">
        <f>IF(Calculs!N253&gt;0, (-(Calculs!N253+2*Calculs!O199)+SQRT((Calculs!N253+2*Calculs!O199)*(Calculs!N253+2*Calculs!O199)+8*Calculs!N253*(M171)))/(2*Calculs!N253), ((M171)/Calculs!O199))</f>
        <v>#DIV/0!</v>
      </c>
      <c r="R171" s="233" t="e">
        <f>Q171-Paramétrage!$D$29</f>
        <v>#DIV/0!</v>
      </c>
      <c r="S171" s="238" t="e">
        <f>IF(Q171&lt;Paramétrage!$D$29, Q171, Paramétrage!$D$29)</f>
        <v>#DIV/0!</v>
      </c>
      <c r="T171" s="251" t="e">
        <f>Paramétrage!$H$19+R171*(365/12)</f>
        <v>#DIV/0!</v>
      </c>
      <c r="U171" s="252" t="e">
        <f>IF(Q171&lt;Paramétrage!$D$29, Paramétrage!$H$19+S171*(365/12), Paramétrage!$H$19+Q171*(365/12))</f>
        <v>#DIV/0!</v>
      </c>
      <c r="W171" s="233" t="str">
        <f>IF(ISERROR(Q171),"", IF(Q171=0, "", IF(Q171&gt;'Calculs Péremption FA'!$CB53, 'Calculs Péremption FA'!$CB53, Q171)))</f>
        <v/>
      </c>
      <c r="X171" s="575" t="str">
        <f>IF(ISERROR(Q171),"", IF(Q171=0, "", IF(Q171&gt;'Calculs Péremption FA'!$CB53, 'Calculs Péremption FA'!$CB53-Paramétrage!$D$29, R171)))</f>
        <v/>
      </c>
      <c r="Y171" s="238" t="str">
        <f t="shared" si="26"/>
        <v/>
      </c>
      <c r="Z171" s="251" t="str">
        <f>IF(ISERROR(Q171),"", IF(Q171=0, "", IF(Q171&gt;'Calculs Péremption FA'!$CB53, 'Calculs Péremption FA'!$BX53-Paramétrage!$D$29*(365/12), T171)))</f>
        <v/>
      </c>
      <c r="AA171" s="252" t="str">
        <f>IF(ISERROR(Q171),AW171,IF(Q171=0,IF(AND(M171=0,OR(N171&gt;0,O171&gt;0)),AX171,""),IF('Saisie données stocks'!$O$10='TRAD-Saisie données stocks'!$B$51,IF('Calculs Péremption FA'!P53="OK",IF('Calculs Péremption FA'!BV53&gt;0,CONCATENATE('TRAD-Calculs dispo Données FA'!$B$88, " - ",'Calculs Péremption FA'!$BY53,"/",'Calculs Péremption FA'!$BZ53,"/",'Calculs Péremption FA'!$CA53),U171),IF(Q171&gt;'Saisie données stocks'!$N$14,'Calculs Péremption FA'!CC53,U171)),IF(Q171&gt;'Saisie données stocks'!$N$14,'Calculs Péremption FA'!CC53,U171))))</f>
        <v/>
      </c>
      <c r="AC171" s="233" t="e">
        <f>(Calculs!O308)/Calculs!O199</f>
        <v>#DIV/0!</v>
      </c>
      <c r="AD171" s="233" t="e">
        <f t="shared" si="27"/>
        <v>#DIV/0!</v>
      </c>
      <c r="AE171" s="238" t="e">
        <f>AC171-Paramétrage!$D$29</f>
        <v>#DIV/0!</v>
      </c>
      <c r="AF171" s="243" t="e">
        <f>IF(AC171&lt;Paramétrage!$D$29, AC171, Paramétrage!$D$29)</f>
        <v>#DIV/0!</v>
      </c>
      <c r="AG171" s="251" t="e">
        <f>Paramétrage!$H$19+AE171*(365/12)</f>
        <v>#DIV/0!</v>
      </c>
      <c r="AH171" s="252" t="e">
        <f>IF(AC171&lt;Paramétrage!$D$29, Paramétrage!$H$19+AF171*(365/12), Paramétrage!$H$19+AC171*(365/12))</f>
        <v>#DIV/0!</v>
      </c>
      <c r="AJ171" s="233" t="str">
        <f>IF(ISERROR(AC171),"", IF(AC171=0, "", IF(AC171&gt;'Calculs Péremption FA'!$CB53, 'Calculs Péremption FA'!$CB53, AC171)))</f>
        <v/>
      </c>
      <c r="AK171" s="575" t="str">
        <f t="shared" si="28"/>
        <v/>
      </c>
      <c r="AL171" s="238" t="str">
        <f>IF(ISERROR(AC171),"", IF(AC171=0, "", IF(AC171&gt;'Calculs Péremption FA'!$CB53, 'Calculs Péremption FA'!$CB53-Paramétrage!$D$29, AE171)))</f>
        <v/>
      </c>
      <c r="AM171" s="427" t="str">
        <f>IF(ISERROR(AC171),"", IF(AC171=0, "", IF(AC171&gt;'Calculs Péremption FA'!$CB53, Paramétrage!$D$29, AF171)))</f>
        <v/>
      </c>
      <c r="AN171" s="251" t="str">
        <f>IF(ISERROR(AC171),Z171, IF(AC171=0, "", IF(AC171&gt;'Calculs Péremption FA'!$CB53, 'Calculs Péremption FA'!$BX53-Paramétrage!$D$29*(365/12), AG171)))</f>
        <v/>
      </c>
      <c r="AO171" s="252" t="str">
        <f>IF(ISERROR(AC171),AA171, IF(AC171=0, "", IF(AC171&gt;'Calculs Péremption FA'!$CB53, CONCATENATE('TRAD-Calculs dispo Données FA'!$B$88, " - ", 'Calculs Péremption FA'!$BY53, "/", 'Calculs Péremption FA'!$BZ53, "/", 'Calculs Péremption FA'!$CA53), AH171)))</f>
        <v/>
      </c>
      <c r="AP171" s="2140"/>
      <c r="AQ171" s="2141"/>
      <c r="AS171" s="2061">
        <f>Calculs!$O308</f>
        <v>0</v>
      </c>
      <c r="AT171" s="2377">
        <f>Calculs!$O199</f>
        <v>0</v>
      </c>
      <c r="AU171" s="2378">
        <f>Calculs!$N253</f>
        <v>0</v>
      </c>
      <c r="AV171" s="2070" t="str">
        <f>IF(AND(AU171=0, AS171=0, AT171=0), 'TRAD-Calculs dispo Données FA'!$B$82, "")</f>
        <v>Stock et besoin nul</v>
      </c>
      <c r="AW171" s="2073" t="str">
        <f>IF(AND(AU171=0, AS171&gt;0, AT171=0), CONCATENATE(AS171, 'TRAD-Calculs dispo Données FA'!$B$80," =0"), "")</f>
        <v/>
      </c>
      <c r="AX171" s="2063" t="str">
        <f>IF(AND(AS171=0, OR(AT171&gt;=1, AU171&gt;=1)), 'TRAD-Calculs dispo Données FA'!$B$81, "")</f>
        <v/>
      </c>
    </row>
    <row r="172" spans="3:51" s="358" customFormat="1" ht="25.5" x14ac:dyDescent="0.2">
      <c r="C172" s="374"/>
      <c r="D172" s="375" t="s">
        <v>26</v>
      </c>
      <c r="E172" s="376" t="str">
        <f>'Saisie données stocks'!F66</f>
        <v>NVP</v>
      </c>
      <c r="F172" s="377" t="str">
        <f>'Saisie données stocks'!G66</f>
        <v>Sol buv</v>
      </c>
      <c r="G172" s="377" t="str">
        <f>'Saisie données stocks'!H66</f>
        <v>10 mg/mL</v>
      </c>
      <c r="H172" s="89" t="str">
        <f>CONCATENATE(E172, " - ", G172, "-",'TRAD-Calculs dispo Données FA'!$B$83, "/", K172, "mL")</f>
        <v>NVP - 10 mg/mL-Fl/240mL</v>
      </c>
      <c r="I172" s="378"/>
      <c r="J172" s="378"/>
      <c r="K172" s="114">
        <f>'Saisie données stocks'!L66</f>
        <v>240</v>
      </c>
      <c r="L172" s="308">
        <f>'Saisie données stocks'!M66</f>
        <v>1</v>
      </c>
      <c r="M172" s="1820">
        <f>IF('Saisie données stocks'!$O$10='TRAD-Saisie données stocks'!$B$51, 'Calculs Péremption FA'!BU54, Calculs!M309)+IF('Saisie données stocks'!$M$76='TRAD-Saisie données stocks'!$B$51, Calculs!N309, "0")</f>
        <v>0</v>
      </c>
      <c r="N172" s="1820">
        <f>Calculs!O200</f>
        <v>0</v>
      </c>
      <c r="O172" s="1820">
        <f>Calculs!N254</f>
        <v>0</v>
      </c>
      <c r="P172"/>
      <c r="Q172" s="231" t="e">
        <f>IF(Calculs!N254&gt;0, (-(Calculs!N254+2*Calculs!O200)+SQRT((Calculs!N254+2*Calculs!O200)*(Calculs!N254+2*Calculs!O200)+8*Calculs!N254*(M172)))/(2*Calculs!N254), ((M172)/Calculs!O200))</f>
        <v>#DIV/0!</v>
      </c>
      <c r="R172" s="231" t="e">
        <f>Q172-Paramétrage!$D$29</f>
        <v>#DIV/0!</v>
      </c>
      <c r="S172" s="236" t="e">
        <f>IF(Q172&lt;Paramétrage!$D$29, Q172, Paramétrage!$D$29)</f>
        <v>#DIV/0!</v>
      </c>
      <c r="T172" s="247" t="e">
        <f>Paramétrage!$H$19+R172*(365/12)</f>
        <v>#DIV/0!</v>
      </c>
      <c r="U172" s="248" t="e">
        <f>IF(Q172&lt;Paramétrage!$D$29, Paramétrage!$H$19+S172*(365/12), Paramétrage!$H$19+Q172*(365/12))</f>
        <v>#DIV/0!</v>
      </c>
      <c r="W172" s="231" t="str">
        <f>IF(ISERROR(Q172),"", IF(Q172=0, "", IF(Q172&gt;'Calculs Péremption FA'!$CB54, 'Calculs Péremption FA'!$CB54, Q172)))</f>
        <v/>
      </c>
      <c r="X172" s="582" t="str">
        <f>IF(ISERROR(Q172),"", IF(Q172=0, "", IF(Q172&gt;'Calculs Péremption FA'!$CB54, 'Calculs Péremption FA'!$CB54-Paramétrage!$D$29, R172)))</f>
        <v/>
      </c>
      <c r="Y172" s="236" t="str">
        <f t="shared" si="26"/>
        <v/>
      </c>
      <c r="Z172" s="247" t="str">
        <f>IF(ISERROR(Q172),"", IF(Q172=0, "", IF(Q172&gt;'Calculs Péremption FA'!$CB54, 'Calculs Péremption FA'!$BX54-Paramétrage!$D$29*(365/12), T172)))</f>
        <v/>
      </c>
      <c r="AA172" s="248" t="str">
        <f>IF(ISERROR(Q172),AW172,IF(Q172=0,IF(AND(M172=0,OR(N172&gt;0,O172&gt;0)),AX172,""),IF('Saisie données stocks'!$O$10='TRAD-Saisie données stocks'!$B$51,IF('Calculs Péremption FA'!P54="OK",IF('Calculs Péremption FA'!BV54&gt;0,CONCATENATE('TRAD-Calculs dispo Données FA'!$B$88, " - ",'Calculs Péremption FA'!$BY54,"/",'Calculs Péremption FA'!$BZ54,"/",'Calculs Péremption FA'!$CA54),U172),IF(Q172&gt;'Saisie données stocks'!$N$14,'Calculs Péremption FA'!CC54,U172)),IF(Q172&gt;'Saisie données stocks'!$N$14,'Calculs Péremption FA'!CC54,U172))))</f>
        <v>3990B &amp; conso =0</v>
      </c>
      <c r="AC172" s="231" t="e">
        <f>(Calculs!O309)/Calculs!O200</f>
        <v>#DIV/0!</v>
      </c>
      <c r="AD172" s="231" t="e">
        <f t="shared" si="27"/>
        <v>#DIV/0!</v>
      </c>
      <c r="AE172" s="236" t="e">
        <f>AC172-Paramétrage!$D$29</f>
        <v>#DIV/0!</v>
      </c>
      <c r="AF172" s="241" t="e">
        <f>IF(AC172&lt;Paramétrage!$D$29, AC172, Paramétrage!$D$29)</f>
        <v>#DIV/0!</v>
      </c>
      <c r="AG172" s="247" t="e">
        <f>Paramétrage!$H$19+AE172*(365/12)</f>
        <v>#DIV/0!</v>
      </c>
      <c r="AH172" s="248" t="e">
        <f>IF(AC172&lt;Paramétrage!$D$29, Paramétrage!$H$19+AF172*(365/12), Paramétrage!$H$19+AC172*(365/12))</f>
        <v>#DIV/0!</v>
      </c>
      <c r="AJ172" s="231" t="str">
        <f>IF(ISERROR(AC172),"", IF(AC172=0, "", IF(AC172&gt;'Calculs Péremption FA'!$CB54, 'Calculs Péremption FA'!$CB54, AC172)))</f>
        <v/>
      </c>
      <c r="AK172" s="582" t="str">
        <f t="shared" si="28"/>
        <v/>
      </c>
      <c r="AL172" s="236" t="str">
        <f>IF(ISERROR(AC172),"", IF(AC172=0, "", IF(AC172&gt;'Calculs Péremption FA'!$CB54, 'Calculs Péremption FA'!$CB54-Paramétrage!$D$29, AE172)))</f>
        <v/>
      </c>
      <c r="AM172" s="425" t="str">
        <f>IF(ISERROR(AC172),"", IF(AC172=0, "", IF(AC172&gt;'Calculs Péremption FA'!$CB54, Paramétrage!$D$29, AF172)))</f>
        <v/>
      </c>
      <c r="AN172" s="247" t="str">
        <f>IF(ISERROR(AC172),Z172, IF(AC172=0, "", IF(AC172&gt;'Calculs Péremption FA'!$CB54, 'Calculs Péremption FA'!$BX54-Paramétrage!$D$29*(365/12), AG172)))</f>
        <v/>
      </c>
      <c r="AO172" s="248" t="str">
        <f>IF(ISERROR(AC172),AA172, IF(AC172=0, "", IF(AC172&gt;'Calculs Péremption FA'!$CB54, CONCATENATE('TRAD-Calculs dispo Données FA'!$B$88, " - ", 'Calculs Péremption FA'!$BY54, "/", 'Calculs Péremption FA'!$BZ54, "/", 'Calculs Péremption FA'!$CA54), AH172)))</f>
        <v>3990B &amp; conso =0</v>
      </c>
      <c r="AP172" s="2140"/>
      <c r="AQ172" s="2141"/>
      <c r="AS172" s="2061">
        <f>Calculs!$O309</f>
        <v>3990</v>
      </c>
      <c r="AT172" s="2377">
        <f>Calculs!$O200</f>
        <v>0</v>
      </c>
      <c r="AU172" s="2378">
        <f>Calculs!$N254</f>
        <v>0</v>
      </c>
      <c r="AV172" s="2070" t="str">
        <f>IF(AND(AU172=0, AS172=0, AT172=0), 'TRAD-Calculs dispo Données FA'!$B$82, "")</f>
        <v/>
      </c>
      <c r="AW172" s="2073" t="str">
        <f>IF(AND(AU172=0, AS172&gt;0, AT172=0), CONCATENATE(AS172, 'TRAD-Calculs dispo Données FA'!$B$80," =0"), "")</f>
        <v>3990B &amp; conso =0</v>
      </c>
      <c r="AX172" s="2063" t="str">
        <f>IF(AND(AS172=0, OR(AT172&gt;=1, AU172&gt;=1)), 'TRAD-Calculs dispo Données FA'!$B$81, "")</f>
        <v/>
      </c>
    </row>
    <row r="173" spans="3:51" s="358" customFormat="1" ht="25.5" x14ac:dyDescent="0.2">
      <c r="C173" s="374"/>
      <c r="D173" s="389"/>
      <c r="E173" s="390" t="str">
        <f>'Saisie données stocks'!F67</f>
        <v>EFV</v>
      </c>
      <c r="F173" s="391" t="str">
        <f>'Saisie données stocks'!G67</f>
        <v>Sol buv</v>
      </c>
      <c r="G173" s="391" t="str">
        <f>'Saisie données stocks'!H67</f>
        <v>30 mg/mL</v>
      </c>
      <c r="H173" s="1643" t="str">
        <f>CONCATENATE(E173, " - ", G173, "-",'TRAD-Calculs dispo Données FA'!$B$83, "/", K173, "mL")</f>
        <v>EFV - 30 mg/mL-Fl/180mL</v>
      </c>
      <c r="I173" s="401"/>
      <c r="J173" s="401"/>
      <c r="K173" s="116">
        <f>'Saisie données stocks'!L67</f>
        <v>180</v>
      </c>
      <c r="L173" s="311">
        <f>'Saisie données stocks'!M67</f>
        <v>1</v>
      </c>
      <c r="M173" s="1822">
        <f>IF('Saisie données stocks'!$O$10='TRAD-Saisie données stocks'!$B$51, 'Calculs Péremption FA'!BU55, Calculs!M310)+IF('Saisie données stocks'!$M$76='TRAD-Saisie données stocks'!$B$51, Calculs!N310, "0")</f>
        <v>0</v>
      </c>
      <c r="N173" s="1822">
        <f>Calculs!O201</f>
        <v>0</v>
      </c>
      <c r="O173" s="1822">
        <f>Calculs!N255</f>
        <v>0</v>
      </c>
      <c r="P173"/>
      <c r="Q173" s="233" t="e">
        <f>IF(Calculs!N255&gt;0, (-(Calculs!N255+2*Calculs!O201)+SQRT((Calculs!N255+2*Calculs!O201)*(Calculs!N255+2*Calculs!O201)+8*Calculs!N255*(M173)))/(2*Calculs!N255), ((M173)/Calculs!O201))</f>
        <v>#DIV/0!</v>
      </c>
      <c r="R173" s="233" t="e">
        <f>Q173-Paramétrage!$D$29</f>
        <v>#DIV/0!</v>
      </c>
      <c r="S173" s="238" t="e">
        <f>IF(Q173&lt;Paramétrage!$D$29, Q173, Paramétrage!$D$29)</f>
        <v>#DIV/0!</v>
      </c>
      <c r="T173" s="251" t="e">
        <f>Paramétrage!$H$19+R173*(365/12)</f>
        <v>#DIV/0!</v>
      </c>
      <c r="U173" s="252" t="e">
        <f>IF(Q173&lt;Paramétrage!$D$29, Paramétrage!$H$19+S173*(365/12), Paramétrage!$H$19+Q173*(365/12))</f>
        <v>#DIV/0!</v>
      </c>
      <c r="W173" s="233" t="str">
        <f>IF(ISERROR(Q173),"", IF(Q173=0, "", IF(Q173&gt;'Calculs Péremption FA'!$CB55, 'Calculs Péremption FA'!$CB55, Q173)))</f>
        <v/>
      </c>
      <c r="X173" s="575" t="str">
        <f>IF(ISERROR(Q173),"", IF(Q173=0, "", IF(Q173&gt;'Calculs Péremption FA'!$CB55, 'Calculs Péremption FA'!$CB55-Paramétrage!$D$29, R173)))</f>
        <v/>
      </c>
      <c r="Y173" s="238" t="str">
        <f t="shared" si="26"/>
        <v/>
      </c>
      <c r="Z173" s="251" t="str">
        <f>IF(ISERROR(Q173),"", IF(Q173=0, "", IF(Q173&gt;'Calculs Péremption FA'!$CB55, 'Calculs Péremption FA'!$BX55-Paramétrage!$D$29*(365/12), T173)))</f>
        <v/>
      </c>
      <c r="AA173" s="252" t="str">
        <f>IF(ISERROR(Q173),AW173,IF(Q173=0,IF(AND(M173=0,OR(N173&gt;0,O173&gt;0)),AX173,""),IF('Saisie données stocks'!$O$10='TRAD-Saisie données stocks'!$B$51,IF('Calculs Péremption FA'!P55="OK",IF('Calculs Péremption FA'!BV55&gt;0,CONCATENATE('TRAD-Calculs dispo Données FA'!$B$88, " - ",'Calculs Péremption FA'!$BY55,"/",'Calculs Péremption FA'!$BZ55,"/",'Calculs Péremption FA'!$CA55),U173),IF(Q173&gt;'Saisie données stocks'!$N$14,'Calculs Péremption FA'!CC55,U173)),IF(Q173&gt;'Saisie données stocks'!$N$14,'Calculs Péremption FA'!CC55,U173))))</f>
        <v/>
      </c>
      <c r="AC173" s="233" t="e">
        <f>(Calculs!O310)/Calculs!O201</f>
        <v>#DIV/0!</v>
      </c>
      <c r="AD173" s="233" t="e">
        <f t="shared" si="27"/>
        <v>#DIV/0!</v>
      </c>
      <c r="AE173" s="238" t="e">
        <f>AC173-Paramétrage!$D$29</f>
        <v>#DIV/0!</v>
      </c>
      <c r="AF173" s="243" t="e">
        <f>IF(AC173&lt;Paramétrage!$D$29, AC173, Paramétrage!$D$29)</f>
        <v>#DIV/0!</v>
      </c>
      <c r="AG173" s="251" t="e">
        <f>Paramétrage!$H$19+AE173*(365/12)</f>
        <v>#DIV/0!</v>
      </c>
      <c r="AH173" s="252" t="e">
        <f>IF(AC173&lt;Paramétrage!$D$29, Paramétrage!$H$19+AF173*(365/12), Paramétrage!$H$19+AC173*(365/12))</f>
        <v>#DIV/0!</v>
      </c>
      <c r="AJ173" s="233" t="str">
        <f>IF(ISERROR(AC173),"", IF(AC173=0, "", IF(AC173&gt;'Calculs Péremption FA'!$CB55, 'Calculs Péremption FA'!$CB55, AC173)))</f>
        <v/>
      </c>
      <c r="AK173" s="575" t="str">
        <f t="shared" si="28"/>
        <v/>
      </c>
      <c r="AL173" s="238" t="str">
        <f>IF(ISERROR(AC173),"", IF(AC173=0, "", IF(AC173&gt;'Calculs Péremption FA'!$CB55, 'Calculs Péremption FA'!$CB55-Paramétrage!$D$29, AE173)))</f>
        <v/>
      </c>
      <c r="AM173" s="427" t="str">
        <f>IF(ISERROR(AC173),"", IF(AC173=0, "", IF(AC173&gt;'Calculs Péremption FA'!$CB55, Paramétrage!$D$29, AF173)))</f>
        <v/>
      </c>
      <c r="AN173" s="251" t="str">
        <f>IF(ISERROR(AC173),Z173, IF(AC173=0, "", IF(AC173&gt;'Calculs Péremption FA'!$CB55, 'Calculs Péremption FA'!$BX55-Paramétrage!$D$29*(365/12), AG173)))</f>
        <v/>
      </c>
      <c r="AO173" s="252" t="str">
        <f>IF(ISERROR(AC173),AA173, IF(AC173=0, "", IF(AC173&gt;'Calculs Péremption FA'!$CB55, CONCATENATE('TRAD-Calculs dispo Données FA'!$B$88, " - ", 'Calculs Péremption FA'!$BY55, "/", 'Calculs Péremption FA'!$BZ55, "/", 'Calculs Péremption FA'!$CA55), AH173)))</f>
        <v/>
      </c>
      <c r="AP173" s="2140"/>
      <c r="AQ173" s="2141"/>
      <c r="AS173" s="2061">
        <f>Calculs!$O310</f>
        <v>0</v>
      </c>
      <c r="AT173" s="2377">
        <f>Calculs!$O201</f>
        <v>0</v>
      </c>
      <c r="AU173" s="2378">
        <f>Calculs!$N255</f>
        <v>0</v>
      </c>
      <c r="AV173" s="2070" t="str">
        <f>IF(AND(AU173=0, AS173=0, AT173=0), 'TRAD-Calculs dispo Données FA'!$B$82, "")</f>
        <v>Stock et besoin nul</v>
      </c>
      <c r="AW173" s="2073" t="str">
        <f>IF(AND(AU173=0, AS173&gt;0, AT173=0), CONCATENATE(AS173, 'TRAD-Calculs dispo Données FA'!$B$80," =0"), "")</f>
        <v/>
      </c>
      <c r="AX173" s="2063" t="str">
        <f>IF(AND(AS173=0, OR(AT173&gt;=1, AU173&gt;=1)), 'TRAD-Calculs dispo Données FA'!$B$81, "")</f>
        <v/>
      </c>
    </row>
    <row r="174" spans="3:51" s="358" customFormat="1" ht="26.25" thickBot="1" x14ac:dyDescent="0.25">
      <c r="C174" s="404"/>
      <c r="D174" s="408" t="s">
        <v>41</v>
      </c>
      <c r="E174" s="409" t="str">
        <f>'Saisie données stocks'!F68</f>
        <v>LPV/r</v>
      </c>
      <c r="F174" s="410" t="str">
        <f>'Saisie données stocks'!G68</f>
        <v>Sol buv</v>
      </c>
      <c r="G174" s="410" t="str">
        <f>'Saisie données stocks'!H68</f>
        <v>80/20 mg/mL</v>
      </c>
      <c r="H174" s="107" t="str">
        <f>CONCATENATE(E174, " - ", G174, "-",'TRAD-Calculs dispo Données FA'!$B$83, "/", K174, "mL")</f>
        <v>LPV/r - 80/20 mg/mL-Fl/60mL</v>
      </c>
      <c r="I174" s="411"/>
      <c r="J174" s="411"/>
      <c r="K174" s="312">
        <f>'Saisie données stocks'!L68</f>
        <v>60</v>
      </c>
      <c r="L174" s="313">
        <f>'Saisie données stocks'!M68</f>
        <v>4</v>
      </c>
      <c r="M174" s="1825">
        <f>IF('Saisie données stocks'!$O$10='TRAD-Saisie données stocks'!$B$51, 'Calculs Péremption FA'!BU56, Calculs!M311)+IF('Saisie données stocks'!$M$76='TRAD-Saisie données stocks'!$B$51, Calculs!N311, "0")</f>
        <v>0</v>
      </c>
      <c r="N174" s="1825">
        <f>Calculs!O202</f>
        <v>0</v>
      </c>
      <c r="O174" s="1825">
        <f>Calculs!N256</f>
        <v>0</v>
      </c>
      <c r="P174"/>
      <c r="Q174" s="350" t="e">
        <f>IF(Calculs!N256&gt;0, (-(Calculs!N256+2*Calculs!O202)+SQRT((Calculs!N256+2*Calculs!O202)*(Calculs!N256+2*Calculs!O202)+8*Calculs!N256*(M174)))/(2*Calculs!N256), ((M174)/Calculs!O202))</f>
        <v>#DIV/0!</v>
      </c>
      <c r="R174" s="350" t="e">
        <f>Q174-Paramétrage!$D$29</f>
        <v>#DIV/0!</v>
      </c>
      <c r="S174" s="351" t="e">
        <f>IF(Q174&lt;Paramétrage!$D$29, Q174, Paramétrage!$D$29)</f>
        <v>#DIV/0!</v>
      </c>
      <c r="T174" s="353" t="e">
        <f>Paramétrage!$H$19+R174*(365/12)</f>
        <v>#DIV/0!</v>
      </c>
      <c r="U174" s="354" t="e">
        <f>IF(Q174&lt;Paramétrage!$D$29, Paramétrage!$H$19+S174*(365/12), Paramétrage!$H$19+Q174*(365/12))</f>
        <v>#DIV/0!</v>
      </c>
      <c r="W174" s="350" t="str">
        <f>IF(ISERROR(Q174),"", IF(Q174=0, "", IF(Q174&gt;'Calculs Péremption FA'!$CB56, 'Calculs Péremption FA'!$CB56, Q174)))</f>
        <v/>
      </c>
      <c r="X174" s="585" t="str">
        <f>IF(ISERROR(Q174),"", IF(Q174=0, "", IF(Q174&gt;'Calculs Péremption FA'!$CB56, 'Calculs Péremption FA'!$CB56-Paramétrage!$D$29, R174)))</f>
        <v/>
      </c>
      <c r="Y174" s="351" t="str">
        <f t="shared" si="26"/>
        <v/>
      </c>
      <c r="Z174" s="353" t="str">
        <f>IF(ISERROR(Q174),"", IF(Q174=0, "", IF(Q174&gt;'Calculs Péremption FA'!$CB56, 'Calculs Péremption FA'!$BX56-Paramétrage!$D$29*(365/12), T174)))</f>
        <v/>
      </c>
      <c r="AA174" s="354" t="str">
        <f>IF(ISERROR(Q174),AW174,IF(Q174=0,IF(AND(M174=0,OR(N174&gt;0,O174&gt;0)),AX174,""),IF('Saisie données stocks'!$O$10='TRAD-Saisie données stocks'!$B$51,IF('Calculs Péremption FA'!P56="OK",IF('Calculs Péremption FA'!BV56&gt;0,CONCATENATE('TRAD-Calculs dispo Données FA'!$B$88, " - ",'Calculs Péremption FA'!$BY56,"/",'Calculs Péremption FA'!$BZ56,"/",'Calculs Péremption FA'!$CA56),U174),IF(Q174&gt;'Saisie données stocks'!$N$14,'Calculs Péremption FA'!CC56,U174)),IF(Q174&gt;'Saisie données stocks'!$N$14,'Calculs Péremption FA'!CC56,U174))))</f>
        <v/>
      </c>
      <c r="AC174" s="350" t="e">
        <f>(Calculs!O311)/Calculs!O202</f>
        <v>#DIV/0!</v>
      </c>
      <c r="AD174" s="350" t="e">
        <f t="shared" si="27"/>
        <v>#DIV/0!</v>
      </c>
      <c r="AE174" s="351" t="e">
        <f>AC174-Paramétrage!$D$29</f>
        <v>#DIV/0!</v>
      </c>
      <c r="AF174" s="352" t="e">
        <f>IF(AC174&lt;Paramétrage!$D$29, AC174, Paramétrage!$D$29)</f>
        <v>#DIV/0!</v>
      </c>
      <c r="AG174" s="353" t="e">
        <f>Paramétrage!$H$19+AE174*(365/12)</f>
        <v>#DIV/0!</v>
      </c>
      <c r="AH174" s="354" t="e">
        <f>IF(AC174&lt;Paramétrage!$D$29, Paramétrage!$H$19+AF174*(365/12), Paramétrage!$H$19+AC174*(365/12))</f>
        <v>#DIV/0!</v>
      </c>
      <c r="AJ174" s="350" t="str">
        <f>IF(ISERROR(AC174),"", IF(AC174=0, "", IF(AC174&gt;'Calculs Péremption FA'!$CB56, 'Calculs Péremption FA'!$CB56, AC174)))</f>
        <v/>
      </c>
      <c r="AK174" s="585" t="str">
        <f t="shared" si="28"/>
        <v/>
      </c>
      <c r="AL174" s="351" t="str">
        <f>IF(ISERROR(AC174),"", IF(AC174=0, "", IF(AC174&gt;'Calculs Péremption FA'!$CB56, 'Calculs Péremption FA'!$CB56-Paramétrage!$D$29, AE174)))</f>
        <v/>
      </c>
      <c r="AM174" s="430" t="str">
        <f>IF(ISERROR(AC174),"", IF(AC174=0, "", IF(AC174&gt;'Calculs Péremption FA'!$CB56, Paramétrage!$D$29, AF174)))</f>
        <v/>
      </c>
      <c r="AN174" s="353" t="str">
        <f>IF(ISERROR(AC174),Z174, IF(AC174=0, "", IF(AC174&gt;'Calculs Péremption FA'!$CB56, 'Calculs Péremption FA'!$BX56-Paramétrage!$D$29*(365/12), AG174)))</f>
        <v/>
      </c>
      <c r="AO174" s="354" t="str">
        <f>IF(ISERROR(AC174),AA174, IF(AC174=0, "", IF(AC174&gt;'Calculs Péremption FA'!$CB56, CONCATENATE('TRAD-Calculs dispo Données FA'!$B$88, " - ", 'Calculs Péremption FA'!$BY56, "/", 'Calculs Péremption FA'!$BZ56, "/", 'Calculs Péremption FA'!$CA56), AH174)))</f>
        <v/>
      </c>
      <c r="AP174" s="2140"/>
      <c r="AQ174" s="2141"/>
      <c r="AS174" s="2064">
        <f>Calculs!$O311</f>
        <v>0</v>
      </c>
      <c r="AT174" s="2379">
        <f>Calculs!$O202</f>
        <v>0</v>
      </c>
      <c r="AU174" s="2380">
        <f>Calculs!$N256</f>
        <v>0</v>
      </c>
      <c r="AV174" s="2071" t="str">
        <f>IF(AND(AU174=0, AS174=0, AT174=0), 'TRAD-Calculs dispo Données FA'!$B$82, "")</f>
        <v>Stock et besoin nul</v>
      </c>
      <c r="AW174" s="2073" t="str">
        <f>IF(AND(AU174=0, AS174&gt;0, AT174=0), CONCATENATE(AS174, 'TRAD-Calculs dispo Données FA'!$B$80," =0"), "")</f>
        <v/>
      </c>
      <c r="AX174" s="2063" t="str">
        <f>IF(AND(AS174=0, OR(AT174&gt;=1, AU174&gt;=1)), 'TRAD-Calculs dispo Données FA'!$B$81, "")</f>
        <v/>
      </c>
    </row>
    <row r="175" spans="3:51" x14ac:dyDescent="0.2">
      <c r="U175" s="361"/>
      <c r="AG175" s="361"/>
      <c r="AP175" s="2137"/>
      <c r="AQ175" s="2137"/>
      <c r="AX175" s="356"/>
      <c r="AY175" s="356"/>
    </row>
    <row r="176" spans="3:51" s="358" customFormat="1" x14ac:dyDescent="0.2">
      <c r="C176" s="412"/>
      <c r="D176" s="413"/>
      <c r="E176" s="414"/>
      <c r="F176" s="415"/>
      <c r="G176" s="415"/>
      <c r="H176" s="416"/>
      <c r="I176" s="416"/>
      <c r="J176" s="416"/>
      <c r="K176" s="417"/>
      <c r="L176" s="418"/>
      <c r="P176"/>
      <c r="T176" s="361"/>
      <c r="U176" s="361"/>
      <c r="AF176" s="361"/>
      <c r="AG176" s="361"/>
      <c r="AK176" s="500"/>
    </row>
    <row r="177" spans="2:79" s="358" customFormat="1" ht="14.25" x14ac:dyDescent="0.2">
      <c r="B177" s="359" t="str">
        <f>'TRAD-Calculs dispo Données FA'!B74</f>
        <v>1.D. Avec les stocks actuellement disponibles (niveau central &amp; périphériques) &amp; les commandes attendues à cours termes.</v>
      </c>
      <c r="C177" s="359"/>
      <c r="D177" s="359"/>
      <c r="E177" s="359"/>
      <c r="F177" s="359"/>
      <c r="G177" s="359"/>
      <c r="H177" s="359"/>
      <c r="I177" s="359"/>
      <c r="J177" s="359"/>
      <c r="K177" s="359"/>
      <c r="L177" s="359"/>
      <c r="M177" s="360"/>
      <c r="N177" s="360"/>
      <c r="O177" s="360"/>
      <c r="P177"/>
      <c r="Q177" s="360"/>
      <c r="T177" s="361"/>
      <c r="U177" s="361"/>
      <c r="AF177" s="361"/>
      <c r="AG177" s="361"/>
      <c r="AK177" s="500"/>
    </row>
    <row r="178" spans="2:79" ht="13.5" thickBot="1" x14ac:dyDescent="0.25">
      <c r="Q178" s="356" t="str">
        <f>'TRAD-Calculs dispo Données FA'!B24</f>
        <v>CALCULS avec croissance des besoins / Stocks dispo centraux et périph &amp; commandes</v>
      </c>
      <c r="AX178" s="356"/>
      <c r="AY178" s="356"/>
    </row>
    <row r="179" spans="2:79" ht="13.5" thickBot="1" x14ac:dyDescent="0.25">
      <c r="C179" s="1886" t="str">
        <f>'TRAD-Calculs dispo Données FA'!B7</f>
        <v>Nature des stocks utilisés :</v>
      </c>
      <c r="D179" s="845"/>
      <c r="E179" s="845"/>
      <c r="F179" s="1887" t="str">
        <f>CONCATENATE('TRAD-Calculs dispo Données FA'!$B$8, " ", Calculs!D494, 'TRAD-Calculs dispo Données FA'!$B$84)</f>
        <v>Stocks centraux &amp; Commandes</v>
      </c>
      <c r="M179" s="356"/>
      <c r="N179" s="356"/>
      <c r="O179" s="356"/>
      <c r="Q179" s="1872" t="str">
        <f>'TRAD-Calculs dispo Données FA'!B31</f>
        <v>CALCULS de la période couverte par les commandes seules avec croissance des besoins</v>
      </c>
      <c r="T179" s="1873"/>
      <c r="U179" s="1873"/>
      <c r="V179" s="1873"/>
      <c r="W179" s="1873"/>
      <c r="X179" s="1873"/>
      <c r="Y179" s="1873"/>
      <c r="Z179" s="1873"/>
      <c r="AA179" s="1874"/>
      <c r="AC179" s="1872" t="str">
        <f>'TRAD-Calculs dispo Données FA'!B30</f>
        <v>CALCULS Marge extrême arrêt d'initiations / Stocks dispo centraux et périph &amp; commandes</v>
      </c>
      <c r="AD179" s="1873"/>
      <c r="AE179" s="1873"/>
      <c r="AF179" s="1873"/>
      <c r="AG179" s="1873"/>
      <c r="AH179" s="1873"/>
      <c r="AI179" s="1873"/>
      <c r="AJ179" s="1873"/>
      <c r="AK179" s="1873"/>
      <c r="AL179" s="1873"/>
      <c r="AM179" s="1873"/>
      <c r="AN179" s="1873"/>
      <c r="AO179" s="1873"/>
      <c r="AP179" s="1873"/>
      <c r="AQ179" s="1873"/>
      <c r="AR179" s="1873"/>
      <c r="AT179" s="1874"/>
      <c r="AV179" s="1872" t="str">
        <f>'TRAD-Calculs dispo Données FA'!B32</f>
        <v>CALCULS Marge extrême arrêt d'initiations par les commandes seules / Stocks dispo centraux et périph &amp; commandes</v>
      </c>
      <c r="AW179" s="1873"/>
      <c r="AX179" s="1873"/>
      <c r="AY179" s="1873"/>
      <c r="AZ179" s="1873"/>
      <c r="BA179" s="1873"/>
      <c r="BB179" s="1873"/>
      <c r="BC179" s="1873"/>
      <c r="BD179" s="1873"/>
      <c r="BE179" s="1873"/>
      <c r="BF179" s="1874"/>
      <c r="BH179" s="1872"/>
      <c r="BI179" s="1875"/>
      <c r="BJ179" s="1875"/>
      <c r="BK179" s="1875"/>
      <c r="BL179" s="1875"/>
      <c r="BM179" s="1875"/>
      <c r="BN179" s="1875"/>
      <c r="BO179" s="1875"/>
      <c r="BP179" s="1875"/>
      <c r="BQ179" s="1875"/>
      <c r="BR179" s="1875"/>
      <c r="BS179" s="1875"/>
      <c r="BT179" s="1876"/>
    </row>
    <row r="180" spans="2:79" ht="26.25" thickBot="1" x14ac:dyDescent="0.25">
      <c r="M180" s="356"/>
      <c r="N180" s="356"/>
      <c r="O180" s="356"/>
      <c r="R180" s="1877"/>
      <c r="S180" s="1877"/>
      <c r="U180" s="357" t="str">
        <f>'TRAD-Calculs dispo Données FA'!B27</f>
        <v>Données nettoyées pour représentation graphique</v>
      </c>
      <c r="V180" s="579"/>
      <c r="W180" s="1878"/>
      <c r="X180" s="1877"/>
      <c r="Y180" s="1877"/>
      <c r="Z180" s="1877"/>
      <c r="AA180" s="1879"/>
      <c r="AC180" s="476"/>
      <c r="AF180" s="499"/>
      <c r="AJ180" s="356" t="str">
        <f>'TRAD-Calculs dispo Données FA'!B75</f>
        <v>Stocks centraux, périphériques et commandes</v>
      </c>
      <c r="AK180" s="356"/>
      <c r="AM180" s="1049" t="str">
        <f>'TRAD-Calculs dispo Données FA'!B27</f>
        <v>Données nettoyées pour représentation graphique</v>
      </c>
      <c r="AN180" s="579"/>
      <c r="AO180" s="1878"/>
      <c r="AP180" s="1877"/>
      <c r="AQ180" s="1877"/>
      <c r="AR180" s="1877"/>
      <c r="AS180" s="1877"/>
      <c r="AT180" s="1879"/>
      <c r="AV180" s="355"/>
      <c r="AW180" s="1877"/>
      <c r="AX180" s="1877"/>
      <c r="AY180" s="431" t="str">
        <f>'TRAD-Calculs dispo Données FA'!B75</f>
        <v>Stocks centraux, périphériques et commandes</v>
      </c>
      <c r="AZ180" s="357" t="str">
        <f>'TRAD-Calculs dispo Données FA'!B27</f>
        <v>Données nettoyées pour représentation graphique</v>
      </c>
      <c r="BA180" s="579"/>
      <c r="BB180" s="1880"/>
      <c r="BC180" s="1881"/>
      <c r="BD180" s="1881"/>
      <c r="BE180" s="1881"/>
      <c r="BF180" s="1882"/>
      <c r="BH180" s="476"/>
      <c r="BK180" s="499"/>
      <c r="BL180" s="357" t="str">
        <f>'TRAD-Calculs dispo Données FA'!B75</f>
        <v>Stocks centraux, périphériques et commandes</v>
      </c>
      <c r="BM180" s="356" t="str">
        <f>'TRAD-Calculs dispo Données FA'!B27</f>
        <v>Données nettoyées pour représentation graphique</v>
      </c>
      <c r="BN180" s="579"/>
      <c r="BO180" s="1878" t="str">
        <f>'TRAD-Calculs dispo Données FA'!B48</f>
        <v>Stock</v>
      </c>
      <c r="BP180" s="1883"/>
      <c r="BQ180" s="1883"/>
      <c r="BR180" s="1883"/>
      <c r="BS180" s="1883"/>
      <c r="BT180" s="1884"/>
      <c r="BU180" s="356" t="str">
        <f>'TRAD-Calculs dispo Données FA'!B49</f>
        <v>besoin actuel</v>
      </c>
      <c r="BV180" s="2077" t="str">
        <f>'TRAD-Calculs dispo Données FA'!B48</f>
        <v>Stock</v>
      </c>
      <c r="BW180" s="2078" t="str">
        <f>'TRAD-Calculs dispo Données FA'!B49</f>
        <v>besoin actuel</v>
      </c>
      <c r="BX180" s="2079" t="str">
        <f>'TRAD-Calculs dispo Données FA'!B50</f>
        <v>Progression besoin</v>
      </c>
      <c r="BY180" s="2077" t="str">
        <f>'TRAD-Calculs dispo Données FA'!B51</f>
        <v>Eval</v>
      </c>
      <c r="BZ180" s="2078" t="str">
        <f>'TRAD-Calculs dispo Données FA'!B51</f>
        <v>Eval</v>
      </c>
      <c r="CA180" s="2080" t="str">
        <f>'TRAD-Calculs dispo Données FA'!B51</f>
        <v>Eval</v>
      </c>
    </row>
    <row r="181" spans="2:79" s="358" customFormat="1" ht="64.5" thickBot="1" x14ac:dyDescent="0.25">
      <c r="C181" s="2671" t="str">
        <f>'TRAD-Calculs dispo Données FA'!B9</f>
        <v>Classe forme galénique</v>
      </c>
      <c r="D181" s="2672" t="str">
        <f>'TRAD-Calculs dispo Données FA'!B10</f>
        <v>Classe thérapeutique</v>
      </c>
      <c r="E181" s="2673" t="str">
        <f>'TRAD-Calculs dispo Données FA'!B11</f>
        <v>Composition</v>
      </c>
      <c r="F181" s="2674" t="str">
        <f>'TRAD-Calculs dispo Données FA'!B12</f>
        <v>Forme galénique</v>
      </c>
      <c r="G181" s="2674" t="str">
        <f>'TRAD-Calculs dispo Données FA'!B13</f>
        <v>Dosage</v>
      </c>
      <c r="H181" s="2674" t="str">
        <f>'TRAD-Calculs dispo Données FA'!B14</f>
        <v>Nom pour représentation graphique</v>
      </c>
      <c r="I181" s="2674" t="str">
        <f>'TRAD-Calculs dispo Données FA'!B15</f>
        <v>Nb de prise / jour</v>
      </c>
      <c r="J181" s="2674" t="str">
        <f>'TRAD-Calculs dispo Données FA'!B16</f>
        <v>Nb de prise / mois</v>
      </c>
      <c r="K181" s="2674" t="str">
        <f>'TRAD-Calculs dispo Données FA'!B17</f>
        <v>Conditionnement</v>
      </c>
      <c r="L181" s="2675" t="str">
        <f>'TRAD-Calculs dispo Données FA'!B20</f>
        <v>Nb de boites nécessaire pour 1 mois pour 1 patient</v>
      </c>
      <c r="M181" s="2676" t="str">
        <f>'TRAD-Calculs dispo Données FA'!B21</f>
        <v>Stock disponible UTILISABLE au niveau considéré (nb de boites)</v>
      </c>
      <c r="N181" s="2677" t="str">
        <f>'TRAD-Calculs dispo Données FA'!B33</f>
        <v>Besoin mensuel patients suivis selon méthode</v>
      </c>
      <c r="O181" s="2677" t="str">
        <f>'TRAD-Calculs dispo Données FA'!B34</f>
        <v>Besoin mensuel patients initiés selon méthode</v>
      </c>
      <c r="P181"/>
      <c r="Q181" s="346" t="str">
        <f>'TRAD-Calculs dispo Données FA'!B35</f>
        <v>Nombre de mois de disponibilité de produits</v>
      </c>
      <c r="R181" s="347" t="str">
        <f>'TRAD-Calculs dispo Données FA'!B37</f>
        <v>Nombre de mois de disponibilité de produits hors ST</v>
      </c>
      <c r="S181" s="424" t="str">
        <f>'TRAD-Calculs dispo Données FA'!B38</f>
        <v>Nombre de mois de stock tampon (ST)</v>
      </c>
      <c r="T181" s="348" t="str">
        <f>'TRAD-Calculs dispo Données FA'!B39</f>
        <v>Date d'entrée en stock tampon</v>
      </c>
      <c r="U181" s="349" t="str">
        <f>'TRAD-Calculs dispo Données FA'!B40</f>
        <v>Date de rupture attendue</v>
      </c>
      <c r="W181" s="346" t="str">
        <f>'TRAD-Calculs dispo Données FA'!B35</f>
        <v>Nombre de mois de disponibilité de produits</v>
      </c>
      <c r="X181" s="347" t="str">
        <f>'TRAD-Calculs dispo Données FA'!B37</f>
        <v>Nombre de mois de disponibilité de produits hors ST</v>
      </c>
      <c r="Y181" s="424" t="str">
        <f>'TRAD-Calculs dispo Données FA'!B38</f>
        <v>Nombre de mois de stock tampon (ST)</v>
      </c>
      <c r="Z181" s="348" t="str">
        <f>'TRAD-Calculs dispo Données FA'!B39</f>
        <v>Date d'entrée en stock tampon</v>
      </c>
      <c r="AA181" s="349" t="str">
        <f>'TRAD-Calculs dispo Données FA'!B40</f>
        <v>Date de rupture attendue</v>
      </c>
      <c r="AC181" s="346" t="str">
        <f>'TRAD-Calculs dispo Données FA'!B70</f>
        <v>Différence nb de mois / commande</v>
      </c>
      <c r="AD181" s="347" t="str">
        <f>'TRAD-Calculs dispo Données FA'!B37</f>
        <v>Nombre de mois de disponibilité de produits hors ST</v>
      </c>
      <c r="AE181" s="424" t="str">
        <f>'TRAD-Calculs dispo Données FA'!B38</f>
        <v>Nombre de mois de stock tampon (ST)</v>
      </c>
      <c r="AF181" s="347" t="str">
        <f>'TRAD-Calculs dispo Données FA'!B47</f>
        <v>Delta sur commande / ST</v>
      </c>
      <c r="AG181" s="348" t="str">
        <f>'TRAD-Calculs dispo Données FA'!B39</f>
        <v>Date d'entrée en stock tampon</v>
      </c>
      <c r="AH181" s="349" t="str">
        <f>'TRAD-Calculs dispo Données FA'!B40</f>
        <v>Date de rupture attendue</v>
      </c>
      <c r="AI181" s="348" t="str">
        <f>'TRAD-Calculs dispo Données FA'!B41</f>
        <v>Date de réception attendue</v>
      </c>
      <c r="AJ181" s="349" t="str">
        <f>'TRAD-Calculs dispo Données FA'!B42</f>
        <v>Delta Dispo/date de réception attendue</v>
      </c>
      <c r="AK181" s="347" t="str">
        <f>'TRAD-Calculs dispo Données FA'!B43</f>
        <v>Réajustement stock (si &gt;DLU max)</v>
      </c>
      <c r="AL181" s="424" t="str">
        <f>'TRAD-Calculs dispo Données FA'!B44</f>
        <v>Réajustement  / commande Si &gt; DLU</v>
      </c>
      <c r="AM181" s="349" t="str">
        <f>'TRAD-Calculs dispo Données FA'!B45</f>
        <v>Date de rupture finale attendue</v>
      </c>
      <c r="AO181" s="346" t="str">
        <f>'TRAD-Calculs dispo Données FA'!B71</f>
        <v>Nb de mois de stock / commande attendue</v>
      </c>
      <c r="AP181" s="347" t="str">
        <f>'TRAD-Calculs dispo Données FA'!B37</f>
        <v>Nombre de mois de disponibilité de produits hors ST</v>
      </c>
      <c r="AQ181" s="424" t="str">
        <f>'TRAD-Calculs dispo Données FA'!B38</f>
        <v>Nombre de mois de stock tampon (ST)</v>
      </c>
      <c r="AR181" s="347" t="str">
        <f>'TRAD-Calculs dispo Données FA'!B47</f>
        <v>Delta sur commande / ST</v>
      </c>
      <c r="AS181" s="348" t="str">
        <f>'TRAD-Calculs dispo Données FA'!B39</f>
        <v>Date d'entrée en stock tampon</v>
      </c>
      <c r="AT181" s="349" t="str">
        <f>'TRAD-Calculs dispo Données FA'!B40</f>
        <v>Date de rupture attendue</v>
      </c>
      <c r="AV181" s="346" t="str">
        <f>'TRAD-Calculs dispo Données FA'!B35</f>
        <v>Nombre de mois de disponibilité de produits</v>
      </c>
      <c r="AW181" s="347" t="str">
        <f>'TRAD-Calculs dispo Données FA'!B37</f>
        <v>Nombre de mois de disponibilité de produits hors ST</v>
      </c>
      <c r="AX181" s="424" t="str">
        <f>'TRAD-Calculs dispo Données FA'!B38</f>
        <v>Nombre de mois de stock tampon (ST)</v>
      </c>
      <c r="AY181" s="348" t="str">
        <f>'TRAD-Calculs dispo Données FA'!B39</f>
        <v>Date d'entrée en stock tampon</v>
      </c>
      <c r="AZ181" s="349" t="str">
        <f>'TRAD-Calculs dispo Données FA'!B40</f>
        <v>Date de rupture attendue</v>
      </c>
      <c r="BB181" s="346" t="str">
        <f>'TRAD-Calculs dispo Données FA'!B35</f>
        <v>Nombre de mois de disponibilité de produits</v>
      </c>
      <c r="BC181" s="347" t="str">
        <f>'TRAD-Calculs dispo Données FA'!B37</f>
        <v>Nombre de mois de disponibilité de produits hors ST</v>
      </c>
      <c r="BD181" s="424" t="str">
        <f>'TRAD-Calculs dispo Données FA'!B38</f>
        <v>Nombre de mois de stock tampon (ST)</v>
      </c>
      <c r="BE181" s="348" t="str">
        <f>'TRAD-Calculs dispo Données FA'!B39</f>
        <v>Date d'entrée en stock tampon</v>
      </c>
      <c r="BF181" s="349" t="str">
        <f>'TRAD-Calculs dispo Données FA'!B40</f>
        <v>Date de rupture attendue</v>
      </c>
      <c r="BH181" s="346" t="str">
        <f>'TRAD-Calculs dispo Données FA'!B70</f>
        <v>Différence nb de mois / commande</v>
      </c>
      <c r="BI181" s="347" t="str">
        <f>'TRAD-Calculs dispo Données FA'!B37</f>
        <v>Nombre de mois de disponibilité de produits hors ST</v>
      </c>
      <c r="BJ181" s="424" t="str">
        <f>'TRAD-Calculs dispo Données FA'!B38</f>
        <v>Nombre de mois de stock tampon (ST)</v>
      </c>
      <c r="BK181" s="347" t="str">
        <f>'TRAD-Calculs dispo Données FA'!B47</f>
        <v>Delta sur commande / ST</v>
      </c>
      <c r="BL181" s="348" t="str">
        <f>'TRAD-Calculs dispo Données FA'!B39</f>
        <v>Date d'entrée en stock tampon</v>
      </c>
      <c r="BM181" s="349" t="str">
        <f>'TRAD-Calculs dispo Données FA'!B40</f>
        <v>Date de rupture attendue</v>
      </c>
      <c r="BO181" s="346" t="str">
        <f>'TRAD-Calculs dispo Données FA'!B71</f>
        <v>Nb de mois de stock / commande attendue</v>
      </c>
      <c r="BP181" s="347" t="str">
        <f>'TRAD-Calculs dispo Données FA'!B37</f>
        <v>Nombre de mois de disponibilité de produits hors ST</v>
      </c>
      <c r="BQ181" s="424" t="str">
        <f>'TRAD-Calculs dispo Données FA'!B38</f>
        <v>Nombre de mois de stock tampon (ST)</v>
      </c>
      <c r="BR181" s="347" t="str">
        <f>'TRAD-Calculs dispo Données FA'!B47</f>
        <v>Delta sur commande / ST</v>
      </c>
      <c r="BS181" s="348" t="str">
        <f>'TRAD-Calculs dispo Données FA'!B39</f>
        <v>Date d'entrée en stock tampon</v>
      </c>
      <c r="BT181" s="349" t="str">
        <f>'TRAD-Calculs dispo Données FA'!B40</f>
        <v>Date de rupture attendue</v>
      </c>
      <c r="BV181" s="2058" t="s">
        <v>566</v>
      </c>
      <c r="BW181" s="2059" t="s">
        <v>561</v>
      </c>
      <c r="BX181" s="2067" t="s">
        <v>562</v>
      </c>
      <c r="BY181" s="2058" t="s">
        <v>724</v>
      </c>
      <c r="BZ181" s="2059" t="s">
        <v>563</v>
      </c>
      <c r="CA181" s="2060" t="s">
        <v>723</v>
      </c>
    </row>
    <row r="182" spans="2:79" s="358" customFormat="1" ht="25.5" x14ac:dyDescent="0.2">
      <c r="C182" s="2678" t="str">
        <f>'TRAD-Calculs dispo Données FA'!B66</f>
        <v>Comprimés</v>
      </c>
      <c r="D182" s="2679" t="s">
        <v>15</v>
      </c>
      <c r="E182" s="2680" t="str">
        <f>'Saisie données stocks'!F19</f>
        <v>AZT+3TC+NVP</v>
      </c>
      <c r="F182" s="2681" t="str">
        <f>'Saisie données stocks'!G19</f>
        <v>Cp</v>
      </c>
      <c r="G182" s="2681" t="str">
        <f>'Saisie données stocks'!H19</f>
        <v>300/150/200 mg</v>
      </c>
      <c r="H182" s="2682" t="str">
        <f>CONCATENATE(E182, " - ", G182, " - ", 'TRAD-Calculs dispo Données FA'!$B$79,"/", K182)</f>
        <v>AZT+3TC+NVP - 300/150/200 mg - B/60</v>
      </c>
      <c r="I182" s="2682">
        <f>Calculs!K102</f>
        <v>2</v>
      </c>
      <c r="J182" s="2683">
        <f t="shared" ref="J182:J222" si="29">I182*30</f>
        <v>60</v>
      </c>
      <c r="K182" s="2684">
        <f>Calculs!J102</f>
        <v>60</v>
      </c>
      <c r="L182" s="2685">
        <f t="shared" ref="L182:L222" si="30">J182/K182</f>
        <v>1</v>
      </c>
      <c r="M182" s="2686">
        <f>IF('Saisie données stocks'!$O$10='TRAD-Saisie données stocks'!$B$51, 'Calculs Péremption FA'!BU7, Calculs!M262)+IF('Saisie données stocks'!$M$76='TRAD-Saisie données stocks'!$B$51, Calculs!N262, "0")+Calculs!P262</f>
        <v>8969</v>
      </c>
      <c r="N182" s="2686">
        <f>Calculs!O153</f>
        <v>0</v>
      </c>
      <c r="O182" s="2686">
        <f>Calculs!N207</f>
        <v>0</v>
      </c>
      <c r="P182"/>
      <c r="Q182" s="230" t="e">
        <f>IF(Calculs!N207&gt;0, (-(Calculs!N207+2*Calculs!O153)+SQRT((Calculs!N207+2*Calculs!O153)*(Calculs!N207+2*Calculs!O153)+8*Calculs!N207*(M182)))/(2*Calculs!N207), ((M182)/Calculs!O153))</f>
        <v>#DIV/0!</v>
      </c>
      <c r="R182" s="235" t="e">
        <f>Q182-Paramétrage!$D$29</f>
        <v>#DIV/0!</v>
      </c>
      <c r="S182" s="240" t="e">
        <f>IF(Q182&lt;Paramétrage!$D$29, Q182, Paramétrage!$D$29)</f>
        <v>#DIV/0!</v>
      </c>
      <c r="T182" s="245" t="e">
        <f>Paramétrage!$H$19+R182*(365/12)</f>
        <v>#DIV/0!</v>
      </c>
      <c r="U182" s="246" t="e">
        <f>IF(Q182&lt;Paramétrage!$D$29, Paramétrage!$H$19+S182*(365/12), Paramétrage!$H$19+Q182*(365/12))</f>
        <v>#DIV/0!</v>
      </c>
      <c r="W182" s="230" t="str">
        <f t="shared" ref="W182:W222" si="31">IF(ISERROR(Q182),"", IF(Q182=0, "", Q182))</f>
        <v/>
      </c>
      <c r="X182" s="235" t="str">
        <f t="shared" ref="X182:X222" si="32">IF(ISERROR(Q182),"", IF(Q182=0, "", R182))</f>
        <v/>
      </c>
      <c r="Y182" s="429" t="str">
        <f t="shared" ref="Y182:Y222" si="33">IF(ISERROR(Q182),"", IF(Q182=0, "", S182))</f>
        <v/>
      </c>
      <c r="Z182" s="245" t="str">
        <f t="shared" ref="Z182:Z222" si="34">IF(ISERROR(Q182),"", IF(Q182=0, "", T182))</f>
        <v/>
      </c>
      <c r="AA182" s="246" t="str">
        <f t="shared" ref="AA182:AA222" si="35">IF(ISERROR(Q182), BZ182, IF(Q182=0, IF(AND(M182=0, OR(N182&gt;0, O182&gt;0)), CA182, U182), U182))</f>
        <v>71892B &amp; conso =0</v>
      </c>
      <c r="AB182" s="2051"/>
      <c r="AC182" s="230" t="e">
        <f t="shared" ref="AC182:AC222" si="36">Q182-Q125</f>
        <v>#DIV/0!</v>
      </c>
      <c r="AD182" s="235" t="e">
        <f>AC182-Paramétrage!$D$29</f>
        <v>#DIV/0!</v>
      </c>
      <c r="AE182" s="240" t="e">
        <f>IF(AC182&lt;Paramétrage!$D$29, AC182, Paramétrage!$D$29)</f>
        <v>#DIV/0!</v>
      </c>
      <c r="AF182" s="240" t="e">
        <f t="shared" ref="AF182:AF222" si="37">IF((R182-Q125)&gt;0, (R182-Q125), 0)</f>
        <v>#DIV/0!</v>
      </c>
      <c r="AG182" s="245" t="e">
        <f>Paramétrage!$H$19+AD182*(365/12)</f>
        <v>#DIV/0!</v>
      </c>
      <c r="AH182" s="246" t="e">
        <f>IF(AC182&lt;Paramétrage!$D$29, Paramétrage!$H$19+AE182*(365/12), Paramétrage!$H$19+AC182*(365/12))</f>
        <v>#DIV/0!</v>
      </c>
      <c r="AI182" s="247">
        <f>'Saisie données stocks'!O140</f>
        <v>0</v>
      </c>
      <c r="AJ182" s="1830" t="str">
        <f>IF(ISERROR(Q182), "0", IF('Saisie données stocks'!O140="", "0", IF(U125&gt;'Saisie données stocks'!$N$14, IF(AI182&gt;(Paramétrage!$H$19+'Saisie données stocks'!$N$14*(365/12)), (AI182-(Paramétrage!$H$19+'Saisie données stocks'!$N$14*(365/12)))/(365/12), IF(AI182&gt;U125, (AI182-U125)/(365/12), "0")))))</f>
        <v>0</v>
      </c>
      <c r="AK182" s="235" t="str">
        <f>IF(ISERROR(Q125),"0", IF(Q125=0, "0", IF(Q125&gt;'Calculs Péremption FA'!$CB7, 'Calculs Péremption FA'!$CB7, Q125)))</f>
        <v>0</v>
      </c>
      <c r="AL182" s="240" t="str">
        <f>IF(ISERROR(AC182),"0", IF(AC182=0, "0", IF(AC182&gt;'Saisie données stocks'!$N$14, 'Saisie données stocks'!$N$14, AC182)))</f>
        <v>0</v>
      </c>
      <c r="AM182" s="246" t="str">
        <f>IF(ISERROR(Q182),AA182,IF(Calculs!P262=0,AA125,(Paramétrage!$H$19+((AJ182+AK182+AL182)*(365/12)))))</f>
        <v>71892B &amp; conso =0</v>
      </c>
      <c r="AO182" s="230" t="str">
        <f>IF(ISERROR(AC182),"", IF(AC182=0, "", IF(AC182&gt;'Saisie données stocks'!$N$14, 'Saisie données stocks'!$N$14, AC182)))</f>
        <v/>
      </c>
      <c r="AP182" s="235" t="str">
        <f>IF(ISERROR(AC182),"", IF(AC182=0, "", IF(AC182&gt;'Calculs Péremption FA'!$CB7, 'Calculs Péremption FA'!$CB7-Paramétrage!$D$29, AD182)))</f>
        <v/>
      </c>
      <c r="AQ182" s="429" t="str">
        <f>IF(ISERROR(AC182),"", IF(AC182=0, "", IF(AC182&gt;'Calculs Péremption FA'!$CB7, Paramétrage!$D$29, AE182)))</f>
        <v/>
      </c>
      <c r="AR182" s="1831" t="str">
        <f t="shared" ref="AR182:AR222" si="38">IF(ISERROR(AC182),"", IF(AC182=0, "", AF182))</f>
        <v/>
      </c>
      <c r="AS182" s="245" t="str">
        <f>IF(ISERROR(AC182),"", IF(AC182=0, "", IF(AC182&gt;'Calculs Péremption FA'!$CB7, 'Calculs Péremption FA'!$BX7-Paramétrage!$D$29*(365/12), AG182)))</f>
        <v/>
      </c>
      <c r="AT182" s="246" t="str">
        <f>IF(ISERROR(AC182),"", IF(AC182=0, "", IF(AC182&gt;'Calculs Péremption FA'!$CB7, CONCATENATE('TRAD-Calculs dispo Données FA'!$B$88, " - ", 'Calculs Péremption FA'!$BY7, "/", 'Calculs Péremption FA'!$BZ7, "/", 'Calculs Péremption FA'!$CA7), AH182)))</f>
        <v/>
      </c>
      <c r="AV182" s="230" t="e">
        <f>(Calculs!Q262)/Calculs!O153</f>
        <v>#DIV/0!</v>
      </c>
      <c r="AW182" s="235" t="e">
        <f>AV182-Paramétrage!$D$29</f>
        <v>#DIV/0!</v>
      </c>
      <c r="AX182" s="240" t="e">
        <f>IF(AV182&lt;Paramétrage!$D$29, AV182, Paramétrage!$D$29)</f>
        <v>#DIV/0!</v>
      </c>
      <c r="AY182" s="245" t="e">
        <f>Paramétrage!$H$19+AW182*30</f>
        <v>#DIV/0!</v>
      </c>
      <c r="AZ182" s="246" t="e">
        <f>IF(AV182&lt;Paramétrage!$D$29, Paramétrage!$H$19+AX182*(365/12), Paramétrage!$H$19+AV182*(365/12))</f>
        <v>#DIV/0!</v>
      </c>
      <c r="BB182" s="230" t="str">
        <f>IF(ISERROR(AV182),"", IF(AV182=0, "", IF(AV182&gt;'Calculs Péremption FA'!$CB7, 'Calculs Péremption FA'!$CB7, AV182)))</f>
        <v/>
      </c>
      <c r="BC182" s="235" t="str">
        <f>IF(ISERROR(AV182),"", IF(AV182=0, "", IF(AV182&gt;'Calculs Péremption FA'!$CB7, 'Calculs Péremption FA'!$CB7-Paramétrage!$D$29, AW182)))</f>
        <v/>
      </c>
      <c r="BD182" s="429" t="str">
        <f>IF(ISERROR(AV182),"", IF(AV182=0, "", IF(AV182&gt;'Calculs Péremption FA'!$CB7, Paramétrage!$D$29, AX182)))</f>
        <v/>
      </c>
      <c r="BE182" s="245" t="str">
        <f>IF(ISERROR(AV182),"", IF(AV182=0, "", IF(AV182&gt;'Calculs Péremption FA'!$CB7, 'Calculs Péremption FA'!$BX7-Paramétrage!$D$29*(365/12), AY182)))</f>
        <v/>
      </c>
      <c r="BF182" s="246" t="str">
        <f>IF(ISERROR(AV182),"", IF(AV182=0, "", IF(AV182&gt;'Calculs Péremption FA'!$CB7, CONCATENATE('TRAD-Calculs dispo Données FA'!$B$88, " - ", 'Calculs Péremption FA'!$BY7, "/", 'Calculs Péremption FA'!$BZ7, "/", 'Calculs Péremption FA'!$CA7), AZ182)))</f>
        <v/>
      </c>
      <c r="BH182" s="230" t="e">
        <f t="shared" ref="BH182:BH222" si="39">AV182-AC125</f>
        <v>#DIV/0!</v>
      </c>
      <c r="BI182" s="235" t="e">
        <f>BH182-Paramétrage!$D$29</f>
        <v>#DIV/0!</v>
      </c>
      <c r="BJ182" s="240" t="e">
        <f>IF(BH182&lt;Paramétrage!$D$29, BH182, Paramétrage!$D$29)</f>
        <v>#DIV/0!</v>
      </c>
      <c r="BK182" s="240" t="e">
        <f t="shared" ref="BK182:BK222" si="40">IF((AW182-AC125)&gt;0, (AW182-AC125), 0)</f>
        <v>#DIV/0!</v>
      </c>
      <c r="BL182" s="245" t="e">
        <f>Paramétrage!$H$19+BI182*(365/12)</f>
        <v>#DIV/0!</v>
      </c>
      <c r="BM182" s="246" t="e">
        <f>IF(BH182&lt;Paramétrage!$D$29, Paramétrage!$H$19+BJ182*(365/12), Paramétrage!$H$19+BH182*(365/12))</f>
        <v>#DIV/0!</v>
      </c>
      <c r="BO182" s="230" t="str">
        <f>IF(ISERROR(BH182),"", IF(BH182=0, "", IF(BH182&gt;'Calculs Péremption FA'!$CB7, 'Calculs Péremption FA'!$CB7, BH182)))</f>
        <v/>
      </c>
      <c r="BP182" s="235" t="str">
        <f>IF(ISERROR(BH182),"", IF(BH182=0, "", IF(BH182&gt;'Calculs Péremption FA'!$CB7, 'Calculs Péremption FA'!$CB7-Paramétrage!$D$29, BI182)))</f>
        <v/>
      </c>
      <c r="BQ182" s="429" t="str">
        <f>IF(ISERROR(BH182),"", IF(BH182=0, "", IF(BH182&gt;'Calculs Péremption FA'!$CB7, Paramétrage!$D$29, BJ182)))</f>
        <v/>
      </c>
      <c r="BR182" s="1831" t="str">
        <f t="shared" ref="BR182:BR222" si="41">IF(ISERROR(BH182),"", IF(BH182=0, "", BK182))</f>
        <v/>
      </c>
      <c r="BS182" s="245" t="str">
        <f>IF(ISERROR(BH182),"", IF(BH182=0, "", IF(BH182&gt;'Calculs Péremption FA'!$CB7, 'Calculs Péremption FA'!$BX7-Paramétrage!$D$29*(365/12), BL182)))</f>
        <v/>
      </c>
      <c r="BT182" s="246" t="str">
        <f>IF(ISERROR(BH182),"", IF(BH182=0, "", IF(BH182&gt;'Calculs Péremption FA'!$CB7, CONCATENATE('TRAD-Calculs dispo Données FA'!$B$88, " - ", 'Calculs Péremption FA'!$BY7, "/", 'Calculs Péremption FA'!$BZ7, "/", 'Calculs Péremption FA'!$CA7), BM182)))</f>
        <v/>
      </c>
      <c r="BV182" s="2061">
        <f>Calculs!$Q262</f>
        <v>71892</v>
      </c>
      <c r="BW182" s="2062">
        <f>Calculs!$O153</f>
        <v>0</v>
      </c>
      <c r="BX182" s="2068">
        <f>Calculs!$N207</f>
        <v>0</v>
      </c>
      <c r="BY182" s="2070" t="str">
        <f>IF(AND(BX182=0, BV182=0, BW182=0), 'TRAD-Calculs dispo Données FA'!$B$82, "")</f>
        <v/>
      </c>
      <c r="BZ182" s="2062" t="str">
        <f>IF(AND(BX182=0, BV182&gt;0, BW182=0), CONCATENATE(BV182,'TRAD-Calculs dispo Données FA'!$B$80," =0"), "")</f>
        <v>71892B &amp; conso =0</v>
      </c>
      <c r="CA182" s="2063" t="str">
        <f>IF(AND(BV182=0, OR(BW182&gt;=1, BX182&gt;=1)),'TRAD-Calculs dispo Données FA'!$B$81, "")</f>
        <v/>
      </c>
    </row>
    <row r="183" spans="2:79" s="358" customFormat="1" ht="25.5" x14ac:dyDescent="0.2">
      <c r="C183" s="2687"/>
      <c r="D183" s="2688"/>
      <c r="E183" s="2689" t="str">
        <f>'Saisie données stocks'!F20</f>
        <v>AZT+3TC+NVP</v>
      </c>
      <c r="F183" s="2690" t="str">
        <f>'Saisie données stocks'!G20</f>
        <v>Cp</v>
      </c>
      <c r="G183" s="2690" t="str">
        <f>'Saisie données stocks'!H20</f>
        <v>60/30/50 mg</v>
      </c>
      <c r="H183" s="2691" t="str">
        <f>CONCATENATE(E183, " - ", G183, " - ", 'TRAD-Calculs dispo Données FA'!$B$79,"/", K183)</f>
        <v>AZT+3TC+NVP - 60/30/50 mg - B/60</v>
      </c>
      <c r="I183" s="2692">
        <f>Calculs!K103</f>
        <v>2</v>
      </c>
      <c r="J183" s="2692">
        <f t="shared" si="29"/>
        <v>60</v>
      </c>
      <c r="K183" s="2693">
        <f>Calculs!J103</f>
        <v>60</v>
      </c>
      <c r="L183" s="2694">
        <f t="shared" si="30"/>
        <v>1</v>
      </c>
      <c r="M183" s="2695">
        <f>IF('Saisie données stocks'!$O$10='TRAD-Saisie données stocks'!$B$51, 'Calculs Péremption FA'!BU8, Calculs!M263)+IF('Saisie données stocks'!$M$76='TRAD-Saisie données stocks'!$B$51, Calculs!N263, "0")+Calculs!P263</f>
        <v>490</v>
      </c>
      <c r="N183" s="2695">
        <f>Calculs!O154</f>
        <v>0</v>
      </c>
      <c r="O183" s="2695">
        <f>Calculs!N208</f>
        <v>0</v>
      </c>
      <c r="P183"/>
      <c r="Q183" s="231" t="e">
        <f>IF(Calculs!N208&gt;0, (-(Calculs!N208+2*Calculs!O154)+SQRT((Calculs!N208+2*Calculs!O154)*(Calculs!N208+2*Calculs!O154)+8*Calculs!N208*(M183)))/(2*Calculs!N208), ((M183)/Calculs!O154))</f>
        <v>#DIV/0!</v>
      </c>
      <c r="R183" s="236" t="e">
        <f>Q183-Paramétrage!$D$29</f>
        <v>#DIV/0!</v>
      </c>
      <c r="S183" s="241" t="e">
        <f>IF(Q183&lt;Paramétrage!$D$29, Q183, Paramétrage!$D$29)</f>
        <v>#DIV/0!</v>
      </c>
      <c r="T183" s="247" t="e">
        <f>Paramétrage!$H$19+R183*(365/12)</f>
        <v>#DIV/0!</v>
      </c>
      <c r="U183" s="248" t="e">
        <f>IF(Q183&lt;Paramétrage!$D$29, Paramétrage!$H$19+S183*(365/12), Paramétrage!$H$19+Q183*(365/12))</f>
        <v>#DIV/0!</v>
      </c>
      <c r="W183" s="231" t="str">
        <f t="shared" si="31"/>
        <v/>
      </c>
      <c r="X183" s="236" t="str">
        <f t="shared" si="32"/>
        <v/>
      </c>
      <c r="Y183" s="425" t="str">
        <f t="shared" si="33"/>
        <v/>
      </c>
      <c r="Z183" s="247" t="str">
        <f t="shared" si="34"/>
        <v/>
      </c>
      <c r="AA183" s="248" t="str">
        <f t="shared" si="35"/>
        <v>1522B &amp; conso =0</v>
      </c>
      <c r="AC183" s="231" t="e">
        <f t="shared" si="36"/>
        <v>#DIV/0!</v>
      </c>
      <c r="AD183" s="236" t="e">
        <f>AC183-Paramétrage!$D$29</f>
        <v>#DIV/0!</v>
      </c>
      <c r="AE183" s="241" t="e">
        <f>IF(AC183&lt;Paramétrage!$D$29, AC183, Paramétrage!$D$29)</f>
        <v>#DIV/0!</v>
      </c>
      <c r="AF183" s="241" t="e">
        <f t="shared" si="37"/>
        <v>#DIV/0!</v>
      </c>
      <c r="AG183" s="247" t="e">
        <f>Paramétrage!$H$19+AD183*30</f>
        <v>#DIV/0!</v>
      </c>
      <c r="AH183" s="248" t="e">
        <f>IF(AC183&lt;Paramétrage!$D$29, Paramétrage!$H$19+AE183*30, Paramétrage!$H$19+AC183*30)</f>
        <v>#DIV/0!</v>
      </c>
      <c r="AI183" s="247">
        <f>'Saisie données stocks'!O141</f>
        <v>0</v>
      </c>
      <c r="AJ183" s="1832" t="str">
        <f>IF(ISERROR(Q183), "0", IF('Saisie données stocks'!O141="", "0", IF(U126&gt;'Saisie données stocks'!$N$14, IF(AI183&gt;(Paramétrage!$H$19+'Saisie données stocks'!$N$14*(365/12)), (AI183-(Paramétrage!$H$19+'Saisie données stocks'!$N$14*(365/12)))/(365/12), IF(AI183&gt;U126, (AI183-U126)/(365/12), "0")))))</f>
        <v>0</v>
      </c>
      <c r="AK183" s="236" t="str">
        <f>IF(ISERROR(Q126),"0", IF(Q126=0, "0", IF(Q126&gt;'Calculs Péremption FA'!$CB8, 'Calculs Péremption FA'!$CB8, Q126)))</f>
        <v>0</v>
      </c>
      <c r="AL183" s="241" t="str">
        <f>IF(ISERROR(AC183),"0", IF(AC183=0, "0", IF(AC183&gt;'Saisie données stocks'!$N$14, 'Saisie données stocks'!$N$14, AC183)))</f>
        <v>0</v>
      </c>
      <c r="AM183" s="248" t="str">
        <f>IF(ISERROR(Q183),AA183,IF(Calculs!P263=0,AA126,(Paramétrage!$H$19+((AJ183+AK183+AL183)*(365/12)))))</f>
        <v>1522B &amp; conso =0</v>
      </c>
      <c r="AO183" s="231" t="str">
        <f>IF(ISERROR(AC183),"", IF(AC183=0, "", IF(AC183&gt;'Saisie données stocks'!$N$14, 'Saisie données stocks'!$N$14, AC183)))</f>
        <v/>
      </c>
      <c r="AP183" s="236" t="str">
        <f>IF(ISERROR(AC183),"", IF(AC183=0, "", IF(AC183&gt;'Calculs Péremption FA'!$CB8, 'Calculs Péremption FA'!$CB8-Paramétrage!$D$29, AD183)))</f>
        <v/>
      </c>
      <c r="AQ183" s="425" t="str">
        <f>IF(ISERROR(AC183),"", IF(AC183=0, "", IF(AC183&gt;'Calculs Péremption FA'!$CB8, Paramétrage!$D$29, AE183)))</f>
        <v/>
      </c>
      <c r="AR183" s="1833" t="str">
        <f t="shared" si="38"/>
        <v/>
      </c>
      <c r="AS183" s="247" t="str">
        <f>IF(ISERROR(AC183),"", IF(AC183=0, "", IF(AC183&gt;'Calculs Péremption FA'!$CB8, 'Calculs Péremption FA'!$BX8-Paramétrage!$D$29*(365/12), AG183)))</f>
        <v/>
      </c>
      <c r="AT183" s="248" t="str">
        <f>IF(ISERROR(AC183),"", IF(AC183=0, "", IF(AC183&gt;'Calculs Péremption FA'!$CB8, CONCATENATE('TRAD-Calculs dispo Données FA'!$B$88, " - ", 'Calculs Péremption FA'!$BY8, "/", 'Calculs Péremption FA'!$BZ8, "/", 'Calculs Péremption FA'!$CA8), AH183)))</f>
        <v/>
      </c>
      <c r="AV183" s="231" t="e">
        <f>(Calculs!Q263)/Calculs!O154</f>
        <v>#DIV/0!</v>
      </c>
      <c r="AW183" s="236" t="e">
        <f>AV183-Paramétrage!$D$29</f>
        <v>#DIV/0!</v>
      </c>
      <c r="AX183" s="241" t="e">
        <f>IF(AV183&lt;Paramétrage!$D$29, AV183, Paramétrage!$D$29)</f>
        <v>#DIV/0!</v>
      </c>
      <c r="AY183" s="247" t="e">
        <f>Paramétrage!$H$19+AW183*30</f>
        <v>#DIV/0!</v>
      </c>
      <c r="AZ183" s="248" t="e">
        <f>IF(AV183&lt;Paramétrage!$D$29, Paramétrage!$H$19+AX183*(365/12), Paramétrage!$H$19+AV183*(365/12))</f>
        <v>#DIV/0!</v>
      </c>
      <c r="BB183" s="231" t="str">
        <f>IF(ISERROR(AV183),"", IF(AV183=0, "", IF(AV183&gt;'Calculs Péremption FA'!$CB8, 'Calculs Péremption FA'!$CB8, AV183)))</f>
        <v/>
      </c>
      <c r="BC183" s="236" t="str">
        <f>IF(ISERROR(AV183),"", IF(AV183=0, "", IF(AV183&gt;'Calculs Péremption FA'!$CB8, 'Calculs Péremption FA'!$CB8-Paramétrage!$D$29, AW183)))</f>
        <v/>
      </c>
      <c r="BD183" s="425" t="str">
        <f>IF(ISERROR(AV183),"", IF(AV183=0, "", IF(AV183&gt;'Calculs Péremption FA'!$CB8, Paramétrage!$D$29, AX183)))</f>
        <v/>
      </c>
      <c r="BE183" s="247" t="str">
        <f>IF(ISERROR(AV183),"", IF(AV183=0, "", IF(AV183&gt;'Calculs Péremption FA'!$CB8, 'Calculs Péremption FA'!$BX8-Paramétrage!$D$29*(365/12), AY183)))</f>
        <v/>
      </c>
      <c r="BF183" s="248" t="str">
        <f>IF(ISERROR(AV183),"", IF(AV183=0, "", IF(AV183&gt;'Calculs Péremption FA'!$CB8, CONCATENATE('TRAD-Calculs dispo Données FA'!$B$88, " - ", 'Calculs Péremption FA'!$BY8, "/", 'Calculs Péremption FA'!$BZ8, "/", 'Calculs Péremption FA'!$CA8), AZ183)))</f>
        <v/>
      </c>
      <c r="BH183" s="231" t="e">
        <f t="shared" si="39"/>
        <v>#DIV/0!</v>
      </c>
      <c r="BI183" s="236" t="e">
        <f>BH183-Paramétrage!$D$29</f>
        <v>#DIV/0!</v>
      </c>
      <c r="BJ183" s="241" t="e">
        <f>IF(BH183&lt;Paramétrage!$D$29, BH183, Paramétrage!$D$29)</f>
        <v>#DIV/0!</v>
      </c>
      <c r="BK183" s="241" t="e">
        <f t="shared" si="40"/>
        <v>#DIV/0!</v>
      </c>
      <c r="BL183" s="247" t="e">
        <f>Paramétrage!$H$19+BI183*(365/12)</f>
        <v>#DIV/0!</v>
      </c>
      <c r="BM183" s="248" t="e">
        <f>IF(BH183&lt;Paramétrage!$D$29, Paramétrage!$H$19+BJ183*(365/12), Paramétrage!$H$19+BH183*(365/12))</f>
        <v>#DIV/0!</v>
      </c>
      <c r="BO183" s="231" t="str">
        <f>IF(ISERROR(BH183),"", IF(BH183=0, "", IF(BH183&gt;'Calculs Péremption FA'!$CB8, 'Calculs Péremption FA'!$CB8, BH183)))</f>
        <v/>
      </c>
      <c r="BP183" s="236" t="str">
        <f>IF(ISERROR(BH183),"", IF(BH183=0, "", IF(BH183&gt;'Calculs Péremption FA'!$CB8, 'Calculs Péremption FA'!$CB8-Paramétrage!$D$29, BI183)))</f>
        <v/>
      </c>
      <c r="BQ183" s="425" t="str">
        <f>IF(ISERROR(BH183),"", IF(BH183=0, "", IF(BH183&gt;'Calculs Péremption FA'!$CB8, Paramétrage!$D$29, BJ183)))</f>
        <v/>
      </c>
      <c r="BR183" s="1833" t="str">
        <f t="shared" si="41"/>
        <v/>
      </c>
      <c r="BS183" s="247" t="str">
        <f>IF(ISERROR(BH183),"", IF(BH183=0, "", IF(BH183&gt;'Calculs Péremption FA'!$CB8, 'Calculs Péremption FA'!$BX8-Paramétrage!$D$29*(365/12), BL183)))</f>
        <v/>
      </c>
      <c r="BT183" s="248" t="str">
        <f>IF(ISERROR(BH183),"", IF(BH183=0, "", IF(BH183&gt;'Calculs Péremption FA'!$CB8, CONCATENATE('TRAD-Calculs dispo Données FA'!$B$88, " - ", 'Calculs Péremption FA'!$BY8, "/", 'Calculs Péremption FA'!$BZ8, "/", 'Calculs Péremption FA'!$CA8), BM183)))</f>
        <v/>
      </c>
      <c r="BV183" s="2061">
        <f>Calculs!$Q263</f>
        <v>1522</v>
      </c>
      <c r="BW183" s="2062">
        <f>Calculs!$O154</f>
        <v>0</v>
      </c>
      <c r="BX183" s="2068">
        <f>Calculs!$N208</f>
        <v>0</v>
      </c>
      <c r="BY183" s="2070" t="str">
        <f>IF(AND(BX183=0, BV183=0, BW183=0), 'TRAD-Calculs dispo Données FA'!$B$82, "")</f>
        <v/>
      </c>
      <c r="BZ183" s="2062" t="str">
        <f>IF(AND(BX183=0, BV183&gt;0, BW183=0), CONCATENATE(BV183,'TRAD-Calculs dispo Données FA'!$B$80," =0"), "")</f>
        <v>1522B &amp; conso =0</v>
      </c>
      <c r="CA183" s="2063" t="str">
        <f>IF(AND(BV183=0, OR(BW183&gt;=1, BX183&gt;=1)),'TRAD-Calculs dispo Données FA'!$B$81, "")</f>
        <v/>
      </c>
    </row>
    <row r="184" spans="2:79" s="358" customFormat="1" ht="25.5" x14ac:dyDescent="0.2">
      <c r="C184" s="2687"/>
      <c r="D184" s="2688"/>
      <c r="E184" s="2696" t="str">
        <f>'Saisie données stocks'!F21</f>
        <v>AZT+3TC+ABC</v>
      </c>
      <c r="F184" s="2697" t="str">
        <f>'Saisie données stocks'!G21</f>
        <v>Cp</v>
      </c>
      <c r="G184" s="2697" t="str">
        <f>'Saisie données stocks'!H21</f>
        <v>300/150/300 mg</v>
      </c>
      <c r="H184" s="2698" t="str">
        <f>CONCATENATE(E184, " - ", G184, " - ", 'TRAD-Calculs dispo Données FA'!$B$79,"/", K184)</f>
        <v>AZT+3TC+ABC - 300/150/300 mg - B/60</v>
      </c>
      <c r="I184" s="2698">
        <f>Calculs!K104</f>
        <v>2</v>
      </c>
      <c r="J184" s="2699">
        <f t="shared" si="29"/>
        <v>60</v>
      </c>
      <c r="K184" s="2693">
        <f>Calculs!J104</f>
        <v>60</v>
      </c>
      <c r="L184" s="2694">
        <f t="shared" si="30"/>
        <v>1</v>
      </c>
      <c r="M184" s="2695">
        <f>IF('Saisie données stocks'!$O$10='TRAD-Saisie données stocks'!$B$51, 'Calculs Péremption FA'!BU9, Calculs!M264)+IF('Saisie données stocks'!$M$76='TRAD-Saisie données stocks'!$B$51, Calculs!N264, "0")+Calculs!P264</f>
        <v>0</v>
      </c>
      <c r="N184" s="2695">
        <f>Calculs!O155</f>
        <v>0</v>
      </c>
      <c r="O184" s="2695">
        <f>Calculs!N209</f>
        <v>0</v>
      </c>
      <c r="P184"/>
      <c r="Q184" s="231" t="e">
        <f>IF(Calculs!N209&gt;0, (-(Calculs!N209+2*Calculs!O155)+SQRT((Calculs!N209+2*Calculs!O155)*(Calculs!N209+2*Calculs!O155)+8*Calculs!N209*(M184)))/(2*Calculs!N209), ((M184)/Calculs!O155))</f>
        <v>#DIV/0!</v>
      </c>
      <c r="R184" s="236" t="e">
        <f>Q184-Paramétrage!$D$29</f>
        <v>#DIV/0!</v>
      </c>
      <c r="S184" s="241" t="e">
        <f>IF(Q184&lt;Paramétrage!$D$29, Q184, Paramétrage!$D$29)</f>
        <v>#DIV/0!</v>
      </c>
      <c r="T184" s="247" t="e">
        <f>Paramétrage!$H$19+R184*(365/12)</f>
        <v>#DIV/0!</v>
      </c>
      <c r="U184" s="248" t="e">
        <f>IF(Q184&lt;Paramétrage!$D$29, Paramétrage!$H$19+S184*(365/12), Paramétrage!$H$19+Q184*(365/12))</f>
        <v>#DIV/0!</v>
      </c>
      <c r="W184" s="231" t="str">
        <f t="shared" si="31"/>
        <v/>
      </c>
      <c r="X184" s="236" t="str">
        <f t="shared" si="32"/>
        <v/>
      </c>
      <c r="Y184" s="425" t="str">
        <f t="shared" si="33"/>
        <v/>
      </c>
      <c r="Z184" s="247" t="str">
        <f t="shared" si="34"/>
        <v/>
      </c>
      <c r="AA184" s="248" t="str">
        <f t="shared" si="35"/>
        <v>666B &amp; conso =0</v>
      </c>
      <c r="AC184" s="231" t="e">
        <f t="shared" si="36"/>
        <v>#DIV/0!</v>
      </c>
      <c r="AD184" s="236" t="e">
        <f>AC184-Paramétrage!$D$29</f>
        <v>#DIV/0!</v>
      </c>
      <c r="AE184" s="241" t="e">
        <f>IF(AC184&lt;Paramétrage!$D$29, AC184, Paramétrage!$D$29)</f>
        <v>#DIV/0!</v>
      </c>
      <c r="AF184" s="241" t="e">
        <f t="shared" si="37"/>
        <v>#DIV/0!</v>
      </c>
      <c r="AG184" s="247" t="e">
        <f>Paramétrage!$H$19+AD184*30</f>
        <v>#DIV/0!</v>
      </c>
      <c r="AH184" s="248" t="e">
        <f>IF(AC184&lt;Paramétrage!$D$29, Paramétrage!$H$19+AE184*30, Paramétrage!$H$19+AC184*30)</f>
        <v>#DIV/0!</v>
      </c>
      <c r="AI184" s="247">
        <f>'Saisie données stocks'!O142</f>
        <v>0</v>
      </c>
      <c r="AJ184" s="1832" t="str">
        <f>IF(ISERROR(Q184), "0", IF('Saisie données stocks'!O142="", "0", IF(U127&gt;'Saisie données stocks'!$N$14, IF(AI184&gt;(Paramétrage!$H$19+'Saisie données stocks'!$N$14*(365/12)), (AI184-(Paramétrage!$H$19+'Saisie données stocks'!$N$14*(365/12)))/(365/12), IF(AI184&gt;U127, (AI184-U127)/(365/12), "0")))))</f>
        <v>0</v>
      </c>
      <c r="AK184" s="236" t="str">
        <f>IF(ISERROR(Q127),"0", IF(Q127=0, "0", IF(Q127&gt;'Calculs Péremption FA'!$CB9, 'Calculs Péremption FA'!$CB9, Q127)))</f>
        <v>0</v>
      </c>
      <c r="AL184" s="241" t="str">
        <f>IF(ISERROR(AC184),"0", IF(AC184=0, "0", IF(AC184&gt;'Saisie données stocks'!$N$14, 'Saisie données stocks'!$N$14, AC184)))</f>
        <v>0</v>
      </c>
      <c r="AM184" s="248" t="str">
        <f>IF(ISERROR(Q184),AA184,IF(Calculs!P264=0,AA127,(Paramétrage!$H$19+((AJ184+AK184+AL184)*(365/12)))))</f>
        <v>666B &amp; conso =0</v>
      </c>
      <c r="AO184" s="231" t="str">
        <f>IF(ISERROR(AC184),"", IF(AC184=0, "", IF(AC184&gt;'Saisie données stocks'!$N$14, 'Saisie données stocks'!$N$14, AC184)))</f>
        <v/>
      </c>
      <c r="AP184" s="236" t="str">
        <f>IF(ISERROR(AC184),"", IF(AC184=0, "", IF(AC184&gt;'Calculs Péremption FA'!$CB9, 'Calculs Péremption FA'!$CB9-Paramétrage!$D$29, AD184)))</f>
        <v/>
      </c>
      <c r="AQ184" s="425" t="str">
        <f>IF(ISERROR(AC184),"", IF(AC184=0, "", IF(AC184&gt;'Calculs Péremption FA'!$CB9, Paramétrage!$D$29, AE184)))</f>
        <v/>
      </c>
      <c r="AR184" s="1833" t="str">
        <f t="shared" si="38"/>
        <v/>
      </c>
      <c r="AS184" s="247" t="str">
        <f>IF(ISERROR(AC184),"", IF(AC184=0, "", IF(AC184&gt;'Calculs Péremption FA'!$CB9, 'Calculs Péremption FA'!$BX9-Paramétrage!$D$29*(365/12), AG184)))</f>
        <v/>
      </c>
      <c r="AT184" s="248" t="str">
        <f>IF(ISERROR(AC184),"", IF(AC184=0, "", IF(AC184&gt;'Calculs Péremption FA'!$CB9, CONCATENATE('TRAD-Calculs dispo Données FA'!$B$88, " - ", 'Calculs Péremption FA'!$BY9, "/", 'Calculs Péremption FA'!$BZ9, "/", 'Calculs Péremption FA'!$CA9), AH184)))</f>
        <v/>
      </c>
      <c r="AV184" s="231" t="e">
        <f>(Calculs!Q264)/Calculs!O155</f>
        <v>#DIV/0!</v>
      </c>
      <c r="AW184" s="236" t="e">
        <f>AV184-Paramétrage!$D$29</f>
        <v>#DIV/0!</v>
      </c>
      <c r="AX184" s="241" t="e">
        <f>IF(AV184&lt;Paramétrage!$D$29, AV184, Paramétrage!$D$29)</f>
        <v>#DIV/0!</v>
      </c>
      <c r="AY184" s="247" t="e">
        <f>Paramétrage!$H$19+AW184*30</f>
        <v>#DIV/0!</v>
      </c>
      <c r="AZ184" s="248" t="e">
        <f>IF(AV184&lt;Paramétrage!$D$29, Paramétrage!$H$19+AX184*(365/12), Paramétrage!$H$19+AV184*(365/12))</f>
        <v>#DIV/0!</v>
      </c>
      <c r="BB184" s="231" t="str">
        <f>IF(ISERROR(AV184),"", IF(AV184=0, "", IF(AV184&gt;'Calculs Péremption FA'!$CB9, 'Calculs Péremption FA'!$CB9, AV184)))</f>
        <v/>
      </c>
      <c r="BC184" s="236" t="str">
        <f>IF(ISERROR(AV184),"", IF(AV184=0, "", IF(AV184&gt;'Calculs Péremption FA'!$CB9, 'Calculs Péremption FA'!$CB9-Paramétrage!$D$29, AW184)))</f>
        <v/>
      </c>
      <c r="BD184" s="425" t="str">
        <f>IF(ISERROR(AV184),"", IF(AV184=0, "", IF(AV184&gt;'Calculs Péremption FA'!$CB9, Paramétrage!$D$29, AX184)))</f>
        <v/>
      </c>
      <c r="BE184" s="247" t="str">
        <f>IF(ISERROR(AV184),"", IF(AV184=0, "", IF(AV184&gt;'Calculs Péremption FA'!$CB9, 'Calculs Péremption FA'!$BX9-Paramétrage!$D$29*(365/12), AY184)))</f>
        <v/>
      </c>
      <c r="BF184" s="248" t="str">
        <f>IF(ISERROR(AV184),"", IF(AV184=0, "", IF(AV184&gt;'Calculs Péremption FA'!$CB9, CONCATENATE('TRAD-Calculs dispo Données FA'!$B$88, " - ", 'Calculs Péremption FA'!$BY9, "/", 'Calculs Péremption FA'!$BZ9, "/", 'Calculs Péremption FA'!$CA9), AZ184)))</f>
        <v/>
      </c>
      <c r="BH184" s="231" t="e">
        <f t="shared" si="39"/>
        <v>#DIV/0!</v>
      </c>
      <c r="BI184" s="236" t="e">
        <f>BH184-Paramétrage!$D$29</f>
        <v>#DIV/0!</v>
      </c>
      <c r="BJ184" s="241" t="e">
        <f>IF(BH184&lt;Paramétrage!$D$29, BH184, Paramétrage!$D$29)</f>
        <v>#DIV/0!</v>
      </c>
      <c r="BK184" s="241" t="e">
        <f t="shared" si="40"/>
        <v>#DIV/0!</v>
      </c>
      <c r="BL184" s="247" t="e">
        <f>Paramétrage!$H$19+BI184*(365/12)</f>
        <v>#DIV/0!</v>
      </c>
      <c r="BM184" s="248" t="e">
        <f>IF(BH184&lt;Paramétrage!$D$29, Paramétrage!$H$19+BJ184*(365/12), Paramétrage!$H$19+BH184*(365/12))</f>
        <v>#DIV/0!</v>
      </c>
      <c r="BO184" s="231" t="str">
        <f>IF(ISERROR(BH184),"", IF(BH184=0, "", IF(BH184&gt;'Calculs Péremption FA'!$CB9, 'Calculs Péremption FA'!$CB9, BH184)))</f>
        <v/>
      </c>
      <c r="BP184" s="236" t="str">
        <f>IF(ISERROR(BH184),"", IF(BH184=0, "", IF(BH184&gt;'Calculs Péremption FA'!$CB9, 'Calculs Péremption FA'!$CB9-Paramétrage!$D$29, BI184)))</f>
        <v/>
      </c>
      <c r="BQ184" s="425" t="str">
        <f>IF(ISERROR(BH184),"", IF(BH184=0, "", IF(BH184&gt;'Calculs Péremption FA'!$CB9, Paramétrage!$D$29, BJ184)))</f>
        <v/>
      </c>
      <c r="BR184" s="1833" t="str">
        <f t="shared" si="41"/>
        <v/>
      </c>
      <c r="BS184" s="247" t="str">
        <f>IF(ISERROR(BH184),"", IF(BH184=0, "", IF(BH184&gt;'Calculs Péremption FA'!$CB9, 'Calculs Péremption FA'!$BX9-Paramétrage!$D$29*(365/12), BL184)))</f>
        <v/>
      </c>
      <c r="BT184" s="248" t="str">
        <f>IF(ISERROR(BH184),"", IF(BH184=0, "", IF(BH184&gt;'Calculs Péremption FA'!$CB9, CONCATENATE('TRAD-Calculs dispo Données FA'!$B$88, " - ", 'Calculs Péremption FA'!$BY9, "/", 'Calculs Péremption FA'!$BZ9, "/", 'Calculs Péremption FA'!$CA9), BM184)))</f>
        <v/>
      </c>
      <c r="BV184" s="2061">
        <f>Calculs!$Q264</f>
        <v>666</v>
      </c>
      <c r="BW184" s="2062">
        <f>Calculs!$O155</f>
        <v>0</v>
      </c>
      <c r="BX184" s="2068">
        <f>Calculs!$N209</f>
        <v>0</v>
      </c>
      <c r="BY184" s="2070" t="str">
        <f>IF(AND(BX184=0, BV184=0, BW184=0), 'TRAD-Calculs dispo Données FA'!$B$82, "")</f>
        <v/>
      </c>
      <c r="BZ184" s="2062" t="str">
        <f>IF(AND(BX184=0, BV184&gt;0, BW184=0), CONCATENATE(BV184,'TRAD-Calculs dispo Données FA'!$B$80," =0"), "")</f>
        <v>666B &amp; conso =0</v>
      </c>
      <c r="CA184" s="2063" t="str">
        <f>IF(AND(BV184=0, OR(BW184&gt;=1, BX184&gt;=1)),'TRAD-Calculs dispo Données FA'!$B$81, "")</f>
        <v/>
      </c>
    </row>
    <row r="185" spans="2:79" s="358" customFormat="1" ht="25.5" x14ac:dyDescent="0.2">
      <c r="C185" s="2687"/>
      <c r="D185" s="2688"/>
      <c r="E185" s="2696" t="str">
        <f>'Saisie données stocks'!F22</f>
        <v>AZT+3TC</v>
      </c>
      <c r="F185" s="2697" t="str">
        <f>'Saisie données stocks'!G22</f>
        <v>Cp</v>
      </c>
      <c r="G185" s="2697" t="str">
        <f>'Saisie données stocks'!H22</f>
        <v>300/150 mg</v>
      </c>
      <c r="H185" s="2698" t="str">
        <f>CONCATENATE(E185, " - ", G185, " - ", 'TRAD-Calculs dispo Données FA'!$B$79,"/", K185)</f>
        <v>AZT+3TC - 300/150 mg - B/60</v>
      </c>
      <c r="I185" s="2698">
        <f>Calculs!K105</f>
        <v>2</v>
      </c>
      <c r="J185" s="2699">
        <f t="shared" si="29"/>
        <v>60</v>
      </c>
      <c r="K185" s="2693">
        <f>Calculs!J105</f>
        <v>60</v>
      </c>
      <c r="L185" s="2694">
        <f t="shared" si="30"/>
        <v>1</v>
      </c>
      <c r="M185" s="2695">
        <f>IF('Saisie données stocks'!$O$10='TRAD-Saisie données stocks'!$B$51, 'Calculs Péremption FA'!BU10, Calculs!M265)+IF('Saisie données stocks'!$M$76='TRAD-Saisie données stocks'!$B$51, Calculs!N265, "0")+Calculs!P265</f>
        <v>1052</v>
      </c>
      <c r="N185" s="2695">
        <f>Calculs!O156</f>
        <v>0</v>
      </c>
      <c r="O185" s="2695">
        <f>Calculs!N210</f>
        <v>0</v>
      </c>
      <c r="P185"/>
      <c r="Q185" s="231" t="e">
        <f>IF(Calculs!N210&gt;0, (-(Calculs!N210+2*Calculs!O156)+SQRT((Calculs!N210+2*Calculs!O156)*(Calculs!N210+2*Calculs!O156)+8*Calculs!N210*(M185)))/(2*Calculs!N210), ((M185)/Calculs!O156))</f>
        <v>#DIV/0!</v>
      </c>
      <c r="R185" s="236" t="e">
        <f>Q185-Paramétrage!$D$29</f>
        <v>#DIV/0!</v>
      </c>
      <c r="S185" s="241" t="e">
        <f>IF(Q185&lt;Paramétrage!$D$29, Q185, Paramétrage!$D$29)</f>
        <v>#DIV/0!</v>
      </c>
      <c r="T185" s="247" t="e">
        <f>Paramétrage!$H$19+R185*(365/12)</f>
        <v>#DIV/0!</v>
      </c>
      <c r="U185" s="248" t="e">
        <f>IF(Q185&lt;Paramétrage!$D$29, Paramétrage!$H$19+S185*(365/12), Paramétrage!$H$19+Q185*(365/12))</f>
        <v>#DIV/0!</v>
      </c>
      <c r="W185" s="231" t="str">
        <f t="shared" si="31"/>
        <v/>
      </c>
      <c r="X185" s="236" t="str">
        <f t="shared" si="32"/>
        <v/>
      </c>
      <c r="Y185" s="425" t="str">
        <f t="shared" si="33"/>
        <v/>
      </c>
      <c r="Z185" s="247" t="str">
        <f t="shared" si="34"/>
        <v/>
      </c>
      <c r="AA185" s="248" t="str">
        <f t="shared" si="35"/>
        <v>12350B &amp; conso =0</v>
      </c>
      <c r="AC185" s="231" t="e">
        <f t="shared" si="36"/>
        <v>#DIV/0!</v>
      </c>
      <c r="AD185" s="236" t="e">
        <f>AC185-Paramétrage!$D$29</f>
        <v>#DIV/0!</v>
      </c>
      <c r="AE185" s="241" t="e">
        <f>IF(AC185&lt;Paramétrage!$D$29, AC185, Paramétrage!$D$29)</f>
        <v>#DIV/0!</v>
      </c>
      <c r="AF185" s="241" t="e">
        <f t="shared" si="37"/>
        <v>#DIV/0!</v>
      </c>
      <c r="AG185" s="247" t="e">
        <f>Paramétrage!$H$19+AD185*30</f>
        <v>#DIV/0!</v>
      </c>
      <c r="AH185" s="248" t="e">
        <f>IF(AC185&lt;Paramétrage!$D$29, Paramétrage!$H$19+AE185*30, Paramétrage!$H$19+AC185*30)</f>
        <v>#DIV/0!</v>
      </c>
      <c r="AI185" s="247">
        <f>'Saisie données stocks'!O143</f>
        <v>0</v>
      </c>
      <c r="AJ185" s="1832" t="str">
        <f>IF(ISERROR(Q185), "0", IF('Saisie données stocks'!O143="", "0", IF(U128&gt;'Saisie données stocks'!$N$14, IF(AI185&gt;(Paramétrage!$H$19+'Saisie données stocks'!$N$14*(365/12)), (AI185-(Paramétrage!$H$19+'Saisie données stocks'!$N$14*(365/12)))/(365/12), IF(AI185&gt;U128, (AI185-U128)/(365/12), "0")))))</f>
        <v>0</v>
      </c>
      <c r="AK185" s="236" t="str">
        <f>IF(ISERROR(Q128),"0", IF(Q128=0, "0", IF(Q128&gt;'Calculs Péremption FA'!$CB10, 'Calculs Péremption FA'!$CB10, Q128)))</f>
        <v>0</v>
      </c>
      <c r="AL185" s="241" t="str">
        <f>IF(ISERROR(AC185),"0", IF(AC185=0, "0", IF(AC185&gt;'Saisie données stocks'!$N$14, 'Saisie données stocks'!$N$14, AC185)))</f>
        <v>0</v>
      </c>
      <c r="AM185" s="248" t="str">
        <f>IF(ISERROR(Q185),AA185,IF(Calculs!P265=0,AA128,(Paramétrage!$H$19+((AJ185+AK185+AL185)*(365/12)))))</f>
        <v>12350B &amp; conso =0</v>
      </c>
      <c r="AO185" s="231" t="str">
        <f>IF(ISERROR(AC185),"", IF(AC185=0, "", IF(AC185&gt;'Saisie données stocks'!$N$14, 'Saisie données stocks'!$N$14, AC185)))</f>
        <v/>
      </c>
      <c r="AP185" s="236" t="str">
        <f>IF(ISERROR(AC185),"", IF(AC185=0, "", IF(AC185&gt;'Calculs Péremption FA'!$CB10, 'Calculs Péremption FA'!$CB10-Paramétrage!$D$29, AD185)))</f>
        <v/>
      </c>
      <c r="AQ185" s="425" t="str">
        <f>IF(ISERROR(AC185),"", IF(AC185=0, "", IF(AC185&gt;'Calculs Péremption FA'!$CB10, Paramétrage!$D$29, AE185)))</f>
        <v/>
      </c>
      <c r="AR185" s="1833" t="str">
        <f t="shared" si="38"/>
        <v/>
      </c>
      <c r="AS185" s="247" t="str">
        <f>IF(ISERROR(AC185),"", IF(AC185=0, "", IF(AC185&gt;'Calculs Péremption FA'!$CB10, 'Calculs Péremption FA'!$BX10-Paramétrage!$D$29*(365/12), AG185)))</f>
        <v/>
      </c>
      <c r="AT185" s="248" t="str">
        <f>IF(ISERROR(AC185),"", IF(AC185=0, "", IF(AC185&gt;'Calculs Péremption FA'!$CB10, CONCATENATE('TRAD-Calculs dispo Données FA'!$B$88, " - ", 'Calculs Péremption FA'!$BY10, "/", 'Calculs Péremption FA'!$BZ10, "/", 'Calculs Péremption FA'!$CA10), AH185)))</f>
        <v/>
      </c>
      <c r="AV185" s="231" t="e">
        <f>(Calculs!Q265)/Calculs!O156</f>
        <v>#DIV/0!</v>
      </c>
      <c r="AW185" s="236" t="e">
        <f>AV185-Paramétrage!$D$29</f>
        <v>#DIV/0!</v>
      </c>
      <c r="AX185" s="241" t="e">
        <f>IF(AV185&lt;Paramétrage!$D$29, AV185, Paramétrage!$D$29)</f>
        <v>#DIV/0!</v>
      </c>
      <c r="AY185" s="247" t="e">
        <f>Paramétrage!$H$19+AW185*30</f>
        <v>#DIV/0!</v>
      </c>
      <c r="AZ185" s="248" t="e">
        <f>IF(AV185&lt;Paramétrage!$D$29, Paramétrage!$H$19+AX185*(365/12), Paramétrage!$H$19+AV185*(365/12))</f>
        <v>#DIV/0!</v>
      </c>
      <c r="BB185" s="231" t="str">
        <f>IF(ISERROR(AV185),"", IF(AV185=0, "", IF(AV185&gt;'Calculs Péremption FA'!$CB10, 'Calculs Péremption FA'!$CB10, AV185)))</f>
        <v/>
      </c>
      <c r="BC185" s="236" t="str">
        <f>IF(ISERROR(AV185),"", IF(AV185=0, "", IF(AV185&gt;'Calculs Péremption FA'!$CB10, 'Calculs Péremption FA'!$CB10-Paramétrage!$D$29, AW185)))</f>
        <v/>
      </c>
      <c r="BD185" s="425" t="str">
        <f>IF(ISERROR(AV185),"", IF(AV185=0, "", IF(AV185&gt;'Calculs Péremption FA'!$CB10, Paramétrage!$D$29, AX185)))</f>
        <v/>
      </c>
      <c r="BE185" s="247" t="str">
        <f>IF(ISERROR(AV185),"", IF(AV185=0, "", IF(AV185&gt;'Calculs Péremption FA'!$CB10, 'Calculs Péremption FA'!$BX10-Paramétrage!$D$29*(365/12), AY185)))</f>
        <v/>
      </c>
      <c r="BF185" s="248" t="str">
        <f>IF(ISERROR(AV185),"", IF(AV185=0, "", IF(AV185&gt;'Calculs Péremption FA'!$CB10, CONCATENATE('TRAD-Calculs dispo Données FA'!$B$88, " - ", 'Calculs Péremption FA'!$BY10, "/", 'Calculs Péremption FA'!$BZ10, "/", 'Calculs Péremption FA'!$CA10), AZ185)))</f>
        <v/>
      </c>
      <c r="BH185" s="231" t="e">
        <f t="shared" si="39"/>
        <v>#DIV/0!</v>
      </c>
      <c r="BI185" s="236" t="e">
        <f>BH185-Paramétrage!$D$29</f>
        <v>#DIV/0!</v>
      </c>
      <c r="BJ185" s="241" t="e">
        <f>IF(BH185&lt;Paramétrage!$D$29, BH185, Paramétrage!$D$29)</f>
        <v>#DIV/0!</v>
      </c>
      <c r="BK185" s="241" t="e">
        <f t="shared" si="40"/>
        <v>#DIV/0!</v>
      </c>
      <c r="BL185" s="247" t="e">
        <f>Paramétrage!$H$19+BI185*(365/12)</f>
        <v>#DIV/0!</v>
      </c>
      <c r="BM185" s="248" t="e">
        <f>IF(BH185&lt;Paramétrage!$D$29, Paramétrage!$H$19+BJ185*(365/12), Paramétrage!$H$19+BH185*(365/12))</f>
        <v>#DIV/0!</v>
      </c>
      <c r="BO185" s="231" t="str">
        <f>IF(ISERROR(BH185),"", IF(BH185=0, "", IF(BH185&gt;'Calculs Péremption FA'!$CB10, 'Calculs Péremption FA'!$CB10, BH185)))</f>
        <v/>
      </c>
      <c r="BP185" s="236" t="str">
        <f>IF(ISERROR(BH185),"", IF(BH185=0, "", IF(BH185&gt;'Calculs Péremption FA'!$CB10, 'Calculs Péremption FA'!$CB10-Paramétrage!$D$29, BI185)))</f>
        <v/>
      </c>
      <c r="BQ185" s="425" t="str">
        <f>IF(ISERROR(BH185),"", IF(BH185=0, "", IF(BH185&gt;'Calculs Péremption FA'!$CB10, Paramétrage!$D$29, BJ185)))</f>
        <v/>
      </c>
      <c r="BR185" s="1833" t="str">
        <f t="shared" si="41"/>
        <v/>
      </c>
      <c r="BS185" s="247" t="str">
        <f>IF(ISERROR(BH185),"", IF(BH185=0, "", IF(BH185&gt;'Calculs Péremption FA'!$CB10, 'Calculs Péremption FA'!$BX10-Paramétrage!$D$29*(365/12), BL185)))</f>
        <v/>
      </c>
      <c r="BT185" s="248" t="str">
        <f>IF(ISERROR(BH185),"", IF(BH185=0, "", IF(BH185&gt;'Calculs Péremption FA'!$CB10, CONCATENATE('TRAD-Calculs dispo Données FA'!$B$88, " - ", 'Calculs Péremption FA'!$BY10, "/", 'Calculs Péremption FA'!$BZ10, "/", 'Calculs Péremption FA'!$CA10), BM185)))</f>
        <v/>
      </c>
      <c r="BV185" s="2061">
        <f>Calculs!$Q265</f>
        <v>12350</v>
      </c>
      <c r="BW185" s="2062">
        <f>Calculs!$O156</f>
        <v>0</v>
      </c>
      <c r="BX185" s="2068">
        <f>Calculs!$N210</f>
        <v>0</v>
      </c>
      <c r="BY185" s="2070" t="str">
        <f>IF(AND(BX185=0, BV185=0, BW185=0), 'TRAD-Calculs dispo Données FA'!$B$82, "")</f>
        <v/>
      </c>
      <c r="BZ185" s="2062" t="str">
        <f>IF(AND(BX185=0, BV185&gt;0, BW185=0), CONCATENATE(BV185,'TRAD-Calculs dispo Données FA'!$B$80," =0"), "")</f>
        <v>12350B &amp; conso =0</v>
      </c>
      <c r="CA185" s="2063" t="str">
        <f>IF(AND(BV185=0, OR(BW185&gt;=1, BX185&gt;=1)),'TRAD-Calculs dispo Données FA'!$B$81, "")</f>
        <v/>
      </c>
    </row>
    <row r="186" spans="2:79" s="358" customFormat="1" ht="25.5" x14ac:dyDescent="0.2">
      <c r="C186" s="2687"/>
      <c r="D186" s="2688"/>
      <c r="E186" s="2696" t="str">
        <f>'Saisie données stocks'!F23</f>
        <v>AZT+3TC</v>
      </c>
      <c r="F186" s="2697" t="str">
        <f>'Saisie données stocks'!G23</f>
        <v>Cp</v>
      </c>
      <c r="G186" s="2697" t="str">
        <f>'Saisie données stocks'!H23</f>
        <v>60/30 mg</v>
      </c>
      <c r="H186" s="2698" t="str">
        <f>CONCATENATE(E186, " - ", G186, " - ", 'TRAD-Calculs dispo Données FA'!$B$79,"/", K186)</f>
        <v>AZT+3TC - 60/30 mg - B/60</v>
      </c>
      <c r="I186" s="2698">
        <f>Calculs!K106</f>
        <v>2</v>
      </c>
      <c r="J186" s="2699">
        <f t="shared" si="29"/>
        <v>60</v>
      </c>
      <c r="K186" s="2693">
        <f>Calculs!J106</f>
        <v>60</v>
      </c>
      <c r="L186" s="2694">
        <f t="shared" si="30"/>
        <v>1</v>
      </c>
      <c r="M186" s="2695">
        <f>IF('Saisie données stocks'!$O$10='TRAD-Saisie données stocks'!$B$51, 'Calculs Péremption FA'!BU11, Calculs!M266)+IF('Saisie données stocks'!$M$76='TRAD-Saisie données stocks'!$B$51, Calculs!N266, "0")+Calculs!P266</f>
        <v>160</v>
      </c>
      <c r="N186" s="2695">
        <f>Calculs!O157</f>
        <v>0</v>
      </c>
      <c r="O186" s="2695">
        <f>Calculs!N211</f>
        <v>0</v>
      </c>
      <c r="P186"/>
      <c r="Q186" s="231" t="e">
        <f>IF(Calculs!N211&gt;0, (-(Calculs!N211+2*Calculs!O157)+SQRT((Calculs!N211+2*Calculs!O157)*(Calculs!N211+2*Calculs!O157)+8*Calculs!N211*(M186)))/(2*Calculs!N211), ((M186)/Calculs!O157))</f>
        <v>#DIV/0!</v>
      </c>
      <c r="R186" s="236" t="e">
        <f>Q186-Paramétrage!$D$29</f>
        <v>#DIV/0!</v>
      </c>
      <c r="S186" s="241" t="e">
        <f>IF(Q186&lt;Paramétrage!$D$29, Q186, Paramétrage!$D$29)</f>
        <v>#DIV/0!</v>
      </c>
      <c r="T186" s="247" t="e">
        <f>Paramétrage!$H$19+R186*(365/12)</f>
        <v>#DIV/0!</v>
      </c>
      <c r="U186" s="248" t="e">
        <f>IF(Q186&lt;Paramétrage!$D$29, Paramétrage!$H$19+S186*(365/12), Paramétrage!$H$19+Q186*(365/12))</f>
        <v>#DIV/0!</v>
      </c>
      <c r="W186" s="231" t="str">
        <f t="shared" si="31"/>
        <v/>
      </c>
      <c r="X186" s="236" t="str">
        <f t="shared" si="32"/>
        <v/>
      </c>
      <c r="Y186" s="425" t="str">
        <f t="shared" si="33"/>
        <v/>
      </c>
      <c r="Z186" s="247" t="str">
        <f t="shared" si="34"/>
        <v/>
      </c>
      <c r="AA186" s="248" t="str">
        <f t="shared" si="35"/>
        <v>903B &amp; conso =0</v>
      </c>
      <c r="AC186" s="231" t="e">
        <f t="shared" si="36"/>
        <v>#DIV/0!</v>
      </c>
      <c r="AD186" s="236" t="e">
        <f>AC186-Paramétrage!$D$29</f>
        <v>#DIV/0!</v>
      </c>
      <c r="AE186" s="241" t="e">
        <f>IF(AC186&lt;Paramétrage!$D$29, AC186, Paramétrage!$D$29)</f>
        <v>#DIV/0!</v>
      </c>
      <c r="AF186" s="241" t="e">
        <f t="shared" si="37"/>
        <v>#DIV/0!</v>
      </c>
      <c r="AG186" s="247" t="e">
        <f>Paramétrage!$H$19+AD186*30</f>
        <v>#DIV/0!</v>
      </c>
      <c r="AH186" s="248" t="e">
        <f>IF(AC186&lt;Paramétrage!$D$29, Paramétrage!$H$19+AE186*30, Paramétrage!$H$19+AC186*30)</f>
        <v>#DIV/0!</v>
      </c>
      <c r="AI186" s="247">
        <f>'Saisie données stocks'!O144</f>
        <v>0</v>
      </c>
      <c r="AJ186" s="1832" t="str">
        <f>IF(ISERROR(Q186), "0", IF('Saisie données stocks'!O144="", "0", IF(U129&gt;'Saisie données stocks'!$N$14, IF(AI186&gt;(Paramétrage!$H$19+'Saisie données stocks'!$N$14*(365/12)), (AI186-(Paramétrage!$H$19+'Saisie données stocks'!$N$14*(365/12)))/(365/12), IF(AI186&gt;U129, (AI186-U129)/(365/12), "0")))))</f>
        <v>0</v>
      </c>
      <c r="AK186" s="236" t="str">
        <f>IF(ISERROR(Q129),"0", IF(Q129=0, "0", IF(Q129&gt;'Calculs Péremption FA'!$CB11, 'Calculs Péremption FA'!$CB11, Q129)))</f>
        <v>0</v>
      </c>
      <c r="AL186" s="241" t="str">
        <f>IF(ISERROR(AC186),"0", IF(AC186=0, "0", IF(AC186&gt;'Saisie données stocks'!$N$14, 'Saisie données stocks'!$N$14, AC186)))</f>
        <v>0</v>
      </c>
      <c r="AM186" s="248" t="str">
        <f>IF(ISERROR(Q186),AA186,IF(Calculs!P266=0,AA129,(Paramétrage!$H$19+((AJ186+AK186+AL186)*(365/12)))))</f>
        <v>903B &amp; conso =0</v>
      </c>
      <c r="AO186" s="231" t="str">
        <f>IF(ISERROR(AC186),"", IF(AC186=0, "", IF(AC186&gt;'Saisie données stocks'!$N$14, 'Saisie données stocks'!$N$14, AC186)))</f>
        <v/>
      </c>
      <c r="AP186" s="236" t="str">
        <f>IF(ISERROR(AC186),"", IF(AC186=0, "", IF(AC186&gt;'Calculs Péremption FA'!$CB11, 'Calculs Péremption FA'!$CB11-Paramétrage!$D$29, AD186)))</f>
        <v/>
      </c>
      <c r="AQ186" s="425" t="str">
        <f>IF(ISERROR(AC186),"", IF(AC186=0, "", IF(AC186&gt;'Calculs Péremption FA'!$CB11, Paramétrage!$D$29, AE186)))</f>
        <v/>
      </c>
      <c r="AR186" s="1833" t="str">
        <f t="shared" si="38"/>
        <v/>
      </c>
      <c r="AS186" s="247" t="str">
        <f>IF(ISERROR(AC186),"", IF(AC186=0, "", IF(AC186&gt;'Calculs Péremption FA'!$CB11, 'Calculs Péremption FA'!$BX11-Paramétrage!$D$29*(365/12), AG186)))</f>
        <v/>
      </c>
      <c r="AT186" s="248" t="str">
        <f>IF(ISERROR(AC186),"", IF(AC186=0, "", IF(AC186&gt;'Calculs Péremption FA'!$CB11, CONCATENATE('TRAD-Calculs dispo Données FA'!$B$88, " - ", 'Calculs Péremption FA'!$BY11, "/", 'Calculs Péremption FA'!$BZ11, "/", 'Calculs Péremption FA'!$CA11), AH186)))</f>
        <v/>
      </c>
      <c r="AV186" s="231" t="e">
        <f>(Calculs!Q266)/Calculs!O157</f>
        <v>#DIV/0!</v>
      </c>
      <c r="AW186" s="236" t="e">
        <f>AV186-Paramétrage!$D$29</f>
        <v>#DIV/0!</v>
      </c>
      <c r="AX186" s="241" t="e">
        <f>IF(AV186&lt;Paramétrage!$D$29, AV186, Paramétrage!$D$29)</f>
        <v>#DIV/0!</v>
      </c>
      <c r="AY186" s="247" t="e">
        <f>Paramétrage!$H$19+AW186*30</f>
        <v>#DIV/0!</v>
      </c>
      <c r="AZ186" s="248" t="e">
        <f>IF(AV186&lt;Paramétrage!$D$29, Paramétrage!$H$19+AX186*(365/12), Paramétrage!$H$19+AV186*(365/12))</f>
        <v>#DIV/0!</v>
      </c>
      <c r="BB186" s="231" t="str">
        <f>IF(ISERROR(AV186),"", IF(AV186=0, "", IF(AV186&gt;'Calculs Péremption FA'!$CB11, 'Calculs Péremption FA'!$CB11, AV186)))</f>
        <v/>
      </c>
      <c r="BC186" s="236" t="str">
        <f>IF(ISERROR(AV186),"", IF(AV186=0, "", IF(AV186&gt;'Calculs Péremption FA'!$CB11, 'Calculs Péremption FA'!$CB11-Paramétrage!$D$29, AW186)))</f>
        <v/>
      </c>
      <c r="BD186" s="425" t="str">
        <f>IF(ISERROR(AV186),"", IF(AV186=0, "", IF(AV186&gt;'Calculs Péremption FA'!$CB11, Paramétrage!$D$29, AX186)))</f>
        <v/>
      </c>
      <c r="BE186" s="247" t="str">
        <f>IF(ISERROR(AV186),"", IF(AV186=0, "", IF(AV186&gt;'Calculs Péremption FA'!$CB11, 'Calculs Péremption FA'!$BX11-Paramétrage!$D$29*(365/12), AY186)))</f>
        <v/>
      </c>
      <c r="BF186" s="248" t="str">
        <f>IF(ISERROR(AV186),"", IF(AV186=0, "", IF(AV186&gt;'Calculs Péremption FA'!$CB11, CONCATENATE('TRAD-Calculs dispo Données FA'!$B$88, " - ", 'Calculs Péremption FA'!$BY11, "/", 'Calculs Péremption FA'!$BZ11, "/", 'Calculs Péremption FA'!$CA11), AZ186)))</f>
        <v/>
      </c>
      <c r="BH186" s="231" t="e">
        <f t="shared" si="39"/>
        <v>#DIV/0!</v>
      </c>
      <c r="BI186" s="236" t="e">
        <f>BH186-Paramétrage!$D$29</f>
        <v>#DIV/0!</v>
      </c>
      <c r="BJ186" s="241" t="e">
        <f>IF(BH186&lt;Paramétrage!$D$29, BH186, Paramétrage!$D$29)</f>
        <v>#DIV/0!</v>
      </c>
      <c r="BK186" s="241" t="e">
        <f t="shared" si="40"/>
        <v>#DIV/0!</v>
      </c>
      <c r="BL186" s="247" t="e">
        <f>Paramétrage!$H$19+BI186*(365/12)</f>
        <v>#DIV/0!</v>
      </c>
      <c r="BM186" s="248" t="e">
        <f>IF(BH186&lt;Paramétrage!$D$29, Paramétrage!$H$19+BJ186*(365/12), Paramétrage!$H$19+BH186*(365/12))</f>
        <v>#DIV/0!</v>
      </c>
      <c r="BO186" s="231" t="str">
        <f>IF(ISERROR(BH186),"", IF(BH186=0, "", IF(BH186&gt;'Calculs Péremption FA'!$CB11, 'Calculs Péremption FA'!$CB11, BH186)))</f>
        <v/>
      </c>
      <c r="BP186" s="236" t="str">
        <f>IF(ISERROR(BH186),"", IF(BH186=0, "", IF(BH186&gt;'Calculs Péremption FA'!$CB11, 'Calculs Péremption FA'!$CB11-Paramétrage!$D$29, BI186)))</f>
        <v/>
      </c>
      <c r="BQ186" s="425" t="str">
        <f>IF(ISERROR(BH186),"", IF(BH186=0, "", IF(BH186&gt;'Calculs Péremption FA'!$CB11, Paramétrage!$D$29, BJ186)))</f>
        <v/>
      </c>
      <c r="BR186" s="1833" t="str">
        <f t="shared" si="41"/>
        <v/>
      </c>
      <c r="BS186" s="247" t="str">
        <f>IF(ISERROR(BH186),"", IF(BH186=0, "", IF(BH186&gt;'Calculs Péremption FA'!$CB11, 'Calculs Péremption FA'!$BX11-Paramétrage!$D$29*(365/12), BL186)))</f>
        <v/>
      </c>
      <c r="BT186" s="248" t="str">
        <f>IF(ISERROR(BH186),"", IF(BH186=0, "", IF(BH186&gt;'Calculs Péremption FA'!$CB11, CONCATENATE('TRAD-Calculs dispo Données FA'!$B$88, " - ", 'Calculs Péremption FA'!$BY11, "/", 'Calculs Péremption FA'!$BZ11, "/", 'Calculs Péremption FA'!$CA11), BM186)))</f>
        <v/>
      </c>
      <c r="BV186" s="2061">
        <f>Calculs!$Q266</f>
        <v>903</v>
      </c>
      <c r="BW186" s="2062">
        <f>Calculs!$O157</f>
        <v>0</v>
      </c>
      <c r="BX186" s="2068">
        <f>Calculs!$N211</f>
        <v>0</v>
      </c>
      <c r="BY186" s="2070" t="str">
        <f>IF(AND(BX186=0, BV186=0, BW186=0), 'TRAD-Calculs dispo Données FA'!$B$82, "")</f>
        <v/>
      </c>
      <c r="BZ186" s="2062" t="str">
        <f>IF(AND(BX186=0, BV186&gt;0, BW186=0), CONCATENATE(BV186,'TRAD-Calculs dispo Données FA'!$B$80," =0"), "")</f>
        <v>903B &amp; conso =0</v>
      </c>
      <c r="CA186" s="2063" t="str">
        <f>IF(AND(BV186=0, OR(BW186&gt;=1, BX186&gt;=1)),'TRAD-Calculs dispo Données FA'!$B$81, "")</f>
        <v/>
      </c>
    </row>
    <row r="187" spans="2:79" s="358" customFormat="1" ht="25.5" x14ac:dyDescent="0.2">
      <c r="C187" s="2687"/>
      <c r="D187" s="2688"/>
      <c r="E187" s="2696" t="str">
        <f>'Saisie données stocks'!F24</f>
        <v>3TC+ABC</v>
      </c>
      <c r="F187" s="2697" t="str">
        <f>'Saisie données stocks'!G24</f>
        <v>Cp</v>
      </c>
      <c r="G187" s="2697" t="str">
        <f>'Saisie données stocks'!H24</f>
        <v>300/600 mg</v>
      </c>
      <c r="H187" s="2698" t="str">
        <f>CONCATENATE(E187, " - ", G187, " - ", 'TRAD-Calculs dispo Données FA'!$B$79,"/", K187)</f>
        <v>3TC+ABC - 300/600 mg - B/30</v>
      </c>
      <c r="I187" s="2698">
        <f>Calculs!K107</f>
        <v>1</v>
      </c>
      <c r="J187" s="2698">
        <f t="shared" si="29"/>
        <v>30</v>
      </c>
      <c r="K187" s="2693">
        <f>Calculs!J107</f>
        <v>30</v>
      </c>
      <c r="L187" s="2694">
        <f t="shared" si="30"/>
        <v>1</v>
      </c>
      <c r="M187" s="2695">
        <f>IF('Saisie données stocks'!$O$10='TRAD-Saisie données stocks'!$B$51, 'Calculs Péremption FA'!BU12, Calculs!M267)+IF('Saisie données stocks'!$M$76='TRAD-Saisie données stocks'!$B$51, Calculs!N267, "0")+Calculs!P267</f>
        <v>345</v>
      </c>
      <c r="N187" s="2695">
        <f>Calculs!O158</f>
        <v>0</v>
      </c>
      <c r="O187" s="2695">
        <f>Calculs!N212</f>
        <v>0</v>
      </c>
      <c r="P187"/>
      <c r="Q187" s="231" t="e">
        <f>IF(Calculs!N212&gt;0, (-(Calculs!N212+2*Calculs!O158)+SQRT((Calculs!N212+2*Calculs!O158)*(Calculs!N212+2*Calculs!O158)+8*Calculs!N212*(M187)))/(2*Calculs!N212), ((M187)/Calculs!O158))</f>
        <v>#DIV/0!</v>
      </c>
      <c r="R187" s="236" t="e">
        <f>Q187-Paramétrage!$D$29</f>
        <v>#DIV/0!</v>
      </c>
      <c r="S187" s="241" t="e">
        <f>IF(Q187&lt;Paramétrage!$D$29, Q187, Paramétrage!$D$29)</f>
        <v>#DIV/0!</v>
      </c>
      <c r="T187" s="247" t="e">
        <f>Paramétrage!$H$19+R187*(365/12)</f>
        <v>#DIV/0!</v>
      </c>
      <c r="U187" s="248" t="e">
        <f>IF(Q187&lt;Paramétrage!$D$29, Paramétrage!$H$19+S187*(365/12), Paramétrage!$H$19+Q187*(365/12))</f>
        <v>#DIV/0!</v>
      </c>
      <c r="W187" s="231" t="str">
        <f t="shared" si="31"/>
        <v/>
      </c>
      <c r="X187" s="236" t="str">
        <f t="shared" si="32"/>
        <v/>
      </c>
      <c r="Y187" s="425" t="str">
        <f t="shared" si="33"/>
        <v/>
      </c>
      <c r="Z187" s="247" t="str">
        <f t="shared" si="34"/>
        <v/>
      </c>
      <c r="AA187" s="248" t="str">
        <f t="shared" si="35"/>
        <v>492B &amp; conso =0</v>
      </c>
      <c r="AC187" s="231" t="e">
        <f t="shared" si="36"/>
        <v>#DIV/0!</v>
      </c>
      <c r="AD187" s="236" t="e">
        <f>AC187-Paramétrage!$D$29</f>
        <v>#DIV/0!</v>
      </c>
      <c r="AE187" s="241" t="e">
        <f>IF(AC187&lt;Paramétrage!$D$29, AC187, Paramétrage!$D$29)</f>
        <v>#DIV/0!</v>
      </c>
      <c r="AF187" s="241" t="e">
        <f t="shared" si="37"/>
        <v>#DIV/0!</v>
      </c>
      <c r="AG187" s="247" t="e">
        <f>Paramétrage!$H$19+AD187*30</f>
        <v>#DIV/0!</v>
      </c>
      <c r="AH187" s="248" t="e">
        <f>IF(AC187&lt;Paramétrage!$D$29, Paramétrage!$H$19+AE187*30, Paramétrage!$H$19+AC187*30)</f>
        <v>#DIV/0!</v>
      </c>
      <c r="AI187" s="247">
        <f>'Saisie données stocks'!O145</f>
        <v>41944</v>
      </c>
      <c r="AJ187" s="1832" t="str">
        <f>IF(ISERROR(Q187), "0", IF('Saisie données stocks'!O145="", "0", IF(U130&gt;'Saisie données stocks'!$N$14, IF(AI187&gt;(Paramétrage!$H$19+'Saisie données stocks'!$N$14*(365/12)), (AI187-(Paramétrage!$H$19+'Saisie données stocks'!$N$14*(365/12)))/(365/12), IF(AI187&gt;U130, (AI187-U130)/(365/12), "0")))))</f>
        <v>0</v>
      </c>
      <c r="AK187" s="236" t="str">
        <f>IF(ISERROR(Q130),"0", IF(Q130=0, "0", IF(Q130&gt;'Calculs Péremption FA'!$CB12, 'Calculs Péremption FA'!$CB12, Q130)))</f>
        <v>0</v>
      </c>
      <c r="AL187" s="241" t="str">
        <f>IF(ISERROR(AC187),"0", IF(AC187=0, "0", IF(AC187&gt;'Saisie données stocks'!$N$14, 'Saisie données stocks'!$N$14, AC187)))</f>
        <v>0</v>
      </c>
      <c r="AM187" s="248" t="str">
        <f>IF(ISERROR(Q187),AA187,IF(Calculs!P267=0,AA130,(Paramétrage!$H$19+((AJ187+AK187+AL187)*(365/12)))))</f>
        <v>492B &amp; conso =0</v>
      </c>
      <c r="AO187" s="231" t="str">
        <f>IF(ISERROR(AC187),"", IF(AC187=0, "", IF(AC187&gt;'Saisie données stocks'!$N$14, 'Saisie données stocks'!$N$14, AC187)))</f>
        <v/>
      </c>
      <c r="AP187" s="236" t="str">
        <f>IF(ISERROR(AC187),"", IF(AC187=0, "", IF(AC187&gt;'Calculs Péremption FA'!$CB12, 'Calculs Péremption FA'!$CB12-Paramétrage!$D$29, AD187)))</f>
        <v/>
      </c>
      <c r="AQ187" s="425" t="str">
        <f>IF(ISERROR(AC187),"", IF(AC187=0, "", IF(AC187&gt;'Calculs Péremption FA'!$CB12, Paramétrage!$D$29, AE187)))</f>
        <v/>
      </c>
      <c r="AR187" s="1833" t="str">
        <f t="shared" si="38"/>
        <v/>
      </c>
      <c r="AS187" s="247" t="str">
        <f>IF(ISERROR(AC187),"", IF(AC187=0, "", IF(AC187&gt;'Calculs Péremption FA'!$CB12, 'Calculs Péremption FA'!$BX12-Paramétrage!$D$29*(365/12), AG187)))</f>
        <v/>
      </c>
      <c r="AT187" s="248" t="str">
        <f>IF(ISERROR(AC187),"", IF(AC187=0, "", IF(AC187&gt;'Calculs Péremption FA'!$CB12, CONCATENATE('TRAD-Calculs dispo Données FA'!$B$88, " - ", 'Calculs Péremption FA'!$BY12, "/", 'Calculs Péremption FA'!$BZ12, "/", 'Calculs Péremption FA'!$CA12), AH187)))</f>
        <v/>
      </c>
      <c r="AV187" s="231" t="e">
        <f>(Calculs!Q267)/Calculs!O158</f>
        <v>#DIV/0!</v>
      </c>
      <c r="AW187" s="236" t="e">
        <f>AV187-Paramétrage!$D$29</f>
        <v>#DIV/0!</v>
      </c>
      <c r="AX187" s="241" t="e">
        <f>IF(AV187&lt;Paramétrage!$D$29, AV187, Paramétrage!$D$29)</f>
        <v>#DIV/0!</v>
      </c>
      <c r="AY187" s="247" t="e">
        <f>Paramétrage!$H$19+AW187*30</f>
        <v>#DIV/0!</v>
      </c>
      <c r="AZ187" s="248" t="e">
        <f>IF(AV187&lt;Paramétrage!$D$29, Paramétrage!$H$19+AX187*(365/12), Paramétrage!$H$19+AV187*(365/12))</f>
        <v>#DIV/0!</v>
      </c>
      <c r="BB187" s="231" t="str">
        <f>IF(ISERROR(AV187),"", IF(AV187=0, "", IF(AV187&gt;'Calculs Péremption FA'!$CB12, 'Calculs Péremption FA'!$CB12, AV187)))</f>
        <v/>
      </c>
      <c r="BC187" s="236" t="str">
        <f>IF(ISERROR(AV187),"", IF(AV187=0, "", IF(AV187&gt;'Calculs Péremption FA'!$CB12, 'Calculs Péremption FA'!$CB12-Paramétrage!$D$29, AW187)))</f>
        <v/>
      </c>
      <c r="BD187" s="425" t="str">
        <f>IF(ISERROR(AV187),"", IF(AV187=0, "", IF(AV187&gt;'Calculs Péremption FA'!$CB12, Paramétrage!$D$29, AX187)))</f>
        <v/>
      </c>
      <c r="BE187" s="247" t="str">
        <f>IF(ISERROR(AV187),"", IF(AV187=0, "", IF(AV187&gt;'Calculs Péremption FA'!$CB12, 'Calculs Péremption FA'!$BX12-Paramétrage!$D$29*(365/12), AY187)))</f>
        <v/>
      </c>
      <c r="BF187" s="248" t="str">
        <f>IF(ISERROR(AV187),"", IF(AV187=0, "", IF(AV187&gt;'Calculs Péremption FA'!$CB12, CONCATENATE('TRAD-Calculs dispo Données FA'!$B$88, " - ", 'Calculs Péremption FA'!$BY12, "/", 'Calculs Péremption FA'!$BZ12, "/", 'Calculs Péremption FA'!$CA12), AZ187)))</f>
        <v/>
      </c>
      <c r="BH187" s="231" t="e">
        <f t="shared" si="39"/>
        <v>#DIV/0!</v>
      </c>
      <c r="BI187" s="236" t="e">
        <f>BH187-Paramétrage!$D$29</f>
        <v>#DIV/0!</v>
      </c>
      <c r="BJ187" s="241" t="e">
        <f>IF(BH187&lt;Paramétrage!$D$29, BH187, Paramétrage!$D$29)</f>
        <v>#DIV/0!</v>
      </c>
      <c r="BK187" s="241" t="e">
        <f t="shared" si="40"/>
        <v>#DIV/0!</v>
      </c>
      <c r="BL187" s="247" t="e">
        <f>Paramétrage!$H$19+BI187*(365/12)</f>
        <v>#DIV/0!</v>
      </c>
      <c r="BM187" s="248" t="e">
        <f>IF(BH187&lt;Paramétrage!$D$29, Paramétrage!$H$19+BJ187*(365/12), Paramétrage!$H$19+BH187*(365/12))</f>
        <v>#DIV/0!</v>
      </c>
      <c r="BO187" s="231" t="str">
        <f>IF(ISERROR(BH187),"", IF(BH187=0, "", IF(BH187&gt;'Calculs Péremption FA'!$CB12, 'Calculs Péremption FA'!$CB12, BH187)))</f>
        <v/>
      </c>
      <c r="BP187" s="236" t="str">
        <f>IF(ISERROR(BH187),"", IF(BH187=0, "", IF(BH187&gt;'Calculs Péremption FA'!$CB12, 'Calculs Péremption FA'!$CB12-Paramétrage!$D$29, BI187)))</f>
        <v/>
      </c>
      <c r="BQ187" s="425" t="str">
        <f>IF(ISERROR(BH187),"", IF(BH187=0, "", IF(BH187&gt;'Calculs Péremption FA'!$CB12, Paramétrage!$D$29, BJ187)))</f>
        <v/>
      </c>
      <c r="BR187" s="1833" t="str">
        <f t="shared" si="41"/>
        <v/>
      </c>
      <c r="BS187" s="247" t="str">
        <f>IF(ISERROR(BH187),"", IF(BH187=0, "", IF(BH187&gt;'Calculs Péremption FA'!$CB12, 'Calculs Péremption FA'!$BX12-Paramétrage!$D$29*(365/12), BL187)))</f>
        <v/>
      </c>
      <c r="BT187" s="248" t="str">
        <f>IF(ISERROR(BH187),"", IF(BH187=0, "", IF(BH187&gt;'Calculs Péremption FA'!$CB12, CONCATENATE('TRAD-Calculs dispo Données FA'!$B$88, " - ", 'Calculs Péremption FA'!$BY12, "/", 'Calculs Péremption FA'!$BZ12, "/", 'Calculs Péremption FA'!$CA12), BM187)))</f>
        <v/>
      </c>
      <c r="BV187" s="2061">
        <f>Calculs!$Q267</f>
        <v>492</v>
      </c>
      <c r="BW187" s="2062">
        <f>Calculs!$O158</f>
        <v>0</v>
      </c>
      <c r="BX187" s="2068">
        <f>Calculs!$N212</f>
        <v>0</v>
      </c>
      <c r="BY187" s="2070" t="str">
        <f>IF(AND(BX187=0, BV187=0, BW187=0), 'TRAD-Calculs dispo Données FA'!$B$82, "")</f>
        <v/>
      </c>
      <c r="BZ187" s="2062" t="str">
        <f>IF(AND(BX187=0, BV187&gt;0, BW187=0), CONCATENATE(BV187,'TRAD-Calculs dispo Données FA'!$B$80," =0"), "")</f>
        <v>492B &amp; conso =0</v>
      </c>
      <c r="CA187" s="2063" t="str">
        <f>IF(AND(BV187=0, OR(BW187&gt;=1, BX187&gt;=1)),'TRAD-Calculs dispo Données FA'!$B$81, "")</f>
        <v/>
      </c>
    </row>
    <row r="188" spans="2:79" s="358" customFormat="1" ht="25.5" x14ac:dyDescent="0.2">
      <c r="C188" s="2687"/>
      <c r="D188" s="2688"/>
      <c r="E188" s="2696" t="str">
        <f>'Saisie données stocks'!F25</f>
        <v>3TC+ABC</v>
      </c>
      <c r="F188" s="2697" t="str">
        <f>'Saisie données stocks'!G25</f>
        <v>Cp</v>
      </c>
      <c r="G188" s="2697" t="str">
        <f>'Saisie données stocks'!H25</f>
        <v>30/60 mg</v>
      </c>
      <c r="H188" s="2698" t="str">
        <f>CONCATENATE(E188, " - ", G188, " - ", 'TRAD-Calculs dispo Données FA'!$B$79,"/", K188)</f>
        <v>3TC+ABC - 30/60 mg - B/60</v>
      </c>
      <c r="I188" s="2698">
        <f>Calculs!K108</f>
        <v>2</v>
      </c>
      <c r="J188" s="2698">
        <f t="shared" si="29"/>
        <v>60</v>
      </c>
      <c r="K188" s="2693">
        <f>Calculs!J108</f>
        <v>60</v>
      </c>
      <c r="L188" s="2694">
        <f t="shared" si="30"/>
        <v>1</v>
      </c>
      <c r="M188" s="2695">
        <f>IF('Saisie données stocks'!$O$10='TRAD-Saisie données stocks'!$B$51, 'Calculs Péremption FA'!BU13, Calculs!M268)+IF('Saisie données stocks'!$M$76='TRAD-Saisie données stocks'!$B$51, Calculs!N268, "0")+Calculs!P268</f>
        <v>0</v>
      </c>
      <c r="N188" s="2695">
        <f>Calculs!O159</f>
        <v>0</v>
      </c>
      <c r="O188" s="2695">
        <f>Calculs!N213</f>
        <v>0</v>
      </c>
      <c r="P188"/>
      <c r="Q188" s="231" t="e">
        <f>IF(Calculs!N213&gt;0, (-(Calculs!N213+2*Calculs!O159)+SQRT((Calculs!N213+2*Calculs!O159)*(Calculs!N213+2*Calculs!O159)+8*Calculs!N213*(M188)))/(2*Calculs!N213), ((M188)/Calculs!O159))</f>
        <v>#DIV/0!</v>
      </c>
      <c r="R188" s="236" t="e">
        <f>Q188-Paramétrage!$D$29</f>
        <v>#DIV/0!</v>
      </c>
      <c r="S188" s="241" t="e">
        <f>IF(Q188&lt;Paramétrage!$D$29, Q188, Paramétrage!$D$29)</f>
        <v>#DIV/0!</v>
      </c>
      <c r="T188" s="247" t="e">
        <f>Paramétrage!$H$19+R188*(365/12)</f>
        <v>#DIV/0!</v>
      </c>
      <c r="U188" s="248" t="e">
        <f>IF(Q188&lt;Paramétrage!$D$29, Paramétrage!$H$19+S188*(365/12), Paramétrage!$H$19+Q188*(365/12))</f>
        <v>#DIV/0!</v>
      </c>
      <c r="W188" s="231" t="str">
        <f t="shared" si="31"/>
        <v/>
      </c>
      <c r="X188" s="236" t="str">
        <f t="shared" si="32"/>
        <v/>
      </c>
      <c r="Y188" s="425" t="str">
        <f t="shared" si="33"/>
        <v/>
      </c>
      <c r="Z188" s="247" t="str">
        <f t="shared" si="34"/>
        <v/>
      </c>
      <c r="AA188" s="248" t="str">
        <f t="shared" si="35"/>
        <v>231B &amp; conso =0</v>
      </c>
      <c r="AC188" s="231" t="e">
        <f t="shared" si="36"/>
        <v>#DIV/0!</v>
      </c>
      <c r="AD188" s="236" t="e">
        <f>AC188-Paramétrage!$D$29</f>
        <v>#DIV/0!</v>
      </c>
      <c r="AE188" s="241" t="e">
        <f>IF(AC188&lt;Paramétrage!$D$29, AC188, Paramétrage!$D$29)</f>
        <v>#DIV/0!</v>
      </c>
      <c r="AF188" s="241" t="e">
        <f t="shared" si="37"/>
        <v>#DIV/0!</v>
      </c>
      <c r="AG188" s="247" t="e">
        <f>Paramétrage!$H$19+AD188*30</f>
        <v>#DIV/0!</v>
      </c>
      <c r="AH188" s="248" t="e">
        <f>IF(AC188&lt;Paramétrage!$D$29, Paramétrage!$H$19+AE188*30, Paramétrage!$H$19+AC188*30)</f>
        <v>#DIV/0!</v>
      </c>
      <c r="AI188" s="247">
        <f>'Saisie données stocks'!O146</f>
        <v>0</v>
      </c>
      <c r="AJ188" s="1832" t="str">
        <f>IF(ISERROR(Q188), "0", IF('Saisie données stocks'!O146="", "0", IF(U131&gt;'Saisie données stocks'!$N$14, IF(AI188&gt;(Paramétrage!$H$19+'Saisie données stocks'!$N$14*(365/12)), (AI188-(Paramétrage!$H$19+'Saisie données stocks'!$N$14*(365/12)))/(365/12), IF(AI188&gt;U131, (AI188-U131)/(365/12), "0")))))</f>
        <v>0</v>
      </c>
      <c r="AK188" s="236" t="str">
        <f>IF(ISERROR(Q131),"0", IF(Q131=0, "0", IF(Q131&gt;'Calculs Péremption FA'!$CB13, 'Calculs Péremption FA'!$CB13, Q131)))</f>
        <v>0</v>
      </c>
      <c r="AL188" s="241" t="str">
        <f>IF(ISERROR(AC188),"0", IF(AC188=0, "0", IF(AC188&gt;'Saisie données stocks'!$N$14, 'Saisie données stocks'!$N$14, AC188)))</f>
        <v>0</v>
      </c>
      <c r="AM188" s="248" t="str">
        <f>IF(ISERROR(Q188),AA188,IF(Calculs!P268=0,AA131,(Paramétrage!$H$19+((AJ188+AK188+AL188)*(365/12)))))</f>
        <v>231B &amp; conso =0</v>
      </c>
      <c r="AO188" s="231" t="str">
        <f>IF(ISERROR(AC188),"", IF(AC188=0, "", IF(AC188&gt;'Saisie données stocks'!$N$14, 'Saisie données stocks'!$N$14, AC188)))</f>
        <v/>
      </c>
      <c r="AP188" s="236" t="str">
        <f>IF(ISERROR(AC188),"", IF(AC188=0, "", IF(AC188&gt;'Calculs Péremption FA'!$CB13, 'Calculs Péremption FA'!$CB13-Paramétrage!$D$29, AD188)))</f>
        <v/>
      </c>
      <c r="AQ188" s="425" t="str">
        <f>IF(ISERROR(AC188),"", IF(AC188=0, "", IF(AC188&gt;'Calculs Péremption FA'!$CB13, Paramétrage!$D$29, AE188)))</f>
        <v/>
      </c>
      <c r="AR188" s="1833" t="str">
        <f t="shared" si="38"/>
        <v/>
      </c>
      <c r="AS188" s="247" t="str">
        <f>IF(ISERROR(AC188),"", IF(AC188=0, "", IF(AC188&gt;'Calculs Péremption FA'!$CB13, 'Calculs Péremption FA'!$BX13-Paramétrage!$D$29*(365/12), AG188)))</f>
        <v/>
      </c>
      <c r="AT188" s="248" t="str">
        <f>IF(ISERROR(AC188),"", IF(AC188=0, "", IF(AC188&gt;'Calculs Péremption FA'!$CB13, CONCATENATE('TRAD-Calculs dispo Données FA'!$B$88, " - ", 'Calculs Péremption FA'!$BY13, "/", 'Calculs Péremption FA'!$BZ13, "/", 'Calculs Péremption FA'!$CA13), AH188)))</f>
        <v/>
      </c>
      <c r="AV188" s="231" t="e">
        <f>(Calculs!Q268)/Calculs!O159</f>
        <v>#DIV/0!</v>
      </c>
      <c r="AW188" s="236" t="e">
        <f>AV188-Paramétrage!$D$29</f>
        <v>#DIV/0!</v>
      </c>
      <c r="AX188" s="241" t="e">
        <f>IF(AV188&lt;Paramétrage!$D$29, AV188, Paramétrage!$D$29)</f>
        <v>#DIV/0!</v>
      </c>
      <c r="AY188" s="247" t="e">
        <f>Paramétrage!$H$19+AW188*30</f>
        <v>#DIV/0!</v>
      </c>
      <c r="AZ188" s="248" t="e">
        <f>IF(AV188&lt;Paramétrage!$D$29, Paramétrage!$H$19+AX188*(365/12), Paramétrage!$H$19+AV188*(365/12))</f>
        <v>#DIV/0!</v>
      </c>
      <c r="BB188" s="231" t="str">
        <f>IF(ISERROR(AV188),"", IF(AV188=0, "", IF(AV188&gt;'Calculs Péremption FA'!$CB13, 'Calculs Péremption FA'!$CB13, AV188)))</f>
        <v/>
      </c>
      <c r="BC188" s="236" t="str">
        <f>IF(ISERROR(AV188),"", IF(AV188=0, "", IF(AV188&gt;'Calculs Péremption FA'!$CB13, 'Calculs Péremption FA'!$CB13-Paramétrage!$D$29, AW188)))</f>
        <v/>
      </c>
      <c r="BD188" s="425" t="str">
        <f>IF(ISERROR(AV188),"", IF(AV188=0, "", IF(AV188&gt;'Calculs Péremption FA'!$CB13, Paramétrage!$D$29, AX188)))</f>
        <v/>
      </c>
      <c r="BE188" s="247" t="str">
        <f>IF(ISERROR(AV188),"", IF(AV188=0, "", IF(AV188&gt;'Calculs Péremption FA'!$CB13, 'Calculs Péremption FA'!$BX13-Paramétrage!$D$29*(365/12), AY188)))</f>
        <v/>
      </c>
      <c r="BF188" s="248" t="str">
        <f>IF(ISERROR(AV188),"", IF(AV188=0, "", IF(AV188&gt;'Calculs Péremption FA'!$CB13, CONCATENATE('TRAD-Calculs dispo Données FA'!$B$88, " - ", 'Calculs Péremption FA'!$BY13, "/", 'Calculs Péremption FA'!$BZ13, "/", 'Calculs Péremption FA'!$CA13), AZ188)))</f>
        <v/>
      </c>
      <c r="BH188" s="231" t="e">
        <f t="shared" si="39"/>
        <v>#DIV/0!</v>
      </c>
      <c r="BI188" s="236" t="e">
        <f>BH188-Paramétrage!$D$29</f>
        <v>#DIV/0!</v>
      </c>
      <c r="BJ188" s="241" t="e">
        <f>IF(BH188&lt;Paramétrage!$D$29, BH188, Paramétrage!$D$29)</f>
        <v>#DIV/0!</v>
      </c>
      <c r="BK188" s="241" t="e">
        <f t="shared" si="40"/>
        <v>#DIV/0!</v>
      </c>
      <c r="BL188" s="247" t="e">
        <f>Paramétrage!$H$19+BI188*(365/12)</f>
        <v>#DIV/0!</v>
      </c>
      <c r="BM188" s="248" t="e">
        <f>IF(BH188&lt;Paramétrage!$D$29, Paramétrage!$H$19+BJ188*(365/12), Paramétrage!$H$19+BH188*(365/12))</f>
        <v>#DIV/0!</v>
      </c>
      <c r="BO188" s="231" t="str">
        <f>IF(ISERROR(BH188),"", IF(BH188=0, "", IF(BH188&gt;'Calculs Péremption FA'!$CB13, 'Calculs Péremption FA'!$CB13, BH188)))</f>
        <v/>
      </c>
      <c r="BP188" s="236" t="str">
        <f>IF(ISERROR(BH188),"", IF(BH188=0, "", IF(BH188&gt;'Calculs Péremption FA'!$CB13, 'Calculs Péremption FA'!$CB13-Paramétrage!$D$29, BI188)))</f>
        <v/>
      </c>
      <c r="BQ188" s="425" t="str">
        <f>IF(ISERROR(BH188),"", IF(BH188=0, "", IF(BH188&gt;'Calculs Péremption FA'!$CB13, Paramétrage!$D$29, BJ188)))</f>
        <v/>
      </c>
      <c r="BR188" s="1833" t="str">
        <f t="shared" si="41"/>
        <v/>
      </c>
      <c r="BS188" s="247" t="str">
        <f>IF(ISERROR(BH188),"", IF(BH188=0, "", IF(BH188&gt;'Calculs Péremption FA'!$CB13, 'Calculs Péremption FA'!$BX13-Paramétrage!$D$29*(365/12), BL188)))</f>
        <v/>
      </c>
      <c r="BT188" s="248" t="str">
        <f>IF(ISERROR(BH188),"", IF(BH188=0, "", IF(BH188&gt;'Calculs Péremption FA'!$CB13, CONCATENATE('TRAD-Calculs dispo Données FA'!$B$88, " - ", 'Calculs Péremption FA'!$BY13, "/", 'Calculs Péremption FA'!$BZ13, "/", 'Calculs Péremption FA'!$CA13), BM188)))</f>
        <v/>
      </c>
      <c r="BV188" s="2061">
        <f>Calculs!$Q268</f>
        <v>231</v>
      </c>
      <c r="BW188" s="2062">
        <f>Calculs!$O159</f>
        <v>0</v>
      </c>
      <c r="BX188" s="2068">
        <f>Calculs!$N213</f>
        <v>0</v>
      </c>
      <c r="BY188" s="2070" t="str">
        <f>IF(AND(BX188=0, BV188=0, BW188=0), 'TRAD-Calculs dispo Données FA'!$B$82, "")</f>
        <v/>
      </c>
      <c r="BZ188" s="2062" t="str">
        <f>IF(AND(BX188=0, BV188&gt;0, BW188=0), CONCATENATE(BV188,'TRAD-Calculs dispo Données FA'!$B$80," =0"), "")</f>
        <v>231B &amp; conso =0</v>
      </c>
      <c r="CA188" s="2063" t="str">
        <f>IF(AND(BV188=0, OR(BW188&gt;=1, BX188&gt;=1)),'TRAD-Calculs dispo Données FA'!$B$81, "")</f>
        <v/>
      </c>
    </row>
    <row r="189" spans="2:79" s="358" customFormat="1" ht="25.5" x14ac:dyDescent="0.2">
      <c r="C189" s="2687"/>
      <c r="D189" s="2688"/>
      <c r="E189" s="2700" t="str">
        <f>'Saisie données stocks'!F26</f>
        <v>D4T+3TC+NVP</v>
      </c>
      <c r="F189" s="2701" t="str">
        <f>'Saisie données stocks'!G26</f>
        <v>Cp</v>
      </c>
      <c r="G189" s="2701" t="str">
        <f>'Saisie données stocks'!H26</f>
        <v>30/150/200 mg</v>
      </c>
      <c r="H189" s="2702" t="str">
        <f>CONCATENATE(E189, " - ", G189, " - ", 'TRAD-Calculs dispo Données FA'!$B$79,"/", K189)</f>
        <v>D4T+3TC+NVP - 30/150/200 mg - B/60</v>
      </c>
      <c r="I189" s="2702">
        <f>Calculs!K109</f>
        <v>2</v>
      </c>
      <c r="J189" s="2703">
        <f t="shared" si="29"/>
        <v>60</v>
      </c>
      <c r="K189" s="2704">
        <f>Calculs!J109</f>
        <v>60</v>
      </c>
      <c r="L189" s="2705">
        <f t="shared" si="30"/>
        <v>1</v>
      </c>
      <c r="M189" s="2706">
        <f>IF('Saisie données stocks'!$O$10='TRAD-Saisie données stocks'!$B$51, 'Calculs Péremption FA'!BU14, Calculs!M269)+IF('Saisie données stocks'!$M$76='TRAD-Saisie données stocks'!$B$51, Calculs!N269, "0")+Calculs!P269</f>
        <v>0</v>
      </c>
      <c r="N189" s="2706">
        <f>Calculs!O160</f>
        <v>0</v>
      </c>
      <c r="O189" s="2706">
        <f>Calculs!N214</f>
        <v>0</v>
      </c>
      <c r="P189"/>
      <c r="Q189" s="1836" t="e">
        <f>IF(Calculs!N214&gt;0, (-(Calculs!N214+2*Calculs!O160)+SQRT((Calculs!N214+2*Calculs!O160)*(Calculs!N214+2*Calculs!O160)+8*Calculs!N214*(M189)))/(2*Calculs!N214), ((M189)/Calculs!O160))</f>
        <v>#DIV/0!</v>
      </c>
      <c r="R189" s="236" t="e">
        <f>Q189-Paramétrage!$D$29</f>
        <v>#DIV/0!</v>
      </c>
      <c r="S189" s="1837" t="e">
        <f>IF(Q189&lt;Paramétrage!$D$29, Q189, Paramétrage!$D$29)</f>
        <v>#DIV/0!</v>
      </c>
      <c r="T189" s="1838" t="e">
        <f>Paramétrage!$H$19+R189*(365/12)</f>
        <v>#DIV/0!</v>
      </c>
      <c r="U189" s="1839" t="e">
        <f>IF(Q189&lt;Paramétrage!$D$29, Paramétrage!$H$19+S189*(365/12), Paramétrage!$H$19+Q189*(365/12))</f>
        <v>#DIV/0!</v>
      </c>
      <c r="W189" s="1836" t="str">
        <f t="shared" si="31"/>
        <v/>
      </c>
      <c r="X189" s="1721" t="str">
        <f t="shared" si="32"/>
        <v/>
      </c>
      <c r="Y189" s="1840" t="str">
        <f t="shared" si="33"/>
        <v/>
      </c>
      <c r="Z189" s="1838" t="str">
        <f t="shared" si="34"/>
        <v/>
      </c>
      <c r="AA189" s="1839" t="str">
        <f t="shared" si="35"/>
        <v/>
      </c>
      <c r="AC189" s="1836" t="e">
        <f t="shared" si="36"/>
        <v>#DIV/0!</v>
      </c>
      <c r="AD189" s="1721" t="e">
        <f>AC189-Paramétrage!$D$29</f>
        <v>#DIV/0!</v>
      </c>
      <c r="AE189" s="1837" t="e">
        <f>IF(AC189&lt;Paramétrage!$D$29, AC189, Paramétrage!$D$29)</f>
        <v>#DIV/0!</v>
      </c>
      <c r="AF189" s="1837" t="e">
        <f t="shared" si="37"/>
        <v>#DIV/0!</v>
      </c>
      <c r="AG189" s="1838" t="e">
        <f>Paramétrage!$H$19+AD189*30</f>
        <v>#DIV/0!</v>
      </c>
      <c r="AH189" s="1839" t="e">
        <f>IF(AC189&lt;Paramétrage!$D$29, Paramétrage!$H$19+AE189*30, Paramétrage!$H$19+AC189*30)</f>
        <v>#DIV/0!</v>
      </c>
      <c r="AI189" s="1838">
        <f>'Saisie données stocks'!O147</f>
        <v>0</v>
      </c>
      <c r="AJ189" s="1841" t="str">
        <f>IF(ISERROR(Q189), "0", IF('Saisie données stocks'!O147="", "0", IF(U132&gt;'Saisie données stocks'!$N$14, IF(AI189&gt;(Paramétrage!$H$19+'Saisie données stocks'!$N$14*(365/12)), (AI189-(Paramétrage!$H$19+'Saisie données stocks'!$N$14*(365/12)))/(365/12), IF(AI189&gt;U132, (AI189-U132)/(365/12), "0")))))</f>
        <v>0</v>
      </c>
      <c r="AK189" s="1721" t="str">
        <f>IF(ISERROR(Q132),"0", IF(Q132=0, "0", IF(Q132&gt;'Calculs Péremption FA'!$CB14, 'Calculs Péremption FA'!$CB14, Q132)))</f>
        <v>0</v>
      </c>
      <c r="AL189" s="1837" t="str">
        <f>IF(ISERROR(AC189),"0", IF(AC189=0, "0", IF(AC189&gt;'Saisie données stocks'!$N$14, 'Saisie données stocks'!$N$14, AC189)))</f>
        <v>0</v>
      </c>
      <c r="AM189" s="1839" t="str">
        <f>IF(ISERROR(Q189),AA189,IF(Calculs!P269=0,AA132,(Paramétrage!$H$19+((AJ189+AK189+AL189)*(365/12)))))</f>
        <v/>
      </c>
      <c r="AO189" s="1836" t="str">
        <f>IF(ISERROR(AC189),"", IF(AC189=0, "", IF(AC189&gt;'Saisie données stocks'!$N$14, 'Saisie données stocks'!$N$14, AC189)))</f>
        <v/>
      </c>
      <c r="AP189" s="1721" t="str">
        <f>IF(ISERROR(AC189),"", IF(AC189=0, "", IF(AC189&gt;'Calculs Péremption FA'!$CB14, 'Calculs Péremption FA'!$CB14-Paramétrage!$D$29, AD189)))</f>
        <v/>
      </c>
      <c r="AQ189" s="1840" t="str">
        <f>IF(ISERROR(AC189),"", IF(AC189=0, "", IF(AC189&gt;'Calculs Péremption FA'!$CB14, Paramétrage!$D$29, AE189)))</f>
        <v/>
      </c>
      <c r="AR189" s="1842" t="str">
        <f t="shared" si="38"/>
        <v/>
      </c>
      <c r="AS189" s="1838" t="str">
        <f>IF(ISERROR(AC189),"", IF(AC189=0, "", IF(AC189&gt;'Calculs Péremption FA'!$CB14, 'Calculs Péremption FA'!$BX14-Paramétrage!$D$29*(365/12), AG189)))</f>
        <v/>
      </c>
      <c r="AT189" s="1839" t="str">
        <f>IF(ISERROR(AC189),"", IF(AC189=0, "", IF(AC189&gt;'Calculs Péremption FA'!$CB14, CONCATENATE('TRAD-Calculs dispo Données FA'!$B$88, " - ", 'Calculs Péremption FA'!$BY14, "/", 'Calculs Péremption FA'!$BZ14, "/", 'Calculs Péremption FA'!$CA14), AH189)))</f>
        <v/>
      </c>
      <c r="AV189" s="1836" t="e">
        <f>(Calculs!Q269)/Calculs!O160</f>
        <v>#DIV/0!</v>
      </c>
      <c r="AW189" s="236" t="e">
        <f>AV189-Paramétrage!$D$29</f>
        <v>#DIV/0!</v>
      </c>
      <c r="AX189" s="1837" t="e">
        <f>IF(AV189&lt;Paramétrage!$D$29, AV189, Paramétrage!$D$29)</f>
        <v>#DIV/0!</v>
      </c>
      <c r="AY189" s="1838" t="e">
        <f>Paramétrage!$H$19+AW189*30</f>
        <v>#DIV/0!</v>
      </c>
      <c r="AZ189" s="1839" t="e">
        <f>IF(AV189&lt;Paramétrage!$D$29, Paramétrage!$H$19+AX189*(365/12), Paramétrage!$H$19+AV189*(365/12))</f>
        <v>#DIV/0!</v>
      </c>
      <c r="BB189" s="1836" t="str">
        <f>IF(ISERROR(AV189),"", IF(AV189=0, "", IF(AV189&gt;'Calculs Péremption FA'!$CB14, 'Calculs Péremption FA'!$CB14, AV189)))</f>
        <v/>
      </c>
      <c r="BC189" s="1721" t="str">
        <f>IF(ISERROR(AV189),"", IF(AV189=0, "", IF(AV189&gt;'Calculs Péremption FA'!$CB14, 'Calculs Péremption FA'!$CB14-Paramétrage!$D$29, AW189)))</f>
        <v/>
      </c>
      <c r="BD189" s="1840" t="str">
        <f>IF(ISERROR(AV189),"", IF(AV189=0, "", IF(AV189&gt;'Calculs Péremption FA'!$CB14, Paramétrage!$D$29, AX189)))</f>
        <v/>
      </c>
      <c r="BE189" s="1838" t="str">
        <f>IF(ISERROR(AV189),"", IF(AV189=0, "", IF(AV189&gt;'Calculs Péremption FA'!$CB14, 'Calculs Péremption FA'!$BX14-Paramétrage!$D$29*(365/12), AY189)))</f>
        <v/>
      </c>
      <c r="BF189" s="1839" t="str">
        <f>IF(ISERROR(AV189),"", IF(AV189=0, "", IF(AV189&gt;'Calculs Péremption FA'!$CB14, CONCATENATE('TRAD-Calculs dispo Données FA'!$B$88, " - ", 'Calculs Péremption FA'!$BY14, "/", 'Calculs Péremption FA'!$BZ14, "/", 'Calculs Péremption FA'!$CA14), AZ189)))</f>
        <v/>
      </c>
      <c r="BH189" s="1836" t="e">
        <f t="shared" si="39"/>
        <v>#DIV/0!</v>
      </c>
      <c r="BI189" s="1721" t="e">
        <f>BH189-Paramétrage!$D$29</f>
        <v>#DIV/0!</v>
      </c>
      <c r="BJ189" s="1837" t="e">
        <f>IF(BH189&lt;Paramétrage!$D$29, BH189, Paramétrage!$D$29)</f>
        <v>#DIV/0!</v>
      </c>
      <c r="BK189" s="1837" t="e">
        <f t="shared" si="40"/>
        <v>#DIV/0!</v>
      </c>
      <c r="BL189" s="1838" t="e">
        <f>Paramétrage!$H$19+BI189*(365/12)</f>
        <v>#DIV/0!</v>
      </c>
      <c r="BM189" s="1839" t="e">
        <f>IF(BH189&lt;Paramétrage!$D$29, Paramétrage!$H$19+BJ189*(365/12), Paramétrage!$H$19+BH189*(365/12))</f>
        <v>#DIV/0!</v>
      </c>
      <c r="BO189" s="1836" t="str">
        <f>IF(ISERROR(BH189),"", IF(BH189=0, "", IF(BH189&gt;'Calculs Péremption FA'!$CB14, 'Calculs Péremption FA'!$CB14, BH189)))</f>
        <v/>
      </c>
      <c r="BP189" s="1721" t="str">
        <f>IF(ISERROR(BH189),"", IF(BH189=0, "", IF(BH189&gt;'Calculs Péremption FA'!$CB14, 'Calculs Péremption FA'!$CB14-Paramétrage!$D$29, BI189)))</f>
        <v/>
      </c>
      <c r="BQ189" s="1840" t="str">
        <f>IF(ISERROR(BH189),"", IF(BH189=0, "", IF(BH189&gt;'Calculs Péremption FA'!$CB14, Paramétrage!$D$29, BJ189)))</f>
        <v/>
      </c>
      <c r="BR189" s="1842" t="str">
        <f t="shared" si="41"/>
        <v/>
      </c>
      <c r="BS189" s="1838" t="str">
        <f>IF(ISERROR(BH189),"", IF(BH189=0, "", IF(BH189&gt;'Calculs Péremption FA'!$CB14, 'Calculs Péremption FA'!$BX14-Paramétrage!$D$29*(365/12), BL189)))</f>
        <v/>
      </c>
      <c r="BT189" s="1839" t="str">
        <f>IF(ISERROR(BH189),"", IF(BH189=0, "", IF(BH189&gt;'Calculs Péremption FA'!$CB14, CONCATENATE('TRAD-Calculs dispo Données FA'!$B$88, " - ", 'Calculs Péremption FA'!$BY14, "/", 'Calculs Péremption FA'!$BZ14, "/", 'Calculs Péremption FA'!$CA14), BM189)))</f>
        <v/>
      </c>
      <c r="BV189" s="2061">
        <f>Calculs!$Q269</f>
        <v>0</v>
      </c>
      <c r="BW189" s="2062">
        <f>Calculs!$O160</f>
        <v>0</v>
      </c>
      <c r="BX189" s="2068">
        <f>Calculs!$N214</f>
        <v>0</v>
      </c>
      <c r="BY189" s="2070" t="str">
        <f>IF(AND(BX189=0, BV189=0, BW189=0), 'TRAD-Calculs dispo Données FA'!$B$82, "")</f>
        <v>Stock et besoin nul</v>
      </c>
      <c r="BZ189" s="2062" t="str">
        <f>IF(AND(BX189=0, BV189&gt;0, BW189=0), CONCATENATE(BV189,'TRAD-Calculs dispo Données FA'!$B$80," =0"), "")</f>
        <v/>
      </c>
      <c r="CA189" s="2063" t="str">
        <f>IF(AND(BV189=0, OR(BW189&gt;=1, BX189&gt;=1)),'TRAD-Calculs dispo Données FA'!$B$81, "")</f>
        <v/>
      </c>
    </row>
    <row r="190" spans="2:79" s="358" customFormat="1" ht="25.5" x14ac:dyDescent="0.2">
      <c r="C190" s="2687"/>
      <c r="D190" s="2688"/>
      <c r="E190" s="2700" t="str">
        <f>'Saisie données stocks'!F27</f>
        <v>D4T+3TC+NVP</v>
      </c>
      <c r="F190" s="2701" t="str">
        <f>'Saisie données stocks'!G27</f>
        <v>Cp</v>
      </c>
      <c r="G190" s="2701" t="str">
        <f>'Saisie données stocks'!H27</f>
        <v>6/30/50 mg</v>
      </c>
      <c r="H190" s="2703" t="str">
        <f>CONCATENATE(E190, " - ", G190, " - ", 'TRAD-Calculs dispo Données FA'!$B$79,"/", K190)</f>
        <v>D4T+3TC+NVP - 6/30/50 mg - B/60</v>
      </c>
      <c r="I190" s="2703">
        <f>Calculs!K110</f>
        <v>2</v>
      </c>
      <c r="J190" s="2703">
        <f t="shared" si="29"/>
        <v>60</v>
      </c>
      <c r="K190" s="2704">
        <f>Calculs!J110</f>
        <v>60</v>
      </c>
      <c r="L190" s="2705">
        <f t="shared" si="30"/>
        <v>1</v>
      </c>
      <c r="M190" s="2706">
        <f>IF('Saisie données stocks'!$O$10='TRAD-Saisie données stocks'!$B$51, 'Calculs Péremption FA'!BU15, Calculs!M270)+IF('Saisie données stocks'!$M$76='TRAD-Saisie données stocks'!$B$51, Calculs!N270, "0")+Calculs!P270</f>
        <v>30</v>
      </c>
      <c r="N190" s="2706">
        <f>Calculs!O161</f>
        <v>0</v>
      </c>
      <c r="O190" s="2706">
        <f>Calculs!N215</f>
        <v>0</v>
      </c>
      <c r="P190"/>
      <c r="Q190" s="1836" t="e">
        <f>IF(Calculs!N215&gt;0, (-(Calculs!N215+2*Calculs!O161)+SQRT((Calculs!N215+2*Calculs!O161)*(Calculs!N215+2*Calculs!O161)+8*Calculs!N215*(M190)))/(2*Calculs!N215), ((M190)/Calculs!O161))</f>
        <v>#DIV/0!</v>
      </c>
      <c r="R190" s="1721" t="e">
        <f>Q190-Paramétrage!$D$29</f>
        <v>#DIV/0!</v>
      </c>
      <c r="S190" s="1837" t="e">
        <f>IF(Q190&lt;Paramétrage!$D$29, Q190, Paramétrage!$D$29)</f>
        <v>#DIV/0!</v>
      </c>
      <c r="T190" s="1838" t="e">
        <f>Paramétrage!$H$19+R190*(365/12)</f>
        <v>#DIV/0!</v>
      </c>
      <c r="U190" s="1839" t="e">
        <f>IF(Q190&lt;Paramétrage!$D$29, Paramétrage!$H$19+S190*(365/12), Paramétrage!$H$19+Q190*(365/12))</f>
        <v>#DIV/0!</v>
      </c>
      <c r="W190" s="1836" t="str">
        <f t="shared" si="31"/>
        <v/>
      </c>
      <c r="X190" s="1721" t="str">
        <f t="shared" si="32"/>
        <v/>
      </c>
      <c r="Y190" s="1840" t="str">
        <f t="shared" si="33"/>
        <v/>
      </c>
      <c r="Z190" s="1838" t="str">
        <f t="shared" si="34"/>
        <v/>
      </c>
      <c r="AA190" s="1839" t="str">
        <f t="shared" si="35"/>
        <v>121B &amp; conso =0</v>
      </c>
      <c r="AC190" s="1836" t="e">
        <f t="shared" si="36"/>
        <v>#DIV/0!</v>
      </c>
      <c r="AD190" s="1721" t="e">
        <f>AC190-Paramétrage!$D$29</f>
        <v>#DIV/0!</v>
      </c>
      <c r="AE190" s="1837" t="e">
        <f>IF(AC190&lt;Paramétrage!$D$29, AC190, Paramétrage!$D$29)</f>
        <v>#DIV/0!</v>
      </c>
      <c r="AF190" s="1837" t="e">
        <f t="shared" si="37"/>
        <v>#DIV/0!</v>
      </c>
      <c r="AG190" s="1838" t="e">
        <f>Paramétrage!$H$19+AD190*30</f>
        <v>#DIV/0!</v>
      </c>
      <c r="AH190" s="1839" t="e">
        <f>IF(AC190&lt;Paramétrage!$D$29, Paramétrage!$H$19+AE190*30, Paramétrage!$H$19+AC190*30)</f>
        <v>#DIV/0!</v>
      </c>
      <c r="AI190" s="1838">
        <f>'Saisie données stocks'!O148</f>
        <v>0</v>
      </c>
      <c r="AJ190" s="1841" t="str">
        <f>IF(ISERROR(Q190), "0", IF('Saisie données stocks'!O148="", "0", IF(U133&gt;'Saisie données stocks'!$N$14, IF(AI190&gt;(Paramétrage!$H$19+'Saisie données stocks'!$N$14*(365/12)), (AI190-(Paramétrage!$H$19+'Saisie données stocks'!$N$14*(365/12)))/(365/12), IF(AI190&gt;U133, (AI190-U133)/(365/12), "0")))))</f>
        <v>0</v>
      </c>
      <c r="AK190" s="1721" t="str">
        <f>IF(ISERROR(Q133),"0", IF(Q133=0, "0", IF(Q133&gt;'Calculs Péremption FA'!$CB15, 'Calculs Péremption FA'!$CB15, Q133)))</f>
        <v>0</v>
      </c>
      <c r="AL190" s="1837" t="str">
        <f>IF(ISERROR(AC190),"0", IF(AC190=0, "0", IF(AC190&gt;'Saisie données stocks'!$N$14, 'Saisie données stocks'!$N$14, AC190)))</f>
        <v>0</v>
      </c>
      <c r="AM190" s="1839" t="str">
        <f>IF(ISERROR(Q190),AA190,IF(Calculs!P270=0,AA133,(Paramétrage!$H$19+((AJ190+AK190+AL190)*(365/12)))))</f>
        <v>121B &amp; conso =0</v>
      </c>
      <c r="AO190" s="1836" t="str">
        <f>IF(ISERROR(AC190),"", IF(AC190=0, "", IF(AC190&gt;'Saisie données stocks'!$N$14, 'Saisie données stocks'!$N$14, AC190)))</f>
        <v/>
      </c>
      <c r="AP190" s="1721" t="str">
        <f>IF(ISERROR(AC190),"", IF(AC190=0, "", IF(AC190&gt;'Calculs Péremption FA'!$CB15, 'Calculs Péremption FA'!$CB15-Paramétrage!$D$29, AD190)))</f>
        <v/>
      </c>
      <c r="AQ190" s="1840" t="str">
        <f>IF(ISERROR(AC190),"", IF(AC190=0, "", IF(AC190&gt;'Calculs Péremption FA'!$CB15, Paramétrage!$D$29, AE190)))</f>
        <v/>
      </c>
      <c r="AR190" s="1842" t="str">
        <f t="shared" si="38"/>
        <v/>
      </c>
      <c r="AS190" s="1838" t="str">
        <f>IF(ISERROR(AC190),"", IF(AC190=0, "", IF(AC190&gt;'Calculs Péremption FA'!$CB15, 'Calculs Péremption FA'!$BX15-Paramétrage!$D$29*(365/12), AG190)))</f>
        <v/>
      </c>
      <c r="AT190" s="1839" t="str">
        <f>IF(ISERROR(AC190),"", IF(AC190=0, "", IF(AC190&gt;'Calculs Péremption FA'!$CB15, CONCATENATE('TRAD-Calculs dispo Données FA'!$B$88, " - ", 'Calculs Péremption FA'!$BY15, "/", 'Calculs Péremption FA'!$BZ15, "/", 'Calculs Péremption FA'!$CA15), AH190)))</f>
        <v/>
      </c>
      <c r="AV190" s="1836" t="e">
        <f>(Calculs!Q270)/Calculs!O161</f>
        <v>#DIV/0!</v>
      </c>
      <c r="AW190" s="1721" t="e">
        <f>AV190-Paramétrage!$D$29</f>
        <v>#DIV/0!</v>
      </c>
      <c r="AX190" s="1837" t="e">
        <f>IF(AV190&lt;Paramétrage!$D$29, AV190, Paramétrage!$D$29)</f>
        <v>#DIV/0!</v>
      </c>
      <c r="AY190" s="1838" t="e">
        <f>Paramétrage!$H$19+AW190*30</f>
        <v>#DIV/0!</v>
      </c>
      <c r="AZ190" s="1839" t="e">
        <f>IF(AV190&lt;Paramétrage!$D$29, Paramétrage!$H$19+AX190*(365/12), Paramétrage!$H$19+AV190*(365/12))</f>
        <v>#DIV/0!</v>
      </c>
      <c r="BB190" s="1836" t="str">
        <f>IF(ISERROR(AV190),"", IF(AV190=0, "", IF(AV190&gt;'Calculs Péremption FA'!$CB15, 'Calculs Péremption FA'!$CB15, AV190)))</f>
        <v/>
      </c>
      <c r="BC190" s="1721" t="str">
        <f>IF(ISERROR(AV190),"", IF(AV190=0, "", IF(AV190&gt;'Calculs Péremption FA'!$CB15, 'Calculs Péremption FA'!$CB15-Paramétrage!$D$29, AW190)))</f>
        <v/>
      </c>
      <c r="BD190" s="1840" t="str">
        <f>IF(ISERROR(AV190),"", IF(AV190=0, "", IF(AV190&gt;'Calculs Péremption FA'!$CB15, Paramétrage!$D$29, AX190)))</f>
        <v/>
      </c>
      <c r="BE190" s="1838" t="str">
        <f>IF(ISERROR(AV190),"", IF(AV190=0, "", IF(AV190&gt;'Calculs Péremption FA'!$CB15, 'Calculs Péremption FA'!$BX15-Paramétrage!$D$29*(365/12), AY190)))</f>
        <v/>
      </c>
      <c r="BF190" s="1839" t="str">
        <f>IF(ISERROR(AV190),"", IF(AV190=0, "", IF(AV190&gt;'Calculs Péremption FA'!$CB15, CONCATENATE('TRAD-Calculs dispo Données FA'!$B$88, " - ", 'Calculs Péremption FA'!$BY15, "/", 'Calculs Péremption FA'!$BZ15, "/", 'Calculs Péremption FA'!$CA15), AZ190)))</f>
        <v/>
      </c>
      <c r="BH190" s="1836" t="e">
        <f t="shared" si="39"/>
        <v>#DIV/0!</v>
      </c>
      <c r="BI190" s="1721" t="e">
        <f>BH190-Paramétrage!$D$29</f>
        <v>#DIV/0!</v>
      </c>
      <c r="BJ190" s="1837" t="e">
        <f>IF(BH190&lt;Paramétrage!$D$29, BH190, Paramétrage!$D$29)</f>
        <v>#DIV/0!</v>
      </c>
      <c r="BK190" s="1837" t="e">
        <f t="shared" si="40"/>
        <v>#DIV/0!</v>
      </c>
      <c r="BL190" s="1838" t="e">
        <f>Paramétrage!$H$19+BI190*(365/12)</f>
        <v>#DIV/0!</v>
      </c>
      <c r="BM190" s="1839" t="e">
        <f>IF(BH190&lt;Paramétrage!$D$29, Paramétrage!$H$19+BJ190*(365/12), Paramétrage!$H$19+BH190*(365/12))</f>
        <v>#DIV/0!</v>
      </c>
      <c r="BO190" s="1836" t="str">
        <f>IF(ISERROR(BH190),"", IF(BH190=0, "", IF(BH190&gt;'Calculs Péremption FA'!$CB15, 'Calculs Péremption FA'!$CB15, BH190)))</f>
        <v/>
      </c>
      <c r="BP190" s="1721" t="str">
        <f>IF(ISERROR(BH190),"", IF(BH190=0, "", IF(BH190&gt;'Calculs Péremption FA'!$CB15, 'Calculs Péremption FA'!$CB15-Paramétrage!$D$29, BI190)))</f>
        <v/>
      </c>
      <c r="BQ190" s="1840" t="str">
        <f>IF(ISERROR(BH190),"", IF(BH190=0, "", IF(BH190&gt;'Calculs Péremption FA'!$CB15, Paramétrage!$D$29, BJ190)))</f>
        <v/>
      </c>
      <c r="BR190" s="1842" t="str">
        <f t="shared" si="41"/>
        <v/>
      </c>
      <c r="BS190" s="1838" t="str">
        <f>IF(ISERROR(BH190),"", IF(BH190=0, "", IF(BH190&gt;'Calculs Péremption FA'!$CB15, 'Calculs Péremption FA'!$BX15-Paramétrage!$D$29*(365/12), BL190)))</f>
        <v/>
      </c>
      <c r="BT190" s="1839" t="str">
        <f>IF(ISERROR(BH190),"", IF(BH190=0, "", IF(BH190&gt;'Calculs Péremption FA'!$CB15, CONCATENATE('TRAD-Calculs dispo Données FA'!$B$88, " - ", 'Calculs Péremption FA'!$BY15, "/", 'Calculs Péremption FA'!$BZ15, "/", 'Calculs Péremption FA'!$CA15), BM190)))</f>
        <v/>
      </c>
      <c r="BV190" s="2061">
        <f>Calculs!$Q270</f>
        <v>121</v>
      </c>
      <c r="BW190" s="2062">
        <f>Calculs!$O161</f>
        <v>0</v>
      </c>
      <c r="BX190" s="2068">
        <f>Calculs!$N215</f>
        <v>0</v>
      </c>
      <c r="BY190" s="2070" t="str">
        <f>IF(AND(BX190=0, BV190=0, BW190=0), 'TRAD-Calculs dispo Données FA'!$B$82, "")</f>
        <v/>
      </c>
      <c r="BZ190" s="2062" t="str">
        <f>IF(AND(BX190=0, BV190&gt;0, BW190=0), CONCATENATE(BV190,'TRAD-Calculs dispo Données FA'!$B$80," =0"), "")</f>
        <v>121B &amp; conso =0</v>
      </c>
      <c r="CA190" s="2063" t="str">
        <f>IF(AND(BV190=0, OR(BW190&gt;=1, BX190&gt;=1)),'TRAD-Calculs dispo Données FA'!$B$81, "")</f>
        <v/>
      </c>
    </row>
    <row r="191" spans="2:79" s="358" customFormat="1" ht="25.5" x14ac:dyDescent="0.2">
      <c r="C191" s="2687"/>
      <c r="D191" s="2688"/>
      <c r="E191" s="2700" t="str">
        <f>'Saisie données stocks'!F28</f>
        <v>D4T+3TC</v>
      </c>
      <c r="F191" s="2701" t="str">
        <f>'Saisie données stocks'!G28</f>
        <v>Cp</v>
      </c>
      <c r="G191" s="2701" t="str">
        <f>'Saisie données stocks'!H28</f>
        <v>30/150 mg</v>
      </c>
      <c r="H191" s="2699" t="str">
        <f>CONCATENATE(E191, " - ", G191, " - ", 'TRAD-Calculs dispo Données FA'!$B$79,"/", K191)</f>
        <v>D4T+3TC - 30/150 mg - B/60</v>
      </c>
      <c r="I191" s="2699">
        <f>Calculs!K111</f>
        <v>2</v>
      </c>
      <c r="J191" s="2703">
        <f t="shared" si="29"/>
        <v>60</v>
      </c>
      <c r="K191" s="2704">
        <f>Calculs!J111</f>
        <v>60</v>
      </c>
      <c r="L191" s="2705">
        <f t="shared" si="30"/>
        <v>1</v>
      </c>
      <c r="M191" s="2706">
        <f>IF('Saisie données stocks'!$O$10='TRAD-Saisie données stocks'!$B$51, 'Calculs Péremption FA'!BU16, Calculs!M271)+IF('Saisie données stocks'!$M$76='TRAD-Saisie données stocks'!$B$51, Calculs!N271, "0")+Calculs!P271</f>
        <v>14</v>
      </c>
      <c r="N191" s="2706">
        <f>Calculs!O162</f>
        <v>0</v>
      </c>
      <c r="O191" s="2706">
        <f>Calculs!N216</f>
        <v>0</v>
      </c>
      <c r="P191"/>
      <c r="Q191" s="1836" t="e">
        <f>IF(Calculs!N216&gt;0, (-(Calculs!N216+2*Calculs!O162)+SQRT((Calculs!N216+2*Calculs!O162)*(Calculs!N216+2*Calculs!O162)+8*Calculs!N216*(M191)))/(2*Calculs!N216), ((M191)/Calculs!O162))</f>
        <v>#DIV/0!</v>
      </c>
      <c r="R191" s="1721" t="e">
        <f>Q191-Paramétrage!$D$29</f>
        <v>#DIV/0!</v>
      </c>
      <c r="S191" s="1837" t="e">
        <f>IF(Q191&lt;Paramétrage!$D$29, Q191, Paramétrage!$D$29)</f>
        <v>#DIV/0!</v>
      </c>
      <c r="T191" s="1838" t="e">
        <f>Paramétrage!$H$19+R191*(365/12)</f>
        <v>#DIV/0!</v>
      </c>
      <c r="U191" s="1839" t="e">
        <f>IF(Q191&lt;Paramétrage!$D$29, Paramétrage!$H$19+S191*(365/12), Paramétrage!$H$19+Q191*(365/12))</f>
        <v>#DIV/0!</v>
      </c>
      <c r="W191" s="1836" t="str">
        <f t="shared" si="31"/>
        <v/>
      </c>
      <c r="X191" s="1721" t="str">
        <f t="shared" si="32"/>
        <v/>
      </c>
      <c r="Y191" s="1840" t="str">
        <f t="shared" si="33"/>
        <v/>
      </c>
      <c r="Z191" s="1838" t="str">
        <f t="shared" si="34"/>
        <v/>
      </c>
      <c r="AA191" s="1839" t="str">
        <f t="shared" si="35"/>
        <v>16B &amp; conso =0</v>
      </c>
      <c r="AC191" s="1836" t="e">
        <f t="shared" si="36"/>
        <v>#DIV/0!</v>
      </c>
      <c r="AD191" s="1721" t="e">
        <f>AC191-Paramétrage!$D$29</f>
        <v>#DIV/0!</v>
      </c>
      <c r="AE191" s="1837" t="e">
        <f>IF(AC191&lt;Paramétrage!$D$29, AC191, Paramétrage!$D$29)</f>
        <v>#DIV/0!</v>
      </c>
      <c r="AF191" s="1837" t="e">
        <f t="shared" si="37"/>
        <v>#DIV/0!</v>
      </c>
      <c r="AG191" s="1838" t="e">
        <f>Paramétrage!$H$19+AD191*30</f>
        <v>#DIV/0!</v>
      </c>
      <c r="AH191" s="1839" t="e">
        <f>IF(AC191&lt;Paramétrage!$D$29, Paramétrage!$H$19+AE191*30, Paramétrage!$H$19+AC191*30)</f>
        <v>#DIV/0!</v>
      </c>
      <c r="AI191" s="1838">
        <f>'Saisie données stocks'!O149</f>
        <v>0</v>
      </c>
      <c r="AJ191" s="1841" t="str">
        <f>IF(ISERROR(Q191), "0", IF('Saisie données stocks'!O149="", "0", IF(U134&gt;'Saisie données stocks'!$N$14, IF(AI191&gt;(Paramétrage!$H$19+'Saisie données stocks'!$N$14*(365/12)), (AI191-(Paramétrage!$H$19+'Saisie données stocks'!$N$14*(365/12)))/(365/12), IF(AI191&gt;U134, (AI191-U134)/(365/12), "0")))))</f>
        <v>0</v>
      </c>
      <c r="AK191" s="1721" t="str">
        <f>IF(ISERROR(Q134),"0", IF(Q134=0, "0", IF(Q134&gt;'Calculs Péremption FA'!$CB16, 'Calculs Péremption FA'!$CB16, Q134)))</f>
        <v>0</v>
      </c>
      <c r="AL191" s="1837" t="str">
        <f>IF(ISERROR(AC191),"0", IF(AC191=0, "0", IF(AC191&gt;'Saisie données stocks'!$N$14, 'Saisie données stocks'!$N$14, AC191)))</f>
        <v>0</v>
      </c>
      <c r="AM191" s="1839" t="str">
        <f>IF(ISERROR(Q191),AA191,IF(Calculs!P271=0,AA134,(Paramétrage!$H$19+((AJ191+AK191+AL191)*(365/12)))))</f>
        <v>16B &amp; conso =0</v>
      </c>
      <c r="AO191" s="1836" t="str">
        <f>IF(ISERROR(AC191),"", IF(AC191=0, "", IF(AC191&gt;'Saisie données stocks'!$N$14, 'Saisie données stocks'!$N$14, AC191)))</f>
        <v/>
      </c>
      <c r="AP191" s="1721" t="str">
        <f>IF(ISERROR(AC191),"", IF(AC191=0, "", IF(AC191&gt;'Calculs Péremption FA'!$CB16, 'Calculs Péremption FA'!$CB16-Paramétrage!$D$29, AD191)))</f>
        <v/>
      </c>
      <c r="AQ191" s="1840" t="str">
        <f>IF(ISERROR(AC191),"", IF(AC191=0, "", IF(AC191&gt;'Calculs Péremption FA'!$CB16, Paramétrage!$D$29, AE191)))</f>
        <v/>
      </c>
      <c r="AR191" s="1842" t="str">
        <f t="shared" si="38"/>
        <v/>
      </c>
      <c r="AS191" s="1838" t="str">
        <f>IF(ISERROR(AC191),"", IF(AC191=0, "", IF(AC191&gt;'Calculs Péremption FA'!$CB16, 'Calculs Péremption FA'!$BX16-Paramétrage!$D$29*(365/12), AG191)))</f>
        <v/>
      </c>
      <c r="AT191" s="1839" t="str">
        <f>IF(ISERROR(AC191),"", IF(AC191=0, "", IF(AC191&gt;'Calculs Péremption FA'!$CB16, CONCATENATE('TRAD-Calculs dispo Données FA'!$B$88, " - ", 'Calculs Péremption FA'!$BY16, "/", 'Calculs Péremption FA'!$BZ16, "/", 'Calculs Péremption FA'!$CA16), AH191)))</f>
        <v/>
      </c>
      <c r="AV191" s="1836" t="e">
        <f>(Calculs!Q271)/Calculs!O162</f>
        <v>#DIV/0!</v>
      </c>
      <c r="AW191" s="1721" t="e">
        <f>AV191-Paramétrage!$D$29</f>
        <v>#DIV/0!</v>
      </c>
      <c r="AX191" s="1837" t="e">
        <f>IF(AV191&lt;Paramétrage!$D$29, AV191, Paramétrage!$D$29)</f>
        <v>#DIV/0!</v>
      </c>
      <c r="AY191" s="1838" t="e">
        <f>Paramétrage!$H$19+AW191*30</f>
        <v>#DIV/0!</v>
      </c>
      <c r="AZ191" s="1839" t="e">
        <f>IF(AV191&lt;Paramétrage!$D$29, Paramétrage!$H$19+AX191*(365/12), Paramétrage!$H$19+AV191*(365/12))</f>
        <v>#DIV/0!</v>
      </c>
      <c r="BB191" s="1836" t="str">
        <f>IF(ISERROR(AV191),"", IF(AV191=0, "", IF(AV191&gt;'Calculs Péremption FA'!$CB16, 'Calculs Péremption FA'!$CB16, AV191)))</f>
        <v/>
      </c>
      <c r="BC191" s="1721" t="str">
        <f>IF(ISERROR(AV191),"", IF(AV191=0, "", IF(AV191&gt;'Calculs Péremption FA'!$CB16, 'Calculs Péremption FA'!$CB16-Paramétrage!$D$29, AW191)))</f>
        <v/>
      </c>
      <c r="BD191" s="1840" t="str">
        <f>IF(ISERROR(AV191),"", IF(AV191=0, "", IF(AV191&gt;'Calculs Péremption FA'!$CB16, Paramétrage!$D$29, AX191)))</f>
        <v/>
      </c>
      <c r="BE191" s="1838" t="str">
        <f>IF(ISERROR(AV191),"", IF(AV191=0, "", IF(AV191&gt;'Calculs Péremption FA'!$CB16, 'Calculs Péremption FA'!$BX16-Paramétrage!$D$29*(365/12), AY191)))</f>
        <v/>
      </c>
      <c r="BF191" s="1839" t="str">
        <f>IF(ISERROR(AV191),"", IF(AV191=0, "", IF(AV191&gt;'Calculs Péremption FA'!$CB16, CONCATENATE('TRAD-Calculs dispo Données FA'!$B$88, " - ", 'Calculs Péremption FA'!$BY16, "/", 'Calculs Péremption FA'!$BZ16, "/", 'Calculs Péremption FA'!$CA16), AZ191)))</f>
        <v/>
      </c>
      <c r="BH191" s="1836" t="e">
        <f t="shared" si="39"/>
        <v>#DIV/0!</v>
      </c>
      <c r="BI191" s="1721" t="e">
        <f>BH191-Paramétrage!$D$29</f>
        <v>#DIV/0!</v>
      </c>
      <c r="BJ191" s="1837" t="e">
        <f>IF(BH191&lt;Paramétrage!$D$29, BH191, Paramétrage!$D$29)</f>
        <v>#DIV/0!</v>
      </c>
      <c r="BK191" s="1837" t="e">
        <f t="shared" si="40"/>
        <v>#DIV/0!</v>
      </c>
      <c r="BL191" s="1838" t="e">
        <f>Paramétrage!$H$19+BI191*(365/12)</f>
        <v>#DIV/0!</v>
      </c>
      <c r="BM191" s="1839" t="e">
        <f>IF(BH191&lt;Paramétrage!$D$29, Paramétrage!$H$19+BJ191*(365/12), Paramétrage!$H$19+BH191*(365/12))</f>
        <v>#DIV/0!</v>
      </c>
      <c r="BO191" s="1836" t="str">
        <f>IF(ISERROR(BH191),"", IF(BH191=0, "", IF(BH191&gt;'Calculs Péremption FA'!$CB16, 'Calculs Péremption FA'!$CB16, BH191)))</f>
        <v/>
      </c>
      <c r="BP191" s="1721" t="str">
        <f>IF(ISERROR(BH191),"", IF(BH191=0, "", IF(BH191&gt;'Calculs Péremption FA'!$CB16, 'Calculs Péremption FA'!$CB16-Paramétrage!$D$29, BI191)))</f>
        <v/>
      </c>
      <c r="BQ191" s="1840" t="str">
        <f>IF(ISERROR(BH191),"", IF(BH191=0, "", IF(BH191&gt;'Calculs Péremption FA'!$CB16, Paramétrage!$D$29, BJ191)))</f>
        <v/>
      </c>
      <c r="BR191" s="1842" t="str">
        <f t="shared" si="41"/>
        <v/>
      </c>
      <c r="BS191" s="1838" t="str">
        <f>IF(ISERROR(BH191),"", IF(BH191=0, "", IF(BH191&gt;'Calculs Péremption FA'!$CB16, 'Calculs Péremption FA'!$BX16-Paramétrage!$D$29*(365/12), BL191)))</f>
        <v/>
      </c>
      <c r="BT191" s="1839" t="str">
        <f>IF(ISERROR(BH191),"", IF(BH191=0, "", IF(BH191&gt;'Calculs Péremption FA'!$CB16, CONCATENATE('TRAD-Calculs dispo Données FA'!$B$88, " - ", 'Calculs Péremption FA'!$BY16, "/", 'Calculs Péremption FA'!$BZ16, "/", 'Calculs Péremption FA'!$CA16), BM191)))</f>
        <v/>
      </c>
      <c r="BV191" s="2061">
        <f>Calculs!$Q271</f>
        <v>16</v>
      </c>
      <c r="BW191" s="2062">
        <f>Calculs!$O162</f>
        <v>0</v>
      </c>
      <c r="BX191" s="2068">
        <f>Calculs!$N216</f>
        <v>0</v>
      </c>
      <c r="BY191" s="2070" t="str">
        <f>IF(AND(BX191=0, BV191=0, BW191=0), 'TRAD-Calculs dispo Données FA'!$B$82, "")</f>
        <v/>
      </c>
      <c r="BZ191" s="2062" t="str">
        <f>IF(AND(BX191=0, BV191&gt;0, BW191=0), CONCATENATE(BV191,'TRAD-Calculs dispo Données FA'!$B$80," =0"), "")</f>
        <v>16B &amp; conso =0</v>
      </c>
      <c r="CA191" s="2063" t="str">
        <f>IF(AND(BV191=0, OR(BW191&gt;=1, BX191&gt;=1)),'TRAD-Calculs dispo Données FA'!$B$81, "")</f>
        <v/>
      </c>
    </row>
    <row r="192" spans="2:79" s="358" customFormat="1" ht="25.5" x14ac:dyDescent="0.2">
      <c r="C192" s="2687"/>
      <c r="D192" s="2688"/>
      <c r="E192" s="2700" t="str">
        <f>'Saisie données stocks'!F29</f>
        <v>TDF+FTC+EFV</v>
      </c>
      <c r="F192" s="2701" t="str">
        <f>'Saisie données stocks'!G29</f>
        <v>Cp</v>
      </c>
      <c r="G192" s="2701" t="str">
        <f>'Saisie données stocks'!H29</f>
        <v>300/200/600 mg</v>
      </c>
      <c r="H192" s="2699" t="str">
        <f>CONCATENATE(E192, " - ", G192, " - ", 'TRAD-Calculs dispo Données FA'!$B$79,"/", K192)</f>
        <v>TDF+FTC+EFV - 300/200/600 mg - B/30</v>
      </c>
      <c r="I192" s="2699">
        <f>Calculs!K112</f>
        <v>1</v>
      </c>
      <c r="J192" s="2703">
        <f t="shared" si="29"/>
        <v>30</v>
      </c>
      <c r="K192" s="2704">
        <f>Calculs!J112</f>
        <v>30</v>
      </c>
      <c r="L192" s="2705">
        <f t="shared" si="30"/>
        <v>1</v>
      </c>
      <c r="M192" s="2706">
        <f>IF('Saisie données stocks'!$O$10='TRAD-Saisie données stocks'!$B$51, 'Calculs Péremption FA'!BU17, Calculs!M272)+IF('Saisie données stocks'!$M$76='TRAD-Saisie données stocks'!$B$51, Calculs!N272, "0")+Calculs!P272</f>
        <v>0</v>
      </c>
      <c r="N192" s="2706">
        <f>Calculs!O163</f>
        <v>0</v>
      </c>
      <c r="O192" s="2706">
        <f>Calculs!N217</f>
        <v>0</v>
      </c>
      <c r="P192"/>
      <c r="Q192" s="1836" t="e">
        <f>IF(Calculs!N217&gt;0, (-(Calculs!N217+2*Calculs!O163)+SQRT((Calculs!N217+2*Calculs!O163)*(Calculs!N217+2*Calculs!O163)+8*Calculs!N217*(M192)))/(2*Calculs!N217), ((M192)/Calculs!O163))</f>
        <v>#DIV/0!</v>
      </c>
      <c r="R192" s="1721" t="e">
        <f>Q192-Paramétrage!$D$29</f>
        <v>#DIV/0!</v>
      </c>
      <c r="S192" s="1837" t="e">
        <f>IF(Q192&lt;Paramétrage!$D$29, Q192, Paramétrage!$D$29)</f>
        <v>#DIV/0!</v>
      </c>
      <c r="T192" s="1838" t="e">
        <f>Paramétrage!$H$19+R192*(365/12)</f>
        <v>#DIV/0!</v>
      </c>
      <c r="U192" s="1839" t="e">
        <f>IF(Q192&lt;Paramétrage!$D$29, Paramétrage!$H$19+S192*(365/12), Paramétrage!$H$19+Q192*(365/12))</f>
        <v>#DIV/0!</v>
      </c>
      <c r="W192" s="1836" t="str">
        <f t="shared" si="31"/>
        <v/>
      </c>
      <c r="X192" s="1721" t="str">
        <f t="shared" si="32"/>
        <v/>
      </c>
      <c r="Y192" s="1840" t="str">
        <f t="shared" si="33"/>
        <v/>
      </c>
      <c r="Z192" s="1838" t="str">
        <f t="shared" si="34"/>
        <v/>
      </c>
      <c r="AA192" s="1839" t="str">
        <f t="shared" si="35"/>
        <v/>
      </c>
      <c r="AC192" s="1836" t="e">
        <f t="shared" si="36"/>
        <v>#DIV/0!</v>
      </c>
      <c r="AD192" s="1721" t="e">
        <f>AC192-Paramétrage!$D$29</f>
        <v>#DIV/0!</v>
      </c>
      <c r="AE192" s="1837" t="e">
        <f>IF(AC192&lt;Paramétrage!$D$29, AC192, Paramétrage!$D$29)</f>
        <v>#DIV/0!</v>
      </c>
      <c r="AF192" s="1837" t="e">
        <f t="shared" si="37"/>
        <v>#DIV/0!</v>
      </c>
      <c r="AG192" s="1838" t="e">
        <f>Paramétrage!$H$19+AD192*30</f>
        <v>#DIV/0!</v>
      </c>
      <c r="AH192" s="1839" t="e">
        <f>IF(AC192&lt;Paramétrage!$D$29, Paramétrage!$H$19+AE192*30, Paramétrage!$H$19+AC192*30)</f>
        <v>#DIV/0!</v>
      </c>
      <c r="AI192" s="1838">
        <f>'Saisie données stocks'!O150</f>
        <v>0</v>
      </c>
      <c r="AJ192" s="1841" t="str">
        <f>IF(ISERROR(Q192), "0", IF('Saisie données stocks'!O150="", "0", IF(U135&gt;'Saisie données stocks'!$N$14, IF(AI192&gt;(Paramétrage!$H$19+'Saisie données stocks'!$N$14*(365/12)), (AI192-(Paramétrage!$H$19+'Saisie données stocks'!$N$14*(365/12)))/(365/12), IF(AI192&gt;U135, (AI192-U135)/(365/12), "0")))))</f>
        <v>0</v>
      </c>
      <c r="AK192" s="1721" t="str">
        <f>IF(ISERROR(Q135),"0", IF(Q135=0, "0", IF(Q135&gt;'Calculs Péremption FA'!$CB17, 'Calculs Péremption FA'!$CB17, Q135)))</f>
        <v>0</v>
      </c>
      <c r="AL192" s="1837" t="str">
        <f>IF(ISERROR(AC192),"0", IF(AC192=0, "0", IF(AC192&gt;'Saisie données stocks'!$N$14, 'Saisie données stocks'!$N$14, AC192)))</f>
        <v>0</v>
      </c>
      <c r="AM192" s="1839" t="str">
        <f>IF(ISERROR(Q192),AA192,IF(Calculs!P272=0,AA135,(Paramétrage!$H$19+((AJ192+AK192+AL192)*(365/12)))))</f>
        <v/>
      </c>
      <c r="AO192" s="1836" t="str">
        <f>IF(ISERROR(AC192),"", IF(AC192=0, "", IF(AC192&gt;'Saisie données stocks'!$N$14, 'Saisie données stocks'!$N$14, AC192)))</f>
        <v/>
      </c>
      <c r="AP192" s="1721" t="str">
        <f>IF(ISERROR(AC192),"", IF(AC192=0, "", IF(AC192&gt;'Calculs Péremption FA'!$CB17, 'Calculs Péremption FA'!$CB17-Paramétrage!$D$29, AD192)))</f>
        <v/>
      </c>
      <c r="AQ192" s="1840" t="str">
        <f>IF(ISERROR(AC192),"", IF(AC192=0, "", IF(AC192&gt;'Calculs Péremption FA'!$CB17, Paramétrage!$D$29, AE192)))</f>
        <v/>
      </c>
      <c r="AR192" s="1842" t="str">
        <f t="shared" si="38"/>
        <v/>
      </c>
      <c r="AS192" s="1838" t="str">
        <f>IF(ISERROR(AC192),"", IF(AC192=0, "", IF(AC192&gt;'Calculs Péremption FA'!$CB17, 'Calculs Péremption FA'!$BX17-Paramétrage!$D$29*(365/12), AG192)))</f>
        <v/>
      </c>
      <c r="AT192" s="1839" t="str">
        <f>IF(ISERROR(AC192),"", IF(AC192=0, "", IF(AC192&gt;'Calculs Péremption FA'!$CB17, CONCATENATE('TRAD-Calculs dispo Données FA'!$B$88, " - ", 'Calculs Péremption FA'!$BY17, "/", 'Calculs Péremption FA'!$BZ17, "/", 'Calculs Péremption FA'!$CA17), AH192)))</f>
        <v/>
      </c>
      <c r="AV192" s="1836" t="e">
        <f>(Calculs!Q272)/Calculs!O163</f>
        <v>#DIV/0!</v>
      </c>
      <c r="AW192" s="1721" t="e">
        <f>AV192-Paramétrage!$D$29</f>
        <v>#DIV/0!</v>
      </c>
      <c r="AX192" s="1837" t="e">
        <f>IF(AV192&lt;Paramétrage!$D$29, AV192, Paramétrage!$D$29)</f>
        <v>#DIV/0!</v>
      </c>
      <c r="AY192" s="1838" t="e">
        <f>Paramétrage!$H$19+AW192*30</f>
        <v>#DIV/0!</v>
      </c>
      <c r="AZ192" s="1839" t="e">
        <f>IF(AV192&lt;Paramétrage!$D$29, Paramétrage!$H$19+AX192*(365/12), Paramétrage!$H$19+AV192*(365/12))</f>
        <v>#DIV/0!</v>
      </c>
      <c r="BB192" s="1836" t="str">
        <f>IF(ISERROR(AV192),"", IF(AV192=0, "", IF(AV192&gt;'Calculs Péremption FA'!$CB17, 'Calculs Péremption FA'!$CB17, AV192)))</f>
        <v/>
      </c>
      <c r="BC192" s="1721" t="str">
        <f>IF(ISERROR(AV192),"", IF(AV192=0, "", IF(AV192&gt;'Calculs Péremption FA'!$CB17, 'Calculs Péremption FA'!$CB17-Paramétrage!$D$29, AW192)))</f>
        <v/>
      </c>
      <c r="BD192" s="1840" t="str">
        <f>IF(ISERROR(AV192),"", IF(AV192=0, "", IF(AV192&gt;'Calculs Péremption FA'!$CB17, Paramétrage!$D$29, AX192)))</f>
        <v/>
      </c>
      <c r="BE192" s="1838" t="str">
        <f>IF(ISERROR(AV192),"", IF(AV192=0, "", IF(AV192&gt;'Calculs Péremption FA'!$CB17, 'Calculs Péremption FA'!$BX17-Paramétrage!$D$29*(365/12), AY192)))</f>
        <v/>
      </c>
      <c r="BF192" s="1839" t="str">
        <f>IF(ISERROR(AV192),"", IF(AV192=0, "", IF(AV192&gt;'Calculs Péremption FA'!$CB17, CONCATENATE('TRAD-Calculs dispo Données FA'!$B$88, " - ", 'Calculs Péremption FA'!$BY17, "/", 'Calculs Péremption FA'!$BZ17, "/", 'Calculs Péremption FA'!$CA17), AZ192)))</f>
        <v/>
      </c>
      <c r="BH192" s="1836" t="e">
        <f t="shared" si="39"/>
        <v>#DIV/0!</v>
      </c>
      <c r="BI192" s="1721" t="e">
        <f>BH192-Paramétrage!$D$29</f>
        <v>#DIV/0!</v>
      </c>
      <c r="BJ192" s="1837" t="e">
        <f>IF(BH192&lt;Paramétrage!$D$29, BH192, Paramétrage!$D$29)</f>
        <v>#DIV/0!</v>
      </c>
      <c r="BK192" s="1837" t="e">
        <f t="shared" si="40"/>
        <v>#DIV/0!</v>
      </c>
      <c r="BL192" s="1838" t="e">
        <f>Paramétrage!$H$19+BI192*(365/12)</f>
        <v>#DIV/0!</v>
      </c>
      <c r="BM192" s="1839" t="e">
        <f>IF(BH192&lt;Paramétrage!$D$29, Paramétrage!$H$19+BJ192*(365/12), Paramétrage!$H$19+BH192*(365/12))</f>
        <v>#DIV/0!</v>
      </c>
      <c r="BO192" s="1836" t="str">
        <f>IF(ISERROR(BH192),"", IF(BH192=0, "", IF(BH192&gt;'Calculs Péremption FA'!$CB17, 'Calculs Péremption FA'!$CB17, BH192)))</f>
        <v/>
      </c>
      <c r="BP192" s="1721" t="str">
        <f>IF(ISERROR(BH192),"", IF(BH192=0, "", IF(BH192&gt;'Calculs Péremption FA'!$CB17, 'Calculs Péremption FA'!$CB17-Paramétrage!$D$29, BI192)))</f>
        <v/>
      </c>
      <c r="BQ192" s="1840" t="str">
        <f>IF(ISERROR(BH192),"", IF(BH192=0, "", IF(BH192&gt;'Calculs Péremption FA'!$CB17, Paramétrage!$D$29, BJ192)))</f>
        <v/>
      </c>
      <c r="BR192" s="1842" t="str">
        <f t="shared" si="41"/>
        <v/>
      </c>
      <c r="BS192" s="1838" t="str">
        <f>IF(ISERROR(BH192),"", IF(BH192=0, "", IF(BH192&gt;'Calculs Péremption FA'!$CB17, 'Calculs Péremption FA'!$BX17-Paramétrage!$D$29*(365/12), BL192)))</f>
        <v/>
      </c>
      <c r="BT192" s="1839" t="str">
        <f>IF(ISERROR(BH192),"", IF(BH192=0, "", IF(BH192&gt;'Calculs Péremption FA'!$CB17, CONCATENATE('TRAD-Calculs dispo Données FA'!$B$88, " - ", 'Calculs Péremption FA'!$BY17, "/", 'Calculs Péremption FA'!$BZ17, "/", 'Calculs Péremption FA'!$CA17), BM192)))</f>
        <v/>
      </c>
      <c r="BV192" s="2061">
        <f>Calculs!$Q272</f>
        <v>0</v>
      </c>
      <c r="BW192" s="2062">
        <f>Calculs!$O163</f>
        <v>0</v>
      </c>
      <c r="BX192" s="2068">
        <f>Calculs!$N217</f>
        <v>0</v>
      </c>
      <c r="BY192" s="2070" t="str">
        <f>IF(AND(BX192=0, BV192=0, BW192=0), 'TRAD-Calculs dispo Données FA'!$B$82, "")</f>
        <v>Stock et besoin nul</v>
      </c>
      <c r="BZ192" s="2062" t="str">
        <f>IF(AND(BX192=0, BV192&gt;0, BW192=0), CONCATENATE(BV192,'TRAD-Calculs dispo Données FA'!$B$80," =0"), "")</f>
        <v/>
      </c>
      <c r="CA192" s="2063" t="str">
        <f>IF(AND(BV192=0, OR(BW192&gt;=1, BX192&gt;=1)),'TRAD-Calculs dispo Données FA'!$B$81, "")</f>
        <v/>
      </c>
    </row>
    <row r="193" spans="3:79" s="358" customFormat="1" ht="25.5" x14ac:dyDescent="0.2">
      <c r="C193" s="2687"/>
      <c r="D193" s="2688"/>
      <c r="E193" s="2700" t="str">
        <f>'Saisie données stocks'!F30</f>
        <v>TDF+FTC</v>
      </c>
      <c r="F193" s="2701" t="str">
        <f>'Saisie données stocks'!G30</f>
        <v>Cp</v>
      </c>
      <c r="G193" s="2701" t="str">
        <f>'Saisie données stocks'!H30</f>
        <v>300/200 mg</v>
      </c>
      <c r="H193" s="2699" t="str">
        <f>CONCATENATE(E193, " - ", G193, " - ", 'TRAD-Calculs dispo Données FA'!$B$79,"/", K193)</f>
        <v>TDF+FTC - 300/200 mg - B/30</v>
      </c>
      <c r="I193" s="2699">
        <f>Calculs!K113</f>
        <v>1</v>
      </c>
      <c r="J193" s="2703">
        <f t="shared" si="29"/>
        <v>30</v>
      </c>
      <c r="K193" s="2704">
        <f>Calculs!J113</f>
        <v>30</v>
      </c>
      <c r="L193" s="2705">
        <f t="shared" si="30"/>
        <v>1</v>
      </c>
      <c r="M193" s="2706">
        <f>IF('Saisie données stocks'!$O$10='TRAD-Saisie données stocks'!$B$51, 'Calculs Péremption FA'!BU18, Calculs!M273)+IF('Saisie données stocks'!$M$76='TRAD-Saisie données stocks'!$B$51, Calculs!N273, "0")+Calculs!P273</f>
        <v>0</v>
      </c>
      <c r="N193" s="2706">
        <f>Calculs!O164</f>
        <v>0</v>
      </c>
      <c r="O193" s="2706">
        <f>Calculs!N218</f>
        <v>0</v>
      </c>
      <c r="P193"/>
      <c r="Q193" s="1836" t="e">
        <f>IF(Calculs!N218&gt;0, (-(Calculs!N218+2*Calculs!O164)+SQRT((Calculs!N218+2*Calculs!O164)*(Calculs!N218+2*Calculs!O164)+8*Calculs!N218*(M193)))/(2*Calculs!N218), ((M193)/Calculs!O164))</f>
        <v>#DIV/0!</v>
      </c>
      <c r="R193" s="1721" t="e">
        <f>Q193-Paramétrage!$D$29</f>
        <v>#DIV/0!</v>
      </c>
      <c r="S193" s="1837" t="e">
        <f>IF(Q193&lt;Paramétrage!$D$29, Q193, Paramétrage!$D$29)</f>
        <v>#DIV/0!</v>
      </c>
      <c r="T193" s="1838" t="e">
        <f>Paramétrage!$H$19+R193*(365/12)</f>
        <v>#DIV/0!</v>
      </c>
      <c r="U193" s="1839" t="e">
        <f>IF(Q193&lt;Paramétrage!$D$29, Paramétrage!$H$19+S193*(365/12), Paramétrage!$H$19+Q193*(365/12))</f>
        <v>#DIV/0!</v>
      </c>
      <c r="W193" s="1836" t="str">
        <f t="shared" si="31"/>
        <v/>
      </c>
      <c r="X193" s="1721" t="str">
        <f t="shared" si="32"/>
        <v/>
      </c>
      <c r="Y193" s="1840" t="str">
        <f t="shared" si="33"/>
        <v/>
      </c>
      <c r="Z193" s="1838" t="str">
        <f t="shared" si="34"/>
        <v/>
      </c>
      <c r="AA193" s="1839" t="str">
        <f t="shared" si="35"/>
        <v/>
      </c>
      <c r="AC193" s="1836" t="e">
        <f t="shared" si="36"/>
        <v>#DIV/0!</v>
      </c>
      <c r="AD193" s="1721" t="e">
        <f>AC193-Paramétrage!$D$29</f>
        <v>#DIV/0!</v>
      </c>
      <c r="AE193" s="1837" t="e">
        <f>IF(AC193&lt;Paramétrage!$D$29, AC193, Paramétrage!$D$29)</f>
        <v>#DIV/0!</v>
      </c>
      <c r="AF193" s="1837" t="e">
        <f t="shared" si="37"/>
        <v>#DIV/0!</v>
      </c>
      <c r="AG193" s="1838" t="e">
        <f>Paramétrage!$H$19+AD193*30</f>
        <v>#DIV/0!</v>
      </c>
      <c r="AH193" s="1839" t="e">
        <f>IF(AC193&lt;Paramétrage!$D$29, Paramétrage!$H$19+AE193*30, Paramétrage!$H$19+AC193*30)</f>
        <v>#DIV/0!</v>
      </c>
      <c r="AI193" s="1838">
        <f>'Saisie données stocks'!O151</f>
        <v>0</v>
      </c>
      <c r="AJ193" s="1841" t="str">
        <f>IF(ISERROR(Q193), "0", IF('Saisie données stocks'!O151="", "0", IF(U136&gt;'Saisie données stocks'!$N$14, IF(AI193&gt;(Paramétrage!$H$19+'Saisie données stocks'!$N$14*(365/12)), (AI193-(Paramétrage!$H$19+'Saisie données stocks'!$N$14*(365/12)))/(365/12), IF(AI193&gt;U136, (AI193-U136)/(365/12), "0")))))</f>
        <v>0</v>
      </c>
      <c r="AK193" s="1721" t="str">
        <f>IF(ISERROR(Q136),"0", IF(Q136=0, "0", IF(Q136&gt;'Calculs Péremption FA'!$CB18, 'Calculs Péremption FA'!$CB18, Q136)))</f>
        <v>0</v>
      </c>
      <c r="AL193" s="1837" t="str">
        <f>IF(ISERROR(AC193),"0", IF(AC193=0, "0", IF(AC193&gt;'Saisie données stocks'!$N$14, 'Saisie données stocks'!$N$14, AC193)))</f>
        <v>0</v>
      </c>
      <c r="AM193" s="1839" t="str">
        <f>IF(ISERROR(Q193),AA193,IF(Calculs!P273=0,AA136,(Paramétrage!$H$19+((AJ193+AK193+AL193)*(365/12)))))</f>
        <v/>
      </c>
      <c r="AO193" s="1836" t="str">
        <f>IF(ISERROR(AC193),"", IF(AC193=0, "", IF(AC193&gt;'Saisie données stocks'!$N$14, 'Saisie données stocks'!$N$14, AC193)))</f>
        <v/>
      </c>
      <c r="AP193" s="1721" t="str">
        <f>IF(ISERROR(AC193),"", IF(AC193=0, "", IF(AC193&gt;'Calculs Péremption FA'!$CB18, 'Calculs Péremption FA'!$CB18-Paramétrage!$D$29, AD193)))</f>
        <v/>
      </c>
      <c r="AQ193" s="1840" t="str">
        <f>IF(ISERROR(AC193),"", IF(AC193=0, "", IF(AC193&gt;'Calculs Péremption FA'!$CB18, Paramétrage!$D$29, AE193)))</f>
        <v/>
      </c>
      <c r="AR193" s="1842" t="str">
        <f t="shared" si="38"/>
        <v/>
      </c>
      <c r="AS193" s="1838" t="str">
        <f>IF(ISERROR(AC193),"", IF(AC193=0, "", IF(AC193&gt;'Calculs Péremption FA'!$CB18, 'Calculs Péremption FA'!$BX18-Paramétrage!$D$29*(365/12), AG193)))</f>
        <v/>
      </c>
      <c r="AT193" s="1839" t="str">
        <f>IF(ISERROR(AC193),"", IF(AC193=0, "", IF(AC193&gt;'Calculs Péremption FA'!$CB18, CONCATENATE('TRAD-Calculs dispo Données FA'!$B$88, " - ", 'Calculs Péremption FA'!$BY18, "/", 'Calculs Péremption FA'!$BZ18, "/", 'Calculs Péremption FA'!$CA18), AH193)))</f>
        <v/>
      </c>
      <c r="AV193" s="1836" t="e">
        <f>(Calculs!Q273)/Calculs!O164</f>
        <v>#DIV/0!</v>
      </c>
      <c r="AW193" s="1721" t="e">
        <f>AV193-Paramétrage!$D$29</f>
        <v>#DIV/0!</v>
      </c>
      <c r="AX193" s="1837" t="e">
        <f>IF(AV193&lt;Paramétrage!$D$29, AV193, Paramétrage!$D$29)</f>
        <v>#DIV/0!</v>
      </c>
      <c r="AY193" s="1838" t="e">
        <f>Paramétrage!$H$19+AW193*30</f>
        <v>#DIV/0!</v>
      </c>
      <c r="AZ193" s="1839" t="e">
        <f>IF(AV193&lt;Paramétrage!$D$29, Paramétrage!$H$19+AX193*(365/12), Paramétrage!$H$19+AV193*(365/12))</f>
        <v>#DIV/0!</v>
      </c>
      <c r="BB193" s="1836" t="str">
        <f>IF(ISERROR(AV193),"", IF(AV193=0, "", IF(AV193&gt;'Calculs Péremption FA'!$CB18, 'Calculs Péremption FA'!$CB18, AV193)))</f>
        <v/>
      </c>
      <c r="BC193" s="1721" t="str">
        <f>IF(ISERROR(AV193),"", IF(AV193=0, "", IF(AV193&gt;'Calculs Péremption FA'!$CB18, 'Calculs Péremption FA'!$CB18-Paramétrage!$D$29, AW193)))</f>
        <v/>
      </c>
      <c r="BD193" s="1840" t="str">
        <f>IF(ISERROR(AV193),"", IF(AV193=0, "", IF(AV193&gt;'Calculs Péremption FA'!$CB18, Paramétrage!$D$29, AX193)))</f>
        <v/>
      </c>
      <c r="BE193" s="1838" t="str">
        <f>IF(ISERROR(AV193),"", IF(AV193=0, "", IF(AV193&gt;'Calculs Péremption FA'!$CB18, 'Calculs Péremption FA'!$BX18-Paramétrage!$D$29*(365/12), AY193)))</f>
        <v/>
      </c>
      <c r="BF193" s="1839" t="str">
        <f>IF(ISERROR(AV193),"", IF(AV193=0, "", IF(AV193&gt;'Calculs Péremption FA'!$CB18, CONCATENATE('TRAD-Calculs dispo Données FA'!$B$88, " - ", 'Calculs Péremption FA'!$BY18, "/", 'Calculs Péremption FA'!$BZ18, "/", 'Calculs Péremption FA'!$CA18), AZ193)))</f>
        <v/>
      </c>
      <c r="BH193" s="1836" t="e">
        <f t="shared" si="39"/>
        <v>#DIV/0!</v>
      </c>
      <c r="BI193" s="1721" t="e">
        <f>BH193-Paramétrage!$D$29</f>
        <v>#DIV/0!</v>
      </c>
      <c r="BJ193" s="1837" t="e">
        <f>IF(BH193&lt;Paramétrage!$D$29, BH193, Paramétrage!$D$29)</f>
        <v>#DIV/0!</v>
      </c>
      <c r="BK193" s="1837" t="e">
        <f t="shared" si="40"/>
        <v>#DIV/0!</v>
      </c>
      <c r="BL193" s="1838" t="e">
        <f>Paramétrage!$H$19+BI193*(365/12)</f>
        <v>#DIV/0!</v>
      </c>
      <c r="BM193" s="1839" t="e">
        <f>IF(BH193&lt;Paramétrage!$D$29, Paramétrage!$H$19+BJ193*(365/12), Paramétrage!$H$19+BH193*(365/12))</f>
        <v>#DIV/0!</v>
      </c>
      <c r="BO193" s="1836" t="str">
        <f>IF(ISERROR(BH193),"", IF(BH193=0, "", IF(BH193&gt;'Calculs Péremption FA'!$CB18, 'Calculs Péremption FA'!$CB18, BH193)))</f>
        <v/>
      </c>
      <c r="BP193" s="1721" t="str">
        <f>IF(ISERROR(BH193),"", IF(BH193=0, "", IF(BH193&gt;'Calculs Péremption FA'!$CB18, 'Calculs Péremption FA'!$CB18-Paramétrage!$D$29, BI193)))</f>
        <v/>
      </c>
      <c r="BQ193" s="1840" t="str">
        <f>IF(ISERROR(BH193),"", IF(BH193=0, "", IF(BH193&gt;'Calculs Péremption FA'!$CB18, Paramétrage!$D$29, BJ193)))</f>
        <v/>
      </c>
      <c r="BR193" s="1842" t="str">
        <f t="shared" si="41"/>
        <v/>
      </c>
      <c r="BS193" s="1838" t="str">
        <f>IF(ISERROR(BH193),"", IF(BH193=0, "", IF(BH193&gt;'Calculs Péremption FA'!$CB18, 'Calculs Péremption FA'!$BX18-Paramétrage!$D$29*(365/12), BL193)))</f>
        <v/>
      </c>
      <c r="BT193" s="1839" t="str">
        <f>IF(ISERROR(BH193),"", IF(BH193=0, "", IF(BH193&gt;'Calculs Péremption FA'!$CB18, CONCATENATE('TRAD-Calculs dispo Données FA'!$B$88, " - ", 'Calculs Péremption FA'!$BY18, "/", 'Calculs Péremption FA'!$BZ18, "/", 'Calculs Péremption FA'!$CA18), BM193)))</f>
        <v/>
      </c>
      <c r="BV193" s="2061">
        <f>Calculs!$Q273</f>
        <v>0</v>
      </c>
      <c r="BW193" s="2062">
        <f>Calculs!$O164</f>
        <v>0</v>
      </c>
      <c r="BX193" s="2068">
        <f>Calculs!$N218</f>
        <v>0</v>
      </c>
      <c r="BY193" s="2070" t="str">
        <f>IF(AND(BX193=0, BV193=0, BW193=0), 'TRAD-Calculs dispo Données FA'!$B$82, "")</f>
        <v>Stock et besoin nul</v>
      </c>
      <c r="BZ193" s="2062" t="str">
        <f>IF(AND(BX193=0, BV193&gt;0, BW193=0), CONCATENATE(BV193,'TRAD-Calculs dispo Données FA'!$B$80," =0"), "")</f>
        <v/>
      </c>
      <c r="CA193" s="2063" t="str">
        <f>IF(AND(BV193=0, OR(BW193&gt;=1, BX193&gt;=1)),'TRAD-Calculs dispo Données FA'!$B$81, "")</f>
        <v/>
      </c>
    </row>
    <row r="194" spans="3:79" s="358" customFormat="1" ht="25.5" x14ac:dyDescent="0.2">
      <c r="C194" s="2687"/>
      <c r="D194" s="2688"/>
      <c r="E194" s="2700" t="str">
        <f>'Saisie données stocks'!F31</f>
        <v>TDF+3TC+EFV</v>
      </c>
      <c r="F194" s="2701" t="str">
        <f>'Saisie données stocks'!G31</f>
        <v>Cp</v>
      </c>
      <c r="G194" s="2701" t="str">
        <f>'Saisie données stocks'!H31</f>
        <v>300/200/600 mg</v>
      </c>
      <c r="H194" s="2699" t="str">
        <f>CONCATENATE(E194, " - ", G194, " - ", 'TRAD-Calculs dispo Données FA'!$B$79,"/", K194)</f>
        <v>TDF+3TC+EFV - 300/200/600 mg - B/30</v>
      </c>
      <c r="I194" s="2703">
        <f>Calculs!K114</f>
        <v>1</v>
      </c>
      <c r="J194" s="2707">
        <f t="shared" si="29"/>
        <v>30</v>
      </c>
      <c r="K194" s="2704">
        <f>Calculs!J114</f>
        <v>30</v>
      </c>
      <c r="L194" s="2705">
        <f t="shared" si="30"/>
        <v>1</v>
      </c>
      <c r="M194" s="2706">
        <f>IF('Saisie données stocks'!$O$10='TRAD-Saisie données stocks'!$B$51, 'Calculs Péremption FA'!BU19, Calculs!M274)+IF('Saisie données stocks'!$M$76='TRAD-Saisie données stocks'!$B$51, Calculs!N274, "0")+Calculs!P274</f>
        <v>2712</v>
      </c>
      <c r="N194" s="2706">
        <f>Calculs!O165</f>
        <v>0</v>
      </c>
      <c r="O194" s="2706">
        <f>Calculs!N219</f>
        <v>0</v>
      </c>
      <c r="P194"/>
      <c r="Q194" s="1836" t="e">
        <f>IF(Calculs!N219&gt;0, (-(Calculs!N219+2*Calculs!O165)+SQRT((Calculs!N219+2*Calculs!O165)*(Calculs!N219+2*Calculs!O165)+8*Calculs!N219*(M194)))/(2*Calculs!N219), ((M194)/Calculs!O165))</f>
        <v>#DIV/0!</v>
      </c>
      <c r="R194" s="1721" t="e">
        <f>Q194-Paramétrage!$D$29</f>
        <v>#DIV/0!</v>
      </c>
      <c r="S194" s="1837" t="e">
        <f>IF(Q194&lt;Paramétrage!$D$29, Q194, Paramétrage!$D$29)</f>
        <v>#DIV/0!</v>
      </c>
      <c r="T194" s="1838" t="e">
        <f>Paramétrage!$H$19+R194*(365/12)</f>
        <v>#DIV/0!</v>
      </c>
      <c r="U194" s="1839" t="e">
        <f>IF(Q194&lt;Paramétrage!$D$29, Paramétrage!$H$19+S194*(365/12), Paramétrage!$H$19+Q194*(365/12))</f>
        <v>#DIV/0!</v>
      </c>
      <c r="W194" s="1836" t="str">
        <f t="shared" si="31"/>
        <v/>
      </c>
      <c r="X194" s="1721" t="str">
        <f t="shared" si="32"/>
        <v/>
      </c>
      <c r="Y194" s="1840" t="str">
        <f t="shared" si="33"/>
        <v/>
      </c>
      <c r="Z194" s="1838" t="str">
        <f t="shared" si="34"/>
        <v/>
      </c>
      <c r="AA194" s="1839" t="str">
        <f t="shared" si="35"/>
        <v>38746B &amp; conso =0</v>
      </c>
      <c r="AC194" s="1836" t="e">
        <f t="shared" si="36"/>
        <v>#DIV/0!</v>
      </c>
      <c r="AD194" s="1721" t="e">
        <f>AC194-Paramétrage!$D$29</f>
        <v>#DIV/0!</v>
      </c>
      <c r="AE194" s="1837" t="e">
        <f>IF(AC194&lt;Paramétrage!$D$29, AC194, Paramétrage!$D$29)</f>
        <v>#DIV/0!</v>
      </c>
      <c r="AF194" s="1837" t="e">
        <f t="shared" si="37"/>
        <v>#DIV/0!</v>
      </c>
      <c r="AG194" s="1838" t="e">
        <f>Paramétrage!$H$19+AD194*30</f>
        <v>#DIV/0!</v>
      </c>
      <c r="AH194" s="1839" t="e">
        <f>IF(AC194&lt;Paramétrage!$D$29, Paramétrage!$H$19+AE194*30, Paramétrage!$H$19+AC194*30)</f>
        <v>#DIV/0!</v>
      </c>
      <c r="AI194" s="1838">
        <f>'Saisie données stocks'!O152</f>
        <v>0</v>
      </c>
      <c r="AJ194" s="1841" t="str">
        <f>IF(ISERROR(Q194), "0", IF('Saisie données stocks'!O152="", "0", IF(U137&gt;'Saisie données stocks'!$N$14, IF(AI194&gt;(Paramétrage!$H$19+'Saisie données stocks'!$N$14*(365/12)), (AI194-(Paramétrage!$H$19+'Saisie données stocks'!$N$14*(365/12)))/(365/12), IF(AI194&gt;U137, (AI194-U137)/(365/12), "0")))))</f>
        <v>0</v>
      </c>
      <c r="AK194" s="1721" t="str">
        <f>IF(ISERROR(Q137),"0", IF(Q137=0, "0", IF(Q137&gt;'Calculs Péremption FA'!$CB19, 'Calculs Péremption FA'!$CB19, Q137)))</f>
        <v>0</v>
      </c>
      <c r="AL194" s="1837" t="str">
        <f>IF(ISERROR(AC194),"0", IF(AC194=0, "0", IF(AC194&gt;'Saisie données stocks'!$N$14, 'Saisie données stocks'!$N$14, AC194)))</f>
        <v>0</v>
      </c>
      <c r="AM194" s="1839" t="str">
        <f>IF(ISERROR(Q194),AA194,IF(Calculs!P274=0,AA137,(Paramétrage!$H$19+((AJ194+AK194+AL194)*(365/12)))))</f>
        <v>38746B &amp; conso =0</v>
      </c>
      <c r="AO194" s="1836" t="str">
        <f>IF(ISERROR(AC194),"", IF(AC194=0, "", IF(AC194&gt;'Saisie données stocks'!$N$14, 'Saisie données stocks'!$N$14, AC194)))</f>
        <v/>
      </c>
      <c r="AP194" s="1721" t="str">
        <f>IF(ISERROR(AC194),"", IF(AC194=0, "", IF(AC194&gt;'Calculs Péremption FA'!$CB19, 'Calculs Péremption FA'!$CB19-Paramétrage!$D$29, AD194)))</f>
        <v/>
      </c>
      <c r="AQ194" s="1840" t="str">
        <f>IF(ISERROR(AC194),"", IF(AC194=0, "", IF(AC194&gt;'Calculs Péremption FA'!$CB19, Paramétrage!$D$29, AE194)))</f>
        <v/>
      </c>
      <c r="AR194" s="1842" t="str">
        <f t="shared" si="38"/>
        <v/>
      </c>
      <c r="AS194" s="1838" t="str">
        <f>IF(ISERROR(AC194),"", IF(AC194=0, "", IF(AC194&gt;'Calculs Péremption FA'!$CB19, 'Calculs Péremption FA'!$BX19-Paramétrage!$D$29*(365/12), AG194)))</f>
        <v/>
      </c>
      <c r="AT194" s="1839" t="str">
        <f>IF(ISERROR(AC194),"", IF(AC194=0, "", IF(AC194&gt;'Calculs Péremption FA'!$CB19, CONCATENATE('TRAD-Calculs dispo Données FA'!$B$88, " - ", 'Calculs Péremption FA'!$BY19, "/", 'Calculs Péremption FA'!$BZ19, "/", 'Calculs Péremption FA'!$CA19), AH194)))</f>
        <v/>
      </c>
      <c r="AV194" s="1836" t="e">
        <f>(Calculs!Q274)/Calculs!O165</f>
        <v>#DIV/0!</v>
      </c>
      <c r="AW194" s="1721" t="e">
        <f>AV194-Paramétrage!$D$29</f>
        <v>#DIV/0!</v>
      </c>
      <c r="AX194" s="1837" t="e">
        <f>IF(AV194&lt;Paramétrage!$D$29, AV194, Paramétrage!$D$29)</f>
        <v>#DIV/0!</v>
      </c>
      <c r="AY194" s="1838" t="e">
        <f>Paramétrage!$H$19+AW194*30</f>
        <v>#DIV/0!</v>
      </c>
      <c r="AZ194" s="1839" t="e">
        <f>IF(AV194&lt;Paramétrage!$D$29, Paramétrage!$H$19+AX194*(365/12), Paramétrage!$H$19+AV194*(365/12))</f>
        <v>#DIV/0!</v>
      </c>
      <c r="BB194" s="1836" t="str">
        <f>IF(ISERROR(AV194),"", IF(AV194=0, "", IF(AV194&gt;'Calculs Péremption FA'!$CB19, 'Calculs Péremption FA'!$CB19, AV194)))</f>
        <v/>
      </c>
      <c r="BC194" s="1721" t="str">
        <f>IF(ISERROR(AV194),"", IF(AV194=0, "", IF(AV194&gt;'Calculs Péremption FA'!$CB19, 'Calculs Péremption FA'!$CB19-Paramétrage!$D$29, AW194)))</f>
        <v/>
      </c>
      <c r="BD194" s="1840" t="str">
        <f>IF(ISERROR(AV194),"", IF(AV194=0, "", IF(AV194&gt;'Calculs Péremption FA'!$CB19, Paramétrage!$D$29, AX194)))</f>
        <v/>
      </c>
      <c r="BE194" s="1838" t="str">
        <f>IF(ISERROR(AV194),"", IF(AV194=0, "", IF(AV194&gt;'Calculs Péremption FA'!$CB19, 'Calculs Péremption FA'!$BX19-Paramétrage!$D$29*(365/12), AY194)))</f>
        <v/>
      </c>
      <c r="BF194" s="1839" t="str">
        <f>IF(ISERROR(AV194),"", IF(AV194=0, "", IF(AV194&gt;'Calculs Péremption FA'!$CB19, CONCATENATE('TRAD-Calculs dispo Données FA'!$B$88, " - ", 'Calculs Péremption FA'!$BY19, "/", 'Calculs Péremption FA'!$BZ19, "/", 'Calculs Péremption FA'!$CA19), AZ194)))</f>
        <v/>
      </c>
      <c r="BH194" s="1836" t="e">
        <f t="shared" si="39"/>
        <v>#DIV/0!</v>
      </c>
      <c r="BI194" s="1721" t="e">
        <f>BH194-Paramétrage!$D$29</f>
        <v>#DIV/0!</v>
      </c>
      <c r="BJ194" s="1837" t="e">
        <f>IF(BH194&lt;Paramétrage!$D$29, BH194, Paramétrage!$D$29)</f>
        <v>#DIV/0!</v>
      </c>
      <c r="BK194" s="1837" t="e">
        <f t="shared" si="40"/>
        <v>#DIV/0!</v>
      </c>
      <c r="BL194" s="1838" t="e">
        <f>Paramétrage!$H$19+BI194*(365/12)</f>
        <v>#DIV/0!</v>
      </c>
      <c r="BM194" s="1839" t="e">
        <f>IF(BH194&lt;Paramétrage!$D$29, Paramétrage!$H$19+BJ194*(365/12), Paramétrage!$H$19+BH194*(365/12))</f>
        <v>#DIV/0!</v>
      </c>
      <c r="BO194" s="1836" t="str">
        <f>IF(ISERROR(BH194),"", IF(BH194=0, "", IF(BH194&gt;'Calculs Péremption FA'!$CB19, 'Calculs Péremption FA'!$CB19, BH194)))</f>
        <v/>
      </c>
      <c r="BP194" s="1721" t="str">
        <f>IF(ISERROR(BH194),"", IF(BH194=0, "", IF(BH194&gt;'Calculs Péremption FA'!$CB19, 'Calculs Péremption FA'!$CB19-Paramétrage!$D$29, BI194)))</f>
        <v/>
      </c>
      <c r="BQ194" s="1840" t="str">
        <f>IF(ISERROR(BH194),"", IF(BH194=0, "", IF(BH194&gt;'Calculs Péremption FA'!$CB19, Paramétrage!$D$29, BJ194)))</f>
        <v/>
      </c>
      <c r="BR194" s="1842" t="str">
        <f t="shared" si="41"/>
        <v/>
      </c>
      <c r="BS194" s="1838" t="str">
        <f>IF(ISERROR(BH194),"", IF(BH194=0, "", IF(BH194&gt;'Calculs Péremption FA'!$CB19, 'Calculs Péremption FA'!$BX19-Paramétrage!$D$29*(365/12), BL194)))</f>
        <v/>
      </c>
      <c r="BT194" s="1839" t="str">
        <f>IF(ISERROR(BH194),"", IF(BH194=0, "", IF(BH194&gt;'Calculs Péremption FA'!$CB19, CONCATENATE('TRAD-Calculs dispo Données FA'!$B$88, " - ", 'Calculs Péremption FA'!$BY19, "/", 'Calculs Péremption FA'!$BZ19, "/", 'Calculs Péremption FA'!$CA19), BM194)))</f>
        <v/>
      </c>
      <c r="BV194" s="2061">
        <f>Calculs!$Q274</f>
        <v>38746</v>
      </c>
      <c r="BW194" s="2062">
        <f>Calculs!$O165</f>
        <v>0</v>
      </c>
      <c r="BX194" s="2068">
        <f>Calculs!$N219</f>
        <v>0</v>
      </c>
      <c r="BY194" s="2070" t="str">
        <f>IF(AND(BX194=0, BV194=0, BW194=0), 'TRAD-Calculs dispo Données FA'!$B$82, "")</f>
        <v/>
      </c>
      <c r="BZ194" s="2062" t="str">
        <f>IF(AND(BX194=0, BV194&gt;0, BW194=0), CONCATENATE(BV194,'TRAD-Calculs dispo Données FA'!$B$80," =0"), "")</f>
        <v>38746B &amp; conso =0</v>
      </c>
      <c r="CA194" s="2063" t="str">
        <f>IF(AND(BV194=0, OR(BW194&gt;=1, BX194&gt;=1)),'TRAD-Calculs dispo Données FA'!$B$81, "")</f>
        <v/>
      </c>
    </row>
    <row r="195" spans="3:79" s="358" customFormat="1" ht="25.5" x14ac:dyDescent="0.2">
      <c r="C195" s="2687"/>
      <c r="D195" s="2688"/>
      <c r="E195" s="2708" t="str">
        <f>'Saisie données stocks'!F32</f>
        <v>TDF+3TC</v>
      </c>
      <c r="F195" s="2709" t="str">
        <f>'Saisie données stocks'!G32</f>
        <v>Cp</v>
      </c>
      <c r="G195" s="2709" t="str">
        <f>'Saisie données stocks'!H32</f>
        <v>300/200 mg</v>
      </c>
      <c r="H195" s="2710" t="str">
        <f>CONCATENATE(E195, " - ", G195, " - ", 'TRAD-Calculs dispo Données FA'!$B$79,"/", K195)</f>
        <v>TDF+3TC - 300/200 mg - B/30</v>
      </c>
      <c r="I195" s="2711">
        <f>Calculs!K115</f>
        <v>1</v>
      </c>
      <c r="J195" s="2712">
        <f t="shared" si="29"/>
        <v>30</v>
      </c>
      <c r="K195" s="2713">
        <f>Calculs!J115</f>
        <v>30</v>
      </c>
      <c r="L195" s="2714">
        <f t="shared" si="30"/>
        <v>1</v>
      </c>
      <c r="M195" s="2706">
        <f>IF('Saisie données stocks'!$O$10='TRAD-Saisie données stocks'!$B$51, 'Calculs Péremption FA'!BU20, Calculs!M275)+IF('Saisie données stocks'!$M$76='TRAD-Saisie données stocks'!$B$51, Calculs!N275, "0")+Calculs!P275</f>
        <v>0</v>
      </c>
      <c r="N195" s="2715">
        <f>Calculs!O166</f>
        <v>0</v>
      </c>
      <c r="O195" s="2715">
        <f>Calculs!N220</f>
        <v>0</v>
      </c>
      <c r="P195"/>
      <c r="Q195" s="1847" t="e">
        <f>IF(Calculs!N220&gt;0, (-(Calculs!N220+2*Calculs!O166)+SQRT((Calculs!N220+2*Calculs!O166)*(Calculs!N220+2*Calculs!O166)+8*Calculs!N220*(M195)))/(2*Calculs!N220), ((M195)/Calculs!O166))</f>
        <v>#DIV/0!</v>
      </c>
      <c r="R195" s="1848" t="e">
        <f>Q195-Paramétrage!$D$29</f>
        <v>#DIV/0!</v>
      </c>
      <c r="S195" s="1849" t="e">
        <f>IF(Q195&lt;Paramétrage!$D$29, Q195, Paramétrage!$D$29)</f>
        <v>#DIV/0!</v>
      </c>
      <c r="T195" s="1850" t="e">
        <f>Paramétrage!$H$19+R195*(365/12)</f>
        <v>#DIV/0!</v>
      </c>
      <c r="U195" s="254" t="e">
        <f>IF(Q195&lt;Paramétrage!$D$29, Paramétrage!$H$19+S195*(365/12), Paramétrage!$H$19+Q195*(365/12))</f>
        <v>#DIV/0!</v>
      </c>
      <c r="W195" s="1847" t="str">
        <f t="shared" si="31"/>
        <v/>
      </c>
      <c r="X195" s="1848" t="str">
        <f t="shared" si="32"/>
        <v/>
      </c>
      <c r="Y195" s="428" t="str">
        <f t="shared" si="33"/>
        <v/>
      </c>
      <c r="Z195" s="1850" t="str">
        <f t="shared" si="34"/>
        <v/>
      </c>
      <c r="AA195" s="254" t="str">
        <f t="shared" si="35"/>
        <v>505B &amp; conso =0</v>
      </c>
      <c r="AC195" s="1847" t="e">
        <f t="shared" si="36"/>
        <v>#DIV/0!</v>
      </c>
      <c r="AD195" s="1848" t="e">
        <f>AC195-Paramétrage!$D$29</f>
        <v>#DIV/0!</v>
      </c>
      <c r="AE195" s="1849" t="e">
        <f>IF(AC195&lt;Paramétrage!$D$29, AC195, Paramétrage!$D$29)</f>
        <v>#DIV/0!</v>
      </c>
      <c r="AF195" s="1849" t="e">
        <f t="shared" si="37"/>
        <v>#DIV/0!</v>
      </c>
      <c r="AG195" s="1850" t="e">
        <f>Paramétrage!$H$19+AD195*30</f>
        <v>#DIV/0!</v>
      </c>
      <c r="AH195" s="254" t="e">
        <f>IF(AC195&lt;Paramétrage!$D$29, Paramétrage!$H$19+AE195*30, Paramétrage!$H$19+AC195*30)</f>
        <v>#DIV/0!</v>
      </c>
      <c r="AI195" s="1850">
        <f>'Saisie données stocks'!O153</f>
        <v>0</v>
      </c>
      <c r="AJ195" s="1851" t="str">
        <f>IF(ISERROR(Q195), "0", IF('Saisie données stocks'!O153="", "0", IF(U138&gt;'Saisie données stocks'!$N$14, IF(AI195&gt;(Paramétrage!$H$19+'Saisie données stocks'!$N$14*(365/12)), (AI195-(Paramétrage!$H$19+'Saisie données stocks'!$N$14*(365/12)))/(365/12), IF(AI195&gt;U138, (AI195-U138)/(365/12), "0")))))</f>
        <v>0</v>
      </c>
      <c r="AK195" s="1848" t="str">
        <f>IF(ISERROR(Q138),"0", IF(Q138=0, "0", IF(Q138&gt;'Calculs Péremption FA'!$CB20, 'Calculs Péremption FA'!$CB20, Q138)))</f>
        <v>0</v>
      </c>
      <c r="AL195" s="1849" t="str">
        <f>IF(ISERROR(AC195),"0", IF(AC195=0, "0", IF(AC195&gt;'Saisie données stocks'!$N$14, 'Saisie données stocks'!$N$14, AC195)))</f>
        <v>0</v>
      </c>
      <c r="AM195" s="254" t="str">
        <f>IF(ISERROR(Q195),AA195,IF(Calculs!P275=0,AA138,(Paramétrage!$H$19+((AJ195+AK195+AL195)*(365/12)))))</f>
        <v>505B &amp; conso =0</v>
      </c>
      <c r="AO195" s="1847" t="str">
        <f>IF(ISERROR(AC195),"", IF(AC195=0, "", IF(AC195&gt;'Saisie données stocks'!$N$14, 'Saisie données stocks'!$N$14, AC195)))</f>
        <v/>
      </c>
      <c r="AP195" s="1848" t="str">
        <f>IF(ISERROR(AC195),"", IF(AC195=0, "", IF(AC195&gt;'Calculs Péremption FA'!$CB20, 'Calculs Péremption FA'!$CB20-Paramétrage!$D$29, AD195)))</f>
        <v/>
      </c>
      <c r="AQ195" s="428" t="str">
        <f>IF(ISERROR(AC195),"", IF(AC195=0, "", IF(AC195&gt;'Calculs Péremption FA'!$CB20, Paramétrage!$D$29, AE195)))</f>
        <v/>
      </c>
      <c r="AR195" s="1852" t="str">
        <f t="shared" si="38"/>
        <v/>
      </c>
      <c r="AS195" s="1850" t="str">
        <f>IF(ISERROR(AC195),"", IF(AC195=0, "", IF(AC195&gt;'Calculs Péremption FA'!$CB20, 'Calculs Péremption FA'!$BX20-Paramétrage!$D$29*(365/12), AG195)))</f>
        <v/>
      </c>
      <c r="AT195" s="254" t="str">
        <f>IF(ISERROR(AC195),"", IF(AC195=0, "", IF(AC195&gt;'Calculs Péremption FA'!$CB20, CONCATENATE('TRAD-Calculs dispo Données FA'!$B$88, " - ", 'Calculs Péremption FA'!$BY20, "/", 'Calculs Péremption FA'!$BZ20, "/", 'Calculs Péremption FA'!$CA20), AH195)))</f>
        <v/>
      </c>
      <c r="AV195" s="1847" t="e">
        <f>(Calculs!Q275)/Calculs!O166</f>
        <v>#DIV/0!</v>
      </c>
      <c r="AW195" s="1848" t="e">
        <f>AV195-Paramétrage!$D$29</f>
        <v>#DIV/0!</v>
      </c>
      <c r="AX195" s="1849" t="e">
        <f>IF(AV195&lt;Paramétrage!$D$29, AV195, Paramétrage!$D$29)</f>
        <v>#DIV/0!</v>
      </c>
      <c r="AY195" s="1850" t="e">
        <f>Paramétrage!$H$19+AW195*30</f>
        <v>#DIV/0!</v>
      </c>
      <c r="AZ195" s="254" t="e">
        <f>IF(AV195&lt;Paramétrage!$D$29, Paramétrage!$H$19+AX195*(365/12), Paramétrage!$H$19+AV195*(365/12))</f>
        <v>#DIV/0!</v>
      </c>
      <c r="BB195" s="1847" t="str">
        <f>IF(ISERROR(AV195),"", IF(AV195=0, "", IF(AV195&gt;'Calculs Péremption FA'!$CB20, 'Calculs Péremption FA'!$CB20, AV195)))</f>
        <v/>
      </c>
      <c r="BC195" s="1848" t="str">
        <f>IF(ISERROR(AV195),"", IF(AV195=0, "", IF(AV195&gt;'Calculs Péremption FA'!$CB20, 'Calculs Péremption FA'!$CB20-Paramétrage!$D$29, AW195)))</f>
        <v/>
      </c>
      <c r="BD195" s="428" t="str">
        <f>IF(ISERROR(AV195),"", IF(AV195=0, "", IF(AV195&gt;'Calculs Péremption FA'!$CB20, Paramétrage!$D$29, AX195)))</f>
        <v/>
      </c>
      <c r="BE195" s="1850" t="str">
        <f>IF(ISERROR(AV195),"", IF(AV195=0, "", IF(AV195&gt;'Calculs Péremption FA'!$CB20, 'Calculs Péremption FA'!$BX20-Paramétrage!$D$29*(365/12), AY195)))</f>
        <v/>
      </c>
      <c r="BF195" s="254" t="str">
        <f>IF(ISERROR(AV195),"", IF(AV195=0, "", IF(AV195&gt;'Calculs Péremption FA'!$CB20, CONCATENATE('TRAD-Calculs dispo Données FA'!$B$88, " - ", 'Calculs Péremption FA'!$BY20, "/", 'Calculs Péremption FA'!$BZ20, "/", 'Calculs Péremption FA'!$CA20), AZ195)))</f>
        <v/>
      </c>
      <c r="BH195" s="1847" t="e">
        <f t="shared" si="39"/>
        <v>#DIV/0!</v>
      </c>
      <c r="BI195" s="1848" t="e">
        <f>BH195-Paramétrage!$D$29</f>
        <v>#DIV/0!</v>
      </c>
      <c r="BJ195" s="1849" t="e">
        <f>IF(BH195&lt;Paramétrage!$D$29, BH195, Paramétrage!$D$29)</f>
        <v>#DIV/0!</v>
      </c>
      <c r="BK195" s="1849" t="e">
        <f t="shared" si="40"/>
        <v>#DIV/0!</v>
      </c>
      <c r="BL195" s="1850" t="e">
        <f>Paramétrage!$H$19+BI195*(365/12)</f>
        <v>#DIV/0!</v>
      </c>
      <c r="BM195" s="254" t="e">
        <f>IF(BH195&lt;Paramétrage!$D$29, Paramétrage!$H$19+BJ195*(365/12), Paramétrage!$H$19+BH195*(365/12))</f>
        <v>#DIV/0!</v>
      </c>
      <c r="BO195" s="1847" t="str">
        <f>IF(ISERROR(BH195),"", IF(BH195=0, "", IF(BH195&gt;'Calculs Péremption FA'!$CB20, 'Calculs Péremption FA'!$CB20, BH195)))</f>
        <v/>
      </c>
      <c r="BP195" s="1848" t="str">
        <f>IF(ISERROR(BH195),"", IF(BH195=0, "", IF(BH195&gt;'Calculs Péremption FA'!$CB20, 'Calculs Péremption FA'!$CB20-Paramétrage!$D$29, BI195)))</f>
        <v/>
      </c>
      <c r="BQ195" s="428" t="str">
        <f>IF(ISERROR(BH195),"", IF(BH195=0, "", IF(BH195&gt;'Calculs Péremption FA'!$CB20, Paramétrage!$D$29, BJ195)))</f>
        <v/>
      </c>
      <c r="BR195" s="1852" t="str">
        <f t="shared" si="41"/>
        <v/>
      </c>
      <c r="BS195" s="1850" t="str">
        <f>IF(ISERROR(BH195),"", IF(BH195=0, "", IF(BH195&gt;'Calculs Péremption FA'!$CB20, 'Calculs Péremption FA'!$BX20-Paramétrage!$D$29*(365/12), BL195)))</f>
        <v/>
      </c>
      <c r="BT195" s="254" t="str">
        <f>IF(ISERROR(BH195),"", IF(BH195=0, "", IF(BH195&gt;'Calculs Péremption FA'!$CB20, CONCATENATE('TRAD-Calculs dispo Données FA'!$B$88, " - ", 'Calculs Péremption FA'!$BY20, "/", 'Calculs Péremption FA'!$BZ20, "/", 'Calculs Péremption FA'!$CA20), BM195)))</f>
        <v/>
      </c>
      <c r="BV195" s="2061">
        <f>Calculs!$Q275</f>
        <v>505</v>
      </c>
      <c r="BW195" s="2062">
        <f>Calculs!$O166</f>
        <v>0</v>
      </c>
      <c r="BX195" s="2068">
        <f>Calculs!$N220</f>
        <v>0</v>
      </c>
      <c r="BY195" s="2070" t="str">
        <f>IF(AND(BX195=0, BV195=0, BW195=0), 'TRAD-Calculs dispo Données FA'!$B$82, "")</f>
        <v/>
      </c>
      <c r="BZ195" s="2062" t="str">
        <f>IF(AND(BX195=0, BV195&gt;0, BW195=0), CONCATENATE(BV195,'TRAD-Calculs dispo Données FA'!$B$80," =0"), "")</f>
        <v>505B &amp; conso =0</v>
      </c>
      <c r="CA195" s="2063" t="str">
        <f>IF(AND(BV195=0, OR(BW195&gt;=1, BX195&gt;=1)),'TRAD-Calculs dispo Données FA'!$B$81, "")</f>
        <v/>
      </c>
    </row>
    <row r="196" spans="3:79" s="358" customFormat="1" ht="38.25" x14ac:dyDescent="0.2">
      <c r="C196" s="2716"/>
      <c r="D196" s="2717"/>
      <c r="E196" s="2718" t="str">
        <f>'Saisie données stocks'!F33</f>
        <v>[TDF+3TC]+ATV/r</v>
      </c>
      <c r="F196" s="2719" t="str">
        <f>'Saisie données stocks'!G33</f>
        <v>Cp coblister</v>
      </c>
      <c r="G196" s="2719" t="str">
        <f>'Saisie données stocks'!H33</f>
        <v>[300/300]+300/100 mg</v>
      </c>
      <c r="H196" s="2720" t="str">
        <f>CONCATENATE(E196, " - ", G196, " - ", 'TRAD-Calculs dispo Données FA'!$B$79,"/", K196)</f>
        <v>[TDF+3TC]+ATV/r - [300/300]+300/100 mg - B/30</v>
      </c>
      <c r="I196" s="2721">
        <f>Calculs!K116</f>
        <v>1</v>
      </c>
      <c r="J196" s="2722">
        <f t="shared" si="29"/>
        <v>30</v>
      </c>
      <c r="K196" s="2723">
        <f>Calculs!J116</f>
        <v>30</v>
      </c>
      <c r="L196" s="2724">
        <f t="shared" si="30"/>
        <v>1</v>
      </c>
      <c r="M196" s="2725">
        <f>IF('Saisie données stocks'!$O$10='TRAD-Saisie données stocks'!$B$51, 'Calculs Péremption FA'!BU21, Calculs!M276)+IF('Saisie données stocks'!$M$76='TRAD-Saisie données stocks'!$B$51, Calculs!N276, "0")+Calculs!P276</f>
        <v>0</v>
      </c>
      <c r="N196" s="2725">
        <f>Calculs!O167</f>
        <v>0</v>
      </c>
      <c r="O196" s="2725">
        <f>Calculs!N221</f>
        <v>0</v>
      </c>
      <c r="P196"/>
      <c r="Q196" s="233" t="e">
        <f>IF(Calculs!N221&gt;0, (-(Calculs!N221+2*Calculs!O167)+SQRT((Calculs!N221+2*Calculs!O167)*(Calculs!N221+2*Calculs!O167)+8*Calculs!N221*(M196)))/(2*Calculs!N221), ((M196)/Calculs!O167))</f>
        <v>#DIV/0!</v>
      </c>
      <c r="R196" s="1848" t="e">
        <f>Q196-Paramétrage!$D$29</f>
        <v>#DIV/0!</v>
      </c>
      <c r="S196" s="1856" t="e">
        <f>IF(Q196&lt;Paramétrage!$D$29, Q196, Paramétrage!$D$29)</f>
        <v>#DIV/0!</v>
      </c>
      <c r="T196" s="1857" t="e">
        <f>Paramétrage!$H$19+R196*(365/12)</f>
        <v>#DIV/0!</v>
      </c>
      <c r="U196" s="252" t="e">
        <f>IF(Q196&lt;Paramétrage!$D$29, Paramétrage!$H$19+S196*(365/12), Paramétrage!$H$19+Q196*(365/12))</f>
        <v>#DIV/0!</v>
      </c>
      <c r="W196" s="233" t="str">
        <f t="shared" si="31"/>
        <v/>
      </c>
      <c r="X196" s="1858" t="str">
        <f t="shared" si="32"/>
        <v/>
      </c>
      <c r="Y196" s="427" t="str">
        <f t="shared" si="33"/>
        <v/>
      </c>
      <c r="Z196" s="1857" t="str">
        <f t="shared" si="34"/>
        <v/>
      </c>
      <c r="AA196" s="252" t="str">
        <f t="shared" si="35"/>
        <v/>
      </c>
      <c r="AC196" s="233" t="e">
        <f t="shared" si="36"/>
        <v>#DIV/0!</v>
      </c>
      <c r="AD196" s="1858" t="e">
        <f>AC196-Paramétrage!$D$29</f>
        <v>#DIV/0!</v>
      </c>
      <c r="AE196" s="1856" t="e">
        <f>IF(AC196&lt;Paramétrage!$D$29, AC196, Paramétrage!$D$29)</f>
        <v>#DIV/0!</v>
      </c>
      <c r="AF196" s="1856" t="e">
        <f t="shared" si="37"/>
        <v>#DIV/0!</v>
      </c>
      <c r="AG196" s="1857" t="e">
        <f>Paramétrage!$H$19+AD196*30</f>
        <v>#DIV/0!</v>
      </c>
      <c r="AH196" s="252" t="e">
        <f>IF(AC196&lt;Paramétrage!$D$29, Paramétrage!$H$19+AE196*30, Paramétrage!$H$19+AC196*30)</f>
        <v>#DIV/0!</v>
      </c>
      <c r="AI196" s="1857">
        <f>'Saisie données stocks'!O154</f>
        <v>0</v>
      </c>
      <c r="AJ196" s="1859" t="str">
        <f>IF(ISERROR(Q196), "0", IF('Saisie données stocks'!O154="", "0", IF(U139&gt;'Saisie données stocks'!$N$14, IF(AI196&gt;(Paramétrage!$H$19+'Saisie données stocks'!$N$14*(365/12)), (AI196-(Paramétrage!$H$19+'Saisie données stocks'!$N$14*(365/12)))/(365/12), IF(AI196&gt;U139, (AI196-U139)/(365/12), "0")))))</f>
        <v>0</v>
      </c>
      <c r="AK196" s="1858" t="str">
        <f>IF(ISERROR(Q139),"0", IF(Q139=0, "0", IF(Q139&gt;'Calculs Péremption FA'!$CB21, 'Calculs Péremption FA'!$CB21, Q139)))</f>
        <v>0</v>
      </c>
      <c r="AL196" s="1856" t="str">
        <f>IF(ISERROR(AC196),"0", IF(AC196=0, "0", IF(AC196&gt;'Saisie données stocks'!$N$14, 'Saisie données stocks'!$N$14, AC196)))</f>
        <v>0</v>
      </c>
      <c r="AM196" s="252" t="str">
        <f>IF(ISERROR(Q196),AA196,IF(Calculs!P276=0,AA139,(Paramétrage!$H$19+((AJ196+AK196+AL196)*(365/12)))))</f>
        <v/>
      </c>
      <c r="AO196" s="233" t="str">
        <f>IF(ISERROR(AC196),"", IF(AC196=0, "", IF(AC196&gt;'Saisie données stocks'!$N$14, 'Saisie données stocks'!$N$14, AC196)))</f>
        <v/>
      </c>
      <c r="AP196" s="1858" t="str">
        <f>IF(ISERROR(AC196),"", IF(AC196=0, "", IF(AC196&gt;'Calculs Péremption FA'!$CB21, 'Calculs Péremption FA'!$CB21-Paramétrage!$D$29, AD196)))</f>
        <v/>
      </c>
      <c r="AQ196" s="427" t="str">
        <f>IF(ISERROR(AC196),"", IF(AC196=0, "", IF(AC196&gt;'Calculs Péremption FA'!$CB21, Paramétrage!$D$29, AE196)))</f>
        <v/>
      </c>
      <c r="AR196" s="1860" t="str">
        <f t="shared" si="38"/>
        <v/>
      </c>
      <c r="AS196" s="1857" t="str">
        <f>IF(ISERROR(AC196),"", IF(AC196=0, "", IF(AC196&gt;'Calculs Péremption FA'!$CB21, 'Calculs Péremption FA'!$BX21-Paramétrage!$D$29*(365/12), AG196)))</f>
        <v/>
      </c>
      <c r="AT196" s="252" t="str">
        <f>IF(ISERROR(AC196),"", IF(AC196=0, "", IF(AC196&gt;'Calculs Péremption FA'!$CB21, CONCATENATE('TRAD-Calculs dispo Données FA'!$B$88, " - ", 'Calculs Péremption FA'!$BY21, "/", 'Calculs Péremption FA'!$BZ21, "/", 'Calculs Péremption FA'!$CA21), AH196)))</f>
        <v/>
      </c>
      <c r="AV196" s="233" t="e">
        <f>(Calculs!Q276)/Calculs!O167</f>
        <v>#DIV/0!</v>
      </c>
      <c r="AW196" s="1848" t="e">
        <f>AV196-Paramétrage!$D$29</f>
        <v>#DIV/0!</v>
      </c>
      <c r="AX196" s="1856" t="e">
        <f>IF(AV196&lt;Paramétrage!$D$29, AV196, Paramétrage!$D$29)</f>
        <v>#DIV/0!</v>
      </c>
      <c r="AY196" s="1857" t="e">
        <f>Paramétrage!$H$19+AW196*30</f>
        <v>#DIV/0!</v>
      </c>
      <c r="AZ196" s="252" t="e">
        <f>IF(AV196&lt;Paramétrage!$D$29, Paramétrage!$H$19+AX196*(365/12), Paramétrage!$H$19+AV196*(365/12))</f>
        <v>#DIV/0!</v>
      </c>
      <c r="BB196" s="233" t="str">
        <f>IF(ISERROR(AV196),"", IF(AV196=0, "", IF(AV196&gt;'Calculs Péremption FA'!$CB21, 'Calculs Péremption FA'!$CB21, AV196)))</f>
        <v/>
      </c>
      <c r="BC196" s="1858" t="str">
        <f>IF(ISERROR(AV196),"", IF(AV196=0, "", IF(AV196&gt;'Calculs Péremption FA'!$CB21, 'Calculs Péremption FA'!$CB21-Paramétrage!$D$29, AW196)))</f>
        <v/>
      </c>
      <c r="BD196" s="427" t="str">
        <f>IF(ISERROR(AV196),"", IF(AV196=0, "", IF(AV196&gt;'Calculs Péremption FA'!$CB21, Paramétrage!$D$29, AX196)))</f>
        <v/>
      </c>
      <c r="BE196" s="1857" t="str">
        <f>IF(ISERROR(AV196),"", IF(AV196=0, "", IF(AV196&gt;'Calculs Péremption FA'!$CB21, 'Calculs Péremption FA'!$BX21-Paramétrage!$D$29*(365/12), AY196)))</f>
        <v/>
      </c>
      <c r="BF196" s="252" t="str">
        <f>IF(ISERROR(AV196),"", IF(AV196=0, "", IF(AV196&gt;'Calculs Péremption FA'!$CB21, CONCATENATE('TRAD-Calculs dispo Données FA'!$B$88, " - ", 'Calculs Péremption FA'!$BY21, "/", 'Calculs Péremption FA'!$BZ21, "/", 'Calculs Péremption FA'!$CA21), AZ196)))</f>
        <v/>
      </c>
      <c r="BH196" s="233" t="e">
        <f t="shared" si="39"/>
        <v>#DIV/0!</v>
      </c>
      <c r="BI196" s="1858" t="e">
        <f>BH196-Paramétrage!$D$29</f>
        <v>#DIV/0!</v>
      </c>
      <c r="BJ196" s="1856" t="e">
        <f>IF(BH196&lt;Paramétrage!$D$29, BH196, Paramétrage!$D$29)</f>
        <v>#DIV/0!</v>
      </c>
      <c r="BK196" s="1856" t="e">
        <f t="shared" si="40"/>
        <v>#DIV/0!</v>
      </c>
      <c r="BL196" s="1857" t="e">
        <f>Paramétrage!$H$19+BI196*(365/12)</f>
        <v>#DIV/0!</v>
      </c>
      <c r="BM196" s="252" t="e">
        <f>IF(BH196&lt;Paramétrage!$D$29, Paramétrage!$H$19+BJ196*(365/12), Paramétrage!$H$19+BH196*(365/12))</f>
        <v>#DIV/0!</v>
      </c>
      <c r="BO196" s="233" t="str">
        <f>IF(ISERROR(BH196),"", IF(BH196=0, "", IF(BH196&gt;'Calculs Péremption FA'!$CB21, 'Calculs Péremption FA'!$CB21, BH196)))</f>
        <v/>
      </c>
      <c r="BP196" s="1858" t="str">
        <f>IF(ISERROR(BH196),"", IF(BH196=0, "", IF(BH196&gt;'Calculs Péremption FA'!$CB21, 'Calculs Péremption FA'!$CB21-Paramétrage!$D$29, BI196)))</f>
        <v/>
      </c>
      <c r="BQ196" s="427" t="str">
        <f>IF(ISERROR(BH196),"", IF(BH196=0, "", IF(BH196&gt;'Calculs Péremption FA'!$CB21, Paramétrage!$D$29, BJ196)))</f>
        <v/>
      </c>
      <c r="BR196" s="1860" t="str">
        <f t="shared" si="41"/>
        <v/>
      </c>
      <c r="BS196" s="1857" t="str">
        <f>IF(ISERROR(BH196),"", IF(BH196=0, "", IF(BH196&gt;'Calculs Péremption FA'!$CB21, 'Calculs Péremption FA'!$BX21-Paramétrage!$D$29*(365/12), BL196)))</f>
        <v/>
      </c>
      <c r="BT196" s="252" t="str">
        <f>IF(ISERROR(BH196),"", IF(BH196=0, "", IF(BH196&gt;'Calculs Péremption FA'!$CB21, CONCATENATE('TRAD-Calculs dispo Données FA'!$B$88, " - ", 'Calculs Péremption FA'!$BY21, "/", 'Calculs Péremption FA'!$BZ21, "/", 'Calculs Péremption FA'!$CA21), BM196)))</f>
        <v/>
      </c>
      <c r="BV196" s="2061">
        <f>Calculs!$Q276</f>
        <v>0</v>
      </c>
      <c r="BW196" s="2062">
        <f>Calculs!$O167</f>
        <v>0</v>
      </c>
      <c r="BX196" s="2068">
        <f>Calculs!$N221</f>
        <v>0</v>
      </c>
      <c r="BY196" s="2070" t="str">
        <f>IF(AND(BX196=0, BV196=0, BW196=0), 'TRAD-Calculs dispo Données FA'!$B$82, "")</f>
        <v>Stock et besoin nul</v>
      </c>
      <c r="BZ196" s="2062" t="str">
        <f>IF(AND(BX196=0, BV196&gt;0, BW196=0), CONCATENATE(BV196,'TRAD-Calculs dispo Données FA'!$B$80," =0"), "")</f>
        <v/>
      </c>
      <c r="CA196" s="2063" t="str">
        <f>IF(AND(BV196=0, OR(BW196&gt;=1, BX196&gt;=1)),'TRAD-Calculs dispo Données FA'!$B$81, "")</f>
        <v/>
      </c>
    </row>
    <row r="197" spans="3:79" s="358" customFormat="1" ht="25.5" x14ac:dyDescent="0.2">
      <c r="C197" s="2687"/>
      <c r="D197" s="2688" t="s">
        <v>26</v>
      </c>
      <c r="E197" s="2696" t="str">
        <f>'Saisie données stocks'!F34</f>
        <v>EFV</v>
      </c>
      <c r="F197" s="2697" t="str">
        <f>'Saisie données stocks'!G34</f>
        <v>Gél</v>
      </c>
      <c r="G197" s="2697" t="str">
        <f>'Saisie données stocks'!H34</f>
        <v>50 mg</v>
      </c>
      <c r="H197" s="2699" t="str">
        <f>CONCATENATE(E197, " - ", G197, " - ", 'TRAD-Calculs dispo Données FA'!$B$79,"/", K197)</f>
        <v>EFV - 50 mg - B/30</v>
      </c>
      <c r="I197" s="2699">
        <f>Calculs!K117</f>
        <v>0</v>
      </c>
      <c r="J197" s="2699">
        <f t="shared" si="29"/>
        <v>0</v>
      </c>
      <c r="K197" s="2693">
        <f>Calculs!J117</f>
        <v>30</v>
      </c>
      <c r="L197" s="2694">
        <f t="shared" si="30"/>
        <v>0</v>
      </c>
      <c r="M197" s="2695">
        <f>IF('Saisie données stocks'!$O$10='TRAD-Saisie données stocks'!$B$51, 'Calculs Péremption FA'!BU22, Calculs!M277)+IF('Saisie données stocks'!$M$76='TRAD-Saisie données stocks'!$B$51, Calculs!N277, "0")+Calculs!P277</f>
        <v>0</v>
      </c>
      <c r="N197" s="2695">
        <f>Calculs!O168</f>
        <v>0</v>
      </c>
      <c r="O197" s="2695">
        <f>Calculs!N222</f>
        <v>0</v>
      </c>
      <c r="P197"/>
      <c r="Q197" s="231" t="e">
        <f>IF(Calculs!N222&gt;0, (-(Calculs!N222+2*Calculs!O168)+SQRT((Calculs!N222+2*Calculs!O168)*(Calculs!N222+2*Calculs!O168)+8*Calculs!N222*(M197)))/(2*Calculs!N222), ((M197)/Calculs!O168))</f>
        <v>#DIV/0!</v>
      </c>
      <c r="R197" s="574" t="e">
        <f>Q197-Paramétrage!$D$29</f>
        <v>#DIV/0!</v>
      </c>
      <c r="S197" s="241" t="e">
        <f>IF(Q197&lt;Paramétrage!$D$29, Q197, Paramétrage!$D$29)</f>
        <v>#DIV/0!</v>
      </c>
      <c r="T197" s="247" t="e">
        <f>Paramétrage!$H$19+R197*(365/12)</f>
        <v>#DIV/0!</v>
      </c>
      <c r="U197" s="248" t="e">
        <f>IF(Q197&lt;Paramétrage!$D$29, Paramétrage!$H$19+S197*(365/12), Paramétrage!$H$19+Q197*(365/12))</f>
        <v>#DIV/0!</v>
      </c>
      <c r="W197" s="231" t="str">
        <f t="shared" si="31"/>
        <v/>
      </c>
      <c r="X197" s="236" t="str">
        <f t="shared" si="32"/>
        <v/>
      </c>
      <c r="Y197" s="425" t="str">
        <f t="shared" si="33"/>
        <v/>
      </c>
      <c r="Z197" s="247" t="str">
        <f t="shared" si="34"/>
        <v/>
      </c>
      <c r="AA197" s="248" t="str">
        <f t="shared" si="35"/>
        <v/>
      </c>
      <c r="AC197" s="231" t="e">
        <f t="shared" si="36"/>
        <v>#DIV/0!</v>
      </c>
      <c r="AD197" s="236" t="e">
        <f>AC197-Paramétrage!$D$29</f>
        <v>#DIV/0!</v>
      </c>
      <c r="AE197" s="241" t="e">
        <f>IF(AC197&lt;Paramétrage!$D$29, AC197, Paramétrage!$D$29)</f>
        <v>#DIV/0!</v>
      </c>
      <c r="AF197" s="241" t="e">
        <f t="shared" si="37"/>
        <v>#DIV/0!</v>
      </c>
      <c r="AG197" s="247" t="e">
        <f>Paramétrage!$H$19+AD197*30</f>
        <v>#DIV/0!</v>
      </c>
      <c r="AH197" s="248" t="e">
        <f>IF(AC197&lt;Paramétrage!$D$29, Paramétrage!$H$19+AE197*30, Paramétrage!$H$19+AC197*30)</f>
        <v>#DIV/0!</v>
      </c>
      <c r="AI197" s="247">
        <f>'Saisie données stocks'!O155</f>
        <v>0</v>
      </c>
      <c r="AJ197" s="1832" t="str">
        <f>IF(ISERROR(Q197), "0", IF('Saisie données stocks'!O155="", "0", IF(U140&gt;'Saisie données stocks'!$N$14, IF(AI197&gt;(Paramétrage!$H$19+'Saisie données stocks'!$N$14*(365/12)), (AI197-(Paramétrage!$H$19+'Saisie données stocks'!$N$14*(365/12)))/(365/12), IF(AI197&gt;U140, (AI197-U140)/(365/12), "0")))))</f>
        <v>0</v>
      </c>
      <c r="AK197" s="236" t="str">
        <f>IF(ISERROR(Q140),"0", IF(Q140=0, "0", IF(Q140&gt;'Calculs Péremption FA'!$CB22, 'Calculs Péremption FA'!$CB22, Q140)))</f>
        <v>0</v>
      </c>
      <c r="AL197" s="241" t="str">
        <f>IF(ISERROR(AC197),"0", IF(AC197=0, "0", IF(AC197&gt;'Saisie données stocks'!$N$14, 'Saisie données stocks'!$N$14, AC197)))</f>
        <v>0</v>
      </c>
      <c r="AM197" s="248" t="str">
        <f>IF(ISERROR(Q197),AA197,IF(Calculs!P277=0,AA140,(Paramétrage!$H$19+((AJ197+AK197+AL197)*(365/12)))))</f>
        <v/>
      </c>
      <c r="AO197" s="231" t="str">
        <f>IF(ISERROR(AC197),"", IF(AC197=0, "", IF(AC197&gt;'Saisie données stocks'!$N$14, 'Saisie données stocks'!$N$14, AC197)))</f>
        <v/>
      </c>
      <c r="AP197" s="236" t="str">
        <f>IF(ISERROR(AC197),"", IF(AC197=0, "", IF(AC197&gt;'Calculs Péremption FA'!$CB22, 'Calculs Péremption FA'!$CB22-Paramétrage!$D$29, AD197)))</f>
        <v/>
      </c>
      <c r="AQ197" s="425" t="str">
        <f>IF(ISERROR(AC197),"", IF(AC197=0, "", IF(AC197&gt;'Calculs Péremption FA'!$CB22, Paramétrage!$D$29, AE197)))</f>
        <v/>
      </c>
      <c r="AR197" s="1833" t="str">
        <f t="shared" si="38"/>
        <v/>
      </c>
      <c r="AS197" s="247" t="str">
        <f>IF(ISERROR(AC197),"", IF(AC197=0, "", IF(AC197&gt;'Calculs Péremption FA'!$CB22, 'Calculs Péremption FA'!$BX22-Paramétrage!$D$29*(365/12), AG197)))</f>
        <v/>
      </c>
      <c r="AT197" s="248" t="str">
        <f>IF(ISERROR(AC197),"", IF(AC197=0, "", IF(AC197&gt;'Calculs Péremption FA'!$CB22, CONCATENATE('TRAD-Calculs dispo Données FA'!$B$88, " - ", 'Calculs Péremption FA'!$BY22, "/", 'Calculs Péremption FA'!$BZ22, "/", 'Calculs Péremption FA'!$CA22), AH197)))</f>
        <v/>
      </c>
      <c r="AV197" s="231" t="e">
        <f>(Calculs!Q277)/Calculs!O168</f>
        <v>#DIV/0!</v>
      </c>
      <c r="AW197" s="574" t="e">
        <f>AV197-Paramétrage!$D$29</f>
        <v>#DIV/0!</v>
      </c>
      <c r="AX197" s="241" t="e">
        <f>IF(AV197&lt;Paramétrage!$D$29, AV197, Paramétrage!$D$29)</f>
        <v>#DIV/0!</v>
      </c>
      <c r="AY197" s="247" t="e">
        <f>Paramétrage!$H$19+AW197*30</f>
        <v>#DIV/0!</v>
      </c>
      <c r="AZ197" s="248" t="e">
        <f>IF(AV197&lt;Paramétrage!$D$29, Paramétrage!$H$19+AX197*(365/12), Paramétrage!$H$19+AV197*(365/12))</f>
        <v>#DIV/0!</v>
      </c>
      <c r="BB197" s="231" t="str">
        <f>IF(ISERROR(AV197),"", IF(AV197=0, "", IF(AV197&gt;'Calculs Péremption FA'!$CB22, 'Calculs Péremption FA'!$CB22, AV197)))</f>
        <v/>
      </c>
      <c r="BC197" s="236" t="str">
        <f>IF(ISERROR(AV197),"", IF(AV197=0, "", IF(AV197&gt;'Calculs Péremption FA'!$CB22, 'Calculs Péremption FA'!$CB22-Paramétrage!$D$29, AW197)))</f>
        <v/>
      </c>
      <c r="BD197" s="425" t="str">
        <f>IF(ISERROR(AV197),"", IF(AV197=0, "", IF(AV197&gt;'Calculs Péremption FA'!$CB22, Paramétrage!$D$29, AX197)))</f>
        <v/>
      </c>
      <c r="BE197" s="247" t="str">
        <f>IF(ISERROR(AV197),"", IF(AV197=0, "", IF(AV197&gt;'Calculs Péremption FA'!$CB22, 'Calculs Péremption FA'!$BX22-Paramétrage!$D$29*(365/12), AY197)))</f>
        <v/>
      </c>
      <c r="BF197" s="248" t="str">
        <f>IF(ISERROR(AV197),"", IF(AV197=0, "", IF(AV197&gt;'Calculs Péremption FA'!$CB22, CONCATENATE('TRAD-Calculs dispo Données FA'!$B$88, " - ", 'Calculs Péremption FA'!$BY22, "/", 'Calculs Péremption FA'!$BZ22, "/", 'Calculs Péremption FA'!$CA22), AZ197)))</f>
        <v/>
      </c>
      <c r="BH197" s="231" t="e">
        <f t="shared" si="39"/>
        <v>#DIV/0!</v>
      </c>
      <c r="BI197" s="236" t="e">
        <f>BH197-Paramétrage!$D$29</f>
        <v>#DIV/0!</v>
      </c>
      <c r="BJ197" s="241" t="e">
        <f>IF(BH197&lt;Paramétrage!$D$29, BH197, Paramétrage!$D$29)</f>
        <v>#DIV/0!</v>
      </c>
      <c r="BK197" s="241" t="e">
        <f t="shared" si="40"/>
        <v>#DIV/0!</v>
      </c>
      <c r="BL197" s="247" t="e">
        <f>Paramétrage!$H$19+BI197*(365/12)</f>
        <v>#DIV/0!</v>
      </c>
      <c r="BM197" s="248" t="e">
        <f>IF(BH197&lt;Paramétrage!$D$29, Paramétrage!$H$19+BJ197*(365/12), Paramétrage!$H$19+BH197*(365/12))</f>
        <v>#DIV/0!</v>
      </c>
      <c r="BO197" s="231" t="str">
        <f>IF(ISERROR(BH197),"", IF(BH197=0, "", IF(BH197&gt;'Calculs Péremption FA'!$CB22, 'Calculs Péremption FA'!$CB22, BH197)))</f>
        <v/>
      </c>
      <c r="BP197" s="236" t="str">
        <f>IF(ISERROR(BH197),"", IF(BH197=0, "", IF(BH197&gt;'Calculs Péremption FA'!$CB22, 'Calculs Péremption FA'!$CB22-Paramétrage!$D$29, BI197)))</f>
        <v/>
      </c>
      <c r="BQ197" s="425" t="str">
        <f>IF(ISERROR(BH197),"", IF(BH197=0, "", IF(BH197&gt;'Calculs Péremption FA'!$CB22, Paramétrage!$D$29, BJ197)))</f>
        <v/>
      </c>
      <c r="BR197" s="1833" t="str">
        <f t="shared" si="41"/>
        <v/>
      </c>
      <c r="BS197" s="247" t="str">
        <f>IF(ISERROR(BH197),"", IF(BH197=0, "", IF(BH197&gt;'Calculs Péremption FA'!$CB22, 'Calculs Péremption FA'!$BX22-Paramétrage!$D$29*(365/12), BL197)))</f>
        <v/>
      </c>
      <c r="BT197" s="248" t="str">
        <f>IF(ISERROR(BH197),"", IF(BH197=0, "", IF(BH197&gt;'Calculs Péremption FA'!$CB22, CONCATENATE('TRAD-Calculs dispo Données FA'!$B$88, " - ", 'Calculs Péremption FA'!$BY22, "/", 'Calculs Péremption FA'!$BZ22, "/", 'Calculs Péremption FA'!$CA22), BM197)))</f>
        <v/>
      </c>
      <c r="BV197" s="2061">
        <f>Calculs!$Q277</f>
        <v>0</v>
      </c>
      <c r="BW197" s="2062">
        <f>Calculs!$O168</f>
        <v>0</v>
      </c>
      <c r="BX197" s="2068">
        <f>Calculs!$N222</f>
        <v>0</v>
      </c>
      <c r="BY197" s="2070" t="str">
        <f>IF(AND(BX197=0, BV197=0, BW197=0), 'TRAD-Calculs dispo Données FA'!$B$82, "")</f>
        <v>Stock et besoin nul</v>
      </c>
      <c r="BZ197" s="2062" t="str">
        <f>IF(AND(BX197=0, BV197&gt;0, BW197=0), CONCATENATE(BV197,'TRAD-Calculs dispo Données FA'!$B$80," =0"), "")</f>
        <v/>
      </c>
      <c r="CA197" s="2063" t="str">
        <f>IF(AND(BV197=0, OR(BW197&gt;=1, BX197&gt;=1)),'TRAD-Calculs dispo Données FA'!$B$81, "")</f>
        <v/>
      </c>
    </row>
    <row r="198" spans="3:79" s="358" customFormat="1" ht="25.5" x14ac:dyDescent="0.2">
      <c r="C198" s="2687"/>
      <c r="D198" s="2688"/>
      <c r="E198" s="2700" t="str">
        <f>'Saisie données stocks'!F35</f>
        <v>EFV</v>
      </c>
      <c r="F198" s="2701" t="str">
        <f>'Saisie données stocks'!G35</f>
        <v>Gél</v>
      </c>
      <c r="G198" s="2701" t="str">
        <f>'Saisie données stocks'!H35</f>
        <v>200 mg</v>
      </c>
      <c r="H198" s="2699" t="str">
        <f>CONCATENATE(E198, " - ", G198, " - ", 'TRAD-Calculs dispo Données FA'!$B$79,"/", K198)</f>
        <v>EFV - 200 mg - B/90</v>
      </c>
      <c r="I198" s="2699">
        <f>Calculs!K118</f>
        <v>0</v>
      </c>
      <c r="J198" s="2703">
        <f t="shared" si="29"/>
        <v>0</v>
      </c>
      <c r="K198" s="2704">
        <f>Calculs!J118</f>
        <v>90</v>
      </c>
      <c r="L198" s="2705">
        <f t="shared" si="30"/>
        <v>0</v>
      </c>
      <c r="M198" s="2706">
        <f>IF('Saisie données stocks'!$O$10='TRAD-Saisie données stocks'!$B$51, 'Calculs Péremption FA'!BU23, Calculs!M278)+IF('Saisie données stocks'!$M$76='TRAD-Saisie données stocks'!$B$51, Calculs!N278, "0")+Calculs!P278</f>
        <v>108</v>
      </c>
      <c r="N198" s="2706">
        <f>Calculs!O169</f>
        <v>0</v>
      </c>
      <c r="O198" s="2706">
        <f>Calculs!N223</f>
        <v>0</v>
      </c>
      <c r="P198"/>
      <c r="Q198" s="1836" t="e">
        <f>IF(Calculs!N223&gt;0, (-(Calculs!N223+2*Calculs!O169)+SQRT((Calculs!N223+2*Calculs!O169)*(Calculs!N223+2*Calculs!O169)+8*Calculs!N223*(M198)))/(2*Calculs!N223), ((M198)/Calculs!O169))</f>
        <v>#DIV/0!</v>
      </c>
      <c r="R198" s="1721" t="e">
        <f>Q198-Paramétrage!$D$29</f>
        <v>#DIV/0!</v>
      </c>
      <c r="S198" s="1837" t="e">
        <f>IF(Q198&lt;Paramétrage!$D$29, Q198, Paramétrage!$D$29)</f>
        <v>#DIV/0!</v>
      </c>
      <c r="T198" s="1838" t="e">
        <f>Paramétrage!$H$19+R198*(365/12)</f>
        <v>#DIV/0!</v>
      </c>
      <c r="U198" s="1839" t="e">
        <f>IF(Q198&lt;Paramétrage!$D$29, Paramétrage!$H$19+S198*(365/12), Paramétrage!$H$19+Q198*(365/12))</f>
        <v>#DIV/0!</v>
      </c>
      <c r="W198" s="1836" t="str">
        <f t="shared" si="31"/>
        <v/>
      </c>
      <c r="X198" s="1721" t="str">
        <f t="shared" si="32"/>
        <v/>
      </c>
      <c r="Y198" s="1840" t="str">
        <f t="shared" si="33"/>
        <v/>
      </c>
      <c r="Z198" s="1838" t="str">
        <f t="shared" si="34"/>
        <v/>
      </c>
      <c r="AA198" s="1839" t="str">
        <f t="shared" si="35"/>
        <v>110B &amp; conso =0</v>
      </c>
      <c r="AC198" s="1836" t="e">
        <f t="shared" si="36"/>
        <v>#DIV/0!</v>
      </c>
      <c r="AD198" s="1721" t="e">
        <f>AC198-Paramétrage!$D$29</f>
        <v>#DIV/0!</v>
      </c>
      <c r="AE198" s="1837" t="e">
        <f>IF(AC198&lt;Paramétrage!$D$29, AC198, Paramétrage!$D$29)</f>
        <v>#DIV/0!</v>
      </c>
      <c r="AF198" s="1837" t="e">
        <f t="shared" si="37"/>
        <v>#DIV/0!</v>
      </c>
      <c r="AG198" s="1838" t="e">
        <f>Paramétrage!$H$19+AD198*30</f>
        <v>#DIV/0!</v>
      </c>
      <c r="AH198" s="1839" t="e">
        <f>IF(AC198&lt;Paramétrage!$D$29, Paramétrage!$H$19+AE198*30, Paramétrage!$H$19+AC198*30)</f>
        <v>#DIV/0!</v>
      </c>
      <c r="AI198" s="1838">
        <f>'Saisie données stocks'!O156</f>
        <v>41944</v>
      </c>
      <c r="AJ198" s="1841" t="str">
        <f>IF(ISERROR(Q198), "0", IF('Saisie données stocks'!O156="", "0", IF(U141&gt;'Saisie données stocks'!$N$14, IF(AI198&gt;(Paramétrage!$H$19+'Saisie données stocks'!$N$14*(365/12)), (AI198-(Paramétrage!$H$19+'Saisie données stocks'!$N$14*(365/12)))/(365/12), IF(AI198&gt;U141, (AI198-U141)/(365/12), "0")))))</f>
        <v>0</v>
      </c>
      <c r="AK198" s="1721" t="str">
        <f>IF(ISERROR(Q141),"0", IF(Q141=0, "0", IF(Q141&gt;'Calculs Péremption FA'!$CB23, 'Calculs Péremption FA'!$CB23, Q141)))</f>
        <v>0</v>
      </c>
      <c r="AL198" s="1837" t="str">
        <f>IF(ISERROR(AC198),"0", IF(AC198=0, "0", IF(AC198&gt;'Saisie données stocks'!$N$14, 'Saisie données stocks'!$N$14, AC198)))</f>
        <v>0</v>
      </c>
      <c r="AM198" s="1839" t="str">
        <f>IF(ISERROR(Q198),AA198,IF(Calculs!P278=0,AA141,(Paramétrage!$H$19+((AJ198+AK198+AL198)*(365/12)))))</f>
        <v>110B &amp; conso =0</v>
      </c>
      <c r="AO198" s="1836" t="str">
        <f>IF(ISERROR(AC198),"", IF(AC198=0, "", IF(AC198&gt;'Saisie données stocks'!$N$14, 'Saisie données stocks'!$N$14, AC198)))</f>
        <v/>
      </c>
      <c r="AP198" s="1721" t="str">
        <f>IF(ISERROR(AC198),"", IF(AC198=0, "", IF(AC198&gt;'Calculs Péremption FA'!$CB23, 'Calculs Péremption FA'!$CB23-Paramétrage!$D$29, AD198)))</f>
        <v/>
      </c>
      <c r="AQ198" s="1840" t="str">
        <f>IF(ISERROR(AC198),"", IF(AC198=0, "", IF(AC198&gt;'Calculs Péremption FA'!$CB23, Paramétrage!$D$29, AE198)))</f>
        <v/>
      </c>
      <c r="AR198" s="1842" t="str">
        <f t="shared" si="38"/>
        <v/>
      </c>
      <c r="AS198" s="1838" t="str">
        <f>IF(ISERROR(AC198),"", IF(AC198=0, "", IF(AC198&gt;'Calculs Péremption FA'!$CB23, 'Calculs Péremption FA'!$BX23-Paramétrage!$D$29*(365/12), AG198)))</f>
        <v/>
      </c>
      <c r="AT198" s="1839" t="str">
        <f>IF(ISERROR(AC198),"", IF(AC198=0, "", IF(AC198&gt;'Calculs Péremption FA'!$CB23, CONCATENATE('TRAD-Calculs dispo Données FA'!$B$88, " - ", 'Calculs Péremption FA'!$BY23, "/", 'Calculs Péremption FA'!$BZ23, "/", 'Calculs Péremption FA'!$CA23), AH198)))</f>
        <v/>
      </c>
      <c r="AV198" s="1836" t="e">
        <f>(Calculs!Q278)/Calculs!O169</f>
        <v>#DIV/0!</v>
      </c>
      <c r="AW198" s="1721" t="e">
        <f>AV198-Paramétrage!$D$29</f>
        <v>#DIV/0!</v>
      </c>
      <c r="AX198" s="1837" t="e">
        <f>IF(AV198&lt;Paramétrage!$D$29, AV198, Paramétrage!$D$29)</f>
        <v>#DIV/0!</v>
      </c>
      <c r="AY198" s="1838" t="e">
        <f>Paramétrage!$H$19+AW198*30</f>
        <v>#DIV/0!</v>
      </c>
      <c r="AZ198" s="1839" t="e">
        <f>IF(AV198&lt;Paramétrage!$D$29, Paramétrage!$H$19+AX198*(365/12), Paramétrage!$H$19+AV198*(365/12))</f>
        <v>#DIV/0!</v>
      </c>
      <c r="BB198" s="1836" t="str">
        <f>IF(ISERROR(AV198),"", IF(AV198=0, "", IF(AV198&gt;'Calculs Péremption FA'!$CB23, 'Calculs Péremption FA'!$CB23, AV198)))</f>
        <v/>
      </c>
      <c r="BC198" s="1721" t="str">
        <f>IF(ISERROR(AV198),"", IF(AV198=0, "", IF(AV198&gt;'Calculs Péremption FA'!$CB23, 'Calculs Péremption FA'!$CB23-Paramétrage!$D$29, AW198)))</f>
        <v/>
      </c>
      <c r="BD198" s="1840" t="str">
        <f>IF(ISERROR(AV198),"", IF(AV198=0, "", IF(AV198&gt;'Calculs Péremption FA'!$CB23, Paramétrage!$D$29, AX198)))</f>
        <v/>
      </c>
      <c r="BE198" s="1838" t="str">
        <f>IF(ISERROR(AV198),"", IF(AV198=0, "", IF(AV198&gt;'Calculs Péremption FA'!$CB23, 'Calculs Péremption FA'!$BX23-Paramétrage!$D$29*(365/12), AY198)))</f>
        <v/>
      </c>
      <c r="BF198" s="1839" t="str">
        <f>IF(ISERROR(AV198),"", IF(AV198=0, "", IF(AV198&gt;'Calculs Péremption FA'!$CB23, CONCATENATE('TRAD-Calculs dispo Données FA'!$B$88, " - ", 'Calculs Péremption FA'!$BY23, "/", 'Calculs Péremption FA'!$BZ23, "/", 'Calculs Péremption FA'!$CA23), AZ198)))</f>
        <v/>
      </c>
      <c r="BH198" s="1836" t="e">
        <f t="shared" si="39"/>
        <v>#DIV/0!</v>
      </c>
      <c r="BI198" s="1721" t="e">
        <f>BH198-Paramétrage!$D$29</f>
        <v>#DIV/0!</v>
      </c>
      <c r="BJ198" s="1837" t="e">
        <f>IF(BH198&lt;Paramétrage!$D$29, BH198, Paramétrage!$D$29)</f>
        <v>#DIV/0!</v>
      </c>
      <c r="BK198" s="1837" t="e">
        <f t="shared" si="40"/>
        <v>#DIV/0!</v>
      </c>
      <c r="BL198" s="1838" t="e">
        <f>Paramétrage!$H$19+BI198*(365/12)</f>
        <v>#DIV/0!</v>
      </c>
      <c r="BM198" s="1839" t="e">
        <f>IF(BH198&lt;Paramétrage!$D$29, Paramétrage!$H$19+BJ198*(365/12), Paramétrage!$H$19+BH198*(365/12))</f>
        <v>#DIV/0!</v>
      </c>
      <c r="BO198" s="1836" t="str">
        <f>IF(ISERROR(BH198),"", IF(BH198=0, "", IF(BH198&gt;'Calculs Péremption FA'!$CB23, 'Calculs Péremption FA'!$CB23, BH198)))</f>
        <v/>
      </c>
      <c r="BP198" s="1721" t="str">
        <f>IF(ISERROR(BH198),"", IF(BH198=0, "", IF(BH198&gt;'Calculs Péremption FA'!$CB23, 'Calculs Péremption FA'!$CB23-Paramétrage!$D$29, BI198)))</f>
        <v/>
      </c>
      <c r="BQ198" s="1840" t="str">
        <f>IF(ISERROR(BH198),"", IF(BH198=0, "", IF(BH198&gt;'Calculs Péremption FA'!$CB23, Paramétrage!$D$29, BJ198)))</f>
        <v/>
      </c>
      <c r="BR198" s="1842" t="str">
        <f t="shared" si="41"/>
        <v/>
      </c>
      <c r="BS198" s="1838" t="str">
        <f>IF(ISERROR(BH198),"", IF(BH198=0, "", IF(BH198&gt;'Calculs Péremption FA'!$CB23, 'Calculs Péremption FA'!$BX23-Paramétrage!$D$29*(365/12), BL198)))</f>
        <v/>
      </c>
      <c r="BT198" s="1839" t="str">
        <f>IF(ISERROR(BH198),"", IF(BH198=0, "", IF(BH198&gt;'Calculs Péremption FA'!$CB23, CONCATENATE('TRAD-Calculs dispo Données FA'!$B$88, " - ", 'Calculs Péremption FA'!$BY23, "/", 'Calculs Péremption FA'!$BZ23, "/", 'Calculs Péremption FA'!$CA23), BM198)))</f>
        <v/>
      </c>
      <c r="BV198" s="2061">
        <f>Calculs!$Q278</f>
        <v>110</v>
      </c>
      <c r="BW198" s="2062">
        <f>Calculs!$O169</f>
        <v>0</v>
      </c>
      <c r="BX198" s="2068">
        <f>Calculs!$N223</f>
        <v>0</v>
      </c>
      <c r="BY198" s="2070" t="str">
        <f>IF(AND(BX198=0, BV198=0, BW198=0), 'TRAD-Calculs dispo Données FA'!$B$82, "")</f>
        <v/>
      </c>
      <c r="BZ198" s="2062" t="str">
        <f>IF(AND(BX198=0, BV198&gt;0, BW198=0), CONCATENATE(BV198,'TRAD-Calculs dispo Données FA'!$B$80," =0"), "")</f>
        <v>110B &amp; conso =0</v>
      </c>
      <c r="CA198" s="2063" t="str">
        <f>IF(AND(BV198=0, OR(BW198&gt;=1, BX198&gt;=1)),'TRAD-Calculs dispo Données FA'!$B$81, "")</f>
        <v/>
      </c>
    </row>
    <row r="199" spans="3:79" s="358" customFormat="1" ht="25.5" x14ac:dyDescent="0.2">
      <c r="C199" s="2687"/>
      <c r="D199" s="2688"/>
      <c r="E199" s="2708" t="str">
        <f>'Saisie données stocks'!F36</f>
        <v>EFV</v>
      </c>
      <c r="F199" s="2709" t="str">
        <f>'Saisie données stocks'!G36</f>
        <v>Cp</v>
      </c>
      <c r="G199" s="2709" t="str">
        <f>'Saisie données stocks'!H36</f>
        <v>600 mg</v>
      </c>
      <c r="H199" s="2699" t="str">
        <f>CONCATENATE(E199, " - ", G199, " - ", 'TRAD-Calculs dispo Données FA'!$B$79,"/", K199)</f>
        <v>EFV - 600 mg - B/30</v>
      </c>
      <c r="I199" s="2699">
        <f>Calculs!K119</f>
        <v>1</v>
      </c>
      <c r="J199" s="2711">
        <f t="shared" si="29"/>
        <v>30</v>
      </c>
      <c r="K199" s="2713">
        <f>Calculs!J119</f>
        <v>30</v>
      </c>
      <c r="L199" s="2714">
        <f t="shared" si="30"/>
        <v>1</v>
      </c>
      <c r="M199" s="2715">
        <f>IF('Saisie données stocks'!$O$10='TRAD-Saisie données stocks'!$B$51, 'Calculs Péremption FA'!BU24, Calculs!M279)+IF('Saisie données stocks'!$M$76='TRAD-Saisie données stocks'!$B$51, Calculs!N279, "0")+Calculs!P279</f>
        <v>2210</v>
      </c>
      <c r="N199" s="2715">
        <f>Calculs!O170</f>
        <v>0</v>
      </c>
      <c r="O199" s="2715">
        <f>Calculs!N224</f>
        <v>0</v>
      </c>
      <c r="P199"/>
      <c r="Q199" s="1847" t="e">
        <f>IF(Calculs!N224&gt;0, (-(Calculs!N224+2*Calculs!O170)+SQRT((Calculs!N224+2*Calculs!O170)*(Calculs!N224+2*Calculs!O170)+8*Calculs!N224*(M199)))/(2*Calculs!N224), ((M199)/Calculs!O170))</f>
        <v>#DIV/0!</v>
      </c>
      <c r="R199" s="1721" t="e">
        <f>Q199-Paramétrage!$D$29</f>
        <v>#DIV/0!</v>
      </c>
      <c r="S199" s="1849" t="e">
        <f>IF(Q199&lt;Paramétrage!$D$29, Q199, Paramétrage!$D$29)</f>
        <v>#DIV/0!</v>
      </c>
      <c r="T199" s="1850" t="e">
        <f>Paramétrage!$H$19+R199*(365/12)</f>
        <v>#DIV/0!</v>
      </c>
      <c r="U199" s="254" t="e">
        <f>IF(Q199&lt;Paramétrage!$D$29, Paramétrage!$H$19+S199*(365/12), Paramétrage!$H$19+Q199*(365/12))</f>
        <v>#DIV/0!</v>
      </c>
      <c r="W199" s="1847" t="str">
        <f t="shared" si="31"/>
        <v/>
      </c>
      <c r="X199" s="1848" t="str">
        <f t="shared" si="32"/>
        <v/>
      </c>
      <c r="Y199" s="428" t="str">
        <f t="shared" si="33"/>
        <v/>
      </c>
      <c r="Z199" s="1850" t="str">
        <f t="shared" si="34"/>
        <v/>
      </c>
      <c r="AA199" s="254" t="str">
        <f t="shared" si="35"/>
        <v>11566B &amp; conso =0</v>
      </c>
      <c r="AC199" s="1847" t="e">
        <f t="shared" si="36"/>
        <v>#DIV/0!</v>
      </c>
      <c r="AD199" s="1848" t="e">
        <f>AC199-Paramétrage!$D$29</f>
        <v>#DIV/0!</v>
      </c>
      <c r="AE199" s="1849" t="e">
        <f>IF(AC199&lt;Paramétrage!$D$29, AC199, Paramétrage!$D$29)</f>
        <v>#DIV/0!</v>
      </c>
      <c r="AF199" s="1849" t="e">
        <f t="shared" si="37"/>
        <v>#DIV/0!</v>
      </c>
      <c r="AG199" s="1850" t="e">
        <f>Paramétrage!$H$19+AD199*30</f>
        <v>#DIV/0!</v>
      </c>
      <c r="AH199" s="254" t="e">
        <f>IF(AC199&lt;Paramétrage!$D$29, Paramétrage!$H$19+AE199*30, Paramétrage!$H$19+AC199*30)</f>
        <v>#DIV/0!</v>
      </c>
      <c r="AI199" s="1850">
        <f>'Saisie données stocks'!O157</f>
        <v>0</v>
      </c>
      <c r="AJ199" s="1851" t="str">
        <f>IF(ISERROR(Q199), "0", IF('Saisie données stocks'!O157="", "0", IF(U142&gt;'Saisie données stocks'!$N$14, IF(AI199&gt;(Paramétrage!$H$19+'Saisie données stocks'!$N$14*(365/12)), (AI199-(Paramétrage!$H$19+'Saisie données stocks'!$N$14*(365/12)))/(365/12), IF(AI199&gt;U142, (AI199-U142)/(365/12), "0")))))</f>
        <v>0</v>
      </c>
      <c r="AK199" s="1848" t="str">
        <f>IF(ISERROR(Q142),"0", IF(Q142=0, "0", IF(Q142&gt;'Calculs Péremption FA'!$CB24, 'Calculs Péremption FA'!$CB24, Q142)))</f>
        <v>0</v>
      </c>
      <c r="AL199" s="1849" t="str">
        <f>IF(ISERROR(AC199),"0", IF(AC199=0, "0", IF(AC199&gt;'Saisie données stocks'!$N$14, 'Saisie données stocks'!$N$14, AC199)))</f>
        <v>0</v>
      </c>
      <c r="AM199" s="254" t="str">
        <f>IF(ISERROR(Q199),AA199,IF(Calculs!P279=0,AA142,(Paramétrage!$H$19+((AJ199+AK199+AL199)*(365/12)))))</f>
        <v>11566B &amp; conso =0</v>
      </c>
      <c r="AO199" s="1847" t="str">
        <f>IF(ISERROR(AC199),"", IF(AC199=0, "", IF(AC199&gt;'Saisie données stocks'!$N$14, 'Saisie données stocks'!$N$14, AC199)))</f>
        <v/>
      </c>
      <c r="AP199" s="1848" t="str">
        <f>IF(ISERROR(AC199),"", IF(AC199=0, "", IF(AC199&gt;'Calculs Péremption FA'!$CB24, 'Calculs Péremption FA'!$CB24-Paramétrage!$D$29, AD199)))</f>
        <v/>
      </c>
      <c r="AQ199" s="428" t="str">
        <f>IF(ISERROR(AC199),"", IF(AC199=0, "", IF(AC199&gt;'Calculs Péremption FA'!$CB24, Paramétrage!$D$29, AE199)))</f>
        <v/>
      </c>
      <c r="AR199" s="1852" t="str">
        <f t="shared" si="38"/>
        <v/>
      </c>
      <c r="AS199" s="1850" t="str">
        <f>IF(ISERROR(AC199),"", IF(AC199=0, "", IF(AC199&gt;'Calculs Péremption FA'!$CB24, 'Calculs Péremption FA'!$BX24-Paramétrage!$D$29*(365/12), AG199)))</f>
        <v/>
      </c>
      <c r="AT199" s="254" t="str">
        <f>IF(ISERROR(AC199),"", IF(AC199=0, "", IF(AC199&gt;'Calculs Péremption FA'!$CB24, CONCATENATE('TRAD-Calculs dispo Données FA'!$B$88, " - ", 'Calculs Péremption FA'!$BY24, "/", 'Calculs Péremption FA'!$BZ24, "/", 'Calculs Péremption FA'!$CA24), AH199)))</f>
        <v/>
      </c>
      <c r="AV199" s="1847" t="e">
        <f>(Calculs!Q279)/Calculs!O170</f>
        <v>#DIV/0!</v>
      </c>
      <c r="AW199" s="1721" t="e">
        <f>AV199-Paramétrage!$D$29</f>
        <v>#DIV/0!</v>
      </c>
      <c r="AX199" s="1849" t="e">
        <f>IF(AV199&lt;Paramétrage!$D$29, AV199, Paramétrage!$D$29)</f>
        <v>#DIV/0!</v>
      </c>
      <c r="AY199" s="1850" t="e">
        <f>Paramétrage!$H$19+AW199*30</f>
        <v>#DIV/0!</v>
      </c>
      <c r="AZ199" s="254" t="e">
        <f>IF(AV199&lt;Paramétrage!$D$29, Paramétrage!$H$19+AX199*(365/12), Paramétrage!$H$19+AV199*(365/12))</f>
        <v>#DIV/0!</v>
      </c>
      <c r="BB199" s="1847" t="str">
        <f>IF(ISERROR(AV199),"", IF(AV199=0, "", IF(AV199&gt;'Calculs Péremption FA'!$CB24, 'Calculs Péremption FA'!$CB24, AV199)))</f>
        <v/>
      </c>
      <c r="BC199" s="1848" t="str">
        <f>IF(ISERROR(AV199),"", IF(AV199=0, "", IF(AV199&gt;'Calculs Péremption FA'!$CB24, 'Calculs Péremption FA'!$CB24-Paramétrage!$D$29, AW199)))</f>
        <v/>
      </c>
      <c r="BD199" s="428" t="str">
        <f>IF(ISERROR(AV199),"", IF(AV199=0, "", IF(AV199&gt;'Calculs Péremption FA'!$CB24, Paramétrage!$D$29, AX199)))</f>
        <v/>
      </c>
      <c r="BE199" s="1850" t="str">
        <f>IF(ISERROR(AV199),"", IF(AV199=0, "", IF(AV199&gt;'Calculs Péremption FA'!$CB24, 'Calculs Péremption FA'!$BX24-Paramétrage!$D$29*(365/12), AY199)))</f>
        <v/>
      </c>
      <c r="BF199" s="254" t="str">
        <f>IF(ISERROR(AV199),"", IF(AV199=0, "", IF(AV199&gt;'Calculs Péremption FA'!$CB24, CONCATENATE('TRAD-Calculs dispo Données FA'!$B$88, " - ", 'Calculs Péremption FA'!$BY24, "/", 'Calculs Péremption FA'!$BZ24, "/", 'Calculs Péremption FA'!$CA24), AZ199)))</f>
        <v/>
      </c>
      <c r="BH199" s="1847" t="e">
        <f t="shared" si="39"/>
        <v>#DIV/0!</v>
      </c>
      <c r="BI199" s="1848" t="e">
        <f>BH199-Paramétrage!$D$29</f>
        <v>#DIV/0!</v>
      </c>
      <c r="BJ199" s="1849" t="e">
        <f>IF(BH199&lt;Paramétrage!$D$29, BH199, Paramétrage!$D$29)</f>
        <v>#DIV/0!</v>
      </c>
      <c r="BK199" s="1849" t="e">
        <f t="shared" si="40"/>
        <v>#DIV/0!</v>
      </c>
      <c r="BL199" s="1850" t="e">
        <f>Paramétrage!$H$19+BI199*(365/12)</f>
        <v>#DIV/0!</v>
      </c>
      <c r="BM199" s="254" t="e">
        <f>IF(BH199&lt;Paramétrage!$D$29, Paramétrage!$H$19+BJ199*(365/12), Paramétrage!$H$19+BH199*(365/12))</f>
        <v>#DIV/0!</v>
      </c>
      <c r="BO199" s="1847" t="str">
        <f>IF(ISERROR(BH199),"", IF(BH199=0, "", IF(BH199&gt;'Calculs Péremption FA'!$CB24, 'Calculs Péremption FA'!$CB24, BH199)))</f>
        <v/>
      </c>
      <c r="BP199" s="1848" t="str">
        <f>IF(ISERROR(BH199),"", IF(BH199=0, "", IF(BH199&gt;'Calculs Péremption FA'!$CB24, 'Calculs Péremption FA'!$CB24-Paramétrage!$D$29, BI199)))</f>
        <v/>
      </c>
      <c r="BQ199" s="428" t="str">
        <f>IF(ISERROR(BH199),"", IF(BH199=0, "", IF(BH199&gt;'Calculs Péremption FA'!$CB24, Paramétrage!$D$29, BJ199)))</f>
        <v/>
      </c>
      <c r="BR199" s="1852" t="str">
        <f t="shared" si="41"/>
        <v/>
      </c>
      <c r="BS199" s="1850" t="str">
        <f>IF(ISERROR(BH199),"", IF(BH199=0, "", IF(BH199&gt;'Calculs Péremption FA'!$CB24, 'Calculs Péremption FA'!$BX24-Paramétrage!$D$29*(365/12), BL199)))</f>
        <v/>
      </c>
      <c r="BT199" s="254" t="str">
        <f>IF(ISERROR(BH199),"", IF(BH199=0, "", IF(BH199&gt;'Calculs Péremption FA'!$CB24, CONCATENATE('TRAD-Calculs dispo Données FA'!$B$88, " - ", 'Calculs Péremption FA'!$BY24, "/", 'Calculs Péremption FA'!$BZ24, "/", 'Calculs Péremption FA'!$CA24), BM199)))</f>
        <v/>
      </c>
      <c r="BV199" s="2061">
        <f>Calculs!$Q279</f>
        <v>11566</v>
      </c>
      <c r="BW199" s="2062">
        <f>Calculs!$O170</f>
        <v>0</v>
      </c>
      <c r="BX199" s="2068">
        <f>Calculs!$N224</f>
        <v>0</v>
      </c>
      <c r="BY199" s="2070" t="str">
        <f>IF(AND(BX199=0, BV199=0, BW199=0), 'TRAD-Calculs dispo Données FA'!$B$82, "")</f>
        <v/>
      </c>
      <c r="BZ199" s="2062" t="str">
        <f>IF(AND(BX199=0, BV199&gt;0, BW199=0), CONCATENATE(BV199,'TRAD-Calculs dispo Données FA'!$B$80," =0"), "")</f>
        <v>11566B &amp; conso =0</v>
      </c>
      <c r="CA199" s="2063" t="str">
        <f>IF(AND(BV199=0, OR(BW199&gt;=1, BX199&gt;=1)),'TRAD-Calculs dispo Données FA'!$B$81, "")</f>
        <v/>
      </c>
    </row>
    <row r="200" spans="3:79" s="358" customFormat="1" ht="25.5" x14ac:dyDescent="0.2">
      <c r="C200" s="2687"/>
      <c r="D200" s="2688"/>
      <c r="E200" s="2708" t="str">
        <f>'Saisie données stocks'!F37</f>
        <v>ETV</v>
      </c>
      <c r="F200" s="2709" t="str">
        <f>'Saisie données stocks'!G37</f>
        <v>Cp</v>
      </c>
      <c r="G200" s="2709" t="str">
        <f>'Saisie données stocks'!H37</f>
        <v>200 mg</v>
      </c>
      <c r="H200" s="2710" t="str">
        <f>CONCATENATE(E200, " - ", G200, " - ", 'TRAD-Calculs dispo Données FA'!$B$79,"/", K200)</f>
        <v>ETV - 200 mg - B/60</v>
      </c>
      <c r="I200" s="2710">
        <f>Calculs!K120</f>
        <v>2</v>
      </c>
      <c r="J200" s="2711">
        <f t="shared" si="29"/>
        <v>60</v>
      </c>
      <c r="K200" s="2713">
        <f>Calculs!J120</f>
        <v>60</v>
      </c>
      <c r="L200" s="2714">
        <f t="shared" si="30"/>
        <v>1</v>
      </c>
      <c r="M200" s="2715">
        <f>IF('Saisie données stocks'!$O$10='TRAD-Saisie données stocks'!$B$51, 'Calculs Péremption FA'!BU25, Calculs!M280)+IF('Saisie données stocks'!$M$76='TRAD-Saisie données stocks'!$B$51, Calculs!N280, "0")+Calculs!P280</f>
        <v>0</v>
      </c>
      <c r="N200" s="2715">
        <f>Calculs!O171</f>
        <v>0</v>
      </c>
      <c r="O200" s="2715">
        <f>Calculs!N225</f>
        <v>0</v>
      </c>
      <c r="P200"/>
      <c r="Q200" s="1847" t="e">
        <f>IF(Calculs!N225&gt;0, (-(Calculs!N225+2*Calculs!O171)+SQRT((Calculs!N225+2*Calculs!O171)*(Calculs!N225+2*Calculs!O171)+8*Calculs!N225*(M200)))/(2*Calculs!N225), ((M200)/Calculs!O171))</f>
        <v>#DIV/0!</v>
      </c>
      <c r="R200" s="1848" t="e">
        <f>Q200-Paramétrage!$D$29</f>
        <v>#DIV/0!</v>
      </c>
      <c r="S200" s="1849" t="e">
        <f>IF(Q200&lt;Paramétrage!$D$29, Q200, Paramétrage!$D$29)</f>
        <v>#DIV/0!</v>
      </c>
      <c r="T200" s="1850" t="e">
        <f>Paramétrage!$H$19+R200*(365/12)</f>
        <v>#DIV/0!</v>
      </c>
      <c r="U200" s="254" t="e">
        <f>IF(Q200&lt;Paramétrage!$D$29, Paramétrage!$H$19+S200*(365/12), Paramétrage!$H$19+Q200*(365/12))</f>
        <v>#DIV/0!</v>
      </c>
      <c r="W200" s="1847" t="str">
        <f t="shared" si="31"/>
        <v/>
      </c>
      <c r="X200" s="1848" t="str">
        <f t="shared" si="32"/>
        <v/>
      </c>
      <c r="Y200" s="428" t="str">
        <f t="shared" si="33"/>
        <v/>
      </c>
      <c r="Z200" s="1850" t="str">
        <f t="shared" si="34"/>
        <v/>
      </c>
      <c r="AA200" s="254" t="str">
        <f t="shared" si="35"/>
        <v/>
      </c>
      <c r="AC200" s="1847" t="e">
        <f t="shared" si="36"/>
        <v>#DIV/0!</v>
      </c>
      <c r="AD200" s="1848" t="e">
        <f>AC200-Paramétrage!$D$29</f>
        <v>#DIV/0!</v>
      </c>
      <c r="AE200" s="1849" t="e">
        <f>IF(AC200&lt;Paramétrage!$D$29, AC200, Paramétrage!$D$29)</f>
        <v>#DIV/0!</v>
      </c>
      <c r="AF200" s="1849" t="e">
        <f t="shared" si="37"/>
        <v>#DIV/0!</v>
      </c>
      <c r="AG200" s="1850" t="e">
        <f>Paramétrage!$H$19+AD200*30</f>
        <v>#DIV/0!</v>
      </c>
      <c r="AH200" s="254" t="e">
        <f>IF(AC200&lt;Paramétrage!$D$29, Paramétrage!$H$19+AE200*30, Paramétrage!$H$19+AC200*30)</f>
        <v>#DIV/0!</v>
      </c>
      <c r="AI200" s="1850">
        <f>'Saisie données stocks'!O158</f>
        <v>0</v>
      </c>
      <c r="AJ200" s="1851" t="str">
        <f>IF(ISERROR(Q200), "0", IF('Saisie données stocks'!O158="", "0", IF(U143&gt;'Saisie données stocks'!$N$14, IF(AI200&gt;(Paramétrage!$H$19+'Saisie données stocks'!$N$14*(365/12)), (AI200-(Paramétrage!$H$19+'Saisie données stocks'!$N$14*(365/12)))/(365/12), IF(AI200&gt;U143, (AI200-U143)/(365/12), "0")))))</f>
        <v>0</v>
      </c>
      <c r="AK200" s="1848" t="str">
        <f>IF(ISERROR(Q143),"0", IF(Q143=0, "0", IF(Q143&gt;'Calculs Péremption FA'!$CB25, 'Calculs Péremption FA'!$CB25, Q143)))</f>
        <v>0</v>
      </c>
      <c r="AL200" s="1849" t="str">
        <f>IF(ISERROR(AC200),"0", IF(AC200=0, "0", IF(AC200&gt;'Saisie données stocks'!$N$14, 'Saisie données stocks'!$N$14, AC200)))</f>
        <v>0</v>
      </c>
      <c r="AM200" s="254" t="str">
        <f>IF(ISERROR(Q200),AA200,IF(Calculs!P280=0,AA143,(Paramétrage!$H$19+((AJ200+AK200+AL200)*(365/12)))))</f>
        <v/>
      </c>
      <c r="AO200" s="1847" t="str">
        <f>IF(ISERROR(AC200),"", IF(AC200=0, "", IF(AC200&gt;'Saisie données stocks'!$N$14, 'Saisie données stocks'!$N$14, AC200)))</f>
        <v/>
      </c>
      <c r="AP200" s="1848" t="str">
        <f>IF(ISERROR(AC200),"", IF(AC200=0, "", IF(AC200&gt;'Calculs Péremption FA'!$CB25, 'Calculs Péremption FA'!$CB25-Paramétrage!$D$29, AD200)))</f>
        <v/>
      </c>
      <c r="AQ200" s="428" t="str">
        <f>IF(ISERROR(AC200),"", IF(AC200=0, "", IF(AC200&gt;'Calculs Péremption FA'!$CB25, Paramétrage!$D$29, AE200)))</f>
        <v/>
      </c>
      <c r="AR200" s="1852" t="str">
        <f t="shared" si="38"/>
        <v/>
      </c>
      <c r="AS200" s="1850" t="str">
        <f>IF(ISERROR(AC200),"", IF(AC200=0, "", IF(AC200&gt;'Calculs Péremption FA'!$CB25, 'Calculs Péremption FA'!$BX25-Paramétrage!$D$29*(365/12), AG200)))</f>
        <v/>
      </c>
      <c r="AT200" s="254" t="str">
        <f>IF(ISERROR(AC200),"", IF(AC200=0, "", IF(AC200&gt;'Calculs Péremption FA'!$CB25, CONCATENATE('TRAD-Calculs dispo Données FA'!$B$88, " - ", 'Calculs Péremption FA'!$BY25, "/", 'Calculs Péremption FA'!$BZ25, "/", 'Calculs Péremption FA'!$CA25), AH200)))</f>
        <v/>
      </c>
      <c r="AV200" s="1847" t="e">
        <f>(Calculs!Q280)/Calculs!O171</f>
        <v>#DIV/0!</v>
      </c>
      <c r="AW200" s="1848" t="e">
        <f>AV200-Paramétrage!$D$29</f>
        <v>#DIV/0!</v>
      </c>
      <c r="AX200" s="1849" t="e">
        <f>IF(AV200&lt;Paramétrage!$D$29, AV200, Paramétrage!$D$29)</f>
        <v>#DIV/0!</v>
      </c>
      <c r="AY200" s="1850" t="e">
        <f>Paramétrage!$H$19+AW200*30</f>
        <v>#DIV/0!</v>
      </c>
      <c r="AZ200" s="254" t="e">
        <f>IF(AV200&lt;Paramétrage!$D$29, Paramétrage!$H$19+AX200*(365/12), Paramétrage!$H$19+AV200*(365/12))</f>
        <v>#DIV/0!</v>
      </c>
      <c r="BB200" s="1847" t="str">
        <f>IF(ISERROR(AV200),"", IF(AV200=0, "", IF(AV200&gt;'Calculs Péremption FA'!$CB25, 'Calculs Péremption FA'!$CB25, AV200)))</f>
        <v/>
      </c>
      <c r="BC200" s="1848" t="str">
        <f>IF(ISERROR(AV200),"", IF(AV200=0, "", IF(AV200&gt;'Calculs Péremption FA'!$CB25, 'Calculs Péremption FA'!$CB25-Paramétrage!$D$29, AW200)))</f>
        <v/>
      </c>
      <c r="BD200" s="428" t="str">
        <f>IF(ISERROR(AV200),"", IF(AV200=0, "", IF(AV200&gt;'Calculs Péremption FA'!$CB25, Paramétrage!$D$29, AX200)))</f>
        <v/>
      </c>
      <c r="BE200" s="1850" t="str">
        <f>IF(ISERROR(AV200),"", IF(AV200=0, "", IF(AV200&gt;'Calculs Péremption FA'!$CB25, 'Calculs Péremption FA'!$BX25-Paramétrage!$D$29*(365/12), AY200)))</f>
        <v/>
      </c>
      <c r="BF200" s="254" t="str">
        <f>IF(ISERROR(AV200),"", IF(AV200=0, "", IF(AV200&gt;'Calculs Péremption FA'!$CB25, CONCATENATE('TRAD-Calculs dispo Données FA'!$B$88, " - ", 'Calculs Péremption FA'!$BY25, "/", 'Calculs Péremption FA'!$BZ25, "/", 'Calculs Péremption FA'!$CA25), AZ200)))</f>
        <v/>
      </c>
      <c r="BH200" s="1847" t="e">
        <f t="shared" si="39"/>
        <v>#DIV/0!</v>
      </c>
      <c r="BI200" s="1848" t="e">
        <f>BH200-Paramétrage!$D$29</f>
        <v>#DIV/0!</v>
      </c>
      <c r="BJ200" s="1849" t="e">
        <f>IF(BH200&lt;Paramétrage!$D$29, BH200, Paramétrage!$D$29)</f>
        <v>#DIV/0!</v>
      </c>
      <c r="BK200" s="1849" t="e">
        <f t="shared" si="40"/>
        <v>#DIV/0!</v>
      </c>
      <c r="BL200" s="1850" t="e">
        <f>Paramétrage!$H$19+BI200*(365/12)</f>
        <v>#DIV/0!</v>
      </c>
      <c r="BM200" s="254" t="e">
        <f>IF(BH200&lt;Paramétrage!$D$29, Paramétrage!$H$19+BJ200*(365/12), Paramétrage!$H$19+BH200*(365/12))</f>
        <v>#DIV/0!</v>
      </c>
      <c r="BO200" s="1847" t="str">
        <f>IF(ISERROR(BH200),"", IF(BH200=0, "", IF(BH200&gt;'Calculs Péremption FA'!$CB25, 'Calculs Péremption FA'!$CB25, BH200)))</f>
        <v/>
      </c>
      <c r="BP200" s="1848" t="str">
        <f>IF(ISERROR(BH200),"", IF(BH200=0, "", IF(BH200&gt;'Calculs Péremption FA'!$CB25, 'Calculs Péremption FA'!$CB25-Paramétrage!$D$29, BI200)))</f>
        <v/>
      </c>
      <c r="BQ200" s="428" t="str">
        <f>IF(ISERROR(BH200),"", IF(BH200=0, "", IF(BH200&gt;'Calculs Péremption FA'!$CB25, Paramétrage!$D$29, BJ200)))</f>
        <v/>
      </c>
      <c r="BR200" s="1852" t="str">
        <f t="shared" si="41"/>
        <v/>
      </c>
      <c r="BS200" s="1850" t="str">
        <f>IF(ISERROR(BH200),"", IF(BH200=0, "", IF(BH200&gt;'Calculs Péremption FA'!$CB25, 'Calculs Péremption FA'!$BX25-Paramétrage!$D$29*(365/12), BL200)))</f>
        <v/>
      </c>
      <c r="BT200" s="254" t="str">
        <f>IF(ISERROR(BH200),"", IF(BH200=0, "", IF(BH200&gt;'Calculs Péremption FA'!$CB25, CONCATENATE('TRAD-Calculs dispo Données FA'!$B$88, " - ", 'Calculs Péremption FA'!$BY25, "/", 'Calculs Péremption FA'!$BZ25, "/", 'Calculs Péremption FA'!$CA25), BM200)))</f>
        <v/>
      </c>
      <c r="BV200" s="2061">
        <f>Calculs!$Q280</f>
        <v>0</v>
      </c>
      <c r="BW200" s="2062">
        <f>Calculs!$O171</f>
        <v>0</v>
      </c>
      <c r="BX200" s="2068">
        <f>Calculs!$N225</f>
        <v>0</v>
      </c>
      <c r="BY200" s="2070" t="str">
        <f>IF(AND(BX200=0, BV200=0, BW200=0), 'TRAD-Calculs dispo Données FA'!$B$82, "")</f>
        <v>Stock et besoin nul</v>
      </c>
      <c r="BZ200" s="2062" t="str">
        <f>IF(AND(BX200=0, BV200&gt;0, BW200=0), CONCATENATE(BV200,'TRAD-Calculs dispo Données FA'!$B$80," =0"), "")</f>
        <v/>
      </c>
      <c r="CA200" s="2063" t="str">
        <f>IF(AND(BV200=0, OR(BW200&gt;=1, BX200&gt;=1)),'TRAD-Calculs dispo Données FA'!$B$81, "")</f>
        <v/>
      </c>
    </row>
    <row r="201" spans="3:79" s="358" customFormat="1" ht="25.5" x14ac:dyDescent="0.2">
      <c r="C201" s="2687"/>
      <c r="D201" s="2688"/>
      <c r="E201" s="2708" t="str">
        <f>'Saisie données stocks'!F38</f>
        <v>NVP</v>
      </c>
      <c r="F201" s="2709" t="str">
        <f>'Saisie données stocks'!G38</f>
        <v>Cp</v>
      </c>
      <c r="G201" s="2709" t="str">
        <f>'Saisie données stocks'!H38</f>
        <v>200 mg</v>
      </c>
      <c r="H201" s="2710" t="str">
        <f>CONCATENATE(E201, " - ", G201, " - ", 'TRAD-Calculs dispo Données FA'!$B$79,"/", K201)</f>
        <v>NVP - 200 mg - B/60</v>
      </c>
      <c r="I201" s="2710">
        <f>Calculs!K121</f>
        <v>2</v>
      </c>
      <c r="J201" s="2711">
        <f t="shared" si="29"/>
        <v>60</v>
      </c>
      <c r="K201" s="2713">
        <f>Calculs!J121</f>
        <v>60</v>
      </c>
      <c r="L201" s="2714">
        <f t="shared" si="30"/>
        <v>1</v>
      </c>
      <c r="M201" s="2706">
        <f>IF('Saisie données stocks'!$O$10='TRAD-Saisie données stocks'!$B$51, 'Calculs Péremption FA'!BU26, Calculs!M281)+IF('Saisie données stocks'!$M$76='TRAD-Saisie données stocks'!$B$51, Calculs!N281, "0")+Calculs!P281</f>
        <v>0</v>
      </c>
      <c r="N201" s="2715">
        <f>Calculs!O172</f>
        <v>0</v>
      </c>
      <c r="O201" s="2715">
        <f>Calculs!N226</f>
        <v>0</v>
      </c>
      <c r="P201"/>
      <c r="Q201" s="1847" t="e">
        <f>IF(Calculs!N226&gt;0, (-(Calculs!N226+2*Calculs!O172)+SQRT((Calculs!N226+2*Calculs!O172)*(Calculs!N226+2*Calculs!O172)+8*Calculs!N226*(M201)))/(2*Calculs!N226), ((M201)/Calculs!O172))</f>
        <v>#DIV/0!</v>
      </c>
      <c r="R201" s="1848" t="e">
        <f>Q201-Paramétrage!$D$29</f>
        <v>#DIV/0!</v>
      </c>
      <c r="S201" s="1849" t="e">
        <f>IF(Q201&lt;Paramétrage!$D$29, Q201, Paramétrage!$D$29)</f>
        <v>#DIV/0!</v>
      </c>
      <c r="T201" s="1850" t="e">
        <f>Paramétrage!$H$19+R201*(365/12)</f>
        <v>#DIV/0!</v>
      </c>
      <c r="U201" s="254" t="e">
        <f>IF(Q201&lt;Paramétrage!$D$29, Paramétrage!$H$19+S201*(365/12), Paramétrage!$H$19+Q201*(365/12))</f>
        <v>#DIV/0!</v>
      </c>
      <c r="W201" s="1847" t="str">
        <f t="shared" si="31"/>
        <v/>
      </c>
      <c r="X201" s="1848" t="str">
        <f t="shared" si="32"/>
        <v/>
      </c>
      <c r="Y201" s="428" t="str">
        <f t="shared" si="33"/>
        <v/>
      </c>
      <c r="Z201" s="1850" t="str">
        <f t="shared" si="34"/>
        <v/>
      </c>
      <c r="AA201" s="254" t="str">
        <f t="shared" si="35"/>
        <v/>
      </c>
      <c r="AC201" s="1847" t="e">
        <f t="shared" si="36"/>
        <v>#DIV/0!</v>
      </c>
      <c r="AD201" s="1848" t="e">
        <f>AC201-Paramétrage!$D$29</f>
        <v>#DIV/0!</v>
      </c>
      <c r="AE201" s="1849" t="e">
        <f>IF(AC201&lt;Paramétrage!$D$29, AC201, Paramétrage!$D$29)</f>
        <v>#DIV/0!</v>
      </c>
      <c r="AF201" s="1849" t="e">
        <f t="shared" si="37"/>
        <v>#DIV/0!</v>
      </c>
      <c r="AG201" s="1850" t="e">
        <f>Paramétrage!$H$19+AD201*30</f>
        <v>#DIV/0!</v>
      </c>
      <c r="AH201" s="254" t="e">
        <f>IF(AC201&lt;Paramétrage!$D$29, Paramétrage!$H$19+AE201*30, Paramétrage!$H$19+AC201*30)</f>
        <v>#DIV/0!</v>
      </c>
      <c r="AI201" s="1850">
        <f>'Saisie données stocks'!O159</f>
        <v>0</v>
      </c>
      <c r="AJ201" s="1851" t="str">
        <f>IF(ISERROR(Q201), "0", IF('Saisie données stocks'!O159="", "0", IF(U144&gt;'Saisie données stocks'!$N$14, IF(AI201&gt;(Paramétrage!$H$19+'Saisie données stocks'!$N$14*(365/12)), (AI201-(Paramétrage!$H$19+'Saisie données stocks'!$N$14*(365/12)))/(365/12), IF(AI201&gt;U144, (AI201-U144)/(365/12), "0")))))</f>
        <v>0</v>
      </c>
      <c r="AK201" s="1848" t="str">
        <f>IF(ISERROR(Q144),"0", IF(Q144=0, "0", IF(Q144&gt;'Calculs Péremption FA'!$CB26, 'Calculs Péremption FA'!$CB26, Q144)))</f>
        <v>0</v>
      </c>
      <c r="AL201" s="1849" t="str">
        <f>IF(ISERROR(AC201),"0", IF(AC201=0, "0", IF(AC201&gt;'Saisie données stocks'!$N$14, 'Saisie données stocks'!$N$14, AC201)))</f>
        <v>0</v>
      </c>
      <c r="AM201" s="254" t="str">
        <f>IF(ISERROR(Q201),AA201,IF(Calculs!P281=0,AA144,(Paramétrage!$H$19+((AJ201+AK201+AL201)*(365/12)))))</f>
        <v/>
      </c>
      <c r="AO201" s="1847" t="str">
        <f>IF(ISERROR(AC201),"", IF(AC201=0, "", IF(AC201&gt;'Saisie données stocks'!$N$14, 'Saisie données stocks'!$N$14, AC201)))</f>
        <v/>
      </c>
      <c r="AP201" s="1848" t="str">
        <f>IF(ISERROR(AC201),"", IF(AC201=0, "", IF(AC201&gt;'Calculs Péremption FA'!$CB26, 'Calculs Péremption FA'!$CB26-Paramétrage!$D$29, AD201)))</f>
        <v/>
      </c>
      <c r="AQ201" s="428" t="str">
        <f>IF(ISERROR(AC201),"", IF(AC201=0, "", IF(AC201&gt;'Calculs Péremption FA'!$CB26, Paramétrage!$D$29, AE201)))</f>
        <v/>
      </c>
      <c r="AR201" s="1852" t="str">
        <f t="shared" si="38"/>
        <v/>
      </c>
      <c r="AS201" s="1850" t="str">
        <f>IF(ISERROR(AC201),"", IF(AC201=0, "", IF(AC201&gt;'Calculs Péremption FA'!$CB26, 'Calculs Péremption FA'!$BX26-Paramétrage!$D$29*(365/12), AG201)))</f>
        <v/>
      </c>
      <c r="AT201" s="254" t="str">
        <f>IF(ISERROR(AC201),"", IF(AC201=0, "", IF(AC201&gt;'Calculs Péremption FA'!$CB26, CONCATENATE('TRAD-Calculs dispo Données FA'!$B$88, " - ", 'Calculs Péremption FA'!$BY26, "/", 'Calculs Péremption FA'!$BZ26, "/", 'Calculs Péremption FA'!$CA26), AH201)))</f>
        <v/>
      </c>
      <c r="AV201" s="1847" t="e">
        <f>(Calculs!Q281)/Calculs!O172</f>
        <v>#DIV/0!</v>
      </c>
      <c r="AW201" s="1848" t="e">
        <f>AV201-Paramétrage!$D$29</f>
        <v>#DIV/0!</v>
      </c>
      <c r="AX201" s="1849" t="e">
        <f>IF(AV201&lt;Paramétrage!$D$29, AV201, Paramétrage!$D$29)</f>
        <v>#DIV/0!</v>
      </c>
      <c r="AY201" s="1850" t="e">
        <f>Paramétrage!$H$19+AW201*30</f>
        <v>#DIV/0!</v>
      </c>
      <c r="AZ201" s="254" t="e">
        <f>IF(AV201&lt;Paramétrage!$D$29, Paramétrage!$H$19+AX201*(365/12), Paramétrage!$H$19+AV201*(365/12))</f>
        <v>#DIV/0!</v>
      </c>
      <c r="BB201" s="1847" t="str">
        <f>IF(ISERROR(AV201),"", IF(AV201=0, "", IF(AV201&gt;'Calculs Péremption FA'!$CB26, 'Calculs Péremption FA'!$CB26, AV201)))</f>
        <v/>
      </c>
      <c r="BC201" s="1848" t="str">
        <f>IF(ISERROR(AV201),"", IF(AV201=0, "", IF(AV201&gt;'Calculs Péremption FA'!$CB26, 'Calculs Péremption FA'!$CB26-Paramétrage!$D$29, AW201)))</f>
        <v/>
      </c>
      <c r="BD201" s="428" t="str">
        <f>IF(ISERROR(AV201),"", IF(AV201=0, "", IF(AV201&gt;'Calculs Péremption FA'!$CB26, Paramétrage!$D$29, AX201)))</f>
        <v/>
      </c>
      <c r="BE201" s="1850" t="str">
        <f>IF(ISERROR(AV201),"", IF(AV201=0, "", IF(AV201&gt;'Calculs Péremption FA'!$CB26, 'Calculs Péremption FA'!$BX26-Paramétrage!$D$29*(365/12), AY201)))</f>
        <v/>
      </c>
      <c r="BF201" s="254" t="str">
        <f>IF(ISERROR(AV201),"", IF(AV201=0, "", IF(AV201&gt;'Calculs Péremption FA'!$CB26, CONCATENATE('TRAD-Calculs dispo Données FA'!$B$88, " - ", 'Calculs Péremption FA'!$BY26, "/", 'Calculs Péremption FA'!$BZ26, "/", 'Calculs Péremption FA'!$CA26), AZ201)))</f>
        <v/>
      </c>
      <c r="BH201" s="1847" t="e">
        <f t="shared" si="39"/>
        <v>#DIV/0!</v>
      </c>
      <c r="BI201" s="1848" t="e">
        <f>BH201-Paramétrage!$D$29</f>
        <v>#DIV/0!</v>
      </c>
      <c r="BJ201" s="1849" t="e">
        <f>IF(BH201&lt;Paramétrage!$D$29, BH201, Paramétrage!$D$29)</f>
        <v>#DIV/0!</v>
      </c>
      <c r="BK201" s="1849" t="e">
        <f t="shared" si="40"/>
        <v>#DIV/0!</v>
      </c>
      <c r="BL201" s="1850" t="e">
        <f>Paramétrage!$H$19+BI201*(365/12)</f>
        <v>#DIV/0!</v>
      </c>
      <c r="BM201" s="254" t="e">
        <f>IF(BH201&lt;Paramétrage!$D$29, Paramétrage!$H$19+BJ201*(365/12), Paramétrage!$H$19+BH201*(365/12))</f>
        <v>#DIV/0!</v>
      </c>
      <c r="BO201" s="1847" t="str">
        <f>IF(ISERROR(BH201),"", IF(BH201=0, "", IF(BH201&gt;'Calculs Péremption FA'!$CB26, 'Calculs Péremption FA'!$CB26, BH201)))</f>
        <v/>
      </c>
      <c r="BP201" s="1848" t="str">
        <f>IF(ISERROR(BH201),"", IF(BH201=0, "", IF(BH201&gt;'Calculs Péremption FA'!$CB26, 'Calculs Péremption FA'!$CB26-Paramétrage!$D$29, BI201)))</f>
        <v/>
      </c>
      <c r="BQ201" s="428" t="str">
        <f>IF(ISERROR(BH201),"", IF(BH201=0, "", IF(BH201&gt;'Calculs Péremption FA'!$CB26, Paramétrage!$D$29, BJ201)))</f>
        <v/>
      </c>
      <c r="BR201" s="1852" t="str">
        <f t="shared" si="41"/>
        <v/>
      </c>
      <c r="BS201" s="1850" t="str">
        <f>IF(ISERROR(BH201),"", IF(BH201=0, "", IF(BH201&gt;'Calculs Péremption FA'!$CB26, 'Calculs Péremption FA'!$BX26-Paramétrage!$D$29*(365/12), BL201)))</f>
        <v/>
      </c>
      <c r="BT201" s="254" t="str">
        <f>IF(ISERROR(BH201),"", IF(BH201=0, "", IF(BH201&gt;'Calculs Péremption FA'!$CB26, CONCATENATE('TRAD-Calculs dispo Données FA'!$B$88, " - ", 'Calculs Péremption FA'!$BY26, "/", 'Calculs Péremption FA'!$BZ26, "/", 'Calculs Péremption FA'!$CA26), BM201)))</f>
        <v/>
      </c>
      <c r="BV201" s="2061">
        <f>Calculs!$Q281</f>
        <v>0</v>
      </c>
      <c r="BW201" s="2062">
        <f>Calculs!$O172</f>
        <v>0</v>
      </c>
      <c r="BX201" s="2068">
        <f>Calculs!$N226</f>
        <v>0</v>
      </c>
      <c r="BY201" s="2070" t="str">
        <f>IF(AND(BX201=0, BV201=0, BW201=0), 'TRAD-Calculs dispo Données FA'!$B$82, "")</f>
        <v>Stock et besoin nul</v>
      </c>
      <c r="BZ201" s="2062" t="str">
        <f>IF(AND(BX201=0, BV201&gt;0, BW201=0), CONCATENATE(BV201,'TRAD-Calculs dispo Données FA'!$B$80," =0"), "")</f>
        <v/>
      </c>
      <c r="CA201" s="2063" t="str">
        <f>IF(AND(BV201=0, OR(BW201&gt;=1, BX201&gt;=1)),'TRAD-Calculs dispo Données FA'!$B$81, "")</f>
        <v/>
      </c>
    </row>
    <row r="202" spans="3:79" s="358" customFormat="1" ht="25.5" x14ac:dyDescent="0.2">
      <c r="C202" s="2716"/>
      <c r="D202" s="2717"/>
      <c r="E202" s="2718" t="str">
        <f>'Saisie données stocks'!F39</f>
        <v>RPV</v>
      </c>
      <c r="F202" s="2719" t="str">
        <f>'Saisie données stocks'!G39</f>
        <v>Cp</v>
      </c>
      <c r="G202" s="2719" t="str">
        <f>'Saisie données stocks'!H39</f>
        <v>25 mg</v>
      </c>
      <c r="H202" s="2720" t="str">
        <f>CONCATENATE(E202, " - ", G202, " - ", 'TRAD-Calculs dispo Données FA'!$B$79,"/", K202)</f>
        <v>RPV - 25 mg - B/30</v>
      </c>
      <c r="I202" s="2720">
        <f>Calculs!K122</f>
        <v>1</v>
      </c>
      <c r="J202" s="2721">
        <f t="shared" si="29"/>
        <v>30</v>
      </c>
      <c r="K202" s="2723">
        <f>Calculs!J122</f>
        <v>30</v>
      </c>
      <c r="L202" s="2724">
        <f t="shared" si="30"/>
        <v>1</v>
      </c>
      <c r="M202" s="2725">
        <f>IF('Saisie données stocks'!$O$10='TRAD-Saisie données stocks'!$B$51, 'Calculs Péremption FA'!BU27, Calculs!M282)+IF('Saisie données stocks'!$M$76='TRAD-Saisie données stocks'!$B$51, Calculs!N282, "0")+Calculs!P282</f>
        <v>0</v>
      </c>
      <c r="N202" s="2725">
        <f>Calculs!O173</f>
        <v>0</v>
      </c>
      <c r="O202" s="2725">
        <f>Calculs!N227</f>
        <v>0</v>
      </c>
      <c r="P202"/>
      <c r="Q202" s="233" t="e">
        <f>IF(Calculs!N227&gt;0, (-(Calculs!N227+2*Calculs!O173)+SQRT((Calculs!N227+2*Calculs!O173)*(Calculs!N227+2*Calculs!O173)+8*Calculs!N227*(M202)))/(2*Calculs!N227), ((M202)/Calculs!O173))</f>
        <v>#DIV/0!</v>
      </c>
      <c r="R202" s="1848" t="e">
        <f>Q202-Paramétrage!$D$29</f>
        <v>#DIV/0!</v>
      </c>
      <c r="S202" s="1856" t="e">
        <f>IF(Q202&lt;Paramétrage!$D$29, Q202, Paramétrage!$D$29)</f>
        <v>#DIV/0!</v>
      </c>
      <c r="T202" s="1857" t="e">
        <f>Paramétrage!$H$19+R202*(365/12)</f>
        <v>#DIV/0!</v>
      </c>
      <c r="U202" s="252" t="e">
        <f>IF(Q202&lt;Paramétrage!$D$29, Paramétrage!$H$19+S202*(365/12), Paramétrage!$H$19+Q202*(365/12))</f>
        <v>#DIV/0!</v>
      </c>
      <c r="W202" s="233" t="str">
        <f t="shared" si="31"/>
        <v/>
      </c>
      <c r="X202" s="1858" t="str">
        <f t="shared" si="32"/>
        <v/>
      </c>
      <c r="Y202" s="427" t="str">
        <f t="shared" si="33"/>
        <v/>
      </c>
      <c r="Z202" s="1857" t="str">
        <f t="shared" si="34"/>
        <v/>
      </c>
      <c r="AA202" s="252" t="str">
        <f t="shared" si="35"/>
        <v/>
      </c>
      <c r="AC202" s="233" t="e">
        <f t="shared" si="36"/>
        <v>#DIV/0!</v>
      </c>
      <c r="AD202" s="1858" t="e">
        <f>AC202-Paramétrage!$D$29</f>
        <v>#DIV/0!</v>
      </c>
      <c r="AE202" s="1856" t="e">
        <f>IF(AC202&lt;Paramétrage!$D$29, AC202, Paramétrage!$D$29)</f>
        <v>#DIV/0!</v>
      </c>
      <c r="AF202" s="1856" t="e">
        <f t="shared" si="37"/>
        <v>#DIV/0!</v>
      </c>
      <c r="AG202" s="1857" t="e">
        <f>Paramétrage!$H$19+AD202*30</f>
        <v>#DIV/0!</v>
      </c>
      <c r="AH202" s="252" t="e">
        <f>IF(AC202&lt;Paramétrage!$D$29, Paramétrage!$H$19+AE202*30, Paramétrage!$H$19+AC202*30)</f>
        <v>#DIV/0!</v>
      </c>
      <c r="AI202" s="1857">
        <f>'Saisie données stocks'!O160</f>
        <v>0</v>
      </c>
      <c r="AJ202" s="1859" t="str">
        <f>IF(ISERROR(Q202), "0", IF('Saisie données stocks'!O160="", "0", IF(U145&gt;'Saisie données stocks'!$N$14, IF(AI202&gt;(Paramétrage!$H$19+'Saisie données stocks'!$N$14*(365/12)), (AI202-(Paramétrage!$H$19+'Saisie données stocks'!$N$14*(365/12)))/(365/12), IF(AI202&gt;U145, (AI202-U145)/(365/12), "0")))))</f>
        <v>0</v>
      </c>
      <c r="AK202" s="1858" t="str">
        <f>IF(ISERROR(Q145),"0", IF(Q145=0, "0", IF(Q145&gt;'Calculs Péremption FA'!$CB27, 'Calculs Péremption FA'!$CB27, Q145)))</f>
        <v>0</v>
      </c>
      <c r="AL202" s="1856" t="str">
        <f>IF(ISERROR(AC202),"0", IF(AC202=0, "0", IF(AC202&gt;'Saisie données stocks'!$N$14, 'Saisie données stocks'!$N$14, AC202)))</f>
        <v>0</v>
      </c>
      <c r="AM202" s="252" t="str">
        <f>IF(ISERROR(Q202),AA202,IF(Calculs!P282=0,AA145,(Paramétrage!$H$19+((AJ202+AK202+AL202)*(365/12)))))</f>
        <v/>
      </c>
      <c r="AO202" s="233" t="str">
        <f>IF(ISERROR(AC202),"", IF(AC202=0, "", IF(AC202&gt;'Saisie données stocks'!$N$14, 'Saisie données stocks'!$N$14, AC202)))</f>
        <v/>
      </c>
      <c r="AP202" s="1858" t="str">
        <f>IF(ISERROR(AC202),"", IF(AC202=0, "", IF(AC202&gt;'Calculs Péremption FA'!$CB27, 'Calculs Péremption FA'!$CB27-Paramétrage!$D$29, AD202)))</f>
        <v/>
      </c>
      <c r="AQ202" s="427" t="str">
        <f>IF(ISERROR(AC202),"", IF(AC202=0, "", IF(AC202&gt;'Calculs Péremption FA'!$CB27, Paramétrage!$D$29, AE202)))</f>
        <v/>
      </c>
      <c r="AR202" s="1860" t="str">
        <f t="shared" si="38"/>
        <v/>
      </c>
      <c r="AS202" s="1857" t="str">
        <f>IF(ISERROR(AC202),"", IF(AC202=0, "", IF(AC202&gt;'Calculs Péremption FA'!$CB27, 'Calculs Péremption FA'!$BX27-Paramétrage!$D$29*(365/12), AG202)))</f>
        <v/>
      </c>
      <c r="AT202" s="252" t="str">
        <f>IF(ISERROR(AC202),"", IF(AC202=0, "", IF(AC202&gt;'Calculs Péremption FA'!$CB27, CONCATENATE('TRAD-Calculs dispo Données FA'!$B$88, " - ", 'Calculs Péremption FA'!$BY27, "/", 'Calculs Péremption FA'!$BZ27, "/", 'Calculs Péremption FA'!$CA27), AH202)))</f>
        <v/>
      </c>
      <c r="AV202" s="233" t="e">
        <f>(Calculs!Q282)/Calculs!O173</f>
        <v>#DIV/0!</v>
      </c>
      <c r="AW202" s="1848" t="e">
        <f>AV202-Paramétrage!$D$29</f>
        <v>#DIV/0!</v>
      </c>
      <c r="AX202" s="1856" t="e">
        <f>IF(AV202&lt;Paramétrage!$D$29, AV202, Paramétrage!$D$29)</f>
        <v>#DIV/0!</v>
      </c>
      <c r="AY202" s="1857" t="e">
        <f>Paramétrage!$H$19+AW202*30</f>
        <v>#DIV/0!</v>
      </c>
      <c r="AZ202" s="252" t="e">
        <f>IF(AV202&lt;Paramétrage!$D$29, Paramétrage!$H$19+AX202*(365/12), Paramétrage!$H$19+AV202*(365/12))</f>
        <v>#DIV/0!</v>
      </c>
      <c r="BB202" s="233" t="str">
        <f>IF(ISERROR(AV202),"", IF(AV202=0, "", IF(AV202&gt;'Calculs Péremption FA'!$CB27, 'Calculs Péremption FA'!$CB27, AV202)))</f>
        <v/>
      </c>
      <c r="BC202" s="1858" t="str">
        <f>IF(ISERROR(AV202),"", IF(AV202=0, "", IF(AV202&gt;'Calculs Péremption FA'!$CB27, 'Calculs Péremption FA'!$CB27-Paramétrage!$D$29, AW202)))</f>
        <v/>
      </c>
      <c r="BD202" s="427" t="str">
        <f>IF(ISERROR(AV202),"", IF(AV202=0, "", IF(AV202&gt;'Calculs Péremption FA'!$CB27, Paramétrage!$D$29, AX202)))</f>
        <v/>
      </c>
      <c r="BE202" s="1857" t="str">
        <f>IF(ISERROR(AV202),"", IF(AV202=0, "", IF(AV202&gt;'Calculs Péremption FA'!$CB27, 'Calculs Péremption FA'!$BX27-Paramétrage!$D$29*(365/12), AY202)))</f>
        <v/>
      </c>
      <c r="BF202" s="252" t="str">
        <f>IF(ISERROR(AV202),"", IF(AV202=0, "", IF(AV202&gt;'Calculs Péremption FA'!$CB27, CONCATENATE('TRAD-Calculs dispo Données FA'!$B$88, " - ", 'Calculs Péremption FA'!$BY27, "/", 'Calculs Péremption FA'!$BZ27, "/", 'Calculs Péremption FA'!$CA27), AZ202)))</f>
        <v/>
      </c>
      <c r="BH202" s="233" t="e">
        <f t="shared" si="39"/>
        <v>#DIV/0!</v>
      </c>
      <c r="BI202" s="1858" t="e">
        <f>BH202-Paramétrage!$D$29</f>
        <v>#DIV/0!</v>
      </c>
      <c r="BJ202" s="1856" t="e">
        <f>IF(BH202&lt;Paramétrage!$D$29, BH202, Paramétrage!$D$29)</f>
        <v>#DIV/0!</v>
      </c>
      <c r="BK202" s="1856" t="e">
        <f t="shared" si="40"/>
        <v>#DIV/0!</v>
      </c>
      <c r="BL202" s="1857" t="e">
        <f>Paramétrage!$H$19+BI202*(365/12)</f>
        <v>#DIV/0!</v>
      </c>
      <c r="BM202" s="252" t="e">
        <f>IF(BH202&lt;Paramétrage!$D$29, Paramétrage!$H$19+BJ202*(365/12), Paramétrage!$H$19+BH202*(365/12))</f>
        <v>#DIV/0!</v>
      </c>
      <c r="BO202" s="233" t="str">
        <f>IF(ISERROR(BH202),"", IF(BH202=0, "", IF(BH202&gt;'Calculs Péremption FA'!$CB27, 'Calculs Péremption FA'!$CB27, BH202)))</f>
        <v/>
      </c>
      <c r="BP202" s="1858" t="str">
        <f>IF(ISERROR(BH202),"", IF(BH202=0, "", IF(BH202&gt;'Calculs Péremption FA'!$CB27, 'Calculs Péremption FA'!$CB27-Paramétrage!$D$29, BI202)))</f>
        <v/>
      </c>
      <c r="BQ202" s="427" t="str">
        <f>IF(ISERROR(BH202),"", IF(BH202=0, "", IF(BH202&gt;'Calculs Péremption FA'!$CB27, Paramétrage!$D$29, BJ202)))</f>
        <v/>
      </c>
      <c r="BR202" s="1860" t="str">
        <f t="shared" si="41"/>
        <v/>
      </c>
      <c r="BS202" s="1857" t="str">
        <f>IF(ISERROR(BH202),"", IF(BH202=0, "", IF(BH202&gt;'Calculs Péremption FA'!$CB27, 'Calculs Péremption FA'!$BX27-Paramétrage!$D$29*(365/12), BL202)))</f>
        <v/>
      </c>
      <c r="BT202" s="252" t="str">
        <f>IF(ISERROR(BH202),"", IF(BH202=0, "", IF(BH202&gt;'Calculs Péremption FA'!$CB27, CONCATENATE('TRAD-Calculs dispo Données FA'!$B$88, " - ", 'Calculs Péremption FA'!$BY27, "/", 'Calculs Péremption FA'!$BZ27, "/", 'Calculs Péremption FA'!$CA27), BM202)))</f>
        <v/>
      </c>
      <c r="BV202" s="2061">
        <f>Calculs!$Q282</f>
        <v>0</v>
      </c>
      <c r="BW202" s="2062">
        <f>Calculs!$O173</f>
        <v>0</v>
      </c>
      <c r="BX202" s="2068">
        <f>Calculs!$N227</f>
        <v>0</v>
      </c>
      <c r="BY202" s="2070" t="str">
        <f>IF(AND(BX202=0, BV202=0, BW202=0), 'TRAD-Calculs dispo Données FA'!$B$82, "")</f>
        <v>Stock et besoin nul</v>
      </c>
      <c r="BZ202" s="2062" t="str">
        <f>IF(AND(BX202=0, BV202&gt;0, BW202=0), CONCATENATE(BV202,'TRAD-Calculs dispo Données FA'!$B$80," =0"), "")</f>
        <v/>
      </c>
      <c r="CA202" s="2063" t="str">
        <f>IF(AND(BV202=0, OR(BW202&gt;=1, BX202&gt;=1)),'TRAD-Calculs dispo Données FA'!$B$81, "")</f>
        <v/>
      </c>
    </row>
    <row r="203" spans="3:79" s="358" customFormat="1" ht="25.5" x14ac:dyDescent="0.2">
      <c r="C203" s="2687"/>
      <c r="D203" s="2688" t="s">
        <v>31</v>
      </c>
      <c r="E203" s="2696" t="str">
        <f>'Saisie données stocks'!F40</f>
        <v>ABC</v>
      </c>
      <c r="F203" s="2697" t="str">
        <f>'Saisie données stocks'!G40</f>
        <v>Cp</v>
      </c>
      <c r="G203" s="2697" t="str">
        <f>'Saisie données stocks'!H40</f>
        <v>300 mg</v>
      </c>
      <c r="H203" s="2698" t="str">
        <f>CONCATENATE(E203, " - ", G203, " - ", 'TRAD-Calculs dispo Données FA'!$B$79,"/", K203)</f>
        <v>ABC - 300 mg - B/60</v>
      </c>
      <c r="I203" s="2698">
        <f>Calculs!K123</f>
        <v>2</v>
      </c>
      <c r="J203" s="2699">
        <f t="shared" si="29"/>
        <v>60</v>
      </c>
      <c r="K203" s="2693">
        <f>Calculs!J123</f>
        <v>60</v>
      </c>
      <c r="L203" s="2694">
        <f t="shared" si="30"/>
        <v>1</v>
      </c>
      <c r="M203" s="2695">
        <f>IF('Saisie données stocks'!$O$10='TRAD-Saisie données stocks'!$B$51, 'Calculs Péremption FA'!BU28, Calculs!M283)+IF('Saisie données stocks'!$M$76='TRAD-Saisie données stocks'!$B$51, Calculs!N283, "0")+Calculs!P283</f>
        <v>0</v>
      </c>
      <c r="N203" s="2695">
        <f>Calculs!O174</f>
        <v>0</v>
      </c>
      <c r="O203" s="2695">
        <f>Calculs!N228</f>
        <v>0</v>
      </c>
      <c r="P203"/>
      <c r="Q203" s="231" t="e">
        <f>IF(Calculs!N228&gt;0, (-(Calculs!N228+2*Calculs!O174)+SQRT((Calculs!N228+2*Calculs!O174)*(Calculs!N228+2*Calculs!O174)+8*Calculs!N228*(M203)))/(2*Calculs!N228), ((M203)/Calculs!O174))</f>
        <v>#DIV/0!</v>
      </c>
      <c r="R203" s="574" t="e">
        <f>Q203-Paramétrage!$D$29</f>
        <v>#DIV/0!</v>
      </c>
      <c r="S203" s="241" t="e">
        <f>IF(Q203&lt;Paramétrage!$D$29, Q203, Paramétrage!$D$29)</f>
        <v>#DIV/0!</v>
      </c>
      <c r="T203" s="247" t="e">
        <f>Paramétrage!$H$19+R203*(365/12)</f>
        <v>#DIV/0!</v>
      </c>
      <c r="U203" s="248" t="e">
        <f>IF(Q203&lt;Paramétrage!$D$29, Paramétrage!$H$19+S203*(365/12), Paramétrage!$H$19+Q203*(365/12))</f>
        <v>#DIV/0!</v>
      </c>
      <c r="W203" s="231" t="str">
        <f t="shared" si="31"/>
        <v/>
      </c>
      <c r="X203" s="236" t="str">
        <f t="shared" si="32"/>
        <v/>
      </c>
      <c r="Y203" s="425" t="str">
        <f t="shared" si="33"/>
        <v/>
      </c>
      <c r="Z203" s="247" t="str">
        <f t="shared" si="34"/>
        <v/>
      </c>
      <c r="AA203" s="248" t="str">
        <f t="shared" si="35"/>
        <v>1093B &amp; conso =0</v>
      </c>
      <c r="AC203" s="231" t="e">
        <f t="shared" si="36"/>
        <v>#DIV/0!</v>
      </c>
      <c r="AD203" s="236" t="e">
        <f>AC203-Paramétrage!$D$29</f>
        <v>#DIV/0!</v>
      </c>
      <c r="AE203" s="241" t="e">
        <f>IF(AC203&lt;Paramétrage!$D$29, AC203, Paramétrage!$D$29)</f>
        <v>#DIV/0!</v>
      </c>
      <c r="AF203" s="241" t="e">
        <f t="shared" si="37"/>
        <v>#DIV/0!</v>
      </c>
      <c r="AG203" s="247" t="e">
        <f>Paramétrage!$H$19+AD203*30</f>
        <v>#DIV/0!</v>
      </c>
      <c r="AH203" s="248" t="e">
        <f>IF(AC203&lt;Paramétrage!$D$29, Paramétrage!$H$19+AE203*30, Paramétrage!$H$19+AC203*30)</f>
        <v>#DIV/0!</v>
      </c>
      <c r="AI203" s="247">
        <f>'Saisie données stocks'!O161</f>
        <v>0</v>
      </c>
      <c r="AJ203" s="1832" t="str">
        <f>IF(ISERROR(Q203), "0", IF('Saisie données stocks'!O161="", "0", IF(U146&gt;'Saisie données stocks'!$N$14, IF(AI203&gt;(Paramétrage!$H$19+'Saisie données stocks'!$N$14*(365/12)), (AI203-(Paramétrage!$H$19+'Saisie données stocks'!$N$14*(365/12)))/(365/12), IF(AI203&gt;U146, (AI203-U146)/(365/12), "0")))))</f>
        <v>0</v>
      </c>
      <c r="AK203" s="236" t="str">
        <f>IF(ISERROR(Q146),"0", IF(Q146=0, "0", IF(Q146&gt;'Calculs Péremption FA'!$CB28, 'Calculs Péremption FA'!$CB28, Q146)))</f>
        <v>0</v>
      </c>
      <c r="AL203" s="241" t="str">
        <f>IF(ISERROR(AC203),"0", IF(AC203=0, "0", IF(AC203&gt;'Saisie données stocks'!$N$14, 'Saisie données stocks'!$N$14, AC203)))</f>
        <v>0</v>
      </c>
      <c r="AM203" s="248" t="str">
        <f>IF(ISERROR(Q203),AA203,IF(Calculs!P283=0,AA146,(Paramétrage!$H$19+((AJ203+AK203+AL203)*(365/12)))))</f>
        <v>1093B &amp; conso =0</v>
      </c>
      <c r="AO203" s="231" t="str">
        <f>IF(ISERROR(AC203),"", IF(AC203=0, "", IF(AC203&gt;'Saisie données stocks'!$N$14, 'Saisie données stocks'!$N$14, AC203)))</f>
        <v/>
      </c>
      <c r="AP203" s="236" t="str">
        <f>IF(ISERROR(AC203),"", IF(AC203=0, "", IF(AC203&gt;'Calculs Péremption FA'!$CB28, 'Calculs Péremption FA'!$CB28-Paramétrage!$D$29, AD203)))</f>
        <v/>
      </c>
      <c r="AQ203" s="425" t="str">
        <f>IF(ISERROR(AC203),"", IF(AC203=0, "", IF(AC203&gt;'Calculs Péremption FA'!$CB28, Paramétrage!$D$29, AE203)))</f>
        <v/>
      </c>
      <c r="AR203" s="1833" t="str">
        <f t="shared" si="38"/>
        <v/>
      </c>
      <c r="AS203" s="247" t="str">
        <f>IF(ISERROR(AC203),"", IF(AC203=0, "", IF(AC203&gt;'Calculs Péremption FA'!$CB28, 'Calculs Péremption FA'!$BX28-Paramétrage!$D$29*(365/12), AG203)))</f>
        <v/>
      </c>
      <c r="AT203" s="248" t="str">
        <f>IF(ISERROR(AC203),"", IF(AC203=0, "", IF(AC203&gt;'Calculs Péremption FA'!$CB28, CONCATENATE('TRAD-Calculs dispo Données FA'!$B$88, " - ", 'Calculs Péremption FA'!$BY28, "/", 'Calculs Péremption FA'!$BZ28, "/", 'Calculs Péremption FA'!$CA28), AH203)))</f>
        <v/>
      </c>
      <c r="AV203" s="231" t="e">
        <f>(Calculs!Q283)/Calculs!O174</f>
        <v>#DIV/0!</v>
      </c>
      <c r="AW203" s="574" t="e">
        <f>AV203-Paramétrage!$D$29</f>
        <v>#DIV/0!</v>
      </c>
      <c r="AX203" s="241" t="e">
        <f>IF(AV203&lt;Paramétrage!$D$29, AV203, Paramétrage!$D$29)</f>
        <v>#DIV/0!</v>
      </c>
      <c r="AY203" s="247" t="e">
        <f>Paramétrage!$H$19+AW203*30</f>
        <v>#DIV/0!</v>
      </c>
      <c r="AZ203" s="248" t="e">
        <f>IF(AV203&lt;Paramétrage!$D$29, Paramétrage!$H$19+AX203*(365/12), Paramétrage!$H$19+AV203*(365/12))</f>
        <v>#DIV/0!</v>
      </c>
      <c r="BB203" s="231" t="str">
        <f>IF(ISERROR(AV203),"", IF(AV203=0, "", IF(AV203&gt;'Calculs Péremption FA'!$CB28, 'Calculs Péremption FA'!$CB28, AV203)))</f>
        <v/>
      </c>
      <c r="BC203" s="236" t="str">
        <f>IF(ISERROR(AV203),"", IF(AV203=0, "", IF(AV203&gt;'Calculs Péremption FA'!$CB28, 'Calculs Péremption FA'!$CB28-Paramétrage!$D$29, AW203)))</f>
        <v/>
      </c>
      <c r="BD203" s="425" t="str">
        <f>IF(ISERROR(AV203),"", IF(AV203=0, "", IF(AV203&gt;'Calculs Péremption FA'!$CB28, Paramétrage!$D$29, AX203)))</f>
        <v/>
      </c>
      <c r="BE203" s="247" t="str">
        <f>IF(ISERROR(AV203),"", IF(AV203=0, "", IF(AV203&gt;'Calculs Péremption FA'!$CB28, 'Calculs Péremption FA'!$BX28-Paramétrage!$D$29*(365/12), AY203)))</f>
        <v/>
      </c>
      <c r="BF203" s="248" t="str">
        <f>IF(ISERROR(AV203),"", IF(AV203=0, "", IF(AV203&gt;'Calculs Péremption FA'!$CB28, CONCATENATE('TRAD-Calculs dispo Données FA'!$B$88, " - ", 'Calculs Péremption FA'!$BY28, "/", 'Calculs Péremption FA'!$BZ28, "/", 'Calculs Péremption FA'!$CA28), AZ203)))</f>
        <v/>
      </c>
      <c r="BH203" s="231" t="e">
        <f t="shared" si="39"/>
        <v>#DIV/0!</v>
      </c>
      <c r="BI203" s="236" t="e">
        <f>BH203-Paramétrage!$D$29</f>
        <v>#DIV/0!</v>
      </c>
      <c r="BJ203" s="241" t="e">
        <f>IF(BH203&lt;Paramétrage!$D$29, BH203, Paramétrage!$D$29)</f>
        <v>#DIV/0!</v>
      </c>
      <c r="BK203" s="241" t="e">
        <f t="shared" si="40"/>
        <v>#DIV/0!</v>
      </c>
      <c r="BL203" s="247" t="e">
        <f>Paramétrage!$H$19+BI203*(365/12)</f>
        <v>#DIV/0!</v>
      </c>
      <c r="BM203" s="248" t="e">
        <f>IF(BH203&lt;Paramétrage!$D$29, Paramétrage!$H$19+BJ203*(365/12), Paramétrage!$H$19+BH203*(365/12))</f>
        <v>#DIV/0!</v>
      </c>
      <c r="BO203" s="231" t="str">
        <f>IF(ISERROR(BH203),"", IF(BH203=0, "", IF(BH203&gt;'Calculs Péremption FA'!$CB28, 'Calculs Péremption FA'!$CB28, BH203)))</f>
        <v/>
      </c>
      <c r="BP203" s="236" t="str">
        <f>IF(ISERROR(BH203),"", IF(BH203=0, "", IF(BH203&gt;'Calculs Péremption FA'!$CB28, 'Calculs Péremption FA'!$CB28-Paramétrage!$D$29, BI203)))</f>
        <v/>
      </c>
      <c r="BQ203" s="425" t="str">
        <f>IF(ISERROR(BH203),"", IF(BH203=0, "", IF(BH203&gt;'Calculs Péremption FA'!$CB28, Paramétrage!$D$29, BJ203)))</f>
        <v/>
      </c>
      <c r="BR203" s="1833" t="str">
        <f t="shared" si="41"/>
        <v/>
      </c>
      <c r="BS203" s="247" t="str">
        <f>IF(ISERROR(BH203),"", IF(BH203=0, "", IF(BH203&gt;'Calculs Péremption FA'!$CB28, 'Calculs Péremption FA'!$BX28-Paramétrage!$D$29*(365/12), BL203)))</f>
        <v/>
      </c>
      <c r="BT203" s="248" t="str">
        <f>IF(ISERROR(BH203),"", IF(BH203=0, "", IF(BH203&gt;'Calculs Péremption FA'!$CB28, CONCATENATE('TRAD-Calculs dispo Données FA'!$B$88, " - ", 'Calculs Péremption FA'!$BY28, "/", 'Calculs Péremption FA'!$BZ28, "/", 'Calculs Péremption FA'!$CA28), BM203)))</f>
        <v/>
      </c>
      <c r="BV203" s="2061">
        <f>Calculs!$Q283</f>
        <v>1093</v>
      </c>
      <c r="BW203" s="2062">
        <f>Calculs!$O174</f>
        <v>0</v>
      </c>
      <c r="BX203" s="2068">
        <f>Calculs!$N228</f>
        <v>0</v>
      </c>
      <c r="BY203" s="2070" t="str">
        <f>IF(AND(BX203=0, BV203=0, BW203=0), 'TRAD-Calculs dispo Données FA'!$B$82, "")</f>
        <v/>
      </c>
      <c r="BZ203" s="2062" t="str">
        <f>IF(AND(BX203=0, BV203&gt;0, BW203=0), CONCATENATE(BV203,'TRAD-Calculs dispo Données FA'!$B$80," =0"), "")</f>
        <v>1093B &amp; conso =0</v>
      </c>
      <c r="CA203" s="2063" t="str">
        <f>IF(AND(BV203=0, OR(BW203&gt;=1, BX203&gt;=1)),'TRAD-Calculs dispo Données FA'!$B$81, "")</f>
        <v/>
      </c>
    </row>
    <row r="204" spans="3:79" s="358" customFormat="1" ht="25.5" x14ac:dyDescent="0.2">
      <c r="C204" s="2687"/>
      <c r="D204" s="2688"/>
      <c r="E204" s="2696" t="str">
        <f>'Saisie données stocks'!F41</f>
        <v>ABC</v>
      </c>
      <c r="F204" s="2697" t="str">
        <f>'Saisie données stocks'!G41</f>
        <v>Cp</v>
      </c>
      <c r="G204" s="2697" t="str">
        <f>'Saisie données stocks'!H41</f>
        <v>60 mg</v>
      </c>
      <c r="H204" s="2698" t="str">
        <f>CONCATENATE(E204, " - ", G204, " - ", 'TRAD-Calculs dispo Données FA'!$B$79,"/", K204)</f>
        <v>ABC - 60 mg - B/60</v>
      </c>
      <c r="I204" s="2698">
        <f>Calculs!K124</f>
        <v>2</v>
      </c>
      <c r="J204" s="2699">
        <f t="shared" si="29"/>
        <v>60</v>
      </c>
      <c r="K204" s="2693">
        <f>Calculs!J124</f>
        <v>60</v>
      </c>
      <c r="L204" s="2694">
        <f t="shared" si="30"/>
        <v>1</v>
      </c>
      <c r="M204" s="2695">
        <f>IF('Saisie données stocks'!$O$10='TRAD-Saisie données stocks'!$B$51, 'Calculs Péremption FA'!BU29, Calculs!M284)+IF('Saisie données stocks'!$M$76='TRAD-Saisie données stocks'!$B$51, Calculs!N284, "0")+Calculs!P284</f>
        <v>0</v>
      </c>
      <c r="N204" s="2695">
        <f>Calculs!O175</f>
        <v>0</v>
      </c>
      <c r="O204" s="2695">
        <f>Calculs!N229</f>
        <v>0</v>
      </c>
      <c r="P204"/>
      <c r="Q204" s="231" t="e">
        <f>IF(Calculs!N229&gt;0, (-(Calculs!N229+2*Calculs!O175)+SQRT((Calculs!N229+2*Calculs!O175)*(Calculs!N229+2*Calculs!O175)+8*Calculs!N229*(M204)))/(2*Calculs!N229), ((M204)/Calculs!O175))</f>
        <v>#DIV/0!</v>
      </c>
      <c r="R204" s="236" t="e">
        <f>Q204-Paramétrage!$D$29</f>
        <v>#DIV/0!</v>
      </c>
      <c r="S204" s="241" t="e">
        <f>IF(Q204&lt;Paramétrage!$D$29, Q204, Paramétrage!$D$29)</f>
        <v>#DIV/0!</v>
      </c>
      <c r="T204" s="247" t="e">
        <f>Paramétrage!$H$19+R204*(365/12)</f>
        <v>#DIV/0!</v>
      </c>
      <c r="U204" s="248" t="e">
        <f>IF(Q204&lt;Paramétrage!$D$29, Paramétrage!$H$19+S204*(365/12), Paramétrage!$H$19+Q204*(365/12))</f>
        <v>#DIV/0!</v>
      </c>
      <c r="W204" s="231" t="str">
        <f t="shared" si="31"/>
        <v/>
      </c>
      <c r="X204" s="236" t="str">
        <f t="shared" si="32"/>
        <v/>
      </c>
      <c r="Y204" s="425" t="str">
        <f t="shared" si="33"/>
        <v/>
      </c>
      <c r="Z204" s="247" t="str">
        <f t="shared" si="34"/>
        <v/>
      </c>
      <c r="AA204" s="248" t="str">
        <f t="shared" si="35"/>
        <v/>
      </c>
      <c r="AC204" s="231" t="e">
        <f t="shared" si="36"/>
        <v>#DIV/0!</v>
      </c>
      <c r="AD204" s="236" t="e">
        <f>AC204-Paramétrage!$D$29</f>
        <v>#DIV/0!</v>
      </c>
      <c r="AE204" s="241" t="e">
        <f>IF(AC204&lt;Paramétrage!$D$29, AC204, Paramétrage!$D$29)</f>
        <v>#DIV/0!</v>
      </c>
      <c r="AF204" s="241" t="e">
        <f t="shared" si="37"/>
        <v>#DIV/0!</v>
      </c>
      <c r="AG204" s="247" t="e">
        <f>Paramétrage!$H$19+AD204*30</f>
        <v>#DIV/0!</v>
      </c>
      <c r="AH204" s="248" t="e">
        <f>IF(AC204&lt;Paramétrage!$D$29, Paramétrage!$H$19+AE204*30, Paramétrage!$H$19+AC204*30)</f>
        <v>#DIV/0!</v>
      </c>
      <c r="AI204" s="247">
        <f>'Saisie données stocks'!O162</f>
        <v>0</v>
      </c>
      <c r="AJ204" s="1832" t="str">
        <f>IF(ISERROR(Q204), "0", IF('Saisie données stocks'!O162="", "0", IF(U147&gt;'Saisie données stocks'!$N$14, IF(AI204&gt;(Paramétrage!$H$19+'Saisie données stocks'!$N$14*(365/12)), (AI204-(Paramétrage!$H$19+'Saisie données stocks'!$N$14*(365/12)))/(365/12), IF(AI204&gt;U147, (AI204-U147)/(365/12), "0")))))</f>
        <v>0</v>
      </c>
      <c r="AK204" s="236" t="str">
        <f>IF(ISERROR(Q147),"0", IF(Q147=0, "0", IF(Q147&gt;'Calculs Péremption FA'!$CB29, 'Calculs Péremption FA'!$CB29, Q147)))</f>
        <v>0</v>
      </c>
      <c r="AL204" s="241" t="str">
        <f>IF(ISERROR(AC204),"0", IF(AC204=0, "0", IF(AC204&gt;'Saisie données stocks'!$N$14, 'Saisie données stocks'!$N$14, AC204)))</f>
        <v>0</v>
      </c>
      <c r="AM204" s="248" t="str">
        <f>IF(ISERROR(Q204),AA204,IF(Calculs!P284=0,AA147,(Paramétrage!$H$19+((AJ204+AK204+AL204)*(365/12)))))</f>
        <v/>
      </c>
      <c r="AO204" s="231" t="str">
        <f>IF(ISERROR(AC204),"", IF(AC204=0, "", IF(AC204&gt;'Saisie données stocks'!$N$14, 'Saisie données stocks'!$N$14, AC204)))</f>
        <v/>
      </c>
      <c r="AP204" s="236" t="str">
        <f>IF(ISERROR(AC204),"", IF(AC204=0, "", IF(AC204&gt;'Calculs Péremption FA'!$CB29, 'Calculs Péremption FA'!$CB29-Paramétrage!$D$29, AD204)))</f>
        <v/>
      </c>
      <c r="AQ204" s="425" t="str">
        <f>IF(ISERROR(AC204),"", IF(AC204=0, "", IF(AC204&gt;'Calculs Péremption FA'!$CB29, Paramétrage!$D$29, AE204)))</f>
        <v/>
      </c>
      <c r="AR204" s="1833" t="str">
        <f t="shared" si="38"/>
        <v/>
      </c>
      <c r="AS204" s="247" t="str">
        <f>IF(ISERROR(AC204),"", IF(AC204=0, "", IF(AC204&gt;'Calculs Péremption FA'!$CB29, 'Calculs Péremption FA'!$BX29-Paramétrage!$D$29*(365/12), AG204)))</f>
        <v/>
      </c>
      <c r="AT204" s="248" t="str">
        <f>IF(ISERROR(AC204),"", IF(AC204=0, "", IF(AC204&gt;'Calculs Péremption FA'!$CB29, CONCATENATE('TRAD-Calculs dispo Données FA'!$B$88, " - ", 'Calculs Péremption FA'!$BY29, "/", 'Calculs Péremption FA'!$BZ29, "/", 'Calculs Péremption FA'!$CA29), AH204)))</f>
        <v/>
      </c>
      <c r="AV204" s="231" t="e">
        <f>(Calculs!Q284)/Calculs!O175</f>
        <v>#DIV/0!</v>
      </c>
      <c r="AW204" s="236" t="e">
        <f>AV204-Paramétrage!$D$29</f>
        <v>#DIV/0!</v>
      </c>
      <c r="AX204" s="241" t="e">
        <f>IF(AV204&lt;Paramétrage!$D$29, AV204, Paramétrage!$D$29)</f>
        <v>#DIV/0!</v>
      </c>
      <c r="AY204" s="247" t="e">
        <f>Paramétrage!$H$19+AW204*30</f>
        <v>#DIV/0!</v>
      </c>
      <c r="AZ204" s="248" t="e">
        <f>IF(AV204&lt;Paramétrage!$D$29, Paramétrage!$H$19+AX204*(365/12), Paramétrage!$H$19+AV204*(365/12))</f>
        <v>#DIV/0!</v>
      </c>
      <c r="BB204" s="231" t="str">
        <f>IF(ISERROR(AV204),"", IF(AV204=0, "", IF(AV204&gt;'Calculs Péremption FA'!$CB29, 'Calculs Péremption FA'!$CB29, AV204)))</f>
        <v/>
      </c>
      <c r="BC204" s="236" t="str">
        <f>IF(ISERROR(AV204),"", IF(AV204=0, "", IF(AV204&gt;'Calculs Péremption FA'!$CB29, 'Calculs Péremption FA'!$CB29-Paramétrage!$D$29, AW204)))</f>
        <v/>
      </c>
      <c r="BD204" s="425" t="str">
        <f>IF(ISERROR(AV204),"", IF(AV204=0, "", IF(AV204&gt;'Calculs Péremption FA'!$CB29, Paramétrage!$D$29, AX204)))</f>
        <v/>
      </c>
      <c r="BE204" s="247" t="str">
        <f>IF(ISERROR(AV204),"", IF(AV204=0, "", IF(AV204&gt;'Calculs Péremption FA'!$CB29, 'Calculs Péremption FA'!$BX29-Paramétrage!$D$29*(365/12), AY204)))</f>
        <v/>
      </c>
      <c r="BF204" s="248" t="str">
        <f>IF(ISERROR(AV204),"", IF(AV204=0, "", IF(AV204&gt;'Calculs Péremption FA'!$CB29, CONCATENATE('TRAD-Calculs dispo Données FA'!$B$88, " - ", 'Calculs Péremption FA'!$BY29, "/", 'Calculs Péremption FA'!$BZ29, "/", 'Calculs Péremption FA'!$CA29), AZ204)))</f>
        <v/>
      </c>
      <c r="BH204" s="231" t="e">
        <f t="shared" si="39"/>
        <v>#DIV/0!</v>
      </c>
      <c r="BI204" s="236" t="e">
        <f>BH204-Paramétrage!$D$29</f>
        <v>#DIV/0!</v>
      </c>
      <c r="BJ204" s="241" t="e">
        <f>IF(BH204&lt;Paramétrage!$D$29, BH204, Paramétrage!$D$29)</f>
        <v>#DIV/0!</v>
      </c>
      <c r="BK204" s="241" t="e">
        <f t="shared" si="40"/>
        <v>#DIV/0!</v>
      </c>
      <c r="BL204" s="247" t="e">
        <f>Paramétrage!$H$19+BI204*(365/12)</f>
        <v>#DIV/0!</v>
      </c>
      <c r="BM204" s="248" t="e">
        <f>IF(BH204&lt;Paramétrage!$D$29, Paramétrage!$H$19+BJ204*(365/12), Paramétrage!$H$19+BH204*(365/12))</f>
        <v>#DIV/0!</v>
      </c>
      <c r="BO204" s="231" t="str">
        <f>IF(ISERROR(BH204),"", IF(BH204=0, "", IF(BH204&gt;'Calculs Péremption FA'!$CB29, 'Calculs Péremption FA'!$CB29, BH204)))</f>
        <v/>
      </c>
      <c r="BP204" s="236" t="str">
        <f>IF(ISERROR(BH204),"", IF(BH204=0, "", IF(BH204&gt;'Calculs Péremption FA'!$CB29, 'Calculs Péremption FA'!$CB29-Paramétrage!$D$29, BI204)))</f>
        <v/>
      </c>
      <c r="BQ204" s="425" t="str">
        <f>IF(ISERROR(BH204),"", IF(BH204=0, "", IF(BH204&gt;'Calculs Péremption FA'!$CB29, Paramétrage!$D$29, BJ204)))</f>
        <v/>
      </c>
      <c r="BR204" s="1833" t="str">
        <f t="shared" si="41"/>
        <v/>
      </c>
      <c r="BS204" s="247" t="str">
        <f>IF(ISERROR(BH204),"", IF(BH204=0, "", IF(BH204&gt;'Calculs Péremption FA'!$CB29, 'Calculs Péremption FA'!$BX29-Paramétrage!$D$29*(365/12), BL204)))</f>
        <v/>
      </c>
      <c r="BT204" s="248" t="str">
        <f>IF(ISERROR(BH204),"", IF(BH204=0, "", IF(BH204&gt;'Calculs Péremption FA'!$CB29, CONCATENATE('TRAD-Calculs dispo Données FA'!$B$88, " - ", 'Calculs Péremption FA'!$BY29, "/", 'Calculs Péremption FA'!$BZ29, "/", 'Calculs Péremption FA'!$CA29), BM204)))</f>
        <v/>
      </c>
      <c r="BV204" s="2061">
        <f>Calculs!$Q284</f>
        <v>0</v>
      </c>
      <c r="BW204" s="2062">
        <f>Calculs!$O175</f>
        <v>0</v>
      </c>
      <c r="BX204" s="2068">
        <f>Calculs!$N229</f>
        <v>0</v>
      </c>
      <c r="BY204" s="2070" t="str">
        <f>IF(AND(BX204=0, BV204=0, BW204=0), 'TRAD-Calculs dispo Données FA'!$B$82, "")</f>
        <v>Stock et besoin nul</v>
      </c>
      <c r="BZ204" s="2062" t="str">
        <f>IF(AND(BX204=0, BV204&gt;0, BW204=0), CONCATENATE(BV204,'TRAD-Calculs dispo Données FA'!$B$80," =0"), "")</f>
        <v/>
      </c>
      <c r="CA204" s="2063" t="str">
        <f>IF(AND(BV204=0, OR(BW204&gt;=1, BX204&gt;=1)),'TRAD-Calculs dispo Données FA'!$B$81, "")</f>
        <v/>
      </c>
    </row>
    <row r="205" spans="3:79" s="358" customFormat="1" ht="25.5" x14ac:dyDescent="0.2">
      <c r="C205" s="2687"/>
      <c r="D205" s="2688"/>
      <c r="E205" s="2696" t="str">
        <f>'Saisie données stocks'!F42</f>
        <v>AZT</v>
      </c>
      <c r="F205" s="2697" t="str">
        <f>'Saisie données stocks'!G42</f>
        <v>Cp</v>
      </c>
      <c r="G205" s="2701" t="str">
        <f>'Saisie données stocks'!H42</f>
        <v>300 mg</v>
      </c>
      <c r="H205" s="2698" t="str">
        <f>CONCATENATE(E205, " - ", G205, " - ", 'TRAD-Calculs dispo Données FA'!$B$79,"/", K205)</f>
        <v>AZT - 300 mg - B/60</v>
      </c>
      <c r="I205" s="2698">
        <f>Calculs!K125</f>
        <v>2</v>
      </c>
      <c r="J205" s="2699">
        <f t="shared" si="29"/>
        <v>60</v>
      </c>
      <c r="K205" s="2693">
        <f>Calculs!J125</f>
        <v>60</v>
      </c>
      <c r="L205" s="2694">
        <f t="shared" si="30"/>
        <v>1</v>
      </c>
      <c r="M205" s="2695">
        <f>IF('Saisie données stocks'!$O$10='TRAD-Saisie données stocks'!$B$51, 'Calculs Péremption FA'!BU30, Calculs!M285)+IF('Saisie données stocks'!$M$76='TRAD-Saisie données stocks'!$B$51, Calculs!N285, "0")+Calculs!P285</f>
        <v>0</v>
      </c>
      <c r="N205" s="2695">
        <f>Calculs!O176</f>
        <v>0</v>
      </c>
      <c r="O205" s="2695">
        <f>Calculs!N230</f>
        <v>0</v>
      </c>
      <c r="P205"/>
      <c r="Q205" s="231" t="e">
        <f>IF(Calculs!N230&gt;0, (-(Calculs!N230+2*Calculs!O176)+SQRT((Calculs!N230+2*Calculs!O176)*(Calculs!N230+2*Calculs!O176)+8*Calculs!N230*(M205)))/(2*Calculs!N230), ((M205)/Calculs!O176))</f>
        <v>#DIV/0!</v>
      </c>
      <c r="R205" s="236" t="e">
        <f>Q205-Paramétrage!$D$29</f>
        <v>#DIV/0!</v>
      </c>
      <c r="S205" s="241" t="e">
        <f>IF(Q205&lt;Paramétrage!$D$29, Q205, Paramétrage!$D$29)</f>
        <v>#DIV/0!</v>
      </c>
      <c r="T205" s="247" t="e">
        <f>Paramétrage!$H$19+R205*(365/12)</f>
        <v>#DIV/0!</v>
      </c>
      <c r="U205" s="248" t="e">
        <f>IF(Q205&lt;Paramétrage!$D$29, Paramétrage!$H$19+S205*(365/12), Paramétrage!$H$19+Q205*(365/12))</f>
        <v>#DIV/0!</v>
      </c>
      <c r="W205" s="231" t="str">
        <f t="shared" si="31"/>
        <v/>
      </c>
      <c r="X205" s="236" t="str">
        <f t="shared" si="32"/>
        <v/>
      </c>
      <c r="Y205" s="425" t="str">
        <f t="shared" si="33"/>
        <v/>
      </c>
      <c r="Z205" s="247" t="str">
        <f t="shared" si="34"/>
        <v/>
      </c>
      <c r="AA205" s="248" t="str">
        <f t="shared" si="35"/>
        <v/>
      </c>
      <c r="AC205" s="231" t="e">
        <f t="shared" si="36"/>
        <v>#DIV/0!</v>
      </c>
      <c r="AD205" s="236" t="e">
        <f>AC205-Paramétrage!$D$29</f>
        <v>#DIV/0!</v>
      </c>
      <c r="AE205" s="241" t="e">
        <f>IF(AC205&lt;Paramétrage!$D$29, AC205, Paramétrage!$D$29)</f>
        <v>#DIV/0!</v>
      </c>
      <c r="AF205" s="241" t="e">
        <f t="shared" si="37"/>
        <v>#DIV/0!</v>
      </c>
      <c r="AG205" s="247" t="e">
        <f>Paramétrage!$H$19+AD205*30</f>
        <v>#DIV/0!</v>
      </c>
      <c r="AH205" s="248" t="e">
        <f>IF(AC205&lt;Paramétrage!$D$29, Paramétrage!$H$19+AE205*30, Paramétrage!$H$19+AC205*30)</f>
        <v>#DIV/0!</v>
      </c>
      <c r="AI205" s="247">
        <f>'Saisie données stocks'!O163</f>
        <v>0</v>
      </c>
      <c r="AJ205" s="1832" t="str">
        <f>IF(ISERROR(Q205), "0", IF('Saisie données stocks'!O163="", "0", IF(U148&gt;'Saisie données stocks'!$N$14, IF(AI205&gt;(Paramétrage!$H$19+'Saisie données stocks'!$N$14*(365/12)), (AI205-(Paramétrage!$H$19+'Saisie données stocks'!$N$14*(365/12)))/(365/12), IF(AI205&gt;U148, (AI205-U148)/(365/12), "0")))))</f>
        <v>0</v>
      </c>
      <c r="AK205" s="236" t="str">
        <f>IF(ISERROR(Q148),"0", IF(Q148=0, "0", IF(Q148&gt;'Calculs Péremption FA'!$CB30, 'Calculs Péremption FA'!$CB30, Q148)))</f>
        <v>0</v>
      </c>
      <c r="AL205" s="241" t="str">
        <f>IF(ISERROR(AC205),"0", IF(AC205=0, "0", IF(AC205&gt;'Saisie données stocks'!$N$14, 'Saisie données stocks'!$N$14, AC205)))</f>
        <v>0</v>
      </c>
      <c r="AM205" s="248" t="str">
        <f>IF(ISERROR(Q205),AA205,IF(Calculs!P285=0,AA148,(Paramétrage!$H$19+((AJ205+AK205+AL205)*(365/12)))))</f>
        <v/>
      </c>
      <c r="AO205" s="231" t="str">
        <f>IF(ISERROR(AC205),"", IF(AC205=0, "", IF(AC205&gt;'Saisie données stocks'!$N$14, 'Saisie données stocks'!$N$14, AC205)))</f>
        <v/>
      </c>
      <c r="AP205" s="236" t="str">
        <f>IF(ISERROR(AC205),"", IF(AC205=0, "", IF(AC205&gt;'Calculs Péremption FA'!$CB30, 'Calculs Péremption FA'!$CB30-Paramétrage!$D$29, AD205)))</f>
        <v/>
      </c>
      <c r="AQ205" s="425" t="str">
        <f>IF(ISERROR(AC205),"", IF(AC205=0, "", IF(AC205&gt;'Calculs Péremption FA'!$CB30, Paramétrage!$D$29, AE205)))</f>
        <v/>
      </c>
      <c r="AR205" s="1833" t="str">
        <f t="shared" si="38"/>
        <v/>
      </c>
      <c r="AS205" s="247" t="str">
        <f>IF(ISERROR(AC205),"", IF(AC205=0, "", IF(AC205&gt;'Calculs Péremption FA'!$CB30, 'Calculs Péremption FA'!$BX30-Paramétrage!$D$29*(365/12), AG205)))</f>
        <v/>
      </c>
      <c r="AT205" s="248" t="str">
        <f>IF(ISERROR(AC205),"", IF(AC205=0, "", IF(AC205&gt;'Calculs Péremption FA'!$CB30, CONCATENATE('TRAD-Calculs dispo Données FA'!$B$88, " - ", 'Calculs Péremption FA'!$BY30, "/", 'Calculs Péremption FA'!$BZ30, "/", 'Calculs Péremption FA'!$CA30), AH205)))</f>
        <v/>
      </c>
      <c r="AV205" s="231" t="e">
        <f>(Calculs!Q285)/Calculs!O176</f>
        <v>#DIV/0!</v>
      </c>
      <c r="AW205" s="236" t="e">
        <f>AV205-Paramétrage!$D$29</f>
        <v>#DIV/0!</v>
      </c>
      <c r="AX205" s="241" t="e">
        <f>IF(AV205&lt;Paramétrage!$D$29, AV205, Paramétrage!$D$29)</f>
        <v>#DIV/0!</v>
      </c>
      <c r="AY205" s="247" t="e">
        <f>Paramétrage!$H$19+AW205*30</f>
        <v>#DIV/0!</v>
      </c>
      <c r="AZ205" s="248" t="e">
        <f>IF(AV205&lt;Paramétrage!$D$29, Paramétrage!$H$19+AX205*(365/12), Paramétrage!$H$19+AV205*(365/12))</f>
        <v>#DIV/0!</v>
      </c>
      <c r="BB205" s="231" t="str">
        <f>IF(ISERROR(AV205),"", IF(AV205=0, "", IF(AV205&gt;'Calculs Péremption FA'!$CB30, 'Calculs Péremption FA'!$CB30, AV205)))</f>
        <v/>
      </c>
      <c r="BC205" s="236" t="str">
        <f>IF(ISERROR(AV205),"", IF(AV205=0, "", IF(AV205&gt;'Calculs Péremption FA'!$CB30, 'Calculs Péremption FA'!$CB30-Paramétrage!$D$29, AW205)))</f>
        <v/>
      </c>
      <c r="BD205" s="425" t="str">
        <f>IF(ISERROR(AV205),"", IF(AV205=0, "", IF(AV205&gt;'Calculs Péremption FA'!$CB30, Paramétrage!$D$29, AX205)))</f>
        <v/>
      </c>
      <c r="BE205" s="247" t="str">
        <f>IF(ISERROR(AV205),"", IF(AV205=0, "", IF(AV205&gt;'Calculs Péremption FA'!$CB30, 'Calculs Péremption FA'!$BX30-Paramétrage!$D$29*(365/12), AY205)))</f>
        <v/>
      </c>
      <c r="BF205" s="248" t="str">
        <f>IF(ISERROR(AV205),"", IF(AV205=0, "", IF(AV205&gt;'Calculs Péremption FA'!$CB30, CONCATENATE('TRAD-Calculs dispo Données FA'!$B$88, " - ", 'Calculs Péremption FA'!$BY30, "/", 'Calculs Péremption FA'!$BZ30, "/", 'Calculs Péremption FA'!$CA30), AZ205)))</f>
        <v/>
      </c>
      <c r="BH205" s="231" t="e">
        <f t="shared" si="39"/>
        <v>#DIV/0!</v>
      </c>
      <c r="BI205" s="236" t="e">
        <f>BH205-Paramétrage!$D$29</f>
        <v>#DIV/0!</v>
      </c>
      <c r="BJ205" s="241" t="e">
        <f>IF(BH205&lt;Paramétrage!$D$29, BH205, Paramétrage!$D$29)</f>
        <v>#DIV/0!</v>
      </c>
      <c r="BK205" s="241" t="e">
        <f t="shared" si="40"/>
        <v>#DIV/0!</v>
      </c>
      <c r="BL205" s="247" t="e">
        <f>Paramétrage!$H$19+BI205*(365/12)</f>
        <v>#DIV/0!</v>
      </c>
      <c r="BM205" s="248" t="e">
        <f>IF(BH205&lt;Paramétrage!$D$29, Paramétrage!$H$19+BJ205*(365/12), Paramétrage!$H$19+BH205*(365/12))</f>
        <v>#DIV/0!</v>
      </c>
      <c r="BO205" s="231" t="str">
        <f>IF(ISERROR(BH205),"", IF(BH205=0, "", IF(BH205&gt;'Calculs Péremption FA'!$CB30, 'Calculs Péremption FA'!$CB30, BH205)))</f>
        <v/>
      </c>
      <c r="BP205" s="236" t="str">
        <f>IF(ISERROR(BH205),"", IF(BH205=0, "", IF(BH205&gt;'Calculs Péremption FA'!$CB30, 'Calculs Péremption FA'!$CB30-Paramétrage!$D$29, BI205)))</f>
        <v/>
      </c>
      <c r="BQ205" s="425" t="str">
        <f>IF(ISERROR(BH205),"", IF(BH205=0, "", IF(BH205&gt;'Calculs Péremption FA'!$CB30, Paramétrage!$D$29, BJ205)))</f>
        <v/>
      </c>
      <c r="BR205" s="1833" t="str">
        <f t="shared" si="41"/>
        <v/>
      </c>
      <c r="BS205" s="247" t="str">
        <f>IF(ISERROR(BH205),"", IF(BH205=0, "", IF(BH205&gt;'Calculs Péremption FA'!$CB30, 'Calculs Péremption FA'!$BX30-Paramétrage!$D$29*(365/12), BL205)))</f>
        <v/>
      </c>
      <c r="BT205" s="248" t="str">
        <f>IF(ISERROR(BH205),"", IF(BH205=0, "", IF(BH205&gt;'Calculs Péremption FA'!$CB30, CONCATENATE('TRAD-Calculs dispo Données FA'!$B$88, " - ", 'Calculs Péremption FA'!$BY30, "/", 'Calculs Péremption FA'!$BZ30, "/", 'Calculs Péremption FA'!$CA30), BM205)))</f>
        <v/>
      </c>
      <c r="BV205" s="2061">
        <f>Calculs!$Q285</f>
        <v>0</v>
      </c>
      <c r="BW205" s="2062">
        <f>Calculs!$O176</f>
        <v>0</v>
      </c>
      <c r="BX205" s="2068">
        <f>Calculs!$N230</f>
        <v>0</v>
      </c>
      <c r="BY205" s="2070" t="str">
        <f>IF(AND(BX205=0, BV205=0, BW205=0), 'TRAD-Calculs dispo Données FA'!$B$82, "")</f>
        <v>Stock et besoin nul</v>
      </c>
      <c r="BZ205" s="2062" t="str">
        <f>IF(AND(BX205=0, BV205&gt;0, BW205=0), CONCATENATE(BV205,'TRAD-Calculs dispo Données FA'!$B$80," =0"), "")</f>
        <v/>
      </c>
      <c r="CA205" s="2063" t="str">
        <f>IF(AND(BV205=0, OR(BW205&gt;=1, BX205&gt;=1)),'TRAD-Calculs dispo Données FA'!$B$81, "")</f>
        <v/>
      </c>
    </row>
    <row r="206" spans="3:79" s="358" customFormat="1" ht="25.5" x14ac:dyDescent="0.2">
      <c r="C206" s="2687"/>
      <c r="D206" s="2688"/>
      <c r="E206" s="2696" t="str">
        <f>'Saisie données stocks'!F43</f>
        <v>AZT</v>
      </c>
      <c r="F206" s="2697" t="str">
        <f>'Saisie données stocks'!G43</f>
        <v>Cp</v>
      </c>
      <c r="G206" s="2701" t="str">
        <f>'Saisie données stocks'!H43</f>
        <v>100 mg</v>
      </c>
      <c r="H206" s="2698" t="str">
        <f>CONCATENATE(E206, " - ", G206, " - ", 'TRAD-Calculs dispo Données FA'!$B$79,"/", K206)</f>
        <v>AZT - 100 mg - B/100</v>
      </c>
      <c r="I206" s="2698">
        <f>Calculs!K126</f>
        <v>0</v>
      </c>
      <c r="J206" s="2699">
        <f t="shared" si="29"/>
        <v>0</v>
      </c>
      <c r="K206" s="2693">
        <f>Calculs!J126</f>
        <v>100</v>
      </c>
      <c r="L206" s="2694">
        <f t="shared" si="30"/>
        <v>0</v>
      </c>
      <c r="M206" s="2695">
        <f>IF('Saisie données stocks'!$O$10='TRAD-Saisie données stocks'!$B$51, 'Calculs Péremption FA'!BU31, Calculs!M286)+IF('Saisie données stocks'!$M$76='TRAD-Saisie données stocks'!$B$51, Calculs!N286, "0")+Calculs!P286</f>
        <v>0</v>
      </c>
      <c r="N206" s="2695">
        <f>Calculs!O177</f>
        <v>0</v>
      </c>
      <c r="O206" s="2695">
        <f>Calculs!N231</f>
        <v>0</v>
      </c>
      <c r="P206"/>
      <c r="Q206" s="231" t="e">
        <f>IF(Calculs!N231&gt;0, (-(Calculs!N231+2*Calculs!O177)+SQRT((Calculs!N231+2*Calculs!O177)*(Calculs!N231+2*Calculs!O177)+8*Calculs!N231*(M206)))/(2*Calculs!N231), ((M206)/Calculs!O177))</f>
        <v>#DIV/0!</v>
      </c>
      <c r="R206" s="236" t="e">
        <f>Q206-Paramétrage!$D$29</f>
        <v>#DIV/0!</v>
      </c>
      <c r="S206" s="241" t="e">
        <f>IF(Q206&lt;Paramétrage!$D$29, Q206, Paramétrage!$D$29)</f>
        <v>#DIV/0!</v>
      </c>
      <c r="T206" s="247" t="e">
        <f>Paramétrage!$H$19+R206*(365/12)</f>
        <v>#DIV/0!</v>
      </c>
      <c r="U206" s="248" t="e">
        <f>IF(Q206&lt;Paramétrage!$D$29, Paramétrage!$H$19+S206*(365/12), Paramétrage!$H$19+Q206*(365/12))</f>
        <v>#DIV/0!</v>
      </c>
      <c r="W206" s="231" t="str">
        <f t="shared" si="31"/>
        <v/>
      </c>
      <c r="X206" s="236" t="str">
        <f t="shared" si="32"/>
        <v/>
      </c>
      <c r="Y206" s="425" t="str">
        <f t="shared" si="33"/>
        <v/>
      </c>
      <c r="Z206" s="247" t="str">
        <f t="shared" si="34"/>
        <v/>
      </c>
      <c r="AA206" s="248" t="str">
        <f t="shared" si="35"/>
        <v/>
      </c>
      <c r="AC206" s="231" t="e">
        <f t="shared" si="36"/>
        <v>#DIV/0!</v>
      </c>
      <c r="AD206" s="236" t="e">
        <f>AC206-Paramétrage!$D$29</f>
        <v>#DIV/0!</v>
      </c>
      <c r="AE206" s="241" t="e">
        <f>IF(AC206&lt;Paramétrage!$D$29, AC206, Paramétrage!$D$29)</f>
        <v>#DIV/0!</v>
      </c>
      <c r="AF206" s="241" t="e">
        <f t="shared" si="37"/>
        <v>#DIV/0!</v>
      </c>
      <c r="AG206" s="247" t="e">
        <f>Paramétrage!$H$19+AD206*30</f>
        <v>#DIV/0!</v>
      </c>
      <c r="AH206" s="248" t="e">
        <f>IF(AC206&lt;Paramétrage!$D$29, Paramétrage!$H$19+AE206*30, Paramétrage!$H$19+AC206*30)</f>
        <v>#DIV/0!</v>
      </c>
      <c r="AI206" s="247">
        <f>'Saisie données stocks'!O164</f>
        <v>0</v>
      </c>
      <c r="AJ206" s="1832" t="str">
        <f>IF(ISERROR(Q206), "0", IF('Saisie données stocks'!O164="", "0", IF(U149&gt;'Saisie données stocks'!$N$14, IF(AI206&gt;(Paramétrage!$H$19+'Saisie données stocks'!$N$14*(365/12)), (AI206-(Paramétrage!$H$19+'Saisie données stocks'!$N$14*(365/12)))/(365/12), IF(AI206&gt;U149, (AI206-U149)/(365/12), "0")))))</f>
        <v>0</v>
      </c>
      <c r="AK206" s="236" t="str">
        <f>IF(ISERROR(Q149),"0", IF(Q149=0, "0", IF(Q149&gt;'Calculs Péremption FA'!$CB31, 'Calculs Péremption FA'!$CB31, Q149)))</f>
        <v>0</v>
      </c>
      <c r="AL206" s="241" t="str">
        <f>IF(ISERROR(AC206),"0", IF(AC206=0, "0", IF(AC206&gt;'Saisie données stocks'!$N$14, 'Saisie données stocks'!$N$14, AC206)))</f>
        <v>0</v>
      </c>
      <c r="AM206" s="248" t="str">
        <f>IF(ISERROR(Q206),AA206,IF(Calculs!P286=0,AA149,(Paramétrage!$H$19+((AJ206+AK206+AL206)*(365/12)))))</f>
        <v/>
      </c>
      <c r="AO206" s="231" t="str">
        <f>IF(ISERROR(AC206),"", IF(AC206=0, "", IF(AC206&gt;'Saisie données stocks'!$N$14, 'Saisie données stocks'!$N$14, AC206)))</f>
        <v/>
      </c>
      <c r="AP206" s="236" t="str">
        <f>IF(ISERROR(AC206),"", IF(AC206=0, "", IF(AC206&gt;'Calculs Péremption FA'!$CB31, 'Calculs Péremption FA'!$CB31-Paramétrage!$D$29, AD206)))</f>
        <v/>
      </c>
      <c r="AQ206" s="425" t="str">
        <f>IF(ISERROR(AC206),"", IF(AC206=0, "", IF(AC206&gt;'Calculs Péremption FA'!$CB31, Paramétrage!$D$29, AE206)))</f>
        <v/>
      </c>
      <c r="AR206" s="1833" t="str">
        <f t="shared" si="38"/>
        <v/>
      </c>
      <c r="AS206" s="247" t="str">
        <f>IF(ISERROR(AC206),"", IF(AC206=0, "", IF(AC206&gt;'Calculs Péremption FA'!$CB31, 'Calculs Péremption FA'!$BX31-Paramétrage!$D$29*(365/12), AG206)))</f>
        <v/>
      </c>
      <c r="AT206" s="248" t="str">
        <f>IF(ISERROR(AC206),"", IF(AC206=0, "", IF(AC206&gt;'Calculs Péremption FA'!$CB31, CONCATENATE('TRAD-Calculs dispo Données FA'!$B$88, " - ", 'Calculs Péremption FA'!$BY31, "/", 'Calculs Péremption FA'!$BZ31, "/", 'Calculs Péremption FA'!$CA31), AH206)))</f>
        <v/>
      </c>
      <c r="AV206" s="231" t="e">
        <f>(Calculs!Q286)/Calculs!O177</f>
        <v>#DIV/0!</v>
      </c>
      <c r="AW206" s="236" t="e">
        <f>AV206-Paramétrage!$D$29</f>
        <v>#DIV/0!</v>
      </c>
      <c r="AX206" s="241" t="e">
        <f>IF(AV206&lt;Paramétrage!$D$29, AV206, Paramétrage!$D$29)</f>
        <v>#DIV/0!</v>
      </c>
      <c r="AY206" s="247" t="e">
        <f>Paramétrage!$H$19+AW206*30</f>
        <v>#DIV/0!</v>
      </c>
      <c r="AZ206" s="248" t="e">
        <f>IF(AV206&lt;Paramétrage!$D$29, Paramétrage!$H$19+AX206*(365/12), Paramétrage!$H$19+AV206*(365/12))</f>
        <v>#DIV/0!</v>
      </c>
      <c r="BB206" s="231" t="str">
        <f>IF(ISERROR(AV206),"", IF(AV206=0, "", IF(AV206&gt;'Calculs Péremption FA'!$CB31, 'Calculs Péremption FA'!$CB31, AV206)))</f>
        <v/>
      </c>
      <c r="BC206" s="236" t="str">
        <f>IF(ISERROR(AV206),"", IF(AV206=0, "", IF(AV206&gt;'Calculs Péremption FA'!$CB31, 'Calculs Péremption FA'!$CB31-Paramétrage!$D$29, AW206)))</f>
        <v/>
      </c>
      <c r="BD206" s="425" t="str">
        <f>IF(ISERROR(AV206),"", IF(AV206=0, "", IF(AV206&gt;'Calculs Péremption FA'!$CB31, Paramétrage!$D$29, AX206)))</f>
        <v/>
      </c>
      <c r="BE206" s="247" t="str">
        <f>IF(ISERROR(AV206),"", IF(AV206=0, "", IF(AV206&gt;'Calculs Péremption FA'!$CB31, 'Calculs Péremption FA'!$BX31-Paramétrage!$D$29*(365/12), AY206)))</f>
        <v/>
      </c>
      <c r="BF206" s="248" t="str">
        <f>IF(ISERROR(AV206),"", IF(AV206=0, "", IF(AV206&gt;'Calculs Péremption FA'!$CB31, CONCATENATE('TRAD-Calculs dispo Données FA'!$B$88, " - ", 'Calculs Péremption FA'!$BY31, "/", 'Calculs Péremption FA'!$BZ31, "/", 'Calculs Péremption FA'!$CA31), AZ206)))</f>
        <v/>
      </c>
      <c r="BH206" s="231" t="e">
        <f t="shared" si="39"/>
        <v>#DIV/0!</v>
      </c>
      <c r="BI206" s="236" t="e">
        <f>BH206-Paramétrage!$D$29</f>
        <v>#DIV/0!</v>
      </c>
      <c r="BJ206" s="241" t="e">
        <f>IF(BH206&lt;Paramétrage!$D$29, BH206, Paramétrage!$D$29)</f>
        <v>#DIV/0!</v>
      </c>
      <c r="BK206" s="241" t="e">
        <f t="shared" si="40"/>
        <v>#DIV/0!</v>
      </c>
      <c r="BL206" s="247" t="e">
        <f>Paramétrage!$H$19+BI206*(365/12)</f>
        <v>#DIV/0!</v>
      </c>
      <c r="BM206" s="248" t="e">
        <f>IF(BH206&lt;Paramétrage!$D$29, Paramétrage!$H$19+BJ206*(365/12), Paramétrage!$H$19+BH206*(365/12))</f>
        <v>#DIV/0!</v>
      </c>
      <c r="BO206" s="231" t="str">
        <f>IF(ISERROR(BH206),"", IF(BH206=0, "", IF(BH206&gt;'Calculs Péremption FA'!$CB31, 'Calculs Péremption FA'!$CB31, BH206)))</f>
        <v/>
      </c>
      <c r="BP206" s="236" t="str">
        <f>IF(ISERROR(BH206),"", IF(BH206=0, "", IF(BH206&gt;'Calculs Péremption FA'!$CB31, 'Calculs Péremption FA'!$CB31-Paramétrage!$D$29, BI206)))</f>
        <v/>
      </c>
      <c r="BQ206" s="425" t="str">
        <f>IF(ISERROR(BH206),"", IF(BH206=0, "", IF(BH206&gt;'Calculs Péremption FA'!$CB31, Paramétrage!$D$29, BJ206)))</f>
        <v/>
      </c>
      <c r="BR206" s="1833" t="str">
        <f t="shared" si="41"/>
        <v/>
      </c>
      <c r="BS206" s="247" t="str">
        <f>IF(ISERROR(BH206),"", IF(BH206=0, "", IF(BH206&gt;'Calculs Péremption FA'!$CB31, 'Calculs Péremption FA'!$BX31-Paramétrage!$D$29*(365/12), BL206)))</f>
        <v/>
      </c>
      <c r="BT206" s="248" t="str">
        <f>IF(ISERROR(BH206),"", IF(BH206=0, "", IF(BH206&gt;'Calculs Péremption FA'!$CB31, CONCATENATE('TRAD-Calculs dispo Données FA'!$B$88, " - ", 'Calculs Péremption FA'!$BY31, "/", 'Calculs Péremption FA'!$BZ31, "/", 'Calculs Péremption FA'!$CA31), BM206)))</f>
        <v/>
      </c>
      <c r="BV206" s="2061">
        <f>Calculs!$Q286</f>
        <v>0</v>
      </c>
      <c r="BW206" s="2062">
        <f>Calculs!$O177</f>
        <v>0</v>
      </c>
      <c r="BX206" s="2068">
        <f>Calculs!$N231</f>
        <v>0</v>
      </c>
      <c r="BY206" s="2070" t="str">
        <f>IF(AND(BX206=0, BV206=0, BW206=0), 'TRAD-Calculs dispo Données FA'!$B$82, "")</f>
        <v>Stock et besoin nul</v>
      </c>
      <c r="BZ206" s="2062" t="str">
        <f>IF(AND(BX206=0, BV206&gt;0, BW206=0), CONCATENATE(BV206,'TRAD-Calculs dispo Données FA'!$B$80," =0"), "")</f>
        <v/>
      </c>
      <c r="CA206" s="2063" t="str">
        <f>IF(AND(BV206=0, OR(BW206&gt;=1, BX206&gt;=1)),'TRAD-Calculs dispo Données FA'!$B$81, "")</f>
        <v/>
      </c>
    </row>
    <row r="207" spans="3:79" s="358" customFormat="1" ht="25.5" x14ac:dyDescent="0.2">
      <c r="C207" s="2687"/>
      <c r="D207" s="2688"/>
      <c r="E207" s="2696" t="str">
        <f>'Saisie données stocks'!F44</f>
        <v>AZT</v>
      </c>
      <c r="F207" s="2697" t="str">
        <f>'Saisie données stocks'!G44</f>
        <v>Cp</v>
      </c>
      <c r="G207" s="2701" t="str">
        <f>'Saisie données stocks'!H44</f>
        <v>60 mg</v>
      </c>
      <c r="H207" s="2698" t="str">
        <f>CONCATENATE(E207, " - ", G207, " - ", 'TRAD-Calculs dispo Données FA'!$B$79,"/", K207)</f>
        <v>AZT - 60 mg - B/60</v>
      </c>
      <c r="I207" s="2698">
        <f>Calculs!K127</f>
        <v>2</v>
      </c>
      <c r="J207" s="2699">
        <f t="shared" si="29"/>
        <v>60</v>
      </c>
      <c r="K207" s="2693">
        <f>Calculs!J127</f>
        <v>60</v>
      </c>
      <c r="L207" s="2694">
        <f t="shared" si="30"/>
        <v>1</v>
      </c>
      <c r="M207" s="2695">
        <f>IF('Saisie données stocks'!$O$10='TRAD-Saisie données stocks'!$B$51, 'Calculs Péremption FA'!BU32, Calculs!M287)+IF('Saisie données stocks'!$M$76='TRAD-Saisie données stocks'!$B$51, Calculs!N287, "0")+Calculs!P287</f>
        <v>0</v>
      </c>
      <c r="N207" s="2695">
        <f>Calculs!O178</f>
        <v>0</v>
      </c>
      <c r="O207" s="2695">
        <f>Calculs!N232</f>
        <v>0</v>
      </c>
      <c r="P207"/>
      <c r="Q207" s="231" t="e">
        <f>IF(Calculs!N232&gt;0, (-(Calculs!N232+2*Calculs!O178)+SQRT((Calculs!N232+2*Calculs!O178)*(Calculs!N232+2*Calculs!O178)+8*Calculs!N232*(M207)))/(2*Calculs!N232), ((M207)/Calculs!O178))</f>
        <v>#DIV/0!</v>
      </c>
      <c r="R207" s="236" t="e">
        <f>Q207-Paramétrage!$D$29</f>
        <v>#DIV/0!</v>
      </c>
      <c r="S207" s="241" t="e">
        <f>IF(Q207&lt;Paramétrage!$D$29, Q207, Paramétrage!$D$29)</f>
        <v>#DIV/0!</v>
      </c>
      <c r="T207" s="247" t="e">
        <f>Paramétrage!$H$19+R207*(365/12)</f>
        <v>#DIV/0!</v>
      </c>
      <c r="U207" s="248" t="e">
        <f>IF(Q207&lt;Paramétrage!$D$29, Paramétrage!$H$19+S207*(365/12), Paramétrage!$H$19+Q207*(365/12))</f>
        <v>#DIV/0!</v>
      </c>
      <c r="W207" s="231" t="str">
        <f t="shared" si="31"/>
        <v/>
      </c>
      <c r="X207" s="236" t="str">
        <f t="shared" si="32"/>
        <v/>
      </c>
      <c r="Y207" s="425" t="str">
        <f t="shared" si="33"/>
        <v/>
      </c>
      <c r="Z207" s="247" t="str">
        <f t="shared" si="34"/>
        <v/>
      </c>
      <c r="AA207" s="248" t="str">
        <f t="shared" si="35"/>
        <v/>
      </c>
      <c r="AC207" s="231" t="e">
        <f t="shared" si="36"/>
        <v>#DIV/0!</v>
      </c>
      <c r="AD207" s="236" t="e">
        <f>AC207-Paramétrage!$D$29</f>
        <v>#DIV/0!</v>
      </c>
      <c r="AE207" s="241" t="e">
        <f>IF(AC207&lt;Paramétrage!$D$29, AC207, Paramétrage!$D$29)</f>
        <v>#DIV/0!</v>
      </c>
      <c r="AF207" s="241" t="e">
        <f t="shared" si="37"/>
        <v>#DIV/0!</v>
      </c>
      <c r="AG207" s="247" t="e">
        <f>Paramétrage!$H$19+AD207*30</f>
        <v>#DIV/0!</v>
      </c>
      <c r="AH207" s="248" t="e">
        <f>IF(AC207&lt;Paramétrage!$D$29, Paramétrage!$H$19+AE207*30, Paramétrage!$H$19+AC207*30)</f>
        <v>#DIV/0!</v>
      </c>
      <c r="AI207" s="247">
        <f>'Saisie données stocks'!O165</f>
        <v>0</v>
      </c>
      <c r="AJ207" s="1832" t="str">
        <f>IF(ISERROR(Q207), "0", IF('Saisie données stocks'!O165="", "0", IF(U150&gt;'Saisie données stocks'!$N$14, IF(AI207&gt;(Paramétrage!$H$19+'Saisie données stocks'!$N$14*(365/12)), (AI207-(Paramétrage!$H$19+'Saisie données stocks'!$N$14*(365/12)))/(365/12), IF(AI207&gt;U150, (AI207-U150)/(365/12), "0")))))</f>
        <v>0</v>
      </c>
      <c r="AK207" s="236" t="str">
        <f>IF(ISERROR(Q150),"0", IF(Q150=0, "0", IF(Q150&gt;'Calculs Péremption FA'!$CB32, 'Calculs Péremption FA'!$CB32, Q150)))</f>
        <v>0</v>
      </c>
      <c r="AL207" s="241" t="str">
        <f>IF(ISERROR(AC207),"0", IF(AC207=0, "0", IF(AC207&gt;'Saisie données stocks'!$N$14, 'Saisie données stocks'!$N$14, AC207)))</f>
        <v>0</v>
      </c>
      <c r="AM207" s="248" t="str">
        <f>IF(ISERROR(Q207),AA207,IF(Calculs!P287=0,AA150,(Paramétrage!$H$19+((AJ207+AK207+AL207)*(365/12)))))</f>
        <v/>
      </c>
      <c r="AO207" s="231" t="str">
        <f>IF(ISERROR(AC207),"", IF(AC207=0, "", IF(AC207&gt;'Saisie données stocks'!$N$14, 'Saisie données stocks'!$N$14, AC207)))</f>
        <v/>
      </c>
      <c r="AP207" s="236" t="str">
        <f>IF(ISERROR(AC207),"", IF(AC207=0, "", IF(AC207&gt;'Calculs Péremption FA'!$CB32, 'Calculs Péremption FA'!$CB32-Paramétrage!$D$29, AD207)))</f>
        <v/>
      </c>
      <c r="AQ207" s="425" t="str">
        <f>IF(ISERROR(AC207),"", IF(AC207=0, "", IF(AC207&gt;'Calculs Péremption FA'!$CB32, Paramétrage!$D$29, AE207)))</f>
        <v/>
      </c>
      <c r="AR207" s="1833" t="str">
        <f t="shared" si="38"/>
        <v/>
      </c>
      <c r="AS207" s="247" t="str">
        <f>IF(ISERROR(AC207),"", IF(AC207=0, "", IF(AC207&gt;'Calculs Péremption FA'!$CB32, 'Calculs Péremption FA'!$BX32-Paramétrage!$D$29*(365/12), AG207)))</f>
        <v/>
      </c>
      <c r="AT207" s="248" t="str">
        <f>IF(ISERROR(AC207),"", IF(AC207=0, "", IF(AC207&gt;'Calculs Péremption FA'!$CB32, CONCATENATE('TRAD-Calculs dispo Données FA'!$B$88, " - ", 'Calculs Péremption FA'!$BY32, "/", 'Calculs Péremption FA'!$BZ32, "/", 'Calculs Péremption FA'!$CA32), AH207)))</f>
        <v/>
      </c>
      <c r="AV207" s="231" t="e">
        <f>(Calculs!Q287)/Calculs!O178</f>
        <v>#DIV/0!</v>
      </c>
      <c r="AW207" s="236" t="e">
        <f>AV207-Paramétrage!$D$29</f>
        <v>#DIV/0!</v>
      </c>
      <c r="AX207" s="241" t="e">
        <f>IF(AV207&lt;Paramétrage!$D$29, AV207, Paramétrage!$D$29)</f>
        <v>#DIV/0!</v>
      </c>
      <c r="AY207" s="247" t="e">
        <f>Paramétrage!$H$19+AW207*30</f>
        <v>#DIV/0!</v>
      </c>
      <c r="AZ207" s="248" t="e">
        <f>IF(AV207&lt;Paramétrage!$D$29, Paramétrage!$H$19+AX207*(365/12), Paramétrage!$H$19+AV207*(365/12))</f>
        <v>#DIV/0!</v>
      </c>
      <c r="BB207" s="231" t="str">
        <f>IF(ISERROR(AV207),"", IF(AV207=0, "", IF(AV207&gt;'Calculs Péremption FA'!$CB32, 'Calculs Péremption FA'!$CB32, AV207)))</f>
        <v/>
      </c>
      <c r="BC207" s="236" t="str">
        <f>IF(ISERROR(AV207),"", IF(AV207=0, "", IF(AV207&gt;'Calculs Péremption FA'!$CB32, 'Calculs Péremption FA'!$CB32-Paramétrage!$D$29, AW207)))</f>
        <v/>
      </c>
      <c r="BD207" s="425" t="str">
        <f>IF(ISERROR(AV207),"", IF(AV207=0, "", IF(AV207&gt;'Calculs Péremption FA'!$CB32, Paramétrage!$D$29, AX207)))</f>
        <v/>
      </c>
      <c r="BE207" s="247" t="str">
        <f>IF(ISERROR(AV207),"", IF(AV207=0, "", IF(AV207&gt;'Calculs Péremption FA'!$CB32, 'Calculs Péremption FA'!$BX32-Paramétrage!$D$29*(365/12), AY207)))</f>
        <v/>
      </c>
      <c r="BF207" s="248" t="str">
        <f>IF(ISERROR(AV207),"", IF(AV207=0, "", IF(AV207&gt;'Calculs Péremption FA'!$CB32, CONCATENATE('TRAD-Calculs dispo Données FA'!$B$88, " - ", 'Calculs Péremption FA'!$BY32, "/", 'Calculs Péremption FA'!$BZ32, "/", 'Calculs Péremption FA'!$CA32), AZ207)))</f>
        <v/>
      </c>
      <c r="BH207" s="231" t="e">
        <f t="shared" si="39"/>
        <v>#DIV/0!</v>
      </c>
      <c r="BI207" s="236" t="e">
        <f>BH207-Paramétrage!$D$29</f>
        <v>#DIV/0!</v>
      </c>
      <c r="BJ207" s="241" t="e">
        <f>IF(BH207&lt;Paramétrage!$D$29, BH207, Paramétrage!$D$29)</f>
        <v>#DIV/0!</v>
      </c>
      <c r="BK207" s="241" t="e">
        <f t="shared" si="40"/>
        <v>#DIV/0!</v>
      </c>
      <c r="BL207" s="247" t="e">
        <f>Paramétrage!$H$19+BI207*(365/12)</f>
        <v>#DIV/0!</v>
      </c>
      <c r="BM207" s="248" t="e">
        <f>IF(BH207&lt;Paramétrage!$D$29, Paramétrage!$H$19+BJ207*(365/12), Paramétrage!$H$19+BH207*(365/12))</f>
        <v>#DIV/0!</v>
      </c>
      <c r="BO207" s="231" t="str">
        <f>IF(ISERROR(BH207),"", IF(BH207=0, "", IF(BH207&gt;'Calculs Péremption FA'!$CB32, 'Calculs Péremption FA'!$CB32, BH207)))</f>
        <v/>
      </c>
      <c r="BP207" s="236" t="str">
        <f>IF(ISERROR(BH207),"", IF(BH207=0, "", IF(BH207&gt;'Calculs Péremption FA'!$CB32, 'Calculs Péremption FA'!$CB32-Paramétrage!$D$29, BI207)))</f>
        <v/>
      </c>
      <c r="BQ207" s="425" t="str">
        <f>IF(ISERROR(BH207),"", IF(BH207=0, "", IF(BH207&gt;'Calculs Péremption FA'!$CB32, Paramétrage!$D$29, BJ207)))</f>
        <v/>
      </c>
      <c r="BR207" s="1833" t="str">
        <f t="shared" si="41"/>
        <v/>
      </c>
      <c r="BS207" s="247" t="str">
        <f>IF(ISERROR(BH207),"", IF(BH207=0, "", IF(BH207&gt;'Calculs Péremption FA'!$CB32, 'Calculs Péremption FA'!$BX32-Paramétrage!$D$29*(365/12), BL207)))</f>
        <v/>
      </c>
      <c r="BT207" s="248" t="str">
        <f>IF(ISERROR(BH207),"", IF(BH207=0, "", IF(BH207&gt;'Calculs Péremption FA'!$CB32, CONCATENATE('TRAD-Calculs dispo Données FA'!$B$88, " - ", 'Calculs Péremption FA'!$BY32, "/", 'Calculs Péremption FA'!$BZ32, "/", 'Calculs Péremption FA'!$CA32), BM207)))</f>
        <v/>
      </c>
      <c r="BV207" s="2061">
        <f>Calculs!$Q287</f>
        <v>0</v>
      </c>
      <c r="BW207" s="2062">
        <f>Calculs!$O178</f>
        <v>0</v>
      </c>
      <c r="BX207" s="2068">
        <f>Calculs!$N232</f>
        <v>0</v>
      </c>
      <c r="BY207" s="2070" t="str">
        <f>IF(AND(BX207=0, BV207=0, BW207=0), 'TRAD-Calculs dispo Données FA'!$B$82, "")</f>
        <v>Stock et besoin nul</v>
      </c>
      <c r="BZ207" s="2062" t="str">
        <f>IF(AND(BX207=0, BV207&gt;0, BW207=0), CONCATENATE(BV207,'TRAD-Calculs dispo Données FA'!$B$80," =0"), "")</f>
        <v/>
      </c>
      <c r="CA207" s="2063" t="str">
        <f>IF(AND(BV207=0, OR(BW207&gt;=1, BX207&gt;=1)),'TRAD-Calculs dispo Données FA'!$B$81, "")</f>
        <v/>
      </c>
    </row>
    <row r="208" spans="3:79" s="358" customFormat="1" ht="25.5" x14ac:dyDescent="0.2">
      <c r="C208" s="2687"/>
      <c r="D208" s="2688"/>
      <c r="E208" s="2696" t="str">
        <f>'Saisie données stocks'!F45</f>
        <v>D4T</v>
      </c>
      <c r="F208" s="2697" t="str">
        <f>'Saisie données stocks'!G45</f>
        <v>Cp</v>
      </c>
      <c r="G208" s="2701" t="str">
        <f>'Saisie données stocks'!H45</f>
        <v>30 mg</v>
      </c>
      <c r="H208" s="2698" t="str">
        <f>CONCATENATE(E208, " - ", G208, " - ", 'TRAD-Calculs dispo Données FA'!$B$79,"/", K208)</f>
        <v>D4T - 30 mg - B/60</v>
      </c>
      <c r="I208" s="2698">
        <f>Calculs!K128</f>
        <v>2</v>
      </c>
      <c r="J208" s="2699">
        <f t="shared" si="29"/>
        <v>60</v>
      </c>
      <c r="K208" s="2693">
        <f>Calculs!J128</f>
        <v>60</v>
      </c>
      <c r="L208" s="2694">
        <f t="shared" si="30"/>
        <v>1</v>
      </c>
      <c r="M208" s="2695">
        <f>IF('Saisie données stocks'!$O$10='TRAD-Saisie données stocks'!$B$51, 'Calculs Péremption FA'!BU33, Calculs!M288)+IF('Saisie données stocks'!$M$76='TRAD-Saisie données stocks'!$B$51, Calculs!N288, "0")+Calculs!P288</f>
        <v>0</v>
      </c>
      <c r="N208" s="2695">
        <f>Calculs!O179</f>
        <v>0</v>
      </c>
      <c r="O208" s="2695">
        <f>Calculs!N233</f>
        <v>0</v>
      </c>
      <c r="P208"/>
      <c r="Q208" s="231" t="e">
        <f>IF(Calculs!N233&gt;0, (-(Calculs!N233+2*Calculs!O179)+SQRT((Calculs!N233+2*Calculs!O179)*(Calculs!N233+2*Calculs!O179)+8*Calculs!N233*(M208)))/(2*Calculs!N233), ((M208)/Calculs!O179))</f>
        <v>#DIV/0!</v>
      </c>
      <c r="R208" s="236" t="e">
        <f>Q208-Paramétrage!$D$29</f>
        <v>#DIV/0!</v>
      </c>
      <c r="S208" s="241" t="e">
        <f>IF(Q208&lt;Paramétrage!$D$29, Q208, Paramétrage!$D$29)</f>
        <v>#DIV/0!</v>
      </c>
      <c r="T208" s="247" t="e">
        <f>Paramétrage!$H$19+R208*(365/12)</f>
        <v>#DIV/0!</v>
      </c>
      <c r="U208" s="248" t="e">
        <f>IF(Q208&lt;Paramétrage!$D$29, Paramétrage!$H$19+S208*(365/12), Paramétrage!$H$19+Q208*(365/12))</f>
        <v>#DIV/0!</v>
      </c>
      <c r="W208" s="231" t="str">
        <f t="shared" si="31"/>
        <v/>
      </c>
      <c r="X208" s="236" t="str">
        <f t="shared" si="32"/>
        <v/>
      </c>
      <c r="Y208" s="425" t="str">
        <f t="shared" si="33"/>
        <v/>
      </c>
      <c r="Z208" s="247" t="str">
        <f t="shared" si="34"/>
        <v/>
      </c>
      <c r="AA208" s="248" t="str">
        <f t="shared" si="35"/>
        <v/>
      </c>
      <c r="AC208" s="231" t="e">
        <f t="shared" si="36"/>
        <v>#DIV/0!</v>
      </c>
      <c r="AD208" s="236" t="e">
        <f>AC208-Paramétrage!$D$29</f>
        <v>#DIV/0!</v>
      </c>
      <c r="AE208" s="241" t="e">
        <f>IF(AC208&lt;Paramétrage!$D$29, AC208, Paramétrage!$D$29)</f>
        <v>#DIV/0!</v>
      </c>
      <c r="AF208" s="241" t="e">
        <f t="shared" si="37"/>
        <v>#DIV/0!</v>
      </c>
      <c r="AG208" s="247" t="e">
        <f>Paramétrage!$H$19+AD208*30</f>
        <v>#DIV/0!</v>
      </c>
      <c r="AH208" s="248" t="e">
        <f>IF(AC208&lt;Paramétrage!$D$29, Paramétrage!$H$19+AE208*30, Paramétrage!$H$19+AC208*30)</f>
        <v>#DIV/0!</v>
      </c>
      <c r="AI208" s="247">
        <f>'Saisie données stocks'!O166</f>
        <v>0</v>
      </c>
      <c r="AJ208" s="1832" t="str">
        <f>IF(ISERROR(Q208), "0", IF('Saisie données stocks'!O166="", "0", IF(U151&gt;'Saisie données stocks'!$N$14, IF(AI208&gt;(Paramétrage!$H$19+'Saisie données stocks'!$N$14*(365/12)), (AI208-(Paramétrage!$H$19+'Saisie données stocks'!$N$14*(365/12)))/(365/12), IF(AI208&gt;U151, (AI208-U151)/(365/12), "0")))))</f>
        <v>0</v>
      </c>
      <c r="AK208" s="236" t="str">
        <f>IF(ISERROR(Q151),"0", IF(Q151=0, "0", IF(Q151&gt;'Calculs Péremption FA'!$CB33, 'Calculs Péremption FA'!$CB33, Q151)))</f>
        <v>0</v>
      </c>
      <c r="AL208" s="241" t="str">
        <f>IF(ISERROR(AC208),"0", IF(AC208=0, "0", IF(AC208&gt;'Saisie données stocks'!$N$14, 'Saisie données stocks'!$N$14, AC208)))</f>
        <v>0</v>
      </c>
      <c r="AM208" s="248" t="str">
        <f>IF(ISERROR(Q208),AA208,IF(Calculs!P288=0,AA151,(Paramétrage!$H$19+((AJ208+AK208+AL208)*(365/12)))))</f>
        <v/>
      </c>
      <c r="AO208" s="231" t="str">
        <f>IF(ISERROR(AC208),"", IF(AC208=0, "", IF(AC208&gt;'Saisie données stocks'!$N$14, 'Saisie données stocks'!$N$14, AC208)))</f>
        <v/>
      </c>
      <c r="AP208" s="236" t="str">
        <f>IF(ISERROR(AC208),"", IF(AC208=0, "", IF(AC208&gt;'Calculs Péremption FA'!$CB33, 'Calculs Péremption FA'!$CB33-Paramétrage!$D$29, AD208)))</f>
        <v/>
      </c>
      <c r="AQ208" s="425" t="str">
        <f>IF(ISERROR(AC208),"", IF(AC208=0, "", IF(AC208&gt;'Calculs Péremption FA'!$CB33, Paramétrage!$D$29, AE208)))</f>
        <v/>
      </c>
      <c r="AR208" s="1833" t="str">
        <f t="shared" si="38"/>
        <v/>
      </c>
      <c r="AS208" s="247" t="str">
        <f>IF(ISERROR(AC208),"", IF(AC208=0, "", IF(AC208&gt;'Calculs Péremption FA'!$CB33, 'Calculs Péremption FA'!$BX33-Paramétrage!$D$29*(365/12), AG208)))</f>
        <v/>
      </c>
      <c r="AT208" s="248" t="str">
        <f>IF(ISERROR(AC208),"", IF(AC208=0, "", IF(AC208&gt;'Calculs Péremption FA'!$CB33, CONCATENATE('TRAD-Calculs dispo Données FA'!$B$88, " - ", 'Calculs Péremption FA'!$BY33, "/", 'Calculs Péremption FA'!$BZ33, "/", 'Calculs Péremption FA'!$CA33), AH208)))</f>
        <v/>
      </c>
      <c r="AV208" s="231" t="e">
        <f>(Calculs!Q288)/Calculs!O179</f>
        <v>#DIV/0!</v>
      </c>
      <c r="AW208" s="236" t="e">
        <f>AV208-Paramétrage!$D$29</f>
        <v>#DIV/0!</v>
      </c>
      <c r="AX208" s="241" t="e">
        <f>IF(AV208&lt;Paramétrage!$D$29, AV208, Paramétrage!$D$29)</f>
        <v>#DIV/0!</v>
      </c>
      <c r="AY208" s="247" t="e">
        <f>Paramétrage!$H$19+AW208*30</f>
        <v>#DIV/0!</v>
      </c>
      <c r="AZ208" s="248" t="e">
        <f>IF(AV208&lt;Paramétrage!$D$29, Paramétrage!$H$19+AX208*(365/12), Paramétrage!$H$19+AV208*(365/12))</f>
        <v>#DIV/0!</v>
      </c>
      <c r="BB208" s="231" t="str">
        <f>IF(ISERROR(AV208),"", IF(AV208=0, "", IF(AV208&gt;'Calculs Péremption FA'!$CB33, 'Calculs Péremption FA'!$CB33, AV208)))</f>
        <v/>
      </c>
      <c r="BC208" s="236" t="str">
        <f>IF(ISERROR(AV208),"", IF(AV208=0, "", IF(AV208&gt;'Calculs Péremption FA'!$CB33, 'Calculs Péremption FA'!$CB33-Paramétrage!$D$29, AW208)))</f>
        <v/>
      </c>
      <c r="BD208" s="425" t="str">
        <f>IF(ISERROR(AV208),"", IF(AV208=0, "", IF(AV208&gt;'Calculs Péremption FA'!$CB33, Paramétrage!$D$29, AX208)))</f>
        <v/>
      </c>
      <c r="BE208" s="247" t="str">
        <f>IF(ISERROR(AV208),"", IF(AV208=0, "", IF(AV208&gt;'Calculs Péremption FA'!$CB33, 'Calculs Péremption FA'!$BX33-Paramétrage!$D$29*(365/12), AY208)))</f>
        <v/>
      </c>
      <c r="BF208" s="248" t="str">
        <f>IF(ISERROR(AV208),"", IF(AV208=0, "", IF(AV208&gt;'Calculs Péremption FA'!$CB33, CONCATENATE('TRAD-Calculs dispo Données FA'!$B$88, " - ", 'Calculs Péremption FA'!$BY33, "/", 'Calculs Péremption FA'!$BZ33, "/", 'Calculs Péremption FA'!$CA33), AZ208)))</f>
        <v/>
      </c>
      <c r="BH208" s="231" t="e">
        <f t="shared" si="39"/>
        <v>#DIV/0!</v>
      </c>
      <c r="BI208" s="236" t="e">
        <f>BH208-Paramétrage!$D$29</f>
        <v>#DIV/0!</v>
      </c>
      <c r="BJ208" s="241" t="e">
        <f>IF(BH208&lt;Paramétrage!$D$29, BH208, Paramétrage!$D$29)</f>
        <v>#DIV/0!</v>
      </c>
      <c r="BK208" s="241" t="e">
        <f t="shared" si="40"/>
        <v>#DIV/0!</v>
      </c>
      <c r="BL208" s="247" t="e">
        <f>Paramétrage!$H$19+BI208*(365/12)</f>
        <v>#DIV/0!</v>
      </c>
      <c r="BM208" s="248" t="e">
        <f>IF(BH208&lt;Paramétrage!$D$29, Paramétrage!$H$19+BJ208*(365/12), Paramétrage!$H$19+BH208*(365/12))</f>
        <v>#DIV/0!</v>
      </c>
      <c r="BO208" s="231" t="str">
        <f>IF(ISERROR(BH208),"", IF(BH208=0, "", IF(BH208&gt;'Calculs Péremption FA'!$CB33, 'Calculs Péremption FA'!$CB33, BH208)))</f>
        <v/>
      </c>
      <c r="BP208" s="236" t="str">
        <f>IF(ISERROR(BH208),"", IF(BH208=0, "", IF(BH208&gt;'Calculs Péremption FA'!$CB33, 'Calculs Péremption FA'!$CB33-Paramétrage!$D$29, BI208)))</f>
        <v/>
      </c>
      <c r="BQ208" s="425" t="str">
        <f>IF(ISERROR(BH208),"", IF(BH208=0, "", IF(BH208&gt;'Calculs Péremption FA'!$CB33, Paramétrage!$D$29, BJ208)))</f>
        <v/>
      </c>
      <c r="BR208" s="1833" t="str">
        <f t="shared" si="41"/>
        <v/>
      </c>
      <c r="BS208" s="247" t="str">
        <f>IF(ISERROR(BH208),"", IF(BH208=0, "", IF(BH208&gt;'Calculs Péremption FA'!$CB33, 'Calculs Péremption FA'!$BX33-Paramétrage!$D$29*(365/12), BL208)))</f>
        <v/>
      </c>
      <c r="BT208" s="248" t="str">
        <f>IF(ISERROR(BH208),"", IF(BH208=0, "", IF(BH208&gt;'Calculs Péremption FA'!$CB33, CONCATENATE('TRAD-Calculs dispo Données FA'!$B$88, " - ", 'Calculs Péremption FA'!$BY33, "/", 'Calculs Péremption FA'!$BZ33, "/", 'Calculs Péremption FA'!$CA33), BM208)))</f>
        <v/>
      </c>
      <c r="BV208" s="2061">
        <f>Calculs!$Q288</f>
        <v>0</v>
      </c>
      <c r="BW208" s="2062">
        <f>Calculs!$O179</f>
        <v>0</v>
      </c>
      <c r="BX208" s="2068">
        <f>Calculs!$N233</f>
        <v>0</v>
      </c>
      <c r="BY208" s="2070" t="str">
        <f>IF(AND(BX208=0, BV208=0, BW208=0), 'TRAD-Calculs dispo Données FA'!$B$82, "")</f>
        <v>Stock et besoin nul</v>
      </c>
      <c r="BZ208" s="2062" t="str">
        <f>IF(AND(BX208=0, BV208&gt;0, BW208=0), CONCATENATE(BV208,'TRAD-Calculs dispo Données FA'!$B$80," =0"), "")</f>
        <v/>
      </c>
      <c r="CA208" s="2063" t="str">
        <f>IF(AND(BV208=0, OR(BW208&gt;=1, BX208&gt;=1)),'TRAD-Calculs dispo Données FA'!$B$81, "")</f>
        <v/>
      </c>
    </row>
    <row r="209" spans="3:79" s="358" customFormat="1" ht="25.5" x14ac:dyDescent="0.2">
      <c r="C209" s="2687"/>
      <c r="D209" s="2688"/>
      <c r="E209" s="2696" t="str">
        <f>'Saisie données stocks'!F46</f>
        <v>3TC</v>
      </c>
      <c r="F209" s="2697" t="str">
        <f>'Saisie données stocks'!G46</f>
        <v>Cp</v>
      </c>
      <c r="G209" s="2701" t="str">
        <f>'Saisie données stocks'!H46</f>
        <v>150 mg</v>
      </c>
      <c r="H209" s="2698" t="str">
        <f>CONCATENATE(E209, " - ", G209, " - ", 'TRAD-Calculs dispo Données FA'!$B$79,"/", K209)</f>
        <v>3TC - 150 mg - B/60</v>
      </c>
      <c r="I209" s="2698">
        <f>Calculs!K129</f>
        <v>2</v>
      </c>
      <c r="J209" s="2699">
        <f t="shared" si="29"/>
        <v>60</v>
      </c>
      <c r="K209" s="2693">
        <f>Calculs!J129</f>
        <v>60</v>
      </c>
      <c r="L209" s="2694">
        <f t="shared" si="30"/>
        <v>1</v>
      </c>
      <c r="M209" s="2695">
        <f>IF('Saisie données stocks'!$O$10='TRAD-Saisie données stocks'!$B$51, 'Calculs Péremption FA'!BU34, Calculs!M289)+IF('Saisie données stocks'!$M$76='TRAD-Saisie données stocks'!$B$51, Calculs!N289, "0")+Calculs!P289</f>
        <v>0</v>
      </c>
      <c r="N209" s="2695">
        <f>Calculs!O180</f>
        <v>0</v>
      </c>
      <c r="O209" s="2695">
        <f>Calculs!N234</f>
        <v>0</v>
      </c>
      <c r="P209"/>
      <c r="Q209" s="231" t="e">
        <f>IF(Calculs!N234&gt;0, (-(Calculs!N234+2*Calculs!O180)+SQRT((Calculs!N234+2*Calculs!O180)*(Calculs!N234+2*Calculs!O180)+8*Calculs!N234*(M209)))/(2*Calculs!N234), ((M209)/Calculs!O180))</f>
        <v>#DIV/0!</v>
      </c>
      <c r="R209" s="236" t="e">
        <f>Q209-Paramétrage!$D$29</f>
        <v>#DIV/0!</v>
      </c>
      <c r="S209" s="241" t="e">
        <f>IF(Q209&lt;Paramétrage!$D$29, Q209, Paramétrage!$D$29)</f>
        <v>#DIV/0!</v>
      </c>
      <c r="T209" s="247" t="e">
        <f>Paramétrage!$H$19+R209*(365/12)</f>
        <v>#DIV/0!</v>
      </c>
      <c r="U209" s="248" t="e">
        <f>IF(Q209&lt;Paramétrage!$D$29, Paramétrage!$H$19+S209*(365/12), Paramétrage!$H$19+Q209*(365/12))</f>
        <v>#DIV/0!</v>
      </c>
      <c r="W209" s="231" t="str">
        <f t="shared" si="31"/>
        <v/>
      </c>
      <c r="X209" s="236" t="str">
        <f t="shared" si="32"/>
        <v/>
      </c>
      <c r="Y209" s="425" t="str">
        <f t="shared" si="33"/>
        <v/>
      </c>
      <c r="Z209" s="247" t="str">
        <f t="shared" si="34"/>
        <v/>
      </c>
      <c r="AA209" s="248" t="str">
        <f t="shared" si="35"/>
        <v/>
      </c>
      <c r="AC209" s="231" t="e">
        <f t="shared" si="36"/>
        <v>#DIV/0!</v>
      </c>
      <c r="AD209" s="236" t="e">
        <f>AC209-Paramétrage!$D$29</f>
        <v>#DIV/0!</v>
      </c>
      <c r="AE209" s="241" t="e">
        <f>IF(AC209&lt;Paramétrage!$D$29, AC209, Paramétrage!$D$29)</f>
        <v>#DIV/0!</v>
      </c>
      <c r="AF209" s="241" t="e">
        <f t="shared" si="37"/>
        <v>#DIV/0!</v>
      </c>
      <c r="AG209" s="247" t="e">
        <f>Paramétrage!$H$19+AD209*30</f>
        <v>#DIV/0!</v>
      </c>
      <c r="AH209" s="248" t="e">
        <f>IF(AC209&lt;Paramétrage!$D$29, Paramétrage!$H$19+AE209*30, Paramétrage!$H$19+AC209*30)</f>
        <v>#DIV/0!</v>
      </c>
      <c r="AI209" s="247">
        <f>'Saisie données stocks'!O167</f>
        <v>0</v>
      </c>
      <c r="AJ209" s="1832" t="str">
        <f>IF(ISERROR(Q209), "0", IF('Saisie données stocks'!O167="", "0", IF(U152&gt;'Saisie données stocks'!$N$14, IF(AI209&gt;(Paramétrage!$H$19+'Saisie données stocks'!$N$14*(365/12)), (AI209-(Paramétrage!$H$19+'Saisie données stocks'!$N$14*(365/12)))/(365/12), IF(AI209&gt;U152, (AI209-U152)/(365/12), "0")))))</f>
        <v>0</v>
      </c>
      <c r="AK209" s="236" t="str">
        <f>IF(ISERROR(Q152),"0", IF(Q152=0, "0", IF(Q152&gt;'Calculs Péremption FA'!$CB34, 'Calculs Péremption FA'!$CB34, Q152)))</f>
        <v>0</v>
      </c>
      <c r="AL209" s="241" t="str">
        <f>IF(ISERROR(AC209),"0", IF(AC209=0, "0", IF(AC209&gt;'Saisie données stocks'!$N$14, 'Saisie données stocks'!$N$14, AC209)))</f>
        <v>0</v>
      </c>
      <c r="AM209" s="248" t="str">
        <f>IF(ISERROR(Q209),AA209,IF(Calculs!P289=0,AA152,(Paramétrage!$H$19+((AJ209+AK209+AL209)*(365/12)))))</f>
        <v/>
      </c>
      <c r="AO209" s="231" t="str">
        <f>IF(ISERROR(AC209),"", IF(AC209=0, "", IF(AC209&gt;'Saisie données stocks'!$N$14, 'Saisie données stocks'!$N$14, AC209)))</f>
        <v/>
      </c>
      <c r="AP209" s="236" t="str">
        <f>IF(ISERROR(AC209),"", IF(AC209=0, "", IF(AC209&gt;'Calculs Péremption FA'!$CB34, 'Calculs Péremption FA'!$CB34-Paramétrage!$D$29, AD209)))</f>
        <v/>
      </c>
      <c r="AQ209" s="425" t="str">
        <f>IF(ISERROR(AC209),"", IF(AC209=0, "", IF(AC209&gt;'Calculs Péremption FA'!$CB34, Paramétrage!$D$29, AE209)))</f>
        <v/>
      </c>
      <c r="AR209" s="1833" t="str">
        <f t="shared" si="38"/>
        <v/>
      </c>
      <c r="AS209" s="247" t="str">
        <f>IF(ISERROR(AC209),"", IF(AC209=0, "", IF(AC209&gt;'Calculs Péremption FA'!$CB34, 'Calculs Péremption FA'!$BX34-Paramétrage!$D$29*(365/12), AG209)))</f>
        <v/>
      </c>
      <c r="AT209" s="248" t="str">
        <f>IF(ISERROR(AC209),"", IF(AC209=0, "", IF(AC209&gt;'Calculs Péremption FA'!$CB34, CONCATENATE('TRAD-Calculs dispo Données FA'!$B$88, " - ", 'Calculs Péremption FA'!$BY34, "/", 'Calculs Péremption FA'!$BZ34, "/", 'Calculs Péremption FA'!$CA34), AH209)))</f>
        <v/>
      </c>
      <c r="AV209" s="231" t="e">
        <f>(Calculs!Q289)/Calculs!O180</f>
        <v>#DIV/0!</v>
      </c>
      <c r="AW209" s="236" t="e">
        <f>AV209-Paramétrage!$D$29</f>
        <v>#DIV/0!</v>
      </c>
      <c r="AX209" s="241" t="e">
        <f>IF(AV209&lt;Paramétrage!$D$29, AV209, Paramétrage!$D$29)</f>
        <v>#DIV/0!</v>
      </c>
      <c r="AY209" s="247" t="e">
        <f>Paramétrage!$H$19+AW209*30</f>
        <v>#DIV/0!</v>
      </c>
      <c r="AZ209" s="248" t="e">
        <f>IF(AV209&lt;Paramétrage!$D$29, Paramétrage!$H$19+AX209*(365/12), Paramétrage!$H$19+AV209*(365/12))</f>
        <v>#DIV/0!</v>
      </c>
      <c r="BB209" s="231" t="str">
        <f>IF(ISERROR(AV209),"", IF(AV209=0, "", IF(AV209&gt;'Calculs Péremption FA'!$CB34, 'Calculs Péremption FA'!$CB34, AV209)))</f>
        <v/>
      </c>
      <c r="BC209" s="236" t="str">
        <f>IF(ISERROR(AV209),"", IF(AV209=0, "", IF(AV209&gt;'Calculs Péremption FA'!$CB34, 'Calculs Péremption FA'!$CB34-Paramétrage!$D$29, AW209)))</f>
        <v/>
      </c>
      <c r="BD209" s="425" t="str">
        <f>IF(ISERROR(AV209),"", IF(AV209=0, "", IF(AV209&gt;'Calculs Péremption FA'!$CB34, Paramétrage!$D$29, AX209)))</f>
        <v/>
      </c>
      <c r="BE209" s="247" t="str">
        <f>IF(ISERROR(AV209),"", IF(AV209=0, "", IF(AV209&gt;'Calculs Péremption FA'!$CB34, 'Calculs Péremption FA'!$BX34-Paramétrage!$D$29*(365/12), AY209)))</f>
        <v/>
      </c>
      <c r="BF209" s="248" t="str">
        <f>IF(ISERROR(AV209),"", IF(AV209=0, "", IF(AV209&gt;'Calculs Péremption FA'!$CB34, CONCATENATE('TRAD-Calculs dispo Données FA'!$B$88, " - ", 'Calculs Péremption FA'!$BY34, "/", 'Calculs Péremption FA'!$BZ34, "/", 'Calculs Péremption FA'!$CA34), AZ209)))</f>
        <v/>
      </c>
      <c r="BH209" s="231" t="e">
        <f t="shared" si="39"/>
        <v>#DIV/0!</v>
      </c>
      <c r="BI209" s="236" t="e">
        <f>BH209-Paramétrage!$D$29</f>
        <v>#DIV/0!</v>
      </c>
      <c r="BJ209" s="241" t="e">
        <f>IF(BH209&lt;Paramétrage!$D$29, BH209, Paramétrage!$D$29)</f>
        <v>#DIV/0!</v>
      </c>
      <c r="BK209" s="241" t="e">
        <f t="shared" si="40"/>
        <v>#DIV/0!</v>
      </c>
      <c r="BL209" s="247" t="e">
        <f>Paramétrage!$H$19+BI209*(365/12)</f>
        <v>#DIV/0!</v>
      </c>
      <c r="BM209" s="248" t="e">
        <f>IF(BH209&lt;Paramétrage!$D$29, Paramétrage!$H$19+BJ209*(365/12), Paramétrage!$H$19+BH209*(365/12))</f>
        <v>#DIV/0!</v>
      </c>
      <c r="BO209" s="231" t="str">
        <f>IF(ISERROR(BH209),"", IF(BH209=0, "", IF(BH209&gt;'Calculs Péremption FA'!$CB34, 'Calculs Péremption FA'!$CB34, BH209)))</f>
        <v/>
      </c>
      <c r="BP209" s="236" t="str">
        <f>IF(ISERROR(BH209),"", IF(BH209=0, "", IF(BH209&gt;'Calculs Péremption FA'!$CB34, 'Calculs Péremption FA'!$CB34-Paramétrage!$D$29, BI209)))</f>
        <v/>
      </c>
      <c r="BQ209" s="425" t="str">
        <f>IF(ISERROR(BH209),"", IF(BH209=0, "", IF(BH209&gt;'Calculs Péremption FA'!$CB34, Paramétrage!$D$29, BJ209)))</f>
        <v/>
      </c>
      <c r="BR209" s="1833" t="str">
        <f t="shared" si="41"/>
        <v/>
      </c>
      <c r="BS209" s="247" t="str">
        <f>IF(ISERROR(BH209),"", IF(BH209=0, "", IF(BH209&gt;'Calculs Péremption FA'!$CB34, 'Calculs Péremption FA'!$BX34-Paramétrage!$D$29*(365/12), BL209)))</f>
        <v/>
      </c>
      <c r="BT209" s="248" t="str">
        <f>IF(ISERROR(BH209),"", IF(BH209=0, "", IF(BH209&gt;'Calculs Péremption FA'!$CB34, CONCATENATE('TRAD-Calculs dispo Données FA'!$B$88, " - ", 'Calculs Péremption FA'!$BY34, "/", 'Calculs Péremption FA'!$BZ34, "/", 'Calculs Péremption FA'!$CA34), BM209)))</f>
        <v/>
      </c>
      <c r="BV209" s="2061">
        <f>Calculs!$Q289</f>
        <v>0</v>
      </c>
      <c r="BW209" s="2062">
        <f>Calculs!$O180</f>
        <v>0</v>
      </c>
      <c r="BX209" s="2068">
        <f>Calculs!$N234</f>
        <v>0</v>
      </c>
      <c r="BY209" s="2070" t="str">
        <f>IF(AND(BX209=0, BV209=0, BW209=0), 'TRAD-Calculs dispo Données FA'!$B$82, "")</f>
        <v>Stock et besoin nul</v>
      </c>
      <c r="BZ209" s="2062" t="str">
        <f>IF(AND(BX209=0, BV209&gt;0, BW209=0), CONCATENATE(BV209,'TRAD-Calculs dispo Données FA'!$B$80," =0"), "")</f>
        <v/>
      </c>
      <c r="CA209" s="2063" t="str">
        <f>IF(AND(BV209=0, OR(BW209&gt;=1, BX209&gt;=1)),'TRAD-Calculs dispo Données FA'!$B$81, "")</f>
        <v/>
      </c>
    </row>
    <row r="210" spans="3:79" s="358" customFormat="1" ht="25.5" x14ac:dyDescent="0.2">
      <c r="C210" s="2687"/>
      <c r="D210" s="2688"/>
      <c r="E210" s="2696" t="str">
        <f>'Saisie données stocks'!F47</f>
        <v>3TC</v>
      </c>
      <c r="F210" s="2697" t="str">
        <f>'Saisie données stocks'!G47</f>
        <v>Cp</v>
      </c>
      <c r="G210" s="2701" t="str">
        <f>'Saisie données stocks'!H47</f>
        <v>30 mg</v>
      </c>
      <c r="H210" s="2698" t="str">
        <f>CONCATENATE(E210, " - ", G210, " - ", 'TRAD-Calculs dispo Données FA'!$B$79,"/", K210)</f>
        <v>3TC - 30 mg - B/60</v>
      </c>
      <c r="I210" s="2698">
        <f>Calculs!K130</f>
        <v>2</v>
      </c>
      <c r="J210" s="2699">
        <f t="shared" si="29"/>
        <v>60</v>
      </c>
      <c r="K210" s="2693">
        <f>Calculs!J130</f>
        <v>60</v>
      </c>
      <c r="L210" s="2694">
        <f t="shared" si="30"/>
        <v>1</v>
      </c>
      <c r="M210" s="2695">
        <f>IF('Saisie données stocks'!$O$10='TRAD-Saisie données stocks'!$B$51, 'Calculs Péremption FA'!BU35, Calculs!M290)+IF('Saisie données stocks'!$M$76='TRAD-Saisie données stocks'!$B$51, Calculs!N290, "0")+Calculs!P290</f>
        <v>0</v>
      </c>
      <c r="N210" s="2695">
        <f>Calculs!O181</f>
        <v>0</v>
      </c>
      <c r="O210" s="2695">
        <f>Calculs!N235</f>
        <v>0</v>
      </c>
      <c r="P210"/>
      <c r="Q210" s="231" t="e">
        <f>IF(Calculs!N235&gt;0, (-(Calculs!N235+2*Calculs!O181)+SQRT((Calculs!N235+2*Calculs!O181)*(Calculs!N235+2*Calculs!O181)+8*Calculs!N235*(M210)))/(2*Calculs!N235), ((M210)/Calculs!O181))</f>
        <v>#DIV/0!</v>
      </c>
      <c r="R210" s="236" t="e">
        <f>Q210-Paramétrage!$D$29</f>
        <v>#DIV/0!</v>
      </c>
      <c r="S210" s="241" t="e">
        <f>IF(Q210&lt;Paramétrage!$D$29, Q210, Paramétrage!$D$29)</f>
        <v>#DIV/0!</v>
      </c>
      <c r="T210" s="247" t="e">
        <f>Paramétrage!$H$19+R210*(365/12)</f>
        <v>#DIV/0!</v>
      </c>
      <c r="U210" s="248" t="e">
        <f>IF(Q210&lt;Paramétrage!$D$29, Paramétrage!$H$19+S210*(365/12), Paramétrage!$H$19+Q210*(365/12))</f>
        <v>#DIV/0!</v>
      </c>
      <c r="W210" s="231" t="str">
        <f t="shared" si="31"/>
        <v/>
      </c>
      <c r="X210" s="236" t="str">
        <f t="shared" si="32"/>
        <v/>
      </c>
      <c r="Y210" s="425" t="str">
        <f t="shared" si="33"/>
        <v/>
      </c>
      <c r="Z210" s="247" t="str">
        <f t="shared" si="34"/>
        <v/>
      </c>
      <c r="AA210" s="248" t="str">
        <f t="shared" si="35"/>
        <v/>
      </c>
      <c r="AC210" s="231" t="e">
        <f t="shared" si="36"/>
        <v>#DIV/0!</v>
      </c>
      <c r="AD210" s="236" t="e">
        <f>AC210-Paramétrage!$D$29</f>
        <v>#DIV/0!</v>
      </c>
      <c r="AE210" s="241" t="e">
        <f>IF(AC210&lt;Paramétrage!$D$29, AC210, Paramétrage!$D$29)</f>
        <v>#DIV/0!</v>
      </c>
      <c r="AF210" s="241" t="e">
        <f t="shared" si="37"/>
        <v>#DIV/0!</v>
      </c>
      <c r="AG210" s="247" t="e">
        <f>Paramétrage!$H$19+AD210*30</f>
        <v>#DIV/0!</v>
      </c>
      <c r="AH210" s="248" t="e">
        <f>IF(AC210&lt;Paramétrage!$D$29, Paramétrage!$H$19+AE210*30, Paramétrage!$H$19+AC210*30)</f>
        <v>#DIV/0!</v>
      </c>
      <c r="AI210" s="247">
        <f>'Saisie données stocks'!O168</f>
        <v>0</v>
      </c>
      <c r="AJ210" s="1832" t="str">
        <f>IF(ISERROR(Q210), "0", IF('Saisie données stocks'!O168="", "0", IF(U153&gt;'Saisie données stocks'!$N$14, IF(AI210&gt;(Paramétrage!$H$19+'Saisie données stocks'!$N$14*(365/12)), (AI210-(Paramétrage!$H$19+'Saisie données stocks'!$N$14*(365/12)))/(365/12), IF(AI210&gt;U153, (AI210-U153)/(365/12), "0")))))</f>
        <v>0</v>
      </c>
      <c r="AK210" s="236" t="str">
        <f>IF(ISERROR(Q153),"0", IF(Q153=0, "0", IF(Q153&gt;'Calculs Péremption FA'!$CB35, 'Calculs Péremption FA'!$CB35, Q153)))</f>
        <v>0</v>
      </c>
      <c r="AL210" s="241" t="str">
        <f>IF(ISERROR(AC210),"0", IF(AC210=0, "0", IF(AC210&gt;'Saisie données stocks'!$N$14, 'Saisie données stocks'!$N$14, AC210)))</f>
        <v>0</v>
      </c>
      <c r="AM210" s="248" t="str">
        <f>IF(ISERROR(Q210),AA210,IF(Calculs!P290=0,AA153,(Paramétrage!$H$19+((AJ210+AK210+AL210)*(365/12)))))</f>
        <v/>
      </c>
      <c r="AO210" s="231" t="str">
        <f>IF(ISERROR(AC210),"", IF(AC210=0, "", IF(AC210&gt;'Saisie données stocks'!$N$14, 'Saisie données stocks'!$N$14, AC210)))</f>
        <v/>
      </c>
      <c r="AP210" s="236" t="str">
        <f>IF(ISERROR(AC210),"", IF(AC210=0, "", IF(AC210&gt;'Calculs Péremption FA'!$CB35, 'Calculs Péremption FA'!$CB35-Paramétrage!$D$29, AD210)))</f>
        <v/>
      </c>
      <c r="AQ210" s="425" t="str">
        <f>IF(ISERROR(AC210),"", IF(AC210=0, "", IF(AC210&gt;'Calculs Péremption FA'!$CB35, Paramétrage!$D$29, AE210)))</f>
        <v/>
      </c>
      <c r="AR210" s="1833" t="str">
        <f t="shared" si="38"/>
        <v/>
      </c>
      <c r="AS210" s="247" t="str">
        <f>IF(ISERROR(AC210),"", IF(AC210=0, "", IF(AC210&gt;'Calculs Péremption FA'!$CB35, 'Calculs Péremption FA'!$BX35-Paramétrage!$D$29*(365/12), AG210)))</f>
        <v/>
      </c>
      <c r="AT210" s="248" t="str">
        <f>IF(ISERROR(AC210),"", IF(AC210=0, "", IF(AC210&gt;'Calculs Péremption FA'!$CB35, CONCATENATE('TRAD-Calculs dispo Données FA'!$B$88, " - ", 'Calculs Péremption FA'!$BY35, "/", 'Calculs Péremption FA'!$BZ35, "/", 'Calculs Péremption FA'!$CA35), AH210)))</f>
        <v/>
      </c>
      <c r="AV210" s="231" t="e">
        <f>(Calculs!Q290)/Calculs!O181</f>
        <v>#DIV/0!</v>
      </c>
      <c r="AW210" s="236" t="e">
        <f>AV210-Paramétrage!$D$29</f>
        <v>#DIV/0!</v>
      </c>
      <c r="AX210" s="241" t="e">
        <f>IF(AV210&lt;Paramétrage!$D$29, AV210, Paramétrage!$D$29)</f>
        <v>#DIV/0!</v>
      </c>
      <c r="AY210" s="247" t="e">
        <f>Paramétrage!$H$19+AW210*30</f>
        <v>#DIV/0!</v>
      </c>
      <c r="AZ210" s="248" t="e">
        <f>IF(AV210&lt;Paramétrage!$D$29, Paramétrage!$H$19+AX210*(365/12), Paramétrage!$H$19+AV210*(365/12))</f>
        <v>#DIV/0!</v>
      </c>
      <c r="BB210" s="231" t="str">
        <f>IF(ISERROR(AV210),"", IF(AV210=0, "", IF(AV210&gt;'Calculs Péremption FA'!$CB35, 'Calculs Péremption FA'!$CB35, AV210)))</f>
        <v/>
      </c>
      <c r="BC210" s="236" t="str">
        <f>IF(ISERROR(AV210),"", IF(AV210=0, "", IF(AV210&gt;'Calculs Péremption FA'!$CB35, 'Calculs Péremption FA'!$CB35-Paramétrage!$D$29, AW210)))</f>
        <v/>
      </c>
      <c r="BD210" s="425" t="str">
        <f>IF(ISERROR(AV210),"", IF(AV210=0, "", IF(AV210&gt;'Calculs Péremption FA'!$CB35, Paramétrage!$D$29, AX210)))</f>
        <v/>
      </c>
      <c r="BE210" s="247" t="str">
        <f>IF(ISERROR(AV210),"", IF(AV210=0, "", IF(AV210&gt;'Calculs Péremption FA'!$CB35, 'Calculs Péremption FA'!$BX35-Paramétrage!$D$29*(365/12), AY210)))</f>
        <v/>
      </c>
      <c r="BF210" s="248" t="str">
        <f>IF(ISERROR(AV210),"", IF(AV210=0, "", IF(AV210&gt;'Calculs Péremption FA'!$CB35, CONCATENATE('TRAD-Calculs dispo Données FA'!$B$88, " - ", 'Calculs Péremption FA'!$BY35, "/", 'Calculs Péremption FA'!$BZ35, "/", 'Calculs Péremption FA'!$CA35), AZ210)))</f>
        <v/>
      </c>
      <c r="BH210" s="231" t="e">
        <f t="shared" si="39"/>
        <v>#DIV/0!</v>
      </c>
      <c r="BI210" s="236" t="e">
        <f>BH210-Paramétrage!$D$29</f>
        <v>#DIV/0!</v>
      </c>
      <c r="BJ210" s="241" t="e">
        <f>IF(BH210&lt;Paramétrage!$D$29, BH210, Paramétrage!$D$29)</f>
        <v>#DIV/0!</v>
      </c>
      <c r="BK210" s="241" t="e">
        <f t="shared" si="40"/>
        <v>#DIV/0!</v>
      </c>
      <c r="BL210" s="247" t="e">
        <f>Paramétrage!$H$19+BI210*(365/12)</f>
        <v>#DIV/0!</v>
      </c>
      <c r="BM210" s="248" t="e">
        <f>IF(BH210&lt;Paramétrage!$D$29, Paramétrage!$H$19+BJ210*(365/12), Paramétrage!$H$19+BH210*(365/12))</f>
        <v>#DIV/0!</v>
      </c>
      <c r="BO210" s="231" t="str">
        <f>IF(ISERROR(BH210),"", IF(BH210=0, "", IF(BH210&gt;'Calculs Péremption FA'!$CB35, 'Calculs Péremption FA'!$CB35, BH210)))</f>
        <v/>
      </c>
      <c r="BP210" s="236" t="str">
        <f>IF(ISERROR(BH210),"", IF(BH210=0, "", IF(BH210&gt;'Calculs Péremption FA'!$CB35, 'Calculs Péremption FA'!$CB35-Paramétrage!$D$29, BI210)))</f>
        <v/>
      </c>
      <c r="BQ210" s="425" t="str">
        <f>IF(ISERROR(BH210),"", IF(BH210=0, "", IF(BH210&gt;'Calculs Péremption FA'!$CB35, Paramétrage!$D$29, BJ210)))</f>
        <v/>
      </c>
      <c r="BR210" s="1833" t="str">
        <f t="shared" si="41"/>
        <v/>
      </c>
      <c r="BS210" s="247" t="str">
        <f>IF(ISERROR(BH210),"", IF(BH210=0, "", IF(BH210&gt;'Calculs Péremption FA'!$CB35, 'Calculs Péremption FA'!$BX35-Paramétrage!$D$29*(365/12), BL210)))</f>
        <v/>
      </c>
      <c r="BT210" s="248" t="str">
        <f>IF(ISERROR(BH210),"", IF(BH210=0, "", IF(BH210&gt;'Calculs Péremption FA'!$CB35, CONCATENATE('TRAD-Calculs dispo Données FA'!$B$88, " - ", 'Calculs Péremption FA'!$BY35, "/", 'Calculs Péremption FA'!$BZ35, "/", 'Calculs Péremption FA'!$CA35), BM210)))</f>
        <v/>
      </c>
      <c r="BV210" s="2061">
        <f>Calculs!$Q290</f>
        <v>0</v>
      </c>
      <c r="BW210" s="2062">
        <f>Calculs!$O181</f>
        <v>0</v>
      </c>
      <c r="BX210" s="2068">
        <f>Calculs!$N235</f>
        <v>0</v>
      </c>
      <c r="BY210" s="2070" t="str">
        <f>IF(AND(BX210=0, BV210=0, BW210=0), 'TRAD-Calculs dispo Données FA'!$B$82, "")</f>
        <v>Stock et besoin nul</v>
      </c>
      <c r="BZ210" s="2062" t="str">
        <f>IF(AND(BX210=0, BV210&gt;0, BW210=0), CONCATENATE(BV210,'TRAD-Calculs dispo Données FA'!$B$80," =0"), "")</f>
        <v/>
      </c>
      <c r="CA210" s="2063" t="str">
        <f>IF(AND(BV210=0, OR(BW210&gt;=1, BX210&gt;=1)),'TRAD-Calculs dispo Données FA'!$B$81, "")</f>
        <v/>
      </c>
    </row>
    <row r="211" spans="3:79" s="358" customFormat="1" ht="25.5" x14ac:dyDescent="0.2">
      <c r="C211" s="2687"/>
      <c r="D211" s="2688"/>
      <c r="E211" s="2700" t="str">
        <f>'Saisie données stocks'!F48</f>
        <v>DDI</v>
      </c>
      <c r="F211" s="2701" t="str">
        <f>'Saisie données stocks'!G48</f>
        <v>Cp</v>
      </c>
      <c r="G211" s="2701" t="str">
        <f>'Saisie données stocks'!H48</f>
        <v>250 mg</v>
      </c>
      <c r="H211" s="2702" t="str">
        <f>CONCATENATE(E211, " - ", G211, " - ", 'TRAD-Calculs dispo Données FA'!$B$79,"/", K211)</f>
        <v>DDI - 250 mg - B/30</v>
      </c>
      <c r="I211" s="2702">
        <f>Calculs!K131</f>
        <v>1</v>
      </c>
      <c r="J211" s="2703">
        <f t="shared" si="29"/>
        <v>30</v>
      </c>
      <c r="K211" s="2704">
        <f>Calculs!J131</f>
        <v>30</v>
      </c>
      <c r="L211" s="2705">
        <f t="shared" si="30"/>
        <v>1</v>
      </c>
      <c r="M211" s="2695">
        <f>IF('Saisie données stocks'!$O$10='TRAD-Saisie données stocks'!$B$51, 'Calculs Péremption FA'!BU36, Calculs!M291)+IF('Saisie données stocks'!$M$76='TRAD-Saisie données stocks'!$B$51, Calculs!N291, "0")+Calculs!P291</f>
        <v>0</v>
      </c>
      <c r="N211" s="2695">
        <f>Calculs!O182</f>
        <v>0</v>
      </c>
      <c r="O211" s="2695">
        <f>Calculs!N236</f>
        <v>0</v>
      </c>
      <c r="P211"/>
      <c r="Q211" s="231" t="e">
        <f>IF(Calculs!N236&gt;0, (-(Calculs!N236+2*Calculs!O182)+SQRT((Calculs!N236+2*Calculs!O182)*(Calculs!N236+2*Calculs!O182)+8*Calculs!N236*(M211)))/(2*Calculs!N236), ((M211)/Calculs!O182))</f>
        <v>#DIV/0!</v>
      </c>
      <c r="R211" s="1721" t="e">
        <f>Q211-Paramétrage!$D$29</f>
        <v>#DIV/0!</v>
      </c>
      <c r="S211" s="1837" t="e">
        <f>IF(Q211&lt;Paramétrage!$D$29, Q211, Paramétrage!$D$29)</f>
        <v>#DIV/0!</v>
      </c>
      <c r="T211" s="1838" t="e">
        <f>Paramétrage!$H$19+R211*(365/12)</f>
        <v>#DIV/0!</v>
      </c>
      <c r="U211" s="1839" t="e">
        <f>IF(Q211&lt;Paramétrage!$D$29, Paramétrage!$H$19+S211*(365/12), Paramétrage!$H$19+Q211*(365/12))</f>
        <v>#DIV/0!</v>
      </c>
      <c r="W211" s="231" t="str">
        <f t="shared" si="31"/>
        <v/>
      </c>
      <c r="X211" s="1721" t="str">
        <f t="shared" si="32"/>
        <v/>
      </c>
      <c r="Y211" s="1840" t="str">
        <f t="shared" si="33"/>
        <v/>
      </c>
      <c r="Z211" s="1838" t="str">
        <f t="shared" si="34"/>
        <v/>
      </c>
      <c r="AA211" s="1839" t="str">
        <f t="shared" si="35"/>
        <v/>
      </c>
      <c r="AC211" s="231" t="e">
        <f t="shared" si="36"/>
        <v>#DIV/0!</v>
      </c>
      <c r="AD211" s="1721" t="e">
        <f>AC211-Paramétrage!$D$29</f>
        <v>#DIV/0!</v>
      </c>
      <c r="AE211" s="1837" t="e">
        <f>IF(AC211&lt;Paramétrage!$D$29, AC211, Paramétrage!$D$29)</f>
        <v>#DIV/0!</v>
      </c>
      <c r="AF211" s="1837" t="e">
        <f t="shared" si="37"/>
        <v>#DIV/0!</v>
      </c>
      <c r="AG211" s="1838" t="e">
        <f>Paramétrage!$H$19+AD211*30</f>
        <v>#DIV/0!</v>
      </c>
      <c r="AH211" s="1839" t="e">
        <f>IF(AC211&lt;Paramétrage!$D$29, Paramétrage!$H$19+AE211*30, Paramétrage!$H$19+AC211*30)</f>
        <v>#DIV/0!</v>
      </c>
      <c r="AI211" s="1838">
        <f>'Saisie données stocks'!O169</f>
        <v>0</v>
      </c>
      <c r="AJ211" s="1841" t="str">
        <f>IF(ISERROR(Q211), "0", IF('Saisie données stocks'!O169="", "0", IF(U154&gt;'Saisie données stocks'!$N$14, IF(AI211&gt;(Paramétrage!$H$19+'Saisie données stocks'!$N$14*(365/12)), (AI211-(Paramétrage!$H$19+'Saisie données stocks'!$N$14*(365/12)))/(365/12), IF(AI211&gt;U154, (AI211-U154)/(365/12), "0")))))</f>
        <v>0</v>
      </c>
      <c r="AK211" s="1721" t="str">
        <f>IF(ISERROR(Q154),"0", IF(Q154=0, "0", IF(Q154&gt;'Calculs Péremption FA'!$CB36, 'Calculs Péremption FA'!$CB36, Q154)))</f>
        <v>0</v>
      </c>
      <c r="AL211" s="1837" t="str">
        <f>IF(ISERROR(AC211),"0", IF(AC211=0, "0", IF(AC211&gt;'Saisie données stocks'!$N$14, 'Saisie données stocks'!$N$14, AC211)))</f>
        <v>0</v>
      </c>
      <c r="AM211" s="1839" t="str">
        <f>IF(ISERROR(Q211),AA211,IF(Calculs!P291=0,AA154,(Paramétrage!$H$19+((AJ211+AK211+AL211)*(365/12)))))</f>
        <v/>
      </c>
      <c r="AO211" s="231" t="str">
        <f>IF(ISERROR(AC211),"", IF(AC211=0, "", IF(AC211&gt;'Saisie données stocks'!$N$14, 'Saisie données stocks'!$N$14, AC211)))</f>
        <v/>
      </c>
      <c r="AP211" s="1721" t="str">
        <f>IF(ISERROR(AC211),"", IF(AC211=0, "", IF(AC211&gt;'Calculs Péremption FA'!$CB36, 'Calculs Péremption FA'!$CB36-Paramétrage!$D$29, AD211)))</f>
        <v/>
      </c>
      <c r="AQ211" s="1840" t="str">
        <f>IF(ISERROR(AC211),"", IF(AC211=0, "", IF(AC211&gt;'Calculs Péremption FA'!$CB36, Paramétrage!$D$29, AE211)))</f>
        <v/>
      </c>
      <c r="AR211" s="1842" t="str">
        <f t="shared" si="38"/>
        <v/>
      </c>
      <c r="AS211" s="1838" t="str">
        <f>IF(ISERROR(AC211),"", IF(AC211=0, "", IF(AC211&gt;'Calculs Péremption FA'!$CB36, 'Calculs Péremption FA'!$BX36-Paramétrage!$D$29*(365/12), AG211)))</f>
        <v/>
      </c>
      <c r="AT211" s="1839" t="str">
        <f>IF(ISERROR(AC211),"", IF(AC211=0, "", IF(AC211&gt;'Calculs Péremption FA'!$CB36, CONCATENATE('TRAD-Calculs dispo Données FA'!$B$88, " - ", 'Calculs Péremption FA'!$BY36, "/", 'Calculs Péremption FA'!$BZ36, "/", 'Calculs Péremption FA'!$CA36), AH211)))</f>
        <v/>
      </c>
      <c r="AV211" s="231" t="e">
        <f>(Calculs!Q291)/Calculs!O182</f>
        <v>#DIV/0!</v>
      </c>
      <c r="AW211" s="1721" t="e">
        <f>AV211-Paramétrage!$D$29</f>
        <v>#DIV/0!</v>
      </c>
      <c r="AX211" s="1837" t="e">
        <f>IF(AV211&lt;Paramétrage!$D$29, AV211, Paramétrage!$D$29)</f>
        <v>#DIV/0!</v>
      </c>
      <c r="AY211" s="1838" t="e">
        <f>Paramétrage!$H$19+AW211*30</f>
        <v>#DIV/0!</v>
      </c>
      <c r="AZ211" s="1839" t="e">
        <f>IF(AV211&lt;Paramétrage!$D$29, Paramétrage!$H$19+AX211*(365/12), Paramétrage!$H$19+AV211*(365/12))</f>
        <v>#DIV/0!</v>
      </c>
      <c r="BB211" s="231" t="str">
        <f>IF(ISERROR(AV211),"", IF(AV211=0, "", IF(AV211&gt;'Calculs Péremption FA'!$CB36, 'Calculs Péremption FA'!$CB36, AV211)))</f>
        <v/>
      </c>
      <c r="BC211" s="1721" t="str">
        <f>IF(ISERROR(AV211),"", IF(AV211=0, "", IF(AV211&gt;'Calculs Péremption FA'!$CB36, 'Calculs Péremption FA'!$CB36-Paramétrage!$D$29, AW211)))</f>
        <v/>
      </c>
      <c r="BD211" s="1840" t="str">
        <f>IF(ISERROR(AV211),"", IF(AV211=0, "", IF(AV211&gt;'Calculs Péremption FA'!$CB36, Paramétrage!$D$29, AX211)))</f>
        <v/>
      </c>
      <c r="BE211" s="1838" t="str">
        <f>IF(ISERROR(AV211),"", IF(AV211=0, "", IF(AV211&gt;'Calculs Péremption FA'!$CB36, 'Calculs Péremption FA'!$BX36-Paramétrage!$D$29*(365/12), AY211)))</f>
        <v/>
      </c>
      <c r="BF211" s="1839" t="str">
        <f>IF(ISERROR(AV211),"", IF(AV211=0, "", IF(AV211&gt;'Calculs Péremption FA'!$CB36, CONCATENATE('TRAD-Calculs dispo Données FA'!$B$88, " - ", 'Calculs Péremption FA'!$BY36, "/", 'Calculs Péremption FA'!$BZ36, "/", 'Calculs Péremption FA'!$CA36), AZ211)))</f>
        <v/>
      </c>
      <c r="BH211" s="231" t="e">
        <f t="shared" si="39"/>
        <v>#DIV/0!</v>
      </c>
      <c r="BI211" s="1721" t="e">
        <f>BH211-Paramétrage!$D$29</f>
        <v>#DIV/0!</v>
      </c>
      <c r="BJ211" s="1837" t="e">
        <f>IF(BH211&lt;Paramétrage!$D$29, BH211, Paramétrage!$D$29)</f>
        <v>#DIV/0!</v>
      </c>
      <c r="BK211" s="1837" t="e">
        <f t="shared" si="40"/>
        <v>#DIV/0!</v>
      </c>
      <c r="BL211" s="1838" t="e">
        <f>Paramétrage!$H$19+BI211*(365/12)</f>
        <v>#DIV/0!</v>
      </c>
      <c r="BM211" s="1839" t="e">
        <f>IF(BH211&lt;Paramétrage!$D$29, Paramétrage!$H$19+BJ211*(365/12), Paramétrage!$H$19+BH211*(365/12))</f>
        <v>#DIV/0!</v>
      </c>
      <c r="BO211" s="231" t="str">
        <f>IF(ISERROR(BH211),"", IF(BH211=0, "", IF(BH211&gt;'Calculs Péremption FA'!$CB36, 'Calculs Péremption FA'!$CB36, BH211)))</f>
        <v/>
      </c>
      <c r="BP211" s="1721" t="str">
        <f>IF(ISERROR(BH211),"", IF(BH211=0, "", IF(BH211&gt;'Calculs Péremption FA'!$CB36, 'Calculs Péremption FA'!$CB36-Paramétrage!$D$29, BI211)))</f>
        <v/>
      </c>
      <c r="BQ211" s="1840" t="str">
        <f>IF(ISERROR(BH211),"", IF(BH211=0, "", IF(BH211&gt;'Calculs Péremption FA'!$CB36, Paramétrage!$D$29, BJ211)))</f>
        <v/>
      </c>
      <c r="BR211" s="1842" t="str">
        <f t="shared" si="41"/>
        <v/>
      </c>
      <c r="BS211" s="1838" t="str">
        <f>IF(ISERROR(BH211),"", IF(BH211=0, "", IF(BH211&gt;'Calculs Péremption FA'!$CB36, 'Calculs Péremption FA'!$BX36-Paramétrage!$D$29*(365/12), BL211)))</f>
        <v/>
      </c>
      <c r="BT211" s="1839" t="str">
        <f>IF(ISERROR(BH211),"", IF(BH211=0, "", IF(BH211&gt;'Calculs Péremption FA'!$CB36, CONCATENATE('TRAD-Calculs dispo Données FA'!$B$88, " - ", 'Calculs Péremption FA'!$BY36, "/", 'Calculs Péremption FA'!$BZ36, "/", 'Calculs Péremption FA'!$CA36), BM211)))</f>
        <v/>
      </c>
      <c r="BV211" s="2061">
        <f>Calculs!$Q291</f>
        <v>0</v>
      </c>
      <c r="BW211" s="2062">
        <f>Calculs!$O182</f>
        <v>0</v>
      </c>
      <c r="BX211" s="2068">
        <f>Calculs!$N236</f>
        <v>0</v>
      </c>
      <c r="BY211" s="2070" t="str">
        <f>IF(AND(BX211=0, BV211=0, BW211=0), 'TRAD-Calculs dispo Données FA'!$B$82, "")</f>
        <v>Stock et besoin nul</v>
      </c>
      <c r="BZ211" s="2062" t="str">
        <f>IF(AND(BX211=0, BV211&gt;0, BW211=0), CONCATENATE(BV211,'TRAD-Calculs dispo Données FA'!$B$80," =0"), "")</f>
        <v/>
      </c>
      <c r="CA211" s="2063" t="str">
        <f>IF(AND(BV211=0, OR(BW211&gt;=1, BX211&gt;=1)),'TRAD-Calculs dispo Données FA'!$B$81, "")</f>
        <v/>
      </c>
    </row>
    <row r="212" spans="3:79" s="358" customFormat="1" ht="25.5" x14ac:dyDescent="0.2">
      <c r="C212" s="2687"/>
      <c r="D212" s="2688"/>
      <c r="E212" s="2700" t="str">
        <f>'Saisie données stocks'!F49</f>
        <v>DDI</v>
      </c>
      <c r="F212" s="2701" t="str">
        <f>'Saisie données stocks'!G49</f>
        <v>Cp</v>
      </c>
      <c r="G212" s="2709" t="str">
        <f>'Saisie données stocks'!H49</f>
        <v>400 mg</v>
      </c>
      <c r="H212" s="2702" t="str">
        <f>CONCATENATE(E212, " - ", G212, " - ", 'TRAD-Calculs dispo Données FA'!$B$79,"/", K212)</f>
        <v>DDI - 400 mg - B/30</v>
      </c>
      <c r="I212" s="2702">
        <f>Calculs!K132</f>
        <v>1</v>
      </c>
      <c r="J212" s="2703">
        <f t="shared" si="29"/>
        <v>30</v>
      </c>
      <c r="K212" s="2713">
        <f>Calculs!J132</f>
        <v>30</v>
      </c>
      <c r="L212" s="2714">
        <f t="shared" si="30"/>
        <v>1</v>
      </c>
      <c r="M212" s="2715">
        <f>IF('Saisie données stocks'!$O$10='TRAD-Saisie données stocks'!$B$51, 'Calculs Péremption FA'!BU37, Calculs!M292)+IF('Saisie données stocks'!$M$76='TRAD-Saisie données stocks'!$B$51, Calculs!N292, "0")+Calculs!P292</f>
        <v>0</v>
      </c>
      <c r="N212" s="2715">
        <f>Calculs!O183</f>
        <v>0</v>
      </c>
      <c r="O212" s="2715">
        <f>Calculs!N237</f>
        <v>0</v>
      </c>
      <c r="P212"/>
      <c r="Q212" s="1847" t="e">
        <f>IF(Calculs!N237&gt;0, (-(Calculs!N237+2*Calculs!O183)+SQRT((Calculs!N237+2*Calculs!O183)*(Calculs!N237+2*Calculs!O183)+8*Calculs!N237*(M212)))/(2*Calculs!N237), ((M212)/Calculs!O183))</f>
        <v>#DIV/0!</v>
      </c>
      <c r="R212" s="1721" t="e">
        <f>Q212-Paramétrage!$D$29</f>
        <v>#DIV/0!</v>
      </c>
      <c r="S212" s="1837" t="e">
        <f>IF(Q212&lt;Paramétrage!$D$29, Q212, Paramétrage!$D$29)</f>
        <v>#DIV/0!</v>
      </c>
      <c r="T212" s="1850" t="e">
        <f>Paramétrage!$H$19+R212*(365/12)</f>
        <v>#DIV/0!</v>
      </c>
      <c r="U212" s="254" t="e">
        <f>IF(Q212&lt;Paramétrage!$D$29, Paramétrage!$H$19+S212*(365/12), Paramétrage!$H$19+Q212*(365/12))</f>
        <v>#DIV/0!</v>
      </c>
      <c r="W212" s="1847" t="str">
        <f t="shared" si="31"/>
        <v/>
      </c>
      <c r="X212" s="1721" t="str">
        <f t="shared" si="32"/>
        <v/>
      </c>
      <c r="Y212" s="1840" t="str">
        <f t="shared" si="33"/>
        <v/>
      </c>
      <c r="Z212" s="1850" t="str">
        <f t="shared" si="34"/>
        <v/>
      </c>
      <c r="AA212" s="254" t="str">
        <f t="shared" si="35"/>
        <v>956B &amp; conso =0</v>
      </c>
      <c r="AC212" s="1847" t="e">
        <f t="shared" si="36"/>
        <v>#DIV/0!</v>
      </c>
      <c r="AD212" s="1721" t="e">
        <f>AC212-Paramétrage!$D$29</f>
        <v>#DIV/0!</v>
      </c>
      <c r="AE212" s="1837" t="e">
        <f>IF(AC212&lt;Paramétrage!$D$29, AC212, Paramétrage!$D$29)</f>
        <v>#DIV/0!</v>
      </c>
      <c r="AF212" s="1837" t="e">
        <f t="shared" si="37"/>
        <v>#DIV/0!</v>
      </c>
      <c r="AG212" s="1850" t="e">
        <f>Paramétrage!$H$19+AD212*30</f>
        <v>#DIV/0!</v>
      </c>
      <c r="AH212" s="254" t="e">
        <f>IF(AC212&lt;Paramétrage!$D$29, Paramétrage!$H$19+AE212*30, Paramétrage!$H$19+AC212*30)</f>
        <v>#DIV/0!</v>
      </c>
      <c r="AI212" s="1850">
        <f>'Saisie données stocks'!O170</f>
        <v>0</v>
      </c>
      <c r="AJ212" s="1851" t="str">
        <f>IF(ISERROR(Q212), "0", IF('Saisie données stocks'!O170="", "0", IF(U155&gt;'Saisie données stocks'!$N$14, IF(AI212&gt;(Paramétrage!$H$19+'Saisie données stocks'!$N$14*(365/12)), (AI212-(Paramétrage!$H$19+'Saisie données stocks'!$N$14*(365/12)))/(365/12), IF(AI212&gt;U155, (AI212-U155)/(365/12), "0")))))</f>
        <v>0</v>
      </c>
      <c r="AK212" s="1721" t="str">
        <f>IF(ISERROR(Q155),"0", IF(Q155=0, "0", IF(Q155&gt;'Calculs Péremption FA'!$CB37, 'Calculs Péremption FA'!$CB37, Q155)))</f>
        <v>0</v>
      </c>
      <c r="AL212" s="1837" t="str">
        <f>IF(ISERROR(AC212),"0", IF(AC212=0, "0", IF(AC212&gt;'Saisie données stocks'!$N$14, 'Saisie données stocks'!$N$14, AC212)))</f>
        <v>0</v>
      </c>
      <c r="AM212" s="254" t="str">
        <f>IF(ISERROR(Q212),AA212,IF(Calculs!P292=0,AA155,(Paramétrage!$H$19+((AJ212+AK212+AL212)*(365/12)))))</f>
        <v>956B &amp; conso =0</v>
      </c>
      <c r="AO212" s="1847" t="str">
        <f>IF(ISERROR(AC212),"", IF(AC212=0, "", IF(AC212&gt;'Saisie données stocks'!$N$14, 'Saisie données stocks'!$N$14, AC212)))</f>
        <v/>
      </c>
      <c r="AP212" s="1721" t="str">
        <f>IF(ISERROR(AC212),"", IF(AC212=0, "", IF(AC212&gt;'Calculs Péremption FA'!$CB37, 'Calculs Péremption FA'!$CB37-Paramétrage!$D$29, AD212)))</f>
        <v/>
      </c>
      <c r="AQ212" s="1840" t="str">
        <f>IF(ISERROR(AC212),"", IF(AC212=0, "", IF(AC212&gt;'Calculs Péremption FA'!$CB37, Paramétrage!$D$29, AE212)))</f>
        <v/>
      </c>
      <c r="AR212" s="1852" t="str">
        <f t="shared" si="38"/>
        <v/>
      </c>
      <c r="AS212" s="1850" t="str">
        <f>IF(ISERROR(AC212),"", IF(AC212=0, "", IF(AC212&gt;'Calculs Péremption FA'!$CB37, 'Calculs Péremption FA'!$BX37-Paramétrage!$D$29*(365/12), AG212)))</f>
        <v/>
      </c>
      <c r="AT212" s="254" t="str">
        <f>IF(ISERROR(AC212),"", IF(AC212=0, "", IF(AC212&gt;'Calculs Péremption FA'!$CB37, CONCATENATE('TRAD-Calculs dispo Données FA'!$B$88, " - ", 'Calculs Péremption FA'!$BY37, "/", 'Calculs Péremption FA'!$BZ37, "/", 'Calculs Péremption FA'!$CA37), AH212)))</f>
        <v/>
      </c>
      <c r="AV212" s="1847" t="e">
        <f>(Calculs!Q292)/Calculs!O183</f>
        <v>#DIV/0!</v>
      </c>
      <c r="AW212" s="1721" t="e">
        <f>AV212-Paramétrage!$D$29</f>
        <v>#DIV/0!</v>
      </c>
      <c r="AX212" s="1837" t="e">
        <f>IF(AV212&lt;Paramétrage!$D$29, AV212, Paramétrage!$D$29)</f>
        <v>#DIV/0!</v>
      </c>
      <c r="AY212" s="1850" t="e">
        <f>Paramétrage!$H$19+AW212*30</f>
        <v>#DIV/0!</v>
      </c>
      <c r="AZ212" s="254" t="e">
        <f>IF(AV212&lt;Paramétrage!$D$29, Paramétrage!$H$19+AX212*(365/12), Paramétrage!$H$19+AV212*(365/12))</f>
        <v>#DIV/0!</v>
      </c>
      <c r="BB212" s="1847" t="str">
        <f>IF(ISERROR(AV212),"", IF(AV212=0, "", IF(AV212&gt;'Calculs Péremption FA'!$CB37, 'Calculs Péremption FA'!$CB37, AV212)))</f>
        <v/>
      </c>
      <c r="BC212" s="1721" t="str">
        <f>IF(ISERROR(AV212),"", IF(AV212=0, "", IF(AV212&gt;'Calculs Péremption FA'!$CB37, 'Calculs Péremption FA'!$CB37-Paramétrage!$D$29, AW212)))</f>
        <v/>
      </c>
      <c r="BD212" s="1840" t="str">
        <f>IF(ISERROR(AV212),"", IF(AV212=0, "", IF(AV212&gt;'Calculs Péremption FA'!$CB37, Paramétrage!$D$29, AX212)))</f>
        <v/>
      </c>
      <c r="BE212" s="1850" t="str">
        <f>IF(ISERROR(AV212),"", IF(AV212=0, "", IF(AV212&gt;'Calculs Péremption FA'!$CB37, 'Calculs Péremption FA'!$BX37-Paramétrage!$D$29*(365/12), AY212)))</f>
        <v/>
      </c>
      <c r="BF212" s="254" t="str">
        <f>IF(ISERROR(AV212),"", IF(AV212=0, "", IF(AV212&gt;'Calculs Péremption FA'!$CB37, CONCATENATE('TRAD-Calculs dispo Données FA'!$B$88, " - ", 'Calculs Péremption FA'!$BY37, "/", 'Calculs Péremption FA'!$BZ37, "/", 'Calculs Péremption FA'!$CA37), AZ212)))</f>
        <v/>
      </c>
      <c r="BH212" s="1847" t="e">
        <f t="shared" si="39"/>
        <v>#DIV/0!</v>
      </c>
      <c r="BI212" s="1721" t="e">
        <f>BH212-Paramétrage!$D$29</f>
        <v>#DIV/0!</v>
      </c>
      <c r="BJ212" s="1837" t="e">
        <f>IF(BH212&lt;Paramétrage!$D$29, BH212, Paramétrage!$D$29)</f>
        <v>#DIV/0!</v>
      </c>
      <c r="BK212" s="1837" t="e">
        <f t="shared" si="40"/>
        <v>#DIV/0!</v>
      </c>
      <c r="BL212" s="1850" t="e">
        <f>Paramétrage!$H$19+BI212*(365/12)</f>
        <v>#DIV/0!</v>
      </c>
      <c r="BM212" s="254" t="e">
        <f>IF(BH212&lt;Paramétrage!$D$29, Paramétrage!$H$19+BJ212*(365/12), Paramétrage!$H$19+BH212*(365/12))</f>
        <v>#DIV/0!</v>
      </c>
      <c r="BO212" s="1847" t="str">
        <f>IF(ISERROR(BH212),"", IF(BH212=0, "", IF(BH212&gt;'Calculs Péremption FA'!$CB37, 'Calculs Péremption FA'!$CB37, BH212)))</f>
        <v/>
      </c>
      <c r="BP212" s="1721" t="str">
        <f>IF(ISERROR(BH212),"", IF(BH212=0, "", IF(BH212&gt;'Calculs Péremption FA'!$CB37, 'Calculs Péremption FA'!$CB37-Paramétrage!$D$29, BI212)))</f>
        <v/>
      </c>
      <c r="BQ212" s="1840" t="str">
        <f>IF(ISERROR(BH212),"", IF(BH212=0, "", IF(BH212&gt;'Calculs Péremption FA'!$CB37, Paramétrage!$D$29, BJ212)))</f>
        <v/>
      </c>
      <c r="BR212" s="1852" t="str">
        <f t="shared" si="41"/>
        <v/>
      </c>
      <c r="BS212" s="1850" t="str">
        <f>IF(ISERROR(BH212),"", IF(BH212=0, "", IF(BH212&gt;'Calculs Péremption FA'!$CB37, 'Calculs Péremption FA'!$BX37-Paramétrage!$D$29*(365/12), BL212)))</f>
        <v/>
      </c>
      <c r="BT212" s="254" t="str">
        <f>IF(ISERROR(BH212),"", IF(BH212=0, "", IF(BH212&gt;'Calculs Péremption FA'!$CB37, CONCATENATE('TRAD-Calculs dispo Données FA'!$B$88, " - ", 'Calculs Péremption FA'!$BY37, "/", 'Calculs Péremption FA'!$BZ37, "/", 'Calculs Péremption FA'!$CA37), BM212)))</f>
        <v/>
      </c>
      <c r="BV212" s="2061">
        <f>Calculs!$Q292</f>
        <v>956</v>
      </c>
      <c r="BW212" s="2062">
        <f>Calculs!$O183</f>
        <v>0</v>
      </c>
      <c r="BX212" s="2068">
        <f>Calculs!$N237</f>
        <v>0</v>
      </c>
      <c r="BY212" s="2070" t="str">
        <f>IF(AND(BX212=0, BV212=0, BW212=0), 'TRAD-Calculs dispo Données FA'!$B$82, "")</f>
        <v/>
      </c>
      <c r="BZ212" s="2062" t="str">
        <f>IF(AND(BX212=0, BV212&gt;0, BW212=0), CONCATENATE(BV212,'TRAD-Calculs dispo Données FA'!$B$80," =0"), "")</f>
        <v>956B &amp; conso =0</v>
      </c>
      <c r="CA212" s="2063" t="str">
        <f>IF(AND(BV212=0, OR(BW212&gt;=1, BX212&gt;=1)),'TRAD-Calculs dispo Données FA'!$B$81, "")</f>
        <v/>
      </c>
    </row>
    <row r="213" spans="3:79" s="358" customFormat="1" ht="25.5" x14ac:dyDescent="0.2">
      <c r="C213" s="2716"/>
      <c r="D213" s="2717"/>
      <c r="E213" s="2718" t="str">
        <f>'Saisie données stocks'!F50</f>
        <v>TDF</v>
      </c>
      <c r="F213" s="2719" t="str">
        <f>'Saisie données stocks'!G50</f>
        <v>Cp</v>
      </c>
      <c r="G213" s="2719" t="str">
        <f>'Saisie données stocks'!H50</f>
        <v>300 mg</v>
      </c>
      <c r="H213" s="2726" t="str">
        <f>CONCATENATE(E213, " - ", G213, " - ", 'TRAD-Calculs dispo Données FA'!$B$79,"/", K213)</f>
        <v>TDF - 300 mg - B/30</v>
      </c>
      <c r="I213" s="2726">
        <f>Calculs!K133</f>
        <v>1</v>
      </c>
      <c r="J213" s="2721">
        <f t="shared" si="29"/>
        <v>30</v>
      </c>
      <c r="K213" s="2723">
        <f>Calculs!J133</f>
        <v>30</v>
      </c>
      <c r="L213" s="2724">
        <f t="shared" si="30"/>
        <v>1</v>
      </c>
      <c r="M213" s="2725">
        <f>IF('Saisie données stocks'!$O$10='TRAD-Saisie données stocks'!$B$51, 'Calculs Péremption FA'!BU38, Calculs!M293)+IF('Saisie données stocks'!$M$76='TRAD-Saisie données stocks'!$B$51, Calculs!N293, "0")+Calculs!P293</f>
        <v>0</v>
      </c>
      <c r="N213" s="2725">
        <f>Calculs!O184</f>
        <v>0</v>
      </c>
      <c r="O213" s="2725">
        <f>Calculs!N238</f>
        <v>0</v>
      </c>
      <c r="P213"/>
      <c r="Q213" s="233" t="e">
        <f>IF(Calculs!N238&gt;0, (-(Calculs!N238+2*Calculs!O184)+SQRT((Calculs!N238+2*Calculs!O184)*(Calculs!N238+2*Calculs!O184)+8*Calculs!N238*(M213)))/(2*Calculs!N238), ((M213)/Calculs!O184))</f>
        <v>#DIV/0!</v>
      </c>
      <c r="R213" s="1848" t="e">
        <f>Q213-Paramétrage!$D$29</f>
        <v>#DIV/0!</v>
      </c>
      <c r="S213" s="427" t="e">
        <f>IF(Q213&lt;Paramétrage!$D$29, Q213, Paramétrage!$D$29)</f>
        <v>#DIV/0!</v>
      </c>
      <c r="T213" s="1857" t="e">
        <f>Paramétrage!$H$19+R213*(365/12)</f>
        <v>#DIV/0!</v>
      </c>
      <c r="U213" s="252" t="e">
        <f>IF(Q213&lt;Paramétrage!$D$29, Paramétrage!$H$19+S213*(365/12), Paramétrage!$H$19+Q213*(365/12))</f>
        <v>#DIV/0!</v>
      </c>
      <c r="W213" s="233" t="str">
        <f t="shared" si="31"/>
        <v/>
      </c>
      <c r="X213" s="1858" t="str">
        <f t="shared" si="32"/>
        <v/>
      </c>
      <c r="Y213" s="427" t="str">
        <f t="shared" si="33"/>
        <v/>
      </c>
      <c r="Z213" s="1857" t="str">
        <f t="shared" si="34"/>
        <v/>
      </c>
      <c r="AA213" s="252" t="str">
        <f t="shared" si="35"/>
        <v/>
      </c>
      <c r="AC213" s="233" t="e">
        <f t="shared" si="36"/>
        <v>#DIV/0!</v>
      </c>
      <c r="AD213" s="1858" t="e">
        <f>AC213-Paramétrage!$D$29</f>
        <v>#DIV/0!</v>
      </c>
      <c r="AE213" s="1856" t="e">
        <f>IF(AC213&lt;Paramétrage!$D$29, AC213, Paramétrage!$D$29)</f>
        <v>#DIV/0!</v>
      </c>
      <c r="AF213" s="427" t="e">
        <f t="shared" si="37"/>
        <v>#DIV/0!</v>
      </c>
      <c r="AG213" s="1857" t="e">
        <f>Paramétrage!$H$19+AD213*30</f>
        <v>#DIV/0!</v>
      </c>
      <c r="AH213" s="252" t="e">
        <f>IF(AC213&lt;Paramétrage!$D$29, Paramétrage!$H$19+AE213*30, Paramétrage!$H$19+AC213*30)</f>
        <v>#DIV/0!</v>
      </c>
      <c r="AI213" s="1857">
        <f>'Saisie données stocks'!O171</f>
        <v>0</v>
      </c>
      <c r="AJ213" s="1859" t="str">
        <f>IF(ISERROR(Q213), "0", IF('Saisie données stocks'!O171="", "0", IF(U156&gt;'Saisie données stocks'!$N$14, IF(AI213&gt;(Paramétrage!$H$19+'Saisie données stocks'!$N$14*(365/12)), (AI213-(Paramétrage!$H$19+'Saisie données stocks'!$N$14*(365/12)))/(365/12), IF(AI213&gt;U156, (AI213-U156)/(365/12), "0")))))</f>
        <v>0</v>
      </c>
      <c r="AK213" s="1858" t="str">
        <f>IF(ISERROR(Q156),"0", IF(Q156=0, "0", IF(Q156&gt;'Calculs Péremption FA'!$CB38, 'Calculs Péremption FA'!$CB38, Q156)))</f>
        <v>0</v>
      </c>
      <c r="AL213" s="1856" t="str">
        <f>IF(ISERROR(AC213),"0", IF(AC213=0, "0", IF(AC213&gt;'Saisie données stocks'!$N$14, 'Saisie données stocks'!$N$14, AC213)))</f>
        <v>0</v>
      </c>
      <c r="AM213" s="252" t="str">
        <f>IF(ISERROR(Q213),AA213,IF(Calculs!P293=0,AA156,(Paramétrage!$H$19+((AJ213+AK213+AL213)*(365/12)))))</f>
        <v/>
      </c>
      <c r="AO213" s="233" t="str">
        <f>IF(ISERROR(AC213),"", IF(AC213=0, "", IF(AC213&gt;'Saisie données stocks'!$N$14, 'Saisie données stocks'!$N$14, AC213)))</f>
        <v/>
      </c>
      <c r="AP213" s="1858" t="str">
        <f>IF(ISERROR(AC213),"", IF(AC213=0, "", IF(AC213&gt;'Calculs Péremption FA'!$CB38, 'Calculs Péremption FA'!$CB38-Paramétrage!$D$29, AD213)))</f>
        <v/>
      </c>
      <c r="AQ213" s="427" t="str">
        <f>IF(ISERROR(AC213),"", IF(AC213=0, "", IF(AC213&gt;'Calculs Péremption FA'!$CB38, Paramétrage!$D$29, AE213)))</f>
        <v/>
      </c>
      <c r="AR213" s="1860" t="str">
        <f t="shared" si="38"/>
        <v/>
      </c>
      <c r="AS213" s="1857" t="str">
        <f>IF(ISERROR(AC213),"", IF(AC213=0, "", IF(AC213&gt;'Calculs Péremption FA'!$CB38, 'Calculs Péremption FA'!$BX38-Paramétrage!$D$29*(365/12), AG213)))</f>
        <v/>
      </c>
      <c r="AT213" s="252" t="str">
        <f>IF(ISERROR(AC213),"", IF(AC213=0, "", IF(AC213&gt;'Calculs Péremption FA'!$CB38, CONCATENATE('TRAD-Calculs dispo Données FA'!$B$88, " - ", 'Calculs Péremption FA'!$BY38, "/", 'Calculs Péremption FA'!$BZ38, "/", 'Calculs Péremption FA'!$CA38), AH213)))</f>
        <v/>
      </c>
      <c r="AV213" s="233" t="e">
        <f>(Calculs!Q293)/Calculs!O184</f>
        <v>#DIV/0!</v>
      </c>
      <c r="AW213" s="1858" t="e">
        <f>AV213-Paramétrage!$D$29</f>
        <v>#DIV/0!</v>
      </c>
      <c r="AX213" s="427" t="e">
        <f>IF(AV213&lt;Paramétrage!$D$29, AV213, Paramétrage!$D$29)</f>
        <v>#DIV/0!</v>
      </c>
      <c r="AY213" s="1857" t="e">
        <f>Paramétrage!$H$19+AW213*30</f>
        <v>#DIV/0!</v>
      </c>
      <c r="AZ213" s="252" t="e">
        <f>IF(AV213&lt;Paramétrage!$D$29, Paramétrage!$H$19+AX213*(365/12), Paramétrage!$H$19+AV213*(365/12))</f>
        <v>#DIV/0!</v>
      </c>
      <c r="BB213" s="233" t="str">
        <f>IF(ISERROR(AV213),"", IF(AV213=0, "", IF(AV213&gt;'Calculs Péremption FA'!$CB38, 'Calculs Péremption FA'!$CB38, AV213)))</f>
        <v/>
      </c>
      <c r="BC213" s="1858" t="str">
        <f>IF(ISERROR(AV213),"", IF(AV213=0, "", IF(AV213&gt;'Calculs Péremption FA'!$CB38, 'Calculs Péremption FA'!$CB38-Paramétrage!$D$29, AW213)))</f>
        <v/>
      </c>
      <c r="BD213" s="427" t="str">
        <f>IF(ISERROR(AV213),"", IF(AV213=0, "", IF(AV213&gt;'Calculs Péremption FA'!$CB38, Paramétrage!$D$29, AX213)))</f>
        <v/>
      </c>
      <c r="BE213" s="1857" t="str">
        <f>IF(ISERROR(AV213),"", IF(AV213=0, "", IF(AV213&gt;'Calculs Péremption FA'!$CB38, 'Calculs Péremption FA'!$BX38-Paramétrage!$D$29*(365/12), AY213)))</f>
        <v/>
      </c>
      <c r="BF213" s="252" t="str">
        <f>IF(ISERROR(AV213),"", IF(AV213=0, "", IF(AV213&gt;'Calculs Péremption FA'!$CB38, CONCATENATE('TRAD-Calculs dispo Données FA'!$B$88, " - ", 'Calculs Péremption FA'!$BY38, "/", 'Calculs Péremption FA'!$BZ38, "/", 'Calculs Péremption FA'!$CA38), AZ213)))</f>
        <v/>
      </c>
      <c r="BH213" s="233" t="e">
        <f t="shared" si="39"/>
        <v>#DIV/0!</v>
      </c>
      <c r="BI213" s="1858" t="e">
        <f>BH213-Paramétrage!$D$29</f>
        <v>#DIV/0!</v>
      </c>
      <c r="BJ213" s="1856" t="e">
        <f>IF(BH213&lt;Paramétrage!$D$29, BH213, Paramétrage!$D$29)</f>
        <v>#DIV/0!</v>
      </c>
      <c r="BK213" s="427" t="e">
        <f t="shared" si="40"/>
        <v>#DIV/0!</v>
      </c>
      <c r="BL213" s="1857" t="e">
        <f>Paramétrage!$H$19+BI213*(365/12)</f>
        <v>#DIV/0!</v>
      </c>
      <c r="BM213" s="252" t="e">
        <f>IF(BH213&lt;Paramétrage!$D$29, Paramétrage!$H$19+BJ213*(365/12), Paramétrage!$H$19+BH213*(365/12))</f>
        <v>#DIV/0!</v>
      </c>
      <c r="BO213" s="233" t="str">
        <f>IF(ISERROR(BH213),"", IF(BH213=0, "", IF(BH213&gt;'Calculs Péremption FA'!$CB38, 'Calculs Péremption FA'!$CB38, BH213)))</f>
        <v/>
      </c>
      <c r="BP213" s="1858" t="str">
        <f>IF(ISERROR(BH213),"", IF(BH213=0, "", IF(BH213&gt;'Calculs Péremption FA'!$CB38, 'Calculs Péremption FA'!$CB38-Paramétrage!$D$29, BI213)))</f>
        <v/>
      </c>
      <c r="BQ213" s="427" t="str">
        <f>IF(ISERROR(BH213),"", IF(BH213=0, "", IF(BH213&gt;'Calculs Péremption FA'!$CB38, Paramétrage!$D$29, BJ213)))</f>
        <v/>
      </c>
      <c r="BR213" s="1860" t="str">
        <f t="shared" si="41"/>
        <v/>
      </c>
      <c r="BS213" s="1857" t="str">
        <f>IF(ISERROR(BH213),"", IF(BH213=0, "", IF(BH213&gt;'Calculs Péremption FA'!$CB38, 'Calculs Péremption FA'!$BX38-Paramétrage!$D$29*(365/12), BL213)))</f>
        <v/>
      </c>
      <c r="BT213" s="252" t="str">
        <f>IF(ISERROR(BH213),"", IF(BH213=0, "", IF(BH213&gt;'Calculs Péremption FA'!$CB38, CONCATENATE('TRAD-Calculs dispo Données FA'!$B$88, " - ", 'Calculs Péremption FA'!$BY38, "/", 'Calculs Péremption FA'!$BZ38, "/", 'Calculs Péremption FA'!$CA38), BM213)))</f>
        <v/>
      </c>
      <c r="BV213" s="2061">
        <f>Calculs!$Q293</f>
        <v>0</v>
      </c>
      <c r="BW213" s="2062">
        <f>Calculs!$O184</f>
        <v>0</v>
      </c>
      <c r="BX213" s="2068">
        <f>Calculs!$N238</f>
        <v>0</v>
      </c>
      <c r="BY213" s="2070" t="str">
        <f>IF(AND(BX213=0, BV213=0, BW213=0), 'TRAD-Calculs dispo Données FA'!$B$82, "")</f>
        <v>Stock et besoin nul</v>
      </c>
      <c r="BZ213" s="2062" t="str">
        <f>IF(AND(BX213=0, BV213&gt;0, BW213=0), CONCATENATE(BV213,'TRAD-Calculs dispo Données FA'!$B$80," =0"), "")</f>
        <v/>
      </c>
      <c r="CA213" s="2063" t="str">
        <f>IF(AND(BV213=0, OR(BW213&gt;=1, BX213&gt;=1)),'TRAD-Calculs dispo Données FA'!$B$81, "")</f>
        <v/>
      </c>
    </row>
    <row r="214" spans="3:79" s="358" customFormat="1" ht="25.5" x14ac:dyDescent="0.2">
      <c r="C214" s="2687"/>
      <c r="D214" s="2688" t="s">
        <v>41</v>
      </c>
      <c r="E214" s="2696" t="str">
        <f>'Saisie données stocks'!F51</f>
        <v>LPV/r</v>
      </c>
      <c r="F214" s="2697" t="str">
        <f>'Saisie données stocks'!G51</f>
        <v>Cp</v>
      </c>
      <c r="G214" s="2697" t="str">
        <f>'Saisie données stocks'!H51</f>
        <v>200/50 mg</v>
      </c>
      <c r="H214" s="2698" t="str">
        <f>CONCATENATE(E214, " - ", G214, " - ", 'TRAD-Calculs dispo Données FA'!$B$79,"/", K214)</f>
        <v>LPV/r - 200/50 mg - B/120</v>
      </c>
      <c r="I214" s="2698">
        <f>Calculs!K134</f>
        <v>4</v>
      </c>
      <c r="J214" s="2699">
        <f t="shared" si="29"/>
        <v>120</v>
      </c>
      <c r="K214" s="2693">
        <f>Calculs!J134</f>
        <v>120</v>
      </c>
      <c r="L214" s="2694">
        <f t="shared" si="30"/>
        <v>1</v>
      </c>
      <c r="M214" s="2695">
        <f>IF('Saisie données stocks'!$O$10='TRAD-Saisie données stocks'!$B$51, 'Calculs Péremption FA'!BU39, Calculs!M294)+IF('Saisie données stocks'!$M$76='TRAD-Saisie données stocks'!$B$51, Calculs!N294, "0")+Calculs!P294</f>
        <v>0</v>
      </c>
      <c r="N214" s="2695">
        <f>Calculs!O185</f>
        <v>0</v>
      </c>
      <c r="O214" s="2695">
        <f>Calculs!N239</f>
        <v>0</v>
      </c>
      <c r="P214"/>
      <c r="Q214" s="231" t="e">
        <f>IF(Calculs!N239&gt;0, (-(Calculs!N239+2*Calculs!O185)+SQRT((Calculs!N239+2*Calculs!O185)*(Calculs!N239+2*Calculs!O185)+8*Calculs!N239*(M214)))/(2*Calculs!N239), ((M214)/Calculs!O185))</f>
        <v>#DIV/0!</v>
      </c>
      <c r="R214" s="574" t="e">
        <f>Q214-Paramétrage!$D$29</f>
        <v>#DIV/0!</v>
      </c>
      <c r="S214" s="241" t="e">
        <f>IF(Q214&lt;Paramétrage!$D$29, Q214, Paramétrage!$D$29)</f>
        <v>#DIV/0!</v>
      </c>
      <c r="T214" s="247" t="e">
        <f>Paramétrage!$H$19+R214*(365/12)</f>
        <v>#DIV/0!</v>
      </c>
      <c r="U214" s="248" t="e">
        <f>IF(Q214&lt;Paramétrage!$D$29, Paramétrage!$H$19+S214*(365/12), Paramétrage!$H$19+Q214*(365/12))</f>
        <v>#DIV/0!</v>
      </c>
      <c r="W214" s="231" t="str">
        <f t="shared" si="31"/>
        <v/>
      </c>
      <c r="X214" s="236" t="str">
        <f t="shared" si="32"/>
        <v/>
      </c>
      <c r="Y214" s="425" t="str">
        <f t="shared" si="33"/>
        <v/>
      </c>
      <c r="Z214" s="247" t="str">
        <f t="shared" si="34"/>
        <v/>
      </c>
      <c r="AA214" s="248" t="str">
        <f t="shared" si="35"/>
        <v>750B &amp; conso =0</v>
      </c>
      <c r="AC214" s="231" t="e">
        <f t="shared" si="36"/>
        <v>#DIV/0!</v>
      </c>
      <c r="AD214" s="236" t="e">
        <f>AC214-Paramétrage!$D$29</f>
        <v>#DIV/0!</v>
      </c>
      <c r="AE214" s="241" t="e">
        <f>IF(AC214&lt;Paramétrage!$D$29, AC214, Paramétrage!$D$29)</f>
        <v>#DIV/0!</v>
      </c>
      <c r="AF214" s="241" t="e">
        <f t="shared" si="37"/>
        <v>#DIV/0!</v>
      </c>
      <c r="AG214" s="247" t="e">
        <f>Paramétrage!$H$19+AD214*30</f>
        <v>#DIV/0!</v>
      </c>
      <c r="AH214" s="248" t="e">
        <f>IF(AC214&lt;Paramétrage!$D$29, Paramétrage!$H$19+AE214*30, Paramétrage!$H$19+AC214*30)</f>
        <v>#DIV/0!</v>
      </c>
      <c r="AI214" s="247">
        <f>'Saisie données stocks'!O172</f>
        <v>0</v>
      </c>
      <c r="AJ214" s="1832" t="str">
        <f>IF(ISERROR(Q214), "0", IF('Saisie données stocks'!O172="", "0", IF(U157&gt;'Saisie données stocks'!$N$14, IF(AI214&gt;(Paramétrage!$H$19+'Saisie données stocks'!$N$14*(365/12)), (AI214-(Paramétrage!$H$19+'Saisie données stocks'!$N$14*(365/12)))/(365/12), IF(AI214&gt;U157, (AI214-U157)/(365/12), "0")))))</f>
        <v>0</v>
      </c>
      <c r="AK214" s="236" t="str">
        <f>IF(ISERROR(Q157),"0", IF(Q157=0, "0", IF(Q157&gt;'Calculs Péremption FA'!$CB39, 'Calculs Péremption FA'!$CB39, Q157)))</f>
        <v>0</v>
      </c>
      <c r="AL214" s="241" t="str">
        <f>IF(ISERROR(AC214),"0", IF(AC214=0, "0", IF(AC214&gt;'Saisie données stocks'!$N$14, 'Saisie données stocks'!$N$14, AC214)))</f>
        <v>0</v>
      </c>
      <c r="AM214" s="248" t="str">
        <f>IF(ISERROR(Q214),AA214,IF(Calculs!P294=0,AA157,(Paramétrage!$H$19+((AJ214+AK214+AL214)*(365/12)))))</f>
        <v>750B &amp; conso =0</v>
      </c>
      <c r="AO214" s="231" t="str">
        <f>IF(ISERROR(AC214),"", IF(AC214=0, "", IF(AC214&gt;'Saisie données stocks'!$N$14, 'Saisie données stocks'!$N$14, AC214)))</f>
        <v/>
      </c>
      <c r="AP214" s="236" t="str">
        <f>IF(ISERROR(AC214),"", IF(AC214=0, "", IF(AC214&gt;'Calculs Péremption FA'!$CB39, 'Calculs Péremption FA'!$CB39-Paramétrage!$D$29, AD214)))</f>
        <v/>
      </c>
      <c r="AQ214" s="425" t="str">
        <f>IF(ISERROR(AC214),"", IF(AC214=0, "", IF(AC214&gt;'Calculs Péremption FA'!$CB39, Paramétrage!$D$29, AE214)))</f>
        <v/>
      </c>
      <c r="AR214" s="1833" t="str">
        <f t="shared" si="38"/>
        <v/>
      </c>
      <c r="AS214" s="247" t="str">
        <f>IF(ISERROR(AC214),"", IF(AC214=0, "", IF(AC214&gt;'Calculs Péremption FA'!$CB39, 'Calculs Péremption FA'!$BX39-Paramétrage!$D$29*(365/12), AG214)))</f>
        <v/>
      </c>
      <c r="AT214" s="248" t="str">
        <f>IF(ISERROR(AC214),"", IF(AC214=0, "", IF(AC214&gt;'Calculs Péremption FA'!$CB39, CONCATENATE('TRAD-Calculs dispo Données FA'!$B$88, " - ", 'Calculs Péremption FA'!$BY39, "/", 'Calculs Péremption FA'!$BZ39, "/", 'Calculs Péremption FA'!$CA39), AH214)))</f>
        <v/>
      </c>
      <c r="AV214" s="231" t="e">
        <f>(Calculs!Q294)/Calculs!O185</f>
        <v>#DIV/0!</v>
      </c>
      <c r="AW214" s="236" t="e">
        <f>AV214-Paramétrage!$D$29</f>
        <v>#DIV/0!</v>
      </c>
      <c r="AX214" s="241" t="e">
        <f>IF(AV214&lt;Paramétrage!$D$29, AV214, Paramétrage!$D$29)</f>
        <v>#DIV/0!</v>
      </c>
      <c r="AY214" s="247" t="e">
        <f>Paramétrage!$H$19+AW214*30</f>
        <v>#DIV/0!</v>
      </c>
      <c r="AZ214" s="248" t="e">
        <f>IF(AV214&lt;Paramétrage!$D$29, Paramétrage!$H$19+AX214*(365/12), Paramétrage!$H$19+AV214*(365/12))</f>
        <v>#DIV/0!</v>
      </c>
      <c r="BB214" s="231" t="str">
        <f>IF(ISERROR(AV214),"", IF(AV214=0, "", IF(AV214&gt;'Calculs Péremption FA'!$CB39, 'Calculs Péremption FA'!$CB39, AV214)))</f>
        <v/>
      </c>
      <c r="BC214" s="236" t="str">
        <f>IF(ISERROR(AV214),"", IF(AV214=0, "", IF(AV214&gt;'Calculs Péremption FA'!$CB39, 'Calculs Péremption FA'!$CB39-Paramétrage!$D$29, AW214)))</f>
        <v/>
      </c>
      <c r="BD214" s="425" t="str">
        <f>IF(ISERROR(AV214),"", IF(AV214=0, "", IF(AV214&gt;'Calculs Péremption FA'!$CB39, Paramétrage!$D$29, AX214)))</f>
        <v/>
      </c>
      <c r="BE214" s="247" t="str">
        <f>IF(ISERROR(AV214),"", IF(AV214=0, "", IF(AV214&gt;'Calculs Péremption FA'!$CB39, 'Calculs Péremption FA'!$BX39-Paramétrage!$D$29*(365/12), AY214)))</f>
        <v/>
      </c>
      <c r="BF214" s="248" t="str">
        <f>IF(ISERROR(AV214),"", IF(AV214=0, "", IF(AV214&gt;'Calculs Péremption FA'!$CB39, CONCATENATE('TRAD-Calculs dispo Données FA'!$B$88, " - ", 'Calculs Péremption FA'!$BY39, "/", 'Calculs Péremption FA'!$BZ39, "/", 'Calculs Péremption FA'!$CA39), AZ214)))</f>
        <v/>
      </c>
      <c r="BH214" s="231" t="e">
        <f t="shared" si="39"/>
        <v>#DIV/0!</v>
      </c>
      <c r="BI214" s="236" t="e">
        <f>BH214-Paramétrage!$D$29</f>
        <v>#DIV/0!</v>
      </c>
      <c r="BJ214" s="241" t="e">
        <f>IF(BH214&lt;Paramétrage!$D$29, BH214, Paramétrage!$D$29)</f>
        <v>#DIV/0!</v>
      </c>
      <c r="BK214" s="241" t="e">
        <f t="shared" si="40"/>
        <v>#DIV/0!</v>
      </c>
      <c r="BL214" s="247" t="e">
        <f>Paramétrage!$H$19+BI214*(365/12)</f>
        <v>#DIV/0!</v>
      </c>
      <c r="BM214" s="248" t="e">
        <f>IF(BH214&lt;Paramétrage!$D$29, Paramétrage!$H$19+BJ214*(365/12), Paramétrage!$H$19+BH214*(365/12))</f>
        <v>#DIV/0!</v>
      </c>
      <c r="BO214" s="231" t="str">
        <f>IF(ISERROR(BH214),"", IF(BH214=0, "", IF(BH214&gt;'Calculs Péremption FA'!$CB39, 'Calculs Péremption FA'!$CB39, BH214)))</f>
        <v/>
      </c>
      <c r="BP214" s="236" t="str">
        <f>IF(ISERROR(BH214),"", IF(BH214=0, "", IF(BH214&gt;'Calculs Péremption FA'!$CB39, 'Calculs Péremption FA'!$CB39-Paramétrage!$D$29, BI214)))</f>
        <v/>
      </c>
      <c r="BQ214" s="425" t="str">
        <f>IF(ISERROR(BH214),"", IF(BH214=0, "", IF(BH214&gt;'Calculs Péremption FA'!$CB39, Paramétrage!$D$29, BJ214)))</f>
        <v/>
      </c>
      <c r="BR214" s="1833" t="str">
        <f t="shared" si="41"/>
        <v/>
      </c>
      <c r="BS214" s="247" t="str">
        <f>IF(ISERROR(BH214),"", IF(BH214=0, "", IF(BH214&gt;'Calculs Péremption FA'!$CB39, 'Calculs Péremption FA'!$BX39-Paramétrage!$D$29*(365/12), BL214)))</f>
        <v/>
      </c>
      <c r="BT214" s="248" t="str">
        <f>IF(ISERROR(BH214),"", IF(BH214=0, "", IF(BH214&gt;'Calculs Péremption FA'!$CB39, CONCATENATE('TRAD-Calculs dispo Données FA'!$B$88, " - ", 'Calculs Péremption FA'!$BY39, "/", 'Calculs Péremption FA'!$BZ39, "/", 'Calculs Péremption FA'!$CA39), BM214)))</f>
        <v/>
      </c>
      <c r="BV214" s="2061">
        <f>Calculs!$Q294</f>
        <v>750</v>
      </c>
      <c r="BW214" s="2062">
        <f>Calculs!$O185</f>
        <v>0</v>
      </c>
      <c r="BX214" s="2068">
        <f>Calculs!$N239</f>
        <v>0</v>
      </c>
      <c r="BY214" s="2070" t="str">
        <f>IF(AND(BX214=0, BV214=0, BW214=0), 'TRAD-Calculs dispo Données FA'!$B$82, "")</f>
        <v/>
      </c>
      <c r="BZ214" s="2062" t="str">
        <f>IF(AND(BX214=0, BV214&gt;0, BW214=0), CONCATENATE(BV214,'TRAD-Calculs dispo Données FA'!$B$80," =0"), "")</f>
        <v>750B &amp; conso =0</v>
      </c>
      <c r="CA214" s="2063" t="str">
        <f>IF(AND(BV214=0, OR(BW214&gt;=1, BX214&gt;=1)),'TRAD-Calculs dispo Données FA'!$B$81, "")</f>
        <v/>
      </c>
    </row>
    <row r="215" spans="3:79" s="358" customFormat="1" ht="25.5" x14ac:dyDescent="0.2">
      <c r="C215" s="2687"/>
      <c r="D215" s="2688"/>
      <c r="E215" s="2727" t="str">
        <f>'Saisie données stocks'!F52</f>
        <v>LPV/r</v>
      </c>
      <c r="F215" s="2728" t="str">
        <f>'Saisie données stocks'!G52</f>
        <v>Cp coblister</v>
      </c>
      <c r="G215" s="2728" t="str">
        <f>'Saisie données stocks'!H52</f>
        <v>100/25 mg</v>
      </c>
      <c r="H215" s="2729" t="str">
        <f>CONCATENATE(E215, " - ", G215, " - ", 'TRAD-Calculs dispo Données FA'!$B$79,"/", K215)</f>
        <v>LPV/r - 100/25 mg - B/60</v>
      </c>
      <c r="I215" s="2729">
        <f>Calculs!K135</f>
        <v>2</v>
      </c>
      <c r="J215" s="2710">
        <f t="shared" si="29"/>
        <v>60</v>
      </c>
      <c r="K215" s="2730">
        <f>Calculs!J135</f>
        <v>60</v>
      </c>
      <c r="L215" s="2731">
        <f t="shared" si="30"/>
        <v>1</v>
      </c>
      <c r="M215" s="2715">
        <f>IF('Saisie données stocks'!$O$10='TRAD-Saisie données stocks'!$B$51, 'Calculs Péremption FA'!BU40, Calculs!M295)+IF('Saisie données stocks'!$M$76='TRAD-Saisie données stocks'!$B$51, Calculs!N295, "0")+Calculs!P295</f>
        <v>83</v>
      </c>
      <c r="N215" s="2732">
        <f>Calculs!O186</f>
        <v>0</v>
      </c>
      <c r="O215" s="2732">
        <f>Calculs!N240</f>
        <v>0</v>
      </c>
      <c r="P215"/>
      <c r="Q215" s="539" t="e">
        <f>IF(Calculs!N240&gt;0, (-(Calculs!N240+2*Calculs!O186)+SQRT((Calculs!N240+2*Calculs!O186)*(Calculs!N240+2*Calculs!O186)+8*Calculs!N240*(M215)))/(2*Calculs!N240), ((M215)/Calculs!O186))</f>
        <v>#DIV/0!</v>
      </c>
      <c r="R215" s="543" t="e">
        <f>Q215-Paramétrage!$D$29</f>
        <v>#DIV/0!</v>
      </c>
      <c r="S215" s="241" t="e">
        <f>IF(Q215&lt;Paramétrage!$D$29, Q215, Paramétrage!$D$29)</f>
        <v>#DIV/0!</v>
      </c>
      <c r="T215" s="541" t="e">
        <f>Paramétrage!$H$19+R215*(365/12)</f>
        <v>#DIV/0!</v>
      </c>
      <c r="U215" s="542" t="e">
        <f>IF(Q215&lt;Paramétrage!$D$29, Paramétrage!$H$19+S215*(365/12), Paramétrage!$H$19+Q215*(365/12))</f>
        <v>#DIV/0!</v>
      </c>
      <c r="W215" s="539" t="str">
        <f t="shared" si="31"/>
        <v/>
      </c>
      <c r="X215" s="543" t="str">
        <f t="shared" si="32"/>
        <v/>
      </c>
      <c r="Y215" s="425" t="str">
        <f t="shared" si="33"/>
        <v/>
      </c>
      <c r="Z215" s="541" t="str">
        <f t="shared" si="34"/>
        <v/>
      </c>
      <c r="AA215" s="542" t="str">
        <f t="shared" si="35"/>
        <v>770B &amp; conso =0</v>
      </c>
      <c r="AC215" s="539" t="e">
        <f t="shared" si="36"/>
        <v>#DIV/0!</v>
      </c>
      <c r="AD215" s="543" t="e">
        <f>AC215-Paramétrage!$D$29</f>
        <v>#DIV/0!</v>
      </c>
      <c r="AE215" s="241" t="e">
        <f>IF(AC215&lt;Paramétrage!$D$29, AC215, Paramétrage!$D$29)</f>
        <v>#DIV/0!</v>
      </c>
      <c r="AF215" s="241" t="e">
        <f t="shared" si="37"/>
        <v>#DIV/0!</v>
      </c>
      <c r="AG215" s="541" t="e">
        <f>Paramétrage!$H$19+AD215*30</f>
        <v>#DIV/0!</v>
      </c>
      <c r="AH215" s="542" t="e">
        <f>IF(AC215&lt;Paramétrage!$D$29, Paramétrage!$H$19+AE215*30, Paramétrage!$H$19+AC215*30)</f>
        <v>#DIV/0!</v>
      </c>
      <c r="AI215" s="541">
        <f>'Saisie données stocks'!O173</f>
        <v>0</v>
      </c>
      <c r="AJ215" s="2082" t="str">
        <f>IF(ISERROR(Q215), "0", IF('Saisie données stocks'!O173="", "0", IF(U158&gt;'Saisie données stocks'!$N$14, IF(AI215&gt;(Paramétrage!$H$19+'Saisie données stocks'!$N$14*(365/12)), (AI215-(Paramétrage!$H$19+'Saisie données stocks'!$N$14*(365/12)))/(365/12), IF(AI215&gt;U158, (AI215-U158)/(365/12), "0")))))</f>
        <v>0</v>
      </c>
      <c r="AK215" s="543" t="str">
        <f>IF(ISERROR(Q158),"0", IF(Q158=0, "0", IF(Q158&gt;'Calculs Péremption FA'!$CB40, 'Calculs Péremption FA'!$CB40, Q158)))</f>
        <v>0</v>
      </c>
      <c r="AL215" s="241" t="str">
        <f>IF(ISERROR(AC215),"0", IF(AC215=0, "0", IF(AC215&gt;'Saisie données stocks'!$N$14, 'Saisie données stocks'!$N$14, AC215)))</f>
        <v>0</v>
      </c>
      <c r="AM215" s="542" t="str">
        <f>IF(ISERROR(Q215),AA215,IF(Calculs!P295=0,AA158,(Paramétrage!$H$19+((AJ215+AK215+AL215)*(365/12)))))</f>
        <v>770B &amp; conso =0</v>
      </c>
      <c r="AO215" s="539" t="str">
        <f>IF(ISERROR(AC215),"", IF(AC215=0, "", IF(AC215&gt;'Saisie données stocks'!$N$14, 'Saisie données stocks'!$N$14, AC215)))</f>
        <v/>
      </c>
      <c r="AP215" s="543" t="str">
        <f>IF(ISERROR(AC215),"", IF(AC215=0, "", IF(AC215&gt;'Calculs Péremption FA'!$CB40, 'Calculs Péremption FA'!$CB40-Paramétrage!$D$29, AD215)))</f>
        <v/>
      </c>
      <c r="AQ215" s="425" t="str">
        <f>IF(ISERROR(AC215),"", IF(AC215=0, "", IF(AC215&gt;'Calculs Péremption FA'!$CB40, Paramétrage!$D$29, AE215)))</f>
        <v/>
      </c>
      <c r="AR215" s="1861" t="str">
        <f t="shared" si="38"/>
        <v/>
      </c>
      <c r="AS215" s="541" t="str">
        <f>IF(ISERROR(AC215),"", IF(AC215=0, "", IF(AC215&gt;'Calculs Péremption FA'!$CB40, 'Calculs Péremption FA'!$BX40-Paramétrage!$D$29*(365/12), AG215)))</f>
        <v/>
      </c>
      <c r="AT215" s="542" t="str">
        <f>IF(ISERROR(AC215),"", IF(AC215=0, "", IF(AC215&gt;'Calculs Péremption FA'!$CB40, CONCATENATE('TRAD-Calculs dispo Données FA'!$B$88, " - ", 'Calculs Péremption FA'!$BY40, "/", 'Calculs Péremption FA'!$BZ40, "/", 'Calculs Péremption FA'!$CA40), AH215)))</f>
        <v/>
      </c>
      <c r="AV215" s="539" t="e">
        <f>(Calculs!Q295)/Calculs!O186</f>
        <v>#DIV/0!</v>
      </c>
      <c r="AW215" s="543" t="e">
        <f>AV215-Paramétrage!$D$29</f>
        <v>#DIV/0!</v>
      </c>
      <c r="AX215" s="241" t="e">
        <f>IF(AV215&lt;Paramétrage!$D$29, AV215, Paramétrage!$D$29)</f>
        <v>#DIV/0!</v>
      </c>
      <c r="AY215" s="541" t="e">
        <f>Paramétrage!$H$19+AW215*30</f>
        <v>#DIV/0!</v>
      </c>
      <c r="AZ215" s="542" t="e">
        <f>IF(AV215&lt;Paramétrage!$D$29, Paramétrage!$H$19+AX215*(365/12), Paramétrage!$H$19+AV215*(365/12))</f>
        <v>#DIV/0!</v>
      </c>
      <c r="BB215" s="539" t="str">
        <f>IF(ISERROR(AV215),"", IF(AV215=0, "", IF(AV215&gt;'Calculs Péremption FA'!$CB40, 'Calculs Péremption FA'!$CB40, AV215)))</f>
        <v/>
      </c>
      <c r="BC215" s="543" t="str">
        <f>IF(ISERROR(AV215),"", IF(AV215=0, "", IF(AV215&gt;'Calculs Péremption FA'!$CB40, 'Calculs Péremption FA'!$CB40-Paramétrage!$D$29, AW215)))</f>
        <v/>
      </c>
      <c r="BD215" s="425" t="str">
        <f>IF(ISERROR(AV215),"", IF(AV215=0, "", IF(AV215&gt;'Calculs Péremption FA'!$CB40, Paramétrage!$D$29, AX215)))</f>
        <v/>
      </c>
      <c r="BE215" s="541" t="str">
        <f>IF(ISERROR(AV215),"", IF(AV215=0, "", IF(AV215&gt;'Calculs Péremption FA'!$CB40, 'Calculs Péremption FA'!$BX40-Paramétrage!$D$29*(365/12), AY215)))</f>
        <v/>
      </c>
      <c r="BF215" s="542" t="str">
        <f>IF(ISERROR(AV215),"", IF(AV215=0, "", IF(AV215&gt;'Calculs Péremption FA'!$CB40, CONCATENATE('TRAD-Calculs dispo Données FA'!$B$88, " - ", 'Calculs Péremption FA'!$BY40, "/", 'Calculs Péremption FA'!$BZ40, "/", 'Calculs Péremption FA'!$CA40), AZ215)))</f>
        <v/>
      </c>
      <c r="BH215" s="539" t="e">
        <f t="shared" si="39"/>
        <v>#DIV/0!</v>
      </c>
      <c r="BI215" s="543" t="e">
        <f>BH215-Paramétrage!$D$29</f>
        <v>#DIV/0!</v>
      </c>
      <c r="BJ215" s="241" t="e">
        <f>IF(BH215&lt;Paramétrage!$D$29, BH215, Paramétrage!$D$29)</f>
        <v>#DIV/0!</v>
      </c>
      <c r="BK215" s="241" t="e">
        <f t="shared" si="40"/>
        <v>#DIV/0!</v>
      </c>
      <c r="BL215" s="541" t="e">
        <f>Paramétrage!$H$19+BI215*(365/12)</f>
        <v>#DIV/0!</v>
      </c>
      <c r="BM215" s="542" t="e">
        <f>IF(BH215&lt;Paramétrage!$D$29, Paramétrage!$H$19+BJ215*(365/12), Paramétrage!$H$19+BH215*(365/12))</f>
        <v>#DIV/0!</v>
      </c>
      <c r="BO215" s="539" t="str">
        <f>IF(ISERROR(BH215),"", IF(BH215=0, "", IF(BH215&gt;'Calculs Péremption FA'!$CB40, 'Calculs Péremption FA'!$CB40, BH215)))</f>
        <v/>
      </c>
      <c r="BP215" s="543" t="str">
        <f>IF(ISERROR(BH215),"", IF(BH215=0, "", IF(BH215&gt;'Calculs Péremption FA'!$CB40, 'Calculs Péremption FA'!$CB40-Paramétrage!$D$29, BI215)))</f>
        <v/>
      </c>
      <c r="BQ215" s="425" t="str">
        <f>IF(ISERROR(BH215),"", IF(BH215=0, "", IF(BH215&gt;'Calculs Péremption FA'!$CB40, Paramétrage!$D$29, BJ215)))</f>
        <v/>
      </c>
      <c r="BR215" s="1861" t="str">
        <f t="shared" si="41"/>
        <v/>
      </c>
      <c r="BS215" s="541" t="str">
        <f>IF(ISERROR(BH215),"", IF(BH215=0, "", IF(BH215&gt;'Calculs Péremption FA'!$CB40, 'Calculs Péremption FA'!$BX40-Paramétrage!$D$29*(365/12), BL215)))</f>
        <v/>
      </c>
      <c r="BT215" s="542" t="str">
        <f>IF(ISERROR(BH215),"", IF(BH215=0, "", IF(BH215&gt;'Calculs Péremption FA'!$CB40, CONCATENATE('TRAD-Calculs dispo Données FA'!$B$88, " - ", 'Calculs Péremption FA'!$BY40, "/", 'Calculs Péremption FA'!$BZ40, "/", 'Calculs Péremption FA'!$CA40), BM215)))</f>
        <v/>
      </c>
      <c r="BV215" s="2061">
        <f>Calculs!$Q295</f>
        <v>770</v>
      </c>
      <c r="BW215" s="2062">
        <f>Calculs!$O186</f>
        <v>0</v>
      </c>
      <c r="BX215" s="2068">
        <f>Calculs!$N240</f>
        <v>0</v>
      </c>
      <c r="BY215" s="2070" t="str">
        <f>IF(AND(BX215=0, BV215=0, BW215=0), 'TRAD-Calculs dispo Données FA'!$B$82, "")</f>
        <v/>
      </c>
      <c r="BZ215" s="2062" t="str">
        <f>IF(AND(BX215=0, BV215&gt;0, BW215=0), CONCATENATE(BV215,'TRAD-Calculs dispo Données FA'!$B$80," =0"), "")</f>
        <v>770B &amp; conso =0</v>
      </c>
      <c r="CA215" s="2063" t="str">
        <f>IF(AND(BV215=0, OR(BW215&gt;=1, BX215&gt;=1)),'TRAD-Calculs dispo Données FA'!$B$81, "")</f>
        <v/>
      </c>
    </row>
    <row r="216" spans="3:79" s="358" customFormat="1" ht="25.5" x14ac:dyDescent="0.2">
      <c r="C216" s="2687"/>
      <c r="D216" s="2733"/>
      <c r="E216" s="2708" t="str">
        <f>'Saisie données stocks'!F53</f>
        <v>ATV/r</v>
      </c>
      <c r="F216" s="2709" t="str">
        <f>'Saisie données stocks'!G53</f>
        <v>Cp</v>
      </c>
      <c r="G216" s="2709" t="str">
        <f>'Saisie données stocks'!H53</f>
        <v>300/100 mg</v>
      </c>
      <c r="H216" s="2734" t="str">
        <f>CONCATENATE(E216, " - ", G216, " - ", 'TRAD-Calculs dispo Données FA'!$B$79,"/", K216)</f>
        <v>ATV/r - 300/100 mg - B/60</v>
      </c>
      <c r="I216" s="2734">
        <f>Calculs!K136</f>
        <v>2</v>
      </c>
      <c r="J216" s="2711">
        <f t="shared" si="29"/>
        <v>60</v>
      </c>
      <c r="K216" s="2713">
        <f>Calculs!J136</f>
        <v>60</v>
      </c>
      <c r="L216" s="2714">
        <f t="shared" si="30"/>
        <v>1</v>
      </c>
      <c r="M216" s="2715">
        <f>IF('Saisie données stocks'!$O$10='TRAD-Saisie données stocks'!$B$51, 'Calculs Péremption FA'!BU41, Calculs!M296)+IF('Saisie données stocks'!$M$76='TRAD-Saisie données stocks'!$B$51, Calculs!N296, "0")+Calculs!P296</f>
        <v>0</v>
      </c>
      <c r="N216" s="2715">
        <f>Calculs!O187</f>
        <v>0</v>
      </c>
      <c r="O216" s="2715">
        <f>Calculs!N241</f>
        <v>0</v>
      </c>
      <c r="P216"/>
      <c r="Q216" s="1847" t="e">
        <f>IF(Calculs!N241&gt;0, (-(Calculs!N241+2*Calculs!O187)+SQRT((Calculs!N241+2*Calculs!O187)*(Calculs!N241+2*Calculs!O187)+8*Calculs!N241*(M216)))/(2*Calculs!N241), ((M216)/Calculs!O187))</f>
        <v>#DIV/0!</v>
      </c>
      <c r="R216" s="1848" t="e">
        <f>Q216-Paramétrage!$D$29</f>
        <v>#DIV/0!</v>
      </c>
      <c r="S216" s="241" t="e">
        <f>IF(Q216&lt;Paramétrage!$D$29, Q216, Paramétrage!$D$29)</f>
        <v>#DIV/0!</v>
      </c>
      <c r="T216" s="1850" t="e">
        <f>Paramétrage!$H$19+R216*(365/12)</f>
        <v>#DIV/0!</v>
      </c>
      <c r="U216" s="254" t="e">
        <f>IF(Q216&lt;Paramétrage!$D$29, Paramétrage!$H$19+S216*(365/12), Paramétrage!$H$19+Q216*(365/12))</f>
        <v>#DIV/0!</v>
      </c>
      <c r="W216" s="1847" t="str">
        <f t="shared" si="31"/>
        <v/>
      </c>
      <c r="X216" s="1848" t="str">
        <f t="shared" si="32"/>
        <v/>
      </c>
      <c r="Y216" s="425" t="str">
        <f t="shared" si="33"/>
        <v/>
      </c>
      <c r="Z216" s="1850" t="str">
        <f t="shared" si="34"/>
        <v/>
      </c>
      <c r="AA216" s="254" t="str">
        <f t="shared" si="35"/>
        <v>1705B &amp; conso =0</v>
      </c>
      <c r="AC216" s="1847" t="e">
        <f t="shared" si="36"/>
        <v>#DIV/0!</v>
      </c>
      <c r="AD216" s="1848" t="e">
        <f>AC216-Paramétrage!$D$29</f>
        <v>#DIV/0!</v>
      </c>
      <c r="AE216" s="241" t="e">
        <f>IF(AC216&lt;Paramétrage!$D$29, AC216, Paramétrage!$D$29)</f>
        <v>#DIV/0!</v>
      </c>
      <c r="AF216" s="241" t="e">
        <f t="shared" si="37"/>
        <v>#DIV/0!</v>
      </c>
      <c r="AG216" s="1850" t="e">
        <f>Paramétrage!$H$19+AD216*30</f>
        <v>#DIV/0!</v>
      </c>
      <c r="AH216" s="254" t="e">
        <f>IF(AC216&lt;Paramétrage!$D$29, Paramétrage!$H$19+AE216*30, Paramétrage!$H$19+AC216*30)</f>
        <v>#DIV/0!</v>
      </c>
      <c r="AI216" s="1850">
        <f>'Saisie données stocks'!O174</f>
        <v>0</v>
      </c>
      <c r="AJ216" s="1851" t="str">
        <f>IF(ISERROR(Q216), "0", IF('Saisie données stocks'!O174="", "0", IF(U159&gt;'Saisie données stocks'!$N$14, IF(AI216&gt;(Paramétrage!$H$19+'Saisie données stocks'!$N$14*(365/12)), (AI216-(Paramétrage!$H$19+'Saisie données stocks'!$N$14*(365/12)))/(365/12), IF(AI216&gt;U159, (AI216-U159)/(365/12), "0")))))</f>
        <v>0</v>
      </c>
      <c r="AK216" s="1848" t="str">
        <f>IF(ISERROR(Q159),"0", IF(Q159=0, "0", IF(Q159&gt;'Calculs Péremption FA'!$CB41, 'Calculs Péremption FA'!$CB41, Q159)))</f>
        <v>0</v>
      </c>
      <c r="AL216" s="241" t="str">
        <f>IF(ISERROR(AC216),"0", IF(AC216=0, "0", IF(AC216&gt;'Saisie données stocks'!$N$14, 'Saisie données stocks'!$N$14, AC216)))</f>
        <v>0</v>
      </c>
      <c r="AM216" s="254" t="str">
        <f>IF(ISERROR(Q216),AA216,IF(Calculs!P296=0,AA159,(Paramétrage!$H$19+((AJ216+AK216+AL216)*(365/12)))))</f>
        <v>1705B &amp; conso =0</v>
      </c>
      <c r="AO216" s="1847" t="str">
        <f>IF(ISERROR(AC216),"", IF(AC216=0, "", IF(AC216&gt;'Saisie données stocks'!$N$14, 'Saisie données stocks'!$N$14, AC216)))</f>
        <v/>
      </c>
      <c r="AP216" s="1848" t="str">
        <f>IF(ISERROR(AC216),"", IF(AC216=0, "", IF(AC216&gt;'Calculs Péremption FA'!$CB41, 'Calculs Péremption FA'!$CB41-Paramétrage!$D$29, AD216)))</f>
        <v/>
      </c>
      <c r="AQ216" s="425" t="str">
        <f>IF(ISERROR(AC216),"", IF(AC216=0, "", IF(AC216&gt;'Calculs Péremption FA'!$CB41, Paramétrage!$D$29, AE216)))</f>
        <v/>
      </c>
      <c r="AR216" s="1861" t="str">
        <f t="shared" si="38"/>
        <v/>
      </c>
      <c r="AS216" s="1850" t="str">
        <f>IF(ISERROR(AC216),"", IF(AC216=0, "", IF(AC216&gt;'Calculs Péremption FA'!$CB41, 'Calculs Péremption FA'!$BX41-Paramétrage!$D$29*(365/12), AG216)))</f>
        <v/>
      </c>
      <c r="AT216" s="254" t="str">
        <f>IF(ISERROR(AC216),"", IF(AC216=0, "", IF(AC216&gt;'Calculs Péremption FA'!$CB41, CONCATENATE('TRAD-Calculs dispo Données FA'!$B$88, " - ", 'Calculs Péremption FA'!$BY41, "/", 'Calculs Péremption FA'!$BZ41, "/", 'Calculs Péremption FA'!$CA41), AH216)))</f>
        <v/>
      </c>
      <c r="AV216" s="1847" t="e">
        <f>(Calculs!Q296)/Calculs!O187</f>
        <v>#DIV/0!</v>
      </c>
      <c r="AW216" s="1848" t="e">
        <f>AV216-Paramétrage!$D$29</f>
        <v>#DIV/0!</v>
      </c>
      <c r="AX216" s="241" t="e">
        <f>IF(AV216&lt;Paramétrage!$D$29, AV216, Paramétrage!$D$29)</f>
        <v>#DIV/0!</v>
      </c>
      <c r="AY216" s="1850" t="e">
        <f>Paramétrage!$H$19+AW216*30</f>
        <v>#DIV/0!</v>
      </c>
      <c r="AZ216" s="254" t="e">
        <f>IF(AV216&lt;Paramétrage!$D$29, Paramétrage!$H$19+AX216*(365/12), Paramétrage!$H$19+AV216*(365/12))</f>
        <v>#DIV/0!</v>
      </c>
      <c r="BB216" s="1847" t="str">
        <f>IF(ISERROR(AV216),"", IF(AV216=0, "", IF(AV216&gt;'Calculs Péremption FA'!$CB41, 'Calculs Péremption FA'!$CB41, AV216)))</f>
        <v/>
      </c>
      <c r="BC216" s="1848" t="str">
        <f>IF(ISERROR(AV216),"", IF(AV216=0, "", IF(AV216&gt;'Calculs Péremption FA'!$CB41, 'Calculs Péremption FA'!$CB41-Paramétrage!$D$29, AW216)))</f>
        <v/>
      </c>
      <c r="BD216" s="425" t="str">
        <f>IF(ISERROR(AV216),"", IF(AV216=0, "", IF(AV216&gt;'Calculs Péremption FA'!$CB41, Paramétrage!$D$29, AX216)))</f>
        <v/>
      </c>
      <c r="BE216" s="1850" t="str">
        <f>IF(ISERROR(AV216),"", IF(AV216=0, "", IF(AV216&gt;'Calculs Péremption FA'!$CB41, 'Calculs Péremption FA'!$BX41-Paramétrage!$D$29*(365/12), AY216)))</f>
        <v/>
      </c>
      <c r="BF216" s="254" t="str">
        <f>IF(ISERROR(AV216),"", IF(AV216=0, "", IF(AV216&gt;'Calculs Péremption FA'!$CB41, CONCATENATE('TRAD-Calculs dispo Données FA'!$B$88, " - ", 'Calculs Péremption FA'!$BY41, "/", 'Calculs Péremption FA'!$BZ41, "/", 'Calculs Péremption FA'!$CA41), AZ216)))</f>
        <v/>
      </c>
      <c r="BH216" s="1847" t="e">
        <f t="shared" si="39"/>
        <v>#DIV/0!</v>
      </c>
      <c r="BI216" s="1848" t="e">
        <f>BH216-Paramétrage!$D$29</f>
        <v>#DIV/0!</v>
      </c>
      <c r="BJ216" s="241" t="e">
        <f>IF(BH216&lt;Paramétrage!$D$29, BH216, Paramétrage!$D$29)</f>
        <v>#DIV/0!</v>
      </c>
      <c r="BK216" s="241" t="e">
        <f t="shared" si="40"/>
        <v>#DIV/0!</v>
      </c>
      <c r="BL216" s="1850" t="e">
        <f>Paramétrage!$H$19+BI216*(365/12)</f>
        <v>#DIV/0!</v>
      </c>
      <c r="BM216" s="254" t="e">
        <f>IF(BH216&lt;Paramétrage!$D$29, Paramétrage!$H$19+BJ216*(365/12), Paramétrage!$H$19+BH216*(365/12))</f>
        <v>#DIV/0!</v>
      </c>
      <c r="BO216" s="1847" t="str">
        <f>IF(ISERROR(BH216),"", IF(BH216=0, "", IF(BH216&gt;'Calculs Péremption FA'!$CB41, 'Calculs Péremption FA'!$CB41, BH216)))</f>
        <v/>
      </c>
      <c r="BP216" s="1848" t="str">
        <f>IF(ISERROR(BH216),"", IF(BH216=0, "", IF(BH216&gt;'Calculs Péremption FA'!$CB41, 'Calculs Péremption FA'!$CB41-Paramétrage!$D$29, BI216)))</f>
        <v/>
      </c>
      <c r="BQ216" s="425" t="str">
        <f>IF(ISERROR(BH216),"", IF(BH216=0, "", IF(BH216&gt;'Calculs Péremption FA'!$CB41, Paramétrage!$D$29, BJ216)))</f>
        <v/>
      </c>
      <c r="BR216" s="1861" t="str">
        <f t="shared" si="41"/>
        <v/>
      </c>
      <c r="BS216" s="1850" t="str">
        <f>IF(ISERROR(BH216),"", IF(BH216=0, "", IF(BH216&gt;'Calculs Péremption FA'!$CB41, 'Calculs Péremption FA'!$BX41-Paramétrage!$D$29*(365/12), BL216)))</f>
        <v/>
      </c>
      <c r="BT216" s="254" t="str">
        <f>IF(ISERROR(BH216),"", IF(BH216=0, "", IF(BH216&gt;'Calculs Péremption FA'!$CB41, CONCATENATE('TRAD-Calculs dispo Données FA'!$B$88, " - ", 'Calculs Péremption FA'!$BY41, "/", 'Calculs Péremption FA'!$BZ41, "/", 'Calculs Péremption FA'!$CA41), BM216)))</f>
        <v/>
      </c>
      <c r="BV216" s="2061">
        <f>Calculs!$Q296</f>
        <v>1705</v>
      </c>
      <c r="BW216" s="2062">
        <f>Calculs!$O187</f>
        <v>0</v>
      </c>
      <c r="BX216" s="2068">
        <f>Calculs!$N241</f>
        <v>0</v>
      </c>
      <c r="BY216" s="2070" t="str">
        <f>IF(AND(BX216=0, BV216=0, BW216=0), 'TRAD-Calculs dispo Données FA'!$B$82, "")</f>
        <v/>
      </c>
      <c r="BZ216" s="2062" t="str">
        <f>IF(AND(BX216=0, BV216&gt;0, BW216=0), CONCATENATE(BV216,'TRAD-Calculs dispo Données FA'!$B$80," =0"), "")</f>
        <v>1705B &amp; conso =0</v>
      </c>
      <c r="CA216" s="2063" t="str">
        <f>IF(AND(BV216=0, OR(BW216&gt;=1, BX216&gt;=1)),'TRAD-Calculs dispo Données FA'!$B$81, "")</f>
        <v/>
      </c>
    </row>
    <row r="217" spans="3:79" s="358" customFormat="1" ht="25.5" x14ac:dyDescent="0.2">
      <c r="C217" s="2687"/>
      <c r="D217" s="2733"/>
      <c r="E217" s="2708" t="str">
        <f>'Saisie données stocks'!F54</f>
        <v>FPV</v>
      </c>
      <c r="F217" s="2709" t="str">
        <f>'Saisie données stocks'!G54</f>
        <v>Cp</v>
      </c>
      <c r="G217" s="2709" t="str">
        <f>'Saisie données stocks'!H54</f>
        <v>700 mg</v>
      </c>
      <c r="H217" s="2734" t="str">
        <f>CONCATENATE(E217, " - ", G217, " - ", 'TRAD-Calculs dispo Données FA'!$B$79,"/", K217)</f>
        <v>FPV - 700 mg - B/60</v>
      </c>
      <c r="I217" s="2734">
        <f>Calculs!K137</f>
        <v>2</v>
      </c>
      <c r="J217" s="2711">
        <f t="shared" si="29"/>
        <v>60</v>
      </c>
      <c r="K217" s="2713">
        <f>Calculs!J137</f>
        <v>60</v>
      </c>
      <c r="L217" s="2714">
        <f t="shared" si="30"/>
        <v>1</v>
      </c>
      <c r="M217" s="2715">
        <f>IF('Saisie données stocks'!$O$10='TRAD-Saisie données stocks'!$B$51, 'Calculs Péremption FA'!BU42, Calculs!M297)+IF('Saisie données stocks'!$M$76='TRAD-Saisie données stocks'!$B$51, Calculs!N297, "0")+Calculs!P297</f>
        <v>0</v>
      </c>
      <c r="N217" s="2715">
        <f>Calculs!O188</f>
        <v>0</v>
      </c>
      <c r="O217" s="2715">
        <f>Calculs!N242</f>
        <v>0</v>
      </c>
      <c r="P217"/>
      <c r="Q217" s="1847" t="e">
        <f>IF(Calculs!N242&gt;0, (-(Calculs!N242+2*Calculs!O188)+SQRT((Calculs!N242+2*Calculs!O188)*(Calculs!N242+2*Calculs!O188)+8*Calculs!N242*(M217)))/(2*Calculs!N242), ((M217)/Calculs!O188))</f>
        <v>#DIV/0!</v>
      </c>
      <c r="R217" s="1848" t="e">
        <f>Q217-Paramétrage!$D$29</f>
        <v>#DIV/0!</v>
      </c>
      <c r="S217" s="1849" t="e">
        <f>IF(Q217&lt;Paramétrage!$D$29, Q217, Paramétrage!$D$29)</f>
        <v>#DIV/0!</v>
      </c>
      <c r="T217" s="1850" t="e">
        <f>Paramétrage!$H$19+R217*(365/12)</f>
        <v>#DIV/0!</v>
      </c>
      <c r="U217" s="254" t="e">
        <f>IF(Q217&lt;Paramétrage!$D$29, Paramétrage!$H$19+S217*(365/12), Paramétrage!$H$19+Q217*(365/12))</f>
        <v>#DIV/0!</v>
      </c>
      <c r="W217" s="1847" t="str">
        <f t="shared" si="31"/>
        <v/>
      </c>
      <c r="X217" s="1848" t="str">
        <f t="shared" si="32"/>
        <v/>
      </c>
      <c r="Y217" s="428" t="str">
        <f t="shared" si="33"/>
        <v/>
      </c>
      <c r="Z217" s="1850" t="str">
        <f t="shared" si="34"/>
        <v/>
      </c>
      <c r="AA217" s="254" t="str">
        <f t="shared" si="35"/>
        <v/>
      </c>
      <c r="AC217" s="1847" t="e">
        <f t="shared" si="36"/>
        <v>#DIV/0!</v>
      </c>
      <c r="AD217" s="1848" t="e">
        <f>AC217-Paramétrage!$D$29</f>
        <v>#DIV/0!</v>
      </c>
      <c r="AE217" s="1849" t="e">
        <f>IF(AC217&lt;Paramétrage!$D$29, AC217, Paramétrage!$D$29)</f>
        <v>#DIV/0!</v>
      </c>
      <c r="AF217" s="1849" t="e">
        <f t="shared" si="37"/>
        <v>#DIV/0!</v>
      </c>
      <c r="AG217" s="1850" t="e">
        <f>Paramétrage!$H$19+AD217*30</f>
        <v>#DIV/0!</v>
      </c>
      <c r="AH217" s="254" t="e">
        <f>IF(AC217&lt;Paramétrage!$D$29, Paramétrage!$H$19+AE217*30, Paramétrage!$H$19+AC217*30)</f>
        <v>#DIV/0!</v>
      </c>
      <c r="AI217" s="1850">
        <f>'Saisie données stocks'!O175</f>
        <v>0</v>
      </c>
      <c r="AJ217" s="1851" t="str">
        <f>IF(ISERROR(Q217), "0", IF('Saisie données stocks'!O175="", "0", IF(U160&gt;'Saisie données stocks'!$N$14, IF(AI217&gt;(Paramétrage!$H$19+'Saisie données stocks'!$N$14*(365/12)), (AI217-(Paramétrage!$H$19+'Saisie données stocks'!$N$14*(365/12)))/(365/12), IF(AI217&gt;U160, (AI217-U160)/(365/12), "0")))))</f>
        <v>0</v>
      </c>
      <c r="AK217" s="1848" t="str">
        <f>IF(ISERROR(Q160),"0", IF(Q160=0, "0", IF(Q160&gt;'Calculs Péremption FA'!$CB42, 'Calculs Péremption FA'!$CB42, Q160)))</f>
        <v>0</v>
      </c>
      <c r="AL217" s="1849" t="str">
        <f>IF(ISERROR(AC217),"0", IF(AC217=0, "0", IF(AC217&gt;'Saisie données stocks'!$N$14, 'Saisie données stocks'!$N$14, AC217)))</f>
        <v>0</v>
      </c>
      <c r="AM217" s="254" t="str">
        <f>IF(ISERROR(Q217),AA217,IF(Calculs!P297=0,AA160,(Paramétrage!$H$19+((AJ217+AK217+AL217)*(365/12)))))</f>
        <v/>
      </c>
      <c r="AO217" s="1847" t="str">
        <f>IF(ISERROR(AC217),"", IF(AC217=0, "", IF(AC217&gt;'Saisie données stocks'!$N$14, 'Saisie données stocks'!$N$14, AC217)))</f>
        <v/>
      </c>
      <c r="AP217" s="1848" t="str">
        <f>IF(ISERROR(AC217),"", IF(AC217=0, "", IF(AC217&gt;'Calculs Péremption FA'!$CB42, 'Calculs Péremption FA'!$CB42-Paramétrage!$D$29, AD217)))</f>
        <v/>
      </c>
      <c r="AQ217" s="428" t="str">
        <f>IF(ISERROR(AC217),"", IF(AC217=0, "", IF(AC217&gt;'Calculs Péremption FA'!$CB42, Paramétrage!$D$29, AE217)))</f>
        <v/>
      </c>
      <c r="AR217" s="1852" t="str">
        <f t="shared" si="38"/>
        <v/>
      </c>
      <c r="AS217" s="1850" t="str">
        <f>IF(ISERROR(AC217),"", IF(AC217=0, "", IF(AC217&gt;'Calculs Péremption FA'!$CB42, 'Calculs Péremption FA'!$BX42-Paramétrage!$D$29*(365/12), AG217)))</f>
        <v/>
      </c>
      <c r="AT217" s="254" t="str">
        <f>IF(ISERROR(AC217),"", IF(AC217=0, "", IF(AC217&gt;'Calculs Péremption FA'!$CB42, CONCATENATE('TRAD-Calculs dispo Données FA'!$B$88, " - ", 'Calculs Péremption FA'!$BY42, "/", 'Calculs Péremption FA'!$BZ42, "/", 'Calculs Péremption FA'!$CA42), AH217)))</f>
        <v/>
      </c>
      <c r="AV217" s="1847" t="e">
        <f>(Calculs!Q297)/Calculs!O188</f>
        <v>#DIV/0!</v>
      </c>
      <c r="AW217" s="1848" t="e">
        <f>AV217-Paramétrage!$D$29</f>
        <v>#DIV/0!</v>
      </c>
      <c r="AX217" s="1849" t="e">
        <f>IF(AV217&lt;Paramétrage!$D$29, AV217, Paramétrage!$D$29)</f>
        <v>#DIV/0!</v>
      </c>
      <c r="AY217" s="1850" t="e">
        <f>Paramétrage!$H$19+AW217*30</f>
        <v>#DIV/0!</v>
      </c>
      <c r="AZ217" s="254" t="e">
        <f>IF(AV217&lt;Paramétrage!$D$29, Paramétrage!$H$19+AX217*(365/12), Paramétrage!$H$19+AV217*(365/12))</f>
        <v>#DIV/0!</v>
      </c>
      <c r="BB217" s="1847" t="str">
        <f>IF(ISERROR(AV217),"", IF(AV217=0, "", IF(AV217&gt;'Calculs Péremption FA'!$CB42, 'Calculs Péremption FA'!$CB42, AV217)))</f>
        <v/>
      </c>
      <c r="BC217" s="1848" t="str">
        <f>IF(ISERROR(AV217),"", IF(AV217=0, "", IF(AV217&gt;'Calculs Péremption FA'!$CB42, 'Calculs Péremption FA'!$CB42-Paramétrage!$D$29, AW217)))</f>
        <v/>
      </c>
      <c r="BD217" s="428" t="str">
        <f>IF(ISERROR(AV217),"", IF(AV217=0, "", IF(AV217&gt;'Calculs Péremption FA'!$CB42, Paramétrage!$D$29, AX217)))</f>
        <v/>
      </c>
      <c r="BE217" s="1850" t="str">
        <f>IF(ISERROR(AV217),"", IF(AV217=0, "", IF(AV217&gt;'Calculs Péremption FA'!$CB42, 'Calculs Péremption FA'!$BX42-Paramétrage!$D$29*(365/12), AY217)))</f>
        <v/>
      </c>
      <c r="BF217" s="254" t="str">
        <f>IF(ISERROR(AV217),"", IF(AV217=0, "", IF(AV217&gt;'Calculs Péremption FA'!$CB42, CONCATENATE('TRAD-Calculs dispo Données FA'!$B$88, " - ", 'Calculs Péremption FA'!$BY42, "/", 'Calculs Péremption FA'!$BZ42, "/", 'Calculs Péremption FA'!$CA42), AZ217)))</f>
        <v/>
      </c>
      <c r="BH217" s="1847" t="e">
        <f t="shared" si="39"/>
        <v>#DIV/0!</v>
      </c>
      <c r="BI217" s="1848" t="e">
        <f>BH217-Paramétrage!$D$29</f>
        <v>#DIV/0!</v>
      </c>
      <c r="BJ217" s="1849" t="e">
        <f>IF(BH217&lt;Paramétrage!$D$29, BH217, Paramétrage!$D$29)</f>
        <v>#DIV/0!</v>
      </c>
      <c r="BK217" s="1849" t="e">
        <f t="shared" si="40"/>
        <v>#DIV/0!</v>
      </c>
      <c r="BL217" s="1850" t="e">
        <f>Paramétrage!$H$19+BI217*(365/12)</f>
        <v>#DIV/0!</v>
      </c>
      <c r="BM217" s="254" t="e">
        <f>IF(BH217&lt;Paramétrage!$D$29, Paramétrage!$H$19+BJ217*(365/12), Paramétrage!$H$19+BH217*(365/12))</f>
        <v>#DIV/0!</v>
      </c>
      <c r="BO217" s="1847" t="str">
        <f>IF(ISERROR(BH217),"", IF(BH217=0, "", IF(BH217&gt;'Calculs Péremption FA'!$CB42, 'Calculs Péremption FA'!$CB42, BH217)))</f>
        <v/>
      </c>
      <c r="BP217" s="1848" t="str">
        <f>IF(ISERROR(BH217),"", IF(BH217=0, "", IF(BH217&gt;'Calculs Péremption FA'!$CB42, 'Calculs Péremption FA'!$CB42-Paramétrage!$D$29, BI217)))</f>
        <v/>
      </c>
      <c r="BQ217" s="428" t="str">
        <f>IF(ISERROR(BH217),"", IF(BH217=0, "", IF(BH217&gt;'Calculs Péremption FA'!$CB42, Paramétrage!$D$29, BJ217)))</f>
        <v/>
      </c>
      <c r="BR217" s="1852" t="str">
        <f t="shared" si="41"/>
        <v/>
      </c>
      <c r="BS217" s="1850" t="str">
        <f>IF(ISERROR(BH217),"", IF(BH217=0, "", IF(BH217&gt;'Calculs Péremption FA'!$CB42, 'Calculs Péremption FA'!$BX42-Paramétrage!$D$29*(365/12), BL217)))</f>
        <v/>
      </c>
      <c r="BT217" s="254" t="str">
        <f>IF(ISERROR(BH217),"", IF(BH217=0, "", IF(BH217&gt;'Calculs Péremption FA'!$CB42, CONCATENATE('TRAD-Calculs dispo Données FA'!$B$88, " - ", 'Calculs Péremption FA'!$BY42, "/", 'Calculs Péremption FA'!$BZ42, "/", 'Calculs Péremption FA'!$CA42), BM217)))</f>
        <v/>
      </c>
      <c r="BV217" s="2061">
        <f>Calculs!$Q297</f>
        <v>0</v>
      </c>
      <c r="BW217" s="2062">
        <f>Calculs!$O188</f>
        <v>0</v>
      </c>
      <c r="BX217" s="2068">
        <f>Calculs!$N242</f>
        <v>0</v>
      </c>
      <c r="BY217" s="2070" t="str">
        <f>IF(AND(BX217=0, BV217=0, BW217=0), 'TRAD-Calculs dispo Données FA'!$B$82, "")</f>
        <v>Stock et besoin nul</v>
      </c>
      <c r="BZ217" s="2062" t="str">
        <f>IF(AND(BX217=0, BV217&gt;0, BW217=0), CONCATENATE(BV217,'TRAD-Calculs dispo Données FA'!$B$80," =0"), "")</f>
        <v/>
      </c>
      <c r="CA217" s="2063" t="str">
        <f>IF(AND(BV217=0, OR(BW217&gt;=1, BX217&gt;=1)),'TRAD-Calculs dispo Données FA'!$B$81, "")</f>
        <v/>
      </c>
    </row>
    <row r="218" spans="3:79" s="358" customFormat="1" ht="25.5" x14ac:dyDescent="0.2">
      <c r="C218" s="2687"/>
      <c r="D218" s="2733"/>
      <c r="E218" s="2708" t="str">
        <f>'Saisie données stocks'!F55</f>
        <v>IDV</v>
      </c>
      <c r="F218" s="2709" t="str">
        <f>'Saisie données stocks'!G55</f>
        <v>Gel</v>
      </c>
      <c r="G218" s="2709" t="str">
        <f>'Saisie données stocks'!H55</f>
        <v>400 mg</v>
      </c>
      <c r="H218" s="2734" t="str">
        <f>CONCATENATE(E218, " - ", G218, " - ", 'TRAD-Calculs dispo Données FA'!$B$79,"/", K218)</f>
        <v>IDV - 400 mg - B/180</v>
      </c>
      <c r="I218" s="2734">
        <f>Calculs!K138</f>
        <v>0</v>
      </c>
      <c r="J218" s="2711">
        <f t="shared" si="29"/>
        <v>0</v>
      </c>
      <c r="K218" s="2713">
        <f>Calculs!J138</f>
        <v>180</v>
      </c>
      <c r="L218" s="2714">
        <f t="shared" si="30"/>
        <v>0</v>
      </c>
      <c r="M218" s="2715">
        <f>IF('Saisie données stocks'!$O$10='TRAD-Saisie données stocks'!$B$51, 'Calculs Péremption FA'!BU43, Calculs!M298)+IF('Saisie données stocks'!$M$76='TRAD-Saisie données stocks'!$B$51, Calculs!N298, "0")+Calculs!P298</f>
        <v>0</v>
      </c>
      <c r="N218" s="2715">
        <f>Calculs!O189</f>
        <v>0</v>
      </c>
      <c r="O218" s="2715">
        <f>Calculs!N243</f>
        <v>0</v>
      </c>
      <c r="P218"/>
      <c r="Q218" s="1847" t="e">
        <f>IF(Calculs!N243&gt;0, (-(Calculs!N243+2*Calculs!O189)+SQRT((Calculs!N243+2*Calculs!O189)*(Calculs!N243+2*Calculs!O189)+8*Calculs!N243*(M218)))/(2*Calculs!N243), ((M218)/Calculs!O189))</f>
        <v>#DIV/0!</v>
      </c>
      <c r="R218" s="1848" t="e">
        <f>Q218-Paramétrage!$D$29</f>
        <v>#DIV/0!</v>
      </c>
      <c r="S218" s="1849" t="e">
        <f>IF(Q218&lt;Paramétrage!$D$29, Q218, Paramétrage!$D$29)</f>
        <v>#DIV/0!</v>
      </c>
      <c r="T218" s="1850" t="e">
        <f>Paramétrage!$H$19+R218*(365/12)</f>
        <v>#DIV/0!</v>
      </c>
      <c r="U218" s="254" t="e">
        <f>IF(Q218&lt;Paramétrage!$D$29, Paramétrage!$H$19+S218*(365/12), Paramétrage!$H$19+Q218*(365/12))</f>
        <v>#DIV/0!</v>
      </c>
      <c r="W218" s="1847" t="str">
        <f t="shared" si="31"/>
        <v/>
      </c>
      <c r="X218" s="1848" t="str">
        <f t="shared" si="32"/>
        <v/>
      </c>
      <c r="Y218" s="428" t="str">
        <f t="shared" si="33"/>
        <v/>
      </c>
      <c r="Z218" s="1850" t="str">
        <f t="shared" si="34"/>
        <v/>
      </c>
      <c r="AA218" s="254" t="str">
        <f t="shared" si="35"/>
        <v/>
      </c>
      <c r="AC218" s="1847" t="e">
        <f t="shared" si="36"/>
        <v>#DIV/0!</v>
      </c>
      <c r="AD218" s="1848" t="e">
        <f>AC218-Paramétrage!$D$29</f>
        <v>#DIV/0!</v>
      </c>
      <c r="AE218" s="1849" t="e">
        <f>IF(AC218&lt;Paramétrage!$D$29, AC218, Paramétrage!$D$29)</f>
        <v>#DIV/0!</v>
      </c>
      <c r="AF218" s="1849" t="e">
        <f t="shared" si="37"/>
        <v>#DIV/0!</v>
      </c>
      <c r="AG218" s="1850" t="e">
        <f>Paramétrage!$H$19+AD218*30</f>
        <v>#DIV/0!</v>
      </c>
      <c r="AH218" s="254" t="e">
        <f>IF(AC218&lt;Paramétrage!$D$29, Paramétrage!$H$19+AE218*30, Paramétrage!$H$19+AC218*30)</f>
        <v>#DIV/0!</v>
      </c>
      <c r="AI218" s="1850">
        <f>'Saisie données stocks'!O176</f>
        <v>0</v>
      </c>
      <c r="AJ218" s="1851" t="str">
        <f>IF(ISERROR(Q218), "0", IF('Saisie données stocks'!O176="", "0", IF(U161&gt;'Saisie données stocks'!$N$14, IF(AI218&gt;(Paramétrage!$H$19+'Saisie données stocks'!$N$14*(365/12)), (AI218-(Paramétrage!$H$19+'Saisie données stocks'!$N$14*(365/12)))/(365/12), IF(AI218&gt;U161, (AI218-U161)/(365/12), "0")))))</f>
        <v>0</v>
      </c>
      <c r="AK218" s="1848" t="str">
        <f>IF(ISERROR(Q161),"0", IF(Q161=0, "0", IF(Q161&gt;'Calculs Péremption FA'!$CB43, 'Calculs Péremption FA'!$CB43, Q161)))</f>
        <v>0</v>
      </c>
      <c r="AL218" s="1849" t="str">
        <f>IF(ISERROR(AC218),"0", IF(AC218=0, "0", IF(AC218&gt;'Saisie données stocks'!$N$14, 'Saisie données stocks'!$N$14, AC218)))</f>
        <v>0</v>
      </c>
      <c r="AM218" s="254" t="str">
        <f>IF(ISERROR(Q218),AA218,IF(Calculs!P298=0,AA161,(Paramétrage!$H$19+((AJ218+AK218+AL218)*(365/12)))))</f>
        <v/>
      </c>
      <c r="AO218" s="1847" t="str">
        <f>IF(ISERROR(AC218),"", IF(AC218=0, "", IF(AC218&gt;'Saisie données stocks'!$N$14, 'Saisie données stocks'!$N$14, AC218)))</f>
        <v/>
      </c>
      <c r="AP218" s="1848" t="str">
        <f>IF(ISERROR(AC218),"", IF(AC218=0, "", IF(AC218&gt;'Calculs Péremption FA'!$CB43, 'Calculs Péremption FA'!$CB43-Paramétrage!$D$29, AD218)))</f>
        <v/>
      </c>
      <c r="AQ218" s="428" t="str">
        <f>IF(ISERROR(AC218),"", IF(AC218=0, "", IF(AC218&gt;'Calculs Péremption FA'!$CB43, Paramétrage!$D$29, AE218)))</f>
        <v/>
      </c>
      <c r="AR218" s="1852" t="str">
        <f t="shared" si="38"/>
        <v/>
      </c>
      <c r="AS218" s="1850" t="str">
        <f>IF(ISERROR(AC218),"", IF(AC218=0, "", IF(AC218&gt;'Calculs Péremption FA'!$CB43, 'Calculs Péremption FA'!$BX43-Paramétrage!$D$29*(365/12), AG218)))</f>
        <v/>
      </c>
      <c r="AT218" s="254" t="str">
        <f>IF(ISERROR(AC218),"", IF(AC218=0, "", IF(AC218&gt;'Calculs Péremption FA'!$CB43, CONCATENATE('TRAD-Calculs dispo Données FA'!$B$88, " - ", 'Calculs Péremption FA'!$BY43, "/", 'Calculs Péremption FA'!$BZ43, "/", 'Calculs Péremption FA'!$CA43), AH218)))</f>
        <v/>
      </c>
      <c r="AV218" s="1847" t="e">
        <f>(Calculs!Q298)/Calculs!O189</f>
        <v>#DIV/0!</v>
      </c>
      <c r="AW218" s="1848" t="e">
        <f>AV218-Paramétrage!$D$29</f>
        <v>#DIV/0!</v>
      </c>
      <c r="AX218" s="1849" t="e">
        <f>IF(AV218&lt;Paramétrage!$D$29, AV218, Paramétrage!$D$29)</f>
        <v>#DIV/0!</v>
      </c>
      <c r="AY218" s="1850" t="e">
        <f>Paramétrage!$H$19+AW218*30</f>
        <v>#DIV/0!</v>
      </c>
      <c r="AZ218" s="254" t="e">
        <f>IF(AV218&lt;Paramétrage!$D$29, Paramétrage!$H$19+AX218*(365/12), Paramétrage!$H$19+AV218*(365/12))</f>
        <v>#DIV/0!</v>
      </c>
      <c r="BB218" s="1847" t="str">
        <f>IF(ISERROR(AV218),"", IF(AV218=0, "", IF(AV218&gt;'Calculs Péremption FA'!$CB43, 'Calculs Péremption FA'!$CB43, AV218)))</f>
        <v/>
      </c>
      <c r="BC218" s="1848" t="str">
        <f>IF(ISERROR(AV218),"", IF(AV218=0, "", IF(AV218&gt;'Calculs Péremption FA'!$CB43, 'Calculs Péremption FA'!$CB43-Paramétrage!$D$29, AW218)))</f>
        <v/>
      </c>
      <c r="BD218" s="428" t="str">
        <f>IF(ISERROR(AV218),"", IF(AV218=0, "", IF(AV218&gt;'Calculs Péremption FA'!$CB43, Paramétrage!$D$29, AX218)))</f>
        <v/>
      </c>
      <c r="BE218" s="1850" t="str">
        <f>IF(ISERROR(AV218),"", IF(AV218=0, "", IF(AV218&gt;'Calculs Péremption FA'!$CB43, 'Calculs Péremption FA'!$BX43-Paramétrage!$D$29*(365/12), AY218)))</f>
        <v/>
      </c>
      <c r="BF218" s="254" t="str">
        <f>IF(ISERROR(AV218),"", IF(AV218=0, "", IF(AV218&gt;'Calculs Péremption FA'!$CB43, CONCATENATE('TRAD-Calculs dispo Données FA'!$B$88, " - ", 'Calculs Péremption FA'!$BY43, "/", 'Calculs Péremption FA'!$BZ43, "/", 'Calculs Péremption FA'!$CA43), AZ218)))</f>
        <v/>
      </c>
      <c r="BH218" s="1847" t="e">
        <f t="shared" si="39"/>
        <v>#DIV/0!</v>
      </c>
      <c r="BI218" s="1848" t="e">
        <f>BH218-Paramétrage!$D$29</f>
        <v>#DIV/0!</v>
      </c>
      <c r="BJ218" s="1849" t="e">
        <f>IF(BH218&lt;Paramétrage!$D$29, BH218, Paramétrage!$D$29)</f>
        <v>#DIV/0!</v>
      </c>
      <c r="BK218" s="1849" t="e">
        <f t="shared" si="40"/>
        <v>#DIV/0!</v>
      </c>
      <c r="BL218" s="1850" t="e">
        <f>Paramétrage!$H$19+BI218*(365/12)</f>
        <v>#DIV/0!</v>
      </c>
      <c r="BM218" s="254" t="e">
        <f>IF(BH218&lt;Paramétrage!$D$29, Paramétrage!$H$19+BJ218*(365/12), Paramétrage!$H$19+BH218*(365/12))</f>
        <v>#DIV/0!</v>
      </c>
      <c r="BO218" s="1847" t="str">
        <f>IF(ISERROR(BH218),"", IF(BH218=0, "", IF(BH218&gt;'Calculs Péremption FA'!$CB43, 'Calculs Péremption FA'!$CB43, BH218)))</f>
        <v/>
      </c>
      <c r="BP218" s="1848" t="str">
        <f>IF(ISERROR(BH218),"", IF(BH218=0, "", IF(BH218&gt;'Calculs Péremption FA'!$CB43, 'Calculs Péremption FA'!$CB43-Paramétrage!$D$29, BI218)))</f>
        <v/>
      </c>
      <c r="BQ218" s="428" t="str">
        <f>IF(ISERROR(BH218),"", IF(BH218=0, "", IF(BH218&gt;'Calculs Péremption FA'!$CB43, Paramétrage!$D$29, BJ218)))</f>
        <v/>
      </c>
      <c r="BR218" s="1852" t="str">
        <f t="shared" si="41"/>
        <v/>
      </c>
      <c r="BS218" s="1850" t="str">
        <f>IF(ISERROR(BH218),"", IF(BH218=0, "", IF(BH218&gt;'Calculs Péremption FA'!$CB43, 'Calculs Péremption FA'!$BX43-Paramétrage!$D$29*(365/12), BL218)))</f>
        <v/>
      </c>
      <c r="BT218" s="254" t="str">
        <f>IF(ISERROR(BH218),"", IF(BH218=0, "", IF(BH218&gt;'Calculs Péremption FA'!$CB43, CONCATENATE('TRAD-Calculs dispo Données FA'!$B$88, " - ", 'Calculs Péremption FA'!$BY43, "/", 'Calculs Péremption FA'!$BZ43, "/", 'Calculs Péremption FA'!$CA43), BM218)))</f>
        <v/>
      </c>
      <c r="BV218" s="2061">
        <f>Calculs!$Q298</f>
        <v>0</v>
      </c>
      <c r="BW218" s="2062">
        <f>Calculs!$O189</f>
        <v>0</v>
      </c>
      <c r="BX218" s="2068">
        <f>Calculs!$N243</f>
        <v>0</v>
      </c>
      <c r="BY218" s="2070" t="str">
        <f>IF(AND(BX218=0, BV218=0, BW218=0), 'TRAD-Calculs dispo Données FA'!$B$82, "")</f>
        <v>Stock et besoin nul</v>
      </c>
      <c r="BZ218" s="2062" t="str">
        <f>IF(AND(BX218=0, BV218&gt;0, BW218=0), CONCATENATE(BV218,'TRAD-Calculs dispo Données FA'!$B$80," =0"), "")</f>
        <v/>
      </c>
      <c r="CA218" s="2063" t="str">
        <f>IF(AND(BV218=0, OR(BW218&gt;=1, BX218&gt;=1)),'TRAD-Calculs dispo Données FA'!$B$81, "")</f>
        <v/>
      </c>
    </row>
    <row r="219" spans="3:79" s="358" customFormat="1" ht="25.5" x14ac:dyDescent="0.2">
      <c r="C219" s="2687"/>
      <c r="D219" s="2733"/>
      <c r="E219" s="2735" t="str">
        <f>'Saisie données stocks'!F56</f>
        <v>DRV</v>
      </c>
      <c r="F219" s="2736" t="str">
        <f>'Saisie données stocks'!G56</f>
        <v>Cp</v>
      </c>
      <c r="G219" s="2737" t="str">
        <f>'Saisie données stocks'!H56</f>
        <v>300 mg</v>
      </c>
      <c r="H219" s="2738" t="str">
        <f>CONCATENATE(E219, " - ", G219, " - ", 'TRAD-Calculs dispo Données FA'!$B$79,"/", K219)</f>
        <v>DRV - 300 mg - B/120</v>
      </c>
      <c r="I219" s="2734">
        <f>Calculs!K139</f>
        <v>4</v>
      </c>
      <c r="J219" s="2711">
        <f t="shared" si="29"/>
        <v>120</v>
      </c>
      <c r="K219" s="2739">
        <f>Calculs!J139</f>
        <v>120</v>
      </c>
      <c r="L219" s="2714">
        <f t="shared" si="30"/>
        <v>1</v>
      </c>
      <c r="M219" s="2715">
        <f>IF('Saisie données stocks'!$O$10='TRAD-Saisie données stocks'!$B$51, 'Calculs Péremption FA'!BU44, Calculs!M299)+IF('Saisie données stocks'!$M$76='TRAD-Saisie données stocks'!$B$51, Calculs!N299, "0")+Calculs!P299</f>
        <v>0</v>
      </c>
      <c r="N219" s="2715">
        <f>Calculs!O190</f>
        <v>0</v>
      </c>
      <c r="O219" s="2715">
        <f>Calculs!N244</f>
        <v>0</v>
      </c>
      <c r="P219"/>
      <c r="Q219" s="1847" t="e">
        <f>IF(Calculs!N244&gt;0, (-(Calculs!N244+2*Calculs!O190)+SQRT((Calculs!N244+2*Calculs!O190)*(Calculs!N244+2*Calculs!O190)+8*Calculs!N244*(M219)))/(2*Calculs!N244), ((M219)/Calculs!O190))</f>
        <v>#DIV/0!</v>
      </c>
      <c r="R219" s="1848" t="e">
        <f>Q219-Paramétrage!$D$29</f>
        <v>#DIV/0!</v>
      </c>
      <c r="S219" s="1849" t="e">
        <f>IF(Q219&lt;Paramétrage!$D$29, Q219, Paramétrage!$D$29)</f>
        <v>#DIV/0!</v>
      </c>
      <c r="T219" s="1850" t="e">
        <f>Paramétrage!$H$19+R219*(365/12)</f>
        <v>#DIV/0!</v>
      </c>
      <c r="U219" s="254" t="e">
        <f>IF(Q219&lt;Paramétrage!$D$29, Paramétrage!$H$19+S219*(365/12), Paramétrage!$H$19+Q219*(365/12))</f>
        <v>#DIV/0!</v>
      </c>
      <c r="W219" s="1847" t="str">
        <f t="shared" si="31"/>
        <v/>
      </c>
      <c r="X219" s="1848" t="str">
        <f t="shared" si="32"/>
        <v/>
      </c>
      <c r="Y219" s="428" t="str">
        <f t="shared" si="33"/>
        <v/>
      </c>
      <c r="Z219" s="1850" t="str">
        <f t="shared" si="34"/>
        <v/>
      </c>
      <c r="AA219" s="254" t="str">
        <f t="shared" si="35"/>
        <v/>
      </c>
      <c r="AC219" s="1847" t="e">
        <f t="shared" si="36"/>
        <v>#DIV/0!</v>
      </c>
      <c r="AD219" s="1848" t="e">
        <f>AC219-Paramétrage!$D$29</f>
        <v>#DIV/0!</v>
      </c>
      <c r="AE219" s="1849" t="e">
        <f>IF(AC219&lt;Paramétrage!$D$29, AC219, Paramétrage!$D$29)</f>
        <v>#DIV/0!</v>
      </c>
      <c r="AF219" s="1849" t="e">
        <f t="shared" si="37"/>
        <v>#DIV/0!</v>
      </c>
      <c r="AG219" s="1850" t="e">
        <f>Paramétrage!$H$19+AD219*30</f>
        <v>#DIV/0!</v>
      </c>
      <c r="AH219" s="254" t="e">
        <f>IF(AC219&lt;Paramétrage!$D$29, Paramétrage!$H$19+AE219*30, Paramétrage!$H$19+AC219*30)</f>
        <v>#DIV/0!</v>
      </c>
      <c r="AI219" s="1850">
        <f>'Saisie données stocks'!O177</f>
        <v>0</v>
      </c>
      <c r="AJ219" s="1851" t="str">
        <f>IF(ISERROR(Q219), "0", IF('Saisie données stocks'!O177="", "0", IF(U162&gt;'Saisie données stocks'!$N$14, IF(AI219&gt;(Paramétrage!$H$19+'Saisie données stocks'!$N$14*(365/12)), (AI219-(Paramétrage!$H$19+'Saisie données stocks'!$N$14*(365/12)))/(365/12), IF(AI219&gt;U162, (AI219-U162)/(365/12), "0")))))</f>
        <v>0</v>
      </c>
      <c r="AK219" s="1848" t="str">
        <f>IF(ISERROR(Q162),"0", IF(Q162=0, "0", IF(Q162&gt;'Calculs Péremption FA'!$CB44, 'Calculs Péremption FA'!$CB44, Q162)))</f>
        <v>0</v>
      </c>
      <c r="AL219" s="1849" t="str">
        <f>IF(ISERROR(AC219),"0", IF(AC219=0, "0", IF(AC219&gt;'Saisie données stocks'!$N$14, 'Saisie données stocks'!$N$14, AC219)))</f>
        <v>0</v>
      </c>
      <c r="AM219" s="254" t="str">
        <f>IF(ISERROR(Q219),AA219,IF(Calculs!P299=0,AA162,(Paramétrage!$H$19+((AJ219+AK219+AL219)*(365/12)))))</f>
        <v/>
      </c>
      <c r="AO219" s="1847" t="str">
        <f>IF(ISERROR(AC219),"", IF(AC219=0, "", IF(AC219&gt;'Saisie données stocks'!$N$14, 'Saisie données stocks'!$N$14, AC219)))</f>
        <v/>
      </c>
      <c r="AP219" s="1848" t="str">
        <f>IF(ISERROR(AC219),"", IF(AC219=0, "", IF(AC219&gt;'Calculs Péremption FA'!$CB44, 'Calculs Péremption FA'!$CB44-Paramétrage!$D$29, AD219)))</f>
        <v/>
      </c>
      <c r="AQ219" s="428" t="str">
        <f>IF(ISERROR(AC219),"", IF(AC219=0, "", IF(AC219&gt;'Calculs Péremption FA'!$CB44, Paramétrage!$D$29, AE219)))</f>
        <v/>
      </c>
      <c r="AR219" s="1852" t="str">
        <f t="shared" si="38"/>
        <v/>
      </c>
      <c r="AS219" s="1850" t="str">
        <f>IF(ISERROR(AC219),"", IF(AC219=0, "", IF(AC219&gt;'Calculs Péremption FA'!$CB44, 'Calculs Péremption FA'!$BX44-Paramétrage!$D$29*(365/12), AG219)))</f>
        <v/>
      </c>
      <c r="AT219" s="254" t="str">
        <f>IF(ISERROR(AC219),"", IF(AC219=0, "", IF(AC219&gt;'Calculs Péremption FA'!$CB44, CONCATENATE('TRAD-Calculs dispo Données FA'!$B$88, " - ", 'Calculs Péremption FA'!$BY44, "/", 'Calculs Péremption FA'!$BZ44, "/", 'Calculs Péremption FA'!$CA44), AH219)))</f>
        <v/>
      </c>
      <c r="AV219" s="1847" t="e">
        <f>(Calculs!Q299)/Calculs!O190</f>
        <v>#DIV/0!</v>
      </c>
      <c r="AW219" s="1848" t="e">
        <f>AV219-Paramétrage!$D$29</f>
        <v>#DIV/0!</v>
      </c>
      <c r="AX219" s="1849" t="e">
        <f>IF(AV219&lt;Paramétrage!$D$29, AV219, Paramétrage!$D$29)</f>
        <v>#DIV/0!</v>
      </c>
      <c r="AY219" s="1850" t="e">
        <f>Paramétrage!$H$19+AW219*30</f>
        <v>#DIV/0!</v>
      </c>
      <c r="AZ219" s="254" t="e">
        <f>IF(AV219&lt;Paramétrage!$D$29, Paramétrage!$H$19+AX219*(365/12), Paramétrage!$H$19+AV219*(365/12))</f>
        <v>#DIV/0!</v>
      </c>
      <c r="BB219" s="1847" t="str">
        <f>IF(ISERROR(AV219),"", IF(AV219=0, "", IF(AV219&gt;'Calculs Péremption FA'!$CB44, 'Calculs Péremption FA'!$CB44, AV219)))</f>
        <v/>
      </c>
      <c r="BC219" s="1848" t="str">
        <f>IF(ISERROR(AV219),"", IF(AV219=0, "", IF(AV219&gt;'Calculs Péremption FA'!$CB44, 'Calculs Péremption FA'!$CB44-Paramétrage!$D$29, AW219)))</f>
        <v/>
      </c>
      <c r="BD219" s="428" t="str">
        <f>IF(ISERROR(AV219),"", IF(AV219=0, "", IF(AV219&gt;'Calculs Péremption FA'!$CB44, Paramétrage!$D$29, AX219)))</f>
        <v/>
      </c>
      <c r="BE219" s="1850" t="str">
        <f>IF(ISERROR(AV219),"", IF(AV219=0, "", IF(AV219&gt;'Calculs Péremption FA'!$CB44, 'Calculs Péremption FA'!$BX44-Paramétrage!$D$29*(365/12), AY219)))</f>
        <v/>
      </c>
      <c r="BF219" s="254" t="str">
        <f>IF(ISERROR(AV219),"", IF(AV219=0, "", IF(AV219&gt;'Calculs Péremption FA'!$CB44, CONCATENATE('TRAD-Calculs dispo Données FA'!$B$88, " - ", 'Calculs Péremption FA'!$BY44, "/", 'Calculs Péremption FA'!$BZ44, "/", 'Calculs Péremption FA'!$CA44), AZ219)))</f>
        <v/>
      </c>
      <c r="BH219" s="1847" t="e">
        <f t="shared" si="39"/>
        <v>#DIV/0!</v>
      </c>
      <c r="BI219" s="1848" t="e">
        <f>BH219-Paramétrage!$D$29</f>
        <v>#DIV/0!</v>
      </c>
      <c r="BJ219" s="1849" t="e">
        <f>IF(BH219&lt;Paramétrage!$D$29, BH219, Paramétrage!$D$29)</f>
        <v>#DIV/0!</v>
      </c>
      <c r="BK219" s="1849" t="e">
        <f t="shared" si="40"/>
        <v>#DIV/0!</v>
      </c>
      <c r="BL219" s="1850" t="e">
        <f>Paramétrage!$H$19+BI219*(365/12)</f>
        <v>#DIV/0!</v>
      </c>
      <c r="BM219" s="254" t="e">
        <f>IF(BH219&lt;Paramétrage!$D$29, Paramétrage!$H$19+BJ219*(365/12), Paramétrage!$H$19+BH219*(365/12))</f>
        <v>#DIV/0!</v>
      </c>
      <c r="BO219" s="1847" t="str">
        <f>IF(ISERROR(BH219),"", IF(BH219=0, "", IF(BH219&gt;'Calculs Péremption FA'!$CB44, 'Calculs Péremption FA'!$CB44, BH219)))</f>
        <v/>
      </c>
      <c r="BP219" s="1848" t="str">
        <f>IF(ISERROR(BH219),"", IF(BH219=0, "", IF(BH219&gt;'Calculs Péremption FA'!$CB44, 'Calculs Péremption FA'!$CB44-Paramétrage!$D$29, BI219)))</f>
        <v/>
      </c>
      <c r="BQ219" s="428" t="str">
        <f>IF(ISERROR(BH219),"", IF(BH219=0, "", IF(BH219&gt;'Calculs Péremption FA'!$CB44, Paramétrage!$D$29, BJ219)))</f>
        <v/>
      </c>
      <c r="BR219" s="1852" t="str">
        <f t="shared" si="41"/>
        <v/>
      </c>
      <c r="BS219" s="1850" t="str">
        <f>IF(ISERROR(BH219),"", IF(BH219=0, "", IF(BH219&gt;'Calculs Péremption FA'!$CB44, 'Calculs Péremption FA'!$BX44-Paramétrage!$D$29*(365/12), BL219)))</f>
        <v/>
      </c>
      <c r="BT219" s="254" t="str">
        <f>IF(ISERROR(BH219),"", IF(BH219=0, "", IF(BH219&gt;'Calculs Péremption FA'!$CB44, CONCATENATE('TRAD-Calculs dispo Données FA'!$B$88, " - ", 'Calculs Péremption FA'!$BY44, "/", 'Calculs Péremption FA'!$BZ44, "/", 'Calculs Péremption FA'!$CA44), BM219)))</f>
        <v/>
      </c>
      <c r="BV219" s="2061">
        <f>Calculs!$Q299</f>
        <v>0</v>
      </c>
      <c r="BW219" s="2062">
        <f>Calculs!$O190</f>
        <v>0</v>
      </c>
      <c r="BX219" s="2068">
        <f>Calculs!$N244</f>
        <v>0</v>
      </c>
      <c r="BY219" s="2070" t="str">
        <f>IF(AND(BX219=0, BV219=0, BW219=0), 'TRAD-Calculs dispo Données FA'!$B$82, "")</f>
        <v>Stock et besoin nul</v>
      </c>
      <c r="BZ219" s="2062" t="str">
        <f>IF(AND(BX219=0, BV219&gt;0, BW219=0), CONCATENATE(BV219,'TRAD-Calculs dispo Données FA'!$B$80," =0"), "")</f>
        <v/>
      </c>
      <c r="CA219" s="2063" t="str">
        <f>IF(AND(BV219=0, OR(BW219&gt;=1, BX219&gt;=1)),'TRAD-Calculs dispo Données FA'!$B$81, "")</f>
        <v/>
      </c>
    </row>
    <row r="220" spans="3:79" s="358" customFormat="1" ht="25.5" x14ac:dyDescent="0.2">
      <c r="C220" s="2687"/>
      <c r="D220" s="2733"/>
      <c r="E220" s="2740" t="str">
        <f>'Saisie données stocks'!F57</f>
        <v>SQV</v>
      </c>
      <c r="F220" s="2741" t="str">
        <f>'Saisie données stocks'!G57</f>
        <v>Cp</v>
      </c>
      <c r="G220" s="2741" t="str">
        <f>'Saisie données stocks'!H57</f>
        <v>500 mg</v>
      </c>
      <c r="H220" s="2742" t="str">
        <f>CONCATENATE(E220, " - ", G220, " - ", 'TRAD-Calculs dispo Données FA'!$B$79,"/", K220)</f>
        <v>SQV - 500 mg - B/120</v>
      </c>
      <c r="I220" s="2734">
        <f>Calculs!K140</f>
        <v>4</v>
      </c>
      <c r="J220" s="2711">
        <f t="shared" si="29"/>
        <v>120</v>
      </c>
      <c r="K220" s="2713">
        <f>Calculs!J140</f>
        <v>120</v>
      </c>
      <c r="L220" s="2714">
        <f t="shared" si="30"/>
        <v>1</v>
      </c>
      <c r="M220" s="2715">
        <f>IF('Saisie données stocks'!$O$10='TRAD-Saisie données stocks'!$B$51, 'Calculs Péremption FA'!BU45, Calculs!M300)+IF('Saisie données stocks'!$M$76='TRAD-Saisie données stocks'!$B$51, Calculs!N300, "0")+Calculs!P300</f>
        <v>0</v>
      </c>
      <c r="N220" s="2715">
        <f>Calculs!O191</f>
        <v>0</v>
      </c>
      <c r="O220" s="2715">
        <f>Calculs!N245</f>
        <v>0</v>
      </c>
      <c r="P220"/>
      <c r="Q220" s="1847" t="e">
        <f>IF(Calculs!N245&gt;0, (-(Calculs!N245+2*Calculs!O191)+SQRT((Calculs!N245+2*Calculs!O191)*(Calculs!N245+2*Calculs!O191)+8*Calculs!N245*(M220)))/(2*Calculs!N245), ((M220)/Calculs!O191))</f>
        <v>#DIV/0!</v>
      </c>
      <c r="R220" s="1848" t="e">
        <f>Q220-Paramétrage!$D$29</f>
        <v>#DIV/0!</v>
      </c>
      <c r="S220" s="1849" t="e">
        <f>IF(Q220&lt;Paramétrage!$D$29, Q220, Paramétrage!$D$29)</f>
        <v>#DIV/0!</v>
      </c>
      <c r="T220" s="1850" t="e">
        <f>Paramétrage!$H$19+R220*(365/12)</f>
        <v>#DIV/0!</v>
      </c>
      <c r="U220" s="254" t="e">
        <f>IF(Q220&lt;Paramétrage!$D$29, Paramétrage!$H$19+S220*(365/12), Paramétrage!$H$19+Q220*(365/12))</f>
        <v>#DIV/0!</v>
      </c>
      <c r="W220" s="1847" t="str">
        <f t="shared" si="31"/>
        <v/>
      </c>
      <c r="X220" s="1848" t="str">
        <f t="shared" si="32"/>
        <v/>
      </c>
      <c r="Y220" s="428" t="str">
        <f t="shared" si="33"/>
        <v/>
      </c>
      <c r="Z220" s="1850" t="str">
        <f t="shared" si="34"/>
        <v/>
      </c>
      <c r="AA220" s="254" t="str">
        <f t="shared" si="35"/>
        <v/>
      </c>
      <c r="AC220" s="1847" t="e">
        <f t="shared" si="36"/>
        <v>#DIV/0!</v>
      </c>
      <c r="AD220" s="1848" t="e">
        <f>AC220-Paramétrage!$D$29</f>
        <v>#DIV/0!</v>
      </c>
      <c r="AE220" s="1849" t="e">
        <f>IF(AC220&lt;Paramétrage!$D$29, AC220, Paramétrage!$D$29)</f>
        <v>#DIV/0!</v>
      </c>
      <c r="AF220" s="1849" t="e">
        <f t="shared" si="37"/>
        <v>#DIV/0!</v>
      </c>
      <c r="AG220" s="1850" t="e">
        <f>Paramétrage!$H$19+AD220*30</f>
        <v>#DIV/0!</v>
      </c>
      <c r="AH220" s="254" t="e">
        <f>IF(AC220&lt;Paramétrage!$D$29, Paramétrage!$H$19+AE220*30, Paramétrage!$H$19+AC220*30)</f>
        <v>#DIV/0!</v>
      </c>
      <c r="AI220" s="1850">
        <f>'Saisie données stocks'!O178</f>
        <v>0</v>
      </c>
      <c r="AJ220" s="1851" t="str">
        <f>IF(ISERROR(Q220), "0", IF('Saisie données stocks'!O178="", "0", IF(U163&gt;'Saisie données stocks'!$N$14, IF(AI220&gt;(Paramétrage!$H$19+'Saisie données stocks'!$N$14*(365/12)), (AI220-(Paramétrage!$H$19+'Saisie données stocks'!$N$14*(365/12)))/(365/12), IF(AI220&gt;U163, (AI220-U163)/(365/12), "0")))))</f>
        <v>0</v>
      </c>
      <c r="AK220" s="1848" t="str">
        <f>IF(ISERROR(Q163),"0", IF(Q163=0, "0", IF(Q163&gt;'Calculs Péremption FA'!$CB45, 'Calculs Péremption FA'!$CB45, Q163)))</f>
        <v>0</v>
      </c>
      <c r="AL220" s="1849" t="str">
        <f>IF(ISERROR(AC220),"0", IF(AC220=0, "0", IF(AC220&gt;'Saisie données stocks'!$N$14, 'Saisie données stocks'!$N$14, AC220)))</f>
        <v>0</v>
      </c>
      <c r="AM220" s="254" t="str">
        <f>IF(ISERROR(Q220),AA220,IF(Calculs!P300=0,AA163,(Paramétrage!$H$19+((AJ220+AK220+AL220)*(365/12)))))</f>
        <v/>
      </c>
      <c r="AO220" s="1847" t="str">
        <f>IF(ISERROR(AC220),"", IF(AC220=0, "", IF(AC220&gt;'Saisie données stocks'!$N$14, 'Saisie données stocks'!$N$14, AC220)))</f>
        <v/>
      </c>
      <c r="AP220" s="1848" t="str">
        <f>IF(ISERROR(AC220),"", IF(AC220=0, "", IF(AC220&gt;'Calculs Péremption FA'!$CB45, 'Calculs Péremption FA'!$CB45-Paramétrage!$D$29, AD220)))</f>
        <v/>
      </c>
      <c r="AQ220" s="428" t="str">
        <f>IF(ISERROR(AC220),"", IF(AC220=0, "", IF(AC220&gt;'Calculs Péremption FA'!$CB45, Paramétrage!$D$29, AE220)))</f>
        <v/>
      </c>
      <c r="AR220" s="1852" t="str">
        <f t="shared" si="38"/>
        <v/>
      </c>
      <c r="AS220" s="1850" t="str">
        <f>IF(ISERROR(AC220),"", IF(AC220=0, "", IF(AC220&gt;'Calculs Péremption FA'!$CB45, 'Calculs Péremption FA'!$BX45-Paramétrage!$D$29*(365/12), AG220)))</f>
        <v/>
      </c>
      <c r="AT220" s="254" t="str">
        <f>IF(ISERROR(AC220),"", IF(AC220=0, "", IF(AC220&gt;'Calculs Péremption FA'!$CB45, CONCATENATE('TRAD-Calculs dispo Données FA'!$B$88, " - ", 'Calculs Péremption FA'!$BY45, "/", 'Calculs Péremption FA'!$BZ45, "/", 'Calculs Péremption FA'!$CA45), AH220)))</f>
        <v/>
      </c>
      <c r="AV220" s="1847" t="e">
        <f>(Calculs!Q300)/Calculs!O191</f>
        <v>#DIV/0!</v>
      </c>
      <c r="AW220" s="1848" t="e">
        <f>AV220-Paramétrage!$D$29</f>
        <v>#DIV/0!</v>
      </c>
      <c r="AX220" s="1849" t="e">
        <f>IF(AV220&lt;Paramétrage!$D$29, AV220, Paramétrage!$D$29)</f>
        <v>#DIV/0!</v>
      </c>
      <c r="AY220" s="1850" t="e">
        <f>Paramétrage!$H$19+AW220*30</f>
        <v>#DIV/0!</v>
      </c>
      <c r="AZ220" s="254" t="e">
        <f>IF(AV220&lt;Paramétrage!$D$29, Paramétrage!$H$19+AX220*(365/12), Paramétrage!$H$19+AV220*(365/12))</f>
        <v>#DIV/0!</v>
      </c>
      <c r="BB220" s="1847" t="str">
        <f>IF(ISERROR(AV220),"", IF(AV220=0, "", IF(AV220&gt;'Calculs Péremption FA'!$CB45, 'Calculs Péremption FA'!$CB45, AV220)))</f>
        <v/>
      </c>
      <c r="BC220" s="1848" t="str">
        <f>IF(ISERROR(AV220),"", IF(AV220=0, "", IF(AV220&gt;'Calculs Péremption FA'!$CB45, 'Calculs Péremption FA'!$CB45-Paramétrage!$D$29, AW220)))</f>
        <v/>
      </c>
      <c r="BD220" s="428" t="str">
        <f>IF(ISERROR(AV220),"", IF(AV220=0, "", IF(AV220&gt;'Calculs Péremption FA'!$CB45, Paramétrage!$D$29, AX220)))</f>
        <v/>
      </c>
      <c r="BE220" s="1850" t="str">
        <f>IF(ISERROR(AV220),"", IF(AV220=0, "", IF(AV220&gt;'Calculs Péremption FA'!$CB45, 'Calculs Péremption FA'!$BX45-Paramétrage!$D$29*(365/12), AY220)))</f>
        <v/>
      </c>
      <c r="BF220" s="254" t="str">
        <f>IF(ISERROR(AV220),"", IF(AV220=0, "", IF(AV220&gt;'Calculs Péremption FA'!$CB45, CONCATENATE('TRAD-Calculs dispo Données FA'!$B$88, " - ", 'Calculs Péremption FA'!$BY45, "/", 'Calculs Péremption FA'!$BZ45, "/", 'Calculs Péremption FA'!$CA45), AZ220)))</f>
        <v/>
      </c>
      <c r="BH220" s="1847" t="e">
        <f t="shared" si="39"/>
        <v>#DIV/0!</v>
      </c>
      <c r="BI220" s="1848" t="e">
        <f>BH220-Paramétrage!$D$29</f>
        <v>#DIV/0!</v>
      </c>
      <c r="BJ220" s="1849" t="e">
        <f>IF(BH220&lt;Paramétrage!$D$29, BH220, Paramétrage!$D$29)</f>
        <v>#DIV/0!</v>
      </c>
      <c r="BK220" s="1849" t="e">
        <f t="shared" si="40"/>
        <v>#DIV/0!</v>
      </c>
      <c r="BL220" s="1850" t="e">
        <f>Paramétrage!$H$19+BI220*(365/12)</f>
        <v>#DIV/0!</v>
      </c>
      <c r="BM220" s="254" t="e">
        <f>IF(BH220&lt;Paramétrage!$D$29, Paramétrage!$H$19+BJ220*(365/12), Paramétrage!$H$19+BH220*(365/12))</f>
        <v>#DIV/0!</v>
      </c>
      <c r="BO220" s="1847" t="str">
        <f>IF(ISERROR(BH220),"", IF(BH220=0, "", IF(BH220&gt;'Calculs Péremption FA'!$CB45, 'Calculs Péremption FA'!$CB45, BH220)))</f>
        <v/>
      </c>
      <c r="BP220" s="1848" t="str">
        <f>IF(ISERROR(BH220),"", IF(BH220=0, "", IF(BH220&gt;'Calculs Péremption FA'!$CB45, 'Calculs Péremption FA'!$CB45-Paramétrage!$D$29, BI220)))</f>
        <v/>
      </c>
      <c r="BQ220" s="428" t="str">
        <f>IF(ISERROR(BH220),"", IF(BH220=0, "", IF(BH220&gt;'Calculs Péremption FA'!$CB45, Paramétrage!$D$29, BJ220)))</f>
        <v/>
      </c>
      <c r="BR220" s="1852" t="str">
        <f t="shared" si="41"/>
        <v/>
      </c>
      <c r="BS220" s="1850" t="str">
        <f>IF(ISERROR(BH220),"", IF(BH220=0, "", IF(BH220&gt;'Calculs Péremption FA'!$CB45, 'Calculs Péremption FA'!$BX45-Paramétrage!$D$29*(365/12), BL220)))</f>
        <v/>
      </c>
      <c r="BT220" s="254" t="str">
        <f>IF(ISERROR(BH220),"", IF(BH220=0, "", IF(BH220&gt;'Calculs Péremption FA'!$CB45, CONCATENATE('TRAD-Calculs dispo Données FA'!$B$88, " - ", 'Calculs Péremption FA'!$BY45, "/", 'Calculs Péremption FA'!$BZ45, "/", 'Calculs Péremption FA'!$CA45), BM220)))</f>
        <v/>
      </c>
      <c r="BV220" s="2061">
        <f>Calculs!$Q300</f>
        <v>0</v>
      </c>
      <c r="BW220" s="2062">
        <f>Calculs!$O191</f>
        <v>0</v>
      </c>
      <c r="BX220" s="2068">
        <f>Calculs!$N245</f>
        <v>0</v>
      </c>
      <c r="BY220" s="2070" t="str">
        <f>IF(AND(BX220=0, BV220=0, BW220=0), 'TRAD-Calculs dispo Données FA'!$B$82, "")</f>
        <v>Stock et besoin nul</v>
      </c>
      <c r="BZ220" s="2062" t="str">
        <f>IF(AND(BX220=0, BV220&gt;0, BW220=0), CONCATENATE(BV220,'TRAD-Calculs dispo Données FA'!$B$80," =0"), "")</f>
        <v/>
      </c>
      <c r="CA220" s="2063" t="str">
        <f>IF(AND(BV220=0, OR(BW220&gt;=1, BX220&gt;=1)),'TRAD-Calculs dispo Données FA'!$B$81, "")</f>
        <v/>
      </c>
    </row>
    <row r="221" spans="3:79" s="358" customFormat="1" ht="25.5" x14ac:dyDescent="0.2">
      <c r="C221" s="2716"/>
      <c r="D221" s="2717"/>
      <c r="E221" s="2718" t="str">
        <f>'Saisie données stocks'!F58</f>
        <v>RTV</v>
      </c>
      <c r="F221" s="2719" t="str">
        <f>'Saisie données stocks'!G58</f>
        <v>Caps</v>
      </c>
      <c r="G221" s="2719" t="str">
        <f>'Saisie données stocks'!H58</f>
        <v>100 mg</v>
      </c>
      <c r="H221" s="2726" t="str">
        <f>CONCATENATE(E221, " - ", G221, " - ", 'TRAD-Calculs dispo Données FA'!$B$79,"/", K221)</f>
        <v>RTV - 100 mg - B/84</v>
      </c>
      <c r="I221" s="2726">
        <f>Calculs!K141</f>
        <v>0</v>
      </c>
      <c r="J221" s="2721">
        <f t="shared" si="29"/>
        <v>0</v>
      </c>
      <c r="K221" s="2723">
        <f>Calculs!J141</f>
        <v>84</v>
      </c>
      <c r="L221" s="2724">
        <f t="shared" si="30"/>
        <v>0</v>
      </c>
      <c r="M221" s="2725">
        <f>IF('Saisie données stocks'!$O$10='TRAD-Saisie données stocks'!$B$51, 'Calculs Péremption FA'!BU46, Calculs!M301)+IF('Saisie données stocks'!$M$76='TRAD-Saisie données stocks'!$B$51, Calculs!N301, "0")+Calculs!P301</f>
        <v>0</v>
      </c>
      <c r="N221" s="2725">
        <f>Calculs!O192</f>
        <v>0</v>
      </c>
      <c r="O221" s="2725">
        <f>Calculs!N246</f>
        <v>0</v>
      </c>
      <c r="P221"/>
      <c r="Q221" s="233" t="e">
        <f>IF(Calculs!N246&gt;0, (-(Calculs!N246+2*Calculs!O192)+SQRT((Calculs!N246+2*Calculs!O192)*(Calculs!N246+2*Calculs!O192)+8*Calculs!N246*(M221)))/(2*Calculs!N246), ((M221)/Calculs!O192))</f>
        <v>#DIV/0!</v>
      </c>
      <c r="R221" s="1848" t="e">
        <f>Q221-Paramétrage!$D$29</f>
        <v>#DIV/0!</v>
      </c>
      <c r="S221" s="1849" t="e">
        <f>IF(Q221&lt;Paramétrage!$D$29, Q221, Paramétrage!$D$29)</f>
        <v>#DIV/0!</v>
      </c>
      <c r="T221" s="1857" t="e">
        <f>Paramétrage!$H$19+R221*(365/12)</f>
        <v>#DIV/0!</v>
      </c>
      <c r="U221" s="252" t="e">
        <f>IF(Q221&lt;Paramétrage!$D$29, Paramétrage!$H$19+S221*(365/12), Paramétrage!$H$19+Q221*(365/12))</f>
        <v>#DIV/0!</v>
      </c>
      <c r="W221" s="233" t="str">
        <f t="shared" si="31"/>
        <v/>
      </c>
      <c r="X221" s="1858" t="str">
        <f t="shared" si="32"/>
        <v/>
      </c>
      <c r="Y221" s="427" t="str">
        <f t="shared" si="33"/>
        <v/>
      </c>
      <c r="Z221" s="1857" t="str">
        <f t="shared" si="34"/>
        <v/>
      </c>
      <c r="AA221" s="252" t="str">
        <f t="shared" si="35"/>
        <v/>
      </c>
      <c r="AC221" s="233" t="e">
        <f t="shared" si="36"/>
        <v>#DIV/0!</v>
      </c>
      <c r="AD221" s="1858" t="e">
        <f>AC221-Paramétrage!$D$29</f>
        <v>#DIV/0!</v>
      </c>
      <c r="AE221" s="1856" t="e">
        <f>IF(AC221&lt;Paramétrage!$D$29, AC221, Paramétrage!$D$29)</f>
        <v>#DIV/0!</v>
      </c>
      <c r="AF221" s="427" t="e">
        <f t="shared" si="37"/>
        <v>#DIV/0!</v>
      </c>
      <c r="AG221" s="1857" t="e">
        <f>Paramétrage!$H$19+AD221*30</f>
        <v>#DIV/0!</v>
      </c>
      <c r="AH221" s="252" t="e">
        <f>IF(AC221&lt;Paramétrage!$D$29, Paramétrage!$H$19+AE221*30, Paramétrage!$H$19+AC221*30)</f>
        <v>#DIV/0!</v>
      </c>
      <c r="AI221" s="1857">
        <f>'Saisie données stocks'!O179</f>
        <v>0</v>
      </c>
      <c r="AJ221" s="1859" t="str">
        <f>IF(ISERROR(Q221), "0", IF('Saisie données stocks'!O179="", "0", IF(U164&gt;'Saisie données stocks'!$N$14, IF(AI221&gt;(Paramétrage!$H$19+'Saisie données stocks'!$N$14*(365/12)), (AI221-(Paramétrage!$H$19+'Saisie données stocks'!$N$14*(365/12)))/(365/12), IF(AI221&gt;U164, (AI221-U164)/(365/12), "0")))))</f>
        <v>0</v>
      </c>
      <c r="AK221" s="1858" t="str">
        <f>IF(ISERROR(Q164),"0", IF(Q164=0, "0", IF(Q164&gt;'Calculs Péremption FA'!$CB46, 'Calculs Péremption FA'!$CB46, Q164)))</f>
        <v>0</v>
      </c>
      <c r="AL221" s="1856" t="str">
        <f>IF(ISERROR(AC221),"0", IF(AC221=0, "0", IF(AC221&gt;'Saisie données stocks'!$N$14, 'Saisie données stocks'!$N$14, AC221)))</f>
        <v>0</v>
      </c>
      <c r="AM221" s="252" t="str">
        <f>IF(ISERROR(Q221),AA221,IF(Calculs!P301=0,AA164,(Paramétrage!$H$19+((AJ221+AK221+AL221)*(365/12)))))</f>
        <v/>
      </c>
      <c r="AO221" s="233" t="str">
        <f>IF(ISERROR(AC221),"", IF(AC221=0, "", IF(AC221&gt;'Saisie données stocks'!$N$14, 'Saisie données stocks'!$N$14, AC221)))</f>
        <v/>
      </c>
      <c r="AP221" s="1858" t="str">
        <f>IF(ISERROR(AC221),"", IF(AC221=0, "", IF(AC221&gt;'Calculs Péremption FA'!$CB46, 'Calculs Péremption FA'!$CB46-Paramétrage!$D$29, AD221)))</f>
        <v/>
      </c>
      <c r="AQ221" s="427" t="str">
        <f>IF(ISERROR(AC221),"", IF(AC221=0, "", IF(AC221&gt;'Calculs Péremption FA'!$CB46, Paramétrage!$D$29, AE221)))</f>
        <v/>
      </c>
      <c r="AR221" s="1860" t="str">
        <f t="shared" si="38"/>
        <v/>
      </c>
      <c r="AS221" s="1857" t="str">
        <f>IF(ISERROR(AC221),"", IF(AC221=0, "", IF(AC221&gt;'Calculs Péremption FA'!$CB46, 'Calculs Péremption FA'!$BX46-Paramétrage!$D$29*(365/12), AG221)))</f>
        <v/>
      </c>
      <c r="AT221" s="252" t="str">
        <f>IF(ISERROR(AC221),"", IF(AC221=0, "", IF(AC221&gt;'Calculs Péremption FA'!$CB46, CONCATENATE('TRAD-Calculs dispo Données FA'!$B$88, " - ", 'Calculs Péremption FA'!$BY46, "/", 'Calculs Péremption FA'!$BZ46, "/", 'Calculs Péremption FA'!$CA46), AH221)))</f>
        <v/>
      </c>
      <c r="AV221" s="233" t="e">
        <f>(Calculs!Q301)/Calculs!O192</f>
        <v>#DIV/0!</v>
      </c>
      <c r="AW221" s="1858" t="e">
        <f>AV221-Paramétrage!$D$29</f>
        <v>#DIV/0!</v>
      </c>
      <c r="AX221" s="427" t="e">
        <f>IF(AV221&lt;Paramétrage!$D$29, AV221, Paramétrage!$D$29)</f>
        <v>#DIV/0!</v>
      </c>
      <c r="AY221" s="1857" t="e">
        <f>Paramétrage!$H$19+AW221*30</f>
        <v>#DIV/0!</v>
      </c>
      <c r="AZ221" s="252" t="e">
        <f>IF(AV221&lt;Paramétrage!$D$29, Paramétrage!$H$19+AX221*(365/12), Paramétrage!$H$19+AV221*(365/12))</f>
        <v>#DIV/0!</v>
      </c>
      <c r="BB221" s="233" t="str">
        <f>IF(ISERROR(AV221),"", IF(AV221=0, "", IF(AV221&gt;'Calculs Péremption FA'!$CB46, 'Calculs Péremption FA'!$CB46, AV221)))</f>
        <v/>
      </c>
      <c r="BC221" s="1858" t="str">
        <f>IF(ISERROR(AV221),"", IF(AV221=0, "", IF(AV221&gt;'Calculs Péremption FA'!$CB46, 'Calculs Péremption FA'!$CB46-Paramétrage!$D$29, AW221)))</f>
        <v/>
      </c>
      <c r="BD221" s="427" t="str">
        <f>IF(ISERROR(AV221),"", IF(AV221=0, "", IF(AV221&gt;'Calculs Péremption FA'!$CB46, Paramétrage!$D$29, AX221)))</f>
        <v/>
      </c>
      <c r="BE221" s="1857" t="str">
        <f>IF(ISERROR(AV221),"", IF(AV221=0, "", IF(AV221&gt;'Calculs Péremption FA'!$CB46, 'Calculs Péremption FA'!$BX46-Paramétrage!$D$29*(365/12), AY221)))</f>
        <v/>
      </c>
      <c r="BF221" s="252" t="str">
        <f>IF(ISERROR(AV221),"", IF(AV221=0, "", IF(AV221&gt;'Calculs Péremption FA'!$CB46, CONCATENATE('TRAD-Calculs dispo Données FA'!$B$88, " - ", 'Calculs Péremption FA'!$BY46, "/", 'Calculs Péremption FA'!$BZ46, "/", 'Calculs Péremption FA'!$CA46), AZ221)))</f>
        <v/>
      </c>
      <c r="BH221" s="233" t="e">
        <f t="shared" si="39"/>
        <v>#DIV/0!</v>
      </c>
      <c r="BI221" s="1858" t="e">
        <f>BH221-Paramétrage!$D$29</f>
        <v>#DIV/0!</v>
      </c>
      <c r="BJ221" s="1856" t="e">
        <f>IF(BH221&lt;Paramétrage!$D$29, BH221, Paramétrage!$D$29)</f>
        <v>#DIV/0!</v>
      </c>
      <c r="BK221" s="427" t="e">
        <f t="shared" si="40"/>
        <v>#DIV/0!</v>
      </c>
      <c r="BL221" s="1857" t="e">
        <f>Paramétrage!$H$19+BI221*(365/12)</f>
        <v>#DIV/0!</v>
      </c>
      <c r="BM221" s="252" t="e">
        <f>IF(BH221&lt;Paramétrage!$D$29, Paramétrage!$H$19+BJ221*(365/12), Paramétrage!$H$19+BH221*(365/12))</f>
        <v>#DIV/0!</v>
      </c>
      <c r="BO221" s="233" t="str">
        <f>IF(ISERROR(BH221),"", IF(BH221=0, "", IF(BH221&gt;'Calculs Péremption FA'!$CB46, 'Calculs Péremption FA'!$CB46, BH221)))</f>
        <v/>
      </c>
      <c r="BP221" s="1858" t="str">
        <f>IF(ISERROR(BH221),"", IF(BH221=0, "", IF(BH221&gt;'Calculs Péremption FA'!$CB46, 'Calculs Péremption FA'!$CB46-Paramétrage!$D$29, BI221)))</f>
        <v/>
      </c>
      <c r="BQ221" s="427" t="str">
        <f>IF(ISERROR(BH221),"", IF(BH221=0, "", IF(BH221&gt;'Calculs Péremption FA'!$CB46, Paramétrage!$D$29, BJ221)))</f>
        <v/>
      </c>
      <c r="BR221" s="1860" t="str">
        <f t="shared" si="41"/>
        <v/>
      </c>
      <c r="BS221" s="1857" t="str">
        <f>IF(ISERROR(BH221),"", IF(BH221=0, "", IF(BH221&gt;'Calculs Péremption FA'!$CB46, 'Calculs Péremption FA'!$BX46-Paramétrage!$D$29*(365/12), BL221)))</f>
        <v/>
      </c>
      <c r="BT221" s="252" t="str">
        <f>IF(ISERROR(BH221),"", IF(BH221=0, "", IF(BH221&gt;'Calculs Péremption FA'!$CB46, CONCATENATE('TRAD-Calculs dispo Données FA'!$B$88, " - ", 'Calculs Péremption FA'!$BY46, "/", 'Calculs Péremption FA'!$BZ46, "/", 'Calculs Péremption FA'!$CA46), BM221)))</f>
        <v/>
      </c>
      <c r="BV221" s="2061">
        <f>Calculs!$Q301</f>
        <v>0</v>
      </c>
      <c r="BW221" s="2062">
        <f>Calculs!$O192</f>
        <v>0</v>
      </c>
      <c r="BX221" s="2068">
        <f>Calculs!$N246</f>
        <v>0</v>
      </c>
      <c r="BY221" s="2070" t="str">
        <f>IF(AND(BX221=0, BV221=0, BW221=0), 'TRAD-Calculs dispo Données FA'!$B$82, "")</f>
        <v>Stock et besoin nul</v>
      </c>
      <c r="BZ221" s="2062" t="str">
        <f>IF(AND(BX221=0, BV221&gt;0, BW221=0), CONCATENATE(BV221,'TRAD-Calculs dispo Données FA'!$B$80," =0"), "")</f>
        <v/>
      </c>
      <c r="CA221" s="2063" t="str">
        <f>IF(AND(BV221=0, OR(BW221&gt;=1, BX221&gt;=1)),'TRAD-Calculs dispo Données FA'!$B$81, "")</f>
        <v/>
      </c>
    </row>
    <row r="222" spans="3:79" s="358" customFormat="1" ht="26.25" thickBot="1" x14ac:dyDescent="0.25">
      <c r="C222" s="2687"/>
      <c r="D222" s="2688" t="s">
        <v>266</v>
      </c>
      <c r="E222" s="2696" t="str">
        <f>'Saisie données stocks'!F59</f>
        <v>RLT = RAL</v>
      </c>
      <c r="F222" s="2697" t="str">
        <f>'Saisie données stocks'!G59</f>
        <v>Cp</v>
      </c>
      <c r="G222" s="2697" t="str">
        <f>'Saisie données stocks'!H59</f>
        <v>400 mg</v>
      </c>
      <c r="H222" s="2698" t="str">
        <f>CONCATENATE(E222, " - ", G222, " - ", 'TRAD-Calculs dispo Données FA'!$B$79,"/", K222)</f>
        <v>RLT = RAL - 400 mg - B/60</v>
      </c>
      <c r="I222" s="2698">
        <f>Calculs!K142</f>
        <v>2</v>
      </c>
      <c r="J222" s="2699">
        <f t="shared" si="29"/>
        <v>60</v>
      </c>
      <c r="K222" s="2693">
        <f>Calculs!J142</f>
        <v>60</v>
      </c>
      <c r="L222" s="2694">
        <f t="shared" si="30"/>
        <v>1</v>
      </c>
      <c r="M222" s="2695">
        <f>IF('Saisie données stocks'!$O$10='TRAD-Saisie données stocks'!$B$51, 'Calculs Péremption FA'!BU47, Calculs!M302)+IF('Saisie données stocks'!$M$76='TRAD-Saisie données stocks'!$B$51, Calculs!N302, "0")+Calculs!P302</f>
        <v>0</v>
      </c>
      <c r="N222" s="2695">
        <f>Calculs!O193</f>
        <v>0</v>
      </c>
      <c r="O222" s="2695">
        <f>Calculs!N247</f>
        <v>0</v>
      </c>
      <c r="P222"/>
      <c r="Q222" s="231" t="e">
        <f>IF(Calculs!N247&gt;0, (-(Calculs!N247+2*Calculs!O193)+SQRT((Calculs!N247+2*Calculs!O193)*(Calculs!N247+2*Calculs!O193)+8*Calculs!N247*(M222)))/(2*Calculs!N247), ((M222)/Calculs!O193))</f>
        <v>#DIV/0!</v>
      </c>
      <c r="R222" s="1865" t="e">
        <f>Q222-Paramétrage!$D$29</f>
        <v>#DIV/0!</v>
      </c>
      <c r="S222" s="1866" t="e">
        <f>IF(Q222&lt;Paramétrage!$D$29, Q222, Paramétrage!$D$29)</f>
        <v>#DIV/0!</v>
      </c>
      <c r="T222" s="247" t="e">
        <f>Paramétrage!$H$19+R222*(365/12)</f>
        <v>#DIV/0!</v>
      </c>
      <c r="U222" s="248" t="e">
        <f>IF(Q222&lt;Paramétrage!$D$29, Paramétrage!$H$19+S222*(365/12), Paramétrage!$H$19+Q222*(365/12))</f>
        <v>#DIV/0!</v>
      </c>
      <c r="W222" s="233" t="str">
        <f t="shared" si="31"/>
        <v/>
      </c>
      <c r="X222" s="1858" t="str">
        <f t="shared" si="32"/>
        <v/>
      </c>
      <c r="Y222" s="427" t="str">
        <f t="shared" si="33"/>
        <v/>
      </c>
      <c r="Z222" s="1857" t="str">
        <f t="shared" si="34"/>
        <v/>
      </c>
      <c r="AA222" s="252" t="str">
        <f t="shared" si="35"/>
        <v/>
      </c>
      <c r="AC222" s="231" t="e">
        <f t="shared" si="36"/>
        <v>#DIV/0!</v>
      </c>
      <c r="AD222" s="236" t="e">
        <f>AC222-Paramétrage!$D$29</f>
        <v>#DIV/0!</v>
      </c>
      <c r="AE222" s="241" t="e">
        <f>IF(AC222&lt;Paramétrage!$D$29, AC222, Paramétrage!$D$29)</f>
        <v>#DIV/0!</v>
      </c>
      <c r="AF222" s="241" t="e">
        <f t="shared" si="37"/>
        <v>#DIV/0!</v>
      </c>
      <c r="AG222" s="1857" t="e">
        <f>Paramétrage!$H$19+AD222*30</f>
        <v>#DIV/0!</v>
      </c>
      <c r="AH222" s="252" t="e">
        <f>IF(AC222&lt;Paramétrage!$D$29, Paramétrage!$H$19+AE222*30, Paramétrage!$H$19+AC222*30)</f>
        <v>#DIV/0!</v>
      </c>
      <c r="AI222" s="1857">
        <f>'Saisie données stocks'!O180</f>
        <v>0</v>
      </c>
      <c r="AJ222" s="1859" t="str">
        <f>IF(ISERROR(Q222), "0", IF('Saisie données stocks'!O180="", "0", IF(U165&gt;'Saisie données stocks'!$N$14, IF(AI222&gt;(Paramétrage!$H$19+'Saisie données stocks'!$N$14*(365/12)), (AI222-(Paramétrage!$H$19+'Saisie données stocks'!$N$14*(365/12)))/(365/12), IF(AI222&gt;U165, (AI222-U165)/(365/12), "0")))))</f>
        <v>0</v>
      </c>
      <c r="AK222" s="236" t="str">
        <f>IF(ISERROR(Q165),"0", IF(Q165=0, "0", IF(Q165&gt;'Calculs Péremption FA'!$CB47, 'Calculs Péremption FA'!$CB47, Q165)))</f>
        <v>0</v>
      </c>
      <c r="AL222" s="241" t="str">
        <f>IF(ISERROR(AC222),"0", IF(AC222=0, "0", IF(AC222&gt;'Saisie données stocks'!$N$14, 'Saisie données stocks'!$N$14, AC222)))</f>
        <v>0</v>
      </c>
      <c r="AM222" s="252" t="str">
        <f>IF(ISERROR(Q222),AA222,IF(Calculs!P302=0,AA165,(Paramétrage!$H$19+((AJ222+AK222+AL222)*(365/12)))))</f>
        <v/>
      </c>
      <c r="AO222" s="233" t="str">
        <f>IF(ISERROR(AC222),"", IF(AC222=0, "", IF(AC222&gt;'Saisie données stocks'!$N$14, 'Saisie données stocks'!$N$14, AC222)))</f>
        <v/>
      </c>
      <c r="AP222" s="1858" t="str">
        <f>IF(ISERROR(AC222),"", IF(AC222=0, "", IF(AC222&gt;'Calculs Péremption FA'!$CB47, 'Calculs Péremption FA'!$CB47-Paramétrage!$D$29, AD222)))</f>
        <v/>
      </c>
      <c r="AQ222" s="427" t="str">
        <f>IF(ISERROR(AC222),"", IF(AC222=0, "", IF(AC222&gt;'Calculs Péremption FA'!$CB47, Paramétrage!$D$29, AE222)))</f>
        <v/>
      </c>
      <c r="AR222" s="1860" t="str">
        <f t="shared" si="38"/>
        <v/>
      </c>
      <c r="AS222" s="1857" t="str">
        <f>IF(ISERROR(AC222),"", IF(AC222=0, "", IF(AC222&gt;'Calculs Péremption FA'!$CB47, 'Calculs Péremption FA'!$BX47-Paramétrage!$D$29*(365/12), AG222)))</f>
        <v/>
      </c>
      <c r="AT222" s="252" t="str">
        <f>IF(ISERROR(AC222),"", IF(AC222=0, "", IF(AC222&gt;'Calculs Péremption FA'!$CB47, CONCATENATE('TRAD-Calculs dispo Données FA'!$B$88, " - ", 'Calculs Péremption FA'!$BY47, "/", 'Calculs Péremption FA'!$BZ47, "/", 'Calculs Péremption FA'!$CA47), AH222)))</f>
        <v/>
      </c>
      <c r="AV222" s="231" t="e">
        <f>(Calculs!Q302)/Calculs!O193</f>
        <v>#DIV/0!</v>
      </c>
      <c r="AW222" s="236" t="e">
        <f>AV222-Paramétrage!$D$29</f>
        <v>#DIV/0!</v>
      </c>
      <c r="AX222" s="241" t="e">
        <f>IF(AV222&lt;Paramétrage!$D$29, AV222, Paramétrage!$D$29)</f>
        <v>#DIV/0!</v>
      </c>
      <c r="AY222" s="247" t="e">
        <f>Paramétrage!$H$19+AW222*30</f>
        <v>#DIV/0!</v>
      </c>
      <c r="AZ222" s="248" t="e">
        <f>IF(AV222&lt;Paramétrage!$D$29, Paramétrage!$H$19+AX222*(365/12), Paramétrage!$H$19+AV222*(365/12))</f>
        <v>#DIV/0!</v>
      </c>
      <c r="BB222" s="233" t="str">
        <f>IF(ISERROR(AV222),"", IF(AV222=0, "", IF(AV222&gt;'Calculs Péremption FA'!$CB47, 'Calculs Péremption FA'!$CB47, AV222)))</f>
        <v/>
      </c>
      <c r="BC222" s="1858" t="str">
        <f>IF(ISERROR(AV222),"", IF(AV222=0, "", IF(AV222&gt;'Calculs Péremption FA'!$CB47, 'Calculs Péremption FA'!$CB47-Paramétrage!$D$29, AW222)))</f>
        <v/>
      </c>
      <c r="BD222" s="427" t="str">
        <f>IF(ISERROR(AV222),"", IF(AV222=0, "", IF(AV222&gt;'Calculs Péremption FA'!$CB47, Paramétrage!$D$29, AX222)))</f>
        <v/>
      </c>
      <c r="BE222" s="1857" t="str">
        <f>IF(ISERROR(AV222),"", IF(AV222=0, "", IF(AV222&gt;'Calculs Péremption FA'!$CB47, 'Calculs Péremption FA'!$BX47-Paramétrage!$D$29*(365/12), AY222)))</f>
        <v/>
      </c>
      <c r="BF222" s="252" t="str">
        <f>IF(ISERROR(AV222),"", IF(AV222=0, "", IF(AV222&gt;'Calculs Péremption FA'!$CB47, CONCATENATE('TRAD-Calculs dispo Données FA'!$B$88, " - ", 'Calculs Péremption FA'!$BY47, "/", 'Calculs Péremption FA'!$BZ47, "/", 'Calculs Péremption FA'!$CA47), AZ222)))</f>
        <v/>
      </c>
      <c r="BH222" s="231" t="e">
        <f t="shared" si="39"/>
        <v>#DIV/0!</v>
      </c>
      <c r="BI222" s="236" t="e">
        <f>BH222-Paramétrage!$D$29</f>
        <v>#DIV/0!</v>
      </c>
      <c r="BJ222" s="241" t="e">
        <f>IF(BH222&lt;Paramétrage!$D$29, BH222, Paramétrage!$D$29)</f>
        <v>#DIV/0!</v>
      </c>
      <c r="BK222" s="241" t="e">
        <f t="shared" si="40"/>
        <v>#DIV/0!</v>
      </c>
      <c r="BL222" s="1857" t="e">
        <f>Paramétrage!$H$19+BI222*(365/12)</f>
        <v>#DIV/0!</v>
      </c>
      <c r="BM222" s="252" t="e">
        <f>IF(BH222&lt;Paramétrage!$D$29, Paramétrage!$H$19+BJ222*(365/12), Paramétrage!$H$19+BH222*(365/12))</f>
        <v>#DIV/0!</v>
      </c>
      <c r="BO222" s="233" t="str">
        <f>IF(ISERROR(BH222),"", IF(BH222=0, "", IF(BH222&gt;'Calculs Péremption FA'!$CB47, 'Calculs Péremption FA'!$CB47, BH222)))</f>
        <v/>
      </c>
      <c r="BP222" s="1858" t="str">
        <f>IF(ISERROR(BH222),"", IF(BH222=0, "", IF(BH222&gt;'Calculs Péremption FA'!$CB47, 'Calculs Péremption FA'!$CB47-Paramétrage!$D$29, BI222)))</f>
        <v/>
      </c>
      <c r="BQ222" s="427" t="str">
        <f>IF(ISERROR(BH222),"", IF(BH222=0, "", IF(BH222&gt;'Calculs Péremption FA'!$CB47, Paramétrage!$D$29, BJ222)))</f>
        <v/>
      </c>
      <c r="BR222" s="1860" t="str">
        <f t="shared" si="41"/>
        <v/>
      </c>
      <c r="BS222" s="1857" t="str">
        <f>IF(ISERROR(BH222),"", IF(BH222=0, "", IF(BH222&gt;'Calculs Péremption FA'!$CB47, 'Calculs Péremption FA'!$BX47-Paramétrage!$D$29*(365/12), BL222)))</f>
        <v/>
      </c>
      <c r="BT222" s="252" t="str">
        <f>IF(ISERROR(BH222),"", IF(BH222=0, "", IF(BH222&gt;'Calculs Péremption FA'!$CB47, CONCATENATE('TRAD-Calculs dispo Données FA'!$B$88, " - ", 'Calculs Péremption FA'!$BY47, "/", 'Calculs Péremption FA'!$BZ47, "/", 'Calculs Péremption FA'!$CA47), BM222)))</f>
        <v/>
      </c>
      <c r="BV222" s="2061">
        <f>Calculs!$Q302</f>
        <v>0</v>
      </c>
      <c r="BW222" s="2062">
        <f>Calculs!$O193</f>
        <v>0</v>
      </c>
      <c r="BX222" s="2068">
        <f>Calculs!$N247</f>
        <v>0</v>
      </c>
      <c r="BY222" s="2070" t="str">
        <f>IF(AND(BX222=0, BV222=0, BW222=0), 'TRAD-Calculs dispo Données FA'!$B$82, "")</f>
        <v>Stock et besoin nul</v>
      </c>
      <c r="BZ222" s="2062" t="str">
        <f>IF(AND(BX222=0, BV222&gt;0, BW222=0), CONCATENATE(BV222,'TRAD-Calculs dispo Données FA'!$B$80," =0"), "")</f>
        <v/>
      </c>
      <c r="CA222" s="2063" t="str">
        <f>IF(AND(BV222=0, OR(BW222&gt;=1, BX222&gt;=1)),'TRAD-Calculs dispo Données FA'!$B$81, "")</f>
        <v/>
      </c>
    </row>
    <row r="223" spans="3:79" s="358" customFormat="1" ht="64.5" thickBot="1" x14ac:dyDescent="0.25">
      <c r="C223" s="2671" t="str">
        <f>'TRAD-Calculs dispo Données FA'!B9</f>
        <v>Classe forme galénique</v>
      </c>
      <c r="D223" s="2672" t="str">
        <f>'TRAD-Calculs dispo Données FA'!B10</f>
        <v>Classe thérapeutique</v>
      </c>
      <c r="E223" s="2673" t="str">
        <f>'TRAD-Calculs dispo Données FA'!B11</f>
        <v>Composition</v>
      </c>
      <c r="F223" s="2674" t="str">
        <f>'TRAD-Calculs dispo Données FA'!B12</f>
        <v>Forme galénique</v>
      </c>
      <c r="G223" s="2674" t="str">
        <f>'TRAD-Calculs dispo Données FA'!B13</f>
        <v>Dosage</v>
      </c>
      <c r="H223" s="2674" t="str">
        <f>'TRAD-Calculs dispo Données FA'!B14</f>
        <v>Nom pour représentation graphique</v>
      </c>
      <c r="I223" s="2674"/>
      <c r="J223" s="2674"/>
      <c r="K223" s="2674" t="str">
        <f>'TRAD-Calculs dispo Données FA'!B18</f>
        <v>Volume conditionnement primaire (mL)</v>
      </c>
      <c r="L223" s="2675" t="str">
        <f>'TRAD-Calculs dispo Données FA'!B19</f>
        <v>Conditionement secondaire</v>
      </c>
      <c r="M223" s="2676" t="str">
        <f>'TRAD-Calculs dispo Données FA'!B21</f>
        <v>Stock disponible UTILISABLE au niveau considéré (nb de boites)</v>
      </c>
      <c r="N223" s="2677" t="str">
        <f>'TRAD-Calculs dispo Données FA'!B33</f>
        <v>Besoin mensuel patients suivis selon méthode</v>
      </c>
      <c r="O223" s="2677" t="str">
        <f>'TRAD-Calculs dispo Données FA'!B34</f>
        <v>Besoin mensuel patients initiés selon méthode</v>
      </c>
      <c r="P223"/>
      <c r="Q223" s="346" t="str">
        <f>'TRAD-Calculs dispo Données FA'!B35</f>
        <v>Nombre de mois de disponibilité de produits</v>
      </c>
      <c r="R223" s="347" t="str">
        <f>'TRAD-Calculs dispo Données FA'!B37</f>
        <v>Nombre de mois de disponibilité de produits hors ST</v>
      </c>
      <c r="S223" s="424" t="str">
        <f>'TRAD-Calculs dispo Données FA'!B38</f>
        <v>Nombre de mois de stock tampon (ST)</v>
      </c>
      <c r="T223" s="348" t="str">
        <f>'TRAD-Calculs dispo Données FA'!B39</f>
        <v>Date d'entrée en stock tampon</v>
      </c>
      <c r="U223" s="349" t="str">
        <f>'TRAD-Calculs dispo Données FA'!B40</f>
        <v>Date de rupture attendue</v>
      </c>
      <c r="W223" s="346" t="str">
        <f>'TRAD-Calculs dispo Données FA'!B35</f>
        <v>Nombre de mois de disponibilité de produits</v>
      </c>
      <c r="X223" s="347" t="str">
        <f>'TRAD-Calculs dispo Données FA'!B37</f>
        <v>Nombre de mois de disponibilité de produits hors ST</v>
      </c>
      <c r="Y223" s="424" t="str">
        <f>'TRAD-Calculs dispo Données FA'!B38</f>
        <v>Nombre de mois de stock tampon (ST)</v>
      </c>
      <c r="Z223" s="348" t="str">
        <f>'TRAD-Calculs dispo Données FA'!B39</f>
        <v>Date d'entrée en stock tampon</v>
      </c>
      <c r="AA223" s="349" t="str">
        <f>'TRAD-Calculs dispo Données FA'!B40</f>
        <v>Date de rupture attendue</v>
      </c>
      <c r="AC223" s="346" t="str">
        <f>'TRAD-Calculs dispo Données FA'!B35</f>
        <v>Nombre de mois de disponibilité de produits</v>
      </c>
      <c r="AD223" s="347" t="str">
        <f>'TRAD-Calculs dispo Données FA'!B37</f>
        <v>Nombre de mois de disponibilité de produits hors ST</v>
      </c>
      <c r="AE223" s="327" t="str">
        <f>'TRAD-Calculs dispo Données FA'!B38</f>
        <v>Nombre de mois de stock tampon (ST)</v>
      </c>
      <c r="AF223" s="347" t="str">
        <f>'TRAD-Calculs dispo Données FA'!B47</f>
        <v>Delta sur commande / ST</v>
      </c>
      <c r="AG223" s="348" t="str">
        <f>'TRAD-Calculs dispo Données FA'!B39</f>
        <v>Date d'entrée en stock tampon</v>
      </c>
      <c r="AH223" s="349" t="str">
        <f>'TRAD-Calculs dispo Données FA'!B40</f>
        <v>Date de rupture attendue</v>
      </c>
      <c r="AI223" s="348" t="str">
        <f>'TRAD-Calculs dispo Données FA'!B41</f>
        <v>Date de réception attendue</v>
      </c>
      <c r="AJ223" s="349" t="str">
        <f>'TRAD-Calculs dispo Données FA'!B42</f>
        <v>Delta Dispo/date de réception attendue</v>
      </c>
      <c r="AK223" s="347"/>
      <c r="AL223" s="327"/>
      <c r="AM223" s="349" t="str">
        <f>'TRAD-Calculs dispo Données FA'!B45</f>
        <v>Date de rupture finale attendue</v>
      </c>
      <c r="AO223" s="346" t="str">
        <f>'TRAD-Calculs dispo Données FA'!B71</f>
        <v>Nb de mois de stock / commande attendue</v>
      </c>
      <c r="AP223" s="347" t="s">
        <v>570</v>
      </c>
      <c r="AQ223" s="424" t="s">
        <v>572</v>
      </c>
      <c r="AR223" s="347" t="s">
        <v>571</v>
      </c>
      <c r="AS223" s="348" t="s">
        <v>573</v>
      </c>
      <c r="AT223" s="349" t="s">
        <v>187</v>
      </c>
      <c r="AV223" s="346" t="str">
        <f>'TRAD-Calculs dispo Données FA'!B35</f>
        <v>Nombre de mois de disponibilité de produits</v>
      </c>
      <c r="AW223" s="347" t="str">
        <f>'TRAD-Calculs dispo Données FA'!B37</f>
        <v>Nombre de mois de disponibilité de produits hors ST</v>
      </c>
      <c r="AX223" s="424" t="str">
        <f>'TRAD-Calculs dispo Données FA'!B38</f>
        <v>Nombre de mois de stock tampon (ST)</v>
      </c>
      <c r="AY223" s="348" t="str">
        <f>'TRAD-Calculs dispo Données FA'!B39</f>
        <v>Date d'entrée en stock tampon</v>
      </c>
      <c r="AZ223" s="349" t="str">
        <f>'TRAD-Calculs dispo Données FA'!B40</f>
        <v>Date de rupture attendue</v>
      </c>
      <c r="BB223" s="346" t="str">
        <f>'TRAD-Calculs dispo Données FA'!B35</f>
        <v>Nombre de mois de disponibilité de produits</v>
      </c>
      <c r="BC223" s="347" t="str">
        <f>'TRAD-Calculs dispo Données FA'!B37</f>
        <v>Nombre de mois de disponibilité de produits hors ST</v>
      </c>
      <c r="BD223" s="424" t="str">
        <f>'TRAD-Calculs dispo Données FA'!B38</f>
        <v>Nombre de mois de stock tampon (ST)</v>
      </c>
      <c r="BE223" s="348" t="str">
        <f>'TRAD-Calculs dispo Données FA'!B39</f>
        <v>Date d'entrée en stock tampon</v>
      </c>
      <c r="BF223" s="349" t="str">
        <f>'TRAD-Calculs dispo Données FA'!B40</f>
        <v>Date de rupture attendue</v>
      </c>
      <c r="BH223" s="346" t="str">
        <f>'TRAD-Calculs dispo Données FA'!B35</f>
        <v>Nombre de mois de disponibilité de produits</v>
      </c>
      <c r="BI223" s="347" t="str">
        <f>'TRAD-Calculs dispo Données FA'!B37</f>
        <v>Nombre de mois de disponibilité de produits hors ST</v>
      </c>
      <c r="BJ223" s="424" t="str">
        <f>'TRAD-Calculs dispo Données FA'!B38</f>
        <v>Nombre de mois de stock tampon (ST)</v>
      </c>
      <c r="BK223" s="347" t="str">
        <f>'TRAD-Calculs dispo Données FA'!B47</f>
        <v>Delta sur commande / ST</v>
      </c>
      <c r="BL223" s="348" t="str">
        <f>'TRAD-Calculs dispo Données FA'!B39</f>
        <v>Date d'entrée en stock tampon</v>
      </c>
      <c r="BM223" s="349" t="str">
        <f>'TRAD-Calculs dispo Données FA'!B40</f>
        <v>Date de rupture attendue</v>
      </c>
      <c r="BO223" s="346" t="str">
        <f>'TRAD-Calculs dispo Données FA'!B35</f>
        <v>Nombre de mois de disponibilité de produits</v>
      </c>
      <c r="BP223" s="347" t="str">
        <f>'TRAD-Calculs dispo Données FA'!B37</f>
        <v>Nombre de mois de disponibilité de produits hors ST</v>
      </c>
      <c r="BQ223" s="424" t="str">
        <f>'TRAD-Calculs dispo Données FA'!B38</f>
        <v>Nombre de mois de stock tampon (ST)</v>
      </c>
      <c r="BR223" s="1827"/>
      <c r="BS223" s="348" t="str">
        <f>'TRAD-Calculs dispo Données FA'!B39</f>
        <v>Date d'entrée en stock tampon</v>
      </c>
      <c r="BT223" s="349" t="str">
        <f>'TRAD-Calculs dispo Données FA'!B40</f>
        <v>Date de rupture attendue</v>
      </c>
      <c r="BV223" s="2077" t="str">
        <f>'TRAD-Calculs dispo Données FA'!B48</f>
        <v>Stock</v>
      </c>
      <c r="BW223" s="2078" t="str">
        <f>'TRAD-Calculs dispo Données FA'!B49</f>
        <v>besoin actuel</v>
      </c>
      <c r="BX223" s="2079" t="str">
        <f>'TRAD-Calculs dispo Données FA'!B50</f>
        <v>Progression besoin</v>
      </c>
      <c r="BY223" s="2077" t="str">
        <f>'TRAD-Calculs dispo Données FA'!B51</f>
        <v>Eval</v>
      </c>
      <c r="BZ223" s="2078" t="str">
        <f>'TRAD-Calculs dispo Données FA'!B51</f>
        <v>Eval</v>
      </c>
      <c r="CA223" s="2080" t="str">
        <f>'TRAD-Calculs dispo Données FA'!B51</f>
        <v>Eval</v>
      </c>
    </row>
    <row r="224" spans="3:79" s="358" customFormat="1" ht="25.5" x14ac:dyDescent="0.2">
      <c r="C224" s="2678" t="str">
        <f>'TRAD-Calculs dispo Données FA'!B67</f>
        <v>Solutions Buvables</v>
      </c>
      <c r="D224" s="2679" t="s">
        <v>31</v>
      </c>
      <c r="E224" s="2680" t="str">
        <f>'Saisie données stocks'!F61</f>
        <v>AZT</v>
      </c>
      <c r="F224" s="2681" t="str">
        <f>'Saisie données stocks'!G61</f>
        <v>Sol buv</v>
      </c>
      <c r="G224" s="2681" t="str">
        <f>'Saisie données stocks'!H61</f>
        <v>10 mg/mL</v>
      </c>
      <c r="H224" s="2743" t="str">
        <f>CONCATENATE(E224, " - ", G224,"-",'TRAD-Calculs dispo Données FA'!$B$83, "/", K224, "mL")</f>
        <v>AZT - 10 mg/mL-Fl/240mL</v>
      </c>
      <c r="I224" s="2682"/>
      <c r="J224" s="2682"/>
      <c r="K224" s="2684">
        <f>'Saisie données stocks'!L61</f>
        <v>240</v>
      </c>
      <c r="L224" s="2744">
        <f>'Saisie données stocks'!M61</f>
        <v>1</v>
      </c>
      <c r="M224" s="2686">
        <f>IF('Saisie données stocks'!$O$10='TRAD-Saisie données stocks'!$B$51, 'Calculs Péremption FA'!BU49, Calculs!M304)+IF('Saisie données stocks'!$M$76='TRAD-Saisie données stocks'!$B$51, Calculs!N304, "0")+Calculs!P304</f>
        <v>0</v>
      </c>
      <c r="N224" s="2686">
        <f>Calculs!O195</f>
        <v>0</v>
      </c>
      <c r="O224" s="2686">
        <f>Calculs!N249</f>
        <v>0</v>
      </c>
      <c r="P224"/>
      <c r="Q224" s="230" t="e">
        <f>IF(Calculs!N249&gt;0, (-(Calculs!N249+2*Calculs!O195)+SQRT((Calculs!N249+2*Calculs!O195)*(Calculs!N249+2*Calculs!O195)+8*Calculs!N249*(M224)))/(2*Calculs!N249), ((M224)/Calculs!O195))</f>
        <v>#DIV/0!</v>
      </c>
      <c r="R224" s="235" t="e">
        <f>Q224-Paramétrage!$D$29</f>
        <v>#DIV/0!</v>
      </c>
      <c r="S224" s="240" t="e">
        <f>IF(Q224&lt;Paramétrage!$D$29, Q224, Paramétrage!$D$29)</f>
        <v>#DIV/0!</v>
      </c>
      <c r="T224" s="245" t="e">
        <f>Paramétrage!$H$19+R224*(365/12)</f>
        <v>#DIV/0!</v>
      </c>
      <c r="U224" s="246" t="e">
        <f>IF(Q224&lt;Paramétrage!$D$29, Paramétrage!$H$19+S224*(365/12), Paramétrage!$H$19+Q224*(365/12))</f>
        <v>#DIV/0!</v>
      </c>
      <c r="W224" s="230" t="str">
        <f t="shared" ref="W224:W231" si="42">IF(ISERROR(Q224),"", IF(Q224=0, "", Q224))</f>
        <v/>
      </c>
      <c r="X224" s="235" t="str">
        <f t="shared" ref="X224:X231" si="43">IF(ISERROR(Q224),"", IF(Q224=0, "", R224))</f>
        <v/>
      </c>
      <c r="Y224" s="429" t="str">
        <f t="shared" ref="Y224:Y231" si="44">IF(ISERROR(Q224),"", IF(Q224=0, "", S224))</f>
        <v/>
      </c>
      <c r="Z224" s="245" t="str">
        <f t="shared" ref="Z224:Z231" si="45">IF(ISERROR(Q224),"", IF(Q224=0, "", T224))</f>
        <v/>
      </c>
      <c r="AA224" s="246" t="str">
        <f t="shared" ref="AA224:AA231" si="46">IF(ISERROR(Q224), BZ224, IF(Q224=0, IF(AND(M224=0, OR(N224&gt;0, O224&gt;0)), CA224, U224), U224))</f>
        <v/>
      </c>
      <c r="AC224" s="231" t="e">
        <f t="shared" ref="AC224:AC231" si="47">Q224-Q167</f>
        <v>#DIV/0!</v>
      </c>
      <c r="AD224" s="235" t="e">
        <f>AC224-Paramétrage!$D$29</f>
        <v>#DIV/0!</v>
      </c>
      <c r="AE224" s="240" t="e">
        <f>IF(AC224&lt;Paramétrage!$D$29, AC224, Paramétrage!$D$29)</f>
        <v>#DIV/0!</v>
      </c>
      <c r="AF224" s="240" t="e">
        <f t="shared" ref="AF224:AF231" si="48">IF((I224-X224)&gt;0, (I224-X224), 0)</f>
        <v>#VALUE!</v>
      </c>
      <c r="AG224" s="245" t="e">
        <f>Paramétrage!$H$19+AD224*30</f>
        <v>#DIV/0!</v>
      </c>
      <c r="AH224" s="246" t="e">
        <f>IF(AC224&lt;Paramétrage!$D$29, Paramétrage!$H$19+AE224*30, Paramétrage!$H$19+AC224*30)</f>
        <v>#DIV/0!</v>
      </c>
      <c r="AI224" s="245">
        <f>'Saisie données stocks'!O182</f>
        <v>0</v>
      </c>
      <c r="AJ224" s="1830" t="str">
        <f>IF(ISERROR(Q224), "0", IF('Saisie données stocks'!O182="", "0", IF(U167&gt;'Saisie données stocks'!$N$14, IF(AI224&gt;(Paramétrage!$H$19+'Saisie données stocks'!$N$14*(365/12)), (AI224-(Paramétrage!$H$19+'Saisie données stocks'!$N$14*(365/12)))/(365/12), IF(AI224&gt;U167, (AI224-U167)/(365/12), "0")))))</f>
        <v>0</v>
      </c>
      <c r="AK224" s="235" t="str">
        <f>IF(ISERROR(Q167),"0", IF(Q167=0, "0", IF(Q167&gt;'Calculs Péremption FA'!$CB49, 'Calculs Péremption FA'!$CB49, Q167)))</f>
        <v>0</v>
      </c>
      <c r="AL224" s="240" t="str">
        <f>IF(ISERROR(AC224),"0", IF(AC224=0, "0", IF(AC224&gt;'Saisie données stocks'!$N$14, 'Saisie données stocks'!$N$14, AC224)))</f>
        <v>0</v>
      </c>
      <c r="AM224" s="246" t="str">
        <f>IF(ISERROR(Q224),AA224,IF(Calculs!P304=0,IF(Q167&gt;='Calculs Péremption conso'!$CB49,IF(Q167&lt;'Saisie données stocks'!$N$14,CONCATENATE('TRAD-Calculs dispo Données FA'!$B$88, " - ",'Calculs Péremption conso'!$BY49,"/",'Calculs Péremption conso'!$BZ49,"/",'Calculs Péremption conso'!$CA49),'Calculs Péremption conso'!CC49),AA224),IF(AC224&gt;'Saisie données stocks'!$N$14, AI224+'Saisie données stocks'!$N$14*30, AA224+(AJ224*30))))</f>
        <v/>
      </c>
      <c r="AO224" s="230" t="str">
        <f>IF(ISERROR(AC224),"", IF(AC224=0, "", IF(AC224&gt;'Saisie données stocks'!$N$14, 'Saisie données stocks'!$N$14, AC224)))</f>
        <v/>
      </c>
      <c r="AP224" s="235" t="str">
        <f>IF(ISERROR(AC224),"", IF(AC224=0, "", IF(AC224&gt;'Calculs Péremption FA'!$CB49, 'Calculs Péremption FA'!$CB49-Paramétrage!$D$29, AD224)))</f>
        <v/>
      </c>
      <c r="AQ224" s="429" t="str">
        <f>IF(ISERROR(AC224),"", IF(AC224=0, "", IF(AC224&gt;'Calculs Péremption FA'!$CB49, Paramétrage!$D$29, AE224)))</f>
        <v/>
      </c>
      <c r="AR224" s="1831" t="str">
        <f t="shared" ref="AR224:AR231" si="49">IF(ISERROR(AC224),"", IF(AC224=0, "", AF224))</f>
        <v/>
      </c>
      <c r="AS224" s="245" t="str">
        <f>IF(ISERROR(AC224),"", IF(AC224=0, "", IF(AC224&gt;'Calculs Péremption FA'!$CB49, 'Calculs Péremption FA'!$BX49-Paramétrage!$D$29*(365/12), AG224)))</f>
        <v/>
      </c>
      <c r="AT224" s="246" t="str">
        <f>IF(ISERROR(AC224),"", IF(AC224=0, "", IF(AC224&gt;'Calculs Péremption FA'!$CB49, CONCATENATE('TRAD-Calculs dispo Données FA'!$B$88, " - ", 'Calculs Péremption FA'!$BY49, "/", 'Calculs Péremption FA'!$BZ49, "/", 'Calculs Péremption FA'!$CA49), AH224)))</f>
        <v/>
      </c>
      <c r="AV224" s="230" t="e">
        <f>(Calculs!Q304)/Calculs!O195</f>
        <v>#DIV/0!</v>
      </c>
      <c r="AW224" s="235" t="e">
        <f>AV224-Paramétrage!$D$29</f>
        <v>#DIV/0!</v>
      </c>
      <c r="AX224" s="240" t="e">
        <f>IF(AV224&lt;Paramétrage!$D$29, AV224, Paramétrage!$D$29)</f>
        <v>#DIV/0!</v>
      </c>
      <c r="AY224" s="245" t="e">
        <f>Paramétrage!$H$19+AW224*30</f>
        <v>#DIV/0!</v>
      </c>
      <c r="AZ224" s="246" t="e">
        <f>IF(AV224&lt;Paramétrage!$D$29, Paramétrage!$H$19+AX224*(365/12), Paramétrage!$H$19+AV224*(365/12))</f>
        <v>#DIV/0!</v>
      </c>
      <c r="BB224" s="230" t="str">
        <f>IF(ISERROR(AV224),"", IF(AV224=0, "", IF(AV224&gt;'Calculs Péremption FA'!$CB49, 'Calculs Péremption FA'!$CB49, AV224)))</f>
        <v/>
      </c>
      <c r="BC224" s="235" t="str">
        <f>IF(ISERROR(AV224),"", IF(AV224=0, "", IF(AV224&gt;'Calculs Péremption FA'!$CB49, 'Calculs Péremption FA'!$CB49-Paramétrage!$D$29, AW224)))</f>
        <v/>
      </c>
      <c r="BD224" s="429" t="str">
        <f>IF(ISERROR(AV224),"", IF(AV224=0, "", IF(AV224&gt;'Calculs Péremption FA'!$CB49, Paramétrage!$D$29, AX224)))</f>
        <v/>
      </c>
      <c r="BE224" s="245" t="str">
        <f>IF(ISERROR(AV224),"", IF(AV224=0, "", IF(AV224&gt;'Calculs Péremption FA'!$CB49, 'Calculs Péremption FA'!$BX49-Paramétrage!$D$29*(365/12), AY224)))</f>
        <v/>
      </c>
      <c r="BF224" s="246" t="str">
        <f>IF(ISERROR(AV224),"", IF(AV224=0, "", IF(AV224&gt;'Calculs Péremption FA'!$CB49, CONCATENATE('TRAD-Calculs dispo Données FA'!$B$88, " - ", 'Calculs Péremption FA'!$BY49, "/", 'Calculs Péremption FA'!$BZ49, "/", 'Calculs Péremption FA'!$CA49), AZ224)))</f>
        <v/>
      </c>
      <c r="BH224" s="231" t="e">
        <f t="shared" ref="BH224:BH231" si="50">AV224-AC167</f>
        <v>#DIV/0!</v>
      </c>
      <c r="BI224" s="235" t="e">
        <f>BH224-Paramétrage!$D$29</f>
        <v>#DIV/0!</v>
      </c>
      <c r="BJ224" s="240" t="e">
        <f>IF(BH224&lt;Paramétrage!$D$29, BH224, Paramétrage!$D$29)</f>
        <v>#DIV/0!</v>
      </c>
      <c r="BK224" s="240" t="e">
        <f t="shared" ref="BK224:BK231" si="51">IF((AW224-AC167)&gt;0, (AW224-AC167), 0)</f>
        <v>#DIV/0!</v>
      </c>
      <c r="BL224" s="245" t="e">
        <f>Paramétrage!$H$19+BI224*(365/12)</f>
        <v>#DIV/0!</v>
      </c>
      <c r="BM224" s="246" t="e">
        <f>IF(BH224&lt;Paramétrage!$D$29, Paramétrage!$H$19+BJ224*(365/12), Paramétrage!$H$19+BH224*(365/12))</f>
        <v>#DIV/0!</v>
      </c>
      <c r="BO224" s="230" t="str">
        <f>IF(ISERROR(BH224),"", IF(BH224=0, "", IF(BH224&gt;'Calculs Péremption FA'!$CB49, 'Calculs Péremption FA'!$CB49, BH224)))</f>
        <v/>
      </c>
      <c r="BP224" s="235" t="str">
        <f>IF(ISERROR(BH224),"", IF(BH224=0, "", IF(BH224&gt;'Calculs Péremption FA'!$CB49, 'Calculs Péremption FA'!$CB49-Paramétrage!$D$29, BI224)))</f>
        <v/>
      </c>
      <c r="BQ224" s="429" t="str">
        <f>IF(ISERROR(BH224),"", IF(BH224=0, "", IF(BH224&gt;'Calculs Péremption FA'!$CB49, Paramétrage!$D$29, BJ224)))</f>
        <v/>
      </c>
      <c r="BR224" s="1831" t="str">
        <f t="shared" ref="BR224:BR231" si="52">IF(ISERROR(BH224),"", IF(BH224=0, "", BK224))</f>
        <v/>
      </c>
      <c r="BS224" s="245" t="str">
        <f>IF(ISERROR(BH224),"", IF(BH224=0, "", IF(BH224&gt;'Calculs Péremption FA'!$CB49, 'Calculs Péremption FA'!$BX49-Paramétrage!$D$29*(365/12), BL224)))</f>
        <v/>
      </c>
      <c r="BT224" s="246" t="str">
        <f>IF(ISERROR(BH224),"", IF(BH224=0, "", IF(BH224&gt;'Calculs Péremption FA'!$CB49, CONCATENATE('TRAD-Calculs dispo Données FA'!$B$88, " - ", 'Calculs Péremption FA'!$BY49, "/", 'Calculs Péremption FA'!$BZ49, "/", 'Calculs Péremption FA'!$CA49), BM224)))</f>
        <v/>
      </c>
      <c r="BV224" s="2072">
        <f>Calculs!$Q304</f>
        <v>0</v>
      </c>
      <c r="BW224" s="2073">
        <f>Calculs!$O195</f>
        <v>0</v>
      </c>
      <c r="BX224" s="2074">
        <f>Calculs!$N249</f>
        <v>0</v>
      </c>
      <c r="BY224" s="2075" t="str">
        <f>IF(AND(BX224=0, BV224=0, BW224=0), 'TRAD-Calculs dispo Données FA'!$B$82, "")</f>
        <v>Stock et besoin nul</v>
      </c>
      <c r="BZ224" s="2073" t="str">
        <f>IF(AND(BX224=0, BV224&gt;0, BW224=0), CONCATENATE(BV224,'TRAD-Calculs dispo Données FA'!$B$80," =0"), "")</f>
        <v/>
      </c>
      <c r="CA224" s="2076" t="str">
        <f>IF(AND(BV224=0, OR(BW224&gt;=1, BX224&gt;=1)),'TRAD-Calculs dispo Données FA'!$B$81, "")</f>
        <v/>
      </c>
    </row>
    <row r="225" spans="3:79" s="358" customFormat="1" ht="25.5" x14ac:dyDescent="0.2">
      <c r="C225" s="2687"/>
      <c r="D225" s="2688"/>
      <c r="E225" s="2696" t="str">
        <f>'Saisie données stocks'!F62</f>
        <v>D4T</v>
      </c>
      <c r="F225" s="2697" t="str">
        <f>'Saisie données stocks'!G62</f>
        <v>Sol buv</v>
      </c>
      <c r="G225" s="2697" t="str">
        <f>'Saisie données stocks'!H62</f>
        <v>10 mg/mL</v>
      </c>
      <c r="H225" s="2745" t="str">
        <f>CONCATENATE(E225, " - ", G225,"-",'TRAD-Calculs dispo Données FA'!$B$83, "/", K225, "mL")</f>
        <v>D4T - 10 mg/mL-Fl/240mL</v>
      </c>
      <c r="I225" s="2698"/>
      <c r="J225" s="2698"/>
      <c r="K225" s="2693">
        <f>'Saisie données stocks'!L62</f>
        <v>240</v>
      </c>
      <c r="L225" s="2746">
        <f>'Saisie données stocks'!M62</f>
        <v>1</v>
      </c>
      <c r="M225" s="2695">
        <f>IF('Saisie données stocks'!$O$10='TRAD-Saisie données stocks'!$B$51, 'Calculs Péremption FA'!BU50, Calculs!M305)+IF('Saisie données stocks'!$M$76='TRAD-Saisie données stocks'!$B$51, Calculs!N305, "0")+Calculs!P305</f>
        <v>0</v>
      </c>
      <c r="N225" s="2695">
        <f>Calculs!O196</f>
        <v>0</v>
      </c>
      <c r="O225" s="2695">
        <f>Calculs!N250</f>
        <v>0</v>
      </c>
      <c r="P225"/>
      <c r="Q225" s="231" t="e">
        <f>IF(Calculs!N250&gt;0, (-(Calculs!N250+2*Calculs!O196)+SQRT((Calculs!N250+2*Calculs!O196)*(Calculs!N250+2*Calculs!O196)+8*Calculs!N250*(M225)))/(2*Calculs!N250), ((M225)/Calculs!O196))</f>
        <v>#DIV/0!</v>
      </c>
      <c r="R225" s="236" t="e">
        <f>Q225-Paramétrage!$D$29</f>
        <v>#DIV/0!</v>
      </c>
      <c r="S225" s="241" t="e">
        <f>IF(Q225&lt;Paramétrage!$D$29, Q225, Paramétrage!$D$29)</f>
        <v>#DIV/0!</v>
      </c>
      <c r="T225" s="247" t="e">
        <f>Paramétrage!$H$19+R225*(365/12)</f>
        <v>#DIV/0!</v>
      </c>
      <c r="U225" s="248" t="e">
        <f>IF(Q225&lt;Paramétrage!$D$29, Paramétrage!$H$19+S225*(365/12), Paramétrage!$H$19+Q225*(365/12))</f>
        <v>#DIV/0!</v>
      </c>
      <c r="W225" s="231" t="str">
        <f t="shared" si="42"/>
        <v/>
      </c>
      <c r="X225" s="236" t="str">
        <f t="shared" si="43"/>
        <v/>
      </c>
      <c r="Y225" s="425" t="str">
        <f t="shared" si="44"/>
        <v/>
      </c>
      <c r="Z225" s="247" t="str">
        <f t="shared" si="45"/>
        <v/>
      </c>
      <c r="AA225" s="248" t="str">
        <f t="shared" si="46"/>
        <v/>
      </c>
      <c r="AC225" s="231" t="e">
        <f t="shared" si="47"/>
        <v>#DIV/0!</v>
      </c>
      <c r="AD225" s="236" t="e">
        <f>AC225-Paramétrage!$D$29</f>
        <v>#DIV/0!</v>
      </c>
      <c r="AE225" s="241" t="e">
        <f>IF(AC225&lt;Paramétrage!$D$29, AC225, Paramétrage!$D$29)</f>
        <v>#DIV/0!</v>
      </c>
      <c r="AF225" s="241" t="e">
        <f t="shared" si="48"/>
        <v>#VALUE!</v>
      </c>
      <c r="AG225" s="247" t="e">
        <f>Paramétrage!$H$19+AD225*30</f>
        <v>#DIV/0!</v>
      </c>
      <c r="AH225" s="248" t="e">
        <f>IF(AC225&lt;Paramétrage!$D$29, Paramétrage!$H$19+AE225*30, Paramétrage!$H$19+AC225*30)</f>
        <v>#DIV/0!</v>
      </c>
      <c r="AI225" s="247">
        <f>'Saisie données stocks'!O183</f>
        <v>0</v>
      </c>
      <c r="AJ225" s="1832" t="str">
        <f>IF(ISERROR(Q225), "0", IF('Saisie données stocks'!O183="", "0", IF(U168&gt;'Saisie données stocks'!$N$14, IF(AI225&gt;(Paramétrage!$H$19+'Saisie données stocks'!$N$14*(365/12)), (AI225-(Paramétrage!$H$19+'Saisie données stocks'!$N$14*(365/12)))/(365/12), IF(AI225&gt;U168, (AI225-U168)/(365/12), "0")))))</f>
        <v>0</v>
      </c>
      <c r="AK225" s="236" t="str">
        <f>IF(ISERROR(Q168),"0", IF(Q168=0, "0", IF(Q168&gt;'Calculs Péremption FA'!$CB50, 'Calculs Péremption FA'!$CB50, Q168)))</f>
        <v>0</v>
      </c>
      <c r="AL225" s="241" t="str">
        <f>IF(ISERROR(AC225),"0", IF(AC225=0, "0", IF(AC225&gt;'Saisie données stocks'!$N$14, 'Saisie données stocks'!$N$14, AC225)))</f>
        <v>0</v>
      </c>
      <c r="AM225" s="248" t="str">
        <f>IF(ISERROR(Q225),AA225,IF(Calculs!P305=0,IF(Q168&gt;='Calculs Péremption conso'!$CB50,IF(Q168&lt;'Saisie données stocks'!$N$14,CONCATENATE('TRAD-Calculs dispo Données FA'!$B$88, " - ",'Calculs Péremption conso'!$BY50,"/",'Calculs Péremption conso'!$BZ50,"/",'Calculs Péremption conso'!$CA50),'Calculs Péremption conso'!CC50),AA225),IF(AC225&gt;'Saisie données stocks'!$N$14, AI225+'Saisie données stocks'!$N$14*30, AA225+(AJ225*30))))</f>
        <v/>
      </c>
      <c r="AO225" s="231" t="str">
        <f>IF(ISERROR(AC225),"", IF(AC225=0, "", IF(AC225&gt;'Saisie données stocks'!$N$14, 'Saisie données stocks'!$N$14, AC225)))</f>
        <v/>
      </c>
      <c r="AP225" s="236" t="str">
        <f>IF(ISERROR(AC225),"", IF(AC225=0, "", IF(AC225&gt;'Calculs Péremption FA'!$CB50, 'Calculs Péremption FA'!$CB50-Paramétrage!$D$29, AD225)))</f>
        <v/>
      </c>
      <c r="AQ225" s="425" t="str">
        <f>IF(ISERROR(AC225),"", IF(AC225=0, "", IF(AC225&gt;'Calculs Péremption FA'!$CB50, Paramétrage!$D$29, AE225)))</f>
        <v/>
      </c>
      <c r="AR225" s="1833" t="str">
        <f t="shared" si="49"/>
        <v/>
      </c>
      <c r="AS225" s="247" t="str">
        <f>IF(ISERROR(AC225),"", IF(AC225=0, "", IF(AC225&gt;'Calculs Péremption FA'!$CB50, 'Calculs Péremption FA'!$BX50-Paramétrage!$D$29*(365/12), AG225)))</f>
        <v/>
      </c>
      <c r="AT225" s="248" t="str">
        <f>IF(ISERROR(AC225),"", IF(AC225=0, "", IF(AC225&gt;'Calculs Péremption FA'!$CB50, CONCATENATE('TRAD-Calculs dispo Données FA'!$B$88, " - ", 'Calculs Péremption FA'!$BY50, "/", 'Calculs Péremption FA'!$BZ50, "/", 'Calculs Péremption FA'!$CA50), AH225)))</f>
        <v/>
      </c>
      <c r="AV225" s="231" t="e">
        <f>(Calculs!Q305)/Calculs!O196</f>
        <v>#DIV/0!</v>
      </c>
      <c r="AW225" s="236" t="e">
        <f>AV225-Paramétrage!$D$29</f>
        <v>#DIV/0!</v>
      </c>
      <c r="AX225" s="241" t="e">
        <f>IF(AV225&lt;Paramétrage!$D$29, AV225, Paramétrage!$D$29)</f>
        <v>#DIV/0!</v>
      </c>
      <c r="AY225" s="247" t="e">
        <f>Paramétrage!$H$19+AW225*30</f>
        <v>#DIV/0!</v>
      </c>
      <c r="AZ225" s="248" t="e">
        <f>IF(AV225&lt;Paramétrage!$D$29, Paramétrage!$H$19+AX225*(365/12), Paramétrage!$H$19+AV225*(365/12))</f>
        <v>#DIV/0!</v>
      </c>
      <c r="BB225" s="231" t="str">
        <f>IF(ISERROR(AV225),"", IF(AV225=0, "", IF(AV225&gt;'Calculs Péremption FA'!$CB50, 'Calculs Péremption FA'!$CB50, AV225)))</f>
        <v/>
      </c>
      <c r="BC225" s="236" t="str">
        <f>IF(ISERROR(AV225),"", IF(AV225=0, "", IF(AV225&gt;'Calculs Péremption FA'!$CB50, 'Calculs Péremption FA'!$CB50-Paramétrage!$D$29, AW225)))</f>
        <v/>
      </c>
      <c r="BD225" s="425" t="str">
        <f>IF(ISERROR(AV225),"", IF(AV225=0, "", IF(AV225&gt;'Calculs Péremption FA'!$CB50, Paramétrage!$D$29, AX225)))</f>
        <v/>
      </c>
      <c r="BE225" s="247" t="str">
        <f>IF(ISERROR(AV225),"", IF(AV225=0, "", IF(AV225&gt;'Calculs Péremption FA'!$CB50, 'Calculs Péremption FA'!$BX50-Paramétrage!$D$29*(365/12), AY225)))</f>
        <v/>
      </c>
      <c r="BF225" s="248" t="str">
        <f>IF(ISERROR(AV225),"", IF(AV225=0, "", IF(AV225&gt;'Calculs Péremption FA'!$CB50, CONCATENATE('TRAD-Calculs dispo Données FA'!$B$88, " - ", 'Calculs Péremption FA'!$BY50, "/", 'Calculs Péremption FA'!$BZ50, "/", 'Calculs Péremption FA'!$CA50), AZ225)))</f>
        <v/>
      </c>
      <c r="BH225" s="231" t="e">
        <f t="shared" si="50"/>
        <v>#DIV/0!</v>
      </c>
      <c r="BI225" s="236" t="e">
        <f>BH225-Paramétrage!$D$29</f>
        <v>#DIV/0!</v>
      </c>
      <c r="BJ225" s="241" t="e">
        <f>IF(BH225&lt;Paramétrage!$D$29, BH225, Paramétrage!$D$29)</f>
        <v>#DIV/0!</v>
      </c>
      <c r="BK225" s="241" t="e">
        <f t="shared" si="51"/>
        <v>#DIV/0!</v>
      </c>
      <c r="BL225" s="247" t="e">
        <f>Paramétrage!$H$19+BI225*(365/12)</f>
        <v>#DIV/0!</v>
      </c>
      <c r="BM225" s="248" t="e">
        <f>IF(BH225&lt;Paramétrage!$D$29, Paramétrage!$H$19+BJ225*(365/12), Paramétrage!$H$19+BH225*(365/12))</f>
        <v>#DIV/0!</v>
      </c>
      <c r="BO225" s="231" t="str">
        <f>IF(ISERROR(BH225),"", IF(BH225=0, "", IF(BH225&gt;'Calculs Péremption FA'!$CB50, 'Calculs Péremption FA'!$CB50, BH225)))</f>
        <v/>
      </c>
      <c r="BP225" s="236" t="str">
        <f>IF(ISERROR(BH225),"", IF(BH225=0, "", IF(BH225&gt;'Calculs Péremption FA'!$CB50, 'Calculs Péremption FA'!$CB50-Paramétrage!$D$29, BI225)))</f>
        <v/>
      </c>
      <c r="BQ225" s="425" t="str">
        <f>IF(ISERROR(BH225),"", IF(BH225=0, "", IF(BH225&gt;'Calculs Péremption FA'!$CB50, Paramétrage!$D$29, BJ225)))</f>
        <v/>
      </c>
      <c r="BR225" s="1833" t="str">
        <f t="shared" si="52"/>
        <v/>
      </c>
      <c r="BS225" s="247" t="str">
        <f>IF(ISERROR(BH225),"", IF(BH225=0, "", IF(BH225&gt;'Calculs Péremption FA'!$CB50, 'Calculs Péremption FA'!$BX50-Paramétrage!$D$29*(365/12), BL225)))</f>
        <v/>
      </c>
      <c r="BT225" s="248" t="str">
        <f>IF(ISERROR(BH225),"", IF(BH225=0, "", IF(BH225&gt;'Calculs Péremption FA'!$CB50, CONCATENATE('TRAD-Calculs dispo Données FA'!$B$88, " - ", 'Calculs Péremption FA'!$BY50, "/", 'Calculs Péremption FA'!$BZ50, "/", 'Calculs Péremption FA'!$CA50), BM225)))</f>
        <v/>
      </c>
      <c r="BV225" s="2061">
        <f>Calculs!$Q305</f>
        <v>0</v>
      </c>
      <c r="BW225" s="2062">
        <f>Calculs!$O196</f>
        <v>0</v>
      </c>
      <c r="BX225" s="2068">
        <f>Calculs!$N250</f>
        <v>0</v>
      </c>
      <c r="BY225" s="2070" t="str">
        <f>IF(AND(BX225=0, BV225=0, BW225=0), 'TRAD-Calculs dispo Données FA'!$B$82, "")</f>
        <v>Stock et besoin nul</v>
      </c>
      <c r="BZ225" s="2062" t="str">
        <f>IF(AND(BX225=0, BV225&gt;0, BW225=0), CONCATENATE(BV225,'TRAD-Calculs dispo Données FA'!$B$80," =0"), "")</f>
        <v/>
      </c>
      <c r="CA225" s="2063" t="str">
        <f>IF(AND(BV225=0, OR(BW225&gt;=1, BX225&gt;=1)),'TRAD-Calculs dispo Données FA'!$B$81, "")</f>
        <v/>
      </c>
    </row>
    <row r="226" spans="3:79" s="358" customFormat="1" ht="25.5" x14ac:dyDescent="0.2">
      <c r="C226" s="2687"/>
      <c r="D226" s="2688"/>
      <c r="E226" s="2700" t="str">
        <f>'Saisie données stocks'!F63</f>
        <v>3TC</v>
      </c>
      <c r="F226" s="2701" t="str">
        <f>'Saisie données stocks'!G63</f>
        <v>Sol buv</v>
      </c>
      <c r="G226" s="2701" t="str">
        <f>'Saisie données stocks'!H63</f>
        <v>10 mg/mL</v>
      </c>
      <c r="H226" s="2747" t="str">
        <f>CONCATENATE(E226, " - ", G226,"-",'TRAD-Calculs dispo Données FA'!$B$83, "/", K226, "mL")</f>
        <v>3TC - 10 mg/mL-Fl/240mL</v>
      </c>
      <c r="I226" s="2702"/>
      <c r="J226" s="2702"/>
      <c r="K226" s="2704">
        <f>'Saisie données stocks'!L63</f>
        <v>240</v>
      </c>
      <c r="L226" s="2748">
        <f>'Saisie données stocks'!M63</f>
        <v>1</v>
      </c>
      <c r="M226" s="2706">
        <f>IF('Saisie données stocks'!$O$10='TRAD-Saisie données stocks'!$B$51, 'Calculs Péremption FA'!BU51, Calculs!M306)+IF('Saisie données stocks'!$M$76='TRAD-Saisie données stocks'!$B$51, Calculs!N306, "0")+Calculs!P306</f>
        <v>0</v>
      </c>
      <c r="N226" s="2706">
        <f>Calculs!O197</f>
        <v>0</v>
      </c>
      <c r="O226" s="2706">
        <f>Calculs!N251</f>
        <v>0</v>
      </c>
      <c r="P226"/>
      <c r="Q226" s="1836" t="e">
        <f>IF(Calculs!N251&gt;0, (-(Calculs!N251+2*Calculs!O197)+SQRT((Calculs!N251+2*Calculs!O197)*(Calculs!N251+2*Calculs!O197)+8*Calculs!N251*(M226)))/(2*Calculs!N251), ((M226)/Calculs!O197))</f>
        <v>#DIV/0!</v>
      </c>
      <c r="R226" s="1721" t="e">
        <f>Q226-Paramétrage!$D$29</f>
        <v>#DIV/0!</v>
      </c>
      <c r="S226" s="1837" t="e">
        <f>IF(Q226&lt;Paramétrage!$D$29, Q226, Paramétrage!$D$29)</f>
        <v>#DIV/0!</v>
      </c>
      <c r="T226" s="1838" t="e">
        <f>Paramétrage!$H$19+R226*(365/12)</f>
        <v>#DIV/0!</v>
      </c>
      <c r="U226" s="1839" t="e">
        <f>IF(Q226&lt;Paramétrage!$D$29, Paramétrage!$H$19+S226*(365/12), Paramétrage!$H$19+Q226*(365/12))</f>
        <v>#DIV/0!</v>
      </c>
      <c r="W226" s="1836" t="str">
        <f t="shared" si="42"/>
        <v/>
      </c>
      <c r="X226" s="1721" t="str">
        <f t="shared" si="43"/>
        <v/>
      </c>
      <c r="Y226" s="1840" t="str">
        <f t="shared" si="44"/>
        <v/>
      </c>
      <c r="Z226" s="1838" t="str">
        <f t="shared" si="45"/>
        <v/>
      </c>
      <c r="AA226" s="1839" t="str">
        <f t="shared" si="46"/>
        <v/>
      </c>
      <c r="AC226" s="1836" t="e">
        <f t="shared" si="47"/>
        <v>#DIV/0!</v>
      </c>
      <c r="AD226" s="1721" t="e">
        <f>AC226-Paramétrage!$D$29</f>
        <v>#DIV/0!</v>
      </c>
      <c r="AE226" s="1837" t="e">
        <f>IF(AC226&lt;Paramétrage!$D$29, AC226, Paramétrage!$D$29)</f>
        <v>#DIV/0!</v>
      </c>
      <c r="AF226" s="1837" t="e">
        <f t="shared" si="48"/>
        <v>#VALUE!</v>
      </c>
      <c r="AG226" s="1838" t="e">
        <f>Paramétrage!$H$19+AD226*30</f>
        <v>#DIV/0!</v>
      </c>
      <c r="AH226" s="1839" t="e">
        <f>IF(AC226&lt;Paramétrage!$D$29, Paramétrage!$H$19+AE226*30, Paramétrage!$H$19+AC226*30)</f>
        <v>#DIV/0!</v>
      </c>
      <c r="AI226" s="1838">
        <f>'Saisie données stocks'!O184</f>
        <v>0</v>
      </c>
      <c r="AJ226" s="1841" t="str">
        <f>IF(ISERROR(Q226), "0", IF('Saisie données stocks'!O184="", "0", IF(U169&gt;'Saisie données stocks'!$N$14, IF(AI226&gt;(Paramétrage!$H$19+'Saisie données stocks'!$N$14*(365/12)), (AI226-(Paramétrage!$H$19+'Saisie données stocks'!$N$14*(365/12)))/(365/12), IF(AI226&gt;U169, (AI226-U169)/(365/12), "0")))))</f>
        <v>0</v>
      </c>
      <c r="AK226" s="1721" t="str">
        <f>IF(ISERROR(Q169),"0", IF(Q169=0, "0", IF(Q169&gt;'Calculs Péremption FA'!$CB51, 'Calculs Péremption FA'!$CB51, Q169)))</f>
        <v>0</v>
      </c>
      <c r="AL226" s="1837" t="str">
        <f>IF(ISERROR(AC226),"0", IF(AC226=0, "0", IF(AC226&gt;'Saisie données stocks'!$N$14, 'Saisie données stocks'!$N$14, AC226)))</f>
        <v>0</v>
      </c>
      <c r="AM226" s="1839" t="str">
        <f>IF(ISERROR(Q226),AA226,IF(Calculs!P306=0,IF(Q169&gt;='Calculs Péremption conso'!$CB51,IF(Q169&lt;'Saisie données stocks'!$N$14,CONCATENATE('TRAD-Calculs dispo Données FA'!$B$88, " - ",'Calculs Péremption conso'!$BY51,"/",'Calculs Péremption conso'!$BZ51,"/",'Calculs Péremption conso'!$CA51),'Calculs Péremption conso'!CC51),AA226),IF(AC226&gt;'Saisie données stocks'!$N$14, AI226+'Saisie données stocks'!$N$14*30, AA226+(AJ226*30))))</f>
        <v/>
      </c>
      <c r="AO226" s="1836" t="str">
        <f>IF(ISERROR(AC226),"", IF(AC226=0, "", IF(AC226&gt;'Saisie données stocks'!$N$14, 'Saisie données stocks'!$N$14, AC226)))</f>
        <v/>
      </c>
      <c r="AP226" s="1721" t="str">
        <f>IF(ISERROR(AC226),"", IF(AC226=0, "", IF(AC226&gt;'Calculs Péremption FA'!$CB51, 'Calculs Péremption FA'!$CB51-Paramétrage!$D$29, AD226)))</f>
        <v/>
      </c>
      <c r="AQ226" s="1840" t="str">
        <f>IF(ISERROR(AC226),"", IF(AC226=0, "", IF(AC226&gt;'Calculs Péremption FA'!$CB51, Paramétrage!$D$29, AE226)))</f>
        <v/>
      </c>
      <c r="AR226" s="1842" t="str">
        <f t="shared" si="49"/>
        <v/>
      </c>
      <c r="AS226" s="1838" t="str">
        <f>IF(ISERROR(AC226),"", IF(AC226=0, "", IF(AC226&gt;'Calculs Péremption FA'!$CB51, 'Calculs Péremption FA'!$BX51-Paramétrage!$D$29*(365/12), AG226)))</f>
        <v/>
      </c>
      <c r="AT226" s="1839" t="str">
        <f>IF(ISERROR(AC226),"", IF(AC226=0, "", IF(AC226&gt;'Calculs Péremption FA'!$CB51, CONCATENATE('TRAD-Calculs dispo Données FA'!$B$88, " - ", 'Calculs Péremption FA'!$BY51, "/", 'Calculs Péremption FA'!$BZ51, "/", 'Calculs Péremption FA'!$CA51), AH226)))</f>
        <v/>
      </c>
      <c r="AV226" s="1836" t="e">
        <f>(Calculs!Q306)/Calculs!O197</f>
        <v>#DIV/0!</v>
      </c>
      <c r="AW226" s="1721" t="e">
        <f>AV226-Paramétrage!$D$29</f>
        <v>#DIV/0!</v>
      </c>
      <c r="AX226" s="1837" t="e">
        <f>IF(AV226&lt;Paramétrage!$D$29, AV226, Paramétrage!$D$29)</f>
        <v>#DIV/0!</v>
      </c>
      <c r="AY226" s="1838" t="e">
        <f>Paramétrage!$H$19+AW226*30</f>
        <v>#DIV/0!</v>
      </c>
      <c r="AZ226" s="1839" t="e">
        <f>IF(AV226&lt;Paramétrage!$D$29, Paramétrage!$H$19+AX226*(365/12), Paramétrage!$H$19+AV226*(365/12))</f>
        <v>#DIV/0!</v>
      </c>
      <c r="BB226" s="1836" t="str">
        <f>IF(ISERROR(AV226),"", IF(AV226=0, "", IF(AV226&gt;'Calculs Péremption FA'!$CB51, 'Calculs Péremption FA'!$CB51, AV226)))</f>
        <v/>
      </c>
      <c r="BC226" s="1721" t="str">
        <f>IF(ISERROR(AV226),"", IF(AV226=0, "", IF(AV226&gt;'Calculs Péremption FA'!$CB51, 'Calculs Péremption FA'!$CB51-Paramétrage!$D$29, AW226)))</f>
        <v/>
      </c>
      <c r="BD226" s="1840" t="str">
        <f>IF(ISERROR(AV226),"", IF(AV226=0, "", IF(AV226&gt;'Calculs Péremption FA'!$CB51, Paramétrage!$D$29, AX226)))</f>
        <v/>
      </c>
      <c r="BE226" s="1838" t="str">
        <f>IF(ISERROR(AV226),"", IF(AV226=0, "", IF(AV226&gt;'Calculs Péremption FA'!$CB51, 'Calculs Péremption FA'!$BX51-Paramétrage!$D$29*(365/12), AY226)))</f>
        <v/>
      </c>
      <c r="BF226" s="1839" t="str">
        <f>IF(ISERROR(AV226),"", IF(AV226=0, "", IF(AV226&gt;'Calculs Péremption FA'!$CB51, CONCATENATE('TRAD-Calculs dispo Données FA'!$B$88, " - ", 'Calculs Péremption FA'!$BY51, "/", 'Calculs Péremption FA'!$BZ51, "/", 'Calculs Péremption FA'!$CA51), AZ226)))</f>
        <v/>
      </c>
      <c r="BH226" s="1836" t="e">
        <f t="shared" si="50"/>
        <v>#DIV/0!</v>
      </c>
      <c r="BI226" s="1721" t="e">
        <f>BH226-Paramétrage!$D$29</f>
        <v>#DIV/0!</v>
      </c>
      <c r="BJ226" s="1837" t="e">
        <f>IF(BH226&lt;Paramétrage!$D$29, BH226, Paramétrage!$D$29)</f>
        <v>#DIV/0!</v>
      </c>
      <c r="BK226" s="1837" t="e">
        <f t="shared" si="51"/>
        <v>#DIV/0!</v>
      </c>
      <c r="BL226" s="1838" t="e">
        <f>Paramétrage!$H$19+BI226*(365/12)</f>
        <v>#DIV/0!</v>
      </c>
      <c r="BM226" s="1839" t="e">
        <f>IF(BH226&lt;Paramétrage!$D$29, Paramétrage!$H$19+BJ226*(365/12), Paramétrage!$H$19+BH226*(365/12))</f>
        <v>#DIV/0!</v>
      </c>
      <c r="BO226" s="1836" t="str">
        <f>IF(ISERROR(BH226),"", IF(BH226=0, "", IF(BH226&gt;'Calculs Péremption FA'!$CB51, 'Calculs Péremption FA'!$CB51, BH226)))</f>
        <v/>
      </c>
      <c r="BP226" s="1721" t="str">
        <f>IF(ISERROR(BH226),"", IF(BH226=0, "", IF(BH226&gt;'Calculs Péremption FA'!$CB51, 'Calculs Péremption FA'!$CB51-Paramétrage!$D$29, BI226)))</f>
        <v/>
      </c>
      <c r="BQ226" s="1840" t="str">
        <f>IF(ISERROR(BH226),"", IF(BH226=0, "", IF(BH226&gt;'Calculs Péremption FA'!$CB51, Paramétrage!$D$29, BJ226)))</f>
        <v/>
      </c>
      <c r="BR226" s="1842" t="str">
        <f t="shared" si="52"/>
        <v/>
      </c>
      <c r="BS226" s="1838" t="str">
        <f>IF(ISERROR(BH226),"", IF(BH226=0, "", IF(BH226&gt;'Calculs Péremption FA'!$CB51, 'Calculs Péremption FA'!$BX51-Paramétrage!$D$29*(365/12), BL226)))</f>
        <v/>
      </c>
      <c r="BT226" s="1839" t="str">
        <f>IF(ISERROR(BH226),"", IF(BH226=0, "", IF(BH226&gt;'Calculs Péremption FA'!$CB51, CONCATENATE('TRAD-Calculs dispo Données FA'!$B$88, " - ", 'Calculs Péremption FA'!$BY51, "/", 'Calculs Péremption FA'!$BZ51, "/", 'Calculs Péremption FA'!$CA51), BM226)))</f>
        <v/>
      </c>
      <c r="BV226" s="2061">
        <f>Calculs!$Q306</f>
        <v>0</v>
      </c>
      <c r="BW226" s="2062">
        <f>Calculs!$O197</f>
        <v>0</v>
      </c>
      <c r="BX226" s="2068">
        <f>Calculs!$N251</f>
        <v>0</v>
      </c>
      <c r="BY226" s="2070" t="str">
        <f>IF(AND(BX226=0, BV226=0, BW226=0), 'TRAD-Calculs dispo Données FA'!$B$82, "")</f>
        <v>Stock et besoin nul</v>
      </c>
      <c r="BZ226" s="2062" t="str">
        <f>IF(AND(BX226=0, BV226&gt;0, BW226=0), CONCATENATE(BV226,'TRAD-Calculs dispo Données FA'!$B$80," =0"), "")</f>
        <v/>
      </c>
      <c r="CA226" s="2063" t="str">
        <f>IF(AND(BV226=0, OR(BW226&gt;=1, BX226&gt;=1)),'TRAD-Calculs dispo Données FA'!$B$81, "")</f>
        <v/>
      </c>
    </row>
    <row r="227" spans="3:79" s="358" customFormat="1" ht="25.5" x14ac:dyDescent="0.2">
      <c r="C227" s="2687"/>
      <c r="D227" s="2749"/>
      <c r="E227" s="2696" t="str">
        <f>'Saisie données stocks'!F64</f>
        <v>ABC</v>
      </c>
      <c r="F227" s="2697" t="str">
        <f>'Saisie données stocks'!G64</f>
        <v>Sol buv</v>
      </c>
      <c r="G227" s="2697" t="str">
        <f>'Saisie données stocks'!H64</f>
        <v>20 mg/mL</v>
      </c>
      <c r="H227" s="2745" t="str">
        <f>CONCATENATE(E227, " - ", G227,"-",'TRAD-Calculs dispo Données FA'!$B$83, "/", K227, "mL")</f>
        <v>ABC - 20 mg/mL-Fl/240mL</v>
      </c>
      <c r="I227" s="2698"/>
      <c r="J227" s="2698"/>
      <c r="K227" s="2693">
        <f>'Saisie données stocks'!L64</f>
        <v>240</v>
      </c>
      <c r="L227" s="2746">
        <f>'Saisie données stocks'!M64</f>
        <v>1</v>
      </c>
      <c r="M227" s="2695">
        <f>IF('Saisie données stocks'!$O$10='TRAD-Saisie données stocks'!$B$51, 'Calculs Péremption FA'!BU52, Calculs!M307)+IF('Saisie données stocks'!$M$76='TRAD-Saisie données stocks'!$B$51, Calculs!N307, "0")+Calculs!P307</f>
        <v>0</v>
      </c>
      <c r="N227" s="2695">
        <f>Calculs!O198</f>
        <v>0</v>
      </c>
      <c r="O227" s="2695">
        <f>Calculs!N252</f>
        <v>0</v>
      </c>
      <c r="P227"/>
      <c r="Q227" s="231" t="e">
        <f>IF(Calculs!N252&gt;0, (-(Calculs!N252+2*Calculs!O198)+SQRT((Calculs!N252+2*Calculs!O198)*(Calculs!N252+2*Calculs!O198)+8*Calculs!N252*(M227)))/(2*Calculs!N252), ((M227)/Calculs!O198))</f>
        <v>#DIV/0!</v>
      </c>
      <c r="R227" s="236" t="e">
        <f>Q227-Paramétrage!$D$29</f>
        <v>#DIV/0!</v>
      </c>
      <c r="S227" s="241" t="e">
        <f>IF(Q227&lt;Paramétrage!$D$29, Q227, Paramétrage!$D$29)</f>
        <v>#DIV/0!</v>
      </c>
      <c r="T227" s="247" t="e">
        <f>Paramétrage!$H$19+R227*(365/12)</f>
        <v>#DIV/0!</v>
      </c>
      <c r="U227" s="248" t="e">
        <f>IF(Q227&lt;Paramétrage!$D$29, Paramétrage!$H$19+S227*(365/12), Paramétrage!$H$19+Q227*(365/12))</f>
        <v>#DIV/0!</v>
      </c>
      <c r="W227" s="231" t="str">
        <f t="shared" si="42"/>
        <v/>
      </c>
      <c r="X227" s="236" t="str">
        <f t="shared" si="43"/>
        <v/>
      </c>
      <c r="Y227" s="425" t="str">
        <f t="shared" si="44"/>
        <v/>
      </c>
      <c r="Z227" s="247" t="str">
        <f t="shared" si="45"/>
        <v/>
      </c>
      <c r="AA227" s="248" t="str">
        <f t="shared" si="46"/>
        <v/>
      </c>
      <c r="AC227" s="231" t="e">
        <f t="shared" si="47"/>
        <v>#DIV/0!</v>
      </c>
      <c r="AD227" s="236" t="e">
        <f>AC227-Paramétrage!$D$29</f>
        <v>#DIV/0!</v>
      </c>
      <c r="AE227" s="241" t="e">
        <f>IF(AC227&lt;Paramétrage!$D$29, AC227, Paramétrage!$D$29)</f>
        <v>#DIV/0!</v>
      </c>
      <c r="AF227" s="241" t="e">
        <f t="shared" si="48"/>
        <v>#VALUE!</v>
      </c>
      <c r="AG227" s="247" t="e">
        <f>Paramétrage!$H$19+AD227*30</f>
        <v>#DIV/0!</v>
      </c>
      <c r="AH227" s="248" t="e">
        <f>IF(AC227&lt;Paramétrage!$D$29, Paramétrage!$H$19+AE227*30, Paramétrage!$H$19+AC227*30)</f>
        <v>#DIV/0!</v>
      </c>
      <c r="AI227" s="247">
        <f>'Saisie données stocks'!O185</f>
        <v>0</v>
      </c>
      <c r="AJ227" s="1832" t="str">
        <f>IF(ISERROR(Q227), "0", IF('Saisie données stocks'!O185="", "0", IF(U170&gt;'Saisie données stocks'!$N$14, IF(AI227&gt;(Paramétrage!$H$19+'Saisie données stocks'!$N$14*(365/12)), (AI227-(Paramétrage!$H$19+'Saisie données stocks'!$N$14*(365/12)))/(365/12), IF(AI227&gt;U170, (AI227-U170)/(365/12), "0")))))</f>
        <v>0</v>
      </c>
      <c r="AK227" s="236" t="str">
        <f>IF(ISERROR(Q170),"0", IF(Q170=0, "0", IF(Q170&gt;'Calculs Péremption FA'!$CB52, 'Calculs Péremption FA'!$CB52, Q170)))</f>
        <v>0</v>
      </c>
      <c r="AL227" s="241" t="str">
        <f>IF(ISERROR(AC227),"0", IF(AC227=0, "0", IF(AC227&gt;'Saisie données stocks'!$N$14, 'Saisie données stocks'!$N$14, AC227)))</f>
        <v>0</v>
      </c>
      <c r="AM227" s="248" t="str">
        <f>IF(ISERROR(Q227),AA227,IF(Calculs!P307=0,IF(Q170&gt;='Calculs Péremption conso'!$CB52,IF(Q170&lt;'Saisie données stocks'!$N$14,CONCATENATE('TRAD-Calculs dispo Données FA'!$B$88, " - ",'Calculs Péremption conso'!$BY52,"/",'Calculs Péremption conso'!$BZ52,"/",'Calculs Péremption conso'!$CA52),'Calculs Péremption conso'!CC52),AA227),IF(AC227&gt;'Saisie données stocks'!$N$14, AI227+'Saisie données stocks'!$N$14*30, AA227+(AJ227*30))))</f>
        <v/>
      </c>
      <c r="AO227" s="231" t="str">
        <f>IF(ISERROR(AC227),"", IF(AC227=0, "", IF(AC227&gt;'Saisie données stocks'!$N$14, 'Saisie données stocks'!$N$14, AC227)))</f>
        <v/>
      </c>
      <c r="AP227" s="236" t="str">
        <f>IF(ISERROR(AC227),"", IF(AC227=0, "", IF(AC227&gt;'Calculs Péremption FA'!$CB52, 'Calculs Péremption FA'!$CB52-Paramétrage!$D$29, AD227)))</f>
        <v/>
      </c>
      <c r="AQ227" s="425" t="str">
        <f>IF(ISERROR(AC227),"", IF(AC227=0, "", IF(AC227&gt;'Calculs Péremption FA'!$CB52, Paramétrage!$D$29, AE227)))</f>
        <v/>
      </c>
      <c r="AR227" s="1833" t="str">
        <f t="shared" si="49"/>
        <v/>
      </c>
      <c r="AS227" s="247" t="str">
        <f>IF(ISERROR(AC227),"", IF(AC227=0, "", IF(AC227&gt;'Calculs Péremption FA'!$CB52, 'Calculs Péremption FA'!$BX52-Paramétrage!$D$29*(365/12), AG227)))</f>
        <v/>
      </c>
      <c r="AT227" s="248" t="str">
        <f>IF(ISERROR(AC227),"", IF(AC227=0, "", IF(AC227&gt;'Calculs Péremption FA'!$CB52, CONCATENATE('TRAD-Calculs dispo Données FA'!$B$88, " - ", 'Calculs Péremption FA'!$BY52, "/", 'Calculs Péremption FA'!$BZ52, "/", 'Calculs Péremption FA'!$CA52), AH227)))</f>
        <v/>
      </c>
      <c r="AV227" s="231" t="e">
        <f>(Calculs!Q307)/Calculs!O198</f>
        <v>#DIV/0!</v>
      </c>
      <c r="AW227" s="236" t="e">
        <f>AV227-Paramétrage!$D$29</f>
        <v>#DIV/0!</v>
      </c>
      <c r="AX227" s="241" t="e">
        <f>IF(AV227&lt;Paramétrage!$D$29, AV227, Paramétrage!$D$29)</f>
        <v>#DIV/0!</v>
      </c>
      <c r="AY227" s="247" t="e">
        <f>Paramétrage!$H$19+AW227*30</f>
        <v>#DIV/0!</v>
      </c>
      <c r="AZ227" s="248" t="e">
        <f>IF(AV227&lt;Paramétrage!$D$29, Paramétrage!$H$19+AX227*(365/12), Paramétrage!$H$19+AV227*(365/12))</f>
        <v>#DIV/0!</v>
      </c>
      <c r="BB227" s="231" t="str">
        <f>IF(ISERROR(AV227),"", IF(AV227=0, "", IF(AV227&gt;'Calculs Péremption FA'!$CB52, 'Calculs Péremption FA'!$CB52, AV227)))</f>
        <v/>
      </c>
      <c r="BC227" s="236" t="str">
        <f>IF(ISERROR(AV227),"", IF(AV227=0, "", IF(AV227&gt;'Calculs Péremption FA'!$CB52, 'Calculs Péremption FA'!$CB52-Paramétrage!$D$29, AW227)))</f>
        <v/>
      </c>
      <c r="BD227" s="425" t="str">
        <f>IF(ISERROR(AV227),"", IF(AV227=0, "", IF(AV227&gt;'Calculs Péremption FA'!$CB52, Paramétrage!$D$29, AX227)))</f>
        <v/>
      </c>
      <c r="BE227" s="247" t="str">
        <f>IF(ISERROR(AV227),"", IF(AV227=0, "", IF(AV227&gt;'Calculs Péremption FA'!$CB52, 'Calculs Péremption FA'!$BX52-Paramétrage!$D$29*(365/12), AY227)))</f>
        <v/>
      </c>
      <c r="BF227" s="248" t="str">
        <f>IF(ISERROR(AV227),"", IF(AV227=0, "", IF(AV227&gt;'Calculs Péremption FA'!$CB52, CONCATENATE('TRAD-Calculs dispo Données FA'!$B$88, " - ", 'Calculs Péremption FA'!$BY52, "/", 'Calculs Péremption FA'!$BZ52, "/", 'Calculs Péremption FA'!$CA52), AZ227)))</f>
        <v/>
      </c>
      <c r="BH227" s="231" t="e">
        <f t="shared" si="50"/>
        <v>#DIV/0!</v>
      </c>
      <c r="BI227" s="236" t="e">
        <f>BH227-Paramétrage!$D$29</f>
        <v>#DIV/0!</v>
      </c>
      <c r="BJ227" s="241" t="e">
        <f>IF(BH227&lt;Paramétrage!$D$29, BH227, Paramétrage!$D$29)</f>
        <v>#DIV/0!</v>
      </c>
      <c r="BK227" s="241" t="e">
        <f t="shared" si="51"/>
        <v>#DIV/0!</v>
      </c>
      <c r="BL227" s="247" t="e">
        <f>Paramétrage!$H$19+BI227*(365/12)</f>
        <v>#DIV/0!</v>
      </c>
      <c r="BM227" s="248" t="e">
        <f>IF(BH227&lt;Paramétrage!$D$29, Paramétrage!$H$19+BJ227*(365/12), Paramétrage!$H$19+BH227*(365/12))</f>
        <v>#DIV/0!</v>
      </c>
      <c r="BO227" s="231" t="str">
        <f>IF(ISERROR(BH227),"", IF(BH227=0, "", IF(BH227&gt;'Calculs Péremption FA'!$CB52, 'Calculs Péremption FA'!$CB52, BH227)))</f>
        <v/>
      </c>
      <c r="BP227" s="236" t="str">
        <f>IF(ISERROR(BH227),"", IF(BH227=0, "", IF(BH227&gt;'Calculs Péremption FA'!$CB52, 'Calculs Péremption FA'!$CB52-Paramétrage!$D$29, BI227)))</f>
        <v/>
      </c>
      <c r="BQ227" s="425" t="str">
        <f>IF(ISERROR(BH227),"", IF(BH227=0, "", IF(BH227&gt;'Calculs Péremption FA'!$CB52, Paramétrage!$D$29, BJ227)))</f>
        <v/>
      </c>
      <c r="BR227" s="1833" t="str">
        <f t="shared" si="52"/>
        <v/>
      </c>
      <c r="BS227" s="247" t="str">
        <f>IF(ISERROR(BH227),"", IF(BH227=0, "", IF(BH227&gt;'Calculs Péremption FA'!$CB52, 'Calculs Péremption FA'!$BX52-Paramétrage!$D$29*(365/12), BL227)))</f>
        <v/>
      </c>
      <c r="BT227" s="248" t="str">
        <f>IF(ISERROR(BH227),"", IF(BH227=0, "", IF(BH227&gt;'Calculs Péremption FA'!$CB52, CONCATENATE('TRAD-Calculs dispo Données FA'!$B$88, " - ", 'Calculs Péremption FA'!$BY52, "/", 'Calculs Péremption FA'!$BZ52, "/", 'Calculs Péremption FA'!$CA52), BM227)))</f>
        <v/>
      </c>
      <c r="BV227" s="2061">
        <f>Calculs!$Q307</f>
        <v>0</v>
      </c>
      <c r="BW227" s="2062">
        <f>Calculs!$O198</f>
        <v>0</v>
      </c>
      <c r="BX227" s="2068">
        <f>Calculs!$N252</f>
        <v>0</v>
      </c>
      <c r="BY227" s="2070" t="str">
        <f>IF(AND(BX227=0, BV227=0, BW227=0), 'TRAD-Calculs dispo Données FA'!$B$82, "")</f>
        <v>Stock et besoin nul</v>
      </c>
      <c r="BZ227" s="2062" t="str">
        <f>IF(AND(BX227=0, BV227&gt;0, BW227=0), CONCATENATE(BV227,'TRAD-Calculs dispo Données FA'!$B$80," =0"), "")</f>
        <v/>
      </c>
      <c r="CA227" s="2063" t="str">
        <f>IF(AND(BV227=0, OR(BW227&gt;=1, BX227&gt;=1)),'TRAD-Calculs dispo Données FA'!$B$81, "")</f>
        <v/>
      </c>
    </row>
    <row r="228" spans="3:79" s="358" customFormat="1" ht="25.5" x14ac:dyDescent="0.2">
      <c r="C228" s="2687"/>
      <c r="D228" s="2717"/>
      <c r="E228" s="2718" t="str">
        <f>'Saisie données stocks'!F65</f>
        <v>DDI</v>
      </c>
      <c r="F228" s="2719" t="str">
        <f>'Saisie données stocks'!G65</f>
        <v>Poudre buvable</v>
      </c>
      <c r="G228" s="2719" t="str">
        <f>'Saisie données stocks'!H65</f>
        <v>2 g</v>
      </c>
      <c r="H228" s="2750" t="str">
        <f>CONCATENATE(E228, " - ", G228,"-",'TRAD-Calculs dispo Données FA'!$B$83, "/", K228, "mL")</f>
        <v>DDI - 2 g-Fl/200mL</v>
      </c>
      <c r="I228" s="2726"/>
      <c r="J228" s="2726"/>
      <c r="K228" s="2723">
        <f>'Saisie données stocks'!L65</f>
        <v>200</v>
      </c>
      <c r="L228" s="2751">
        <f>'Saisie données stocks'!M65</f>
        <v>1</v>
      </c>
      <c r="M228" s="2725">
        <f>IF('Saisie données stocks'!$O$10='TRAD-Saisie données stocks'!$B$51, 'Calculs Péremption FA'!BU53, Calculs!M308)+IF('Saisie données stocks'!$M$76='TRAD-Saisie données stocks'!$B$51, Calculs!N308, "0")+Calculs!P308</f>
        <v>0</v>
      </c>
      <c r="N228" s="2725">
        <f>Calculs!O199</f>
        <v>0</v>
      </c>
      <c r="O228" s="2725">
        <f>Calculs!N253</f>
        <v>0</v>
      </c>
      <c r="P228"/>
      <c r="Q228" s="233" t="e">
        <f>IF(Calculs!N253&gt;0, (-(Calculs!N253+2*Calculs!O199)+SQRT((Calculs!N253+2*Calculs!O199)*(Calculs!N253+2*Calculs!O199)+8*Calculs!N253*(M228)))/(2*Calculs!N253), ((M228)/Calculs!O199))</f>
        <v>#DIV/0!</v>
      </c>
      <c r="R228" s="1858" t="e">
        <f>Q228-Paramétrage!$D$29</f>
        <v>#DIV/0!</v>
      </c>
      <c r="S228" s="1856" t="e">
        <f>IF(Q228&lt;Paramétrage!$D$29, Q228, Paramétrage!$D$29)</f>
        <v>#DIV/0!</v>
      </c>
      <c r="T228" s="1857" t="e">
        <f>Paramétrage!$H$19+R228*(365/12)</f>
        <v>#DIV/0!</v>
      </c>
      <c r="U228" s="252" t="e">
        <f>IF(Q228&lt;Paramétrage!$D$29, Paramétrage!$H$19+S228*(365/12), Paramétrage!$H$19+Q228*(365/12))</f>
        <v>#DIV/0!</v>
      </c>
      <c r="W228" s="233" t="str">
        <f t="shared" si="42"/>
        <v/>
      </c>
      <c r="X228" s="1858" t="str">
        <f t="shared" si="43"/>
        <v/>
      </c>
      <c r="Y228" s="427" t="str">
        <f t="shared" si="44"/>
        <v/>
      </c>
      <c r="Z228" s="1857" t="str">
        <f t="shared" si="45"/>
        <v/>
      </c>
      <c r="AA228" s="252" t="str">
        <f t="shared" si="46"/>
        <v/>
      </c>
      <c r="AC228" s="233" t="e">
        <f t="shared" si="47"/>
        <v>#DIV/0!</v>
      </c>
      <c r="AD228" s="1858" t="e">
        <f>AC228-Paramétrage!$D$29</f>
        <v>#DIV/0!</v>
      </c>
      <c r="AE228" s="1856" t="e">
        <f>IF(AC228&lt;Paramétrage!$D$29, AC228, Paramétrage!$D$29)</f>
        <v>#DIV/0!</v>
      </c>
      <c r="AF228" s="1856" t="e">
        <f t="shared" si="48"/>
        <v>#VALUE!</v>
      </c>
      <c r="AG228" s="1857" t="e">
        <f>Paramétrage!$H$19+AD228*30</f>
        <v>#DIV/0!</v>
      </c>
      <c r="AH228" s="252" t="e">
        <f>IF(AC228&lt;Paramétrage!$D$29, Paramétrage!$H$19+AE228*30, Paramétrage!$H$19+AC228*30)</f>
        <v>#DIV/0!</v>
      </c>
      <c r="AI228" s="1857">
        <f>'Saisie données stocks'!O186</f>
        <v>0</v>
      </c>
      <c r="AJ228" s="1859" t="str">
        <f>IF(ISERROR(Q228), "0", IF('Saisie données stocks'!O186="", "0", IF(U171&gt;'Saisie données stocks'!$N$14, IF(AI228&gt;(Paramétrage!$H$19+'Saisie données stocks'!$N$14*(365/12)), (AI228-(Paramétrage!$H$19+'Saisie données stocks'!$N$14*(365/12)))/(365/12), IF(AI228&gt;U171, (AI228-U171)/(365/12), "0")))))</f>
        <v>0</v>
      </c>
      <c r="AK228" s="1858" t="str">
        <f>IF(ISERROR(Q171),"0", IF(Q171=0, "0", IF(Q171&gt;'Calculs Péremption FA'!$CB53, 'Calculs Péremption FA'!$CB53, Q171)))</f>
        <v>0</v>
      </c>
      <c r="AL228" s="1856" t="str">
        <f>IF(ISERROR(AC228),"0", IF(AC228=0, "0", IF(AC228&gt;'Saisie données stocks'!$N$14, 'Saisie données stocks'!$N$14, AC228)))</f>
        <v>0</v>
      </c>
      <c r="AM228" s="252" t="str">
        <f>IF(ISERROR(Q228),AA228,IF(Calculs!P308=0,IF(Q171&gt;='Calculs Péremption conso'!$CB53,IF(Q171&lt;'Saisie données stocks'!$N$14,CONCATENATE('TRAD-Calculs dispo Données FA'!$B$88, " - ",'Calculs Péremption conso'!$BY53,"/",'Calculs Péremption conso'!$BZ53,"/",'Calculs Péremption conso'!$CA53),'Calculs Péremption conso'!CC53),AA228),IF(AC228&gt;'Saisie données stocks'!$N$14, AI228+'Saisie données stocks'!$N$14*30, AA228+(AJ228*30))))</f>
        <v/>
      </c>
      <c r="AO228" s="233" t="str">
        <f>IF(ISERROR(AC228),"", IF(AC228=0, "", IF(AC228&gt;'Saisie données stocks'!$N$14, 'Saisie données stocks'!$N$14, AC228)))</f>
        <v/>
      </c>
      <c r="AP228" s="1858" t="str">
        <f>IF(ISERROR(AC228),"", IF(AC228=0, "", IF(AC228&gt;'Calculs Péremption FA'!$CB53, 'Calculs Péremption FA'!$CB53-Paramétrage!$D$29, AD228)))</f>
        <v/>
      </c>
      <c r="AQ228" s="427" t="str">
        <f>IF(ISERROR(AC228),"", IF(AC228=0, "", IF(AC228&gt;'Calculs Péremption FA'!$CB53, Paramétrage!$D$29, AE228)))</f>
        <v/>
      </c>
      <c r="AR228" s="1860" t="str">
        <f t="shared" si="49"/>
        <v/>
      </c>
      <c r="AS228" s="1857" t="str">
        <f>IF(ISERROR(AC228),"", IF(AC228=0, "", IF(AC228&gt;'Calculs Péremption FA'!$CB53, 'Calculs Péremption FA'!$BX53-Paramétrage!$D$29*(365/12), AG228)))</f>
        <v/>
      </c>
      <c r="AT228" s="252" t="str">
        <f>IF(ISERROR(AC228),"", IF(AC228=0, "", IF(AC228&gt;'Calculs Péremption FA'!$CB53, CONCATENATE('TRAD-Calculs dispo Données FA'!$B$88, " - ", 'Calculs Péremption FA'!$BY53, "/", 'Calculs Péremption FA'!$BZ53, "/", 'Calculs Péremption FA'!$CA53), AH228)))</f>
        <v/>
      </c>
      <c r="AV228" s="233" t="e">
        <f>(Calculs!Q308)/Calculs!O199</f>
        <v>#DIV/0!</v>
      </c>
      <c r="AW228" s="1858" t="e">
        <f>AV228-Paramétrage!$D$29</f>
        <v>#DIV/0!</v>
      </c>
      <c r="AX228" s="1856" t="e">
        <f>IF(AV228&lt;Paramétrage!$D$29, AV228, Paramétrage!$D$29)</f>
        <v>#DIV/0!</v>
      </c>
      <c r="AY228" s="1857" t="e">
        <f>Paramétrage!$H$19+AW228*30</f>
        <v>#DIV/0!</v>
      </c>
      <c r="AZ228" s="252" t="e">
        <f>IF(AV228&lt;Paramétrage!$D$29, Paramétrage!$H$19+AX228*(365/12), Paramétrage!$H$19+AV228*(365/12))</f>
        <v>#DIV/0!</v>
      </c>
      <c r="BB228" s="233" t="str">
        <f>IF(ISERROR(AV228),"", IF(AV228=0, "", IF(AV228&gt;'Calculs Péremption FA'!$CB53, 'Calculs Péremption FA'!$CB53, AV228)))</f>
        <v/>
      </c>
      <c r="BC228" s="1858" t="str">
        <f>IF(ISERROR(AV228),"", IF(AV228=0, "", IF(AV228&gt;'Calculs Péremption FA'!$CB53, 'Calculs Péremption FA'!$CB53-Paramétrage!$D$29, AW228)))</f>
        <v/>
      </c>
      <c r="BD228" s="427" t="str">
        <f>IF(ISERROR(AV228),"", IF(AV228=0, "", IF(AV228&gt;'Calculs Péremption FA'!$CB53, Paramétrage!$D$29, AX228)))</f>
        <v/>
      </c>
      <c r="BE228" s="1857" t="str">
        <f>IF(ISERROR(AV228),"", IF(AV228=0, "", IF(AV228&gt;'Calculs Péremption FA'!$CB53, 'Calculs Péremption FA'!$BX53-Paramétrage!$D$29*(365/12), AY228)))</f>
        <v/>
      </c>
      <c r="BF228" s="252" t="str">
        <f>IF(ISERROR(AV228),"", IF(AV228=0, "", IF(AV228&gt;'Calculs Péremption FA'!$CB53, CONCATENATE('TRAD-Calculs dispo Données FA'!$B$88, " - ", 'Calculs Péremption FA'!$BY53, "/", 'Calculs Péremption FA'!$BZ53, "/", 'Calculs Péremption FA'!$CA53), AZ228)))</f>
        <v/>
      </c>
      <c r="BH228" s="233" t="e">
        <f t="shared" si="50"/>
        <v>#DIV/0!</v>
      </c>
      <c r="BI228" s="1858" t="e">
        <f>BH228-Paramétrage!$D$29</f>
        <v>#DIV/0!</v>
      </c>
      <c r="BJ228" s="1856" t="e">
        <f>IF(BH228&lt;Paramétrage!$D$29, BH228, Paramétrage!$D$29)</f>
        <v>#DIV/0!</v>
      </c>
      <c r="BK228" s="1856" t="e">
        <f t="shared" si="51"/>
        <v>#DIV/0!</v>
      </c>
      <c r="BL228" s="1857" t="e">
        <f>Paramétrage!$H$19+BI228*(365/12)</f>
        <v>#DIV/0!</v>
      </c>
      <c r="BM228" s="252" t="e">
        <f>IF(BH228&lt;Paramétrage!$D$29, Paramétrage!$H$19+BJ228*(365/12), Paramétrage!$H$19+BH228*(365/12))</f>
        <v>#DIV/0!</v>
      </c>
      <c r="BO228" s="233" t="str">
        <f>IF(ISERROR(BH228),"", IF(BH228=0, "", IF(BH228&gt;'Calculs Péremption FA'!$CB53, 'Calculs Péremption FA'!$CB53, BH228)))</f>
        <v/>
      </c>
      <c r="BP228" s="1858" t="str">
        <f>IF(ISERROR(BH228),"", IF(BH228=0, "", IF(BH228&gt;'Calculs Péremption FA'!$CB53, 'Calculs Péremption FA'!$CB53-Paramétrage!$D$29, BI228)))</f>
        <v/>
      </c>
      <c r="BQ228" s="427" t="str">
        <f>IF(ISERROR(BH228),"", IF(BH228=0, "", IF(BH228&gt;'Calculs Péremption FA'!$CB53, Paramétrage!$D$29, BJ228)))</f>
        <v/>
      </c>
      <c r="BR228" s="1860" t="str">
        <f t="shared" si="52"/>
        <v/>
      </c>
      <c r="BS228" s="1857" t="str">
        <f>IF(ISERROR(BH228),"", IF(BH228=0, "", IF(BH228&gt;'Calculs Péremption FA'!$CB53, 'Calculs Péremption FA'!$BX53-Paramétrage!$D$29*(365/12), BL228)))</f>
        <v/>
      </c>
      <c r="BT228" s="252" t="str">
        <f>IF(ISERROR(BH228),"", IF(BH228=0, "", IF(BH228&gt;'Calculs Péremption FA'!$CB53, CONCATENATE('TRAD-Calculs dispo Données FA'!$B$88, " - ", 'Calculs Péremption FA'!$BY53, "/", 'Calculs Péremption FA'!$BZ53, "/", 'Calculs Péremption FA'!$CA53), BM228)))</f>
        <v/>
      </c>
      <c r="BV228" s="2061">
        <f>Calculs!$Q308</f>
        <v>0</v>
      </c>
      <c r="BW228" s="2062">
        <f>Calculs!$O199</f>
        <v>0</v>
      </c>
      <c r="BX228" s="2068">
        <f>Calculs!$N253</f>
        <v>0</v>
      </c>
      <c r="BY228" s="2070" t="str">
        <f>IF(AND(BX228=0, BV228=0, BW228=0), 'TRAD-Calculs dispo Données FA'!$B$82, "")</f>
        <v>Stock et besoin nul</v>
      </c>
      <c r="BZ228" s="2062" t="str">
        <f>IF(AND(BX228=0, BV228&gt;0, BW228=0), CONCATENATE(BV228,'TRAD-Calculs dispo Données FA'!$B$80," =0"), "")</f>
        <v/>
      </c>
      <c r="CA228" s="2063" t="str">
        <f>IF(AND(BV228=0, OR(BW228&gt;=1, BX228&gt;=1)),'TRAD-Calculs dispo Données FA'!$B$81, "")</f>
        <v/>
      </c>
    </row>
    <row r="229" spans="3:79" s="358" customFormat="1" ht="25.5" x14ac:dyDescent="0.2">
      <c r="C229" s="2687"/>
      <c r="D229" s="2688" t="s">
        <v>26</v>
      </c>
      <c r="E229" s="2696" t="str">
        <f>'Saisie données stocks'!F66</f>
        <v>NVP</v>
      </c>
      <c r="F229" s="2697" t="str">
        <f>'Saisie données stocks'!G66</f>
        <v>Sol buv</v>
      </c>
      <c r="G229" s="2697" t="str">
        <f>'Saisie données stocks'!H66</f>
        <v>10 mg/mL</v>
      </c>
      <c r="H229" s="2745" t="str">
        <f>CONCATENATE(E229, " - ", G229,"-",'TRAD-Calculs dispo Données FA'!$B$83, "/", K229, "mL")</f>
        <v>NVP - 10 mg/mL-Fl/240mL</v>
      </c>
      <c r="I229" s="2698"/>
      <c r="J229" s="2698"/>
      <c r="K229" s="2693">
        <f>'Saisie données stocks'!L66</f>
        <v>240</v>
      </c>
      <c r="L229" s="2746">
        <f>'Saisie données stocks'!M66</f>
        <v>1</v>
      </c>
      <c r="M229" s="2695">
        <f>IF('Saisie données stocks'!$O$10='TRAD-Saisie données stocks'!$B$51, 'Calculs Péremption FA'!BU54, Calculs!M309)+IF('Saisie données stocks'!$M$76='TRAD-Saisie données stocks'!$B$51, Calculs!N309, "0")+Calculs!P309</f>
        <v>0</v>
      </c>
      <c r="N229" s="2695">
        <f>Calculs!O200</f>
        <v>0</v>
      </c>
      <c r="O229" s="2695">
        <f>Calculs!N254</f>
        <v>0</v>
      </c>
      <c r="P229"/>
      <c r="Q229" s="231" t="e">
        <f>IF(Calculs!N254&gt;0, (-(Calculs!N254+2*Calculs!O200)+SQRT((Calculs!N254+2*Calculs!O200)*(Calculs!N254+2*Calculs!O200)+8*Calculs!N254*(M229)))/(2*Calculs!N254), ((M229)/Calculs!O200))</f>
        <v>#DIV/0!</v>
      </c>
      <c r="R229" s="236" t="e">
        <f>Q229-Paramétrage!$D$29</f>
        <v>#DIV/0!</v>
      </c>
      <c r="S229" s="241" t="e">
        <f>IF(Q229&lt;Paramétrage!$D$29, Q229, Paramétrage!$D$29)</f>
        <v>#DIV/0!</v>
      </c>
      <c r="T229" s="247" t="e">
        <f>Paramétrage!$H$19+R229*(365/12)</f>
        <v>#DIV/0!</v>
      </c>
      <c r="U229" s="248" t="e">
        <f>IF(Q229&lt;Paramétrage!$D$29, Paramétrage!$H$19+S229*(365/12), Paramétrage!$H$19+Q229*(365/12))</f>
        <v>#DIV/0!</v>
      </c>
      <c r="W229" s="231" t="str">
        <f t="shared" si="42"/>
        <v/>
      </c>
      <c r="X229" s="236" t="str">
        <f t="shared" si="43"/>
        <v/>
      </c>
      <c r="Y229" s="425" t="str">
        <f t="shared" si="44"/>
        <v/>
      </c>
      <c r="Z229" s="247" t="str">
        <f t="shared" si="45"/>
        <v/>
      </c>
      <c r="AA229" s="248" t="str">
        <f t="shared" si="46"/>
        <v>3990B &amp; conso =0</v>
      </c>
      <c r="AC229" s="231" t="e">
        <f t="shared" si="47"/>
        <v>#DIV/0!</v>
      </c>
      <c r="AD229" s="236" t="e">
        <f>AC229-Paramétrage!$D$29</f>
        <v>#DIV/0!</v>
      </c>
      <c r="AE229" s="241" t="e">
        <f>IF(AC229&lt;Paramétrage!$D$29, AC229, Paramétrage!$D$29)</f>
        <v>#DIV/0!</v>
      </c>
      <c r="AF229" s="241" t="e">
        <f t="shared" si="48"/>
        <v>#VALUE!</v>
      </c>
      <c r="AG229" s="247" t="e">
        <f>Paramétrage!$H$19+AD229*30</f>
        <v>#DIV/0!</v>
      </c>
      <c r="AH229" s="248" t="e">
        <f>IF(AC229&lt;Paramétrage!$D$29, Paramétrage!$H$19+AE229*30, Paramétrage!$H$19+AC229*30)</f>
        <v>#DIV/0!</v>
      </c>
      <c r="AI229" s="247">
        <f>'Saisie données stocks'!O187</f>
        <v>0</v>
      </c>
      <c r="AJ229" s="1832" t="str">
        <f>IF(ISERROR(Q229), "0", IF('Saisie données stocks'!O187="", "0", IF(U172&gt;'Saisie données stocks'!$N$14, IF(AI229&gt;(Paramétrage!$H$19+'Saisie données stocks'!$N$14*(365/12)), (AI229-(Paramétrage!$H$19+'Saisie données stocks'!$N$14*(365/12)))/(365/12), IF(AI229&gt;U172, (AI229-U172)/(365/12), "0")))))</f>
        <v>0</v>
      </c>
      <c r="AK229" s="236" t="str">
        <f>IF(ISERROR(Q172),"0", IF(Q172=0, "0", IF(Q172&gt;'Calculs Péremption FA'!$CB54, 'Calculs Péremption FA'!$CB54, Q172)))</f>
        <v>0</v>
      </c>
      <c r="AL229" s="241" t="str">
        <f>IF(ISERROR(AC229),"0", IF(AC229=0, "0", IF(AC229&gt;'Saisie données stocks'!$N$14, 'Saisie données stocks'!$N$14, AC229)))</f>
        <v>0</v>
      </c>
      <c r="AM229" s="248" t="str">
        <f>IF(ISERROR(Q229),AA229,IF(Calculs!P309=0,IF(Q172&gt;='Calculs Péremption conso'!$CB54,IF(Q172&lt;'Saisie données stocks'!$N$14,CONCATENATE('TRAD-Calculs dispo Données FA'!$B$88, " - ",'Calculs Péremption conso'!$BY54,"/",'Calculs Péremption conso'!$BZ54,"/",'Calculs Péremption conso'!$CA54),'Calculs Péremption conso'!CC54),AA229),IF(AC229&gt;'Saisie données stocks'!$N$14, AI229+'Saisie données stocks'!$N$14*30, AA229+(AJ229*30))))</f>
        <v>3990B &amp; conso =0</v>
      </c>
      <c r="AO229" s="231" t="str">
        <f>IF(ISERROR(AC229),"", IF(AC229=0, "", IF(AC229&gt;'Saisie données stocks'!$N$14, 'Saisie données stocks'!$N$14, AC229)))</f>
        <v/>
      </c>
      <c r="AP229" s="236" t="str">
        <f>IF(ISERROR(AC229),"", IF(AC229=0, "", IF(AC229&gt;'Calculs Péremption FA'!$CB54, 'Calculs Péremption FA'!$CB54-Paramétrage!$D$29, AD229)))</f>
        <v/>
      </c>
      <c r="AQ229" s="425" t="str">
        <f>IF(ISERROR(AC229),"", IF(AC229=0, "", IF(AC229&gt;'Calculs Péremption FA'!$CB54, Paramétrage!$D$29, AE229)))</f>
        <v/>
      </c>
      <c r="AR229" s="1833" t="str">
        <f t="shared" si="49"/>
        <v/>
      </c>
      <c r="AS229" s="247" t="str">
        <f>IF(ISERROR(AC229),"", IF(AC229=0, "", IF(AC229&gt;'Calculs Péremption FA'!$CB54, 'Calculs Péremption FA'!$BX54-Paramétrage!$D$29*(365/12), AG229)))</f>
        <v/>
      </c>
      <c r="AT229" s="248" t="str">
        <f>IF(ISERROR(AC229),"", IF(AC229=0, "", IF(AC229&gt;'Calculs Péremption FA'!$CB54, CONCATENATE('TRAD-Calculs dispo Données FA'!$B$88, " - ", 'Calculs Péremption FA'!$BY54, "/", 'Calculs Péremption FA'!$BZ54, "/", 'Calculs Péremption FA'!$CA54), AH229)))</f>
        <v/>
      </c>
      <c r="AV229" s="231" t="e">
        <f>(Calculs!Q309)/Calculs!O200</f>
        <v>#DIV/0!</v>
      </c>
      <c r="AW229" s="236" t="e">
        <f>AV229-Paramétrage!$D$29</f>
        <v>#DIV/0!</v>
      </c>
      <c r="AX229" s="241" t="e">
        <f>IF(AV229&lt;Paramétrage!$D$29, AV229, Paramétrage!$D$29)</f>
        <v>#DIV/0!</v>
      </c>
      <c r="AY229" s="247" t="e">
        <f>Paramétrage!$H$19+AW229*30</f>
        <v>#DIV/0!</v>
      </c>
      <c r="AZ229" s="248" t="e">
        <f>IF(AV229&lt;Paramétrage!$D$29, Paramétrage!$H$19+AX229*(365/12), Paramétrage!$H$19+AV229*(365/12))</f>
        <v>#DIV/0!</v>
      </c>
      <c r="BB229" s="231" t="str">
        <f>IF(ISERROR(AV229),"", IF(AV229=0, "", IF(AV229&gt;'Calculs Péremption FA'!$CB54, 'Calculs Péremption FA'!$CB54, AV229)))</f>
        <v/>
      </c>
      <c r="BC229" s="236" t="str">
        <f>IF(ISERROR(AV229),"", IF(AV229=0, "", IF(AV229&gt;'Calculs Péremption FA'!$CB54, 'Calculs Péremption FA'!$CB54-Paramétrage!$D$29, AW229)))</f>
        <v/>
      </c>
      <c r="BD229" s="425" t="str">
        <f>IF(ISERROR(AV229),"", IF(AV229=0, "", IF(AV229&gt;'Calculs Péremption FA'!$CB54, Paramétrage!$D$29, AX229)))</f>
        <v/>
      </c>
      <c r="BE229" s="247" t="str">
        <f>IF(ISERROR(AV229),"", IF(AV229=0, "", IF(AV229&gt;'Calculs Péremption FA'!$CB54, 'Calculs Péremption FA'!$BX54-Paramétrage!$D$29*(365/12), AY229)))</f>
        <v/>
      </c>
      <c r="BF229" s="248" t="str">
        <f>IF(ISERROR(AV229),"", IF(AV229=0, "", IF(AV229&gt;'Calculs Péremption FA'!$CB54, CONCATENATE('TRAD-Calculs dispo Données FA'!$B$88, " - ", 'Calculs Péremption FA'!$BY54, "/", 'Calculs Péremption FA'!$BZ54, "/", 'Calculs Péremption FA'!$CA54), AZ229)))</f>
        <v/>
      </c>
      <c r="BH229" s="231" t="e">
        <f t="shared" si="50"/>
        <v>#DIV/0!</v>
      </c>
      <c r="BI229" s="236" t="e">
        <f>BH229-Paramétrage!$D$29</f>
        <v>#DIV/0!</v>
      </c>
      <c r="BJ229" s="241" t="e">
        <f>IF(BH229&lt;Paramétrage!$D$29, BH229, Paramétrage!$D$29)</f>
        <v>#DIV/0!</v>
      </c>
      <c r="BK229" s="241" t="e">
        <f t="shared" si="51"/>
        <v>#DIV/0!</v>
      </c>
      <c r="BL229" s="247" t="e">
        <f>Paramétrage!$H$19+BI229*(365/12)</f>
        <v>#DIV/0!</v>
      </c>
      <c r="BM229" s="248" t="e">
        <f>IF(BH229&lt;Paramétrage!$D$29, Paramétrage!$H$19+BJ229*(365/12), Paramétrage!$H$19+BH229*(365/12))</f>
        <v>#DIV/0!</v>
      </c>
      <c r="BO229" s="231" t="str">
        <f>IF(ISERROR(BH229),"", IF(BH229=0, "", IF(BH229&gt;'Calculs Péremption FA'!$CB54, 'Calculs Péremption FA'!$CB54, BH229)))</f>
        <v/>
      </c>
      <c r="BP229" s="236" t="str">
        <f>IF(ISERROR(BH229),"", IF(BH229=0, "", IF(BH229&gt;'Calculs Péremption FA'!$CB54, 'Calculs Péremption FA'!$CB54-Paramétrage!$D$29, BI229)))</f>
        <v/>
      </c>
      <c r="BQ229" s="425" t="str">
        <f>IF(ISERROR(BH229),"", IF(BH229=0, "", IF(BH229&gt;'Calculs Péremption FA'!$CB54, Paramétrage!$D$29, BJ229)))</f>
        <v/>
      </c>
      <c r="BR229" s="1833" t="str">
        <f t="shared" si="52"/>
        <v/>
      </c>
      <c r="BS229" s="247" t="str">
        <f>IF(ISERROR(BH229),"", IF(BH229=0, "", IF(BH229&gt;'Calculs Péremption FA'!$CB54, 'Calculs Péremption FA'!$BX54-Paramétrage!$D$29*(365/12), BL229)))</f>
        <v/>
      </c>
      <c r="BT229" s="248" t="str">
        <f>IF(ISERROR(BH229),"", IF(BH229=0, "", IF(BH229&gt;'Calculs Péremption FA'!$CB54, CONCATENATE('TRAD-Calculs dispo Données FA'!$B$88, " - ", 'Calculs Péremption FA'!$BY54, "/", 'Calculs Péremption FA'!$BZ54, "/", 'Calculs Péremption FA'!$CA54), BM229)))</f>
        <v/>
      </c>
      <c r="BV229" s="2061">
        <f>Calculs!$Q309</f>
        <v>3990</v>
      </c>
      <c r="BW229" s="2062">
        <f>Calculs!$O200</f>
        <v>0</v>
      </c>
      <c r="BX229" s="2068">
        <f>Calculs!$N254</f>
        <v>0</v>
      </c>
      <c r="BY229" s="2070" t="str">
        <f>IF(AND(BX229=0, BV229=0, BW229=0), 'TRAD-Calculs dispo Données FA'!$B$82, "")</f>
        <v/>
      </c>
      <c r="BZ229" s="2062" t="str">
        <f>IF(AND(BX229=0, BV229&gt;0, BW229=0), CONCATENATE(BV229,'TRAD-Calculs dispo Données FA'!$B$80," =0"), "")</f>
        <v>3990B &amp; conso =0</v>
      </c>
      <c r="CA229" s="2063" t="str">
        <f>IF(AND(BV229=0, OR(BW229&gt;=1, BX229&gt;=1)),'TRAD-Calculs dispo Données FA'!$B$81, "")</f>
        <v/>
      </c>
    </row>
    <row r="230" spans="3:79" s="358" customFormat="1" ht="25.5" x14ac:dyDescent="0.2">
      <c r="C230" s="2687"/>
      <c r="D230" s="2717"/>
      <c r="E230" s="2718" t="str">
        <f>'Saisie données stocks'!F67</f>
        <v>EFV</v>
      </c>
      <c r="F230" s="2719" t="str">
        <f>'Saisie données stocks'!G67</f>
        <v>Sol buv</v>
      </c>
      <c r="G230" s="2719" t="str">
        <f>'Saisie données stocks'!H67</f>
        <v>30 mg/mL</v>
      </c>
      <c r="H230" s="2750" t="str">
        <f>CONCATENATE(E230, " - ", G230,"-",'TRAD-Calculs dispo Données FA'!$B$83, "/", K230, "mL")</f>
        <v>EFV - 30 mg/mL-Fl/180mL</v>
      </c>
      <c r="I230" s="2726"/>
      <c r="J230" s="2726"/>
      <c r="K230" s="2723">
        <f>'Saisie données stocks'!L67</f>
        <v>180</v>
      </c>
      <c r="L230" s="2751">
        <f>'Saisie données stocks'!M67</f>
        <v>1</v>
      </c>
      <c r="M230" s="2725">
        <f>IF('Saisie données stocks'!$O$10='TRAD-Saisie données stocks'!$B$51, 'Calculs Péremption FA'!BU55, Calculs!M310)+IF('Saisie données stocks'!$M$76='TRAD-Saisie données stocks'!$B$51, Calculs!N310, "0")+Calculs!P310</f>
        <v>0</v>
      </c>
      <c r="N230" s="2725">
        <f>Calculs!O201</f>
        <v>0</v>
      </c>
      <c r="O230" s="2725">
        <f>Calculs!N255</f>
        <v>0</v>
      </c>
      <c r="P230"/>
      <c r="Q230" s="233" t="e">
        <f>IF(Calculs!N255&gt;0, (-(Calculs!N255+2*Calculs!O201)+SQRT((Calculs!N255+2*Calculs!O201)*(Calculs!N255+2*Calculs!O201)+8*Calculs!N255*(M230)))/(2*Calculs!N255), ((M230)/Calculs!O201))</f>
        <v>#DIV/0!</v>
      </c>
      <c r="R230" s="1858" t="e">
        <f>Q230-Paramétrage!$D$29</f>
        <v>#DIV/0!</v>
      </c>
      <c r="S230" s="1856" t="e">
        <f>IF(Q230&lt;Paramétrage!$D$29, Q230, Paramétrage!$D$29)</f>
        <v>#DIV/0!</v>
      </c>
      <c r="T230" s="1857" t="e">
        <f>Paramétrage!$H$19+R230*(365/12)</f>
        <v>#DIV/0!</v>
      </c>
      <c r="U230" s="252" t="e">
        <f>IF(Q230&lt;Paramétrage!$D$29, Paramétrage!$H$19+S230*(365/12), Paramétrage!$H$19+Q230*(365/12))</f>
        <v>#DIV/0!</v>
      </c>
      <c r="W230" s="233" t="str">
        <f t="shared" si="42"/>
        <v/>
      </c>
      <c r="X230" s="1858" t="str">
        <f t="shared" si="43"/>
        <v/>
      </c>
      <c r="Y230" s="427" t="str">
        <f t="shared" si="44"/>
        <v/>
      </c>
      <c r="Z230" s="1857" t="str">
        <f t="shared" si="45"/>
        <v/>
      </c>
      <c r="AA230" s="252" t="str">
        <f t="shared" si="46"/>
        <v/>
      </c>
      <c r="AC230" s="233" t="e">
        <f t="shared" si="47"/>
        <v>#DIV/0!</v>
      </c>
      <c r="AD230" s="1858" t="e">
        <f>AC230-Paramétrage!$D$29</f>
        <v>#DIV/0!</v>
      </c>
      <c r="AE230" s="1856" t="e">
        <f>IF(AC230&lt;Paramétrage!$D$29, AC230, Paramétrage!$D$29)</f>
        <v>#DIV/0!</v>
      </c>
      <c r="AF230" s="1856" t="e">
        <f t="shared" si="48"/>
        <v>#VALUE!</v>
      </c>
      <c r="AG230" s="1857" t="e">
        <f>Paramétrage!$H$19+AD230*30</f>
        <v>#DIV/0!</v>
      </c>
      <c r="AH230" s="252" t="e">
        <f>IF(AC230&lt;Paramétrage!$D$29, Paramétrage!$H$19+AE230*30, Paramétrage!$H$19+AC230*30)</f>
        <v>#DIV/0!</v>
      </c>
      <c r="AI230" s="1857">
        <f>'Saisie données stocks'!O188</f>
        <v>0</v>
      </c>
      <c r="AJ230" s="1859" t="str">
        <f>IF(ISERROR(Q230), "0", IF('Saisie données stocks'!O188="", "0", IF(U173&gt;'Saisie données stocks'!$N$14, IF(AI230&gt;(Paramétrage!$H$19+'Saisie données stocks'!$N$14*(365/12)), (AI230-(Paramétrage!$H$19+'Saisie données stocks'!$N$14*(365/12)))/(365/12), IF(AI230&gt;U173, (AI230-U173)/(365/12), "0")))))</f>
        <v>0</v>
      </c>
      <c r="AK230" s="1858" t="str">
        <f>IF(ISERROR(Q173),"0", IF(Q173=0, "0", IF(Q173&gt;'Calculs Péremption FA'!$CB55, 'Calculs Péremption FA'!$CB55, Q173)))</f>
        <v>0</v>
      </c>
      <c r="AL230" s="1856" t="str">
        <f>IF(ISERROR(AC230),"0", IF(AC230=0, "0", IF(AC230&gt;'Saisie données stocks'!$N$14, 'Saisie données stocks'!$N$14, AC230)))</f>
        <v>0</v>
      </c>
      <c r="AM230" s="252" t="str">
        <f>IF(ISERROR(Q230),AA230,IF(Calculs!P310=0,IF(Q173&gt;='Calculs Péremption conso'!$CB55,IF(Q173&lt;'Saisie données stocks'!$N$14,CONCATENATE('TRAD-Calculs dispo Données FA'!$B$88, " - ",'Calculs Péremption conso'!$BY55,"/",'Calculs Péremption conso'!$BZ55,"/",'Calculs Péremption conso'!$CA55),'Calculs Péremption conso'!CC55),AA230),IF(AC230&gt;'Saisie données stocks'!$N$14, AI230+'Saisie données stocks'!$N$14*30, AA230+(AJ230*30))))</f>
        <v/>
      </c>
      <c r="AO230" s="233" t="str">
        <f>IF(ISERROR(AC230),"", IF(AC230=0, "", IF(AC230&gt;'Saisie données stocks'!$N$14, 'Saisie données stocks'!$N$14, AC230)))</f>
        <v/>
      </c>
      <c r="AP230" s="1858" t="str">
        <f>IF(ISERROR(AC230),"", IF(AC230=0, "", IF(AC230&gt;'Calculs Péremption FA'!$CB55, 'Calculs Péremption FA'!$CB55-Paramétrage!$D$29, AD230)))</f>
        <v/>
      </c>
      <c r="AQ230" s="427" t="str">
        <f>IF(ISERROR(AC230),"", IF(AC230=0, "", IF(AC230&gt;'Calculs Péremption FA'!$CB55, Paramétrage!$D$29, AE230)))</f>
        <v/>
      </c>
      <c r="AR230" s="1860" t="str">
        <f t="shared" si="49"/>
        <v/>
      </c>
      <c r="AS230" s="1857" t="str">
        <f>IF(ISERROR(AC230),"", IF(AC230=0, "", IF(AC230&gt;'Calculs Péremption FA'!$CB55, 'Calculs Péremption FA'!$BX55-Paramétrage!$D$29*(365/12), AG230)))</f>
        <v/>
      </c>
      <c r="AT230" s="252" t="str">
        <f>IF(ISERROR(AC230),"", IF(AC230=0, "", IF(AC230&gt;'Calculs Péremption FA'!$CB55, CONCATENATE('TRAD-Calculs dispo Données FA'!$B$88, " - ", 'Calculs Péremption FA'!$BY55, "/", 'Calculs Péremption FA'!$BZ55, "/", 'Calculs Péremption FA'!$CA55), AH230)))</f>
        <v/>
      </c>
      <c r="AV230" s="233" t="e">
        <f>(Calculs!Q310)/Calculs!O201</f>
        <v>#DIV/0!</v>
      </c>
      <c r="AW230" s="1858" t="e">
        <f>AV230-Paramétrage!$D$29</f>
        <v>#DIV/0!</v>
      </c>
      <c r="AX230" s="1856" t="e">
        <f>IF(AV230&lt;Paramétrage!$D$29, AV230, Paramétrage!$D$29)</f>
        <v>#DIV/0!</v>
      </c>
      <c r="AY230" s="1857" t="e">
        <f>Paramétrage!$H$19+AW230*30</f>
        <v>#DIV/0!</v>
      </c>
      <c r="AZ230" s="252" t="e">
        <f>IF(AV230&lt;Paramétrage!$D$29, Paramétrage!$H$19+AX230*(365/12), Paramétrage!$H$19+AV230*(365/12))</f>
        <v>#DIV/0!</v>
      </c>
      <c r="BB230" s="233" t="str">
        <f>IF(ISERROR(AV230),"", IF(AV230=0, "", IF(AV230&gt;'Calculs Péremption FA'!$CB55, 'Calculs Péremption FA'!$CB55, AV230)))</f>
        <v/>
      </c>
      <c r="BC230" s="1858" t="str">
        <f>IF(ISERROR(AV230),"", IF(AV230=0, "", IF(AV230&gt;'Calculs Péremption FA'!$CB55, 'Calculs Péremption FA'!$CB55-Paramétrage!$D$29, AW230)))</f>
        <v/>
      </c>
      <c r="BD230" s="427" t="str">
        <f>IF(ISERROR(AV230),"", IF(AV230=0, "", IF(AV230&gt;'Calculs Péremption FA'!$CB55, Paramétrage!$D$29, AX230)))</f>
        <v/>
      </c>
      <c r="BE230" s="1857" t="str">
        <f>IF(ISERROR(AV230),"", IF(AV230=0, "", IF(AV230&gt;'Calculs Péremption FA'!$CB55, 'Calculs Péremption FA'!$BX55-Paramétrage!$D$29*(365/12), AY230)))</f>
        <v/>
      </c>
      <c r="BF230" s="252" t="str">
        <f>IF(ISERROR(AV230),"", IF(AV230=0, "", IF(AV230&gt;'Calculs Péremption FA'!$CB55, CONCATENATE('TRAD-Calculs dispo Données FA'!$B$88, " - ", 'Calculs Péremption FA'!$BY55, "/", 'Calculs Péremption FA'!$BZ55, "/", 'Calculs Péremption FA'!$CA55), AZ230)))</f>
        <v/>
      </c>
      <c r="BH230" s="233" t="e">
        <f t="shared" si="50"/>
        <v>#DIV/0!</v>
      </c>
      <c r="BI230" s="1858" t="e">
        <f>BH230-Paramétrage!$D$29</f>
        <v>#DIV/0!</v>
      </c>
      <c r="BJ230" s="1856" t="e">
        <f>IF(BH230&lt;Paramétrage!$D$29, BH230, Paramétrage!$D$29)</f>
        <v>#DIV/0!</v>
      </c>
      <c r="BK230" s="1856" t="e">
        <f t="shared" si="51"/>
        <v>#DIV/0!</v>
      </c>
      <c r="BL230" s="1857" t="e">
        <f>Paramétrage!$H$19+BI230*(365/12)</f>
        <v>#DIV/0!</v>
      </c>
      <c r="BM230" s="252" t="e">
        <f>IF(BH230&lt;Paramétrage!$D$29, Paramétrage!$H$19+BJ230*(365/12), Paramétrage!$H$19+BH230*(365/12))</f>
        <v>#DIV/0!</v>
      </c>
      <c r="BO230" s="233" t="str">
        <f>IF(ISERROR(BH230),"", IF(BH230=0, "", IF(BH230&gt;'Calculs Péremption FA'!$CB55, 'Calculs Péremption FA'!$CB55, BH230)))</f>
        <v/>
      </c>
      <c r="BP230" s="1858" t="str">
        <f>IF(ISERROR(BH230),"", IF(BH230=0, "", IF(BH230&gt;'Calculs Péremption FA'!$CB55, 'Calculs Péremption FA'!$CB55-Paramétrage!$D$29, BI230)))</f>
        <v/>
      </c>
      <c r="BQ230" s="427" t="str">
        <f>IF(ISERROR(BH230),"", IF(BH230=0, "", IF(BH230&gt;'Calculs Péremption FA'!$CB55, Paramétrage!$D$29, BJ230)))</f>
        <v/>
      </c>
      <c r="BR230" s="1860" t="str">
        <f t="shared" si="52"/>
        <v/>
      </c>
      <c r="BS230" s="1857" t="str">
        <f>IF(ISERROR(BH230),"", IF(BH230=0, "", IF(BH230&gt;'Calculs Péremption FA'!$CB55, 'Calculs Péremption FA'!$BX55-Paramétrage!$D$29*(365/12), BL230)))</f>
        <v/>
      </c>
      <c r="BT230" s="252" t="str">
        <f>IF(ISERROR(BH230),"", IF(BH230=0, "", IF(BH230&gt;'Calculs Péremption FA'!$CB55, CONCATENATE('TRAD-Calculs dispo Données FA'!$B$88, " - ", 'Calculs Péremption FA'!$BY55, "/", 'Calculs Péremption FA'!$BZ55, "/", 'Calculs Péremption FA'!$CA55), BM230)))</f>
        <v/>
      </c>
      <c r="BV230" s="2061">
        <f>Calculs!$Q310</f>
        <v>0</v>
      </c>
      <c r="BW230" s="2062">
        <f>Calculs!$O201</f>
        <v>0</v>
      </c>
      <c r="BX230" s="2068">
        <f>Calculs!$N255</f>
        <v>0</v>
      </c>
      <c r="BY230" s="2070" t="str">
        <f>IF(AND(BX230=0, BV230=0, BW230=0), 'TRAD-Calculs dispo Données FA'!$B$82, "")</f>
        <v>Stock et besoin nul</v>
      </c>
      <c r="BZ230" s="2062" t="str">
        <f>IF(AND(BX230=0, BV230&gt;0, BW230=0), CONCATENATE(BV230,'TRAD-Calculs dispo Données FA'!$B$80," =0"), "")</f>
        <v/>
      </c>
      <c r="CA230" s="2063" t="str">
        <f>IF(AND(BV230=0, OR(BW230&gt;=1, BX230&gt;=1)),'TRAD-Calculs dispo Données FA'!$B$81, "")</f>
        <v/>
      </c>
    </row>
    <row r="231" spans="3:79" s="358" customFormat="1" ht="26.25" thickBot="1" x14ac:dyDescent="0.25">
      <c r="C231" s="2752"/>
      <c r="D231" s="2753" t="s">
        <v>41</v>
      </c>
      <c r="E231" s="2754" t="str">
        <f>'Saisie données stocks'!F68</f>
        <v>LPV/r</v>
      </c>
      <c r="F231" s="2755" t="str">
        <f>'Saisie données stocks'!G68</f>
        <v>Sol buv</v>
      </c>
      <c r="G231" s="2755" t="str">
        <f>'Saisie données stocks'!H68</f>
        <v>80/20 mg/mL</v>
      </c>
      <c r="H231" s="2756" t="str">
        <f>CONCATENATE(E231, " - ", G231,"-",'TRAD-Calculs dispo Données FA'!$B$83, "/", K231, "mL")</f>
        <v>LPV/r - 80/20 mg/mL-Fl/60mL</v>
      </c>
      <c r="I231" s="2757"/>
      <c r="J231" s="2757"/>
      <c r="K231" s="2758">
        <f>'Saisie données stocks'!L68</f>
        <v>60</v>
      </c>
      <c r="L231" s="2759">
        <f>'Saisie données stocks'!M68</f>
        <v>4</v>
      </c>
      <c r="M231" s="2760">
        <f>IF('Saisie données stocks'!$O$10='TRAD-Saisie données stocks'!$B$51, 'Calculs Péremption FA'!BU56, Calculs!M311)+IF('Saisie données stocks'!$M$76='TRAD-Saisie données stocks'!$B$51, Calculs!N311, "0")+Calculs!P311</f>
        <v>2168</v>
      </c>
      <c r="N231" s="2760">
        <f>Calculs!O202</f>
        <v>0</v>
      </c>
      <c r="O231" s="2760">
        <f>Calculs!N256</f>
        <v>0</v>
      </c>
      <c r="P231"/>
      <c r="Q231" s="350" t="e">
        <f>IF(Calculs!N256&gt;0, (-(Calculs!N256+2*Calculs!O202)+SQRT((Calculs!N256+2*Calculs!O202)*(Calculs!N256+2*Calculs!O202)+8*Calculs!N256*(M231)))/(2*Calculs!N256), ((M231)/Calculs!O202))</f>
        <v>#DIV/0!</v>
      </c>
      <c r="R231" s="351" t="e">
        <f>Q231-Paramétrage!$D$29</f>
        <v>#DIV/0!</v>
      </c>
      <c r="S231" s="352" t="e">
        <f>IF(Q231&lt;Paramétrage!$D$29, Q231, Paramétrage!$D$29)</f>
        <v>#DIV/0!</v>
      </c>
      <c r="T231" s="353" t="e">
        <f>Paramétrage!$H$19+R231*(365/12)</f>
        <v>#DIV/0!</v>
      </c>
      <c r="U231" s="354" t="e">
        <f>IF(Q231&lt;Paramétrage!$D$29, Paramétrage!$H$19+S231*(365/12), Paramétrage!$H$19+Q231*(365/12))</f>
        <v>#DIV/0!</v>
      </c>
      <c r="W231" s="350" t="str">
        <f t="shared" si="42"/>
        <v/>
      </c>
      <c r="X231" s="351" t="str">
        <f t="shared" si="43"/>
        <v/>
      </c>
      <c r="Y231" s="430" t="str">
        <f t="shared" si="44"/>
        <v/>
      </c>
      <c r="Z231" s="353" t="str">
        <f t="shared" si="45"/>
        <v/>
      </c>
      <c r="AA231" s="354" t="str">
        <f t="shared" si="46"/>
        <v>2168B &amp; conso =0</v>
      </c>
      <c r="AC231" s="350" t="e">
        <f t="shared" si="47"/>
        <v>#DIV/0!</v>
      </c>
      <c r="AD231" s="351" t="e">
        <f>AC231-Paramétrage!$D$29</f>
        <v>#DIV/0!</v>
      </c>
      <c r="AE231" s="352" t="e">
        <f>IF(AC231&lt;Paramétrage!$D$29, AC231, Paramétrage!$D$29)</f>
        <v>#DIV/0!</v>
      </c>
      <c r="AF231" s="352" t="e">
        <f t="shared" si="48"/>
        <v>#VALUE!</v>
      </c>
      <c r="AG231" s="353" t="e">
        <f>Paramétrage!$H$19+AD231*30</f>
        <v>#DIV/0!</v>
      </c>
      <c r="AH231" s="354" t="e">
        <f>IF(AC231&lt;Paramétrage!$D$29, Paramétrage!$H$19+AE231*30, Paramétrage!$H$19+AC231*30)</f>
        <v>#DIV/0!</v>
      </c>
      <c r="AI231" s="353">
        <f>'Saisie données stocks'!O189</f>
        <v>41944</v>
      </c>
      <c r="AJ231" s="2083" t="str">
        <f>IF(ISERROR(Q231), "0", IF('Saisie données stocks'!O189="", "0", IF(U174&gt;'Saisie données stocks'!$N$14, IF(AI231&gt;(Paramétrage!$H$19+'Saisie données stocks'!$N$14*(365/12)), (AI231-(Paramétrage!$H$19+'Saisie données stocks'!$N$14*(365/12)))/(365/12), IF(AI231&gt;U174, (AI231-U174)/(365/12), "0")))))</f>
        <v>0</v>
      </c>
      <c r="AK231" s="351" t="str">
        <f>IF(ISERROR(Q174),"0", IF(Q174=0, "0", IF(Q174&gt;'Calculs Péremption FA'!$CB56, 'Calculs Péremption FA'!$CB56, Q174)))</f>
        <v>0</v>
      </c>
      <c r="AL231" s="352" t="str">
        <f>IF(ISERROR(AC231),"0", IF(AC231=0, "0", IF(AC231&gt;'Saisie données stocks'!$N$14, 'Saisie données stocks'!$N$14, AC231)))</f>
        <v>0</v>
      </c>
      <c r="AM231" s="354" t="str">
        <f>IF(ISERROR(Q231),AA231,IF(Calculs!P311=0,IF(Q174&gt;='Calculs Péremption conso'!$CB56,IF(Q174&lt;'Saisie données stocks'!$N$14,CONCATENATE('TRAD-Calculs dispo Données FA'!$B$88, " - ",'Calculs Péremption conso'!$BY56,"/",'Calculs Péremption conso'!$BZ56,"/",'Calculs Péremption conso'!$CA56),'Calculs Péremption conso'!CC56),AA231),IF(AC231&gt;'Saisie données stocks'!$N$14, AI231+'Saisie données stocks'!$N$14*30, AA231+(AJ231*30))))</f>
        <v>2168B &amp; conso =0</v>
      </c>
      <c r="AO231" s="350" t="str">
        <f>IF(ISERROR(AC231),"", IF(AC231=0, "", IF(AC231&gt;'Saisie données stocks'!$N$14, 'Saisie données stocks'!$N$14, AC231)))</f>
        <v/>
      </c>
      <c r="AP231" s="351" t="str">
        <f>IF(ISERROR(AC231),"", IF(AC231=0, "", IF(AC231&gt;'Calculs Péremption FA'!$CB56, 'Calculs Péremption FA'!$CB56-Paramétrage!$D$29, AD231)))</f>
        <v/>
      </c>
      <c r="AQ231" s="430" t="str">
        <f>IF(ISERROR(AC231),"", IF(AC231=0, "", IF(AC231&gt;'Calculs Péremption FA'!$CB56, Paramétrage!$D$29, AE231)))</f>
        <v/>
      </c>
      <c r="AR231" s="1869" t="str">
        <f t="shared" si="49"/>
        <v/>
      </c>
      <c r="AS231" s="353" t="str">
        <f>IF(ISERROR(AC231),"", IF(AC231=0, "", IF(AC231&gt;'Calculs Péremption FA'!$CB56, 'Calculs Péremption FA'!$BX56-Paramétrage!$D$29*(365/12), AG231)))</f>
        <v/>
      </c>
      <c r="AT231" s="354" t="str">
        <f>IF(ISERROR(AC231),"", IF(AC231=0, "", IF(AC231&gt;'Calculs Péremption FA'!$CB56, CONCATENATE('TRAD-Calculs dispo Données FA'!$B$88, " - ", 'Calculs Péremption FA'!$BY56, "/", 'Calculs Péremption FA'!$BZ56, "/", 'Calculs Péremption FA'!$CA56), AH231)))</f>
        <v/>
      </c>
      <c r="AV231" s="350" t="e">
        <f>(Calculs!Q311)/Calculs!O202</f>
        <v>#DIV/0!</v>
      </c>
      <c r="AW231" s="351" t="e">
        <f>AV231-Paramétrage!$D$29</f>
        <v>#DIV/0!</v>
      </c>
      <c r="AX231" s="352" t="e">
        <f>IF(AV231&lt;Paramétrage!$D$29, AV231, Paramétrage!$D$29)</f>
        <v>#DIV/0!</v>
      </c>
      <c r="AY231" s="353" t="e">
        <f>Paramétrage!$H$19+AW231*30</f>
        <v>#DIV/0!</v>
      </c>
      <c r="AZ231" s="354" t="e">
        <f>IF(AV231&lt;Paramétrage!$D$29, Paramétrage!$H$19+AX231*(365/12), Paramétrage!$H$19+AV231*(365/12))</f>
        <v>#DIV/0!</v>
      </c>
      <c r="BB231" s="350" t="str">
        <f>IF(ISERROR(AV231),"", IF(AV231=0, "", IF(AV231&gt;'Calculs Péremption FA'!$CB56, 'Calculs Péremption FA'!$CB56, AV231)))</f>
        <v/>
      </c>
      <c r="BC231" s="351" t="str">
        <f>IF(ISERROR(AV231),"", IF(AV231=0, "", IF(AV231&gt;'Calculs Péremption FA'!$CB56, 'Calculs Péremption FA'!$CB56-Paramétrage!$D$29, AW231)))</f>
        <v/>
      </c>
      <c r="BD231" s="430" t="str">
        <f>IF(ISERROR(AV231),"", IF(AV231=0, "", IF(AV231&gt;'Calculs Péremption FA'!$CB56, Paramétrage!$D$29, AX231)))</f>
        <v/>
      </c>
      <c r="BE231" s="353" t="str">
        <f>IF(ISERROR(AV231),"", IF(AV231=0, "", IF(AV231&gt;'Calculs Péremption FA'!$CB56, 'Calculs Péremption FA'!$BX56-Paramétrage!$D$29*(365/12), AY231)))</f>
        <v/>
      </c>
      <c r="BF231" s="354" t="str">
        <f>IF(ISERROR(AV231),"", IF(AV231=0, "", IF(AV231&gt;'Calculs Péremption FA'!$CB56, CONCATENATE('TRAD-Calculs dispo Données FA'!$B$88, " - ", 'Calculs Péremption FA'!$BY56, "/", 'Calculs Péremption FA'!$BZ56, "/", 'Calculs Péremption FA'!$CA56), AZ231)))</f>
        <v/>
      </c>
      <c r="BH231" s="350" t="e">
        <f t="shared" si="50"/>
        <v>#DIV/0!</v>
      </c>
      <c r="BI231" s="351" t="e">
        <f>BH231-Paramétrage!$D$29</f>
        <v>#DIV/0!</v>
      </c>
      <c r="BJ231" s="352" t="e">
        <f>IF(BH231&lt;Paramétrage!$D$29, BH231, Paramétrage!$D$29)</f>
        <v>#DIV/0!</v>
      </c>
      <c r="BK231" s="352" t="e">
        <f t="shared" si="51"/>
        <v>#DIV/0!</v>
      </c>
      <c r="BL231" s="353" t="e">
        <f>Paramétrage!$H$19+BI231*(365/12)</f>
        <v>#DIV/0!</v>
      </c>
      <c r="BM231" s="354" t="e">
        <f>IF(BH231&lt;Paramétrage!$D$29, Paramétrage!$H$19+BJ231*(365/12), Paramétrage!$H$19+BH231*(365/12))</f>
        <v>#DIV/0!</v>
      </c>
      <c r="BO231" s="350" t="str">
        <f>IF(ISERROR(BH231),"", IF(BH231=0, "", IF(BH231&gt;'Calculs Péremption FA'!$CB56, 'Calculs Péremption FA'!$CB56, BH231)))</f>
        <v/>
      </c>
      <c r="BP231" s="351" t="str">
        <f>IF(ISERROR(BH231),"", IF(BH231=0, "", IF(BH231&gt;'Calculs Péremption FA'!$CB56, 'Calculs Péremption FA'!$CB56-Paramétrage!$D$29, BI231)))</f>
        <v/>
      </c>
      <c r="BQ231" s="430" t="str">
        <f>IF(ISERROR(BH231),"", IF(BH231=0, "", IF(BH231&gt;'Calculs Péremption FA'!$CB56, Paramétrage!$D$29, BJ231)))</f>
        <v/>
      </c>
      <c r="BR231" s="1869" t="str">
        <f t="shared" si="52"/>
        <v/>
      </c>
      <c r="BS231" s="353" t="str">
        <f>IF(ISERROR(BH231),"", IF(BH231=0, "", IF(BH231&gt;'Calculs Péremption FA'!$CB56, 'Calculs Péremption FA'!$BX56-Paramétrage!$D$29*(365/12), BL231)))</f>
        <v/>
      </c>
      <c r="BT231" s="354" t="str">
        <f>IF(ISERROR(BH231),"", IF(BH231=0, "", IF(BH231&gt;'Calculs Péremption FA'!$CB56, CONCATENATE('TRAD-Calculs dispo Données FA'!$B$88, " - ", 'Calculs Péremption FA'!$BY56, "/", 'Calculs Péremption FA'!$BZ56, "/", 'Calculs Péremption FA'!$CA56), BM231)))</f>
        <v/>
      </c>
      <c r="BV231" s="2064">
        <f>Calculs!$Q311</f>
        <v>2168</v>
      </c>
      <c r="BW231" s="2065">
        <f>Calculs!$O202</f>
        <v>0</v>
      </c>
      <c r="BX231" s="2069">
        <f>Calculs!$N256</f>
        <v>0</v>
      </c>
      <c r="BY231" s="2071" t="str">
        <f>IF(AND(BX231=0, BV231=0, BW231=0), 'TRAD-Calculs dispo Données FA'!$B$82, "")</f>
        <v/>
      </c>
      <c r="BZ231" s="2065" t="str">
        <f>IF(AND(BX231=0, BV231&gt;0, BW231=0), CONCATENATE(BV231,'TRAD-Calculs dispo Données FA'!$B$80," =0"), "")</f>
        <v>2168B &amp; conso =0</v>
      </c>
      <c r="CA231" s="2066" t="str">
        <f>IF(AND(BV231=0, OR(BW231&gt;=1, BX231&gt;=1)),'TRAD-Calculs dispo Données FA'!$B$81, "")</f>
        <v/>
      </c>
    </row>
    <row r="232" spans="3:79" x14ac:dyDescent="0.2">
      <c r="AK232" s="356"/>
      <c r="AO232" s="499"/>
      <c r="AU232" s="357"/>
      <c r="AV232" s="357"/>
      <c r="AX232" s="356"/>
      <c r="AY232" s="356"/>
    </row>
    <row r="233" spans="3:79" x14ac:dyDescent="0.2">
      <c r="AX233" s="356"/>
      <c r="AY233" s="356"/>
    </row>
    <row r="247" spans="29:32" x14ac:dyDescent="0.2">
      <c r="AC247" s="2135"/>
      <c r="AF247" s="2134"/>
    </row>
    <row r="463" spans="50:51" x14ac:dyDescent="0.2">
      <c r="AX463" s="356"/>
      <c r="AY463" s="356"/>
    </row>
    <row r="464" spans="50:51" x14ac:dyDescent="0.2">
      <c r="AX464" s="356"/>
      <c r="AY464" s="356"/>
    </row>
    <row r="465" spans="50:51" x14ac:dyDescent="0.2">
      <c r="AX465" s="356"/>
      <c r="AY465" s="356"/>
    </row>
    <row r="466" spans="50:51" x14ac:dyDescent="0.2">
      <c r="AX466" s="356"/>
      <c r="AY466" s="356"/>
    </row>
    <row r="467" spans="50:51" x14ac:dyDescent="0.2">
      <c r="AX467" s="356"/>
      <c r="AY467" s="356"/>
    </row>
    <row r="468" spans="50:51" x14ac:dyDescent="0.2">
      <c r="AX468" s="356"/>
      <c r="AY468" s="356"/>
    </row>
    <row r="469" spans="50:51" x14ac:dyDescent="0.2">
      <c r="AX469" s="356"/>
      <c r="AY469" s="356"/>
    </row>
  </sheetData>
  <sheetProtection password="D0E7" sheet="1" objects="1" scenarios="1" selectLockedCells="1" pivotTables="0"/>
  <mergeCells count="19">
    <mergeCell ref="Q122:AA122"/>
    <mergeCell ref="R123:S123"/>
    <mergeCell ref="W123:AA123"/>
    <mergeCell ref="AL66:AQ66"/>
    <mergeCell ref="AJ123:AO123"/>
    <mergeCell ref="AC122:AO122"/>
    <mergeCell ref="AD123:AE123"/>
    <mergeCell ref="A2:L2"/>
    <mergeCell ref="R9:S9"/>
    <mergeCell ref="Q8:AC8"/>
    <mergeCell ref="AF66:AG66"/>
    <mergeCell ref="AF9:AG9"/>
    <mergeCell ref="AL9:AQ9"/>
    <mergeCell ref="AE8:AQ8"/>
    <mergeCell ref="AE65:AQ65"/>
    <mergeCell ref="Q65:AC65"/>
    <mergeCell ref="X66:AC66"/>
    <mergeCell ref="X9:AC9"/>
    <mergeCell ref="S66:T66"/>
  </mergeCells>
  <conditionalFormatting sqref="N166:O166 N109:O109 N67:O67 N10:O10 N52:O52 N181:O181 N223:O223 N124:O124">
    <cfRule type="cellIs" dxfId="86" priority="93" stopIfTrue="1" operator="equal">
      <formula>"ND"</formula>
    </cfRule>
    <cfRule type="cellIs" dxfId="85" priority="94" operator="equal">
      <formula>"ATTENTION le détail ne correspond pas à votre stock total"</formula>
    </cfRule>
    <cfRule type="cellIs" dxfId="84" priority="95" operator="equal">
      <formula>"ATTENTION SURSTOCK et risque de péremption"</formula>
    </cfRule>
    <cfRule type="cellIs" dxfId="83" priority="96" operator="equal">
      <formula>"OK"</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sheetPr>
  <dimension ref="B1:K102"/>
  <sheetViews>
    <sheetView workbookViewId="0">
      <selection activeCell="D10" sqref="D10"/>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6" s="2586" customFormat="1" x14ac:dyDescent="0.2">
      <c r="B1" s="2586" t="s">
        <v>865</v>
      </c>
      <c r="D1" s="2586" t="s">
        <v>866</v>
      </c>
      <c r="F1" s="2586" t="s">
        <v>867</v>
      </c>
    </row>
    <row r="2" spans="2:6" x14ac:dyDescent="0.2">
      <c r="D2" s="2598"/>
      <c r="E2" s="2598"/>
      <c r="F2" s="2598"/>
    </row>
    <row r="3" spans="2:6" ht="25.5" x14ac:dyDescent="0.2">
      <c r="B3" s="2586" t="str">
        <f>IF(Présentation!$E$2="Français",'TRAD-Présentation'!D3,IF(Présentation!$E$2="Anglais",'TRAD-Présentation'!F3,""))</f>
        <v>Tableau de bord Evaluation de la disponibilité en ARV</v>
      </c>
      <c r="D3" s="2599" t="s">
        <v>888</v>
      </c>
      <c r="E3" s="2598"/>
      <c r="F3" s="2599" t="s">
        <v>906</v>
      </c>
    </row>
    <row r="4" spans="2:6" ht="25.5" x14ac:dyDescent="0.2">
      <c r="B4" s="2586" t="str">
        <f>IF(Présentation!$E$2="Français",'TRAD-Présentation'!D4,IF(Présentation!$E$2="Anglais",'TRAD-Présentation'!F4,""))</f>
        <v>Version 9.5 FR ENG mise à jour en février 2015 par Solthis</v>
      </c>
      <c r="D4" s="3203" t="s">
        <v>2064</v>
      </c>
      <c r="E4" s="2598"/>
      <c r="F4" s="3202" t="s">
        <v>2063</v>
      </c>
    </row>
    <row r="5" spans="2:6" ht="38.25" x14ac:dyDescent="0.2">
      <c r="B5" s="2586" t="str">
        <f>IF(Présentation!$E$2="Français",'TRAD-Présentation'!D5,IF(Présentation!$E$2="Anglais",'TRAD-Présentation'!F5,""))</f>
        <v>Une partie de l'évolution de cet outil a été rendue possible avec le support financier de l'Initiative 5%</v>
      </c>
      <c r="D5" s="2599" t="s">
        <v>2030</v>
      </c>
      <c r="E5" s="2598"/>
      <c r="F5" s="2599" t="s">
        <v>2031</v>
      </c>
    </row>
    <row r="6" spans="2:6" ht="25.5" x14ac:dyDescent="0.2">
      <c r="B6" s="2586" t="str">
        <f>IF(Présentation!$E$2="Français",'TRAD-Présentation'!D6,IF(Présentation!$E$2="Anglais",'TRAD-Présentation'!F6,""))</f>
        <v>Présentation de l'outil et description de la méthode</v>
      </c>
      <c r="D6" s="2600" t="s">
        <v>526</v>
      </c>
      <c r="E6" s="2598"/>
      <c r="F6" s="2600" t="s">
        <v>869</v>
      </c>
    </row>
    <row r="7" spans="2:6" x14ac:dyDescent="0.2">
      <c r="B7" s="2586" t="str">
        <f>IF(Présentation!$E$2="Français",'TRAD-Présentation'!D7,IF(Présentation!$E$2="Anglais",'TRAD-Présentation'!F7,""))</f>
        <v>Objectifs de l'outil</v>
      </c>
      <c r="D7" s="2600" t="s">
        <v>528</v>
      </c>
      <c r="E7" s="2598"/>
      <c r="F7" s="2600" t="s">
        <v>870</v>
      </c>
    </row>
    <row r="8" spans="2:6" ht="38.25" x14ac:dyDescent="0.2">
      <c r="B8" s="2586" t="str">
        <f>IF(Présentation!$E$2="Français",'TRAD-Présentation'!D8,IF(Présentation!$E$2="Anglais",'TRAD-Présentation'!F8,""))</f>
        <v>Prévenir les ruptures de stocks en les anticipant le plus tôt possible pour les prévenir</v>
      </c>
      <c r="D8" s="2600" t="s">
        <v>890</v>
      </c>
      <c r="E8" s="2598"/>
      <c r="F8" s="2600" t="s">
        <v>889</v>
      </c>
    </row>
    <row r="9" spans="2:6" ht="63.75" x14ac:dyDescent="0.2">
      <c r="B9" s="2586" t="str">
        <f>IF(Présentation!$E$2="Français",'TRAD-Présentation'!D9,IF(Présentation!$E$2="Anglais",'TRAD-Présentation'!F9,""))</f>
        <v>Permettre une estimation rapide et simple des périodes de disponibilités des ARV en tenant compte de l'augmentation des besoins liés aux inclusions et changement de traitements</v>
      </c>
      <c r="D9" s="2599" t="s">
        <v>529</v>
      </c>
      <c r="E9" s="2598"/>
      <c r="F9" s="2600" t="s">
        <v>891</v>
      </c>
    </row>
    <row r="10" spans="2:6" ht="63.75" x14ac:dyDescent="0.2">
      <c r="B10" s="2586" t="str">
        <f>IF(Présentation!$E$2="Français",'TRAD-Présentation'!D10,IF(Présentation!$E$2="Anglais",'TRAD-Présentation'!F10,""))</f>
        <v>Réaliser des représentations visuelles des périodes de disponibilités pour communiquer avec des décideurs institutionnels pour les alerter sur des disponibilités critiques</v>
      </c>
      <c r="D10" s="2599" t="s">
        <v>530</v>
      </c>
      <c r="E10" s="2598"/>
      <c r="F10" s="2600" t="s">
        <v>892</v>
      </c>
    </row>
    <row r="11" spans="2:6" x14ac:dyDescent="0.2">
      <c r="B11" s="2586" t="str">
        <f>IF(Présentation!$E$2="Français",'TRAD-Présentation'!D11,IF(Présentation!$E$2="Anglais",'TRAD-Présentation'!F11,""))</f>
        <v>Structure de l'outil</v>
      </c>
      <c r="D11" s="2592" t="s">
        <v>531</v>
      </c>
      <c r="E11" s="2598"/>
      <c r="F11" s="2592" t="s">
        <v>871</v>
      </c>
    </row>
    <row r="12" spans="2:6" ht="25.5" x14ac:dyDescent="0.2">
      <c r="B12" s="2586" t="str">
        <f>IF(Présentation!$E$2="Français",'TRAD-Présentation'!D12,IF(Présentation!$E$2="Anglais",'TRAD-Présentation'!F12,""))</f>
        <v>Ce document est composé dans l'ordre des onglets suivants :</v>
      </c>
      <c r="D12" s="2600" t="s">
        <v>47</v>
      </c>
      <c r="E12" s="2598"/>
      <c r="F12" s="2600" t="s">
        <v>872</v>
      </c>
    </row>
    <row r="13" spans="2:6" x14ac:dyDescent="0.2">
      <c r="B13" s="2586" t="str">
        <f>IF(Présentation!$E$2="Français",'TRAD-Présentation'!D13,IF(Présentation!$E$2="Anglais",'TRAD-Présentation'!F13,""))</f>
        <v>1 feuille Présentation</v>
      </c>
      <c r="D13" s="2600" t="s">
        <v>667</v>
      </c>
      <c r="E13" s="2598"/>
      <c r="F13" s="2600" t="s">
        <v>873</v>
      </c>
    </row>
    <row r="14" spans="2:6" x14ac:dyDescent="0.2">
      <c r="B14" s="2586" t="str">
        <f>IF(Présentation!$E$2="Français",'TRAD-Présentation'!D14,IF(Présentation!$E$2="Anglais",'TRAD-Présentation'!F14,""))</f>
        <v>4 feuilles Saisie de données</v>
      </c>
      <c r="D14" s="2600" t="s">
        <v>668</v>
      </c>
      <c r="E14" s="2598"/>
      <c r="F14" s="2600" t="s">
        <v>893</v>
      </c>
    </row>
    <row r="15" spans="2:6" x14ac:dyDescent="0.2">
      <c r="B15" s="2586" t="str">
        <f>IF(Présentation!$E$2="Français",'TRAD-Présentation'!D15,IF(Présentation!$E$2="Anglais",'TRAD-Présentation'!F15,""))</f>
        <v>4 feuilles de calculs (masquées)</v>
      </c>
      <c r="D15" s="2600" t="s">
        <v>894</v>
      </c>
      <c r="E15" s="2598"/>
      <c r="F15" s="2600" t="s">
        <v>895</v>
      </c>
    </row>
    <row r="16" spans="2:6" x14ac:dyDescent="0.2">
      <c r="B16" s="2586" t="str">
        <f>IF(Présentation!$E$2="Français",'TRAD-Présentation'!D16,IF(Présentation!$E$2="Anglais",'TRAD-Présentation'!F16,""))</f>
        <v xml:space="preserve">14 feuilles Résultats </v>
      </c>
      <c r="D16" s="2600" t="s">
        <v>950</v>
      </c>
      <c r="E16" s="2598"/>
      <c r="F16" s="2600" t="s">
        <v>951</v>
      </c>
    </row>
    <row r="17" spans="2:6" x14ac:dyDescent="0.2">
      <c r="B17" s="2586" t="str">
        <f>IF(Présentation!$E$2="Français",'TRAD-Présentation'!D17,IF(Présentation!$E$2="Anglais",'TRAD-Présentation'!F17,""))</f>
        <v>2 feuilles Quantification</v>
      </c>
      <c r="D17" s="2600" t="s">
        <v>2024</v>
      </c>
      <c r="E17" s="2598"/>
      <c r="F17" s="2600" t="s">
        <v>2025</v>
      </c>
    </row>
    <row r="18" spans="2:6" x14ac:dyDescent="0.2">
      <c r="B18" s="2586" t="str">
        <f>IF(Présentation!$E$2="Français",'TRAD-Présentation'!D18,IF(Présentation!$E$2="Anglais",'TRAD-Présentation'!F18,""))</f>
        <v>Paramétrage spécifique et résultats</v>
      </c>
      <c r="D18" s="2600" t="s">
        <v>1845</v>
      </c>
      <c r="E18" s="2598"/>
      <c r="F18" s="2600" t="s">
        <v>2026</v>
      </c>
    </row>
    <row r="19" spans="2:6" ht="25.5" x14ac:dyDescent="0.2">
      <c r="B19" s="2586" t="str">
        <f>IF(Présentation!$E$2="Français",'TRAD-Présentation'!D19,IF(Présentation!$E$2="Anglais",'TRAD-Présentation'!F19,""))</f>
        <v>Répartition des besoins quantifiés par trimestre</v>
      </c>
      <c r="D19" s="2600" t="s">
        <v>2028</v>
      </c>
      <c r="E19" s="2598"/>
      <c r="F19" s="2600" t="s">
        <v>2029</v>
      </c>
    </row>
    <row r="20" spans="2:6" x14ac:dyDescent="0.2">
      <c r="B20" s="2586" t="str">
        <f>IF(Présentation!$E$2="Français",'TRAD-Présentation'!D20,IF(Présentation!$E$2="Anglais",'TRAD-Présentation'!F20,""))</f>
        <v>16 feuilles Traduction (masquées)</v>
      </c>
      <c r="D20" s="2600" t="s">
        <v>1846</v>
      </c>
      <c r="E20" s="2598"/>
      <c r="F20" s="2600" t="s">
        <v>2027</v>
      </c>
    </row>
    <row r="21" spans="2:6" x14ac:dyDescent="0.2">
      <c r="B21" s="2586" t="str">
        <f>IF(Présentation!$E$2="Français",'TRAD-Présentation'!D21,IF(Présentation!$E$2="Anglais",'TRAD-Présentation'!F21,""))</f>
        <v xml:space="preserve">4 feuilles  impressions </v>
      </c>
      <c r="D21" s="2600" t="s">
        <v>896</v>
      </c>
      <c r="E21" s="2598"/>
      <c r="F21" s="2600" t="s">
        <v>897</v>
      </c>
    </row>
    <row r="22" spans="2:6" x14ac:dyDescent="0.2">
      <c r="B22" s="2586" t="str">
        <f>IF(Présentation!$E$2="Français",'TRAD-Présentation'!D22,IF(Présentation!$E$2="Anglais",'TRAD-Présentation'!F22,""))</f>
        <v>Mode d'emploi</v>
      </c>
      <c r="D22" s="2592" t="s">
        <v>7</v>
      </c>
      <c r="E22" s="2598"/>
      <c r="F22" s="2592" t="s">
        <v>874</v>
      </c>
    </row>
    <row r="23" spans="2:6" x14ac:dyDescent="0.2">
      <c r="B23" s="2586" t="str">
        <f>IF(Présentation!$E$2="Français",'TRAD-Présentation'!D23,IF(Présentation!$E$2="Anglais",'TRAD-Présentation'!F23,""))</f>
        <v>1. Première étape : SAISIE</v>
      </c>
      <c r="D23" s="2600" t="s">
        <v>538</v>
      </c>
      <c r="E23" s="2598"/>
      <c r="F23" s="2600" t="s">
        <v>875</v>
      </c>
    </row>
    <row r="24" spans="2:6" ht="38.25" x14ac:dyDescent="0.2">
      <c r="B24" s="2586" t="str">
        <f>IF(Présentation!$E$2="Français",'TRAD-Présentation'!D24,IF(Présentation!$E$2="Anglais",'TRAD-Présentation'!F24,""))</f>
        <v>spécifier les données dans les tableaux dans les onglets verts de saisie de données</v>
      </c>
      <c r="D24" s="2599" t="s">
        <v>813</v>
      </c>
      <c r="E24" s="2598"/>
      <c r="F24" s="2600" t="s">
        <v>898</v>
      </c>
    </row>
    <row r="25" spans="2:6" x14ac:dyDescent="0.2">
      <c r="B25" s="2586" t="str">
        <f>IF(Présentation!$E$2="Français",'TRAD-Présentation'!D25,IF(Présentation!$E$2="Anglais",'TRAD-Présentation'!F25,""))</f>
        <v>pour cela, remplir les cases vertes</v>
      </c>
      <c r="D25" s="2600" t="s">
        <v>876</v>
      </c>
      <c r="E25" s="2598"/>
      <c r="F25" s="2600" t="s">
        <v>877</v>
      </c>
    </row>
    <row r="26" spans="2:6" ht="25.5" x14ac:dyDescent="0.2">
      <c r="B26" s="2586" t="str">
        <f>IF(Présentation!$E$2="Français",'TRAD-Présentation'!D26,IF(Présentation!$E$2="Anglais",'TRAD-Présentation'!F26,""))</f>
        <v>et paramétrer toutes les options proposées</v>
      </c>
      <c r="D26" s="2600" t="s">
        <v>814</v>
      </c>
      <c r="E26" s="2598"/>
      <c r="F26" s="2600" t="s">
        <v>878</v>
      </c>
    </row>
    <row r="27" spans="2:6" ht="38.25" x14ac:dyDescent="0.2">
      <c r="B27" s="2586" t="str">
        <f>IF(Présentation!$E$2="Français",'TRAD-Présentation'!D27,IF(Présentation!$E$2="Anglais",'TRAD-Présentation'!F27,""))</f>
        <v>Il est important d'effacer au préalable toutes les données qui ne correspondent pas</v>
      </c>
      <c r="D27" s="2599" t="s">
        <v>537</v>
      </c>
      <c r="E27" s="2598"/>
      <c r="F27" s="2600" t="s">
        <v>899</v>
      </c>
    </row>
    <row r="28" spans="2:6" ht="25.5" x14ac:dyDescent="0.2">
      <c r="B28" s="2586" t="str">
        <f>IF(Présentation!$E$2="Français",'TRAD-Présentation'!D28,IF(Présentation!$E$2="Anglais",'TRAD-Présentation'!F28,""))</f>
        <v>2. Deuxième étape : LECTURE DES RESULTATS</v>
      </c>
      <c r="D28" s="2600" t="s">
        <v>539</v>
      </c>
      <c r="E28" s="2598"/>
      <c r="F28" s="2600" t="s">
        <v>879</v>
      </c>
    </row>
    <row r="29" spans="2:6" ht="25.5" x14ac:dyDescent="0.2">
      <c r="B29" s="2586" t="str">
        <f>IF(Présentation!$E$2="Français",'TRAD-Présentation'!D29,IF(Présentation!$E$2="Anglais",'TRAD-Présentation'!F29,""))</f>
        <v>lire les résultats des quantifications dans l'onglet bleu</v>
      </c>
      <c r="D29" s="2599" t="s">
        <v>949</v>
      </c>
      <c r="E29" s="2598"/>
      <c r="F29" s="2600" t="s">
        <v>900</v>
      </c>
    </row>
    <row r="30" spans="2:6" ht="25.5" x14ac:dyDescent="0.2">
      <c r="B30" s="2586" t="str">
        <f>IF(Présentation!$E$2="Français",'TRAD-Présentation'!D30,IF(Présentation!$E$2="Anglais",'TRAD-Présentation'!F30,""))</f>
        <v>la lecture peut se faire sur les chronogrammes</v>
      </c>
      <c r="D30" s="2599" t="s">
        <v>815</v>
      </c>
      <c r="E30" s="2598"/>
      <c r="F30" s="2600" t="s">
        <v>901</v>
      </c>
    </row>
    <row r="31" spans="2:6" x14ac:dyDescent="0.2">
      <c r="B31" s="2586" t="str">
        <f>IF(Présentation!$E$2="Français",'TRAD-Présentation'!D31,IF(Présentation!$E$2="Anglais",'TRAD-Présentation'!F31,""))</f>
        <v>* selon les 2 méthodes utilisées</v>
      </c>
      <c r="D31" s="2599" t="s">
        <v>816</v>
      </c>
      <c r="E31" s="2598"/>
      <c r="F31" s="2600" t="s">
        <v>902</v>
      </c>
    </row>
    <row r="32" spans="2:6" ht="38.25" x14ac:dyDescent="0.2">
      <c r="B32" s="2586" t="str">
        <f>IF(Présentation!$E$2="Français",'TRAD-Présentation'!D32,IF(Présentation!$E$2="Anglais",'TRAD-Présentation'!F32,""))</f>
        <v>* pour les formes solides (comprimés, gélules, capsules) simples (FS) ou combinées (CDF)</v>
      </c>
      <c r="D32" s="2599" t="s">
        <v>817</v>
      </c>
      <c r="E32" s="2598"/>
      <c r="F32" s="2600" t="s">
        <v>903</v>
      </c>
    </row>
    <row r="33" spans="2:9" ht="25.5" x14ac:dyDescent="0.2">
      <c r="B33" s="2586" t="str">
        <f>IF(Présentation!$E$2="Français",'TRAD-Présentation'!D33,IF(Présentation!$E$2="Anglais",'TRAD-Présentation'!F33,""))</f>
        <v>* pour les formes liquides (sol. Buv., sirops, …)</v>
      </c>
      <c r="D33" s="2599" t="s">
        <v>215</v>
      </c>
      <c r="E33" s="2598"/>
      <c r="F33" s="2600" t="s">
        <v>952</v>
      </c>
    </row>
    <row r="34" spans="2:9" ht="25.5" x14ac:dyDescent="0.2">
      <c r="B34" s="2586" t="str">
        <f>IF(Présentation!$E$2="Français",'TRAD-Présentation'!D34,IF(Présentation!$E$2="Anglais",'TRAD-Présentation'!F34,""))</f>
        <v>* Couverture des besoins en nombre de mois</v>
      </c>
      <c r="D34" s="2599" t="s">
        <v>188</v>
      </c>
      <c r="E34" s="2598"/>
      <c r="F34" s="2600" t="s">
        <v>905</v>
      </c>
    </row>
    <row r="35" spans="2:9" ht="25.5" x14ac:dyDescent="0.2">
      <c r="B35" s="2586" t="str">
        <f>IF(Présentation!$E$2="Français",'TRAD-Présentation'!D35,IF(Présentation!$E$2="Anglais",'TRAD-Présentation'!F35,""))</f>
        <v>la lecture peut se faire dans les tableaux de synthèse de l'onglet orange</v>
      </c>
      <c r="D35" s="2599" t="s">
        <v>818</v>
      </c>
      <c r="E35" s="2598"/>
      <c r="F35" s="2600" t="s">
        <v>904</v>
      </c>
    </row>
    <row r="36" spans="2:9" ht="76.5" x14ac:dyDescent="0.2">
      <c r="B36" s="2586" t="str">
        <f>IF(Présentation!$E$2="Français",'TRAD-Présentation'!D36,IF(Présentation!$E$2="Anglais",'TRAD-Présentation'!F36,""))</f>
        <v>* tableau de bord analyse les consommations en fonction des dates de péremption et permet d'alerter les utilisateurs sur les surstocks possibles et les péremptions qui pourraient en découler</v>
      </c>
      <c r="D36" s="2599" t="s">
        <v>819</v>
      </c>
      <c r="E36" s="2598"/>
      <c r="F36" s="2600" t="s">
        <v>907</v>
      </c>
    </row>
    <row r="37" spans="2:9" ht="25.5" x14ac:dyDescent="0.2">
      <c r="B37" s="2586" t="str">
        <f>IF(Présentation!$E$2="Français",'TRAD-Présentation'!D37,IF(Présentation!$E$2="Anglais",'TRAD-Présentation'!F37,""))</f>
        <v>La mention "vvv" signifie que des lignes ont été masquées en dessous</v>
      </c>
      <c r="D37" s="2599" t="s">
        <v>1962</v>
      </c>
      <c r="E37" s="2598"/>
      <c r="F37" s="2600" t="s">
        <v>1963</v>
      </c>
    </row>
    <row r="38" spans="2:9" x14ac:dyDescent="0.2">
      <c r="B38" s="2586" t="str">
        <f>IF(Présentation!$E$2="Français",'TRAD-Présentation'!D38,IF(Présentation!$E$2="Anglais",'TRAD-Présentation'!F38,""))</f>
        <v>Méthode</v>
      </c>
      <c r="D38" s="2592" t="s">
        <v>540</v>
      </c>
      <c r="E38" s="2598"/>
      <c r="F38" s="2600" t="s">
        <v>880</v>
      </c>
    </row>
    <row r="39" spans="2:9" ht="63.75" x14ac:dyDescent="0.2">
      <c r="B39" s="2586" t="str">
        <f>IF(Présentation!$E$2="Français",'TRAD-Présentation'!D39,IF(Présentation!$E$2="Anglais",'TRAD-Présentation'!F39,""))</f>
        <v>Cet outil couple 2 méthodes d'estimation des besoins : méthode basée sur les données de suivi de la file active sous ARV et méthode basée sur les données de consommation / distribution.</v>
      </c>
      <c r="D39" s="2599" t="s">
        <v>469</v>
      </c>
      <c r="E39" s="2598"/>
      <c r="F39" s="2600" t="s">
        <v>908</v>
      </c>
    </row>
    <row r="40" spans="2:9" ht="51" x14ac:dyDescent="0.2">
      <c r="B40" s="2586" t="str">
        <f>IF(Présentation!$E$2="Français",'TRAD-Présentation'!D40,IF(Présentation!$E$2="Anglais",'TRAD-Présentation'!F40,""))</f>
        <v>1. La première méthode utilisée est basée sur la morbidité pour les ARV de la prise en charge des adultes et des enfants</v>
      </c>
      <c r="D40" s="2599" t="s">
        <v>532</v>
      </c>
      <c r="E40" s="2598"/>
      <c r="F40" s="2600" t="s">
        <v>909</v>
      </c>
    </row>
    <row r="41" spans="2:9" ht="25.5" x14ac:dyDescent="0.2">
      <c r="B41" s="2586" t="str">
        <f>IF(Présentation!$E$2="Français",'TRAD-Présentation'!D41,IF(Présentation!$E$2="Anglais",'TRAD-Présentation'!F41,""))</f>
        <v>On considère la répartition par schémas thérapeutiques et les inclusions</v>
      </c>
      <c r="D41" s="2599" t="s">
        <v>48</v>
      </c>
      <c r="E41" s="2598"/>
      <c r="F41" s="2600" t="s">
        <v>910</v>
      </c>
    </row>
    <row r="42" spans="2:9" ht="25.5" x14ac:dyDescent="0.2">
      <c r="B42" s="2586" t="str">
        <f>IF(Présentation!$E$2="Français",'TRAD-Présentation'!D42,IF(Présentation!$E$2="Anglais",'TRAD-Présentation'!F42,""))</f>
        <v>On considère ensuite une hypothèse de répartition de la file active sous TARV</v>
      </c>
      <c r="D42" s="2599" t="s">
        <v>191</v>
      </c>
      <c r="E42" s="2598"/>
      <c r="F42" s="2600" t="s">
        <v>911</v>
      </c>
    </row>
    <row r="43" spans="2:9" ht="102" x14ac:dyDescent="0.2">
      <c r="B43" s="2586" t="str">
        <f>IF(Présentation!$E$2="Français",'TRAD-Présentation'!D43,IF(Présentation!$E$2="Anglais",'TRAD-Présentation'!F43,""))</f>
        <v>La correspondance entre lignes thérapeutiques et médicaments nécessaires pour chaque ligne se paramètre dans l'onglet "Données à saisir" pour les adultes. Pour les enfants, le paramétrage complet ne peut être fait. Seuls certains paramètres peuvent être saisis</v>
      </c>
      <c r="D43" s="2601" t="s">
        <v>912</v>
      </c>
      <c r="E43" s="2601"/>
      <c r="F43" s="2601" t="s">
        <v>913</v>
      </c>
      <c r="G43" s="2562"/>
      <c r="H43" s="2562"/>
      <c r="I43" s="2562"/>
    </row>
    <row r="44" spans="2:9" ht="25.5" x14ac:dyDescent="0.2">
      <c r="B44" s="2586" t="str">
        <f>IF(Présentation!$E$2="Français",'TRAD-Présentation'!D44,IF(Présentation!$E$2="Anglais",'TRAD-Présentation'!F44,""))</f>
        <v>Pour les formes galéniques adaptées aux enfants, on considère :</v>
      </c>
      <c r="D44" s="2599" t="s">
        <v>49</v>
      </c>
      <c r="E44" s="2598"/>
      <c r="F44" s="2600" t="s">
        <v>914</v>
      </c>
    </row>
    <row r="45" spans="2:9" ht="51" x14ac:dyDescent="0.2">
      <c r="B45" s="2586" t="str">
        <f>IF(Présentation!$E$2="Français",'TRAD-Présentation'!D45,IF(Présentation!$E$2="Anglais",'TRAD-Présentation'!F45,""))</f>
        <v>Des solutions buvables pour les enfants de 3 à 15 kg (enfants de 0 à 3 ans) ou des comprimés solubles (ZIDOLAM-N bébé, …)</v>
      </c>
      <c r="D45" s="2599" t="s">
        <v>915</v>
      </c>
      <c r="E45" s="2598"/>
      <c r="F45" s="2600" t="s">
        <v>916</v>
      </c>
    </row>
    <row r="46" spans="2:9" ht="25.5" x14ac:dyDescent="0.2">
      <c r="B46" s="2586" t="str">
        <f>IF(Présentation!$E$2="Français",'TRAD-Présentation'!D46,IF(Présentation!$E$2="Anglais",'TRAD-Présentation'!F46,""))</f>
        <v>Des comprimés pour les enfants de 15 à 30 kg</v>
      </c>
      <c r="D46" s="2599" t="s">
        <v>50</v>
      </c>
      <c r="E46" s="2598"/>
      <c r="F46" s="2600" t="s">
        <v>917</v>
      </c>
    </row>
    <row r="47" spans="2:9" ht="38.25" x14ac:dyDescent="0.2">
      <c r="B47" s="2586" t="str">
        <f>IF(Présentation!$E$2="Français",'TRAD-Présentation'!D47,IF(Présentation!$E$2="Anglais",'TRAD-Présentation'!F47,""))</f>
        <v>L'utilisation de certains médicaments "atypiques" peut être envisagée par sélection dans un tableau.</v>
      </c>
      <c r="D47" s="2599" t="s">
        <v>519</v>
      </c>
      <c r="E47" s="2598"/>
      <c r="F47" s="2600" t="s">
        <v>918</v>
      </c>
    </row>
    <row r="48" spans="2:9" ht="25.5" x14ac:dyDescent="0.2">
      <c r="B48" s="2586" t="str">
        <f>IF(Présentation!$E$2="Français",'TRAD-Présentation'!D48,IF(Présentation!$E$2="Anglais",'TRAD-Présentation'!F48,""))</f>
        <v>Nous avons également considéré la répartition par tranche de poids.</v>
      </c>
      <c r="D48" s="2599" t="s">
        <v>192</v>
      </c>
      <c r="E48" s="2598"/>
      <c r="F48" s="2600" t="s">
        <v>919</v>
      </c>
    </row>
    <row r="49" spans="2:8" x14ac:dyDescent="0.2">
      <c r="B49" s="2586" t="str">
        <f>IF(Présentation!$E$2="Français",'TRAD-Présentation'!D49,IF(Présentation!$E$2="Anglais",'TRAD-Présentation'!F49,""))</f>
        <v>Tranches de poids pour le calcul</v>
      </c>
      <c r="D49" s="2599" t="s">
        <v>51</v>
      </c>
      <c r="E49" s="2598"/>
      <c r="F49" s="2600" t="s">
        <v>920</v>
      </c>
    </row>
    <row r="50" spans="2:8" ht="25.5" x14ac:dyDescent="0.2">
      <c r="B50" s="2586" t="str">
        <f>IF(Présentation!$E$2="Français",'TRAD-Présentation'!D50,IF(Présentation!$E$2="Anglais",'TRAD-Présentation'!F50,""))</f>
        <v>Tranches de poids considérées pour la détermination des posologies</v>
      </c>
      <c r="D50" s="2599" t="s">
        <v>52</v>
      </c>
      <c r="E50" s="2598"/>
      <c r="F50" s="2600" t="s">
        <v>921</v>
      </c>
    </row>
    <row r="51" spans="2:8" ht="89.25" x14ac:dyDescent="0.2">
      <c r="B51" s="2586" t="str">
        <f>IF(Présentation!$E$2="Français",'TRAD-Présentation'!D51,IF(Présentation!$E$2="Anglais",'TRAD-Présentation'!F51,""))</f>
        <v>Nous avons considéré que les poids se répartissaient de manière homogène dans une même tranche et que les besoins pour l'ensemble se compensaient autour de la moyenne du poids de la tranche. Nous avons donc pris ces posologies.</v>
      </c>
      <c r="D51" s="2601" t="s">
        <v>61</v>
      </c>
      <c r="E51" s="2601"/>
      <c r="F51" s="2601" t="s">
        <v>922</v>
      </c>
      <c r="G51" s="2562"/>
      <c r="H51" s="2562"/>
    </row>
    <row r="52" spans="2:8" ht="63.75" x14ac:dyDescent="0.2">
      <c r="B52" s="2586" t="str">
        <f>IF(Présentation!$E$2="Français",'TRAD-Présentation'!D52,IF(Présentation!$E$2="Anglais",'TRAD-Présentation'!F52,""))</f>
        <v>Pour déterminer le nombre de mois de stocks disponibles, nous avons utilisé la croissance de la file active de patients sous traitement en considérant une croissance constante des besoins.</v>
      </c>
      <c r="D52" s="2599" t="s">
        <v>198</v>
      </c>
      <c r="E52" s="2598"/>
      <c r="F52" s="2600" t="s">
        <v>923</v>
      </c>
    </row>
    <row r="53" spans="2:8" x14ac:dyDescent="0.2">
      <c r="B53" s="2586" t="str">
        <f>IF(Présentation!$E$2="Français",'TRAD-Présentation'!D53,IF(Présentation!$E$2="Anglais",'TRAD-Présentation'!F53,""))</f>
        <v>Le raisonnement est le suivant :</v>
      </c>
      <c r="D53" s="2599" t="s">
        <v>199</v>
      </c>
      <c r="E53" s="2598"/>
      <c r="F53" s="2600" t="s">
        <v>924</v>
      </c>
    </row>
    <row r="54" spans="2:8" ht="25.5" x14ac:dyDescent="0.2">
      <c r="B54" s="2586" t="str">
        <f>IF(Présentation!$E$2="Français",'TRAD-Présentation'!D54,IF(Présentation!$E$2="Anglais",'TRAD-Présentation'!F54,""))</f>
        <v>Cette croissance suit une courbe constante de type y=ax+b</v>
      </c>
      <c r="D54" s="2599" t="s">
        <v>200</v>
      </c>
      <c r="E54" s="2598"/>
      <c r="F54" s="2600" t="s">
        <v>925</v>
      </c>
    </row>
    <row r="55" spans="2:8" x14ac:dyDescent="0.2">
      <c r="B55" s="2586" t="str">
        <f>IF(Présentation!$E$2="Français",'TRAD-Présentation'!D55,IF(Présentation!$E$2="Anglais",'TRAD-Présentation'!F55,""))</f>
        <v>Avec les données suivantes :</v>
      </c>
      <c r="D55" s="2601" t="s">
        <v>207</v>
      </c>
      <c r="E55" s="2598"/>
      <c r="F55" s="2600" t="s">
        <v>926</v>
      </c>
    </row>
    <row r="56" spans="2:8" x14ac:dyDescent="0.2">
      <c r="B56" s="2586" t="str">
        <f>IF(Présentation!$E$2="Français",'TRAD-Présentation'!D56,IF(Présentation!$E$2="Anglais",'TRAD-Présentation'!F56,""))</f>
        <v>y étant les besoins d'1 mois</v>
      </c>
      <c r="D56" s="2601" t="s">
        <v>201</v>
      </c>
      <c r="E56" s="2598"/>
      <c r="F56" s="2600" t="s">
        <v>927</v>
      </c>
    </row>
    <row r="57" spans="2:8" x14ac:dyDescent="0.2">
      <c r="B57" s="2586" t="str">
        <f>IF(Présentation!$E$2="Français",'TRAD-Présentation'!D57,IF(Présentation!$E$2="Anglais",'TRAD-Présentation'!F57,""))</f>
        <v>x étant les mois</v>
      </c>
      <c r="D57" s="2601" t="s">
        <v>202</v>
      </c>
      <c r="E57" s="2598"/>
      <c r="F57" s="2600" t="s">
        <v>928</v>
      </c>
    </row>
    <row r="58" spans="2:8" x14ac:dyDescent="0.2">
      <c r="B58" s="2586" t="str">
        <f>IF(Présentation!$E$2="Français",'TRAD-Présentation'!D58,IF(Présentation!$E$2="Anglais",'TRAD-Présentation'!F58,""))</f>
        <v>a = besoins pour les inclusions mensuelles</v>
      </c>
      <c r="D58" s="2601" t="s">
        <v>195</v>
      </c>
      <c r="E58" s="2598"/>
      <c r="F58" s="2600" t="s">
        <v>929</v>
      </c>
    </row>
    <row r="59" spans="2:8" ht="25.5" x14ac:dyDescent="0.2">
      <c r="B59" s="2586" t="str">
        <f>IF(Présentation!$E$2="Français",'TRAD-Présentation'!D59,IF(Présentation!$E$2="Anglais",'TRAD-Présentation'!F59,""))</f>
        <v>b = besoins nécessaires pour les patients déjà sous traitement</v>
      </c>
      <c r="D59" s="2601" t="s">
        <v>193</v>
      </c>
      <c r="E59" s="2598"/>
      <c r="F59" s="2600" t="s">
        <v>930</v>
      </c>
    </row>
    <row r="60" spans="2:8" x14ac:dyDescent="0.2">
      <c r="B60" s="2586" t="str">
        <f>IF(Présentation!$E$2="Français",'TRAD-Présentation'!D60,IF(Présentation!$E$2="Anglais",'TRAD-Présentation'!F60,""))</f>
        <v>SD = stocks disponibles</v>
      </c>
      <c r="D60" s="2601" t="s">
        <v>194</v>
      </c>
      <c r="E60" s="2598"/>
      <c r="F60" s="2600" t="s">
        <v>931</v>
      </c>
    </row>
    <row r="61" spans="2:8" ht="25.5" x14ac:dyDescent="0.2">
      <c r="B61" s="2586" t="str">
        <f>IF(Présentation!$E$2="Français",'TRAD-Présentation'!D61,IF(Présentation!$E$2="Anglais",'TRAD-Présentation'!F61,""))</f>
        <v>Et n la période de couverture comme inconnue recherchée</v>
      </c>
      <c r="D61" s="2599" t="s">
        <v>209</v>
      </c>
      <c r="E61" s="2598"/>
      <c r="F61" s="2600" t="s">
        <v>932</v>
      </c>
    </row>
    <row r="62" spans="2:8" ht="25.5" x14ac:dyDescent="0.2">
      <c r="B62" s="2586" t="str">
        <f>IF(Présentation!$E$2="Français",'TRAD-Présentation'!D62,IF(Présentation!$E$2="Anglais",'TRAD-Présentation'!F62,""))</f>
        <v>Pour calculer la somme des besoins pour plusieurs mois, nous avons donc :</v>
      </c>
      <c r="D62" s="2599" t="s">
        <v>203</v>
      </c>
      <c r="E62" s="2598"/>
      <c r="F62" s="2600" t="s">
        <v>933</v>
      </c>
    </row>
    <row r="63" spans="2:8" ht="51" x14ac:dyDescent="0.2">
      <c r="B63" s="2586" t="str">
        <f>IF(Présentation!$E$2="Français",'TRAD-Présentation'!D63,IF(Présentation!$E$2="Anglais",'TRAD-Présentation'!F63,""))</f>
        <v>Somme des besoins sur la période n (n allant de 1 mois à n mois) = a * somme des mois (n allant de 1 mois à n mois)+b * n mois</v>
      </c>
      <c r="D63" s="2599" t="s">
        <v>204</v>
      </c>
      <c r="E63" s="2598"/>
      <c r="F63" s="2600" t="s">
        <v>934</v>
      </c>
    </row>
    <row r="64" spans="2:8" ht="25.5" x14ac:dyDescent="0.2">
      <c r="B64" s="2586" t="str">
        <f>IF(Présentation!$E$2="Français",'TRAD-Présentation'!D64,IF(Présentation!$E$2="Anglais",'TRAD-Présentation'!F64,""))</f>
        <v>Sur le même principe qu'un triangle de Pascal, on peut décomposer :</v>
      </c>
      <c r="D64" s="2599" t="s">
        <v>210</v>
      </c>
      <c r="E64" s="2598"/>
      <c r="F64" s="2600" t="s">
        <v>935</v>
      </c>
    </row>
    <row r="65" spans="2:11" ht="25.5" x14ac:dyDescent="0.2">
      <c r="B65" s="2586" t="str">
        <f>IF(Présentation!$E$2="Français",'TRAD-Présentation'!D65,IF(Présentation!$E$2="Anglais",'TRAD-Présentation'!F65,""))</f>
        <v>somme des mois (n allant de 1 mois à n mois)= n(n+1)/2</v>
      </c>
      <c r="D65" s="2599" t="s">
        <v>205</v>
      </c>
      <c r="E65" s="2598"/>
      <c r="F65" s="2600" t="s">
        <v>936</v>
      </c>
    </row>
    <row r="66" spans="2:11" ht="25.5" x14ac:dyDescent="0.2">
      <c r="B66" s="2586" t="str">
        <f>IF(Présentation!$E$2="Français",'TRAD-Présentation'!D66,IF(Présentation!$E$2="Anglais",'TRAD-Présentation'!F66,""))</f>
        <v>On obtient donc l'équation du second degré :</v>
      </c>
      <c r="D66" s="2599" t="s">
        <v>211</v>
      </c>
      <c r="E66" s="2598"/>
      <c r="F66" s="2600" t="s">
        <v>937</v>
      </c>
    </row>
    <row r="67" spans="2:11" ht="25.5" x14ac:dyDescent="0.2">
      <c r="B67" s="2586" t="str">
        <f>IF(Présentation!$E$2="Français",'TRAD-Présentation'!D67,IF(Présentation!$E$2="Anglais",'TRAD-Présentation'!F67,""))</f>
        <v>Cette équation a comme solution n = [-(a+2b)+RACINE(delta)]/2a</v>
      </c>
      <c r="D67" s="2601" t="s">
        <v>212</v>
      </c>
      <c r="E67" s="2598"/>
      <c r="F67" s="2600" t="s">
        <v>938</v>
      </c>
    </row>
    <row r="68" spans="2:11" ht="25.5" x14ac:dyDescent="0.2">
      <c r="B68" s="2586" t="str">
        <f>IF(Présentation!$E$2="Français",'TRAD-Présentation'!D68,IF(Présentation!$E$2="Anglais",'TRAD-Présentation'!F68,""))</f>
        <v>delta étant le déterminant de la fonction = (a+2b)²+4a2SD</v>
      </c>
      <c r="D68" s="2599" t="s">
        <v>208</v>
      </c>
      <c r="E68" s="2598"/>
      <c r="F68" s="2600" t="s">
        <v>939</v>
      </c>
    </row>
    <row r="69" spans="2:11" ht="25.5" x14ac:dyDescent="0.2">
      <c r="B69" s="2586" t="str">
        <f>IF(Présentation!$E$2="Français",'TRAD-Présentation'!D69,IF(Présentation!$E$2="Anglais",'TRAD-Présentation'!F69,""))</f>
        <v>C'est l'équation de cette solution qui a été utilisée dans les tableaux suivants.</v>
      </c>
      <c r="D69" s="2599" t="s">
        <v>213</v>
      </c>
      <c r="E69" s="2598"/>
      <c r="F69" s="2600" t="s">
        <v>940</v>
      </c>
    </row>
    <row r="70" spans="2:11" ht="38.25" x14ac:dyDescent="0.2">
      <c r="B70" s="2586" t="str">
        <f>IF(Présentation!$E$2="Français",'TRAD-Présentation'!D70,IF(Présentation!$E$2="Anglais",'TRAD-Présentation'!F70,""))</f>
        <v>Lorsqu'il n'y a pas de croissance des besoins (a=0, y=b), nous avons utilisé la formule n=SD/b</v>
      </c>
      <c r="D70" s="2599" t="s">
        <v>221</v>
      </c>
      <c r="E70" s="2598"/>
      <c r="F70" s="2600" t="s">
        <v>941</v>
      </c>
    </row>
    <row r="71" spans="2:11" ht="25.5" x14ac:dyDescent="0.2">
      <c r="B71" s="2586" t="str">
        <f>IF(Présentation!$E$2="Français",'TRAD-Présentation'!D71,IF(Présentation!$E$2="Anglais",'TRAD-Présentation'!F71,""))</f>
        <v>Les données mensuelles sont arrondis à la décimale</v>
      </c>
      <c r="D71" s="2599" t="s">
        <v>220</v>
      </c>
      <c r="E71" s="2598"/>
      <c r="F71" s="2600" t="s">
        <v>942</v>
      </c>
    </row>
    <row r="72" spans="2:11" ht="38.25" x14ac:dyDescent="0.2">
      <c r="B72" s="2586" t="str">
        <f>IF(Présentation!$E$2="Français",'TRAD-Présentation'!D72,IF(Présentation!$E$2="Anglais",'TRAD-Présentation'!F72,""))</f>
        <v>2. La deuxième méthode est basée sur les données de consommation / distribution</v>
      </c>
      <c r="D72" s="2599" t="s">
        <v>533</v>
      </c>
      <c r="E72" s="2598"/>
      <c r="F72" s="2600" t="s">
        <v>943</v>
      </c>
    </row>
    <row r="73" spans="2:11" ht="51" x14ac:dyDescent="0.2">
      <c r="B73" s="2586" t="str">
        <f>IF(Présentation!$E$2="Français",'TRAD-Présentation'!D73,IF(Présentation!$E$2="Anglais",'TRAD-Présentation'!F73,""))</f>
        <v>Pour l'utilisation de cette méthode, il est possible de tenir compte d'une augmentation des besoins mensuels en définissant un taux de croissance.</v>
      </c>
      <c r="D73" s="2601" t="s">
        <v>534</v>
      </c>
      <c r="E73" s="2598"/>
      <c r="F73" s="2600" t="s">
        <v>944</v>
      </c>
    </row>
    <row r="74" spans="2:11" ht="25.5" x14ac:dyDescent="0.2">
      <c r="B74" s="2586" t="str">
        <f>IF(Présentation!$E$2="Français",'TRAD-Présentation'!D74,IF(Présentation!$E$2="Anglais",'TRAD-Présentation'!F74,""))</f>
        <v>Les calculs se font alors de la même manière que précédemment</v>
      </c>
      <c r="D74" s="2601" t="s">
        <v>535</v>
      </c>
      <c r="E74" s="2598"/>
      <c r="F74" s="2600" t="s">
        <v>945</v>
      </c>
    </row>
    <row r="75" spans="2:11" ht="76.5" x14ac:dyDescent="0.2">
      <c r="B75" s="2586" t="str">
        <f>IF(Présentation!$E$2="Français",'TRAD-Présentation'!D75,IF(Présentation!$E$2="Anglais",'TRAD-Présentation'!F75,""))</f>
        <v>Lorsque cette méthode est utilisée seule, il est important de vider l'ensemble des cellules à remplir dans l'onglet "Données à saisir" car sinon un nombre de patients apparaîtra dans les résultats et ne correspondra pas à la réalité.</v>
      </c>
      <c r="D75" s="2601" t="s">
        <v>536</v>
      </c>
      <c r="E75" s="2601"/>
      <c r="F75" s="2601" t="s">
        <v>946</v>
      </c>
      <c r="G75" s="2593"/>
      <c r="H75" s="2593"/>
      <c r="I75" s="2593"/>
      <c r="J75" s="2593"/>
      <c r="K75" s="2593"/>
    </row>
    <row r="76" spans="2:11" x14ac:dyDescent="0.2">
      <c r="B76" s="2586" t="str">
        <f>IF(Présentation!$E$2="Français",'TRAD-Présentation'!D76,IF(Présentation!$E$2="Anglais",'TRAD-Présentation'!F76,""))</f>
        <v>Commentaires</v>
      </c>
      <c r="D76" s="2601" t="s">
        <v>62</v>
      </c>
      <c r="E76" s="2598"/>
      <c r="F76" s="2600" t="s">
        <v>947</v>
      </c>
    </row>
    <row r="77" spans="2:11" ht="25.5" x14ac:dyDescent="0.2">
      <c r="B77" s="2586" t="str">
        <f>IF(Présentation!$E$2="Français",'TRAD-Présentation'!D77,IF(Présentation!$E$2="Anglais",'TRAD-Présentation'!F77,""))</f>
        <v>attention, il est indispensable d'activer les liens pour que le système fonctionne</v>
      </c>
      <c r="D77" s="2662" t="s">
        <v>492</v>
      </c>
      <c r="E77" s="2598"/>
      <c r="F77" s="2600" t="s">
        <v>1012</v>
      </c>
    </row>
    <row r="78" spans="2:11" ht="25.5" x14ac:dyDescent="0.2">
      <c r="B78" s="2586" t="str">
        <f>IF(Présentation!$E$2="Français",'TRAD-Présentation'!D78,IF(Présentation!$E$2="Anglais",'TRAD-Présentation'!F78,""))</f>
        <v>attention, les résultats tiennent compte de toutes les données entrées</v>
      </c>
      <c r="D78" s="2662" t="s">
        <v>63</v>
      </c>
      <c r="E78" s="2598"/>
      <c r="F78" s="2600" t="s">
        <v>1013</v>
      </c>
    </row>
    <row r="79" spans="2:11" ht="38.25" x14ac:dyDescent="0.2">
      <c r="B79" s="2586" t="str">
        <f>IF(Présentation!$E$2="Français",'TRAD-Présentation'!D79,IF(Présentation!$E$2="Anglais",'TRAD-Présentation'!F79,""))</f>
        <v>attention, ce calculateur ne tient pas compte des besoins de la prise en charge des AES</v>
      </c>
      <c r="D79" s="2662" t="s">
        <v>556</v>
      </c>
      <c r="E79" s="2598"/>
      <c r="F79" s="2600" t="s">
        <v>1014</v>
      </c>
    </row>
    <row r="80" spans="2:11" ht="51" x14ac:dyDescent="0.2">
      <c r="B80" s="2586" t="str">
        <f>IF(Présentation!$E$2="Français",'TRAD-Présentation'!D80,IF(Présentation!$E$2="Anglais",'TRAD-Présentation'!F80,""))</f>
        <v>attention, pour les commandes attendues à court terme, la disponibilité des produits doit tenir compte de la réception REELLE de ces commandes</v>
      </c>
      <c r="D80" s="2662" t="s">
        <v>256</v>
      </c>
      <c r="E80" s="2598"/>
      <c r="F80" s="2600" t="s">
        <v>1015</v>
      </c>
    </row>
    <row r="81" spans="2:6" ht="51" x14ac:dyDescent="0.2">
      <c r="B81" s="2586" t="str">
        <f>IF(Présentation!$E$2="Français",'TRAD-Présentation'!D81,IF(Présentation!$E$2="Anglais",'TRAD-Présentation'!F81,""))</f>
        <v>Solthis n'assume pas la responsabilité de résultats obtenus avec une mauvaise saisie de données ou par toute modification du tableau</v>
      </c>
      <c r="D81" s="2600" t="s">
        <v>64</v>
      </c>
      <c r="E81" s="2598"/>
      <c r="F81" s="2600" t="s">
        <v>948</v>
      </c>
    </row>
    <row r="82" spans="2:6" ht="38.25" x14ac:dyDescent="0.2">
      <c r="B82" s="2586" t="str">
        <f>IF(Présentation!$E$2="Français",'TRAD-Présentation'!D82,IF(Présentation!$E$2="Anglais",'TRAD-Présentation'!F82,""))</f>
        <v>Cet outil fait l'objet d'une licence libre de type Creative Commons (http://creativecommons.org/)</v>
      </c>
      <c r="D82" s="2599" t="s">
        <v>541</v>
      </c>
      <c r="E82" s="2598"/>
      <c r="F82" s="2599" t="s">
        <v>881</v>
      </c>
    </row>
    <row r="83" spans="2:6" ht="25.5" x14ac:dyDescent="0.2">
      <c r="B83" s="2586" t="str">
        <f>IF(Présentation!$E$2="Français",'TRAD-Présentation'!D83,IF(Présentation!$E$2="Anglais",'TRAD-Présentation'!F83,""))</f>
        <v xml:space="preserve">L'utilisation et la copie de cet outil sont libres dans la mesure où : </v>
      </c>
      <c r="D83" s="2600" t="s">
        <v>1822</v>
      </c>
      <c r="E83" s="2598"/>
      <c r="F83" s="2599" t="s">
        <v>1823</v>
      </c>
    </row>
    <row r="84" spans="2:6" ht="25.5" x14ac:dyDescent="0.2">
      <c r="B84" s="2586" t="str">
        <f>IF(Présentation!$E$2="Français",'TRAD-Présentation'!D84,IF(Présentation!$E$2="Anglais",'TRAD-Présentation'!F84,""))</f>
        <v xml:space="preserve">1. L'outil est utilisé dans un but non lucratif  </v>
      </c>
      <c r="D84" s="2592" t="s">
        <v>1824</v>
      </c>
      <c r="E84" s="2598"/>
      <c r="F84" s="2592" t="s">
        <v>1825</v>
      </c>
    </row>
    <row r="85" spans="2:6" ht="38.25" x14ac:dyDescent="0.2">
      <c r="B85" s="2586" t="str">
        <f>IF(Présentation!$E$2="Français",'TRAD-Présentation'!D85,IF(Présentation!$E$2="Anglais",'TRAD-Présentation'!F85,""))</f>
        <v>2. Il sert à atteindre l'objectif pour lequel il a été crée : améliorer la disponibilité des traitements antirétroviraux</v>
      </c>
      <c r="D85" s="2592" t="s">
        <v>882</v>
      </c>
      <c r="E85" s="2598"/>
      <c r="F85" s="2600" t="s">
        <v>883</v>
      </c>
    </row>
    <row r="86" spans="2:6" ht="25.5" x14ac:dyDescent="0.2">
      <c r="B86" s="2586" t="str">
        <f>IF(Présentation!$E$2="Français",'TRAD-Présentation'!D86,IF(Présentation!$E$2="Anglais",'TRAD-Présentation'!F86,""))</f>
        <v>3. L'utilisateur reconnaît que l'outil a été initialement développé par Solthis</v>
      </c>
      <c r="D86" s="2592" t="s">
        <v>257</v>
      </c>
      <c r="E86" s="2598"/>
      <c r="F86" s="2592" t="s">
        <v>884</v>
      </c>
    </row>
    <row r="87" spans="2:6" ht="25.5" x14ac:dyDescent="0.2">
      <c r="B87" s="2586" t="str">
        <f>IF(Présentation!$E$2="Français",'TRAD-Présentation'!D87,IF(Présentation!$E$2="Anglais",'TRAD-Présentation'!F87,""))</f>
        <v>Pour toutes modifications et adaptations de l'outil, contactez-nous.</v>
      </c>
      <c r="D87" s="2602" t="s">
        <v>1826</v>
      </c>
      <c r="E87" s="2598"/>
      <c r="F87" s="2602" t="s">
        <v>885</v>
      </c>
    </row>
    <row r="88" spans="2:6" ht="38.25" x14ac:dyDescent="0.2">
      <c r="B88" s="2586" t="str">
        <f>IF(Présentation!$E$2="Français",'TRAD-Présentation'!D88,IF(Présentation!$E$2="Anglais",'TRAD-Présentation'!F88,""))</f>
        <v>Toutes les modifications faites sur l'outil devront partager les mêmes conditions que celles mentionnées ci-dessus.</v>
      </c>
      <c r="D88" s="2600" t="s">
        <v>543</v>
      </c>
      <c r="E88" s="2598"/>
      <c r="F88" s="2599" t="s">
        <v>886</v>
      </c>
    </row>
    <row r="89" spans="2:6" ht="25.5" x14ac:dyDescent="0.2">
      <c r="B89" s="2586" t="str">
        <f>IF(Présentation!$E$2="Français",'TRAD-Présentation'!D89,IF(Présentation!$E$2="Anglais",'TRAD-Présentation'!F89,""))</f>
        <v xml:space="preserve">Pour toute questions et commentaires, contacter Solthis : </v>
      </c>
      <c r="D89" s="2600" t="s">
        <v>544</v>
      </c>
      <c r="E89" s="2598"/>
      <c r="F89" s="2599" t="s">
        <v>887</v>
      </c>
    </row>
    <row r="90" spans="2:6" x14ac:dyDescent="0.2">
      <c r="B90" s="2586" t="str">
        <f>IF(Présentation!$E$2="Français",'TRAD-Présentation'!D90,IF(Présentation!$E$2="Anglais",'TRAD-Présentation'!F90,""))</f>
        <v>Paramétrage général</v>
      </c>
      <c r="D90" s="2600" t="s">
        <v>684</v>
      </c>
      <c r="F90" s="2599" t="s">
        <v>968</v>
      </c>
    </row>
    <row r="91" spans="2:6" x14ac:dyDescent="0.2">
      <c r="B91" s="2586" t="str">
        <f>IF(Présentation!$E$2="Français",'TRAD-Présentation'!D91,IF(Présentation!$E$2="Anglais",'TRAD-Présentation'!F91,""))</f>
        <v>Saisie des données de stocks</v>
      </c>
      <c r="D91" s="2600" t="s">
        <v>685</v>
      </c>
      <c r="F91" s="2599" t="s">
        <v>957</v>
      </c>
    </row>
    <row r="92" spans="2:6" ht="25.5" x14ac:dyDescent="0.2">
      <c r="B92" s="2586" t="str">
        <f>IF(Présentation!$E$2="Français",'TRAD-Présentation'!D92,IF(Présentation!$E$2="Anglais",'TRAD-Présentation'!F92,""))</f>
        <v>Saisie des données de file active / suivi de patients</v>
      </c>
      <c r="D92" s="2600" t="s">
        <v>686</v>
      </c>
      <c r="F92" s="2599" t="s">
        <v>958</v>
      </c>
    </row>
    <row r="93" spans="2:6" ht="25.5" x14ac:dyDescent="0.2">
      <c r="B93" s="2586" t="str">
        <f>IF(Présentation!$E$2="Français",'TRAD-Présentation'!D93,IF(Présentation!$E$2="Anglais",'TRAD-Présentation'!F93,""))</f>
        <v>Saisie des données de consommation / distribution</v>
      </c>
      <c r="D93" s="2600" t="s">
        <v>687</v>
      </c>
      <c r="F93" s="2599" t="s">
        <v>959</v>
      </c>
    </row>
    <row r="94" spans="2:6" x14ac:dyDescent="0.2">
      <c r="B94" s="2586" t="str">
        <f>IF(Présentation!$E$2="Français",'TRAD-Présentation'!D94,IF(Présentation!$E$2="Anglais",'TRAD-Présentation'!F94,""))</f>
        <v>Calculs</v>
      </c>
      <c r="D94" s="2600" t="s">
        <v>688</v>
      </c>
      <c r="F94" s="2599" t="s">
        <v>953</v>
      </c>
    </row>
    <row r="95" spans="2:6" x14ac:dyDescent="0.2">
      <c r="B95" s="2586" t="str">
        <f>IF(Présentation!$E$2="Français",'TRAD-Présentation'!D95,IF(Présentation!$E$2="Anglais",'TRAD-Présentation'!F95,""))</f>
        <v>Détails calculs pédiatriques</v>
      </c>
      <c r="D95" s="2600" t="s">
        <v>214</v>
      </c>
      <c r="F95" s="2599" t="s">
        <v>954</v>
      </c>
    </row>
    <row r="96" spans="2:6" ht="25.5" x14ac:dyDescent="0.2">
      <c r="B96" s="2586" t="str">
        <f>IF(Présentation!$E$2="Français",'TRAD-Présentation'!D96,IF(Présentation!$E$2="Anglais",'TRAD-Présentation'!F96,""))</f>
        <v>Analyse des surstocks en fonction des péremptions (données de FA)</v>
      </c>
      <c r="D96" s="2600" t="s">
        <v>700</v>
      </c>
      <c r="F96" s="2599" t="s">
        <v>960</v>
      </c>
    </row>
    <row r="97" spans="2:6" ht="25.5" x14ac:dyDescent="0.2">
      <c r="B97" s="2586" t="str">
        <f>IF(Présentation!$E$2="Français",'TRAD-Présentation'!D97,IF(Présentation!$E$2="Anglais",'TRAD-Présentation'!F97,""))</f>
        <v>Analyse des surstocks en fonction des péremptions (données de Conso)</v>
      </c>
      <c r="D97" s="2600" t="s">
        <v>699</v>
      </c>
      <c r="F97" s="2599" t="s">
        <v>961</v>
      </c>
    </row>
    <row r="98" spans="2:6" ht="25.5" x14ac:dyDescent="0.2">
      <c r="B98" s="2586" t="str">
        <f>IF(Présentation!$E$2="Français",'TRAD-Présentation'!D98,IF(Présentation!$E$2="Anglais",'TRAD-Présentation'!F98,""))</f>
        <v>Un menu présente l'ensemble des résultats</v>
      </c>
      <c r="D98" s="2600" t="s">
        <v>527</v>
      </c>
      <c r="F98" s="2599" t="s">
        <v>962</v>
      </c>
    </row>
    <row r="99" spans="2:6" ht="25.5" x14ac:dyDescent="0.2">
      <c r="B99" s="2586" t="str">
        <f>IF(Présentation!$E$2="Français",'TRAD-Présentation'!D99,IF(Présentation!$E$2="Anglais",'TRAD-Présentation'!F99,""))</f>
        <v>12 feuilles Résultats graphiques (selon formes et méthode de quanti)</v>
      </c>
      <c r="D99" s="2600" t="s">
        <v>812</v>
      </c>
      <c r="F99" s="2599" t="s">
        <v>963</v>
      </c>
    </row>
    <row r="100" spans="2:6" x14ac:dyDescent="0.2">
      <c r="B100" s="2586" t="str">
        <f>IF(Présentation!$E$2="Français",'TRAD-Présentation'!D100,IF(Présentation!$E$2="Anglais",'TRAD-Présentation'!F100,""))</f>
        <v>Synthèse des stocks et disponibilités</v>
      </c>
      <c r="D100" s="2600" t="s">
        <v>811</v>
      </c>
      <c r="F100" s="2599" t="s">
        <v>955</v>
      </c>
    </row>
    <row r="101" spans="2:6" ht="25.5" x14ac:dyDescent="0.2">
      <c r="B101" s="2586" t="str">
        <f>IF(Présentation!$E$2="Français",'TRAD-Présentation'!D101,IF(Présentation!$E$2="Anglais",'TRAD-Présentation'!F101,""))</f>
        <v>Tableau de bord des péremptions et surstocks</v>
      </c>
      <c r="D101" s="2600" t="s">
        <v>517</v>
      </c>
      <c r="F101" s="2599" t="s">
        <v>956</v>
      </c>
    </row>
    <row r="102" spans="2:6" ht="25.5" x14ac:dyDescent="0.2">
      <c r="B102" s="2586" t="str">
        <f>IF(Présentation!$E$2="Français",'TRAD-Présentation'!D102,IF(Présentation!$E$2="Anglais",'TRAD-Présentation'!F102,""))</f>
        <v>Pour l'impression rapide et mise en page des données saisies</v>
      </c>
      <c r="D102" s="2600" t="s">
        <v>518</v>
      </c>
      <c r="F102" s="2599" t="s">
        <v>964</v>
      </c>
    </row>
  </sheetData>
  <sheetProtection algorithmName="SHA-512" hashValue="cRaqA1/dTIX1RWB+5PFB5Y4hZPK62GyJ9uTmSgnnI2DKQ4TGEydGpkoe8UFzTfMwoDAGBe8cvNvyOUrr7IS4gQ==" saltValue="2BGol7pZ+Vfl2c8FsPq1xA=="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0"/>
  </sheetPr>
  <dimension ref="B1:BA88"/>
  <sheetViews>
    <sheetView topLeftCell="B33" workbookViewId="0">
      <selection activeCell="F67" sqref="F67"/>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53" s="2586" customFormat="1" x14ac:dyDescent="0.2">
      <c r="B1" s="2586" t="s">
        <v>865</v>
      </c>
      <c r="D1" s="2586" t="s">
        <v>866</v>
      </c>
      <c r="F1" s="2586" t="s">
        <v>867</v>
      </c>
    </row>
    <row r="2" spans="2:53" ht="25.5" x14ac:dyDescent="0.2">
      <c r="B2" s="2586" t="str">
        <f>IF(Présentation!$E$2="Français",'TRAD-Calculs dispo Données FA'!D2,IF(Présentation!$E$2="Anglais",'TRAD-Calculs dispo Données FA'!F2,""))</f>
        <v>Résultats - Périodes de disponibilité des produits - Durées &amp; dates</v>
      </c>
      <c r="D2" s="2554" t="s">
        <v>253</v>
      </c>
      <c r="E2" s="2554"/>
      <c r="F2" s="2554" t="s">
        <v>1464</v>
      </c>
      <c r="G2" s="2554"/>
      <c r="H2" s="2554"/>
      <c r="I2" s="2627"/>
      <c r="J2" s="2627"/>
      <c r="K2" s="2627"/>
      <c r="L2" s="2627"/>
      <c r="M2" s="2627"/>
      <c r="N2" s="2627"/>
      <c r="O2" s="2627"/>
      <c r="P2" s="2557"/>
      <c r="Q2" s="2557"/>
      <c r="R2" s="2557"/>
      <c r="T2" s="2557"/>
      <c r="U2" s="2555"/>
      <c r="V2" s="2555"/>
      <c r="W2" s="2628"/>
      <c r="X2" s="2628"/>
      <c r="Y2" s="2555"/>
      <c r="Z2" s="2555"/>
      <c r="AA2" s="2555"/>
      <c r="AB2" s="2555"/>
      <c r="AC2" s="2555"/>
      <c r="AD2" s="2555"/>
      <c r="AE2" s="2555"/>
      <c r="AF2" s="2555"/>
      <c r="AG2" s="2555"/>
      <c r="AH2" s="2555"/>
      <c r="AI2" s="2628"/>
      <c r="AJ2" s="2628"/>
      <c r="AK2" s="2555"/>
      <c r="AL2" s="2555"/>
      <c r="AM2" s="2555"/>
      <c r="AN2" s="2555"/>
      <c r="AO2" s="2555"/>
      <c r="AP2" s="2555"/>
      <c r="AQ2" s="2555"/>
      <c r="AR2" s="2555"/>
      <c r="AS2" s="2555"/>
      <c r="AT2" s="2555"/>
      <c r="AU2" s="2555"/>
      <c r="AV2" s="2555"/>
      <c r="AW2" s="2555"/>
      <c r="AX2" s="2555"/>
      <c r="AY2" s="2555"/>
      <c r="AZ2" s="2555"/>
      <c r="BA2" s="2628"/>
    </row>
    <row r="3" spans="2:53" ht="25.5" x14ac:dyDescent="0.2">
      <c r="B3" s="2586" t="str">
        <f>IF(Présentation!$E$2="Français",'TRAD-Calculs dispo Données FA'!D3,IF(Présentation!$E$2="Anglais",'TRAD-Calculs dispo Données FA'!F3,""))</f>
        <v>PARTIE 1 : Estimations à partir des données de files actives</v>
      </c>
      <c r="D3" s="2555" t="s">
        <v>1446</v>
      </c>
      <c r="F3" s="2555" t="s">
        <v>1465</v>
      </c>
      <c r="G3" s="2555"/>
      <c r="H3" s="2555"/>
      <c r="I3" s="2555"/>
      <c r="J3" s="2555"/>
      <c r="K3" s="2555"/>
      <c r="L3" s="2555"/>
      <c r="M3" s="2555"/>
      <c r="N3" s="2555"/>
      <c r="O3" s="2555"/>
      <c r="P3" s="2557"/>
      <c r="Q3" s="2557"/>
      <c r="R3" s="2557"/>
      <c r="T3" s="2557"/>
      <c r="U3" s="2555"/>
      <c r="V3" s="2555"/>
      <c r="W3" s="2628"/>
      <c r="X3" s="2628"/>
      <c r="Y3" s="2555"/>
      <c r="Z3" s="2555"/>
      <c r="AA3" s="2555"/>
      <c r="AB3" s="2555"/>
      <c r="AC3" s="2555"/>
      <c r="AD3" s="2555"/>
      <c r="AE3" s="2555"/>
      <c r="AF3" s="2555"/>
      <c r="AG3" s="2555"/>
      <c r="AH3" s="2555"/>
      <c r="AI3" s="2628"/>
      <c r="AJ3" s="2628"/>
      <c r="AK3" s="2555"/>
      <c r="AL3" s="2555"/>
      <c r="AM3" s="2555"/>
      <c r="AN3" s="2555"/>
      <c r="AO3" s="2555"/>
      <c r="AP3" s="2555"/>
      <c r="AQ3" s="2555"/>
      <c r="AR3" s="2555"/>
      <c r="AS3" s="2555"/>
      <c r="AT3" s="2555"/>
      <c r="AU3" s="2555"/>
      <c r="AV3" s="2555"/>
      <c r="AW3" s="2555"/>
      <c r="AX3" s="2555"/>
      <c r="AY3" s="2555"/>
      <c r="AZ3" s="2555"/>
      <c r="BA3" s="2628"/>
    </row>
    <row r="4" spans="2:53" x14ac:dyDescent="0.2">
      <c r="B4" s="2586" t="str">
        <f>IF(Présentation!$E$2="Français",'TRAD-Calculs dispo Données FA'!D4,IF(Présentation!$E$2="Anglais",'TRAD-Calculs dispo Données FA'!F4,""))</f>
        <v xml:space="preserve">PARTIE 2 : Estimations à partir des </v>
      </c>
      <c r="D4" s="2555" t="s">
        <v>1509</v>
      </c>
      <c r="F4" s="2555" t="s">
        <v>1510</v>
      </c>
      <c r="G4" s="2555"/>
      <c r="H4" s="2555"/>
      <c r="I4" s="2555"/>
      <c r="J4" s="2555"/>
      <c r="K4" s="2555"/>
      <c r="L4" s="2555"/>
      <c r="M4" s="2555"/>
      <c r="N4" s="2555"/>
      <c r="O4" s="2555"/>
      <c r="P4" s="2557"/>
      <c r="Q4" s="2557"/>
      <c r="R4" s="2557"/>
      <c r="T4" s="2557"/>
      <c r="U4" s="2555"/>
      <c r="V4" s="2555"/>
      <c r="W4" s="2628"/>
      <c r="X4" s="2628"/>
      <c r="Y4" s="2555"/>
      <c r="Z4" s="2555"/>
      <c r="AA4" s="2555"/>
      <c r="AB4" s="2555"/>
      <c r="AC4" s="2555"/>
      <c r="AD4" s="2555"/>
      <c r="AE4" s="2555"/>
      <c r="AF4" s="2555"/>
      <c r="AG4" s="2555"/>
      <c r="AH4" s="2555"/>
      <c r="AI4" s="2628"/>
      <c r="AJ4" s="2628"/>
      <c r="AK4" s="2555"/>
      <c r="AL4" s="2555"/>
      <c r="AM4" s="2555"/>
      <c r="AN4" s="2555"/>
      <c r="AO4" s="2555"/>
      <c r="AP4" s="2555"/>
      <c r="AQ4" s="2555"/>
      <c r="AR4" s="2555"/>
      <c r="AS4" s="2555"/>
      <c r="AT4" s="2555"/>
      <c r="AU4" s="2555"/>
      <c r="AV4" s="2555"/>
      <c r="AW4" s="2555"/>
      <c r="AX4" s="2555"/>
      <c r="AY4" s="2555"/>
      <c r="AZ4" s="2555"/>
      <c r="BA4" s="2628"/>
    </row>
    <row r="5" spans="2:53" ht="25.5" x14ac:dyDescent="0.2">
      <c r="B5" s="2586" t="str">
        <f>IF(Présentation!$E$2="Français",'TRAD-Calculs dispo Données FA'!D5,IF(Présentation!$E$2="Anglais",'TRAD-Calculs dispo Données FA'!F5,""))</f>
        <v>1.A. Avec les stocks actuellement disponibles au niveau central</v>
      </c>
      <c r="D5" s="2554" t="s">
        <v>1447</v>
      </c>
      <c r="E5" s="2555"/>
      <c r="F5" s="2555" t="s">
        <v>1466</v>
      </c>
      <c r="G5" s="2555"/>
      <c r="H5" s="2555"/>
      <c r="I5" s="2555"/>
      <c r="J5" s="2555"/>
      <c r="K5" s="2555"/>
      <c r="L5" s="2555"/>
      <c r="M5" s="2555"/>
      <c r="N5" s="2555"/>
      <c r="O5" s="2555"/>
      <c r="P5" s="2557"/>
      <c r="Q5" s="2557"/>
      <c r="R5" s="2557"/>
      <c r="T5" s="2557"/>
      <c r="U5" s="2555"/>
      <c r="V5" s="2555"/>
      <c r="W5" s="2628"/>
      <c r="X5" s="2628"/>
      <c r="Y5" s="2555"/>
      <c r="Z5" s="2555"/>
      <c r="AA5" s="2555"/>
      <c r="AB5" s="2555"/>
      <c r="AC5" s="2555"/>
      <c r="AD5" s="2555"/>
      <c r="AE5" s="2555"/>
      <c r="AF5" s="2555"/>
      <c r="AG5" s="2555"/>
      <c r="AH5" s="2555"/>
      <c r="AI5" s="2628"/>
      <c r="AJ5" s="2628"/>
      <c r="AK5" s="2555"/>
      <c r="AL5" s="2555"/>
      <c r="AM5" s="2555"/>
      <c r="AN5" s="2555"/>
      <c r="AO5" s="2555"/>
      <c r="AP5" s="2555"/>
      <c r="AQ5" s="2555"/>
      <c r="AR5" s="2555"/>
      <c r="AS5" s="2555"/>
      <c r="AT5" s="2555"/>
      <c r="AU5" s="2555"/>
      <c r="AV5" s="2555"/>
      <c r="AW5" s="2555"/>
      <c r="AX5" s="2555"/>
      <c r="AY5" s="2555"/>
      <c r="AZ5" s="2555"/>
      <c r="BA5" s="2628"/>
    </row>
    <row r="6" spans="2:53" ht="25.5" x14ac:dyDescent="0.2">
      <c r="B6" s="2586" t="str">
        <f>IF(Présentation!$E$2="Français",'TRAD-Calculs dispo Données FA'!D6,IF(Présentation!$E$2="Anglais",'TRAD-Calculs dispo Données FA'!F6,""))</f>
        <v>2.A. Avec les stocks actuellement disponibles au niveau central</v>
      </c>
      <c r="D6" s="2554" t="s">
        <v>1511</v>
      </c>
      <c r="E6" s="2555"/>
      <c r="F6" s="2555" t="s">
        <v>1512</v>
      </c>
      <c r="G6" s="2555"/>
      <c r="H6" s="2555"/>
      <c r="I6" s="2555"/>
      <c r="J6" s="2555"/>
      <c r="K6" s="2555"/>
      <c r="L6" s="2555"/>
      <c r="M6" s="2555"/>
      <c r="N6" s="2555"/>
      <c r="O6" s="2555"/>
      <c r="P6" s="2557"/>
      <c r="Q6" s="2557"/>
      <c r="R6" s="2557"/>
      <c r="T6" s="2557"/>
      <c r="U6" s="2555"/>
      <c r="V6" s="2555"/>
      <c r="W6" s="2628"/>
      <c r="X6" s="2628"/>
      <c r="Y6" s="2555"/>
      <c r="Z6" s="2555"/>
      <c r="AA6" s="2555"/>
      <c r="AB6" s="2555"/>
      <c r="AC6" s="2555"/>
      <c r="AD6" s="2555"/>
      <c r="AE6" s="2555"/>
      <c r="AF6" s="2555"/>
      <c r="AG6" s="2555"/>
      <c r="AH6" s="2555"/>
      <c r="AI6" s="2628"/>
      <c r="AJ6" s="2628"/>
      <c r="AK6" s="2555"/>
      <c r="AL6" s="2555"/>
      <c r="AM6" s="2555"/>
      <c r="AN6" s="2555"/>
      <c r="AO6" s="2555"/>
      <c r="AP6" s="2555"/>
      <c r="AQ6" s="2555"/>
      <c r="AR6" s="2555"/>
      <c r="AS6" s="2555"/>
      <c r="AT6" s="2555"/>
      <c r="AU6" s="2555"/>
      <c r="AV6" s="2555"/>
      <c r="AW6" s="2555"/>
      <c r="AX6" s="2555"/>
      <c r="AY6" s="2555"/>
      <c r="AZ6" s="2555"/>
      <c r="BA6" s="2628"/>
    </row>
    <row r="7" spans="2:53" x14ac:dyDescent="0.2">
      <c r="B7" s="2586" t="str">
        <f>IF(Présentation!$E$2="Français",'TRAD-Calculs dispo Données FA'!D7,IF(Présentation!$E$2="Anglais",'TRAD-Calculs dispo Données FA'!F7,""))</f>
        <v>Nature des stocks utilisés :</v>
      </c>
      <c r="D7" s="2555" t="s">
        <v>690</v>
      </c>
      <c r="F7" s="2554" t="s">
        <v>1451</v>
      </c>
      <c r="G7" s="2554"/>
      <c r="H7" s="2554"/>
      <c r="I7" s="2627"/>
      <c r="J7" s="2627"/>
      <c r="K7" s="2627"/>
      <c r="L7" s="2627"/>
      <c r="M7" s="2627"/>
      <c r="N7" s="2627"/>
      <c r="O7" s="2627"/>
      <c r="P7" s="2627"/>
      <c r="Q7" s="2627"/>
      <c r="R7" s="2627"/>
      <c r="T7" s="2627"/>
      <c r="U7" s="2554"/>
      <c r="V7" s="2554"/>
      <c r="W7" s="2629"/>
      <c r="X7" s="2629"/>
      <c r="Y7" s="2554"/>
      <c r="Z7" s="2554"/>
      <c r="AA7" s="2554"/>
      <c r="AB7" s="2554"/>
      <c r="AC7" s="2554"/>
      <c r="AD7" s="2554"/>
      <c r="AE7" s="2554"/>
      <c r="AF7" s="2554"/>
      <c r="AG7" s="2554"/>
      <c r="AH7" s="2554"/>
      <c r="AI7" s="2629"/>
      <c r="AJ7" s="2629"/>
      <c r="AK7" s="2554"/>
      <c r="AL7" s="2554"/>
      <c r="AM7" s="2554"/>
      <c r="AN7" s="2554"/>
      <c r="AO7" s="2554"/>
      <c r="AP7" s="2554"/>
      <c r="AQ7" s="2554"/>
      <c r="AR7" s="2554"/>
      <c r="AS7" s="2554"/>
      <c r="AT7" s="2554"/>
      <c r="AU7" s="2554"/>
      <c r="AV7" s="2554"/>
      <c r="AW7" s="2554"/>
      <c r="AX7" s="2554"/>
      <c r="AY7" s="2554"/>
      <c r="AZ7" s="2554"/>
      <c r="BA7" s="2629"/>
    </row>
    <row r="8" spans="2:53" x14ac:dyDescent="0.2">
      <c r="B8" s="2586" t="str">
        <f>IF(Présentation!$E$2="Français",'TRAD-Calculs dispo Données FA'!D8,IF(Présentation!$E$2="Anglais",'TRAD-Calculs dispo Données FA'!F8,""))</f>
        <v>Stocks centraux</v>
      </c>
      <c r="D8" s="2555" t="s">
        <v>282</v>
      </c>
      <c r="E8" s="2555"/>
      <c r="F8" s="2555" t="s">
        <v>1452</v>
      </c>
      <c r="G8" s="2555"/>
      <c r="H8" s="2555"/>
      <c r="I8" s="2555"/>
      <c r="J8" s="2555"/>
      <c r="K8" s="2555"/>
      <c r="L8" s="2555"/>
      <c r="M8" s="2555"/>
      <c r="N8" s="2555"/>
      <c r="O8" s="2555"/>
      <c r="P8" s="2557"/>
      <c r="Q8" s="2557"/>
      <c r="R8" s="2557"/>
      <c r="T8" s="2557"/>
      <c r="U8" s="2555"/>
      <c r="V8" s="2555"/>
      <c r="W8" s="2628"/>
      <c r="X8" s="2628"/>
      <c r="Y8" s="2555"/>
      <c r="Z8" s="2555"/>
      <c r="AA8" s="2555"/>
      <c r="AB8" s="2555"/>
      <c r="AC8" s="2555"/>
      <c r="AD8" s="2555"/>
      <c r="AE8" s="2555"/>
      <c r="AF8" s="2555"/>
      <c r="AG8" s="2555"/>
      <c r="AH8" s="2555"/>
      <c r="AI8" s="2628"/>
      <c r="AJ8" s="2628"/>
      <c r="AK8" s="2555"/>
      <c r="AL8" s="2555"/>
      <c r="AM8" s="2555"/>
      <c r="AN8" s="2555"/>
      <c r="AO8" s="2555"/>
      <c r="AP8" s="2555"/>
      <c r="AQ8" s="2555"/>
      <c r="AR8" s="2555"/>
      <c r="AS8" s="2555"/>
      <c r="AT8" s="2555"/>
      <c r="AU8" s="2555"/>
      <c r="AV8" s="2555"/>
      <c r="AW8" s="2555"/>
      <c r="AX8" s="2555"/>
      <c r="AY8" s="2555"/>
      <c r="AZ8" s="2555"/>
      <c r="BA8" s="2555"/>
    </row>
    <row r="9" spans="2:53" x14ac:dyDescent="0.2">
      <c r="B9" s="2586" t="str">
        <f>IF(Présentation!$E$2="Français",'TRAD-Calculs dispo Données FA'!D9,IF(Présentation!$E$2="Anglais",'TRAD-Calculs dispo Données FA'!F9,""))</f>
        <v>Classe forme galénique</v>
      </c>
      <c r="D9" s="2555" t="s">
        <v>280</v>
      </c>
      <c r="E9" s="2555"/>
      <c r="F9" s="2558" t="s">
        <v>1467</v>
      </c>
      <c r="G9" s="2555"/>
      <c r="H9" s="2555"/>
      <c r="J9" s="2555"/>
      <c r="K9" s="2555"/>
      <c r="L9" s="2555"/>
      <c r="M9" s="2555"/>
      <c r="N9" s="2555"/>
      <c r="O9" s="2555"/>
      <c r="P9" s="2555"/>
      <c r="Q9" s="2555"/>
      <c r="R9" s="2555"/>
    </row>
    <row r="10" spans="2:53" x14ac:dyDescent="0.2">
      <c r="B10" s="2586" t="str">
        <f>IF(Présentation!$E$2="Français",'TRAD-Calculs dispo Données FA'!D10,IF(Présentation!$E$2="Anglais",'TRAD-Calculs dispo Données FA'!F10,""))</f>
        <v>Classe thérapeutique</v>
      </c>
      <c r="D10" s="2555" t="s">
        <v>281</v>
      </c>
      <c r="E10" s="2555"/>
      <c r="F10" s="2555" t="s">
        <v>1453</v>
      </c>
      <c r="G10" s="2555"/>
      <c r="H10" s="2555"/>
      <c r="I10" s="2555"/>
      <c r="J10" s="2555"/>
      <c r="K10" s="2555"/>
      <c r="L10" s="2555"/>
      <c r="M10" s="2555"/>
      <c r="N10" s="2555"/>
      <c r="O10" s="2555"/>
      <c r="P10" s="2557"/>
      <c r="Q10" s="2557"/>
      <c r="R10" s="2557"/>
    </row>
    <row r="11" spans="2:53" x14ac:dyDescent="0.2">
      <c r="B11" s="2586" t="str">
        <f>IF(Présentation!$E$2="Français",'TRAD-Calculs dispo Données FA'!D11,IF(Présentation!$E$2="Anglais",'TRAD-Calculs dispo Données FA'!F11,""))</f>
        <v>Composition</v>
      </c>
      <c r="D11" s="2554" t="s">
        <v>12</v>
      </c>
      <c r="E11" s="2554"/>
      <c r="F11" s="2558" t="s">
        <v>12</v>
      </c>
    </row>
    <row r="12" spans="2:53" x14ac:dyDescent="0.2">
      <c r="B12" s="2586" t="str">
        <f>IF(Présentation!$E$2="Français",'TRAD-Calculs dispo Données FA'!D12,IF(Présentation!$E$2="Anglais",'TRAD-Calculs dispo Données FA'!F12,""))</f>
        <v>Forme galénique</v>
      </c>
      <c r="D12" s="2554" t="s">
        <v>13</v>
      </c>
      <c r="F12" s="2558" t="s">
        <v>980</v>
      </c>
    </row>
    <row r="13" spans="2:53" x14ac:dyDescent="0.2">
      <c r="B13" s="2586" t="str">
        <f>IF(Présentation!$E$2="Français",'TRAD-Calculs dispo Données FA'!D13,IF(Présentation!$E$2="Anglais",'TRAD-Calculs dispo Données FA'!F13,""))</f>
        <v>Dosage</v>
      </c>
      <c r="D13" s="2554" t="s">
        <v>14</v>
      </c>
      <c r="F13" s="2558" t="s">
        <v>1379</v>
      </c>
    </row>
    <row r="14" spans="2:53" x14ac:dyDescent="0.2">
      <c r="B14" s="2586" t="str">
        <f>IF(Présentation!$E$2="Français",'TRAD-Calculs dispo Données FA'!D14,IF(Présentation!$E$2="Anglais",'TRAD-Calculs dispo Données FA'!F14,""))</f>
        <v>Nom pour représentation graphique</v>
      </c>
      <c r="D14" s="2554" t="s">
        <v>189</v>
      </c>
      <c r="F14" s="2558" t="s">
        <v>1372</v>
      </c>
    </row>
    <row r="15" spans="2:53" x14ac:dyDescent="0.2">
      <c r="B15" s="2586" t="str">
        <f>IF(Présentation!$E$2="Français",'TRAD-Calculs dispo Données FA'!D15,IF(Présentation!$E$2="Anglais",'TRAD-Calculs dispo Données FA'!F15,""))</f>
        <v>Nb de prise / jour</v>
      </c>
      <c r="D15" s="2554" t="s">
        <v>1449</v>
      </c>
      <c r="F15" s="2558" t="s">
        <v>1479</v>
      </c>
    </row>
    <row r="16" spans="2:53" x14ac:dyDescent="0.2">
      <c r="B16" s="2586" t="str">
        <f>IF(Présentation!$E$2="Français",'TRAD-Calculs dispo Données FA'!D16,IF(Présentation!$E$2="Anglais",'TRAD-Calculs dispo Données FA'!F16,""))</f>
        <v>Nb de prise / mois</v>
      </c>
      <c r="D16" s="2554" t="s">
        <v>1450</v>
      </c>
      <c r="F16" s="2558" t="s">
        <v>1480</v>
      </c>
    </row>
    <row r="17" spans="2:38" x14ac:dyDescent="0.2">
      <c r="B17" s="2586" t="str">
        <f>IF(Présentation!$E$2="Français",'TRAD-Calculs dispo Données FA'!D17,IF(Présentation!$E$2="Anglais",'TRAD-Calculs dispo Données FA'!F17,""))</f>
        <v>Conditionnement</v>
      </c>
      <c r="D17" s="2554" t="s">
        <v>96</v>
      </c>
      <c r="F17" s="2558" t="s">
        <v>986</v>
      </c>
    </row>
    <row r="18" spans="2:38" x14ac:dyDescent="0.2">
      <c r="B18" s="2586" t="str">
        <f>IF(Présentation!$E$2="Français",'TRAD-Calculs dispo Données FA'!D18,IF(Présentation!$E$2="Anglais",'TRAD-Calculs dispo Données FA'!F18,""))</f>
        <v>Volume conditionnement primaire (mL)</v>
      </c>
      <c r="D18" s="2554" t="s">
        <v>76</v>
      </c>
      <c r="F18" s="2553" t="s">
        <v>1478</v>
      </c>
    </row>
    <row r="19" spans="2:38" x14ac:dyDescent="0.2">
      <c r="B19" s="2586" t="str">
        <f>IF(Présentation!$E$2="Français",'TRAD-Calculs dispo Données FA'!D19,IF(Présentation!$E$2="Anglais",'TRAD-Calculs dispo Données FA'!F19,""))</f>
        <v>Conditionement secondaire</v>
      </c>
      <c r="D19" s="2554" t="s">
        <v>77</v>
      </c>
      <c r="F19" s="2558" t="s">
        <v>1167</v>
      </c>
    </row>
    <row r="20" spans="2:38" ht="25.5" x14ac:dyDescent="0.2">
      <c r="B20" s="2586" t="str">
        <f>IF(Présentation!$E$2="Français",'TRAD-Calculs dispo Données FA'!D20,IF(Présentation!$E$2="Anglais",'TRAD-Calculs dispo Données FA'!F20,""))</f>
        <v>Nb de boites nécessaire pour 1 mois pour 1 patient</v>
      </c>
      <c r="D20" s="2554" t="s">
        <v>140</v>
      </c>
      <c r="F20" s="2558" t="s">
        <v>1454</v>
      </c>
    </row>
    <row r="21" spans="2:38" ht="25.5" x14ac:dyDescent="0.2">
      <c r="B21" s="2586" t="str">
        <f>IF(Présentation!$E$2="Français",'TRAD-Calculs dispo Données FA'!D21,IF(Présentation!$E$2="Anglais",'TRAD-Calculs dispo Données FA'!F21,""))</f>
        <v>Stock disponible UTILISABLE au niveau considéré (nb de boites)</v>
      </c>
      <c r="D21" s="2554" t="s">
        <v>701</v>
      </c>
      <c r="F21" s="2555" t="s">
        <v>1455</v>
      </c>
      <c r="G21" s="2555"/>
      <c r="H21" s="2555"/>
      <c r="I21" s="2576"/>
      <c r="J21" s="2576"/>
      <c r="K21" s="2576"/>
      <c r="L21" s="2576"/>
      <c r="M21" s="2576"/>
      <c r="N21" s="2576"/>
      <c r="O21" s="2576"/>
      <c r="P21" s="2576"/>
      <c r="Q21" s="2576"/>
      <c r="R21" s="2555"/>
      <c r="T21" s="2576"/>
      <c r="U21" s="2576"/>
      <c r="V21" s="2576"/>
      <c r="W21" s="2576"/>
      <c r="X21" s="2576"/>
      <c r="Y21" s="2576"/>
      <c r="Z21" s="2576"/>
      <c r="AA21" s="2576"/>
      <c r="AB21" s="2576"/>
      <c r="AC21" s="2576"/>
      <c r="AD21" s="2576"/>
      <c r="AE21" s="2576"/>
      <c r="AF21" s="2555"/>
      <c r="AG21" s="2555"/>
      <c r="AH21" s="2555"/>
      <c r="AI21" s="2555"/>
      <c r="AJ21" s="2555"/>
      <c r="AK21" s="2555"/>
      <c r="AL21" s="2555"/>
    </row>
    <row r="22" spans="2:38" ht="25.5" x14ac:dyDescent="0.2">
      <c r="B22" s="2586" t="str">
        <f>IF(Présentation!$E$2="Français",'TRAD-Calculs dispo Données FA'!D22,IF(Présentation!$E$2="Anglais",'TRAD-Calculs dispo Données FA'!F22,""))</f>
        <v xml:space="preserve">CALCULS avec croissance des besoins / Stocks dispo central </v>
      </c>
      <c r="D22" s="2555" t="s">
        <v>1498</v>
      </c>
      <c r="E22" s="2555"/>
      <c r="F22" s="2555" t="s">
        <v>1468</v>
      </c>
      <c r="G22" s="2555"/>
      <c r="H22" s="2555"/>
      <c r="I22" s="2576"/>
      <c r="J22" s="2576"/>
      <c r="K22" s="2576"/>
      <c r="L22" s="2576"/>
      <c r="M22" s="2576"/>
      <c r="N22" s="2576"/>
      <c r="O22" s="2576"/>
      <c r="P22" s="2576"/>
      <c r="Q22" s="2576"/>
      <c r="R22" s="2555"/>
      <c r="S22" s="2576"/>
      <c r="T22" s="2576"/>
      <c r="U22" s="2576"/>
      <c r="V22" s="2576"/>
      <c r="W22" s="2576"/>
      <c r="X22" s="2576"/>
      <c r="Y22" s="2576"/>
      <c r="Z22" s="2576"/>
      <c r="AA22" s="2576"/>
      <c r="AB22" s="2576"/>
      <c r="AC22" s="2576"/>
      <c r="AD22" s="2576"/>
      <c r="AE22" s="2576"/>
      <c r="AF22" s="2555"/>
      <c r="AG22" s="2555"/>
      <c r="AH22" s="2555"/>
      <c r="AI22" s="2555"/>
      <c r="AJ22" s="2555"/>
      <c r="AK22" s="2555"/>
      <c r="AL22" s="2555"/>
    </row>
    <row r="23" spans="2:38" ht="25.5" x14ac:dyDescent="0.2">
      <c r="B23" s="2586" t="str">
        <f>IF(Présentation!$E$2="Français",'TRAD-Calculs dispo Données FA'!D23,IF(Présentation!$E$2="Anglais",'TRAD-Calculs dispo Données FA'!F23,""))</f>
        <v>CALCULS avec croissance des besoins / Stocks dispo centraux &amp; périphériques</v>
      </c>
      <c r="D23" s="2555" t="s">
        <v>1500</v>
      </c>
      <c r="E23" s="2555"/>
      <c r="F23" s="2555" t="s">
        <v>1501</v>
      </c>
      <c r="G23" s="2555"/>
      <c r="H23" s="2555"/>
      <c r="I23" s="2576"/>
      <c r="J23" s="2576"/>
      <c r="K23" s="2576"/>
      <c r="L23" s="2576"/>
      <c r="M23" s="2576"/>
      <c r="N23" s="2576"/>
      <c r="O23" s="2576"/>
      <c r="P23" s="2576"/>
      <c r="Q23" s="2576"/>
      <c r="R23" s="2555"/>
      <c r="S23" s="2576"/>
      <c r="T23" s="2576"/>
      <c r="U23" s="2576"/>
      <c r="V23" s="2576"/>
      <c r="W23" s="2576"/>
      <c r="X23" s="2576"/>
      <c r="Y23" s="2576"/>
      <c r="Z23" s="2576"/>
      <c r="AA23" s="2576"/>
      <c r="AB23" s="2576"/>
      <c r="AC23" s="2576"/>
      <c r="AD23" s="2576"/>
      <c r="AE23" s="2576"/>
      <c r="AF23" s="2555"/>
      <c r="AG23" s="2555"/>
      <c r="AH23" s="2555"/>
      <c r="AI23" s="2555"/>
      <c r="AJ23" s="2555"/>
      <c r="AK23" s="2555"/>
      <c r="AL23" s="2555"/>
    </row>
    <row r="24" spans="2:38" ht="38.25" x14ac:dyDescent="0.2">
      <c r="B24" s="2586" t="str">
        <f>IF(Présentation!$E$2="Français",'TRAD-Calculs dispo Données FA'!D24,IF(Présentation!$E$2="Anglais",'TRAD-Calculs dispo Données FA'!F24,""))</f>
        <v>CALCULS avec croissance des besoins / Stocks dispo centraux et périph &amp; commandes</v>
      </c>
      <c r="D24" s="2555" t="s">
        <v>278</v>
      </c>
      <c r="E24" s="2555"/>
      <c r="F24" s="2555" t="s">
        <v>1505</v>
      </c>
      <c r="G24" s="2555"/>
      <c r="H24" s="2555"/>
      <c r="I24" s="2576"/>
      <c r="J24" s="2576"/>
      <c r="K24" s="2576"/>
      <c r="L24" s="2576"/>
      <c r="M24" s="2576"/>
      <c r="N24" s="2576"/>
      <c r="O24" s="2576"/>
      <c r="P24" s="2576"/>
      <c r="Q24" s="2576"/>
      <c r="R24" s="2555"/>
      <c r="S24" s="2576"/>
      <c r="T24" s="2576"/>
      <c r="U24" s="2576"/>
      <c r="V24" s="2576"/>
      <c r="W24" s="2576"/>
      <c r="X24" s="2576"/>
      <c r="Y24" s="2576"/>
      <c r="Z24" s="2576"/>
      <c r="AA24" s="2576"/>
      <c r="AB24" s="2576"/>
      <c r="AC24" s="2576"/>
      <c r="AD24" s="2576"/>
      <c r="AE24" s="2576"/>
      <c r="AF24" s="2555"/>
      <c r="AG24" s="2555"/>
      <c r="AH24" s="2555"/>
      <c r="AI24" s="2555"/>
      <c r="AJ24" s="2555"/>
      <c r="AK24" s="2555"/>
      <c r="AL24" s="2555"/>
    </row>
    <row r="25" spans="2:38" ht="25.5" x14ac:dyDescent="0.2">
      <c r="B25" s="2586" t="str">
        <f>IF(Présentation!$E$2="Français",'TRAD-Calculs dispo Données FA'!D25,IF(Présentation!$E$2="Anglais",'TRAD-Calculs dispo Données FA'!F25,""))</f>
        <v>CALCULS Marge extrême arrêt d'initiations / Stocks dispo centraux</v>
      </c>
      <c r="D25" s="2555" t="s">
        <v>277</v>
      </c>
      <c r="E25" s="2555"/>
      <c r="F25" s="2555" t="s">
        <v>1469</v>
      </c>
      <c r="G25" s="2555"/>
      <c r="H25" s="2555"/>
      <c r="I25" s="2576"/>
      <c r="J25" s="2576"/>
      <c r="K25" s="2576"/>
      <c r="L25" s="2576"/>
      <c r="M25" s="2576"/>
      <c r="N25" s="2576"/>
      <c r="O25" s="2576"/>
      <c r="P25" s="2576"/>
      <c r="Q25" s="2576"/>
      <c r="R25" s="2555"/>
      <c r="S25" s="2576"/>
      <c r="T25" s="2576"/>
      <c r="U25" s="2576"/>
      <c r="V25" s="2576"/>
      <c r="W25" s="2576"/>
      <c r="X25" s="2576"/>
      <c r="Y25" s="2576"/>
      <c r="Z25" s="2576"/>
      <c r="AA25" s="2576"/>
      <c r="AB25" s="2576"/>
      <c r="AC25" s="2576"/>
      <c r="AD25" s="2576"/>
      <c r="AE25" s="2576"/>
      <c r="AF25" s="2555"/>
      <c r="AG25" s="2555"/>
      <c r="AH25" s="2555"/>
      <c r="AI25" s="2555"/>
      <c r="AJ25" s="2555"/>
      <c r="AK25" s="2555"/>
      <c r="AL25" s="2555"/>
    </row>
    <row r="26" spans="2:38" ht="25.5" x14ac:dyDescent="0.2">
      <c r="B26" s="2586" t="str">
        <f>IF(Présentation!$E$2="Français",'TRAD-Calculs dispo Données FA'!D26,IF(Présentation!$E$2="Anglais",'TRAD-Calculs dispo Données FA'!F26,""))</f>
        <v>CALCULS avec croissance des besoins / Stocks dispo peripherique</v>
      </c>
      <c r="D26" s="2555" t="s">
        <v>1499</v>
      </c>
      <c r="E26" s="2555"/>
      <c r="F26" s="2555" t="s">
        <v>1497</v>
      </c>
      <c r="G26" s="2555"/>
      <c r="H26" s="2555"/>
      <c r="I26" s="2576"/>
      <c r="J26" s="2576"/>
      <c r="K26" s="2576"/>
      <c r="L26" s="2576"/>
      <c r="M26" s="2576"/>
      <c r="N26" s="2576"/>
      <c r="O26" s="2576"/>
      <c r="P26" s="2576"/>
      <c r="Q26" s="2576"/>
      <c r="R26" s="2555"/>
      <c r="S26" s="2576"/>
      <c r="T26" s="2576"/>
      <c r="U26" s="2576"/>
      <c r="V26" s="2576"/>
      <c r="W26" s="2576"/>
      <c r="X26" s="2576"/>
      <c r="Y26" s="2576"/>
      <c r="Z26" s="2576"/>
      <c r="AA26" s="2576"/>
      <c r="AB26" s="2576"/>
      <c r="AC26" s="2576"/>
      <c r="AD26" s="2576"/>
      <c r="AE26" s="2576"/>
      <c r="AF26" s="2555"/>
      <c r="AG26" s="2555"/>
      <c r="AH26" s="2555"/>
      <c r="AI26" s="2555"/>
      <c r="AJ26" s="2555"/>
      <c r="AK26" s="2555"/>
      <c r="AL26" s="2555"/>
    </row>
    <row r="27" spans="2:38" ht="25.5" x14ac:dyDescent="0.2">
      <c r="B27" s="2586" t="str">
        <f>IF(Présentation!$E$2="Français",'TRAD-Calculs dispo Données FA'!D27,IF(Présentation!$E$2="Anglais",'TRAD-Calculs dispo Données FA'!F27,""))</f>
        <v>Données nettoyées pour représentation graphique</v>
      </c>
      <c r="D27" s="2555" t="s">
        <v>743</v>
      </c>
      <c r="E27" s="2555"/>
      <c r="F27" s="2555" t="s">
        <v>1456</v>
      </c>
      <c r="G27" s="2555"/>
      <c r="H27" s="2555"/>
      <c r="I27" s="2576"/>
      <c r="J27" s="2576"/>
      <c r="K27" s="2576"/>
      <c r="L27" s="2576"/>
      <c r="M27" s="2576"/>
      <c r="N27" s="2576"/>
      <c r="O27" s="2576"/>
      <c r="P27" s="2576"/>
      <c r="Q27" s="2576"/>
      <c r="R27" s="2555"/>
      <c r="S27" s="2576"/>
      <c r="T27" s="2576"/>
      <c r="U27" s="2576"/>
      <c r="V27" s="2576"/>
      <c r="W27" s="2576"/>
      <c r="X27" s="2576"/>
      <c r="Y27" s="2576"/>
      <c r="Z27" s="2576"/>
      <c r="AA27" s="2576"/>
      <c r="AB27" s="2576"/>
      <c r="AC27" s="2576"/>
      <c r="AD27" s="2576"/>
      <c r="AE27" s="2576"/>
      <c r="AF27" s="2555"/>
      <c r="AG27" s="2555"/>
      <c r="AH27" s="2555"/>
      <c r="AI27" s="2555"/>
      <c r="AJ27" s="2555"/>
      <c r="AK27" s="2555"/>
      <c r="AL27" s="2555"/>
    </row>
    <row r="28" spans="2:38" ht="38.25" x14ac:dyDescent="0.2">
      <c r="B28" s="2586" t="str">
        <f>IF(Présentation!$E$2="Français",'TRAD-Calculs dispo Données FA'!D28,IF(Présentation!$E$2="Anglais",'TRAD-Calculs dispo Données FA'!F28,""))</f>
        <v>CALCULS Marge extrême arrêt d'initiations / Stocks dispo périph</v>
      </c>
      <c r="D28" s="2555" t="s">
        <v>276</v>
      </c>
      <c r="E28" s="2555"/>
      <c r="F28" s="2555" t="s">
        <v>1475</v>
      </c>
      <c r="G28" s="2555"/>
      <c r="H28" s="2555"/>
      <c r="I28" s="2555"/>
      <c r="J28" s="2555"/>
      <c r="K28" s="2555"/>
      <c r="L28" s="2555"/>
      <c r="M28" s="2555"/>
      <c r="N28" s="2555"/>
      <c r="O28" s="2555"/>
      <c r="P28" s="2555"/>
      <c r="Q28" s="2576"/>
      <c r="R28" s="2555"/>
      <c r="S28" s="2576"/>
      <c r="T28" s="2576"/>
      <c r="U28" s="2576"/>
      <c r="V28" s="2576"/>
      <c r="W28" s="2576"/>
      <c r="X28" s="2576"/>
      <c r="Y28" s="2576"/>
      <c r="Z28" s="2576"/>
      <c r="AA28" s="2576"/>
      <c r="AB28" s="2576"/>
      <c r="AC28" s="2576"/>
      <c r="AD28" s="2576"/>
      <c r="AE28" s="2576"/>
      <c r="AF28" s="2555"/>
      <c r="AG28" s="2555"/>
      <c r="AH28" s="2555"/>
      <c r="AI28" s="2555"/>
      <c r="AJ28" s="2555"/>
      <c r="AK28" s="2555"/>
      <c r="AL28" s="2555"/>
    </row>
    <row r="29" spans="2:38" ht="38.25" x14ac:dyDescent="0.2">
      <c r="B29" s="2586" t="str">
        <f>IF(Présentation!$E$2="Français",'TRAD-Calculs dispo Données FA'!D29,IF(Présentation!$E$2="Anglais",'TRAD-Calculs dispo Données FA'!F29,""))</f>
        <v>CALCULS Marge extrême arrêt d'initiations / Stocks dispo centraux et périph</v>
      </c>
      <c r="D29" s="2555" t="s">
        <v>275</v>
      </c>
      <c r="E29" s="2555"/>
      <c r="F29" s="2555" t="s">
        <v>1476</v>
      </c>
      <c r="G29" s="2555"/>
      <c r="H29" s="2555"/>
      <c r="I29" s="2555"/>
      <c r="J29" s="2555"/>
      <c r="K29" s="2555"/>
      <c r="L29" s="2555"/>
      <c r="M29" s="2555"/>
      <c r="N29" s="2555"/>
      <c r="O29" s="2555"/>
      <c r="P29" s="2555"/>
      <c r="Q29" s="2576"/>
      <c r="R29" s="2555"/>
      <c r="S29" s="2576"/>
      <c r="T29" s="2576"/>
      <c r="U29" s="2576"/>
      <c r="V29" s="2576"/>
      <c r="W29" s="2576"/>
      <c r="X29" s="2576"/>
      <c r="Y29" s="2576"/>
      <c r="Z29" s="2576"/>
      <c r="AA29" s="2576"/>
      <c r="AB29" s="2576"/>
      <c r="AC29" s="2576"/>
      <c r="AD29" s="2576"/>
      <c r="AE29" s="2576"/>
      <c r="AF29" s="2555"/>
      <c r="AG29" s="2555"/>
      <c r="AH29" s="2555"/>
      <c r="AI29" s="2555"/>
      <c r="AJ29" s="2555"/>
      <c r="AK29" s="2555"/>
      <c r="AL29" s="2555"/>
    </row>
    <row r="30" spans="2:38" ht="38.25" x14ac:dyDescent="0.2">
      <c r="B30" s="2586" t="str">
        <f>IF(Présentation!$E$2="Français",'TRAD-Calculs dispo Données FA'!D30,IF(Présentation!$E$2="Anglais",'TRAD-Calculs dispo Données FA'!F30,""))</f>
        <v>CALCULS Marge extrême arrêt d'initiations / Stocks dispo centraux et périph &amp; commandes</v>
      </c>
      <c r="D30" s="2555" t="s">
        <v>279</v>
      </c>
      <c r="E30" s="2555"/>
      <c r="F30" s="2555" t="s">
        <v>1470</v>
      </c>
      <c r="G30" s="2555"/>
      <c r="H30" s="2555"/>
      <c r="I30" s="2555"/>
      <c r="J30" s="2555"/>
      <c r="K30" s="2555"/>
      <c r="L30" s="2555"/>
      <c r="M30" s="2555"/>
      <c r="N30" s="2555"/>
      <c r="O30" s="2555"/>
      <c r="P30" s="2555"/>
      <c r="Q30" s="2576"/>
      <c r="R30" s="2555"/>
      <c r="S30" s="2576"/>
      <c r="T30" s="2576"/>
      <c r="U30" s="2576"/>
      <c r="V30" s="2576"/>
      <c r="W30" s="2576"/>
      <c r="X30" s="2576"/>
      <c r="Y30" s="2576"/>
      <c r="Z30" s="2576"/>
      <c r="AA30" s="2576"/>
      <c r="AB30" s="2576"/>
      <c r="AC30" s="2576"/>
      <c r="AD30" s="2576"/>
      <c r="AE30" s="2576"/>
      <c r="AF30" s="2555"/>
      <c r="AG30" s="2555"/>
      <c r="AH30" s="2555"/>
      <c r="AI30" s="2555"/>
      <c r="AJ30" s="2555"/>
      <c r="AK30" s="2555"/>
      <c r="AL30" s="2555"/>
    </row>
    <row r="31" spans="2:38" ht="38.25" x14ac:dyDescent="0.2">
      <c r="B31" s="2586" t="str">
        <f>IF(Présentation!$E$2="Français",'TRAD-Calculs dispo Données FA'!D31,IF(Présentation!$E$2="Anglais",'TRAD-Calculs dispo Données FA'!F31,""))</f>
        <v>CALCULS de la période couverte par les commandes seules avec croissance des besoins</v>
      </c>
      <c r="D31" s="2555" t="s">
        <v>575</v>
      </c>
      <c r="E31" s="2555"/>
      <c r="F31" s="2555" t="s">
        <v>1506</v>
      </c>
      <c r="G31" s="2555"/>
      <c r="H31" s="2555"/>
      <c r="I31" s="2555"/>
      <c r="J31" s="2555"/>
      <c r="K31" s="2555"/>
      <c r="L31" s="2555"/>
      <c r="M31" s="2555"/>
      <c r="N31" s="2555"/>
      <c r="O31" s="2555"/>
      <c r="P31" s="2555"/>
      <c r="Q31" s="2576"/>
      <c r="R31" s="2555"/>
      <c r="S31" s="2576"/>
      <c r="T31" s="2576"/>
      <c r="U31" s="2576"/>
      <c r="V31" s="2576"/>
      <c r="W31" s="2576"/>
      <c r="X31" s="2576"/>
      <c r="Y31" s="2576"/>
      <c r="Z31" s="2576"/>
      <c r="AA31" s="2576"/>
      <c r="AB31" s="2576"/>
      <c r="AC31" s="2576"/>
      <c r="AD31" s="2576"/>
      <c r="AE31" s="2576"/>
      <c r="AF31" s="2555"/>
      <c r="AG31" s="2555"/>
      <c r="AH31" s="2555"/>
      <c r="AI31" s="2555"/>
      <c r="AJ31" s="2555"/>
      <c r="AK31" s="2555"/>
      <c r="AL31" s="2555"/>
    </row>
    <row r="32" spans="2:38" ht="51" x14ac:dyDescent="0.2">
      <c r="B32" s="2586" t="str">
        <f>IF(Présentation!$E$2="Français",'TRAD-Calculs dispo Données FA'!D32,IF(Présentation!$E$2="Anglais",'TRAD-Calculs dispo Données FA'!F32,""))</f>
        <v>CALCULS Marge extrême arrêt d'initiations par les commandes seules / Stocks dispo centraux et périph &amp; commandes</v>
      </c>
      <c r="D32" s="2555" t="s">
        <v>1810</v>
      </c>
      <c r="E32" s="2555"/>
      <c r="F32" s="2555" t="s">
        <v>1508</v>
      </c>
      <c r="G32" s="2555"/>
      <c r="H32" s="2555"/>
      <c r="I32" s="2555"/>
      <c r="J32" s="2555"/>
      <c r="K32" s="2555"/>
      <c r="L32" s="2555"/>
      <c r="M32" s="2555"/>
      <c r="N32" s="2555"/>
      <c r="O32" s="2555"/>
      <c r="P32" s="2555"/>
      <c r="Q32" s="2576"/>
      <c r="R32" s="2555"/>
      <c r="S32" s="2576"/>
      <c r="T32" s="2576"/>
      <c r="U32" s="2576"/>
      <c r="V32" s="2576"/>
      <c r="W32" s="2576"/>
      <c r="X32" s="2576"/>
      <c r="Y32" s="2576"/>
      <c r="Z32" s="2576"/>
      <c r="AA32" s="2576"/>
      <c r="AB32" s="2576"/>
      <c r="AC32" s="2576"/>
      <c r="AD32" s="2576"/>
      <c r="AE32" s="2576"/>
      <c r="AF32" s="2555"/>
      <c r="AG32" s="2555"/>
      <c r="AH32" s="2555"/>
      <c r="AI32" s="2555"/>
      <c r="AJ32" s="2555"/>
      <c r="AK32" s="2555"/>
      <c r="AL32" s="2555"/>
    </row>
    <row r="33" spans="2:32" ht="25.5" x14ac:dyDescent="0.2">
      <c r="B33" s="2586" t="str">
        <f>IF(Présentation!$E$2="Français",'TRAD-Calculs dispo Données FA'!D33,IF(Présentation!$E$2="Anglais",'TRAD-Calculs dispo Données FA'!F33,""))</f>
        <v>Besoin mensuel patients suivis selon méthode</v>
      </c>
      <c r="D33" s="2555" t="s">
        <v>720</v>
      </c>
      <c r="E33" s="2555"/>
      <c r="F33" s="2555" t="s">
        <v>1457</v>
      </c>
      <c r="G33" s="2555"/>
      <c r="H33" s="2578"/>
      <c r="I33" s="2628"/>
      <c r="J33" s="2628"/>
      <c r="M33" s="2557"/>
      <c r="N33" s="2557"/>
      <c r="O33" s="2557"/>
      <c r="P33" s="2557"/>
      <c r="Q33" s="2557"/>
      <c r="R33" s="2555"/>
      <c r="S33" s="2557"/>
      <c r="T33" s="2557"/>
      <c r="U33" s="2557"/>
      <c r="V33" s="2628"/>
      <c r="W33" s="2628"/>
      <c r="X33" s="2628"/>
      <c r="Y33" s="2555"/>
      <c r="AA33" s="2576"/>
      <c r="AB33" s="2576"/>
      <c r="AC33" s="2576"/>
      <c r="AD33" s="2576"/>
      <c r="AE33" s="2576"/>
      <c r="AF33" s="2555"/>
    </row>
    <row r="34" spans="2:32" ht="25.5" x14ac:dyDescent="0.2">
      <c r="B34" s="2586" t="str">
        <f>IF(Présentation!$E$2="Français",'TRAD-Calculs dispo Données FA'!D34,IF(Présentation!$E$2="Anglais",'TRAD-Calculs dispo Données FA'!F34,""))</f>
        <v>Besoin mensuel patients initiés selon méthode</v>
      </c>
      <c r="D34" s="2555" t="s">
        <v>721</v>
      </c>
      <c r="F34" s="2558" t="s">
        <v>1471</v>
      </c>
      <c r="K34" s="2554"/>
      <c r="P34" s="2574"/>
      <c r="Q34" s="2574"/>
      <c r="R34" s="2554"/>
      <c r="S34" s="2575"/>
    </row>
    <row r="35" spans="2:32" ht="25.5" x14ac:dyDescent="0.2">
      <c r="B35" s="2586" t="str">
        <f>IF(Présentation!$E$2="Français",'TRAD-Calculs dispo Données FA'!D35,IF(Présentation!$E$2="Anglais",'TRAD-Calculs dispo Données FA'!F35,""))</f>
        <v>Nombre de mois de disponibilité de produits</v>
      </c>
      <c r="D35" s="2554" t="s">
        <v>182</v>
      </c>
      <c r="F35" s="2558" t="s">
        <v>1489</v>
      </c>
    </row>
    <row r="36" spans="2:32" ht="25.5" x14ac:dyDescent="0.2">
      <c r="B36" s="2586" t="str">
        <f>IF(Présentation!$E$2="Français",'TRAD-Calculs dispo Données FA'!D36,IF(Présentation!$E$2="Anglais",'TRAD-Calculs dispo Données FA'!F36,""))</f>
        <v>Delta Nb de mois de disponibilité Stocks périph / Stocks total (périph + central)</v>
      </c>
      <c r="D36" s="2554" t="s">
        <v>287</v>
      </c>
      <c r="F36" s="2558" t="s">
        <v>1493</v>
      </c>
    </row>
    <row r="37" spans="2:32" ht="25.5" x14ac:dyDescent="0.2">
      <c r="B37" s="2586" t="str">
        <f>IF(Présentation!$E$2="Français",'TRAD-Calculs dispo Données FA'!D37,IF(Présentation!$E$2="Anglais",'TRAD-Calculs dispo Données FA'!F37,""))</f>
        <v>Nombre de mois de disponibilité de produits hors ST</v>
      </c>
      <c r="D37" s="2554" t="s">
        <v>570</v>
      </c>
      <c r="F37" s="2558" t="s">
        <v>1490</v>
      </c>
    </row>
    <row r="38" spans="2:32" x14ac:dyDescent="0.2">
      <c r="B38" s="2586" t="str">
        <f>IF(Présentation!$E$2="Français",'TRAD-Calculs dispo Données FA'!D38,IF(Présentation!$E$2="Anglais",'TRAD-Calculs dispo Données FA'!F38,""))</f>
        <v>Nombre de mois de stock tampon (ST)</v>
      </c>
      <c r="D38" s="2554" t="s">
        <v>574</v>
      </c>
      <c r="F38" s="2558" t="s">
        <v>1491</v>
      </c>
    </row>
    <row r="39" spans="2:32" x14ac:dyDescent="0.2">
      <c r="B39" s="2586" t="str">
        <f>IF(Présentation!$E$2="Français",'TRAD-Calculs dispo Données FA'!D39,IF(Présentation!$E$2="Anglais",'TRAD-Calculs dispo Données FA'!F39,""))</f>
        <v>Date d'entrée en stock tampon</v>
      </c>
      <c r="D39" s="2573" t="s">
        <v>573</v>
      </c>
      <c r="F39" s="2558" t="s">
        <v>1487</v>
      </c>
    </row>
    <row r="40" spans="2:32" x14ac:dyDescent="0.2">
      <c r="B40" s="2586" t="str">
        <f>IF(Présentation!$E$2="Français",'TRAD-Calculs dispo Données FA'!D40,IF(Présentation!$E$2="Anglais",'TRAD-Calculs dispo Données FA'!F40,""))</f>
        <v>Date de rupture attendue</v>
      </c>
      <c r="D40" s="2573" t="s">
        <v>187</v>
      </c>
      <c r="F40" s="2558" t="s">
        <v>1488</v>
      </c>
    </row>
    <row r="41" spans="2:32" x14ac:dyDescent="0.2">
      <c r="B41" s="2586" t="str">
        <f>IF(Présentation!$E$2="Français",'TRAD-Calculs dispo Données FA'!D41,IF(Présentation!$E$2="Anglais",'TRAD-Calculs dispo Données FA'!F41,""))</f>
        <v>Date de réception attendue</v>
      </c>
      <c r="D41" s="2573" t="s">
        <v>567</v>
      </c>
      <c r="F41" s="2558" t="s">
        <v>1482</v>
      </c>
    </row>
    <row r="42" spans="2:32" x14ac:dyDescent="0.2">
      <c r="B42" s="2586" t="str">
        <f>IF(Présentation!$E$2="Français",'TRAD-Calculs dispo Données FA'!D42,IF(Présentation!$E$2="Anglais",'TRAD-Calculs dispo Données FA'!F42,""))</f>
        <v>Delta Dispo/date de réception attendue</v>
      </c>
      <c r="D42" s="2573" t="s">
        <v>568</v>
      </c>
      <c r="F42" s="2558" t="s">
        <v>2062</v>
      </c>
    </row>
    <row r="43" spans="2:32" x14ac:dyDescent="0.2">
      <c r="B43" s="2586" t="str">
        <f>IF(Présentation!$E$2="Français",'TRAD-Calculs dispo Données FA'!D43,IF(Présentation!$E$2="Anglais",'TRAD-Calculs dispo Données FA'!F43,""))</f>
        <v>Réajustement stock (si &gt;DLU max)</v>
      </c>
      <c r="D43" s="2573" t="s">
        <v>741</v>
      </c>
      <c r="F43" s="2558" t="s">
        <v>1483</v>
      </c>
    </row>
    <row r="44" spans="2:32" x14ac:dyDescent="0.2">
      <c r="B44" s="2586" t="str">
        <f>IF(Présentation!$E$2="Français",'TRAD-Calculs dispo Données FA'!D44,IF(Présentation!$E$2="Anglais",'TRAD-Calculs dispo Données FA'!F44,""))</f>
        <v>Réajustement  / commande Si &gt; DLU</v>
      </c>
      <c r="D44" s="2573" t="s">
        <v>742</v>
      </c>
      <c r="F44" s="2558" t="s">
        <v>1484</v>
      </c>
    </row>
    <row r="45" spans="2:32" x14ac:dyDescent="0.2">
      <c r="B45" s="2586" t="str">
        <f>IF(Présentation!$E$2="Français",'TRAD-Calculs dispo Données FA'!D45,IF(Présentation!$E$2="Anglais",'TRAD-Calculs dispo Données FA'!F45,""))</f>
        <v>Date de rupture finale attendue</v>
      </c>
      <c r="D45" s="2573" t="s">
        <v>576</v>
      </c>
      <c r="F45" s="2558" t="s">
        <v>1485</v>
      </c>
    </row>
    <row r="46" spans="2:32" ht="25.5" x14ac:dyDescent="0.2">
      <c r="B46" s="2586" t="str">
        <f>IF(Présentation!$E$2="Français",'TRAD-Calculs dispo Données FA'!D46,IF(Présentation!$E$2="Anglais",'TRAD-Calculs dispo Données FA'!F46,""))</f>
        <v>Gain Nb de mois de disponibilité si arrêt des initiations &amp; switch</v>
      </c>
      <c r="D46" s="2554" t="s">
        <v>286</v>
      </c>
      <c r="F46" s="2553" t="s">
        <v>1494</v>
      </c>
      <c r="J46" s="2576"/>
      <c r="K46" s="2576"/>
    </row>
    <row r="47" spans="2:32" x14ac:dyDescent="0.2">
      <c r="B47" s="2586" t="str">
        <f>IF(Présentation!$E$2="Français",'TRAD-Calculs dispo Données FA'!D47,IF(Présentation!$E$2="Anglais",'TRAD-Calculs dispo Données FA'!F47,""))</f>
        <v>Delta sur commande / ST</v>
      </c>
      <c r="D47" s="2554" t="s">
        <v>571</v>
      </c>
      <c r="F47" s="2558" t="s">
        <v>1486</v>
      </c>
      <c r="J47" s="2576"/>
      <c r="K47" s="2576"/>
    </row>
    <row r="48" spans="2:32" x14ac:dyDescent="0.2">
      <c r="B48" s="2586" t="str">
        <f>IF(Présentation!$E$2="Français",'TRAD-Calculs dispo Données FA'!D48,IF(Présentation!$E$2="Anglais",'TRAD-Calculs dispo Données FA'!F48,""))</f>
        <v>Stock</v>
      </c>
      <c r="D48" s="2555" t="s">
        <v>557</v>
      </c>
      <c r="F48" s="2558" t="s">
        <v>557</v>
      </c>
    </row>
    <row r="49" spans="2:6" x14ac:dyDescent="0.2">
      <c r="B49" s="2586" t="str">
        <f>IF(Présentation!$E$2="Français",'TRAD-Calculs dispo Données FA'!D49,IF(Présentation!$E$2="Anglais",'TRAD-Calculs dispo Données FA'!F49,""))</f>
        <v>besoin actuel</v>
      </c>
      <c r="D49" s="2555" t="s">
        <v>558</v>
      </c>
      <c r="F49" s="2558" t="s">
        <v>1458</v>
      </c>
    </row>
    <row r="50" spans="2:6" x14ac:dyDescent="0.2">
      <c r="B50" s="2586" t="str">
        <f>IF(Présentation!$E$2="Français",'TRAD-Calculs dispo Données FA'!D50,IF(Présentation!$E$2="Anglais",'TRAD-Calculs dispo Données FA'!F50,""))</f>
        <v>Progression besoin</v>
      </c>
      <c r="D50" s="2555" t="s">
        <v>583</v>
      </c>
      <c r="F50" s="2558" t="s">
        <v>1459</v>
      </c>
    </row>
    <row r="51" spans="2:6" x14ac:dyDescent="0.2">
      <c r="B51" s="2586" t="str">
        <f>IF(Présentation!$E$2="Français",'TRAD-Calculs dispo Données FA'!D51,IF(Présentation!$E$2="Anglais",'TRAD-Calculs dispo Données FA'!F51,""))</f>
        <v>Eval</v>
      </c>
      <c r="D51" s="2555" t="s">
        <v>559</v>
      </c>
      <c r="F51" s="2558" t="s">
        <v>559</v>
      </c>
    </row>
    <row r="52" spans="2:6" x14ac:dyDescent="0.2">
      <c r="B52" s="2586" t="str">
        <f>IF(Présentation!$E$2="Français",'TRAD-Calculs dispo Données FA'!D52,IF(Présentation!$E$2="Anglais",'TRAD-Calculs dispo Données FA'!F52,""))</f>
        <v>Calculs!P228</v>
      </c>
      <c r="D52" s="2577" t="s">
        <v>566</v>
      </c>
      <c r="F52" s="2558" t="s">
        <v>1518</v>
      </c>
    </row>
    <row r="53" spans="2:6" x14ac:dyDescent="0.2">
      <c r="B53" s="2586" t="str">
        <f>IF(Présentation!$E$2="Français",'TRAD-Calculs dispo Données FA'!D53,IF(Présentation!$E$2="Anglais",'TRAD-Calculs dispo Données FA'!F53,""))</f>
        <v>Calculs!N228</v>
      </c>
      <c r="D53" s="2577" t="s">
        <v>565</v>
      </c>
      <c r="F53" s="2558" t="s">
        <v>1517</v>
      </c>
    </row>
    <row r="54" spans="2:6" x14ac:dyDescent="0.2">
      <c r="B54" s="2586" t="str">
        <f>IF(Présentation!$E$2="Français",'TRAD-Calculs dispo Données FA'!D54,IF(Présentation!$E$2="Anglais",'TRAD-Calculs dispo Données FA'!F54,""))</f>
        <v>Calculs!M228</v>
      </c>
      <c r="D54" s="2577" t="s">
        <v>564</v>
      </c>
      <c r="F54" s="2558" t="s">
        <v>1515</v>
      </c>
    </row>
    <row r="55" spans="2:6" x14ac:dyDescent="0.2">
      <c r="B55" s="2586" t="str">
        <f>IF(Présentation!$E$2="Français",'TRAD-Calculs dispo Données FA'!D55,IF(Présentation!$E$2="Anglais",'TRAD-Calculs dispo Données FA'!F55,""))</f>
        <v>Calculs!L228</v>
      </c>
      <c r="D55" s="2577" t="s">
        <v>560</v>
      </c>
      <c r="F55" s="2558" t="s">
        <v>1460</v>
      </c>
    </row>
    <row r="56" spans="2:6" x14ac:dyDescent="0.2">
      <c r="B56" s="2586" t="str">
        <f>IF(Présentation!$E$2="Français",'TRAD-Calculs dispo Données FA'!D56,IF(Présentation!$E$2="Anglais",'TRAD-Calculs dispo Données FA'!F56,""))</f>
        <v>Calculs!L317</v>
      </c>
      <c r="D56" s="2577" t="s">
        <v>746</v>
      </c>
      <c r="F56" s="2558" t="s">
        <v>1513</v>
      </c>
    </row>
    <row r="57" spans="2:6" x14ac:dyDescent="0.2">
      <c r="B57" s="2586" t="str">
        <f>IF(Présentation!$E$2="Français",'TRAD-Calculs dispo Données FA'!D57,IF(Présentation!$E$2="Anglais",'TRAD-Calculs dispo Données FA'!F57,""))</f>
        <v>Calculs!N317</v>
      </c>
      <c r="D57" s="2577" t="s">
        <v>747</v>
      </c>
      <c r="F57" s="2558" t="s">
        <v>1514</v>
      </c>
    </row>
    <row r="58" spans="2:6" x14ac:dyDescent="0.2">
      <c r="B58" s="2586" t="str">
        <f>IF(Présentation!$E$2="Français",'TRAD-Calculs dispo Données FA'!D58,IF(Présentation!$E$2="Anglais",'TRAD-Calculs dispo Données FA'!F58,""))</f>
        <v>Calculs!N135</v>
      </c>
      <c r="D58" s="2577" t="s">
        <v>561</v>
      </c>
      <c r="F58" s="2558" t="s">
        <v>1461</v>
      </c>
    </row>
    <row r="59" spans="2:6" x14ac:dyDescent="0.2">
      <c r="B59" s="2586" t="str">
        <f>IF(Présentation!$E$2="Français",'TRAD-Calculs dispo Données FA'!D59,IF(Présentation!$E$2="Anglais",'TRAD-Calculs dispo Données FA'!F59,""))</f>
        <v>Calculs!M181</v>
      </c>
      <c r="D59" s="2577" t="s">
        <v>562</v>
      </c>
      <c r="F59" s="2558" t="s">
        <v>1462</v>
      </c>
    </row>
    <row r="60" spans="2:6" x14ac:dyDescent="0.2">
      <c r="B60" s="2586" t="str">
        <f>IF(Présentation!$E$2="Français",'TRAD-Calculs dispo Données FA'!D60,IF(Présentation!$E$2="Anglais",'TRAD-Calculs dispo Données FA'!F60,""))</f>
        <v>Stock et besoin actuel et futur =0</v>
      </c>
      <c r="D60" s="2577" t="s">
        <v>724</v>
      </c>
      <c r="F60" s="2558" t="s">
        <v>1472</v>
      </c>
    </row>
    <row r="61" spans="2:6" x14ac:dyDescent="0.2">
      <c r="B61" s="2586" t="str">
        <f>IF(Présentation!$E$2="Français",'TRAD-Calculs dispo Données FA'!D61,IF(Présentation!$E$2="Anglais",'TRAD-Calculs dispo Données FA'!F61,""))</f>
        <v>Stock &gt;0 et besoin actuel et futur =0</v>
      </c>
      <c r="D61" s="2577" t="s">
        <v>563</v>
      </c>
      <c r="F61" s="2558" t="s">
        <v>1473</v>
      </c>
    </row>
    <row r="62" spans="2:6" x14ac:dyDescent="0.2">
      <c r="B62" s="2586" t="str">
        <f>IF(Présentation!$E$2="Français",'TRAD-Calculs dispo Données FA'!D62,IF(Présentation!$E$2="Anglais",'TRAD-Calculs dispo Données FA'!F62,""))</f>
        <v>Stock=0; Besoin &gt;0</v>
      </c>
      <c r="D62" s="2577" t="s">
        <v>723</v>
      </c>
      <c r="F62" s="2558" t="s">
        <v>1474</v>
      </c>
    </row>
    <row r="63" spans="2:6" x14ac:dyDescent="0.2">
      <c r="B63" s="2586" t="str">
        <f>IF(Présentation!$E$2="Français",'TRAD-Calculs dispo Données FA'!D63,IF(Présentation!$E$2="Anglais",'TRAD-Calculs dispo Données FA'!F63,""))</f>
        <v>Stock=0; Besoin  ≥ 1</v>
      </c>
      <c r="D63" s="2577" t="s">
        <v>1812</v>
      </c>
      <c r="F63" s="2558" t="s">
        <v>1516</v>
      </c>
    </row>
    <row r="64" spans="2:6" x14ac:dyDescent="0.2">
      <c r="B64" s="2586" t="str">
        <f>IF(Présentation!$E$2="Français",'TRAD-Calculs dispo Données FA'!D64,IF(Présentation!$E$2="Anglais",'TRAD-Calculs dispo Données FA'!F64,""))</f>
        <v>Stocks centraux et périphériques</v>
      </c>
      <c r="D64" s="2555" t="s">
        <v>1526</v>
      </c>
      <c r="F64" s="2558" t="s">
        <v>1527</v>
      </c>
    </row>
    <row r="65" spans="2:6" x14ac:dyDescent="0.2">
      <c r="B65" s="2586" t="str">
        <f>IF(Présentation!$E$2="Français",'TRAD-Calculs dispo Données FA'!D65,IF(Présentation!$E$2="Anglais",'TRAD-Calculs dispo Données FA'!F65,""))</f>
        <v>Stocks périphériques</v>
      </c>
      <c r="D65" s="2555" t="s">
        <v>284</v>
      </c>
      <c r="F65" s="2558" t="s">
        <v>1463</v>
      </c>
    </row>
    <row r="66" spans="2:6" x14ac:dyDescent="0.2">
      <c r="B66" s="2586" t="str">
        <f>IF(Présentation!$E$2="Français",'TRAD-Calculs dispo Données FA'!D66,IF(Présentation!$E$2="Anglais",'TRAD-Calculs dispo Données FA'!F66,""))</f>
        <v>Comprimés</v>
      </c>
      <c r="D66" s="2555" t="s">
        <v>97</v>
      </c>
      <c r="F66" s="2558" t="s">
        <v>1007</v>
      </c>
    </row>
    <row r="67" spans="2:6" x14ac:dyDescent="0.2">
      <c r="B67" s="2586" t="str">
        <f>IF(Présentation!$E$2="Français",'TRAD-Calculs dispo Données FA'!D67,IF(Présentation!$E$2="Anglais",'TRAD-Calculs dispo Données FA'!F67,""))</f>
        <v>Solutions Buvables</v>
      </c>
      <c r="D67" s="2555" t="s">
        <v>1448</v>
      </c>
      <c r="F67" s="2558" t="s">
        <v>1022</v>
      </c>
    </row>
    <row r="68" spans="2:6" x14ac:dyDescent="0.2">
      <c r="B68" s="2586" t="str">
        <f>IF(Présentation!$E$2="Français",'TRAD-Calculs dispo Données FA'!D68,IF(Présentation!$E$2="Anglais",'TRAD-Calculs dispo Données FA'!F68,""))</f>
        <v>cp</v>
      </c>
      <c r="D68" s="2555" t="s">
        <v>16</v>
      </c>
      <c r="F68" s="2558" t="s">
        <v>1380</v>
      </c>
    </row>
    <row r="69" spans="2:6" x14ac:dyDescent="0.2">
      <c r="B69" s="2586" t="str">
        <f>IF(Présentation!$E$2="Français",'TRAD-Calculs dispo Données FA'!D69,IF(Présentation!$E$2="Anglais",'TRAD-Calculs dispo Données FA'!F69,""))</f>
        <v>sol buv</v>
      </c>
      <c r="D69" s="2555" t="s">
        <v>79</v>
      </c>
      <c r="F69" s="2558" t="s">
        <v>1477</v>
      </c>
    </row>
    <row r="70" spans="2:6" x14ac:dyDescent="0.2">
      <c r="B70" s="2586" t="str">
        <f>IF(Présentation!$E$2="Français",'TRAD-Calculs dispo Données FA'!D70,IF(Présentation!$E$2="Anglais",'TRAD-Calculs dispo Données FA'!F70,""))</f>
        <v>Différence nb de mois / commande</v>
      </c>
      <c r="D70" s="2555" t="s">
        <v>251</v>
      </c>
      <c r="F70" s="2558" t="s">
        <v>1481</v>
      </c>
    </row>
    <row r="71" spans="2:6" ht="25.5" x14ac:dyDescent="0.2">
      <c r="B71" s="2586" t="str">
        <f>IF(Présentation!$E$2="Français",'TRAD-Calculs dispo Données FA'!D71,IF(Présentation!$E$2="Anglais",'TRAD-Calculs dispo Données FA'!F71,""))</f>
        <v>Nb de mois de stock / commande attendue</v>
      </c>
      <c r="D71" s="2555" t="s">
        <v>252</v>
      </c>
      <c r="F71" s="2558" t="s">
        <v>1492</v>
      </c>
    </row>
    <row r="72" spans="2:6" ht="25.5" x14ac:dyDescent="0.2">
      <c r="B72" s="2586" t="str">
        <f>IF(Présentation!$E$2="Français",'TRAD-Calculs dispo Données FA'!D72,IF(Présentation!$E$2="Anglais",'TRAD-Calculs dispo Données FA'!F72,""))</f>
        <v>1.B. Avec les stocks actuellement disponibles au niveau périphérique</v>
      </c>
      <c r="D72" s="2555" t="s">
        <v>1495</v>
      </c>
      <c r="F72" s="2558" t="s">
        <v>1496</v>
      </c>
    </row>
    <row r="73" spans="2:6" ht="38.25" x14ac:dyDescent="0.2">
      <c r="B73" s="2586" t="str">
        <f>IF(Présentation!$E$2="Français",'TRAD-Calculs dispo Données FA'!D73,IF(Présentation!$E$2="Anglais",'TRAD-Calculs dispo Données FA'!F73,""))</f>
        <v>1.C. Avec les stocks actuellement disponibles (niveau central &amp; périphériques) SELON PARAMETRAGE</v>
      </c>
      <c r="D73" s="2555" t="s">
        <v>1502</v>
      </c>
      <c r="F73" s="2558" t="s">
        <v>1503</v>
      </c>
    </row>
    <row r="74" spans="2:6" ht="51" x14ac:dyDescent="0.2">
      <c r="B74" s="2586" t="str">
        <f>IF(Présentation!$E$2="Français",'TRAD-Calculs dispo Données FA'!D74,IF(Présentation!$E$2="Anglais",'TRAD-Calculs dispo Données FA'!F74,""))</f>
        <v>1.D. Avec les stocks actuellement disponibles (niveau central &amp; périphériques) &amp; les commandes attendues à cours termes.</v>
      </c>
      <c r="D74" s="2561" t="s">
        <v>1504</v>
      </c>
      <c r="F74" s="2558" t="s">
        <v>1522</v>
      </c>
    </row>
    <row r="75" spans="2:6" ht="25.5" x14ac:dyDescent="0.2">
      <c r="B75" s="2586" t="str">
        <f>IF(Présentation!$E$2="Français",'TRAD-Calculs dispo Données FA'!D75,IF(Présentation!$E$2="Anglais",'TRAD-Calculs dispo Données FA'!F75,""))</f>
        <v>Stocks centraux, périphériques et commandes</v>
      </c>
      <c r="D75" s="2561" t="s">
        <v>283</v>
      </c>
      <c r="F75" s="2558" t="s">
        <v>1507</v>
      </c>
    </row>
    <row r="76" spans="2:6" ht="25.5" x14ac:dyDescent="0.2">
      <c r="B76" s="2586" t="str">
        <f>IF(Présentation!$E$2="Français",'TRAD-Calculs dispo Données FA'!D76,IF(Présentation!$E$2="Anglais",'TRAD-Calculs dispo Données FA'!F76,""))</f>
        <v>2.B. Avec les stocks actuellement disponibles au niveau périphérique</v>
      </c>
      <c r="D76" s="2555" t="s">
        <v>1519</v>
      </c>
      <c r="F76" s="2558" t="s">
        <v>1525</v>
      </c>
    </row>
    <row r="77" spans="2:6" ht="38.25" x14ac:dyDescent="0.2">
      <c r="B77" s="2586" t="str">
        <f>IF(Présentation!$E$2="Français",'TRAD-Calculs dispo Données FA'!D77,IF(Présentation!$E$2="Anglais",'TRAD-Calculs dispo Données FA'!F77,""))</f>
        <v xml:space="preserve">2.C. Avec les stocks actuellement disponibles (niveau central &amp; périphériques) </v>
      </c>
      <c r="D77" s="2555" t="s">
        <v>1520</v>
      </c>
      <c r="F77" s="2558" t="s">
        <v>1524</v>
      </c>
    </row>
    <row r="78" spans="2:6" ht="51" x14ac:dyDescent="0.2">
      <c r="B78" s="2586" t="str">
        <f>IF(Présentation!$E$2="Français",'TRAD-Calculs dispo Données FA'!D78,IF(Présentation!$E$2="Anglais",'TRAD-Calculs dispo Données FA'!F78,""))</f>
        <v>2.D. Avec les stocks actuellement disponibles (niveau central &amp; périphériques) &amp; les commandes attendues à cours termes.</v>
      </c>
      <c r="D78" s="2561" t="s">
        <v>1521</v>
      </c>
      <c r="F78" s="2558" t="s">
        <v>1523</v>
      </c>
    </row>
    <row r="79" spans="2:6" x14ac:dyDescent="0.2">
      <c r="B79" s="2586" t="str">
        <f>IF(Présentation!$E$2="Français",'TRAD-Calculs dispo Données FA'!D79,IF(Présentation!$E$2="Anglais",'TRAD-Calculs dispo Données FA'!F79,""))</f>
        <v>B</v>
      </c>
      <c r="D79" s="2561" t="s">
        <v>1760</v>
      </c>
      <c r="F79" s="2558" t="s">
        <v>1760</v>
      </c>
    </row>
    <row r="80" spans="2:6" x14ac:dyDescent="0.2">
      <c r="B80" s="2586" t="str">
        <f>IF(Présentation!$E$2="Français",'TRAD-Calculs dispo Données FA'!D80,IF(Présentation!$E$2="Anglais",'TRAD-Calculs dispo Données FA'!F80,""))</f>
        <v>B &amp; conso</v>
      </c>
      <c r="D80" s="2561" t="s">
        <v>1772</v>
      </c>
      <c r="F80" s="2558" t="s">
        <v>1773</v>
      </c>
    </row>
    <row r="81" spans="2:6" x14ac:dyDescent="0.2">
      <c r="B81" s="2586" t="str">
        <f>IF(Présentation!$E$2="Français",'TRAD-Calculs dispo Données FA'!D81,IF(Présentation!$E$2="Anglais",'TRAD-Calculs dispo Données FA'!F81,""))</f>
        <v>RUPTURE</v>
      </c>
      <c r="D81" s="2561" t="s">
        <v>1756</v>
      </c>
      <c r="F81" s="2558" t="s">
        <v>1758</v>
      </c>
    </row>
    <row r="82" spans="2:6" x14ac:dyDescent="0.2">
      <c r="B82" s="2586" t="str">
        <f>IF(Présentation!$E$2="Français",'TRAD-Calculs dispo Données FA'!D82,IF(Présentation!$E$2="Anglais",'TRAD-Calculs dispo Données FA'!F82,""))</f>
        <v>Stock et besoin nul</v>
      </c>
      <c r="D82" s="2561" t="s">
        <v>1757</v>
      </c>
      <c r="F82" s="2558" t="s">
        <v>1759</v>
      </c>
    </row>
    <row r="83" spans="2:6" x14ac:dyDescent="0.2">
      <c r="B83" s="2586" t="str">
        <f>IF(Présentation!$E$2="Français",'TRAD-Calculs dispo Données FA'!D83,IF(Présentation!$E$2="Anglais",'TRAD-Calculs dispo Données FA'!F83,""))</f>
        <v>Fl</v>
      </c>
      <c r="D83" s="2561" t="s">
        <v>1775</v>
      </c>
      <c r="F83" s="2558" t="s">
        <v>1776</v>
      </c>
    </row>
    <row r="84" spans="2:6" x14ac:dyDescent="0.2">
      <c r="B84" s="2586" t="str">
        <f>IF(Présentation!$E$2="Français",'TRAD-Calculs dispo Données FA'!D84,IF(Présentation!$E$2="Anglais",'TRAD-Calculs dispo Données FA'!F84,""))</f>
        <v>&amp; Commandes</v>
      </c>
      <c r="D84" s="2561" t="s">
        <v>1780</v>
      </c>
      <c r="F84" s="2558" t="s">
        <v>1781</v>
      </c>
    </row>
    <row r="85" spans="2:6" x14ac:dyDescent="0.2">
      <c r="B85" s="2586" t="str">
        <f>IF(Présentation!$E$2="Français",'TRAD-Calculs dispo Données FA'!D85,IF(Présentation!$E$2="Anglais",'TRAD-Calculs dispo Données FA'!F85,""))</f>
        <v>Nombre de mois de stock tampon</v>
      </c>
      <c r="D85" s="2561" t="s">
        <v>572</v>
      </c>
      <c r="E85" s="2561"/>
      <c r="F85" s="2561" t="s">
        <v>1803</v>
      </c>
    </row>
    <row r="86" spans="2:6" x14ac:dyDescent="0.2">
      <c r="B86" s="2586" t="str">
        <f>IF(Présentation!$E$2="Français",'TRAD-Calculs dispo Données FA'!D86,IF(Présentation!$E$2="Anglais",'TRAD-Calculs dispo Données FA'!F86,""))</f>
        <v>ST - max</v>
      </c>
      <c r="D86" s="2561" t="s">
        <v>1804</v>
      </c>
      <c r="F86" s="2558" t="s">
        <v>1805</v>
      </c>
    </row>
    <row r="87" spans="2:6" x14ac:dyDescent="0.2">
      <c r="B87" s="2586" t="str">
        <f>IF(Présentation!$E$2="Français",'TRAD-Calculs dispo Données FA'!D87,IF(Présentation!$E$2="Anglais",'TRAD-Calculs dispo Données FA'!F87,""))</f>
        <v>mois</v>
      </c>
      <c r="D87" s="2561" t="s">
        <v>184</v>
      </c>
      <c r="F87" s="2558" t="s">
        <v>1806</v>
      </c>
    </row>
    <row r="88" spans="2:6" x14ac:dyDescent="0.2">
      <c r="B88" s="2586" t="str">
        <f>IF(Présentation!$E$2="Français",'TRAD-Calculs dispo Données FA'!D88,IF(Présentation!$E$2="Anglais",'TRAD-Calculs dispo Données FA'!F88,""))</f>
        <v>DLU</v>
      </c>
      <c r="D88" s="2558" t="s">
        <v>1843</v>
      </c>
      <c r="F88" s="2558" t="s">
        <v>1844</v>
      </c>
    </row>
  </sheetData>
  <sheetProtection password="D0E7" sheet="1" objects="1" scenarios="1"/>
  <conditionalFormatting sqref="D33:D34">
    <cfRule type="cellIs" dxfId="82" priority="1" stopIfTrue="1" operator="equal">
      <formula>"ND"</formula>
    </cfRule>
    <cfRule type="cellIs" dxfId="81" priority="2" operator="equal">
      <formula>"ATTENTION le détail ne correspond pas à votre stock total"</formula>
    </cfRule>
    <cfRule type="cellIs" dxfId="80" priority="3" operator="equal">
      <formula>"ATTENTION SURSTOCK et risque de péremption"</formula>
    </cfRule>
    <cfRule type="cellIs" dxfId="79" priority="4" operator="equal">
      <formula>"OK"</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993366"/>
  </sheetPr>
  <dimension ref="A2:CA234"/>
  <sheetViews>
    <sheetView showGridLines="0" topLeftCell="AB195" zoomScale="80" zoomScaleNormal="80" workbookViewId="0">
      <selection activeCell="AM200" sqref="AM200"/>
    </sheetView>
  </sheetViews>
  <sheetFormatPr defaultColWidth="11.42578125" defaultRowHeight="12.75" x14ac:dyDescent="0.2"/>
  <cols>
    <col min="1" max="1" width="3.7109375" customWidth="1"/>
    <col min="2" max="2" width="3.85546875" customWidth="1"/>
    <col min="13" max="13" width="11.7109375" bestFit="1" customWidth="1"/>
    <col min="14" max="15" width="14.5703125" style="355" customWidth="1"/>
    <col min="16" max="16" width="4.28515625" customWidth="1"/>
    <col min="17" max="72" width="16.5703125" style="2145" customWidth="1"/>
  </cols>
  <sheetData>
    <row r="2" spans="1:72" s="356" customFormat="1" ht="15" x14ac:dyDescent="0.2">
      <c r="A2" s="3290" t="str">
        <f>'TRAD-Calculs dispo Données FA'!B2</f>
        <v>Résultats - Périodes de disponibilité des produits - Durées &amp; dates</v>
      </c>
      <c r="B2" s="3290"/>
      <c r="C2" s="3290"/>
      <c r="D2" s="3290"/>
      <c r="E2" s="3290"/>
      <c r="F2" s="3290"/>
      <c r="G2" s="3290"/>
      <c r="H2" s="3290"/>
      <c r="I2" s="3290"/>
      <c r="J2" s="3290"/>
      <c r="K2" s="3290"/>
      <c r="L2" s="3290"/>
      <c r="M2" s="355"/>
      <c r="N2" s="355"/>
      <c r="O2" s="355"/>
      <c r="P2"/>
      <c r="Q2" s="2142"/>
      <c r="R2" s="578"/>
      <c r="S2" s="578"/>
      <c r="T2" s="2143"/>
      <c r="U2" s="2143"/>
      <c r="V2" s="578"/>
      <c r="W2" s="578"/>
      <c r="X2" s="578"/>
      <c r="Y2" s="578"/>
      <c r="Z2" s="578"/>
      <c r="AA2" s="578"/>
      <c r="AB2" s="578"/>
      <c r="AC2" s="578"/>
      <c r="AD2" s="578"/>
      <c r="AE2" s="578"/>
      <c r="AF2" s="2143"/>
      <c r="AG2" s="2143"/>
      <c r="AH2" s="578"/>
      <c r="AI2" s="578"/>
      <c r="AJ2" s="578"/>
      <c r="AK2" s="2144"/>
      <c r="AL2" s="578"/>
      <c r="AM2" s="578"/>
      <c r="AN2" s="578"/>
      <c r="AO2" s="578"/>
      <c r="AP2" s="578"/>
      <c r="AQ2" s="578"/>
      <c r="AR2" s="578"/>
      <c r="AS2" s="578"/>
      <c r="AT2" s="578"/>
      <c r="AU2" s="578"/>
      <c r="AV2" s="578"/>
      <c r="AW2" s="578"/>
      <c r="AX2" s="2143"/>
      <c r="AY2" s="2143"/>
      <c r="AZ2" s="578"/>
      <c r="BA2" s="578"/>
      <c r="BB2" s="578"/>
      <c r="BC2" s="578"/>
      <c r="BD2" s="578"/>
      <c r="BE2" s="578"/>
      <c r="BF2" s="578"/>
      <c r="BG2" s="578"/>
      <c r="BH2" s="578"/>
      <c r="BI2" s="578"/>
      <c r="BJ2" s="578"/>
      <c r="BK2" s="578"/>
      <c r="BL2" s="578"/>
      <c r="BM2" s="578"/>
      <c r="BN2" s="578"/>
      <c r="BO2" s="578"/>
      <c r="BP2" s="578"/>
      <c r="BQ2" s="578"/>
      <c r="BR2" s="578"/>
      <c r="BS2" s="578"/>
      <c r="BT2" s="578"/>
    </row>
    <row r="3" spans="1:72" ht="13.5" thickBot="1" x14ac:dyDescent="0.25"/>
    <row r="4" spans="1:72" s="2530" customFormat="1" ht="13.5" thickBot="1" x14ac:dyDescent="0.25">
      <c r="B4" s="3189" t="str">
        <f>'TRAD-Saisie données stocks'!$B$2</f>
        <v>Rappel de la langue choisie</v>
      </c>
      <c r="E4" s="3192" t="str">
        <f>Présentation!$E$2</f>
        <v>Français</v>
      </c>
    </row>
    <row r="5" spans="1:72" ht="13.5" thickBot="1" x14ac:dyDescent="0.25">
      <c r="N5"/>
      <c r="O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s="567" customFormat="1" ht="15.75" thickBot="1" x14ac:dyDescent="0.3">
      <c r="B6" s="568" t="str">
        <f>'TRAD-Calculs dispo Données FA'!B4</f>
        <v xml:space="preserve">PARTIE 2 : Estimations à partir des </v>
      </c>
      <c r="C6" s="569"/>
      <c r="D6" s="569"/>
      <c r="E6" s="569"/>
      <c r="F6" s="848" t="str">
        <f>Calculs!J488</f>
        <v>Données de consommation</v>
      </c>
      <c r="G6" s="848"/>
      <c r="H6" s="569"/>
      <c r="I6" s="569"/>
      <c r="J6" s="569"/>
      <c r="K6" s="569"/>
      <c r="L6" s="570"/>
      <c r="M6" s="571"/>
      <c r="N6" s="571"/>
      <c r="O6" s="571"/>
      <c r="P6"/>
      <c r="Q6" s="2146"/>
      <c r="R6" s="2147"/>
      <c r="S6" s="2147"/>
      <c r="T6" s="2148"/>
      <c r="U6" s="2148"/>
      <c r="V6" s="2147"/>
      <c r="W6" s="2147"/>
      <c r="X6" s="2147"/>
      <c r="Y6" s="2147"/>
      <c r="Z6" s="2147"/>
      <c r="AA6" s="2147"/>
      <c r="AB6" s="2147"/>
      <c r="AC6" s="2147"/>
      <c r="AD6" s="2147"/>
      <c r="AE6" s="2147"/>
      <c r="AF6" s="2148"/>
      <c r="AG6" s="2148"/>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row>
    <row r="7" spans="1:72" s="356" customFormat="1" x14ac:dyDescent="0.2">
      <c r="M7" s="355"/>
      <c r="N7" s="355"/>
      <c r="O7" s="355"/>
      <c r="P7"/>
      <c r="Q7" s="2142"/>
      <c r="R7" s="578"/>
      <c r="S7" s="578"/>
      <c r="T7" s="2143"/>
      <c r="U7" s="2143"/>
      <c r="V7" s="578"/>
      <c r="W7" s="578"/>
      <c r="X7" s="578"/>
      <c r="Y7" s="578"/>
      <c r="Z7" s="578"/>
      <c r="AA7" s="578"/>
      <c r="AB7" s="578"/>
      <c r="AC7" s="578"/>
      <c r="AD7" s="578"/>
      <c r="AE7" s="578"/>
      <c r="AF7" s="2143"/>
      <c r="AG7" s="2143"/>
      <c r="AH7" s="578"/>
      <c r="AI7" s="578"/>
      <c r="AJ7" s="578"/>
      <c r="AK7" s="2144"/>
      <c r="AL7" s="578"/>
      <c r="AM7" s="578"/>
      <c r="AN7" s="578"/>
      <c r="AO7" s="578"/>
      <c r="AP7" s="578"/>
      <c r="AQ7" s="578"/>
      <c r="AR7" s="578"/>
      <c r="AS7" s="578"/>
      <c r="AT7" s="578"/>
      <c r="AU7" s="578"/>
      <c r="AV7" s="578"/>
      <c r="AW7" s="578"/>
      <c r="AX7" s="578"/>
      <c r="AY7" s="578"/>
      <c r="AZ7" s="578"/>
      <c r="BA7" s="578"/>
      <c r="BB7" s="578"/>
      <c r="BC7" s="578"/>
      <c r="BD7" s="578"/>
      <c r="BE7" s="578"/>
      <c r="BF7" s="578"/>
      <c r="BG7" s="578"/>
      <c r="BH7" s="578"/>
      <c r="BI7" s="578"/>
      <c r="BJ7" s="578"/>
      <c r="BK7" s="578"/>
      <c r="BL7" s="578"/>
      <c r="BM7" s="578"/>
      <c r="BN7" s="578"/>
      <c r="BO7" s="578"/>
      <c r="BP7" s="578"/>
      <c r="BQ7" s="578"/>
      <c r="BR7" s="578"/>
      <c r="BS7" s="578"/>
      <c r="BT7" s="578"/>
    </row>
    <row r="8" spans="1:72" s="358" customFormat="1" ht="14.25" x14ac:dyDescent="0.2">
      <c r="B8" s="359" t="str">
        <f>'TRAD-Calculs dispo Données FA'!B6</f>
        <v>2.A. Avec les stocks actuellement disponibles au niveau central</v>
      </c>
      <c r="C8" s="359"/>
      <c r="D8" s="359"/>
      <c r="E8" s="359"/>
      <c r="F8" s="359"/>
      <c r="G8" s="359"/>
      <c r="H8" s="359"/>
      <c r="I8" s="359"/>
      <c r="J8" s="359"/>
      <c r="K8" s="359"/>
      <c r="L8" s="359"/>
      <c r="M8" s="360"/>
      <c r="N8" s="360"/>
      <c r="O8" s="360"/>
      <c r="P8"/>
      <c r="Q8" s="2149"/>
      <c r="R8" s="2051"/>
      <c r="S8" s="2051"/>
      <c r="T8" s="2150"/>
      <c r="U8" s="2150"/>
      <c r="V8" s="2051"/>
      <c r="W8" s="2051"/>
      <c r="X8" s="2051"/>
      <c r="Y8" s="2051"/>
      <c r="Z8" s="2051"/>
      <c r="AA8" s="2051"/>
      <c r="AB8" s="2051"/>
      <c r="AC8" s="2051"/>
      <c r="AD8" s="2051"/>
      <c r="AE8" s="2051"/>
      <c r="AF8" s="2150"/>
      <c r="AG8" s="2150"/>
      <c r="AH8" s="2051"/>
      <c r="AI8" s="2051"/>
      <c r="AJ8" s="2051"/>
      <c r="AK8" s="2151"/>
      <c r="AL8" s="2051"/>
      <c r="AM8" s="2051"/>
      <c r="AN8" s="2051"/>
      <c r="AO8" s="2051"/>
      <c r="AP8" s="2051"/>
      <c r="AQ8" s="2051"/>
      <c r="AR8" s="2051"/>
      <c r="AS8" s="2051"/>
      <c r="AT8" s="2051"/>
      <c r="AU8" s="2051"/>
      <c r="AV8" s="2051"/>
      <c r="AW8" s="2051"/>
      <c r="AX8" s="2150"/>
      <c r="AY8" s="2150"/>
      <c r="AZ8" s="2051"/>
      <c r="BA8" s="2051"/>
      <c r="BB8" s="2051"/>
      <c r="BC8" s="2051"/>
      <c r="BD8" s="2051"/>
      <c r="BE8" s="2051"/>
      <c r="BF8" s="2051"/>
      <c r="BG8" s="2051"/>
      <c r="BH8" s="2051"/>
      <c r="BI8" s="2051"/>
      <c r="BJ8" s="2051"/>
      <c r="BK8" s="2051"/>
      <c r="BL8" s="2051"/>
      <c r="BM8" s="2051"/>
      <c r="BN8" s="2051"/>
      <c r="BO8" s="2051"/>
      <c r="BP8" s="2051"/>
      <c r="BQ8" s="2051"/>
      <c r="BR8" s="2051"/>
      <c r="BS8" s="2051"/>
      <c r="BT8" s="2051"/>
    </row>
    <row r="9" spans="1:72" s="356" customFormat="1" ht="13.5" thickBot="1" x14ac:dyDescent="0.25">
      <c r="C9" s="356" t="str">
        <f>'TRAD-Calculs dispo Données FA'!B8</f>
        <v>Stocks centraux</v>
      </c>
      <c r="M9" s="355"/>
      <c r="N9" s="355"/>
      <c r="O9" s="355"/>
      <c r="P9"/>
      <c r="Q9" s="2142"/>
      <c r="R9" s="578"/>
      <c r="S9" s="578"/>
      <c r="T9" s="2143"/>
      <c r="U9" s="2143"/>
      <c r="V9" s="578"/>
      <c r="W9" s="578"/>
      <c r="X9" s="578"/>
      <c r="Y9" s="578"/>
      <c r="Z9" s="578"/>
      <c r="AA9" s="578"/>
      <c r="AB9" s="578"/>
      <c r="AC9" s="578"/>
      <c r="AD9" s="578"/>
      <c r="AE9" s="578"/>
      <c r="AF9" s="2143"/>
      <c r="AG9" s="2143"/>
      <c r="AH9" s="578"/>
      <c r="AI9" s="578"/>
      <c r="AJ9" s="578"/>
      <c r="AK9" s="2144"/>
      <c r="AL9" s="578"/>
      <c r="AM9" s="578"/>
      <c r="AN9" s="578"/>
      <c r="AO9" s="578"/>
      <c r="AP9" s="578"/>
      <c r="AQ9" s="578"/>
      <c r="AR9" s="578"/>
      <c r="AS9" s="578"/>
      <c r="AT9" s="578"/>
      <c r="AU9" s="578"/>
      <c r="AV9" s="578"/>
      <c r="AW9" s="578"/>
      <c r="AX9" s="578"/>
      <c r="AY9" s="578"/>
      <c r="AZ9" s="578"/>
      <c r="BA9" s="578"/>
      <c r="BB9" s="578"/>
      <c r="BC9" s="578"/>
      <c r="BD9" s="578"/>
      <c r="BE9" s="578"/>
      <c r="BF9" s="578"/>
      <c r="BG9" s="578"/>
      <c r="BH9" s="578"/>
      <c r="BI9" s="578"/>
      <c r="BJ9" s="578"/>
      <c r="BK9" s="578"/>
      <c r="BL9" s="578"/>
      <c r="BM9" s="578"/>
      <c r="BN9" s="578"/>
      <c r="BO9" s="578"/>
      <c r="BP9" s="578"/>
      <c r="BQ9" s="578"/>
      <c r="BR9" s="578"/>
      <c r="BS9" s="578"/>
      <c r="BT9" s="578"/>
    </row>
    <row r="10" spans="1:72" s="356" customFormat="1" ht="13.5" thickBot="1" x14ac:dyDescent="0.25">
      <c r="P10"/>
      <c r="Q10" s="3293" t="str">
        <f>'TRAD-Calculs dispo Données FA'!B22</f>
        <v xml:space="preserve">CALCULS avec croissance des besoins / Stocks dispo central </v>
      </c>
      <c r="R10" s="3294"/>
      <c r="S10" s="3294"/>
      <c r="T10" s="3294"/>
      <c r="U10" s="3294"/>
      <c r="V10" s="3294"/>
      <c r="W10" s="3294"/>
      <c r="X10" s="3294"/>
      <c r="Y10" s="3294"/>
      <c r="Z10" s="3294"/>
      <c r="AA10" s="3294"/>
      <c r="AB10" s="3294"/>
      <c r="AC10" s="3295"/>
      <c r="AD10" s="578"/>
      <c r="AE10" s="3293" t="str">
        <f>'TRAD-Calculs dispo Données FA'!B25</f>
        <v>CALCULS Marge extrême arrêt d'initiations / Stocks dispo centraux</v>
      </c>
      <c r="AF10" s="3294"/>
      <c r="AG10" s="3294"/>
      <c r="AH10" s="3294"/>
      <c r="AI10" s="3294"/>
      <c r="AJ10" s="3294"/>
      <c r="AK10" s="3294"/>
      <c r="AL10" s="3294"/>
      <c r="AM10" s="3294"/>
      <c r="AN10" s="3294"/>
      <c r="AO10" s="3294"/>
      <c r="AP10" s="3294"/>
      <c r="AQ10" s="3295"/>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row>
    <row r="11" spans="1:72" s="356" customFormat="1" ht="26.25" thickBot="1" x14ac:dyDescent="0.25">
      <c r="M11" s="355"/>
      <c r="N11" s="355"/>
      <c r="O11" s="355"/>
      <c r="P11"/>
      <c r="Q11" s="2142"/>
      <c r="R11" s="3289"/>
      <c r="S11" s="3289"/>
      <c r="T11" s="2152"/>
      <c r="U11" s="2153"/>
      <c r="V11" s="2143"/>
      <c r="W11" s="578" t="str">
        <f>'TRAD-Calculs dispo Données FA'!B8</f>
        <v>Stocks centraux</v>
      </c>
      <c r="X11" s="3283" t="str">
        <f>'TRAD-Calculs dispo Données FA'!B27</f>
        <v>Données nettoyées pour représentation graphique</v>
      </c>
      <c r="Y11" s="3284"/>
      <c r="Z11" s="3284"/>
      <c r="AA11" s="3284"/>
      <c r="AB11" s="3284"/>
      <c r="AC11" s="3285"/>
      <c r="AD11" s="578"/>
      <c r="AE11" s="2142"/>
      <c r="AF11" s="3289"/>
      <c r="AG11" s="3289"/>
      <c r="AH11" s="2152"/>
      <c r="AI11" s="2153"/>
      <c r="AJ11" s="2143"/>
      <c r="AK11" s="578" t="str">
        <f>'TRAD-Calculs dispo Données FA'!B8</f>
        <v>Stocks centraux</v>
      </c>
      <c r="AL11" s="3283" t="str">
        <f>'TRAD-Calculs dispo Données FA'!B27</f>
        <v>Données nettoyées pour représentation graphique</v>
      </c>
      <c r="AM11" s="3284"/>
      <c r="AN11" s="3284"/>
      <c r="AO11" s="3284"/>
      <c r="AP11" s="3284"/>
      <c r="AQ11" s="3285"/>
      <c r="AR11" s="578"/>
      <c r="AS11" s="2077" t="str">
        <f>'TRAD-Calculs dispo Données FA'!B48</f>
        <v>Stock</v>
      </c>
      <c r="AT11" s="2078" t="str">
        <f>'TRAD-Calculs dispo Données FA'!B49</f>
        <v>besoin actuel</v>
      </c>
      <c r="AU11" s="2079" t="str">
        <f>'TRAD-Calculs dispo Données FA'!B50</f>
        <v>Progression besoin</v>
      </c>
      <c r="AV11" s="2077" t="str">
        <f>'TRAD-Calculs dispo Données FA'!B51</f>
        <v>Eval</v>
      </c>
      <c r="AW11" s="2078" t="str">
        <f>'TRAD-Calculs dispo Données FA'!B51</f>
        <v>Eval</v>
      </c>
      <c r="AX11" s="2080" t="str">
        <f>'TRAD-Calculs dispo Données FA'!B51</f>
        <v>Eval</v>
      </c>
      <c r="AY11" s="578"/>
      <c r="AZ11" s="578"/>
      <c r="BA11" s="578"/>
      <c r="BB11" s="578"/>
      <c r="BC11" s="578"/>
      <c r="BD11" s="578"/>
      <c r="BE11" s="578"/>
      <c r="BF11" s="578"/>
      <c r="BG11" s="578"/>
      <c r="BH11" s="578"/>
      <c r="BI11" s="578"/>
      <c r="BJ11" s="578"/>
      <c r="BK11" s="578"/>
      <c r="BL11" s="578"/>
      <c r="BM11" s="578"/>
      <c r="BN11" s="578"/>
      <c r="BO11" s="578"/>
      <c r="BP11" s="578"/>
      <c r="BQ11" s="578"/>
      <c r="BR11" s="578"/>
      <c r="BS11" s="578"/>
      <c r="BT11" s="578"/>
    </row>
    <row r="12" spans="1:72" s="358" customFormat="1" ht="77.25" thickBot="1" x14ac:dyDescent="0.25">
      <c r="C12" s="577" t="str">
        <f>'TRAD-Calculs dispo Données FA'!B9</f>
        <v>Classe forme galénique</v>
      </c>
      <c r="D12" s="576" t="str">
        <f>'TRAD-Calculs dispo Données FA'!B10</f>
        <v>Classe thérapeutique</v>
      </c>
      <c r="E12" s="364" t="str">
        <f>'TRAD-Calculs dispo Données FA'!B11</f>
        <v>Composition</v>
      </c>
      <c r="F12" s="365" t="str">
        <f>'TRAD-Calculs dispo Données FA'!B12</f>
        <v>Forme galénique</v>
      </c>
      <c r="G12" s="365" t="str">
        <f>'TRAD-Calculs dispo Données FA'!B13</f>
        <v>Dosage</v>
      </c>
      <c r="H12" s="365" t="str">
        <f>'TRAD-Calculs dispo Données FA'!B14</f>
        <v>Nom pour représentation graphique</v>
      </c>
      <c r="I12" s="365" t="str">
        <f>'TRAD-Calculs dispo Données FA'!B15</f>
        <v>Nb de prise / jour</v>
      </c>
      <c r="J12" s="365" t="str">
        <f>'TRAD-Calculs dispo Données FA'!B16</f>
        <v>Nb de prise / mois</v>
      </c>
      <c r="K12" s="365" t="str">
        <f>'TRAD-Calculs dispo Données FA'!B17</f>
        <v>Conditionnement</v>
      </c>
      <c r="L12" s="327" t="str">
        <f>'TRAD-Calculs dispo Données FA'!B20</f>
        <v>Nb de boites nécessaire pour 1 mois pour 1 patient</v>
      </c>
      <c r="M12" s="346" t="str">
        <f>'TRAD-Calculs dispo Données FA'!B21</f>
        <v>Stock disponible UTILISABLE au niveau considéré (nb de boites)</v>
      </c>
      <c r="N12" s="2057" t="str">
        <f>'TRAD-Calculs dispo Données FA'!B33</f>
        <v>Besoin mensuel patients suivis selon méthode</v>
      </c>
      <c r="O12" s="2057" t="str">
        <f>'TRAD-Calculs dispo Données FA'!B34</f>
        <v>Besoin mensuel patients initiés selon méthode</v>
      </c>
      <c r="P12"/>
      <c r="Q12" s="346" t="str">
        <f>'TRAD-Calculs dispo Données FA'!B35</f>
        <v>Nombre de mois de disponibilité de produits</v>
      </c>
      <c r="R12" s="346" t="str">
        <f>'TRAD-Calculs dispo Données FA'!B36</f>
        <v>Delta Nb de mois de disponibilité Stocks périph / Stocks total (périph + central)</v>
      </c>
      <c r="S12" s="347" t="str">
        <f>'TRAD-Calculs dispo Données FA'!B37</f>
        <v>Nombre de mois de disponibilité de produits hors ST</v>
      </c>
      <c r="T12" s="327" t="str">
        <f>'TRAD-Calculs dispo Données FA'!B38</f>
        <v>Nombre de mois de stock tampon (ST)</v>
      </c>
      <c r="U12" s="348" t="str">
        <f>'TRAD-Calculs dispo Données FA'!B39</f>
        <v>Date d'entrée en stock tampon</v>
      </c>
      <c r="V12" s="349" t="str">
        <f>'TRAD-Calculs dispo Données FA'!B40</f>
        <v>Date de rupture attendue</v>
      </c>
      <c r="W12" s="2051"/>
      <c r="X12" s="346" t="str">
        <f>'TRAD-Calculs dispo Données FA'!B35</f>
        <v>Nombre de mois de disponibilité de produits</v>
      </c>
      <c r="Y12" s="580" t="str">
        <f>'TRAD-Calculs dispo Données FA'!B36</f>
        <v>Delta Nb de mois de disponibilité Stocks périph / Stocks total (périph + central)</v>
      </c>
      <c r="Z12" s="347" t="str">
        <f>'TRAD-Calculs dispo Données FA'!B37</f>
        <v>Nombre de mois de disponibilité de produits hors ST</v>
      </c>
      <c r="AA12" s="424" t="str">
        <f>'TRAD-Calculs dispo Données FA'!B38</f>
        <v>Nombre de mois de stock tampon (ST)</v>
      </c>
      <c r="AB12" s="348" t="str">
        <f>'TRAD-Calculs dispo Données FA'!B39</f>
        <v>Date d'entrée en stock tampon</v>
      </c>
      <c r="AC12" s="349" t="str">
        <f>'TRAD-Calculs dispo Données FA'!B40</f>
        <v>Date de rupture attendue</v>
      </c>
      <c r="AD12" s="2051"/>
      <c r="AE12" s="346" t="str">
        <f>'TRAD-Calculs dispo Données FA'!B35</f>
        <v>Nombre de mois de disponibilité de produits</v>
      </c>
      <c r="AF12" s="580" t="str">
        <f>'TRAD-Calculs dispo Données FA'!B46</f>
        <v>Gain Nb de mois de disponibilité si arrêt des initiations &amp; switch</v>
      </c>
      <c r="AG12" s="347" t="str">
        <f>'TRAD-Calculs dispo Données FA'!B37</f>
        <v>Nombre de mois de disponibilité de produits hors ST</v>
      </c>
      <c r="AH12" s="424" t="str">
        <f>'TRAD-Calculs dispo Données FA'!B38</f>
        <v>Nombre de mois de stock tampon (ST)</v>
      </c>
      <c r="AI12" s="348" t="str">
        <f>'TRAD-Calculs dispo Données FA'!B39</f>
        <v>Date d'entrée en stock tampon</v>
      </c>
      <c r="AJ12" s="349" t="str">
        <f>'TRAD-Calculs dispo Données FA'!B40</f>
        <v>Date de rupture attendue</v>
      </c>
      <c r="AK12" s="2051"/>
      <c r="AL12" s="346" t="str">
        <f>'TRAD-Calculs dispo Données FA'!B35</f>
        <v>Nombre de mois de disponibilité de produits</v>
      </c>
      <c r="AM12" s="580" t="str">
        <f>'TRAD-Calculs dispo Données FA'!B46</f>
        <v>Gain Nb de mois de disponibilité si arrêt des initiations &amp; switch</v>
      </c>
      <c r="AN12" s="347" t="str">
        <f>'TRAD-Calculs dispo Données FA'!B37</f>
        <v>Nombre de mois de disponibilité de produits hors ST</v>
      </c>
      <c r="AO12" s="424" t="str">
        <f>'TRAD-Calculs dispo Données FA'!B38</f>
        <v>Nombre de mois de stock tampon (ST)</v>
      </c>
      <c r="AP12" s="424" t="str">
        <f>'TRAD-Calculs dispo Données FA'!B39</f>
        <v>Date d'entrée en stock tampon</v>
      </c>
      <c r="AQ12" s="349" t="str">
        <f>'TRAD-Calculs dispo Données FA'!B40</f>
        <v>Date de rupture attendue</v>
      </c>
      <c r="AR12" s="2051"/>
      <c r="AS12" s="2058" t="str">
        <f>'TRAD-Calculs dispo Données FA'!B55</f>
        <v>Calculs!L228</v>
      </c>
      <c r="AT12" s="2059" t="str">
        <f>'TRAD-Calculs dispo Données FA'!B56</f>
        <v>Calculs!L317</v>
      </c>
      <c r="AU12" s="2067" t="str">
        <f>'TRAD-Calculs dispo Données FA'!B57</f>
        <v>Calculs!N317</v>
      </c>
      <c r="AV12" s="2058" t="str">
        <f>'TRAD-Calculs dispo Données FA'!B60</f>
        <v>Stock et besoin actuel et futur =0</v>
      </c>
      <c r="AW12" s="2059" t="str">
        <f>'TRAD-Calculs dispo Données FA'!B61</f>
        <v>Stock &gt;0 et besoin actuel et futur =0</v>
      </c>
      <c r="AX12" s="2060" t="str">
        <f>'TRAD-Calculs dispo Données FA'!B63</f>
        <v>Stock=0; Besoin  ≥ 1</v>
      </c>
      <c r="AY12" s="2051"/>
      <c r="AZ12" s="2051"/>
      <c r="BA12" s="2051"/>
      <c r="BB12" s="2051"/>
      <c r="BC12" s="2051"/>
      <c r="BD12" s="2051"/>
      <c r="BE12" s="2051"/>
      <c r="BF12" s="2051"/>
      <c r="BG12" s="2051"/>
      <c r="BH12" s="2051"/>
      <c r="BI12" s="2051"/>
      <c r="BJ12" s="2051"/>
      <c r="BK12" s="2051"/>
      <c r="BL12" s="2051"/>
      <c r="BM12" s="2051"/>
      <c r="BN12" s="2051"/>
      <c r="BO12" s="2051"/>
      <c r="BP12" s="2051"/>
      <c r="BQ12" s="2051"/>
      <c r="BR12" s="2051"/>
      <c r="BS12" s="2051"/>
      <c r="BT12" s="2051"/>
    </row>
    <row r="13" spans="1:72" s="358" customFormat="1" ht="26.25" thickBot="1" x14ac:dyDescent="0.25">
      <c r="C13" s="366" t="str">
        <f>'TRAD-Calculs dispo Données FA'!B66</f>
        <v>Comprimés</v>
      </c>
      <c r="D13" s="367" t="s">
        <v>15</v>
      </c>
      <c r="E13" s="368" t="str">
        <f>'Saisie données stocks'!F19</f>
        <v>AZT+3TC+NVP</v>
      </c>
      <c r="F13" s="369" t="str">
        <f>'Saisie données stocks'!G19</f>
        <v>Cp</v>
      </c>
      <c r="G13" s="369" t="str">
        <f>'Saisie données stocks'!H19</f>
        <v>300/150/200 mg</v>
      </c>
      <c r="H13" s="370" t="str">
        <f>CONCATENATE(E13, " - ", G13, " - ", 'TRAD-Calculs dispo Données FA'!$B$79,"/", K13)</f>
        <v>AZT+3TC+NVP - 300/150/200 mg - B/60</v>
      </c>
      <c r="I13" s="372">
        <f>Calculs!K102</f>
        <v>2</v>
      </c>
      <c r="J13" s="372">
        <f t="shared" ref="J13:J53" si="0">I13*30</f>
        <v>60</v>
      </c>
      <c r="K13" s="113">
        <f>Calculs!J102</f>
        <v>60</v>
      </c>
      <c r="L13" s="373">
        <f t="shared" ref="L13:L53" si="1">J13/K13</f>
        <v>1</v>
      </c>
      <c r="M13" s="1819">
        <f>IF('Saisie données stocks'!$O$10='TRAD-Saisie données stocks'!$B$51, 'Calculs Péremption conso'!BU7, Calculs!M262)</f>
        <v>62923</v>
      </c>
      <c r="N13" s="1819">
        <f>Calculs!$L$317</f>
        <v>6338</v>
      </c>
      <c r="O13" s="1819">
        <f>Calculs!$N$317</f>
        <v>0</v>
      </c>
      <c r="P13"/>
      <c r="Q13" s="2154">
        <f>IF(Calculs!N317&gt;0, (-(Calculs!N317+2*Calculs!L317)+SQRT((Calculs!N317+2*Calculs!L317)*(Calculs!N317+2*Calculs!L317)+8*Calculs!N317*(M13)))/(2*Calculs!N317), ((M13)/Calculs!L317))</f>
        <v>9.9278952350899345</v>
      </c>
      <c r="R13" s="2154">
        <f t="shared" ref="R13:R53" si="2">Q127-Q70</f>
        <v>9.9278952350899328</v>
      </c>
      <c r="S13" s="2155">
        <f>Q13-Paramétrage!D$29</f>
        <v>6.9278952350899345</v>
      </c>
      <c r="T13" s="2156">
        <f>IF(Q13&lt;Paramétrage!D$29, Q13, Paramétrage!D$29)</f>
        <v>3</v>
      </c>
      <c r="U13" s="2157">
        <f>Paramétrage!H$19+S13*(365/12)</f>
        <v>42129.723480067318</v>
      </c>
      <c r="V13" s="2158">
        <f>IF(Q13&lt;Paramétrage!D$29, Paramétrage!H$19+T13*(365/12), Paramétrage!H$19+Q13*(365/12))</f>
        <v>42220.973480067318</v>
      </c>
      <c r="W13" s="2051"/>
      <c r="X13" s="2154">
        <f>IF(ISERROR(Q13),"", IF(Q13=0, "", IF(Q13&gt;'Calculs Péremption conso'!$CB7, 'Calculs Péremption conso'!$CB7, Q13)))</f>
        <v>9.9278952350899345</v>
      </c>
      <c r="Y13" s="2159">
        <f>IF(ISERROR(R13),"", IF(R13=0, "", IF(R13&gt;'Calculs Péremption conso'!$CB7, 'Calculs Péremption conso'!$CB7, R13)))</f>
        <v>9.9278952350899328</v>
      </c>
      <c r="Z13" s="2155">
        <f>IF(ISERROR(Q13),"", IF(Q13=0, "", IF(Q13&gt;'Calculs Péremption conso'!$CB7, 'Calculs Péremption conso'!$CB7-Paramétrage!$D$29, S13)))</f>
        <v>6.9278952350899345</v>
      </c>
      <c r="AA13" s="2160">
        <f>IF(ISERROR(Q13),"", IF(Q13=0, "", IF(Q13&gt;'Calculs Péremption conso'!$CB7, Paramétrage!$D$29, T13)))</f>
        <v>3</v>
      </c>
      <c r="AB13" s="2157">
        <f>IF(ISERROR(Q13),"", IF(Q13=0, "", IF(Q13&gt;'Calculs Péremption conso'!$CB7, 'Calculs Péremption conso'!$BX7-Paramétrage!$D$29*(365/12), U13)))</f>
        <v>42129.723480067318</v>
      </c>
      <c r="AC13" s="2158">
        <f>IF(ISERROR(Q13), AW13, IF(Q13=0, IF(AND(M13=0, OR(N13&gt;0, O13&gt;0)), AX13, ""), IF(Q13&gt;'Calculs Péremption conso'!$CB7, IF(Q13&lt;'Saisie données stocks'!$N$14, CONCATENATE('TRAD-Calculs dispo Données FA'!$B$88, " - ", 'Calculs Péremption conso'!$BY7, "/", 'Calculs Péremption conso'!$BZ7, "/", 'Calculs Péremption conso'!$CA7), 'Calculs Péremption conso'!CC7), V13)))</f>
        <v>42220.973480067318</v>
      </c>
      <c r="AD13" s="2051"/>
      <c r="AE13" s="2154">
        <f>((Calculs!M262)/Calculs!L317)</f>
        <v>9.9278952350899345</v>
      </c>
      <c r="AF13" s="2154">
        <f t="shared" ref="AF13" si="3">AE13-Q13</f>
        <v>0</v>
      </c>
      <c r="AG13" s="2155">
        <f>AE13-Paramétrage!D$29</f>
        <v>6.9278952350899345</v>
      </c>
      <c r="AH13" s="2156">
        <f>IF(AE13&lt;Paramétrage!D$29, AE13, Paramétrage!D$29)</f>
        <v>3</v>
      </c>
      <c r="AI13" s="2157">
        <f>Paramétrage!H$19+AG13*(365/12)</f>
        <v>42129.723480067318</v>
      </c>
      <c r="AJ13" s="2158">
        <f>IF(AE13&lt;Paramétrage!D$29, Paramétrage!H$19+AH13*(365/12), Paramétrage!H$19+AE13*(365/12))</f>
        <v>42220.973480067318</v>
      </c>
      <c r="AK13" s="2051"/>
      <c r="AL13" s="2154">
        <f>IF(ISERROR(AE13),"", IF(AE13=0, "", IF(AE13&gt;'Calculs Péremption conso'!$CB7, 'Calculs Péremption conso'!$CB7, AE13)))</f>
        <v>9.9278952350899345</v>
      </c>
      <c r="AM13" s="2159" t="str">
        <f t="shared" ref="AM13" si="4">IF(ISERROR(AF13),"", IF(AF13=0, "", IF(AL13-X13=0, "0", AL13-X13)))</f>
        <v/>
      </c>
      <c r="AN13" s="2155">
        <f>IF(ISERROR(AE13),"", IF(AE13=0, "", IF(AE13&gt;'Calculs Péremption conso'!$CB7, 'Calculs Péremption conso'!$CB7-Paramétrage!$D$29, AG13)))</f>
        <v>6.9278952350899345</v>
      </c>
      <c r="AO13" s="2160">
        <f>IF(ISERROR(AE13),"", IF(AE13=0, "", IF(AE13&gt;'Calculs Péremption conso'!$CB7, Paramétrage!$D$29, AH13)))</f>
        <v>3</v>
      </c>
      <c r="AP13" s="2157">
        <f>IF(ISERROR(AE13),"", IF(AE13=0, "", IF(AE13&gt;'Calculs Péremption FA'!$CB7, 'Calculs Péremption FA'!$BX7-Paramétrage!$D$29*(365/12), AI13)))</f>
        <v>42129.723480067318</v>
      </c>
      <c r="AQ13" s="2158">
        <f>IF(ISERROR(AE13),"", IF(AE13=0, "", IF(AE13&gt;'Calculs Péremption conso'!$CB7, CONCATENATE('TRAD-Calculs dispo Données FA'!$B$88, " - ", 'Calculs Péremption conso'!$BY7, "/", 'Calculs Péremption conso'!$BZ7, "/", 'Calculs Péremption conso'!$CA7), AJ13)))</f>
        <v>42220.973480067318</v>
      </c>
      <c r="AR13" s="2051"/>
      <c r="AS13" s="2061">
        <f>Calculs!$M262</f>
        <v>62923</v>
      </c>
      <c r="AT13" s="2241">
        <f>Calculs!$L317</f>
        <v>6338</v>
      </c>
      <c r="AU13" s="2068">
        <f>Calculs!$N317</f>
        <v>0</v>
      </c>
      <c r="AV13" s="2070" t="str">
        <f>IF(AND(AU13=0, AS13=0, AT13=0), 'TRAD-Calculs dispo Données FA'!$B$82, "")</f>
        <v/>
      </c>
      <c r="AW13" s="2065" t="str">
        <f>IF(AND(AU13=0, AS13&gt;0, AT13=0), CONCATENATE(AS13, 'TRAD-Calculs dispo Données FA'!$B$80," =0"), "")</f>
        <v/>
      </c>
      <c r="AX13" s="2063" t="str">
        <f>IF(AND(AS13=0, OR(AT13&gt;=1, AU13&gt;=1)), 'TRAD-Calculs dispo Données FA'!$B$81, "")</f>
        <v/>
      </c>
      <c r="AY13" s="2051"/>
      <c r="AZ13" s="2051"/>
      <c r="BA13" s="2051"/>
      <c r="BB13" s="2051"/>
      <c r="BC13" s="2051"/>
      <c r="BD13" s="2051"/>
      <c r="BE13" s="2051"/>
      <c r="BF13" s="2051"/>
      <c r="BG13" s="2051"/>
      <c r="BH13" s="2051"/>
      <c r="BI13" s="2051"/>
      <c r="BJ13" s="2051"/>
      <c r="BK13" s="2051"/>
      <c r="BL13" s="2051"/>
      <c r="BM13" s="2051"/>
      <c r="BN13" s="2051"/>
      <c r="BO13" s="2051"/>
      <c r="BP13" s="2051"/>
      <c r="BQ13" s="2051"/>
      <c r="BR13" s="2051"/>
      <c r="BS13" s="2051"/>
      <c r="BT13" s="2051"/>
    </row>
    <row r="14" spans="1:72" s="358" customFormat="1" ht="38.25" x14ac:dyDescent="0.2">
      <c r="C14" s="374"/>
      <c r="D14" s="375"/>
      <c r="E14" s="501" t="str">
        <f>'Saisie données stocks'!F20</f>
        <v>AZT+3TC+NVP</v>
      </c>
      <c r="F14" s="502" t="str">
        <f>'Saisie données stocks'!G20</f>
        <v>Cp</v>
      </c>
      <c r="G14" s="502" t="str">
        <f>'Saisie données stocks'!H20</f>
        <v>60/30/50 mg</v>
      </c>
      <c r="H14" s="504" t="str">
        <f>CONCATENATE(E14, " - ", G14, " - ", 'TRAD-Calculs dispo Données FA'!$B$79,"/", K14)</f>
        <v>AZT+3TC+NVP - 60/30/50 mg - B/60</v>
      </c>
      <c r="I14" s="505">
        <f>Calculs!K103</f>
        <v>2</v>
      </c>
      <c r="J14" s="505">
        <f t="shared" si="0"/>
        <v>60</v>
      </c>
      <c r="K14" s="114">
        <f>Calculs!J103</f>
        <v>60</v>
      </c>
      <c r="L14" s="381">
        <f t="shared" si="1"/>
        <v>1</v>
      </c>
      <c r="M14" s="1820">
        <f>IF('Saisie données stocks'!$O$10='TRAD-Saisie données stocks'!$B$51, 'Calculs Péremption conso'!BU8, Calculs!M263)</f>
        <v>1032</v>
      </c>
      <c r="N14" s="1820">
        <f>Calculs!$L$318</f>
        <v>546</v>
      </c>
      <c r="O14" s="1820">
        <f>Calculs!$N$318</f>
        <v>0</v>
      </c>
      <c r="P14"/>
      <c r="Q14" s="2161">
        <f>IF(Calculs!N318&gt;0, (-(Calculs!N318+2*Calculs!L318)+SQRT((Calculs!N318+2*Calculs!L318)*(Calculs!N318+2*Calculs!L318)+8*Calculs!N318*(M14)))/(2*Calculs!N318), ((M14)/Calculs!L318))</f>
        <v>1.8901098901098901</v>
      </c>
      <c r="R14" s="2161">
        <f t="shared" si="2"/>
        <v>1.8901098901098901</v>
      </c>
      <c r="S14" s="2162">
        <f>Q14-Paramétrage!D$29</f>
        <v>-1.1098901098901099</v>
      </c>
      <c r="T14" s="2163">
        <f>IF(Q14&lt;Paramétrage!D$29, Q14, Paramétrage!D$29)</f>
        <v>1.8901098901098901</v>
      </c>
      <c r="U14" s="2164">
        <f>Paramétrage!H$19+S14*(365/12)</f>
        <v>41885.240842490843</v>
      </c>
      <c r="V14" s="2165">
        <f>IF(Q14&lt;Paramétrage!D$29, Paramétrage!H$19+T14*(365/12), Paramétrage!H$19+Q14*(365/12))</f>
        <v>41976.490842490843</v>
      </c>
      <c r="W14" s="2051"/>
      <c r="X14" s="2161">
        <f>IF(ISERROR(Q14),"", IF(Q14=0, "", IF(Q14&gt;'Calculs Péremption conso'!$CB8, 'Calculs Péremption conso'!$CB8, Q14)))</f>
        <v>1.8901098901098901</v>
      </c>
      <c r="Y14" s="2166">
        <f>IF(ISERROR(R14),"", IF(R14=0, "", IF(R14&gt;'Calculs Péremption conso'!$CB8, 'Calculs Péremption conso'!$CB8, R14)))</f>
        <v>1.8901098901098901</v>
      </c>
      <c r="Z14" s="2162">
        <f>IF(ISERROR(Q14),"", IF(Q14=0, "", IF(Q14&gt;'Calculs Péremption conso'!$CB8, 'Calculs Péremption conso'!$CB8-Paramétrage!$D$29, S14)))</f>
        <v>-1.1098901098901099</v>
      </c>
      <c r="AA14" s="2167">
        <f>IF(ISERROR(Q14),"", IF(Q14=0, "", IF(Q14&gt;'Calculs Péremption conso'!$CB8, Paramétrage!$D$29, T14)))</f>
        <v>1.8901098901098901</v>
      </c>
      <c r="AB14" s="2164">
        <f>IF(ISERROR(Q14),"", IF(Q14=0, "", IF(Q14&gt;'Calculs Péremption conso'!$CB8, 'Calculs Péremption conso'!$BX8-Paramétrage!$D$29*(365/12), U14)))</f>
        <v>41885.240842490843</v>
      </c>
      <c r="AC14" s="2165">
        <f>IF(ISERROR(Q14), AW14, IF(Q14=0, IF(AND(M14=0, OR(N14&gt;0, O14&gt;0)), AX14, ""), IF(Q14&gt;'Calculs Péremption conso'!$CB8, IF(Q14&lt;'Saisie données stocks'!$N$14, CONCATENATE('TRAD-Calculs dispo Données FA'!$B$88, " - ", 'Calculs Péremption conso'!$BY8, "/", 'Calculs Péremption conso'!$BZ8, "/", 'Calculs Péremption conso'!$CA8), 'Calculs Péremption conso'!CC8), V14)))</f>
        <v>41976.490842490843</v>
      </c>
      <c r="AD14" s="2051"/>
      <c r="AE14" s="2161">
        <f>((Calculs!M263)/Calculs!L318)</f>
        <v>1.8901098901098901</v>
      </c>
      <c r="AF14" s="2161">
        <f t="shared" ref="AF14:AF53" si="5">AE14-Q14</f>
        <v>0</v>
      </c>
      <c r="AG14" s="2162">
        <f>AE14-Paramétrage!D$29</f>
        <v>-1.1098901098901099</v>
      </c>
      <c r="AH14" s="2163">
        <f>IF(AE14&lt;Paramétrage!D$29, AE14, Paramétrage!D$29)</f>
        <v>1.8901098901098901</v>
      </c>
      <c r="AI14" s="2164">
        <f>Paramétrage!H$19+AG14*(365/12)</f>
        <v>41885.240842490843</v>
      </c>
      <c r="AJ14" s="2165">
        <f>IF(AE14&lt;Paramétrage!D$29, Paramétrage!H$19+AH14*(365/12), Paramétrage!H$19+AE14*(365/12))</f>
        <v>41976.490842490843</v>
      </c>
      <c r="AK14" s="2051"/>
      <c r="AL14" s="2161">
        <f>IF(ISERROR(AE14),"", IF(AE14=0, "", IF(AE14&gt;'Calculs Péremption conso'!$CB8, 'Calculs Péremption conso'!$CB8, AE14)))</f>
        <v>1.8901098901098901</v>
      </c>
      <c r="AM14" s="2166" t="str">
        <f t="shared" ref="AM14:AM53" si="6">IF(ISERROR(AF14),"", IF(AF14=0, "", IF(AL14-X14=0, "0", AL14-X14)))</f>
        <v/>
      </c>
      <c r="AN14" s="2162">
        <f>IF(ISERROR(AE14),"", IF(AE14=0, "", IF(AE14&gt;'Calculs Péremption conso'!$CB8, 'Calculs Péremption conso'!$CB8-Paramétrage!$D$29, AG14)))</f>
        <v>-1.1098901098901099</v>
      </c>
      <c r="AO14" s="2167">
        <f>IF(ISERROR(AE14),"", IF(AE14=0, "", IF(AE14&gt;'Calculs Péremption conso'!$CB8, Paramétrage!$D$29, AH14)))</f>
        <v>1.8901098901098901</v>
      </c>
      <c r="AP14" s="2164">
        <f>IF(ISERROR(AE14),"", IF(AE14=0, "", IF(AE14&gt;'Calculs Péremption FA'!$CB8, 'Calculs Péremption FA'!$BX8-Paramétrage!$D$29*(365/12), AI14)))</f>
        <v>41885.240842490843</v>
      </c>
      <c r="AQ14" s="2165">
        <f>IF(ISERROR(AE14),"", IF(AE14=0, "", IF(AE14&gt;'Calculs Péremption conso'!$CB8, CONCATENATE('TRAD-Calculs dispo Données FA'!$B$88, " - ", 'Calculs Péremption conso'!$BY8, "/", 'Calculs Péremption conso'!$BZ8, "/", 'Calculs Péremption conso'!$CA8), AJ14)))</f>
        <v>41976.490842490843</v>
      </c>
      <c r="AR14" s="2051"/>
      <c r="AS14" s="2061">
        <f>Calculs!$M263</f>
        <v>1032</v>
      </c>
      <c r="AT14" s="2062">
        <f>Calculs!$L318</f>
        <v>546</v>
      </c>
      <c r="AU14" s="2068">
        <f>Calculs!$N318</f>
        <v>0</v>
      </c>
      <c r="AV14" s="2070" t="str">
        <f>IF(AND(AU14=0, AS14=0, AT14=0), 'TRAD-Calculs dispo Données FA'!$B$82, "")</f>
        <v/>
      </c>
      <c r="AW14" s="2062" t="str">
        <f>IF(AND(AU14=0, AS14&gt;0, AT14=0), CONCATENATE(AS14, 'TRAD-Calculs dispo Données FA'!$B$80," =0"), "")</f>
        <v/>
      </c>
      <c r="AX14" s="2063" t="str">
        <f>IF(AND(AS14=0, OR(AT14&gt;=1, AU14&gt;=1)), 'TRAD-Calculs dispo Données FA'!$B$81, "")</f>
        <v/>
      </c>
      <c r="AY14" s="2051"/>
      <c r="AZ14" s="2051"/>
      <c r="BA14" s="2051"/>
      <c r="BB14" s="2051"/>
      <c r="BC14" s="2051"/>
      <c r="BD14" s="2051"/>
      <c r="BE14" s="2051"/>
      <c r="BF14" s="2051"/>
      <c r="BG14" s="2051"/>
      <c r="BH14" s="2051"/>
      <c r="BI14" s="2051"/>
      <c r="BJ14" s="2051"/>
      <c r="BK14" s="2051"/>
      <c r="BL14" s="2051"/>
      <c r="BM14" s="2051"/>
      <c r="BN14" s="2051"/>
      <c r="BO14" s="2051"/>
      <c r="BP14" s="2051"/>
      <c r="BQ14" s="2051"/>
      <c r="BR14" s="2051"/>
      <c r="BS14" s="2051"/>
      <c r="BT14" s="2051"/>
    </row>
    <row r="15" spans="1:72" s="358" customFormat="1" ht="25.5" x14ac:dyDescent="0.2">
      <c r="C15" s="374"/>
      <c r="D15" s="375"/>
      <c r="E15" s="376" t="str">
        <f>'Saisie données stocks'!F21</f>
        <v>AZT+3TC+ABC</v>
      </c>
      <c r="F15" s="377" t="str">
        <f>'Saisie données stocks'!G21</f>
        <v>Cp</v>
      </c>
      <c r="G15" s="377" t="str">
        <f>'Saisie données stocks'!H21</f>
        <v>300/150/300 mg</v>
      </c>
      <c r="H15" s="378" t="str">
        <f>CONCATENATE(E15, " - ", G15, " - ", 'TRAD-Calculs dispo Données FA'!$B$79,"/", K15)</f>
        <v>AZT+3TC+ABC - 300/150/300 mg - B/60</v>
      </c>
      <c r="I15" s="380">
        <f>Calculs!K104</f>
        <v>2</v>
      </c>
      <c r="J15" s="380">
        <f t="shared" si="0"/>
        <v>60</v>
      </c>
      <c r="K15" s="114">
        <f>Calculs!J104</f>
        <v>60</v>
      </c>
      <c r="L15" s="381">
        <f t="shared" si="1"/>
        <v>1</v>
      </c>
      <c r="M15" s="1820">
        <f>IF('Saisie données stocks'!$O$10='TRAD-Saisie données stocks'!$B$51, 'Calculs Péremption conso'!BU9, Calculs!M264)</f>
        <v>237.00821917808219</v>
      </c>
      <c r="N15" s="1820">
        <f>Calculs!$L$319</f>
        <v>27</v>
      </c>
      <c r="O15" s="1820">
        <f>Calculs!$N$319</f>
        <v>0</v>
      </c>
      <c r="P15"/>
      <c r="Q15" s="2161">
        <f>IF(Calculs!N319&gt;0, (-(Calculs!N319+2*Calculs!L319)+SQRT((Calculs!N319+2*Calculs!L319)*(Calculs!N319+2*Calculs!L319)+8*Calculs!N319*(M15)))/(2*Calculs!N319), ((M15)/Calculs!L319))</f>
        <v>8.7780821917808218</v>
      </c>
      <c r="R15" s="2161">
        <f t="shared" si="2"/>
        <v>8.7780821917808218</v>
      </c>
      <c r="S15" s="2162">
        <f>Q15-Paramétrage!D$29</f>
        <v>5.7780821917808218</v>
      </c>
      <c r="T15" s="2163">
        <f>IF(Q15&lt;Paramétrage!D$29, Q15, Paramétrage!D$29)</f>
        <v>3</v>
      </c>
      <c r="U15" s="2164">
        <f>Paramétrage!H$19+S15*(365/12)</f>
        <v>42094.75</v>
      </c>
      <c r="V15" s="2165">
        <f>IF(Q15&lt;Paramétrage!D$29, Paramétrage!H$19+T15*(365/12), Paramétrage!H$19+Q15*(365/12))</f>
        <v>42186</v>
      </c>
      <c r="W15" s="2051"/>
      <c r="X15" s="2161">
        <f>IF(ISERROR(Q15),"", IF(Q15=0, "", IF(Q15&gt;'Calculs Péremption conso'!$CB9, 'Calculs Péremption conso'!$CB9, Q15)))</f>
        <v>8.7780821917808218</v>
      </c>
      <c r="Y15" s="2166">
        <f>IF(ISERROR(R15),"", IF(R15=0, "", IF(R15&gt;'Calculs Péremption conso'!$CB9, 'Calculs Péremption conso'!$CB9, R15)))</f>
        <v>8.7780821917808218</v>
      </c>
      <c r="Z15" s="2162">
        <f>IF(ISERROR(Q15),"", IF(Q15=0, "", IF(Q15&gt;'Calculs Péremption conso'!$CB9, 'Calculs Péremption conso'!$CB9-Paramétrage!$D$29, S15)))</f>
        <v>5.7780821917808218</v>
      </c>
      <c r="AA15" s="2167">
        <f>IF(ISERROR(Q15),"", IF(Q15=0, "", IF(Q15&gt;'Calculs Péremption conso'!$CB9, Paramétrage!$D$29, T15)))</f>
        <v>3</v>
      </c>
      <c r="AB15" s="2164">
        <f>IF(ISERROR(Q15),"", IF(Q15=0, "", IF(Q15&gt;'Calculs Péremption conso'!$CB9, 'Calculs Péremption conso'!$BX9-Paramétrage!$D$29*(365/12), U15)))</f>
        <v>42094.75</v>
      </c>
      <c r="AC15" s="2165">
        <f>IF(ISERROR(Q15), AW15, IF(Q15=0, IF(AND(M15=0, OR(N15&gt;0, O15&gt;0)), AX15, ""), IF(Q15&gt;'Calculs Péremption conso'!$CB9, IF(Q15&lt;'Saisie données stocks'!$N$14, CONCATENATE('TRAD-Calculs dispo Données FA'!$B$88, " - ", 'Calculs Péremption conso'!$BY9, "/", 'Calculs Péremption conso'!$BZ9, "/", 'Calculs Péremption conso'!$CA9), 'Calculs Péremption conso'!CC9), V15)))</f>
        <v>42186</v>
      </c>
      <c r="AD15" s="2051"/>
      <c r="AE15" s="2161">
        <f>((Calculs!M264)/Calculs!L319)</f>
        <v>24.666666666666668</v>
      </c>
      <c r="AF15" s="2161">
        <f t="shared" si="5"/>
        <v>15.888584474885846</v>
      </c>
      <c r="AG15" s="2162">
        <f>AE15-Paramétrage!D$29</f>
        <v>21.666666666666668</v>
      </c>
      <c r="AH15" s="2163">
        <f>IF(AE15&lt;Paramétrage!D$29, AE15, Paramétrage!D$29)</f>
        <v>3</v>
      </c>
      <c r="AI15" s="2164">
        <f>Paramétrage!H$19+AG15*(365/12)</f>
        <v>42578.027777777781</v>
      </c>
      <c r="AJ15" s="2165">
        <f>IF(AE15&lt;Paramétrage!D$29, Paramétrage!H$19+AH15*(365/12), Paramétrage!H$19+AE15*(365/12))</f>
        <v>42669.277777777781</v>
      </c>
      <c r="AK15" s="2051"/>
      <c r="AL15" s="2161">
        <f>IF(ISERROR(AE15),"", IF(AE15=0, "", IF(AE15&gt;'Calculs Péremption conso'!$CB9, 'Calculs Péremption conso'!$CB9, AE15)))</f>
        <v>8.7780821917808218</v>
      </c>
      <c r="AM15" s="2166" t="str">
        <f t="shared" si="6"/>
        <v>0</v>
      </c>
      <c r="AN15" s="2162">
        <f>IF(ISERROR(AE15),"", IF(AE15=0, "", IF(AE15&gt;'Calculs Péremption conso'!$CB9, 'Calculs Péremption conso'!$CB9-Paramétrage!$D$29, AG15)))</f>
        <v>5.7780821917808218</v>
      </c>
      <c r="AO15" s="2167">
        <f>IF(ISERROR(AE15),"", IF(AE15=0, "", IF(AE15&gt;'Calculs Péremption conso'!$CB9, Paramétrage!$D$29, AH15)))</f>
        <v>3</v>
      </c>
      <c r="AP15" s="2164">
        <f>IF(ISERROR(AE15),"", IF(AE15=0, "", IF(AE15&gt;'Calculs Péremption FA'!$CB9, 'Calculs Péremption FA'!$BX9-Paramétrage!$D$29*(365/12), AI15)))</f>
        <v>42094.75</v>
      </c>
      <c r="AQ15" s="2165" t="str">
        <f>IF(ISERROR(AE15),"", IF(AE15=0, "", IF(AE15&gt;'Calculs Péremption conso'!$CB9, CONCATENATE('TRAD-Calculs dispo Données FA'!$B$88, " - ", 'Calculs Péremption conso'!$BY9, "/", 'Calculs Péremption conso'!$BZ9, "/", 'Calculs Péremption conso'!$CA9), AJ15)))</f>
        <v>DLU - 1/7/2015</v>
      </c>
      <c r="AR15" s="2051"/>
      <c r="AS15" s="2061">
        <f>Calculs!$M264</f>
        <v>666</v>
      </c>
      <c r="AT15" s="2062">
        <f>Calculs!$L319</f>
        <v>27</v>
      </c>
      <c r="AU15" s="2068">
        <f>Calculs!$N319</f>
        <v>0</v>
      </c>
      <c r="AV15" s="2070" t="str">
        <f>IF(AND(AU15=0, AS15=0, AT15=0), 'TRAD-Calculs dispo Données FA'!$B$82, "")</f>
        <v/>
      </c>
      <c r="AW15" s="2062" t="str">
        <f>IF(AND(AU15=0, AS15&gt;0, AT15=0), CONCATENATE(AS15, 'TRAD-Calculs dispo Données FA'!$B$80," =0"), "")</f>
        <v/>
      </c>
      <c r="AX15" s="2063" t="str">
        <f>IF(AND(AS15=0, OR(AT15&gt;=1, AU15&gt;=1)), 'TRAD-Calculs dispo Données FA'!$B$81, "")</f>
        <v/>
      </c>
      <c r="AY15" s="2051"/>
      <c r="AZ15" s="2051"/>
      <c r="BA15" s="2051"/>
      <c r="BB15" s="2051"/>
      <c r="BC15" s="2051"/>
      <c r="BD15" s="2051"/>
      <c r="BE15" s="2051"/>
      <c r="BF15" s="2051"/>
      <c r="BG15" s="2051"/>
      <c r="BH15" s="2051"/>
      <c r="BI15" s="2051"/>
      <c r="BJ15" s="2051"/>
      <c r="BK15" s="2051"/>
      <c r="BL15" s="2051"/>
      <c r="BM15" s="2051"/>
      <c r="BN15" s="2051"/>
      <c r="BO15" s="2051"/>
      <c r="BP15" s="2051"/>
      <c r="BQ15" s="2051"/>
      <c r="BR15" s="2051"/>
      <c r="BS15" s="2051"/>
      <c r="BT15" s="2051"/>
    </row>
    <row r="16" spans="1:72" s="358" customFormat="1" ht="25.5" x14ac:dyDescent="0.2">
      <c r="C16" s="374"/>
      <c r="D16" s="375"/>
      <c r="E16" s="376" t="str">
        <f>'Saisie données stocks'!F22</f>
        <v>AZT+3TC</v>
      </c>
      <c r="F16" s="377" t="str">
        <f>'Saisie données stocks'!G22</f>
        <v>Cp</v>
      </c>
      <c r="G16" s="377" t="str">
        <f>'Saisie données stocks'!H22</f>
        <v>300/150 mg</v>
      </c>
      <c r="H16" s="378" t="str">
        <f>CONCATENATE(E16, " - ", G16, " - ", 'TRAD-Calculs dispo Données FA'!$B$79,"/", K16)</f>
        <v>AZT+3TC - 300/150 mg - B/60</v>
      </c>
      <c r="I16" s="380">
        <f>Calculs!K105</f>
        <v>2</v>
      </c>
      <c r="J16" s="380">
        <f t="shared" si="0"/>
        <v>60</v>
      </c>
      <c r="K16" s="114">
        <f>Calculs!J105</f>
        <v>60</v>
      </c>
      <c r="L16" s="381">
        <f t="shared" si="1"/>
        <v>1</v>
      </c>
      <c r="M16" s="1820">
        <f>IF('Saisie données stocks'!$O$10='TRAD-Saisie données stocks'!$B$51, 'Calculs Péremption conso'!BU10, Calculs!M265)</f>
        <v>11298</v>
      </c>
      <c r="N16" s="1820">
        <f>Calculs!$L$320</f>
        <v>1267</v>
      </c>
      <c r="O16" s="1820">
        <f>Calculs!$N$320</f>
        <v>0</v>
      </c>
      <c r="P16"/>
      <c r="Q16" s="2161">
        <f>IF(Calculs!N320&gt;0, (-(Calculs!N320+2*Calculs!L320)+SQRT((Calculs!N320+2*Calculs!L320)*(Calculs!N320+2*Calculs!L320)+8*Calculs!N320*(M16)))/(2*Calculs!N320), ((M16)/Calculs!L320))</f>
        <v>8.9171270718232041</v>
      </c>
      <c r="R16" s="2161">
        <f t="shared" si="2"/>
        <v>8.9171270718232041</v>
      </c>
      <c r="S16" s="2162">
        <f>Q16-Paramétrage!D$29</f>
        <v>5.9171270718232041</v>
      </c>
      <c r="T16" s="2163">
        <f>IF(Q16&lt;Paramétrage!D$29, Q16, Paramétrage!D$29)</f>
        <v>3</v>
      </c>
      <c r="U16" s="2164">
        <f>Paramétrage!H$19+S16*(365/12)</f>
        <v>42098.979281767955</v>
      </c>
      <c r="V16" s="2165">
        <f>IF(Q16&lt;Paramétrage!D$29, Paramétrage!H$19+T16*(365/12), Paramétrage!H$19+Q16*(365/12))</f>
        <v>42190.229281767955</v>
      </c>
      <c r="W16" s="2051"/>
      <c r="X16" s="2161">
        <f>IF(ISERROR(Q16),"", IF(Q16=0, "", IF(Q16&gt;'Calculs Péremption conso'!$CB10, 'Calculs Péremption conso'!$CB10, Q16)))</f>
        <v>8.9171270718232041</v>
      </c>
      <c r="Y16" s="2166">
        <f>IF(ISERROR(R16),"", IF(R16=0, "", IF(R16&gt;'Calculs Péremption conso'!$CB10, 'Calculs Péremption conso'!$CB10, R16)))</f>
        <v>8.9171270718232041</v>
      </c>
      <c r="Z16" s="2162">
        <f>IF(ISERROR(Q16),"", IF(Q16=0, "", IF(Q16&gt;'Calculs Péremption conso'!$CB10, 'Calculs Péremption conso'!$CB10-Paramétrage!$D$29, S16)))</f>
        <v>5.9171270718232041</v>
      </c>
      <c r="AA16" s="2167">
        <f>IF(ISERROR(Q16),"", IF(Q16=0, "", IF(Q16&gt;'Calculs Péremption conso'!$CB10, Paramétrage!$D$29, T16)))</f>
        <v>3</v>
      </c>
      <c r="AB16" s="2164">
        <f>IF(ISERROR(Q16),"", IF(Q16=0, "", IF(Q16&gt;'Calculs Péremption conso'!$CB10, 'Calculs Péremption conso'!$BX10-Paramétrage!$D$29*(365/12), U16)))</f>
        <v>42098.979281767955</v>
      </c>
      <c r="AC16" s="2165">
        <f>IF(ISERROR(Q16), AW16, IF(Q16=0, IF(AND(M16=0, OR(N16&gt;0, O16&gt;0)), AX16, ""), IF(Q16&gt;'Calculs Péremption conso'!$CB10, IF(Q16&lt;'Saisie données stocks'!$N$14, CONCATENATE('TRAD-Calculs dispo Données FA'!$B$88, " - ", 'Calculs Péremption conso'!$BY10, "/", 'Calculs Péremption conso'!$BZ10, "/", 'Calculs Péremption conso'!$CA10), 'Calculs Péremption conso'!CC10), V16)))</f>
        <v>42190.229281767955</v>
      </c>
      <c r="AD16" s="2051"/>
      <c r="AE16" s="2161">
        <f>((Calculs!M265)/Calculs!L320)</f>
        <v>8.9171270718232041</v>
      </c>
      <c r="AF16" s="2161">
        <f t="shared" si="5"/>
        <v>0</v>
      </c>
      <c r="AG16" s="2162">
        <f>AE16-Paramétrage!D$29</f>
        <v>5.9171270718232041</v>
      </c>
      <c r="AH16" s="2163">
        <f>IF(AE16&lt;Paramétrage!D$29, AE16, Paramétrage!D$29)</f>
        <v>3</v>
      </c>
      <c r="AI16" s="2164">
        <f>Paramétrage!H$19+AG16*(365/12)</f>
        <v>42098.979281767955</v>
      </c>
      <c r="AJ16" s="2165">
        <f>IF(AE16&lt;Paramétrage!D$29, Paramétrage!H$19+AH16*(365/12), Paramétrage!H$19+AE16*(365/12))</f>
        <v>42190.229281767955</v>
      </c>
      <c r="AK16" s="2051"/>
      <c r="AL16" s="2161">
        <f>IF(ISERROR(AE16),"", IF(AE16=0, "", IF(AE16&gt;'Calculs Péremption conso'!$CB10, 'Calculs Péremption conso'!$CB10, AE16)))</f>
        <v>8.9171270718232041</v>
      </c>
      <c r="AM16" s="2166" t="str">
        <f t="shared" si="6"/>
        <v/>
      </c>
      <c r="AN16" s="2162">
        <f>IF(ISERROR(AE16),"", IF(AE16=0, "", IF(AE16&gt;'Calculs Péremption conso'!$CB10, 'Calculs Péremption conso'!$CB10-Paramétrage!$D$29, AG16)))</f>
        <v>5.9171270718232041</v>
      </c>
      <c r="AO16" s="2167">
        <f>IF(ISERROR(AE16),"", IF(AE16=0, "", IF(AE16&gt;'Calculs Péremption conso'!$CB10, Paramétrage!$D$29, AH16)))</f>
        <v>3</v>
      </c>
      <c r="AP16" s="2164">
        <f>IF(ISERROR(AE16),"", IF(AE16=0, "", IF(AE16&gt;'Calculs Péremption FA'!$CB10, 'Calculs Péremption FA'!$BX10-Paramétrage!$D$29*(365/12), AI16)))</f>
        <v>42098.979281767955</v>
      </c>
      <c r="AQ16" s="2165">
        <f>IF(ISERROR(AE16),"", IF(AE16=0, "", IF(AE16&gt;'Calculs Péremption conso'!$CB10, CONCATENATE('TRAD-Calculs dispo Données FA'!$B$88, " - ", 'Calculs Péremption conso'!$BY10, "/", 'Calculs Péremption conso'!$BZ10, "/", 'Calculs Péremption conso'!$CA10), AJ16)))</f>
        <v>42190.229281767955</v>
      </c>
      <c r="AR16" s="2051"/>
      <c r="AS16" s="2061">
        <f>Calculs!$M265</f>
        <v>11298</v>
      </c>
      <c r="AT16" s="2062">
        <f>Calculs!$L320</f>
        <v>1267</v>
      </c>
      <c r="AU16" s="2068">
        <f>Calculs!$N320</f>
        <v>0</v>
      </c>
      <c r="AV16" s="2070" t="str">
        <f>IF(AND(AU16=0, AS16=0, AT16=0), 'TRAD-Calculs dispo Données FA'!$B$82, "")</f>
        <v/>
      </c>
      <c r="AW16" s="2062" t="str">
        <f>IF(AND(AU16=0, AS16&gt;0, AT16=0), CONCATENATE(AS16, 'TRAD-Calculs dispo Données FA'!$B$80," =0"), "")</f>
        <v/>
      </c>
      <c r="AX16" s="2063" t="str">
        <f>IF(AND(AS16=0, OR(AT16&gt;=1, AU16&gt;=1)), 'TRAD-Calculs dispo Données FA'!$B$81, "")</f>
        <v/>
      </c>
      <c r="AY16" s="2051"/>
      <c r="AZ16" s="2051"/>
      <c r="BA16" s="2051"/>
      <c r="BB16" s="2051"/>
      <c r="BC16" s="2051"/>
      <c r="BD16" s="2051"/>
      <c r="BE16" s="2051"/>
      <c r="BF16" s="2051"/>
      <c r="BG16" s="2051"/>
      <c r="BH16" s="2051"/>
      <c r="BI16" s="2051"/>
      <c r="BJ16" s="2051"/>
      <c r="BK16" s="2051"/>
      <c r="BL16" s="2051"/>
      <c r="BM16" s="2051"/>
      <c r="BN16" s="2051"/>
      <c r="BO16" s="2051"/>
      <c r="BP16" s="2051"/>
      <c r="BQ16" s="2051"/>
      <c r="BR16" s="2051"/>
      <c r="BS16" s="2051"/>
      <c r="BT16" s="2051"/>
    </row>
    <row r="17" spans="3:72" s="358" customFormat="1" x14ac:dyDescent="0.2">
      <c r="C17" s="374"/>
      <c r="D17" s="375"/>
      <c r="E17" s="376" t="str">
        <f>'Saisie données stocks'!F23</f>
        <v>AZT+3TC</v>
      </c>
      <c r="F17" s="377" t="str">
        <f>'Saisie données stocks'!G23</f>
        <v>Cp</v>
      </c>
      <c r="G17" s="377" t="str">
        <f>'Saisie données stocks'!H23</f>
        <v>60/30 mg</v>
      </c>
      <c r="H17" s="378" t="str">
        <f>CONCATENATE(E17, " - ", G17, " - ", 'TRAD-Calculs dispo Données FA'!$B$79,"/", K17)</f>
        <v>AZT+3TC - 60/30 mg - B/60</v>
      </c>
      <c r="I17" s="380">
        <f>Calculs!K106</f>
        <v>2</v>
      </c>
      <c r="J17" s="380">
        <f t="shared" si="0"/>
        <v>60</v>
      </c>
      <c r="K17" s="114">
        <f>Calculs!J106</f>
        <v>60</v>
      </c>
      <c r="L17" s="381">
        <f t="shared" si="1"/>
        <v>1</v>
      </c>
      <c r="M17" s="1820">
        <f>IF('Saisie données stocks'!$O$10='TRAD-Saisie données stocks'!$B$51, 'Calculs Péremption conso'!BU11, Calculs!M266)</f>
        <v>743</v>
      </c>
      <c r="N17" s="1820">
        <f>Calculs!$L$321</f>
        <v>146</v>
      </c>
      <c r="O17" s="1820">
        <f>Calculs!$N$321</f>
        <v>0</v>
      </c>
      <c r="P17"/>
      <c r="Q17" s="2161">
        <f>IF(Calculs!N321&gt;0, (-(Calculs!N321+2*Calculs!L321)+SQRT((Calculs!N321+2*Calculs!L321)*(Calculs!N321+2*Calculs!L321)+8*Calculs!N321*(M17)))/(2*Calculs!N321), ((M17)/Calculs!L321))</f>
        <v>5.0890410958904111</v>
      </c>
      <c r="R17" s="2161">
        <f t="shared" si="2"/>
        <v>5.0890410958904111</v>
      </c>
      <c r="S17" s="2162">
        <f>Q17-Paramétrage!D$29</f>
        <v>2.0890410958904111</v>
      </c>
      <c r="T17" s="2163">
        <f>IF(Q17&lt;Paramétrage!D$29, Q17, Paramétrage!D$29)</f>
        <v>3</v>
      </c>
      <c r="U17" s="2164">
        <f>Paramétrage!H$19+S17*(365/12)</f>
        <v>41982.541666666664</v>
      </c>
      <c r="V17" s="2165">
        <f>IF(Q17&lt;Paramétrage!D$29, Paramétrage!H$19+T17*(365/12), Paramétrage!H$19+Q17*(365/12))</f>
        <v>42073.791666666664</v>
      </c>
      <c r="W17" s="2051"/>
      <c r="X17" s="2161">
        <f>IF(ISERROR(Q17),"", IF(Q17=0, "", IF(Q17&gt;'Calculs Péremption conso'!$CB11, 'Calculs Péremption conso'!$CB11, Q17)))</f>
        <v>5.0890410958904111</v>
      </c>
      <c r="Y17" s="2166">
        <f>IF(ISERROR(R17),"", IF(R17=0, "", IF(R17&gt;'Calculs Péremption conso'!$CB11, 'Calculs Péremption conso'!$CB11, R17)))</f>
        <v>5.0890410958904111</v>
      </c>
      <c r="Z17" s="2162">
        <f>IF(ISERROR(Q17),"", IF(Q17=0, "", IF(Q17&gt;'Calculs Péremption conso'!$CB11, 'Calculs Péremption conso'!$CB11-Paramétrage!$D$29, S17)))</f>
        <v>2.0890410958904111</v>
      </c>
      <c r="AA17" s="2167">
        <f>IF(ISERROR(Q17),"", IF(Q17=0, "", IF(Q17&gt;'Calculs Péremption conso'!$CB11, Paramétrage!$D$29, T17)))</f>
        <v>3</v>
      </c>
      <c r="AB17" s="2164">
        <f>IF(ISERROR(Q17),"", IF(Q17=0, "", IF(Q17&gt;'Calculs Péremption conso'!$CB11, 'Calculs Péremption conso'!$BX11-Paramétrage!$D$29*(365/12), U17)))</f>
        <v>41982.541666666664</v>
      </c>
      <c r="AC17" s="2165">
        <f>IF(ISERROR(Q17), AW17, IF(Q17=0, IF(AND(M17=0, OR(N17&gt;0, O17&gt;0)), AX17, ""), IF(Q17&gt;'Calculs Péremption conso'!$CB11, IF(Q17&lt;'Saisie données stocks'!$N$14, CONCATENATE('TRAD-Calculs dispo Données FA'!$B$88, " - ", 'Calculs Péremption conso'!$BY11, "/", 'Calculs Péremption conso'!$BZ11, "/", 'Calculs Péremption conso'!$CA11), 'Calculs Péremption conso'!CC11), V17)))</f>
        <v>42073.791666666664</v>
      </c>
      <c r="AD17" s="2051"/>
      <c r="AE17" s="2161">
        <f>((Calculs!M266)/Calculs!L321)</f>
        <v>5.0890410958904111</v>
      </c>
      <c r="AF17" s="2161">
        <f t="shared" si="5"/>
        <v>0</v>
      </c>
      <c r="AG17" s="2162">
        <f>AE17-Paramétrage!D$29</f>
        <v>2.0890410958904111</v>
      </c>
      <c r="AH17" s="2163">
        <f>IF(AE17&lt;Paramétrage!D$29, AE17, Paramétrage!D$29)</f>
        <v>3</v>
      </c>
      <c r="AI17" s="2164">
        <f>Paramétrage!H$19+AG17*(365/12)</f>
        <v>41982.541666666664</v>
      </c>
      <c r="AJ17" s="2165">
        <f>IF(AE17&lt;Paramétrage!D$29, Paramétrage!H$19+AH17*(365/12), Paramétrage!H$19+AE17*(365/12))</f>
        <v>42073.791666666664</v>
      </c>
      <c r="AK17" s="2051"/>
      <c r="AL17" s="2161">
        <f>IF(ISERROR(AE17),"", IF(AE17=0, "", IF(AE17&gt;'Calculs Péremption conso'!$CB11, 'Calculs Péremption conso'!$CB11, AE17)))</f>
        <v>5.0890410958904111</v>
      </c>
      <c r="AM17" s="2166" t="str">
        <f t="shared" si="6"/>
        <v/>
      </c>
      <c r="AN17" s="2162">
        <f>IF(ISERROR(AE17),"", IF(AE17=0, "", IF(AE17&gt;'Calculs Péremption conso'!$CB11, 'Calculs Péremption conso'!$CB11-Paramétrage!$D$29, AG17)))</f>
        <v>2.0890410958904111</v>
      </c>
      <c r="AO17" s="2167">
        <f>IF(ISERROR(AE17),"", IF(AE17=0, "", IF(AE17&gt;'Calculs Péremption conso'!$CB11, Paramétrage!$D$29, AH17)))</f>
        <v>3</v>
      </c>
      <c r="AP17" s="2164">
        <f>IF(ISERROR(AE17),"", IF(AE17=0, "", IF(AE17&gt;'Calculs Péremption FA'!$CB11, 'Calculs Péremption FA'!$BX11-Paramétrage!$D$29*(365/12), AI17)))</f>
        <v>41982.541666666664</v>
      </c>
      <c r="AQ17" s="2165">
        <f>IF(ISERROR(AE17),"", IF(AE17=0, "", IF(AE17&gt;'Calculs Péremption conso'!$CB11, CONCATENATE('TRAD-Calculs dispo Données FA'!$B$88, " - ", 'Calculs Péremption conso'!$BY11, "/", 'Calculs Péremption conso'!$BZ11, "/", 'Calculs Péremption conso'!$CA11), AJ17)))</f>
        <v>42073.791666666664</v>
      </c>
      <c r="AR17" s="2051"/>
      <c r="AS17" s="2061">
        <f>Calculs!$M266</f>
        <v>743</v>
      </c>
      <c r="AT17" s="2062">
        <f>Calculs!$L321</f>
        <v>146</v>
      </c>
      <c r="AU17" s="2068">
        <f>Calculs!$N321</f>
        <v>0</v>
      </c>
      <c r="AV17" s="2070" t="str">
        <f>IF(AND(AU17=0, AS17=0, AT17=0), 'TRAD-Calculs dispo Données FA'!$B$82, "")</f>
        <v/>
      </c>
      <c r="AW17" s="2062" t="str">
        <f>IF(AND(AU17=0, AS17&gt;0, AT17=0), CONCATENATE(AS17, 'TRAD-Calculs dispo Données FA'!$B$80," =0"), "")</f>
        <v/>
      </c>
      <c r="AX17" s="2063" t="str">
        <f>IF(AND(AS17=0, OR(AT17&gt;=1, AU17&gt;=1)), 'TRAD-Calculs dispo Données FA'!$B$81, "")</f>
        <v/>
      </c>
      <c r="AY17" s="2051"/>
      <c r="AZ17" s="2051"/>
      <c r="BA17" s="2051"/>
      <c r="BB17" s="2051"/>
      <c r="BC17" s="2051"/>
      <c r="BD17" s="2051"/>
      <c r="BE17" s="2051"/>
      <c r="BF17" s="2051"/>
      <c r="BG17" s="2051"/>
      <c r="BH17" s="2051"/>
      <c r="BI17" s="2051"/>
      <c r="BJ17" s="2051"/>
      <c r="BK17" s="2051"/>
      <c r="BL17" s="2051"/>
      <c r="BM17" s="2051"/>
      <c r="BN17" s="2051"/>
      <c r="BO17" s="2051"/>
      <c r="BP17" s="2051"/>
      <c r="BQ17" s="2051"/>
      <c r="BR17" s="2051"/>
      <c r="BS17" s="2051"/>
      <c r="BT17" s="2051"/>
    </row>
    <row r="18" spans="3:72" s="358" customFormat="1" ht="25.5" x14ac:dyDescent="0.2">
      <c r="C18" s="374"/>
      <c r="D18" s="375"/>
      <c r="E18" s="376" t="str">
        <f>'Saisie données stocks'!F24</f>
        <v>3TC+ABC</v>
      </c>
      <c r="F18" s="377" t="str">
        <f>'Saisie données stocks'!G24</f>
        <v>Cp</v>
      </c>
      <c r="G18" s="377" t="str">
        <f>'Saisie données stocks'!H24</f>
        <v>300/600 mg</v>
      </c>
      <c r="H18" s="378" t="str">
        <f>CONCATENATE(E18, " - ", G18, " - ", 'TRAD-Calculs dispo Données FA'!$B$79,"/", K18)</f>
        <v>3TC+ABC - 300/600 mg - B/30</v>
      </c>
      <c r="I18" s="380">
        <f>Calculs!K107</f>
        <v>1</v>
      </c>
      <c r="J18" s="380">
        <f t="shared" si="0"/>
        <v>30</v>
      </c>
      <c r="K18" s="114">
        <f>Calculs!J107</f>
        <v>30</v>
      </c>
      <c r="L18" s="381">
        <f t="shared" si="1"/>
        <v>1</v>
      </c>
      <c r="M18" s="1820">
        <f>IF('Saisie données stocks'!$O$10='TRAD-Saisie données stocks'!$B$51, 'Calculs Péremption conso'!BU12, Calculs!M267)</f>
        <v>147</v>
      </c>
      <c r="N18" s="1820">
        <f>Calculs!$L$322</f>
        <v>56</v>
      </c>
      <c r="O18" s="1820">
        <f>Calculs!$N$322</f>
        <v>0</v>
      </c>
      <c r="P18"/>
      <c r="Q18" s="2161">
        <f>IF(Calculs!N322&gt;0, (-(Calculs!N322+2*Calculs!L322)+SQRT((Calculs!N322+2*Calculs!L322)*(Calculs!N322+2*Calculs!L322)+8*Calculs!N322*(M18)))/(2*Calculs!N322), ((M18)/Calculs!L322))</f>
        <v>2.625</v>
      </c>
      <c r="R18" s="2161">
        <f t="shared" si="2"/>
        <v>2.625</v>
      </c>
      <c r="S18" s="2162">
        <f>Q18-Paramétrage!D$29</f>
        <v>-0.375</v>
      </c>
      <c r="T18" s="2163">
        <f>IF(Q18&lt;Paramétrage!D$29, Q18, Paramétrage!D$29)</f>
        <v>2.625</v>
      </c>
      <c r="U18" s="2164">
        <f>Paramétrage!H$19+S18*(365/12)</f>
        <v>41907.59375</v>
      </c>
      <c r="V18" s="2165">
        <f>IF(Q18&lt;Paramétrage!D$29, Paramétrage!H$19+T18*(365/12), Paramétrage!H$19+Q18*(365/12))</f>
        <v>41998.84375</v>
      </c>
      <c r="W18" s="2051"/>
      <c r="X18" s="2161">
        <f>IF(ISERROR(Q18),"", IF(Q18=0, "", IF(Q18&gt;'Calculs Péremption conso'!$CB12, 'Calculs Péremption conso'!$CB12, Q18)))</f>
        <v>2.625</v>
      </c>
      <c r="Y18" s="2166">
        <f>IF(ISERROR(R18),"", IF(R18=0, "", IF(R18&gt;'Calculs Péremption conso'!$CB12, 'Calculs Péremption conso'!$CB12, R18)))</f>
        <v>2.625</v>
      </c>
      <c r="Z18" s="2162">
        <f>IF(ISERROR(Q18),"", IF(Q18=0, "", IF(Q18&gt;'Calculs Péremption conso'!$CB12, 'Calculs Péremption conso'!$CB12-Paramétrage!$D$29, S18)))</f>
        <v>-0.375</v>
      </c>
      <c r="AA18" s="2167">
        <f>IF(ISERROR(Q18),"", IF(Q18=0, "", IF(Q18&gt;'Calculs Péremption conso'!$CB12, Paramétrage!$D$29, T18)))</f>
        <v>2.625</v>
      </c>
      <c r="AB18" s="2164">
        <f>IF(ISERROR(Q18),"", IF(Q18=0, "", IF(Q18&gt;'Calculs Péremption conso'!$CB12, 'Calculs Péremption conso'!$BX12-Paramétrage!$D$29*(365/12), U18)))</f>
        <v>41907.59375</v>
      </c>
      <c r="AC18" s="2165">
        <f>IF(ISERROR(Q18), AW18, IF(Q18=0, IF(AND(M18=0, OR(N18&gt;0, O18&gt;0)), AX18, ""), IF(Q18&gt;'Calculs Péremption conso'!$CB12, IF(Q18&lt;'Saisie données stocks'!$N$14, CONCATENATE('TRAD-Calculs dispo Données FA'!$B$88, " - ", 'Calculs Péremption conso'!$BY12, "/", 'Calculs Péremption conso'!$BZ12, "/", 'Calculs Péremption conso'!$CA12), 'Calculs Péremption conso'!CC12), V18)))</f>
        <v>41998.84375</v>
      </c>
      <c r="AD18" s="2051"/>
      <c r="AE18" s="2161">
        <f>((Calculs!M267)/Calculs!L322)</f>
        <v>2.625</v>
      </c>
      <c r="AF18" s="2161">
        <f t="shared" si="5"/>
        <v>0</v>
      </c>
      <c r="AG18" s="2162">
        <f>AE18-Paramétrage!D$29</f>
        <v>-0.375</v>
      </c>
      <c r="AH18" s="2163">
        <f>IF(AE18&lt;Paramétrage!D$29, AE18, Paramétrage!D$29)</f>
        <v>2.625</v>
      </c>
      <c r="AI18" s="2164">
        <f>Paramétrage!H$19+AG18*(365/12)</f>
        <v>41907.59375</v>
      </c>
      <c r="AJ18" s="2165">
        <f>IF(AE18&lt;Paramétrage!D$29, Paramétrage!H$19+AH18*(365/12), Paramétrage!H$19+AE18*(365/12))</f>
        <v>41998.84375</v>
      </c>
      <c r="AK18" s="2051"/>
      <c r="AL18" s="2161">
        <f>IF(ISERROR(AE18),"", IF(AE18=0, "", IF(AE18&gt;'Calculs Péremption conso'!$CB12, 'Calculs Péremption conso'!$CB12, AE18)))</f>
        <v>2.625</v>
      </c>
      <c r="AM18" s="2166" t="str">
        <f t="shared" si="6"/>
        <v/>
      </c>
      <c r="AN18" s="2162">
        <f>IF(ISERROR(AE18),"", IF(AE18=0, "", IF(AE18&gt;'Calculs Péremption conso'!$CB12, 'Calculs Péremption conso'!$CB12-Paramétrage!$D$29, AG18)))</f>
        <v>-0.375</v>
      </c>
      <c r="AO18" s="2167">
        <f>IF(ISERROR(AE18),"", IF(AE18=0, "", IF(AE18&gt;'Calculs Péremption conso'!$CB12, Paramétrage!$D$29, AH18)))</f>
        <v>2.625</v>
      </c>
      <c r="AP18" s="2164">
        <f>IF(ISERROR(AE18),"", IF(AE18=0, "", IF(AE18&gt;'Calculs Péremption FA'!$CB12, 'Calculs Péremption FA'!$BX12-Paramétrage!$D$29*(365/12), AI18)))</f>
        <v>41907.59375</v>
      </c>
      <c r="AQ18" s="2165">
        <f>IF(ISERROR(AE18),"", IF(AE18=0, "", IF(AE18&gt;'Calculs Péremption conso'!$CB12, CONCATENATE('TRAD-Calculs dispo Données FA'!$B$88, " - ", 'Calculs Péremption conso'!$BY12, "/", 'Calculs Péremption conso'!$BZ12, "/", 'Calculs Péremption conso'!$CA12), AJ18)))</f>
        <v>41998.84375</v>
      </c>
      <c r="AR18" s="2051"/>
      <c r="AS18" s="2061">
        <f>Calculs!$M267</f>
        <v>147</v>
      </c>
      <c r="AT18" s="2062">
        <f>Calculs!$L322</f>
        <v>56</v>
      </c>
      <c r="AU18" s="2068">
        <f>Calculs!$N322</f>
        <v>0</v>
      </c>
      <c r="AV18" s="2070" t="str">
        <f>IF(AND(AU18=0, AS18=0, AT18=0), 'TRAD-Calculs dispo Données FA'!$B$82, "")</f>
        <v/>
      </c>
      <c r="AW18" s="2062" t="str">
        <f>IF(AND(AU18=0, AS18&gt;0, AT18=0), CONCATENATE(AS18, 'TRAD-Calculs dispo Données FA'!$B$80," =0"), "")</f>
        <v/>
      </c>
      <c r="AX18" s="2063" t="str">
        <f>IF(AND(AS18=0, OR(AT18&gt;=1, AU18&gt;=1)), 'TRAD-Calculs dispo Données FA'!$B$81, "")</f>
        <v/>
      </c>
      <c r="AY18" s="2051"/>
      <c r="AZ18" s="2051"/>
      <c r="BA18" s="2051"/>
      <c r="BB18" s="2051"/>
      <c r="BC18" s="2051"/>
      <c r="BD18" s="2051"/>
      <c r="BE18" s="2051"/>
      <c r="BF18" s="2051"/>
      <c r="BG18" s="2051"/>
      <c r="BH18" s="2051"/>
      <c r="BI18" s="2051"/>
      <c r="BJ18" s="2051"/>
      <c r="BK18" s="2051"/>
      <c r="BL18" s="2051"/>
      <c r="BM18" s="2051"/>
      <c r="BN18" s="2051"/>
      <c r="BO18" s="2051"/>
      <c r="BP18" s="2051"/>
      <c r="BQ18" s="2051"/>
      <c r="BR18" s="2051"/>
      <c r="BS18" s="2051"/>
      <c r="BT18" s="2051"/>
    </row>
    <row r="19" spans="3:72" s="358" customFormat="1" x14ac:dyDescent="0.2">
      <c r="C19" s="374"/>
      <c r="D19" s="375"/>
      <c r="E19" s="376" t="str">
        <f>'Saisie données stocks'!F25</f>
        <v>3TC+ABC</v>
      </c>
      <c r="F19" s="377" t="str">
        <f>'Saisie données stocks'!G25</f>
        <v>Cp</v>
      </c>
      <c r="G19" s="377" t="str">
        <f>'Saisie données stocks'!H25</f>
        <v>30/60 mg</v>
      </c>
      <c r="H19" s="378" t="str">
        <f>CONCATENATE(E19, " - ", G19, " - ", 'TRAD-Calculs dispo Données FA'!$B$79,"/", K19)</f>
        <v>3TC+ABC - 30/60 mg - B/60</v>
      </c>
      <c r="I19" s="380">
        <f>Calculs!K108</f>
        <v>2</v>
      </c>
      <c r="J19" s="380">
        <f t="shared" si="0"/>
        <v>60</v>
      </c>
      <c r="K19" s="114">
        <f>Calculs!J108</f>
        <v>60</v>
      </c>
      <c r="L19" s="381">
        <f t="shared" si="1"/>
        <v>1</v>
      </c>
      <c r="M19" s="1820">
        <f>IF('Saisie données stocks'!$O$10='TRAD-Saisie données stocks'!$B$51, 'Calculs Péremption conso'!BU13, Calculs!M268)</f>
        <v>84.62465753424658</v>
      </c>
      <c r="N19" s="1820">
        <f>Calculs!$L$323</f>
        <v>22</v>
      </c>
      <c r="O19" s="1820">
        <f>Calculs!$N$323</f>
        <v>0</v>
      </c>
      <c r="P19"/>
      <c r="Q19" s="2161">
        <f>IF(Calculs!N323&gt;0, (-(Calculs!N323+2*Calculs!L323)+SQRT((Calculs!N323+2*Calculs!L323)*(Calculs!N323+2*Calculs!L323)+8*Calculs!N323*(M19)))/(2*Calculs!N323), ((M19)/Calculs!L323))</f>
        <v>3.8465753424657536</v>
      </c>
      <c r="R19" s="2161">
        <f t="shared" si="2"/>
        <v>3.8465753424657536</v>
      </c>
      <c r="S19" s="2162">
        <f>Q19-Paramétrage!D$29</f>
        <v>0.84657534246575361</v>
      </c>
      <c r="T19" s="2163">
        <f>IF(Q19&lt;Paramétrage!D$29, Q19, Paramétrage!D$29)</f>
        <v>3</v>
      </c>
      <c r="U19" s="2164">
        <f>Paramétrage!H$19+S19*(365/12)</f>
        <v>41944.75</v>
      </c>
      <c r="V19" s="2165">
        <f>IF(Q19&lt;Paramétrage!D$29, Paramétrage!H$19+T19*(365/12), Paramétrage!H$19+Q19*(365/12))</f>
        <v>42036</v>
      </c>
      <c r="W19" s="2051"/>
      <c r="X19" s="2161">
        <f>IF(ISERROR(Q19),"", IF(Q19=0, "", IF(Q19&gt;'Calculs Péremption conso'!$CB13, 'Calculs Péremption conso'!$CB13, Q19)))</f>
        <v>3.8465753424657536</v>
      </c>
      <c r="Y19" s="2166">
        <f>IF(ISERROR(R19),"", IF(R19=0, "", IF(R19&gt;'Calculs Péremption conso'!$CB13, 'Calculs Péremption conso'!$CB13, R19)))</f>
        <v>3.8465753424657536</v>
      </c>
      <c r="Z19" s="2162">
        <f>IF(ISERROR(Q19),"", IF(Q19=0, "", IF(Q19&gt;'Calculs Péremption conso'!$CB13, 'Calculs Péremption conso'!$CB13-Paramétrage!$D$29, S19)))</f>
        <v>0.84657534246575361</v>
      </c>
      <c r="AA19" s="2167">
        <f>IF(ISERROR(Q19),"", IF(Q19=0, "", IF(Q19&gt;'Calculs Péremption conso'!$CB13, Paramétrage!$D$29, T19)))</f>
        <v>3</v>
      </c>
      <c r="AB19" s="2164">
        <f>IF(ISERROR(Q19),"", IF(Q19=0, "", IF(Q19&gt;'Calculs Péremption conso'!$CB13, 'Calculs Péremption conso'!$BX13-Paramétrage!$D$29*(365/12), U19)))</f>
        <v>41944.75</v>
      </c>
      <c r="AC19" s="2165">
        <f>IF(ISERROR(Q19), AW19, IF(Q19=0, IF(AND(M19=0, OR(N19&gt;0, O19&gt;0)), AX19, ""), IF(Q19&gt;'Calculs Péremption conso'!$CB13, IF(Q19&lt;'Saisie données stocks'!$N$14, CONCATENATE('TRAD-Calculs dispo Données FA'!$B$88, " - ", 'Calculs Péremption conso'!$BY13, "/", 'Calculs Péremption conso'!$BZ13, "/", 'Calculs Péremption conso'!$CA13), 'Calculs Péremption conso'!CC13), V19)))</f>
        <v>42036</v>
      </c>
      <c r="AD19" s="2051"/>
      <c r="AE19" s="2161">
        <f>((Calculs!M268)/Calculs!L323)</f>
        <v>10.5</v>
      </c>
      <c r="AF19" s="2161">
        <f t="shared" si="5"/>
        <v>6.6534246575342468</v>
      </c>
      <c r="AG19" s="2162">
        <f>AE19-Paramétrage!D$29</f>
        <v>7.5</v>
      </c>
      <c r="AH19" s="2163">
        <f>IF(AE19&lt;Paramétrage!D$29, AE19, Paramétrage!D$29)</f>
        <v>3</v>
      </c>
      <c r="AI19" s="2164">
        <f>Paramétrage!H$19+AG19*(365/12)</f>
        <v>42147.125</v>
      </c>
      <c r="AJ19" s="2165">
        <f>IF(AE19&lt;Paramétrage!D$29, Paramétrage!H$19+AH19*(365/12), Paramétrage!H$19+AE19*(365/12))</f>
        <v>42238.375</v>
      </c>
      <c r="AK19" s="2051"/>
      <c r="AL19" s="2161">
        <f>IF(ISERROR(AE19),"", IF(AE19=0, "", IF(AE19&gt;'Calculs Péremption conso'!$CB13, 'Calculs Péremption conso'!$CB13, AE19)))</f>
        <v>3.8465753424657532</v>
      </c>
      <c r="AM19" s="2166">
        <f t="shared" si="6"/>
        <v>-4.4408920985006262E-16</v>
      </c>
      <c r="AN19" s="2162">
        <f>IF(ISERROR(AE19),"", IF(AE19=0, "", IF(AE19&gt;'Calculs Péremption conso'!$CB13, 'Calculs Péremption conso'!$CB13-Paramétrage!$D$29, AG19)))</f>
        <v>0.84657534246575317</v>
      </c>
      <c r="AO19" s="2167">
        <f>IF(ISERROR(AE19),"", IF(AE19=0, "", IF(AE19&gt;'Calculs Péremption conso'!$CB13, Paramétrage!$D$29, AH19)))</f>
        <v>3</v>
      </c>
      <c r="AP19" s="2164">
        <f>IF(ISERROR(AE19),"", IF(AE19=0, "", IF(AE19&gt;'Calculs Péremption FA'!$CB13, 'Calculs Péremption FA'!$BX13-Paramétrage!$D$29*(365/12), AI19)))</f>
        <v>41944.75</v>
      </c>
      <c r="AQ19" s="2165" t="str">
        <f>IF(ISERROR(AE19),"", IF(AE19=0, "", IF(AE19&gt;'Calculs Péremption conso'!$CB13, CONCATENATE('TRAD-Calculs dispo Données FA'!$B$88, " - ", 'Calculs Péremption conso'!$BY13, "/", 'Calculs Péremption conso'!$BZ13, "/", 'Calculs Péremption conso'!$CA13), AJ19)))</f>
        <v>DLU - 1/2/2015</v>
      </c>
      <c r="AR19" s="2051"/>
      <c r="AS19" s="2061">
        <f>Calculs!$M268</f>
        <v>231</v>
      </c>
      <c r="AT19" s="2062">
        <f>Calculs!$L323</f>
        <v>22</v>
      </c>
      <c r="AU19" s="2068">
        <f>Calculs!$N323</f>
        <v>0</v>
      </c>
      <c r="AV19" s="2070" t="str">
        <f>IF(AND(AU19=0, AS19=0, AT19=0), 'TRAD-Calculs dispo Données FA'!$B$82, "")</f>
        <v/>
      </c>
      <c r="AW19" s="2062" t="str">
        <f>IF(AND(AU19=0, AS19&gt;0, AT19=0), CONCATENATE(AS19, 'TRAD-Calculs dispo Données FA'!$B$80," =0"), "")</f>
        <v/>
      </c>
      <c r="AX19" s="2063" t="str">
        <f>IF(AND(AS19=0, OR(AT19&gt;=1, AU19&gt;=1)), 'TRAD-Calculs dispo Données FA'!$B$81, "")</f>
        <v/>
      </c>
      <c r="AY19" s="2051"/>
      <c r="AZ19" s="2051"/>
      <c r="BA19" s="2051"/>
      <c r="BB19" s="2051"/>
      <c r="BC19" s="2051"/>
      <c r="BD19" s="2051"/>
      <c r="BE19" s="2051"/>
      <c r="BF19" s="2051"/>
      <c r="BG19" s="2051"/>
      <c r="BH19" s="2051"/>
      <c r="BI19" s="2051"/>
      <c r="BJ19" s="2051"/>
      <c r="BK19" s="2051"/>
      <c r="BL19" s="2051"/>
      <c r="BM19" s="2051"/>
      <c r="BN19" s="2051"/>
      <c r="BO19" s="2051"/>
      <c r="BP19" s="2051"/>
      <c r="BQ19" s="2051"/>
      <c r="BR19" s="2051"/>
      <c r="BS19" s="2051"/>
      <c r="BT19" s="2051"/>
    </row>
    <row r="20" spans="3:72" s="358" customFormat="1" ht="25.5" x14ac:dyDescent="0.2">
      <c r="C20" s="374"/>
      <c r="D20" s="375"/>
      <c r="E20" s="382" t="str">
        <f>'Saisie données stocks'!F26</f>
        <v>D4T+3TC+NVP</v>
      </c>
      <c r="F20" s="383" t="str">
        <f>'Saisie données stocks'!G26</f>
        <v>Cp</v>
      </c>
      <c r="G20" s="383" t="str">
        <f>'Saisie données stocks'!H26</f>
        <v>30/150/200 mg</v>
      </c>
      <c r="H20" s="384" t="str">
        <f>CONCATENATE(E20, " - ", G20, " - ", 'TRAD-Calculs dispo Données FA'!$B$79,"/", K20)</f>
        <v>D4T+3TC+NVP - 30/150/200 mg - B/60</v>
      </c>
      <c r="I20" s="386">
        <f>Calculs!K109</f>
        <v>2</v>
      </c>
      <c r="J20" s="386">
        <f t="shared" si="0"/>
        <v>60</v>
      </c>
      <c r="K20" s="115">
        <f>Calculs!J109</f>
        <v>60</v>
      </c>
      <c r="L20" s="387">
        <f t="shared" si="1"/>
        <v>1</v>
      </c>
      <c r="M20" s="1821">
        <f>IF('Saisie données stocks'!$O$10='TRAD-Saisie données stocks'!$B$51, 'Calculs Péremption conso'!BU14, Calculs!M269)</f>
        <v>0</v>
      </c>
      <c r="N20" s="1870">
        <f>Calculs!$L$324</f>
        <v>0</v>
      </c>
      <c r="O20" s="1870">
        <f>Calculs!$N$324</f>
        <v>0</v>
      </c>
      <c r="P20"/>
      <c r="Q20" s="2168" t="e">
        <f>IF(Calculs!N324&gt;0, (-(Calculs!N324+2*Calculs!L324)+SQRT((Calculs!N324+2*Calculs!L324)*(Calculs!N324+2*Calculs!L324)+8*Calculs!N324*(M20)))/(2*Calculs!N324), ((M20)/Calculs!L324))</f>
        <v>#DIV/0!</v>
      </c>
      <c r="R20" s="2168" t="e">
        <f t="shared" si="2"/>
        <v>#DIV/0!</v>
      </c>
      <c r="S20" s="2162" t="e">
        <f>Q20-Paramétrage!D$29</f>
        <v>#DIV/0!</v>
      </c>
      <c r="T20" s="2169" t="e">
        <f>IF(Q20&lt;Paramétrage!D$29, Q20, Paramétrage!D$29)</f>
        <v>#DIV/0!</v>
      </c>
      <c r="U20" s="2170" t="e">
        <f>Paramétrage!H$19+S20*(365/12)</f>
        <v>#DIV/0!</v>
      </c>
      <c r="V20" s="2171" t="e">
        <f>IF(Q20&lt;Paramétrage!D$29, Paramétrage!H$19+T20*(365/12), Paramétrage!H$19+Q20*(365/12))</f>
        <v>#DIV/0!</v>
      </c>
      <c r="W20" s="2051"/>
      <c r="X20" s="2168" t="str">
        <f>IF(ISERROR(Q20),"", IF(Q20=0, "", IF(Q20&gt;'Calculs Péremption conso'!$CB14, 'Calculs Péremption conso'!$CB14, Q20)))</f>
        <v/>
      </c>
      <c r="Y20" s="2172" t="str">
        <f>IF(ISERROR(R20),"", IF(R20=0, "", IF(R20&gt;'Calculs Péremption conso'!$CB14, 'Calculs Péremption conso'!$CB14, R20)))</f>
        <v/>
      </c>
      <c r="Z20" s="2173" t="str">
        <f>IF(ISERROR(Q20),"", IF(Q20=0, "", IF(Q20&gt;'Calculs Péremption conso'!$CB14, 'Calculs Péremption conso'!$CB14-Paramétrage!$D$29, S20)))</f>
        <v/>
      </c>
      <c r="AA20" s="2174" t="str">
        <f>IF(ISERROR(Q20),"", IF(Q20=0, "", IF(Q20&gt;'Calculs Péremption conso'!$CB14, Paramétrage!$D$29, T20)))</f>
        <v/>
      </c>
      <c r="AB20" s="2170" t="str">
        <f>IF(ISERROR(Q20),"", IF(Q20=0, "", IF(Q20&gt;'Calculs Péremption conso'!$CB14, 'Calculs Péremption conso'!$BX14-Paramétrage!$D$29*(365/12), U20)))</f>
        <v/>
      </c>
      <c r="AC20" s="2171" t="str">
        <f>IF(ISERROR(Q20), AW20, IF(Q20=0, IF(AND(M20=0, OR(N20&gt;0, O20&gt;0)), AX20, ""), IF(Q20&gt;'Calculs Péremption conso'!$CB14, IF(Q20&lt;'Saisie données stocks'!$N$14, CONCATENATE('TRAD-Calculs dispo Données FA'!$B$88, " - ", 'Calculs Péremption conso'!$BY14, "/", 'Calculs Péremption conso'!$BZ14, "/", 'Calculs Péremption conso'!$CA14), 'Calculs Péremption conso'!CC14), V20)))</f>
        <v/>
      </c>
      <c r="AD20" s="2051"/>
      <c r="AE20" s="2168" t="e">
        <f>((Calculs!M269)/Calculs!L324)</f>
        <v>#DIV/0!</v>
      </c>
      <c r="AF20" s="2168" t="e">
        <f t="shared" si="5"/>
        <v>#DIV/0!</v>
      </c>
      <c r="AG20" s="2162" t="e">
        <f>AE20-Paramétrage!D$29</f>
        <v>#DIV/0!</v>
      </c>
      <c r="AH20" s="2169" t="e">
        <f>IF(AE20&lt;Paramétrage!D$29, AE20, Paramétrage!D$29)</f>
        <v>#DIV/0!</v>
      </c>
      <c r="AI20" s="2170" t="e">
        <f>Paramétrage!H$19+AG20*(365/12)</f>
        <v>#DIV/0!</v>
      </c>
      <c r="AJ20" s="2171" t="e">
        <f>IF(AE20&lt;Paramétrage!D$29, Paramétrage!H$19+AH20*(365/12), Paramétrage!H$19+AE20*(365/12))</f>
        <v>#DIV/0!</v>
      </c>
      <c r="AK20" s="2051"/>
      <c r="AL20" s="2168" t="str">
        <f>IF(ISERROR(AE20),"", IF(AE20=0, "", IF(AE20&gt;'Calculs Péremption conso'!$CB14, 'Calculs Péremption conso'!$CB14, AE20)))</f>
        <v/>
      </c>
      <c r="AM20" s="2172" t="str">
        <f t="shared" si="6"/>
        <v/>
      </c>
      <c r="AN20" s="2173" t="str">
        <f>IF(ISERROR(AE20),"", IF(AE20=0, "", IF(AE20&gt;'Calculs Péremption conso'!$CB14, 'Calculs Péremption conso'!$CB14-Paramétrage!$D$29, AG20)))</f>
        <v/>
      </c>
      <c r="AO20" s="2174" t="str">
        <f>IF(ISERROR(AE20),"", IF(AE20=0, "", IF(AE20&gt;'Calculs Péremption conso'!$CB14, Paramétrage!$D$29, AH20)))</f>
        <v/>
      </c>
      <c r="AP20" s="2170" t="str">
        <f>IF(ISERROR(AE20),"", IF(AE20=0, "", IF(AE20&gt;'Calculs Péremption FA'!$CB14, 'Calculs Péremption FA'!$BX14-Paramétrage!$D$29*(365/12), AI20)))</f>
        <v/>
      </c>
      <c r="AQ20" s="2171" t="str">
        <f>IF(ISERROR(AE20),"", IF(AE20=0, "", IF(AE20&gt;'Calculs Péremption conso'!$CB14, CONCATENATE('TRAD-Calculs dispo Données FA'!$B$88, " - ", 'Calculs Péremption conso'!$BY14, "/", 'Calculs Péremption conso'!$BZ14, "/", 'Calculs Péremption conso'!$CA14), AJ20)))</f>
        <v/>
      </c>
      <c r="AR20" s="2051"/>
      <c r="AS20" s="2061">
        <f>Calculs!$M269</f>
        <v>0</v>
      </c>
      <c r="AT20" s="2062">
        <f>Calculs!$L324</f>
        <v>0</v>
      </c>
      <c r="AU20" s="2068">
        <f>Calculs!$N324</f>
        <v>0</v>
      </c>
      <c r="AV20" s="2070" t="str">
        <f>IF(AND(AU20=0, AS20=0, AT20=0), 'TRAD-Calculs dispo Données FA'!$B$82, "")</f>
        <v>Stock et besoin nul</v>
      </c>
      <c r="AW20" s="2062" t="str">
        <f>IF(AND(AU20=0, AS20&gt;0, AT20=0), CONCATENATE(AS20, 'TRAD-Calculs dispo Données FA'!$B$80," =0"), "")</f>
        <v/>
      </c>
      <c r="AX20" s="2063" t="str">
        <f>IF(AND(AS20=0, OR(AT20&gt;=1, AU20&gt;=1)), 'TRAD-Calculs dispo Données FA'!$B$81, "")</f>
        <v/>
      </c>
      <c r="AY20" s="2051"/>
      <c r="AZ20" s="2051"/>
      <c r="BA20" s="2051"/>
      <c r="BB20" s="2051"/>
      <c r="BC20" s="2051"/>
      <c r="BD20" s="2051"/>
      <c r="BE20" s="2051"/>
      <c r="BF20" s="2051"/>
      <c r="BG20" s="2051"/>
      <c r="BH20" s="2051"/>
      <c r="BI20" s="2051"/>
      <c r="BJ20" s="2051"/>
      <c r="BK20" s="2051"/>
      <c r="BL20" s="2051"/>
      <c r="BM20" s="2051"/>
      <c r="BN20" s="2051"/>
      <c r="BO20" s="2051"/>
      <c r="BP20" s="2051"/>
      <c r="BQ20" s="2051"/>
      <c r="BR20" s="2051"/>
      <c r="BS20" s="2051"/>
      <c r="BT20" s="2051"/>
    </row>
    <row r="21" spans="3:72" s="358" customFormat="1" ht="38.25" x14ac:dyDescent="0.2">
      <c r="C21" s="374"/>
      <c r="D21" s="375"/>
      <c r="E21" s="382" t="str">
        <f>'Saisie données stocks'!F27</f>
        <v>D4T+3TC+NVP</v>
      </c>
      <c r="F21" s="383" t="str">
        <f>'Saisie données stocks'!G27</f>
        <v>Cp</v>
      </c>
      <c r="G21" s="383" t="str">
        <f>'Saisie données stocks'!H27</f>
        <v>6/30/50 mg</v>
      </c>
      <c r="H21" s="385" t="str">
        <f>CONCATENATE(E21, " - ", G21, " - ", 'TRAD-Calculs dispo Données FA'!$B$79,"/", K21)</f>
        <v>D4T+3TC+NVP - 6/30/50 mg - B/60</v>
      </c>
      <c r="I21" s="386">
        <f>Calculs!K110</f>
        <v>2</v>
      </c>
      <c r="J21" s="386">
        <f t="shared" si="0"/>
        <v>60</v>
      </c>
      <c r="K21" s="115">
        <f>Calculs!J110</f>
        <v>60</v>
      </c>
      <c r="L21" s="387">
        <f t="shared" si="1"/>
        <v>1</v>
      </c>
      <c r="M21" s="1821">
        <f>IF('Saisie données stocks'!$O$10='TRAD-Saisie données stocks'!$B$51, 'Calculs Péremption conso'!BU15, Calculs!M270)</f>
        <v>82.191780821917803</v>
      </c>
      <c r="N21" s="1870">
        <f>Calculs!$L$325</f>
        <v>100</v>
      </c>
      <c r="O21" s="1870">
        <f>Calculs!$N$325</f>
        <v>0</v>
      </c>
      <c r="P21"/>
      <c r="Q21" s="2168">
        <f>IF(Calculs!N325&gt;0, (-(Calculs!N325+2*Calculs!L325)+SQRT((Calculs!N325+2*Calculs!L325)*(Calculs!N325+2*Calculs!L325)+8*Calculs!N325*(M21)))/(2*Calculs!N325), ((M21)/Calculs!L325))</f>
        <v>0.82191780821917804</v>
      </c>
      <c r="R21" s="2168">
        <f t="shared" si="2"/>
        <v>0.82191780821917804</v>
      </c>
      <c r="S21" s="2173">
        <f>Q21-Paramétrage!D$29</f>
        <v>-2.1780821917808222</v>
      </c>
      <c r="T21" s="2169">
        <f>IF(Q21&lt;Paramétrage!D$29, Q21, Paramétrage!D$29)</f>
        <v>0.82191780821917804</v>
      </c>
      <c r="U21" s="2170">
        <f>Paramétrage!H$19+S21*(365/12)</f>
        <v>41852.75</v>
      </c>
      <c r="V21" s="2171">
        <f>IF(Q21&lt;Paramétrage!D$29, Paramétrage!H$19+T21*(365/12), Paramétrage!H$19+Q21*(365/12))</f>
        <v>41944</v>
      </c>
      <c r="W21" s="2051"/>
      <c r="X21" s="2168">
        <f>IF(ISERROR(Q21),"", IF(Q21=0, "", IF(Q21&gt;'Calculs Péremption conso'!$CB15, 'Calculs Péremption conso'!$CB15, Q21)))</f>
        <v>0.82191780821917804</v>
      </c>
      <c r="Y21" s="2172">
        <f>IF(ISERROR(R21),"", IF(R21=0, "", IF(R21&gt;'Calculs Péremption conso'!$CB15, 'Calculs Péremption conso'!$CB15, R21)))</f>
        <v>0.82191780821917804</v>
      </c>
      <c r="Z21" s="2173">
        <f>IF(ISERROR(Q21),"", IF(Q21=0, "", IF(Q21&gt;'Calculs Péremption conso'!$CB15, 'Calculs Péremption conso'!$CB15-Paramétrage!$D$29, S21)))</f>
        <v>-2.1780821917808222</v>
      </c>
      <c r="AA21" s="2174">
        <f>IF(ISERROR(Q21),"", IF(Q21=0, "", IF(Q21&gt;'Calculs Péremption conso'!$CB15, Paramétrage!$D$29, T21)))</f>
        <v>0.82191780821917804</v>
      </c>
      <c r="AB21" s="2170">
        <f>IF(ISERROR(Q21),"", IF(Q21=0, "", IF(Q21&gt;'Calculs Péremption conso'!$CB15, 'Calculs Péremption conso'!$BX15-Paramétrage!$D$29*(365/12), U21)))</f>
        <v>41852.75</v>
      </c>
      <c r="AC21" s="2171">
        <f>IF(ISERROR(Q21), AW21, IF(Q21=0, IF(AND(M21=0, OR(N21&gt;0, O21&gt;0)), AX21, ""), IF(Q21&gt;'Calculs Péremption conso'!$CB15, IF(Q21&lt;'Saisie données stocks'!$N$14, CONCATENATE('TRAD-Calculs dispo Données FA'!$B$88, " - ", 'Calculs Péremption conso'!$BY15, "/", 'Calculs Péremption conso'!$BZ15, "/", 'Calculs Péremption conso'!$CA15), 'Calculs Péremption conso'!CC15), V21)))</f>
        <v>41944</v>
      </c>
      <c r="AD21" s="2051"/>
      <c r="AE21" s="2168">
        <f>((Calculs!M270)/Calculs!L325)</f>
        <v>0.91</v>
      </c>
      <c r="AF21" s="2168">
        <f t="shared" si="5"/>
        <v>8.8082191780821995E-2</v>
      </c>
      <c r="AG21" s="2173">
        <f>AE21-Paramétrage!D$29</f>
        <v>-2.09</v>
      </c>
      <c r="AH21" s="2169">
        <f>IF(AE21&lt;Paramétrage!D$29, AE21, Paramétrage!D$29)</f>
        <v>0.91</v>
      </c>
      <c r="AI21" s="2170">
        <f>Paramétrage!H$19+AG21*(365/12)</f>
        <v>41855.429166666669</v>
      </c>
      <c r="AJ21" s="2171">
        <f>IF(AE21&lt;Paramétrage!D$29, Paramétrage!H$19+AH21*(365/12), Paramétrage!H$19+AE21*(365/12))</f>
        <v>41946.679166666669</v>
      </c>
      <c r="AK21" s="2051"/>
      <c r="AL21" s="2168">
        <f>IF(ISERROR(AE21),"", IF(AE21=0, "", IF(AE21&gt;'Calculs Péremption conso'!$CB15, 'Calculs Péremption conso'!$CB15, AE21)))</f>
        <v>0.82191780821917804</v>
      </c>
      <c r="AM21" s="2172" t="str">
        <f t="shared" si="6"/>
        <v>0</v>
      </c>
      <c r="AN21" s="2173">
        <f>IF(ISERROR(AE21),"", IF(AE21=0, "", IF(AE21&gt;'Calculs Péremption conso'!$CB15, 'Calculs Péremption conso'!$CB15-Paramétrage!$D$29, AG21)))</f>
        <v>-2.1780821917808222</v>
      </c>
      <c r="AO21" s="2174">
        <f>IF(ISERROR(AE21),"", IF(AE21=0, "", IF(AE21&gt;'Calculs Péremption conso'!$CB15, Paramétrage!$D$29, AH21)))</f>
        <v>3</v>
      </c>
      <c r="AP21" s="2170">
        <f>IF(ISERROR(AE21),"", IF(AE21=0, "", IF(AE21&gt;'Calculs Péremption FA'!$CB15, 'Calculs Péremption FA'!$BX15-Paramétrage!$D$29*(365/12), AI21)))</f>
        <v>41852.75</v>
      </c>
      <c r="AQ21" s="2171" t="str">
        <f>IF(ISERROR(AE21),"", IF(AE21=0, "", IF(AE21&gt;'Calculs Péremption conso'!$CB15, CONCATENATE('TRAD-Calculs dispo Données FA'!$B$88, " - ", 'Calculs Péremption conso'!$BY15, "/", 'Calculs Péremption conso'!$BZ15, "/", 'Calculs Péremption conso'!$CA15), AJ21)))</f>
        <v>DLU - 1/11/2014</v>
      </c>
      <c r="AR21" s="2051"/>
      <c r="AS21" s="2061">
        <f>Calculs!$M270</f>
        <v>91</v>
      </c>
      <c r="AT21" s="2062">
        <f>Calculs!$L325</f>
        <v>100</v>
      </c>
      <c r="AU21" s="2068">
        <f>Calculs!$N325</f>
        <v>0</v>
      </c>
      <c r="AV21" s="2070" t="str">
        <f>IF(AND(AU21=0, AS21=0, AT21=0), 'TRAD-Calculs dispo Données FA'!$B$82, "")</f>
        <v/>
      </c>
      <c r="AW21" s="2062" t="str">
        <f>IF(AND(AU21=0, AS21&gt;0, AT21=0), CONCATENATE(AS21, 'TRAD-Calculs dispo Données FA'!$B$80," =0"), "")</f>
        <v/>
      </c>
      <c r="AX21" s="2063" t="str">
        <f>IF(AND(AS21=0, OR(AT21&gt;=1, AU21&gt;=1)), 'TRAD-Calculs dispo Données FA'!$B$81, "")</f>
        <v/>
      </c>
      <c r="AY21" s="2051"/>
      <c r="AZ21" s="2051"/>
      <c r="BA21" s="2051"/>
      <c r="BB21" s="2051"/>
      <c r="BC21" s="2051"/>
      <c r="BD21" s="2051"/>
      <c r="BE21" s="2051"/>
      <c r="BF21" s="2051"/>
      <c r="BG21" s="2051"/>
      <c r="BH21" s="2051"/>
      <c r="BI21" s="2051"/>
      <c r="BJ21" s="2051"/>
      <c r="BK21" s="2051"/>
      <c r="BL21" s="2051"/>
      <c r="BM21" s="2051"/>
      <c r="BN21" s="2051"/>
      <c r="BO21" s="2051"/>
      <c r="BP21" s="2051"/>
      <c r="BQ21" s="2051"/>
      <c r="BR21" s="2051"/>
      <c r="BS21" s="2051"/>
      <c r="BT21" s="2051"/>
    </row>
    <row r="22" spans="3:72" s="358" customFormat="1" ht="38.25" x14ac:dyDescent="0.2">
      <c r="C22" s="374"/>
      <c r="D22" s="375"/>
      <c r="E22" s="382" t="str">
        <f>'Saisie données stocks'!F28</f>
        <v>D4T+3TC</v>
      </c>
      <c r="F22" s="383" t="str">
        <f>'Saisie données stocks'!G28</f>
        <v>Cp</v>
      </c>
      <c r="G22" s="383" t="str">
        <f>'Saisie données stocks'!H28</f>
        <v>30/150 mg</v>
      </c>
      <c r="H22" s="379" t="str">
        <f>CONCATENATE(E22, " - ", G22, " - ", 'TRAD-Calculs dispo Données FA'!$B$79,"/", K22)</f>
        <v>D4T+3TC - 30/150 mg - B/60</v>
      </c>
      <c r="I22" s="386">
        <f>Calculs!K111</f>
        <v>2</v>
      </c>
      <c r="J22" s="386">
        <f t="shared" si="0"/>
        <v>60</v>
      </c>
      <c r="K22" s="115">
        <f>Calculs!J111</f>
        <v>60</v>
      </c>
      <c r="L22" s="387">
        <f t="shared" si="1"/>
        <v>1</v>
      </c>
      <c r="M22" s="1821">
        <f>IF('Saisie données stocks'!$O$10='TRAD-Saisie données stocks'!$B$51, 'Calculs Péremption conso'!BU16, Calculs!M271)</f>
        <v>2</v>
      </c>
      <c r="N22" s="1870">
        <f>Calculs!$L$326</f>
        <v>45</v>
      </c>
      <c r="O22" s="1870">
        <f>Calculs!$N$326</f>
        <v>0</v>
      </c>
      <c r="P22"/>
      <c r="Q22" s="2168">
        <f>IF(Calculs!N326&gt;0, (-(Calculs!N326+2*Calculs!L326)+SQRT((Calculs!N326+2*Calculs!L326)*(Calculs!N326+2*Calculs!L326)+8*Calculs!N326*(M22)))/(2*Calculs!N326), ((M22)/Calculs!L326))</f>
        <v>4.4444444444444446E-2</v>
      </c>
      <c r="R22" s="2168">
        <f t="shared" si="2"/>
        <v>4.4444444444444453E-2</v>
      </c>
      <c r="S22" s="2173">
        <f>Q22-Paramétrage!D$29</f>
        <v>-2.9555555555555557</v>
      </c>
      <c r="T22" s="2169">
        <f>IF(Q22&lt;Paramétrage!D$29, Q22, Paramétrage!D$29)</f>
        <v>4.4444444444444446E-2</v>
      </c>
      <c r="U22" s="2170">
        <f>Paramétrage!H$19+S22*(365/12)</f>
        <v>41829.101851851854</v>
      </c>
      <c r="V22" s="2171">
        <f>IF(Q22&lt;Paramétrage!D$29, Paramétrage!H$19+T22*(365/12), Paramétrage!H$19+Q22*(365/12))</f>
        <v>41920.351851851854</v>
      </c>
      <c r="W22" s="2051"/>
      <c r="X22" s="2168">
        <f>IF(ISERROR(Q22),"", IF(Q22=0, "", IF(Q22&gt;'Calculs Péremption conso'!$CB16, 'Calculs Péremption conso'!$CB16, Q22)))</f>
        <v>4.4444444444444446E-2</v>
      </c>
      <c r="Y22" s="2172">
        <f>IF(ISERROR(R22),"", IF(R22=0, "", IF(R22&gt;'Calculs Péremption conso'!$CB16, 'Calculs Péremption conso'!$CB16, R22)))</f>
        <v>4.4444444444444453E-2</v>
      </c>
      <c r="Z22" s="2173">
        <f>IF(ISERROR(Q22),"", IF(Q22=0, "", IF(Q22&gt;'Calculs Péremption conso'!$CB16, 'Calculs Péremption conso'!$CB16-Paramétrage!$D$29, S22)))</f>
        <v>-2.9555555555555557</v>
      </c>
      <c r="AA22" s="2174">
        <f>IF(ISERROR(Q22),"", IF(Q22=0, "", IF(Q22&gt;'Calculs Péremption conso'!$CB16, Paramétrage!$D$29, T22)))</f>
        <v>4.4444444444444446E-2</v>
      </c>
      <c r="AB22" s="2170">
        <f>IF(ISERROR(Q22),"", IF(Q22=0, "", IF(Q22&gt;'Calculs Péremption conso'!$CB16, 'Calculs Péremption conso'!$BX16-Paramétrage!$D$29*(365/12), U22)))</f>
        <v>41829.101851851854</v>
      </c>
      <c r="AC22" s="2171">
        <f>IF(ISERROR(Q22), AW22, IF(Q22=0, IF(AND(M22=0, OR(N22&gt;0, O22&gt;0)), AX22, ""), IF(Q22&gt;'Calculs Péremption conso'!$CB16, IF(Q22&lt;'Saisie données stocks'!$N$14, CONCATENATE('TRAD-Calculs dispo Données FA'!$B$88, " - ", 'Calculs Péremption conso'!$BY16, "/", 'Calculs Péremption conso'!$BZ16, "/", 'Calculs Péremption conso'!$CA16), 'Calculs Péremption conso'!CC16), V22)))</f>
        <v>41920.351851851854</v>
      </c>
      <c r="AD22" s="2051"/>
      <c r="AE22" s="2168">
        <f>((Calculs!M271)/Calculs!L326)</f>
        <v>4.4444444444444446E-2</v>
      </c>
      <c r="AF22" s="2168">
        <f t="shared" si="5"/>
        <v>0</v>
      </c>
      <c r="AG22" s="2173">
        <f>AE22-Paramétrage!D$29</f>
        <v>-2.9555555555555557</v>
      </c>
      <c r="AH22" s="2169">
        <f>IF(AE22&lt;Paramétrage!D$29, AE22, Paramétrage!D$29)</f>
        <v>4.4444444444444446E-2</v>
      </c>
      <c r="AI22" s="2170">
        <f>Paramétrage!H$19+AG22*(365/12)</f>
        <v>41829.101851851854</v>
      </c>
      <c r="AJ22" s="2171">
        <f>IF(AE22&lt;Paramétrage!D$29, Paramétrage!H$19+AH22*(365/12), Paramétrage!H$19+AE22*(365/12))</f>
        <v>41920.351851851854</v>
      </c>
      <c r="AK22" s="2051"/>
      <c r="AL22" s="2168">
        <f>IF(ISERROR(AE22),"", IF(AE22=0, "", IF(AE22&gt;'Calculs Péremption conso'!$CB16, 'Calculs Péremption conso'!$CB16, AE22)))</f>
        <v>4.4444444444444446E-2</v>
      </c>
      <c r="AM22" s="2172" t="str">
        <f t="shared" si="6"/>
        <v/>
      </c>
      <c r="AN22" s="2173">
        <f>IF(ISERROR(AE22),"", IF(AE22=0, "", IF(AE22&gt;'Calculs Péremption conso'!$CB16, 'Calculs Péremption conso'!$CB16-Paramétrage!$D$29, AG22)))</f>
        <v>-2.9555555555555557</v>
      </c>
      <c r="AO22" s="2174">
        <f>IF(ISERROR(AE22),"", IF(AE22=0, "", IF(AE22&gt;'Calculs Péremption conso'!$CB16, Paramétrage!$D$29, AH22)))</f>
        <v>4.4444444444444446E-2</v>
      </c>
      <c r="AP22" s="2170">
        <f>IF(ISERROR(AE22),"", IF(AE22=0, "", IF(AE22&gt;'Calculs Péremption FA'!$CB16, 'Calculs Péremption FA'!$BX16-Paramétrage!$D$29*(365/12), AI22)))</f>
        <v>41829.101851851854</v>
      </c>
      <c r="AQ22" s="2171">
        <f>IF(ISERROR(AE22),"", IF(AE22=0, "", IF(AE22&gt;'Calculs Péremption conso'!$CB16, CONCATENATE('TRAD-Calculs dispo Données FA'!$B$88, " - ", 'Calculs Péremption conso'!$BY16, "/", 'Calculs Péremption conso'!$BZ16, "/", 'Calculs Péremption conso'!$CA16), AJ22)))</f>
        <v>41920.351851851854</v>
      </c>
      <c r="AR22" s="2051"/>
      <c r="AS22" s="2061">
        <f>Calculs!$M271</f>
        <v>2</v>
      </c>
      <c r="AT22" s="2062">
        <f>Calculs!$L326</f>
        <v>45</v>
      </c>
      <c r="AU22" s="2068">
        <f>Calculs!$N326</f>
        <v>0</v>
      </c>
      <c r="AV22" s="2070" t="str">
        <f>IF(AND(AU22=0, AS22=0, AT22=0), 'TRAD-Calculs dispo Données FA'!$B$82, "")</f>
        <v/>
      </c>
      <c r="AW22" s="2062" t="str">
        <f>IF(AND(AU22=0, AS22&gt;0, AT22=0), CONCATENATE(AS22, 'TRAD-Calculs dispo Données FA'!$B$80," =0"), "")</f>
        <v/>
      </c>
      <c r="AX22" s="2063" t="str">
        <f>IF(AND(AS22=0, OR(AT22&gt;=1, AU22&gt;=1)), 'TRAD-Calculs dispo Données FA'!$B$81, "")</f>
        <v/>
      </c>
      <c r="AY22" s="2051"/>
      <c r="AZ22" s="2051"/>
      <c r="BA22" s="2051"/>
      <c r="BB22" s="2051"/>
      <c r="BC22" s="2051"/>
      <c r="BD22" s="2051"/>
      <c r="BE22" s="2051"/>
      <c r="BF22" s="2051"/>
      <c r="BG22" s="2051"/>
      <c r="BH22" s="2051"/>
      <c r="BI22" s="2051"/>
      <c r="BJ22" s="2051"/>
      <c r="BK22" s="2051"/>
      <c r="BL22" s="2051"/>
      <c r="BM22" s="2051"/>
      <c r="BN22" s="2051"/>
      <c r="BO22" s="2051"/>
      <c r="BP22" s="2051"/>
      <c r="BQ22" s="2051"/>
      <c r="BR22" s="2051"/>
      <c r="BS22" s="2051"/>
      <c r="BT22" s="2051"/>
    </row>
    <row r="23" spans="3:72" s="358" customFormat="1" ht="38.25" x14ac:dyDescent="0.2">
      <c r="C23" s="374"/>
      <c r="D23" s="375"/>
      <c r="E23" s="382" t="str">
        <f>'Saisie données stocks'!F29</f>
        <v>TDF+FTC+EFV</v>
      </c>
      <c r="F23" s="383" t="str">
        <f>'Saisie données stocks'!G29</f>
        <v>Cp</v>
      </c>
      <c r="G23" s="383" t="str">
        <f>'Saisie données stocks'!H29</f>
        <v>300/200/600 mg</v>
      </c>
      <c r="H23" s="379" t="str">
        <f>CONCATENATE(E23, " - ", G23, " - ", 'TRAD-Calculs dispo Données FA'!$B$79,"/", K23)</f>
        <v>TDF+FTC+EFV - 300/200/600 mg - B/30</v>
      </c>
      <c r="I23" s="386">
        <f>Calculs!K112</f>
        <v>1</v>
      </c>
      <c r="J23" s="386">
        <f t="shared" si="0"/>
        <v>30</v>
      </c>
      <c r="K23" s="115">
        <f>Calculs!J112</f>
        <v>30</v>
      </c>
      <c r="L23" s="387">
        <f t="shared" si="1"/>
        <v>1</v>
      </c>
      <c r="M23" s="1821">
        <f>IF('Saisie données stocks'!$O$10='TRAD-Saisie données stocks'!$B$51, 'Calculs Péremption conso'!BU17, Calculs!M272)</f>
        <v>0</v>
      </c>
      <c r="N23" s="1870">
        <f>Calculs!$L$327</f>
        <v>0</v>
      </c>
      <c r="O23" s="1870">
        <f>Calculs!$N$327</f>
        <v>0</v>
      </c>
      <c r="P23"/>
      <c r="Q23" s="2168" t="e">
        <f>IF(Calculs!N327&gt;0, (-(Calculs!N327+2*Calculs!L327)+SQRT((Calculs!N327+2*Calculs!L327)*(Calculs!N327+2*Calculs!L327)+8*Calculs!N327*(M23)))/(2*Calculs!N327), ((M23)/Calculs!L327))</f>
        <v>#DIV/0!</v>
      </c>
      <c r="R23" s="2168" t="e">
        <f t="shared" si="2"/>
        <v>#DIV/0!</v>
      </c>
      <c r="S23" s="2173" t="e">
        <f>Q23-Paramétrage!D$29</f>
        <v>#DIV/0!</v>
      </c>
      <c r="T23" s="2169" t="e">
        <f>IF(Q23&lt;Paramétrage!D$29, Q23, Paramétrage!D$29)</f>
        <v>#DIV/0!</v>
      </c>
      <c r="U23" s="2170" t="e">
        <f>Paramétrage!H$19+S23*(365/12)</f>
        <v>#DIV/0!</v>
      </c>
      <c r="V23" s="2171" t="e">
        <f>IF(Q23&lt;Paramétrage!D$29, Paramétrage!H$19+T23*(365/12), Paramétrage!H$19+Q23*(365/12))</f>
        <v>#DIV/0!</v>
      </c>
      <c r="W23" s="2051"/>
      <c r="X23" s="2168" t="str">
        <f>IF(ISERROR(Q23),"", IF(Q23=0, "", IF(Q23&gt;'Calculs Péremption conso'!$CB17, 'Calculs Péremption conso'!$CB17, Q23)))</f>
        <v/>
      </c>
      <c r="Y23" s="2172" t="str">
        <f>IF(ISERROR(R23),"", IF(R23=0, "", IF(R23&gt;'Calculs Péremption conso'!$CB17, 'Calculs Péremption conso'!$CB17, R23)))</f>
        <v/>
      </c>
      <c r="Z23" s="2173" t="str">
        <f>IF(ISERROR(Q23),"", IF(Q23=0, "", IF(Q23&gt;'Calculs Péremption conso'!$CB17, 'Calculs Péremption conso'!$CB17-Paramétrage!$D$29, S23)))</f>
        <v/>
      </c>
      <c r="AA23" s="2174" t="str">
        <f>IF(ISERROR(Q23),"", IF(Q23=0, "", IF(Q23&gt;'Calculs Péremption conso'!$CB17, Paramétrage!$D$29, T23)))</f>
        <v/>
      </c>
      <c r="AB23" s="2170" t="str">
        <f>IF(ISERROR(Q23),"", IF(Q23=0, "", IF(Q23&gt;'Calculs Péremption conso'!$CB17, 'Calculs Péremption conso'!$BX17-Paramétrage!$D$29*(365/12), U23)))</f>
        <v/>
      </c>
      <c r="AC23" s="2171" t="str">
        <f>IF(ISERROR(Q23), AW23, IF(Q23=0, IF(AND(M23=0, OR(N23&gt;0, O23&gt;0)), AX23, ""), IF(Q23&gt;'Calculs Péremption conso'!$CB17, IF(Q23&lt;'Saisie données stocks'!$N$14, CONCATENATE('TRAD-Calculs dispo Données FA'!$B$88, " - ", 'Calculs Péremption conso'!$BY17, "/", 'Calculs Péremption conso'!$BZ17, "/", 'Calculs Péremption conso'!$CA17), 'Calculs Péremption conso'!CC17), V23)))</f>
        <v/>
      </c>
      <c r="AD23" s="2051"/>
      <c r="AE23" s="2168" t="e">
        <f>((Calculs!M272)/Calculs!L327)</f>
        <v>#DIV/0!</v>
      </c>
      <c r="AF23" s="2168" t="e">
        <f t="shared" si="5"/>
        <v>#DIV/0!</v>
      </c>
      <c r="AG23" s="2173" t="e">
        <f>AE23-Paramétrage!D$29</f>
        <v>#DIV/0!</v>
      </c>
      <c r="AH23" s="2169" t="e">
        <f>IF(AE23&lt;Paramétrage!D$29, AE23, Paramétrage!D$29)</f>
        <v>#DIV/0!</v>
      </c>
      <c r="AI23" s="2170" t="e">
        <f>Paramétrage!H$19+AG23*(365/12)</f>
        <v>#DIV/0!</v>
      </c>
      <c r="AJ23" s="2171" t="e">
        <f>IF(AE23&lt;Paramétrage!D$29, Paramétrage!H$19+AH23*(365/12), Paramétrage!H$19+AE23*(365/12))</f>
        <v>#DIV/0!</v>
      </c>
      <c r="AK23" s="2051"/>
      <c r="AL23" s="2168" t="str">
        <f>IF(ISERROR(AE23),"", IF(AE23=0, "", IF(AE23&gt;'Calculs Péremption conso'!$CB17, 'Calculs Péremption conso'!$CB17, AE23)))</f>
        <v/>
      </c>
      <c r="AM23" s="2172" t="str">
        <f t="shared" si="6"/>
        <v/>
      </c>
      <c r="AN23" s="2173" t="str">
        <f>IF(ISERROR(AE23),"", IF(AE23=0, "", IF(AE23&gt;'Calculs Péremption conso'!$CB17, 'Calculs Péremption conso'!$CB17-Paramétrage!$D$29, AG23)))</f>
        <v/>
      </c>
      <c r="AO23" s="2174" t="str">
        <f>IF(ISERROR(AE23),"", IF(AE23=0, "", IF(AE23&gt;'Calculs Péremption conso'!$CB17, Paramétrage!$D$29, AH23)))</f>
        <v/>
      </c>
      <c r="AP23" s="2170" t="str">
        <f>IF(ISERROR(AE23),"", IF(AE23=0, "", IF(AE23&gt;'Calculs Péremption FA'!$CB17, 'Calculs Péremption FA'!$BX17-Paramétrage!$D$29*(365/12), AI23)))</f>
        <v/>
      </c>
      <c r="AQ23" s="2171" t="str">
        <f>IF(ISERROR(AE23),"", IF(AE23=0, "", IF(AE23&gt;'Calculs Péremption conso'!$CB17, CONCATENATE('TRAD-Calculs dispo Données FA'!$B$88, " - ", 'Calculs Péremption conso'!$BY17, "/", 'Calculs Péremption conso'!$BZ17, "/", 'Calculs Péremption conso'!$CA17), AJ23)))</f>
        <v/>
      </c>
      <c r="AR23" s="2051"/>
      <c r="AS23" s="2061">
        <f>Calculs!$M272</f>
        <v>0</v>
      </c>
      <c r="AT23" s="2062">
        <f>Calculs!$L327</f>
        <v>0</v>
      </c>
      <c r="AU23" s="2068">
        <f>Calculs!$N327</f>
        <v>0</v>
      </c>
      <c r="AV23" s="2070" t="str">
        <f>IF(AND(AU23=0, AS23=0, AT23=0), 'TRAD-Calculs dispo Données FA'!$B$82, "")</f>
        <v>Stock et besoin nul</v>
      </c>
      <c r="AW23" s="2062" t="str">
        <f>IF(AND(AU23=0, AS23&gt;0, AT23=0), CONCATENATE(AS23, 'TRAD-Calculs dispo Données FA'!$B$80," =0"), "")</f>
        <v/>
      </c>
      <c r="AX23" s="2063" t="str">
        <f>IF(AND(AS23=0, OR(AT23&gt;=1, AU23&gt;=1)), 'TRAD-Calculs dispo Données FA'!$B$81, "")</f>
        <v/>
      </c>
      <c r="AY23" s="2051"/>
      <c r="AZ23" s="2051"/>
      <c r="BA23" s="2051"/>
      <c r="BB23" s="2051"/>
      <c r="BC23" s="2051"/>
      <c r="BD23" s="2051"/>
      <c r="BE23" s="2051"/>
      <c r="BF23" s="2051"/>
      <c r="BG23" s="2051"/>
      <c r="BH23" s="2051"/>
      <c r="BI23" s="2051"/>
      <c r="BJ23" s="2051"/>
      <c r="BK23" s="2051"/>
      <c r="BL23" s="2051"/>
      <c r="BM23" s="2051"/>
      <c r="BN23" s="2051"/>
      <c r="BO23" s="2051"/>
      <c r="BP23" s="2051"/>
      <c r="BQ23" s="2051"/>
      <c r="BR23" s="2051"/>
      <c r="BS23" s="2051"/>
      <c r="BT23" s="2051"/>
    </row>
    <row r="24" spans="3:72" s="358" customFormat="1" ht="38.25" x14ac:dyDescent="0.2">
      <c r="C24" s="374"/>
      <c r="D24" s="375"/>
      <c r="E24" s="382" t="str">
        <f>'Saisie données stocks'!F30</f>
        <v>TDF+FTC</v>
      </c>
      <c r="F24" s="383" t="str">
        <f>'Saisie données stocks'!G30</f>
        <v>Cp</v>
      </c>
      <c r="G24" s="383" t="str">
        <f>'Saisie données stocks'!H30</f>
        <v>300/200 mg</v>
      </c>
      <c r="H24" s="379" t="str">
        <f>CONCATENATE(E24, " - ", G24, " - ", 'TRAD-Calculs dispo Données FA'!$B$79,"/", K24)</f>
        <v>TDF+FTC - 300/200 mg - B/30</v>
      </c>
      <c r="I24" s="386">
        <f>Calculs!K113</f>
        <v>1</v>
      </c>
      <c r="J24" s="386">
        <f t="shared" si="0"/>
        <v>30</v>
      </c>
      <c r="K24" s="115">
        <f>Calculs!J113</f>
        <v>30</v>
      </c>
      <c r="L24" s="387">
        <f t="shared" si="1"/>
        <v>1</v>
      </c>
      <c r="M24" s="1821">
        <f>IF('Saisie données stocks'!$O$10='TRAD-Saisie données stocks'!$B$51, 'Calculs Péremption conso'!BU18, Calculs!M273)</f>
        <v>0</v>
      </c>
      <c r="N24" s="1870">
        <f>Calculs!$L$328</f>
        <v>0</v>
      </c>
      <c r="O24" s="1870">
        <f>Calculs!$N$328</f>
        <v>0</v>
      </c>
      <c r="P24"/>
      <c r="Q24" s="2168" t="e">
        <f>IF(Calculs!N328&gt;0, (-(Calculs!N328+2*Calculs!L328)+SQRT((Calculs!N328+2*Calculs!L328)*(Calculs!N328+2*Calculs!L328)+8*Calculs!N328*(M24)))/(2*Calculs!N328), ((M24)/Calculs!L328))</f>
        <v>#DIV/0!</v>
      </c>
      <c r="R24" s="2168" t="e">
        <f t="shared" si="2"/>
        <v>#DIV/0!</v>
      </c>
      <c r="S24" s="2173" t="e">
        <f>Q24-Paramétrage!D$29</f>
        <v>#DIV/0!</v>
      </c>
      <c r="T24" s="2169" t="e">
        <f>IF(Q24&lt;Paramétrage!D$29, Q24, Paramétrage!D$29)</f>
        <v>#DIV/0!</v>
      </c>
      <c r="U24" s="2170" t="e">
        <f>Paramétrage!H$19+S24*(365/12)</f>
        <v>#DIV/0!</v>
      </c>
      <c r="V24" s="2171" t="e">
        <f>IF(Q24&lt;Paramétrage!D$29, Paramétrage!H$19+T24*(365/12), Paramétrage!H$19+Q24*(365/12))</f>
        <v>#DIV/0!</v>
      </c>
      <c r="W24" s="2051"/>
      <c r="X24" s="2168" t="str">
        <f>IF(ISERROR(Q24),"", IF(Q24=0, "", IF(Q24&gt;'Calculs Péremption conso'!$CB18, 'Calculs Péremption conso'!$CB18, Q24)))</f>
        <v/>
      </c>
      <c r="Y24" s="2172" t="str">
        <f>IF(ISERROR(R24),"", IF(R24=0, "", IF(R24&gt;'Calculs Péremption conso'!$CB18, 'Calculs Péremption conso'!$CB18, R24)))</f>
        <v/>
      </c>
      <c r="Z24" s="2173" t="str">
        <f>IF(ISERROR(Q24),"", IF(Q24=0, "", IF(Q24&gt;'Calculs Péremption conso'!$CB18, 'Calculs Péremption conso'!$CB18-Paramétrage!$D$29, S24)))</f>
        <v/>
      </c>
      <c r="AA24" s="2174" t="str">
        <f>IF(ISERROR(Q24),"", IF(Q24=0, "", IF(Q24&gt;'Calculs Péremption conso'!$CB18, Paramétrage!$D$29, T24)))</f>
        <v/>
      </c>
      <c r="AB24" s="2170" t="str">
        <f>IF(ISERROR(Q24),"", IF(Q24=0, "", IF(Q24&gt;'Calculs Péremption conso'!$CB18, 'Calculs Péremption conso'!$BX18-Paramétrage!$D$29*(365/12), U24)))</f>
        <v/>
      </c>
      <c r="AC24" s="2171" t="str">
        <f>IF(ISERROR(Q24), AW24, IF(Q24=0, IF(AND(M24=0, OR(N24&gt;0, O24&gt;0)), AX24, ""), IF(Q24&gt;'Calculs Péremption conso'!$CB18, IF(Q24&lt;'Saisie données stocks'!$N$14, CONCATENATE('TRAD-Calculs dispo Données FA'!$B$88, " - ", 'Calculs Péremption conso'!$BY18, "/", 'Calculs Péremption conso'!$BZ18, "/", 'Calculs Péremption conso'!$CA18), 'Calculs Péremption conso'!CC18), V24)))</f>
        <v/>
      </c>
      <c r="AD24" s="2051"/>
      <c r="AE24" s="2168" t="e">
        <f>((Calculs!M273)/Calculs!L328)</f>
        <v>#DIV/0!</v>
      </c>
      <c r="AF24" s="2168" t="e">
        <f t="shared" si="5"/>
        <v>#DIV/0!</v>
      </c>
      <c r="AG24" s="2173" t="e">
        <f>AE24-Paramétrage!D$29</f>
        <v>#DIV/0!</v>
      </c>
      <c r="AH24" s="2169" t="e">
        <f>IF(AE24&lt;Paramétrage!D$29, AE24, Paramétrage!D$29)</f>
        <v>#DIV/0!</v>
      </c>
      <c r="AI24" s="2170" t="e">
        <f>Paramétrage!H$19+AG24*(365/12)</f>
        <v>#DIV/0!</v>
      </c>
      <c r="AJ24" s="2171" t="e">
        <f>IF(AE24&lt;Paramétrage!D$29, Paramétrage!H$19+AH24*(365/12), Paramétrage!H$19+AE24*(365/12))</f>
        <v>#DIV/0!</v>
      </c>
      <c r="AK24" s="2051"/>
      <c r="AL24" s="2168" t="str">
        <f>IF(ISERROR(AE24),"", IF(AE24=0, "", IF(AE24&gt;'Calculs Péremption conso'!$CB18, 'Calculs Péremption conso'!$CB18, AE24)))</f>
        <v/>
      </c>
      <c r="AM24" s="2172" t="str">
        <f t="shared" si="6"/>
        <v/>
      </c>
      <c r="AN24" s="2173" t="str">
        <f>IF(ISERROR(AE24),"", IF(AE24=0, "", IF(AE24&gt;'Calculs Péremption conso'!$CB18, 'Calculs Péremption conso'!$CB18-Paramétrage!$D$29, AG24)))</f>
        <v/>
      </c>
      <c r="AO24" s="2174" t="str">
        <f>IF(ISERROR(AE24),"", IF(AE24=0, "", IF(AE24&gt;'Calculs Péremption conso'!$CB18, Paramétrage!$D$29, AH24)))</f>
        <v/>
      </c>
      <c r="AP24" s="2170" t="str">
        <f>IF(ISERROR(AE24),"", IF(AE24=0, "", IF(AE24&gt;'Calculs Péremption FA'!$CB18, 'Calculs Péremption FA'!$BX18-Paramétrage!$D$29*(365/12), AI24)))</f>
        <v/>
      </c>
      <c r="AQ24" s="2171" t="str">
        <f>IF(ISERROR(AE24),"", IF(AE24=0, "", IF(AE24&gt;'Calculs Péremption conso'!$CB18, CONCATENATE('TRAD-Calculs dispo Données FA'!$B$88, " - ", 'Calculs Péremption conso'!$BY18, "/", 'Calculs Péremption conso'!$BZ18, "/", 'Calculs Péremption conso'!$CA18), AJ24)))</f>
        <v/>
      </c>
      <c r="AR24" s="2051"/>
      <c r="AS24" s="2061">
        <f>Calculs!$M273</f>
        <v>0</v>
      </c>
      <c r="AT24" s="2062">
        <f>Calculs!$L328</f>
        <v>0</v>
      </c>
      <c r="AU24" s="2068">
        <f>Calculs!$N328</f>
        <v>0</v>
      </c>
      <c r="AV24" s="2070" t="str">
        <f>IF(AND(AU24=0, AS24=0, AT24=0), 'TRAD-Calculs dispo Données FA'!$B$82, "")</f>
        <v>Stock et besoin nul</v>
      </c>
      <c r="AW24" s="2062" t="str">
        <f>IF(AND(AU24=0, AS24&gt;0, AT24=0), CONCATENATE(AS24, 'TRAD-Calculs dispo Données FA'!$B$80," =0"), "")</f>
        <v/>
      </c>
      <c r="AX24" s="2063" t="str">
        <f>IF(AND(AS24=0, OR(AT24&gt;=1, AU24&gt;=1)), 'TRAD-Calculs dispo Données FA'!$B$81, "")</f>
        <v/>
      </c>
      <c r="AY24" s="2051"/>
      <c r="AZ24" s="2051"/>
      <c r="BA24" s="2051"/>
      <c r="BB24" s="2051"/>
      <c r="BC24" s="2051"/>
      <c r="BD24" s="2051"/>
      <c r="BE24" s="2051"/>
      <c r="BF24" s="2051"/>
      <c r="BG24" s="2051"/>
      <c r="BH24" s="2051"/>
      <c r="BI24" s="2051"/>
      <c r="BJ24" s="2051"/>
      <c r="BK24" s="2051"/>
      <c r="BL24" s="2051"/>
      <c r="BM24" s="2051"/>
      <c r="BN24" s="2051"/>
      <c r="BO24" s="2051"/>
      <c r="BP24" s="2051"/>
      <c r="BQ24" s="2051"/>
      <c r="BR24" s="2051"/>
      <c r="BS24" s="2051"/>
      <c r="BT24" s="2051"/>
    </row>
    <row r="25" spans="3:72" s="358" customFormat="1" ht="51" x14ac:dyDescent="0.2">
      <c r="C25" s="374"/>
      <c r="D25" s="375"/>
      <c r="E25" s="382" t="str">
        <f>'Saisie données stocks'!F31</f>
        <v>TDF+3TC+EFV</v>
      </c>
      <c r="F25" s="383" t="str">
        <f>'Saisie données stocks'!G31</f>
        <v>Cp</v>
      </c>
      <c r="G25" s="383" t="str">
        <f>'Saisie données stocks'!H31</f>
        <v>300/200/600 mg</v>
      </c>
      <c r="H25" s="385" t="str">
        <f>CONCATENATE(E25, " - ", G25, " - ", 'TRAD-Calculs dispo Données FA'!$B$79,"/", K25)</f>
        <v>TDF+3TC+EFV - 300/200/600 mg - B/30</v>
      </c>
      <c r="I25" s="386">
        <f>Calculs!K114</f>
        <v>1</v>
      </c>
      <c r="J25" s="386">
        <f t="shared" si="0"/>
        <v>30</v>
      </c>
      <c r="K25" s="115">
        <f>Calculs!J114</f>
        <v>30</v>
      </c>
      <c r="L25" s="387">
        <f t="shared" si="1"/>
        <v>1</v>
      </c>
      <c r="M25" s="1821">
        <f>IF('Saisie données stocks'!$O$10='TRAD-Saisie données stocks'!$B$51, 'Calculs Péremption conso'!BU19, Calculs!M274)</f>
        <v>20491.397260273974</v>
      </c>
      <c r="N25" s="1870">
        <f>Calculs!$L$329</f>
        <v>1484</v>
      </c>
      <c r="O25" s="1870">
        <f>Calculs!$N$329</f>
        <v>0</v>
      </c>
      <c r="P25"/>
      <c r="Q25" s="2168">
        <f>IF(Calculs!N329&gt;0, (-(Calculs!N329+2*Calculs!L329)+SQRT((Calculs!N329+2*Calculs!L329)*(Calculs!N329+2*Calculs!L329)+8*Calculs!N329*(M25)))/(2*Calculs!N329), ((M25)/Calculs!L329))</f>
        <v>13.808219178082192</v>
      </c>
      <c r="R25" s="2168">
        <f t="shared" si="2"/>
        <v>13.808219178082192</v>
      </c>
      <c r="S25" s="2173">
        <f>Q25-Paramétrage!D$29</f>
        <v>10.808219178082192</v>
      </c>
      <c r="T25" s="2169">
        <f>IF(Q25&lt;Paramétrage!D$29, Q25, Paramétrage!D$29)</f>
        <v>3</v>
      </c>
      <c r="U25" s="2170">
        <f>Paramétrage!H$19+S25*(365/12)</f>
        <v>42247.75</v>
      </c>
      <c r="V25" s="2171">
        <f>IF(Q25&lt;Paramétrage!D$29, Paramétrage!H$19+T25*(365/12), Paramétrage!H$19+Q25*(365/12))</f>
        <v>42339</v>
      </c>
      <c r="W25" s="2051"/>
      <c r="X25" s="2168">
        <f>IF(ISERROR(Q25),"", IF(Q25=0, "", IF(Q25&gt;'Calculs Péremption conso'!$CB19, 'Calculs Péremption conso'!$CB19, Q25)))</f>
        <v>13.808219178082192</v>
      </c>
      <c r="Y25" s="2172">
        <f>IF(ISERROR(R25),"", IF(R25=0, "", IF(R25&gt;'Calculs Péremption conso'!$CB19, 'Calculs Péremption conso'!$CB19, R25)))</f>
        <v>13.808219178082192</v>
      </c>
      <c r="Z25" s="2173">
        <f>IF(ISERROR(Q25),"", IF(Q25=0, "", IF(Q25&gt;'Calculs Péremption conso'!$CB19, 'Calculs Péremption conso'!$CB19-Paramétrage!$D$29, S25)))</f>
        <v>10.808219178082192</v>
      </c>
      <c r="AA25" s="2174">
        <f>IF(ISERROR(Q25),"", IF(Q25=0, "", IF(Q25&gt;'Calculs Péremption conso'!$CB19, Paramétrage!$D$29, T25)))</f>
        <v>3</v>
      </c>
      <c r="AB25" s="2170">
        <f>IF(ISERROR(Q25),"", IF(Q25=0, "", IF(Q25&gt;'Calculs Péremption conso'!$CB19, 'Calculs Péremption conso'!$BX19-Paramétrage!$D$29*(365/12), U25)))</f>
        <v>42247.75</v>
      </c>
      <c r="AC25" s="2171">
        <f>IF(ISERROR(Q25), AW25, IF(Q25=0, IF(AND(M25=0, OR(N25&gt;0, O25&gt;0)), AX25, ""), IF(Q25&gt;'Calculs Péremption conso'!$CB19, IF(Q25&lt;'Saisie données stocks'!$N$14, CONCATENATE('TRAD-Calculs dispo Données FA'!$B$88, " - ", 'Calculs Péremption conso'!$BY19, "/", 'Calculs Péremption conso'!$BZ19, "/", 'Calculs Péremption conso'!$CA19), 'Calculs Péremption conso'!CC19), V25)))</f>
        <v>42339</v>
      </c>
      <c r="AD25" s="2051"/>
      <c r="AE25" s="2168">
        <f>((Calculs!M274)/Calculs!L329)</f>
        <v>24.281671159029649</v>
      </c>
      <c r="AF25" s="2168">
        <f t="shared" si="5"/>
        <v>10.473451980947457</v>
      </c>
      <c r="AG25" s="2173">
        <f>AE25-Paramétrage!D$29</f>
        <v>21.281671159029649</v>
      </c>
      <c r="AH25" s="2169">
        <f>IF(AE25&lt;Paramétrage!D$29, AE25, Paramétrage!D$29)</f>
        <v>3</v>
      </c>
      <c r="AI25" s="2170">
        <f>Paramétrage!H$19+AG25*(365/12)</f>
        <v>42566.317497753822</v>
      </c>
      <c r="AJ25" s="2171">
        <f>IF(AE25&lt;Paramétrage!D$29, Paramétrage!H$19+AH25*(365/12), Paramétrage!H$19+AE25*(365/12))</f>
        <v>42657.567497753822</v>
      </c>
      <c r="AK25" s="2051"/>
      <c r="AL25" s="2168">
        <f>IF(ISERROR(AE25),"", IF(AE25=0, "", IF(AE25&gt;'Calculs Péremption conso'!$CB19, 'Calculs Péremption conso'!$CB19, AE25)))</f>
        <v>13.808219178082192</v>
      </c>
      <c r="AM25" s="2172" t="str">
        <f t="shared" si="6"/>
        <v>0</v>
      </c>
      <c r="AN25" s="2173">
        <f>IF(ISERROR(AE25),"", IF(AE25=0, "", IF(AE25&gt;'Calculs Péremption conso'!$CB19, 'Calculs Péremption conso'!$CB19-Paramétrage!$D$29, AG25)))</f>
        <v>10.808219178082192</v>
      </c>
      <c r="AO25" s="2174">
        <f>IF(ISERROR(AE25),"", IF(AE25=0, "", IF(AE25&gt;'Calculs Péremption conso'!$CB19, Paramétrage!$D$29, AH25)))</f>
        <v>3</v>
      </c>
      <c r="AP25" s="2170">
        <f>IF(ISERROR(AE25),"", IF(AE25=0, "", IF(AE25&gt;'Calculs Péremption FA'!$CB19, 'Calculs Péremption FA'!$BX19-Paramétrage!$D$29*(365/12), AI25)))</f>
        <v>42247.75</v>
      </c>
      <c r="AQ25" s="2171" t="str">
        <f>IF(ISERROR(AE25),"", IF(AE25=0, "", IF(AE25&gt;'Calculs Péremption conso'!$CB19, CONCATENATE('TRAD-Calculs dispo Données FA'!$B$88, " - ", 'Calculs Péremption conso'!$BY19, "/", 'Calculs Péremption conso'!$BZ19, "/", 'Calculs Péremption conso'!$CA19), AJ25)))</f>
        <v>DLU - 1/12/2015</v>
      </c>
      <c r="AR25" s="2051"/>
      <c r="AS25" s="2061">
        <f>Calculs!$M274</f>
        <v>36034</v>
      </c>
      <c r="AT25" s="2062">
        <f>Calculs!$L329</f>
        <v>1484</v>
      </c>
      <c r="AU25" s="2068">
        <f>Calculs!$N329</f>
        <v>0</v>
      </c>
      <c r="AV25" s="2070" t="str">
        <f>IF(AND(AU25=0, AS25=0, AT25=0), 'TRAD-Calculs dispo Données FA'!$B$82, "")</f>
        <v/>
      </c>
      <c r="AW25" s="2062" t="str">
        <f>IF(AND(AU25=0, AS25&gt;0, AT25=0), CONCATENATE(AS25, 'TRAD-Calculs dispo Données FA'!$B$80," =0"), "")</f>
        <v/>
      </c>
      <c r="AX25" s="2063" t="str">
        <f>IF(AND(AS25=0, OR(AT25&gt;=1, AU25&gt;=1)), 'TRAD-Calculs dispo Données FA'!$B$81, "")</f>
        <v/>
      </c>
      <c r="AY25" s="2051"/>
      <c r="AZ25" s="2051"/>
      <c r="BA25" s="2051"/>
      <c r="BB25" s="2051"/>
      <c r="BC25" s="2051"/>
      <c r="BD25" s="2051"/>
      <c r="BE25" s="2051"/>
      <c r="BF25" s="2051"/>
      <c r="BG25" s="2051"/>
      <c r="BH25" s="2051"/>
      <c r="BI25" s="2051"/>
      <c r="BJ25" s="2051"/>
      <c r="BK25" s="2051"/>
      <c r="BL25" s="2051"/>
      <c r="BM25" s="2051"/>
      <c r="BN25" s="2051"/>
      <c r="BO25" s="2051"/>
      <c r="BP25" s="2051"/>
      <c r="BQ25" s="2051"/>
      <c r="BR25" s="2051"/>
      <c r="BS25" s="2051"/>
      <c r="BT25" s="2051"/>
    </row>
    <row r="26" spans="3:72" s="358" customFormat="1" ht="38.25" x14ac:dyDescent="0.2">
      <c r="C26" s="374"/>
      <c r="D26" s="375"/>
      <c r="E26" s="382" t="str">
        <f>'Saisie données stocks'!F32</f>
        <v>TDF+3TC</v>
      </c>
      <c r="F26" s="383" t="str">
        <f>'Saisie données stocks'!G32</f>
        <v>Cp</v>
      </c>
      <c r="G26" s="383" t="str">
        <f>'Saisie données stocks'!H32</f>
        <v>300/200 mg</v>
      </c>
      <c r="H26" s="385" t="str">
        <f>CONCATENATE(E26, " - ", G26, " - ", 'TRAD-Calculs dispo Données FA'!$B$79,"/", K26)</f>
        <v>TDF+3TC - 300/200 mg - B/30</v>
      </c>
      <c r="I26" s="386">
        <f>Calculs!K115</f>
        <v>1</v>
      </c>
      <c r="J26" s="386">
        <f t="shared" si="0"/>
        <v>30</v>
      </c>
      <c r="K26" s="115">
        <f>Calculs!J115</f>
        <v>30</v>
      </c>
      <c r="L26" s="387">
        <f t="shared" si="1"/>
        <v>1</v>
      </c>
      <c r="M26" s="1821">
        <f>IF('Saisie données stocks'!$O$10='TRAD-Saisie données stocks'!$B$51, 'Calculs Péremption conso'!BU20, Calculs!M275)</f>
        <v>495.78082191780817</v>
      </c>
      <c r="N26" s="1870">
        <f>Calculs!$L$330</f>
        <v>104</v>
      </c>
      <c r="O26" s="1870">
        <f>Calculs!$N$330</f>
        <v>0</v>
      </c>
      <c r="P26"/>
      <c r="Q26" s="2168">
        <f>IF(Calculs!N330&gt;0, (-(Calculs!N330+2*Calculs!L330)+SQRT((Calculs!N330+2*Calculs!L330)*(Calculs!N330+2*Calculs!L330)+8*Calculs!N330*(M26)))/(2*Calculs!N330), ((M26)/Calculs!L330))</f>
        <v>4.7671232876712324</v>
      </c>
      <c r="R26" s="2168">
        <f t="shared" si="2"/>
        <v>4.7671232876712324</v>
      </c>
      <c r="S26" s="2173">
        <f>Q26-Paramétrage!D$29</f>
        <v>1.7671232876712324</v>
      </c>
      <c r="T26" s="2169">
        <f>IF(Q26&lt;Paramétrage!D$29, Q26, Paramétrage!D$29)</f>
        <v>3</v>
      </c>
      <c r="U26" s="2170">
        <f>Paramétrage!H$19+S26*(365/12)</f>
        <v>41972.75</v>
      </c>
      <c r="V26" s="2171">
        <f>IF(Q26&lt;Paramétrage!D$29, Paramétrage!H$19+T26*(365/12), Paramétrage!H$19+Q26*(365/12))</f>
        <v>42064</v>
      </c>
      <c r="W26" s="2051"/>
      <c r="X26" s="2168">
        <f>IF(ISERROR(Q26),"", IF(Q26=0, "", IF(Q26&gt;'Calculs Péremption conso'!$CB20, 'Calculs Péremption conso'!$CB20, Q26)))</f>
        <v>4.7671232876712324</v>
      </c>
      <c r="Y26" s="2172">
        <f>IF(ISERROR(R26),"", IF(R26=0, "", IF(R26&gt;'Calculs Péremption conso'!$CB20, 'Calculs Péremption conso'!$CB20, R26)))</f>
        <v>4.7671232876712324</v>
      </c>
      <c r="Z26" s="2173">
        <f>IF(ISERROR(Q26),"", IF(Q26=0, "", IF(Q26&gt;'Calculs Péremption conso'!$CB20, 'Calculs Péremption conso'!$CB20-Paramétrage!$D$29, S26)))</f>
        <v>1.7671232876712324</v>
      </c>
      <c r="AA26" s="2174">
        <f>IF(ISERROR(Q26),"", IF(Q26=0, "", IF(Q26&gt;'Calculs Péremption conso'!$CB20, Paramétrage!$D$29, T26)))</f>
        <v>3</v>
      </c>
      <c r="AB26" s="2170">
        <f>IF(ISERROR(Q26),"", IF(Q26=0, "", IF(Q26&gt;'Calculs Péremption conso'!$CB20, 'Calculs Péremption conso'!$BX20-Paramétrage!$D$29*(365/12), U26)))</f>
        <v>41972.75</v>
      </c>
      <c r="AC26" s="2171">
        <f>IF(ISERROR(Q26), AW26, IF(Q26=0, IF(AND(M26=0, OR(N26&gt;0, O26&gt;0)), AX26, ""), IF(Q26&gt;'Calculs Péremption conso'!$CB20, IF(Q26&lt;'Saisie données stocks'!$N$14, CONCATENATE('TRAD-Calculs dispo Données FA'!$B$88, " - ", 'Calculs Péremption conso'!$BY20, "/", 'Calculs Péremption conso'!$BZ20, "/", 'Calculs Péremption conso'!$CA20), 'Calculs Péremption conso'!CC20), V26)))</f>
        <v>42064</v>
      </c>
      <c r="AD26" s="2051"/>
      <c r="AE26" s="2168">
        <f>((Calculs!M275)/Calculs!L330)</f>
        <v>4.8557692307692308</v>
      </c>
      <c r="AF26" s="2168">
        <f t="shared" si="5"/>
        <v>8.8645943097998448E-2</v>
      </c>
      <c r="AG26" s="2173">
        <f>AE26-Paramétrage!D$29</f>
        <v>1.8557692307692308</v>
      </c>
      <c r="AH26" s="2169">
        <f>IF(AE26&lt;Paramétrage!D$29, AE26, Paramétrage!D$29)</f>
        <v>3</v>
      </c>
      <c r="AI26" s="2170">
        <f>Paramétrage!H$19+AG26*(365/12)</f>
        <v>41975.446314102563</v>
      </c>
      <c r="AJ26" s="2171">
        <f>IF(AE26&lt;Paramétrage!D$29, Paramétrage!H$19+AH26*(365/12), Paramétrage!H$19+AE26*(365/12))</f>
        <v>42066.696314102563</v>
      </c>
      <c r="AK26" s="2051"/>
      <c r="AL26" s="2168">
        <f>IF(ISERROR(AE26),"", IF(AE26=0, "", IF(AE26&gt;'Calculs Péremption conso'!$CB20, 'Calculs Péremption conso'!$CB20, AE26)))</f>
        <v>4.7671232876712324</v>
      </c>
      <c r="AM26" s="2172" t="str">
        <f t="shared" si="6"/>
        <v>0</v>
      </c>
      <c r="AN26" s="2173">
        <f>IF(ISERROR(AE26),"", IF(AE26=0, "", IF(AE26&gt;'Calculs Péremption conso'!$CB20, 'Calculs Péremption conso'!$CB20-Paramétrage!$D$29, AG26)))</f>
        <v>1.7671232876712324</v>
      </c>
      <c r="AO26" s="2174">
        <f>IF(ISERROR(AE26),"", IF(AE26=0, "", IF(AE26&gt;'Calculs Péremption conso'!$CB20, Paramétrage!$D$29, AH26)))</f>
        <v>3</v>
      </c>
      <c r="AP26" s="2170">
        <f>IF(ISERROR(AE26),"", IF(AE26=0, "", IF(AE26&gt;'Calculs Péremption FA'!$CB20, 'Calculs Péremption FA'!$BX20-Paramétrage!$D$29*(365/12), AI26)))</f>
        <v>41972.75</v>
      </c>
      <c r="AQ26" s="2171" t="str">
        <f>IF(ISERROR(AE26),"", IF(AE26=0, "", IF(AE26&gt;'Calculs Péremption conso'!$CB20, CONCATENATE('TRAD-Calculs dispo Données FA'!$B$88, " - ", 'Calculs Péremption conso'!$BY20, "/", 'Calculs Péremption conso'!$BZ20, "/", 'Calculs Péremption conso'!$CA20), AJ26)))</f>
        <v>DLU - 1/3/2015</v>
      </c>
      <c r="AR26" s="2051"/>
      <c r="AS26" s="2061">
        <f>Calculs!$M275</f>
        <v>505</v>
      </c>
      <c r="AT26" s="2062">
        <f>Calculs!$L330</f>
        <v>104</v>
      </c>
      <c r="AU26" s="2068">
        <f>Calculs!$N330</f>
        <v>0</v>
      </c>
      <c r="AV26" s="2070" t="str">
        <f>IF(AND(AU26=0, AS26=0, AT26=0), 'TRAD-Calculs dispo Données FA'!$B$82, "")</f>
        <v/>
      </c>
      <c r="AW26" s="2062" t="str">
        <f>IF(AND(AU26=0, AS26&gt;0, AT26=0), CONCATENATE(AS26, 'TRAD-Calculs dispo Données FA'!$B$80," =0"), "")</f>
        <v/>
      </c>
      <c r="AX26" s="2063" t="str">
        <f>IF(AND(AS26=0, OR(AT26&gt;=1, AU26&gt;=1)), 'TRAD-Calculs dispo Données FA'!$B$81, "")</f>
        <v/>
      </c>
      <c r="AY26" s="2051"/>
      <c r="AZ26" s="2051"/>
      <c r="BA26" s="2051"/>
      <c r="BB26" s="2051"/>
      <c r="BC26" s="2051"/>
      <c r="BD26" s="2051"/>
      <c r="BE26" s="2051"/>
      <c r="BF26" s="2051"/>
      <c r="BG26" s="2051"/>
      <c r="BH26" s="2051"/>
      <c r="BI26" s="2051"/>
      <c r="BJ26" s="2051"/>
      <c r="BK26" s="2051"/>
      <c r="BL26" s="2051"/>
      <c r="BM26" s="2051"/>
      <c r="BN26" s="2051"/>
      <c r="BO26" s="2051"/>
      <c r="BP26" s="2051"/>
      <c r="BQ26" s="2051"/>
      <c r="BR26" s="2051"/>
      <c r="BS26" s="2051"/>
      <c r="BT26" s="2051"/>
    </row>
    <row r="27" spans="3:72" s="358" customFormat="1" ht="63.75" x14ac:dyDescent="0.2">
      <c r="C27" s="388"/>
      <c r="D27" s="389"/>
      <c r="E27" s="390" t="str">
        <f>'Saisie données stocks'!F33</f>
        <v>[TDF+3TC]+ATV/r</v>
      </c>
      <c r="F27" s="391" t="str">
        <f>'Saisie données stocks'!G33</f>
        <v>Cp coblister</v>
      </c>
      <c r="G27" s="391" t="str">
        <f>'Saisie données stocks'!H33</f>
        <v>[300/300]+300/100 mg</v>
      </c>
      <c r="H27" s="393" t="str">
        <f>CONCATENATE(E27, " - ", G27, " - ", 'TRAD-Calculs dispo Données FA'!$B$79,"/", K27)</f>
        <v>[TDF+3TC]+ATV/r - [300/300]+300/100 mg - B/30</v>
      </c>
      <c r="I27" s="394">
        <f>Calculs!K116</f>
        <v>1</v>
      </c>
      <c r="J27" s="394">
        <f t="shared" si="0"/>
        <v>30</v>
      </c>
      <c r="K27" s="116">
        <f>Calculs!J116</f>
        <v>30</v>
      </c>
      <c r="L27" s="395">
        <f t="shared" si="1"/>
        <v>1</v>
      </c>
      <c r="M27" s="1822">
        <f>IF('Saisie données stocks'!$O$10='TRAD-Saisie données stocks'!$B$51, 'Calculs Péremption conso'!BU21, Calculs!M276)</f>
        <v>0</v>
      </c>
      <c r="N27" s="1822">
        <f>Calculs!$L$331</f>
        <v>0</v>
      </c>
      <c r="O27" s="1822">
        <f>Calculs!$N$331</f>
        <v>0</v>
      </c>
      <c r="P27"/>
      <c r="Q27" s="2175" t="e">
        <f>IF(Calculs!N331&gt;0, (-(Calculs!N331+2*Calculs!L331)+SQRT((Calculs!N331+2*Calculs!L331)*(Calculs!N331+2*Calculs!L331)+8*Calculs!N331*(M27)))/(2*Calculs!N331), ((M27)/Calculs!L331))</f>
        <v>#DIV/0!</v>
      </c>
      <c r="R27" s="2175" t="e">
        <f t="shared" si="2"/>
        <v>#DIV/0!</v>
      </c>
      <c r="S27" s="2176" t="e">
        <f>Q27-Paramétrage!D$29</f>
        <v>#DIV/0!</v>
      </c>
      <c r="T27" s="2177" t="e">
        <f>IF(Q27&lt;Paramétrage!D$29, Q27, Paramétrage!D$29)</f>
        <v>#DIV/0!</v>
      </c>
      <c r="U27" s="2178" t="e">
        <f>Paramétrage!H$19+S27*(365/12)</f>
        <v>#DIV/0!</v>
      </c>
      <c r="V27" s="2179" t="e">
        <f>IF(Q27&lt;Paramétrage!D$29, Paramétrage!H$19+T27*(365/12), Paramétrage!H$19+Q27*(365/12))</f>
        <v>#DIV/0!</v>
      </c>
      <c r="W27" s="2051"/>
      <c r="X27" s="2175" t="str">
        <f>IF(ISERROR(Q27),"", IF(Q27=0, "", IF(Q27&gt;'Calculs Péremption conso'!$CB21, 'Calculs Péremption conso'!$CB21, Q27)))</f>
        <v/>
      </c>
      <c r="Y27" s="2180" t="str">
        <f>IF(ISERROR(R27),"", IF(R27=0, "", IF(R27&gt;'Calculs Péremption conso'!$CB21, 'Calculs Péremption conso'!$CB21, R27)))</f>
        <v/>
      </c>
      <c r="Z27" s="2181" t="str">
        <f>IF(ISERROR(Q27),"", IF(Q27=0, "", IF(Q27&gt;'Calculs Péremption conso'!$CB21, 'Calculs Péremption conso'!$CB21-Paramétrage!$D$29, S27)))</f>
        <v/>
      </c>
      <c r="AA27" s="2182" t="str">
        <f>IF(ISERROR(Q27),"", IF(Q27=0, "", IF(Q27&gt;'Calculs Péremption conso'!$CB21, Paramétrage!$D$29, T27)))</f>
        <v/>
      </c>
      <c r="AB27" s="2178" t="str">
        <f>IF(ISERROR(Q27),"", IF(Q27=0, "", IF(Q27&gt;'Calculs Péremption conso'!$CB21, 'Calculs Péremption conso'!$BX21-Paramétrage!$D$29*(365/12), U27)))</f>
        <v/>
      </c>
      <c r="AC27" s="2179" t="str">
        <f>IF(ISERROR(Q27), AW27, IF(Q27=0, IF(AND(M27=0, OR(N27&gt;0, O27&gt;0)), AX27, ""), IF(Q27&gt;'Calculs Péremption conso'!$CB21, IF(Q27&lt;'Saisie données stocks'!$N$14, CONCATENATE('TRAD-Calculs dispo Données FA'!$B$88, " - ", 'Calculs Péremption conso'!$BY21, "/", 'Calculs Péremption conso'!$BZ21, "/", 'Calculs Péremption conso'!$CA21), 'Calculs Péremption conso'!CC21), V27)))</f>
        <v/>
      </c>
      <c r="AD27" s="2051"/>
      <c r="AE27" s="2175" t="e">
        <f>((Calculs!M276)/Calculs!L331)</f>
        <v>#DIV/0!</v>
      </c>
      <c r="AF27" s="2175" t="e">
        <f t="shared" si="5"/>
        <v>#DIV/0!</v>
      </c>
      <c r="AG27" s="2173" t="e">
        <f>AE27-Paramétrage!D$29</f>
        <v>#DIV/0!</v>
      </c>
      <c r="AH27" s="2177" t="e">
        <f>IF(AE27&lt;Paramétrage!D$29, AE27, Paramétrage!D$29)</f>
        <v>#DIV/0!</v>
      </c>
      <c r="AI27" s="2178" t="e">
        <f>Paramétrage!H$19+AG27*(365/12)</f>
        <v>#DIV/0!</v>
      </c>
      <c r="AJ27" s="2179" t="e">
        <f>IF(AE27&lt;Paramétrage!D$29, Paramétrage!H$19+AH27*(365/12), Paramétrage!H$19+AE27*(365/12))</f>
        <v>#DIV/0!</v>
      </c>
      <c r="AK27" s="2051"/>
      <c r="AL27" s="2175" t="str">
        <f>IF(ISERROR(AE27),"", IF(AE27=0, "", IF(AE27&gt;'Calculs Péremption conso'!$CB21, 'Calculs Péremption conso'!$CB21, AE27)))</f>
        <v/>
      </c>
      <c r="AM27" s="2180" t="str">
        <f t="shared" si="6"/>
        <v/>
      </c>
      <c r="AN27" s="2181" t="str">
        <f>IF(ISERROR(AE27),"", IF(AE27=0, "", IF(AE27&gt;'Calculs Péremption conso'!$CB21, 'Calculs Péremption conso'!$CB21-Paramétrage!$D$29, AG27)))</f>
        <v/>
      </c>
      <c r="AO27" s="2182" t="str">
        <f>IF(ISERROR(AE27),"", IF(AE27=0, "", IF(AE27&gt;'Calculs Péremption conso'!$CB21, Paramétrage!$D$29, AH27)))</f>
        <v/>
      </c>
      <c r="AP27" s="2178" t="str">
        <f>IF(ISERROR(AE27),"", IF(AE27=0, "", IF(AE27&gt;'Calculs Péremption FA'!$CB21, 'Calculs Péremption FA'!$BX21-Paramétrage!$D$29*(365/12), AI27)))</f>
        <v/>
      </c>
      <c r="AQ27" s="2179" t="str">
        <f>IF(ISERROR(AE27),"", IF(AE27=0, "", IF(AE27&gt;'Calculs Péremption conso'!$CB21, CONCATENATE('TRAD-Calculs dispo Données FA'!$B$88, " - ", 'Calculs Péremption conso'!$BY21, "/", 'Calculs Péremption conso'!$BZ21, "/", 'Calculs Péremption conso'!$CA21), AJ27)))</f>
        <v/>
      </c>
      <c r="AR27" s="2051"/>
      <c r="AS27" s="2061">
        <f>Calculs!$M276</f>
        <v>0</v>
      </c>
      <c r="AT27" s="2062">
        <f>Calculs!$L331</f>
        <v>0</v>
      </c>
      <c r="AU27" s="2068">
        <f>Calculs!$N331</f>
        <v>0</v>
      </c>
      <c r="AV27" s="2070" t="str">
        <f>IF(AND(AU27=0, AS27=0, AT27=0), 'TRAD-Calculs dispo Données FA'!$B$82, "")</f>
        <v>Stock et besoin nul</v>
      </c>
      <c r="AW27" s="2062" t="str">
        <f>IF(AND(AU27=0, AS27&gt;0, AT27=0), CONCATENATE(AS27, 'TRAD-Calculs dispo Données FA'!$B$80," =0"), "")</f>
        <v/>
      </c>
      <c r="AX27" s="2063" t="str">
        <f>IF(AND(AS27=0, OR(AT27&gt;=1, AU27&gt;=1)), 'TRAD-Calculs dispo Données FA'!$B$81, "")</f>
        <v/>
      </c>
      <c r="AY27" s="2051"/>
      <c r="AZ27" s="2051"/>
      <c r="BA27" s="2051"/>
      <c r="BB27" s="2051"/>
      <c r="BC27" s="2051"/>
      <c r="BD27" s="2051"/>
      <c r="BE27" s="2051"/>
      <c r="BF27" s="2051"/>
      <c r="BG27" s="2051"/>
      <c r="BH27" s="2051"/>
      <c r="BI27" s="2051"/>
      <c r="BJ27" s="2051"/>
      <c r="BK27" s="2051"/>
      <c r="BL27" s="2051"/>
      <c r="BM27" s="2051"/>
      <c r="BN27" s="2051"/>
      <c r="BO27" s="2051"/>
      <c r="BP27" s="2051"/>
      <c r="BQ27" s="2051"/>
      <c r="BR27" s="2051"/>
      <c r="BS27" s="2051"/>
      <c r="BT27" s="2051"/>
    </row>
    <row r="28" spans="3:72" s="358" customFormat="1" ht="25.5" x14ac:dyDescent="0.2">
      <c r="C28" s="374"/>
      <c r="D28" s="375" t="s">
        <v>26</v>
      </c>
      <c r="E28" s="376" t="str">
        <f>'Saisie données stocks'!F34</f>
        <v>EFV</v>
      </c>
      <c r="F28" s="377" t="str">
        <f>'Saisie données stocks'!G34</f>
        <v>Gél</v>
      </c>
      <c r="G28" s="377" t="str">
        <f>'Saisie données stocks'!H34</f>
        <v>50 mg</v>
      </c>
      <c r="H28" s="379" t="str">
        <f>CONCATENATE(E28, " - ", G28, " - ", 'TRAD-Calculs dispo Données FA'!$B$79,"/", K28)</f>
        <v>EFV - 50 mg - B/30</v>
      </c>
      <c r="I28" s="380">
        <f>Calculs!K117</f>
        <v>0</v>
      </c>
      <c r="J28" s="380">
        <f t="shared" si="0"/>
        <v>0</v>
      </c>
      <c r="K28" s="114">
        <f>Calculs!J117</f>
        <v>30</v>
      </c>
      <c r="L28" s="381">
        <f t="shared" si="1"/>
        <v>0</v>
      </c>
      <c r="M28" s="1820">
        <f>IF('Saisie données stocks'!$O$10='TRAD-Saisie données stocks'!$B$51, 'Calculs Péremption conso'!BU22, Calculs!M277)</f>
        <v>0</v>
      </c>
      <c r="N28" s="1820">
        <f>Calculs!$L$332</f>
        <v>0</v>
      </c>
      <c r="O28" s="1820">
        <f>Calculs!$N$332</f>
        <v>0</v>
      </c>
      <c r="P28"/>
      <c r="Q28" s="2161" t="e">
        <f>IF(Calculs!N332&gt;0, (-(Calculs!N332+2*Calculs!L332)+SQRT((Calculs!N332+2*Calculs!L332)*(Calculs!N332+2*Calculs!L332)+8*Calculs!N332*(M28)))/(2*Calculs!N332), ((M28)/Calculs!L332))</f>
        <v>#DIV/0!</v>
      </c>
      <c r="R28" s="2161" t="e">
        <f t="shared" si="2"/>
        <v>#DIV/0!</v>
      </c>
      <c r="S28" s="2183" t="e">
        <f>Q28-Paramétrage!D$29</f>
        <v>#DIV/0!</v>
      </c>
      <c r="T28" s="2163" t="e">
        <f>IF(Q28&lt;Paramétrage!D$29, Q28, Paramétrage!D$29)</f>
        <v>#DIV/0!</v>
      </c>
      <c r="U28" s="2164" t="e">
        <f>Paramétrage!H$19+S28*(365/12)</f>
        <v>#DIV/0!</v>
      </c>
      <c r="V28" s="2165" t="e">
        <f>IF(Q28&lt;Paramétrage!D$29, Paramétrage!H$19+T28*(365/12), Paramétrage!H$19+Q28*(365/12))</f>
        <v>#DIV/0!</v>
      </c>
      <c r="W28" s="2051"/>
      <c r="X28" s="2161" t="str">
        <f>IF(ISERROR(Q28),"", IF(Q28=0, "", IF(Q28&gt;'Calculs Péremption conso'!$CB22, 'Calculs Péremption conso'!$CB22, Q28)))</f>
        <v/>
      </c>
      <c r="Y28" s="2166" t="str">
        <f>IF(ISERROR(R28),"", IF(R28=0, "", IF(R28&gt;'Calculs Péremption conso'!$CB22, 'Calculs Péremption conso'!$CB22, R28)))</f>
        <v/>
      </c>
      <c r="Z28" s="2162" t="str">
        <f>IF(ISERROR(Q28),"", IF(Q28=0, "", IF(Q28&gt;'Calculs Péremption conso'!$CB22, 'Calculs Péremption conso'!$CB22-Paramétrage!$D$29, S28)))</f>
        <v/>
      </c>
      <c r="AA28" s="2167" t="str">
        <f>IF(ISERROR(Q28),"", IF(Q28=0, "", IF(Q28&gt;'Calculs Péremption conso'!$CB22, Paramétrage!$D$29, T28)))</f>
        <v/>
      </c>
      <c r="AB28" s="2164" t="str">
        <f>IF(ISERROR(Q28),"", IF(Q28=0, "", IF(Q28&gt;'Calculs Péremption conso'!$CB22, 'Calculs Péremption conso'!$BX22-Paramétrage!$D$29*(365/12), U28)))</f>
        <v/>
      </c>
      <c r="AC28" s="2165" t="str">
        <f>IF(ISERROR(Q28), AW28, IF(Q28=0, IF(AND(M28=0, OR(N28&gt;0, O28&gt;0)), AX28, ""), IF(Q28&gt;'Calculs Péremption conso'!$CB22, IF(Q28&lt;'Saisie données stocks'!$N$14, CONCATENATE('TRAD-Calculs dispo Données FA'!$B$88, " - ", 'Calculs Péremption conso'!$BY22, "/", 'Calculs Péremption conso'!$BZ22, "/", 'Calculs Péremption conso'!$CA22), 'Calculs Péremption conso'!CC22), V28)))</f>
        <v/>
      </c>
      <c r="AD28" s="2051"/>
      <c r="AE28" s="2161" t="e">
        <f>((Calculs!M277)/Calculs!L332)</f>
        <v>#DIV/0!</v>
      </c>
      <c r="AF28" s="2161" t="e">
        <f t="shared" si="5"/>
        <v>#DIV/0!</v>
      </c>
      <c r="AG28" s="2173" t="e">
        <f>AE28-Paramétrage!D$29</f>
        <v>#DIV/0!</v>
      </c>
      <c r="AH28" s="2163" t="e">
        <f>IF(AE28&lt;Paramétrage!D$29, AE28, Paramétrage!D$29)</f>
        <v>#DIV/0!</v>
      </c>
      <c r="AI28" s="2164" t="e">
        <f>Paramétrage!H$19+AG28*(365/12)</f>
        <v>#DIV/0!</v>
      </c>
      <c r="AJ28" s="2165" t="e">
        <f>IF(AE28&lt;Paramétrage!D$29, Paramétrage!H$19+AH28*(365/12), Paramétrage!H$19+AE28*(365/12))</f>
        <v>#DIV/0!</v>
      </c>
      <c r="AK28" s="2051"/>
      <c r="AL28" s="2161" t="str">
        <f>IF(ISERROR(AE28),"", IF(AE28=0, "", IF(AE28&gt;'Calculs Péremption conso'!$CB22, 'Calculs Péremption conso'!$CB22, AE28)))</f>
        <v/>
      </c>
      <c r="AM28" s="2166" t="str">
        <f t="shared" si="6"/>
        <v/>
      </c>
      <c r="AN28" s="2162" t="str">
        <f>IF(ISERROR(AE28),"", IF(AE28=0, "", IF(AE28&gt;'Calculs Péremption conso'!$CB22, 'Calculs Péremption conso'!$CB22-Paramétrage!$D$29, AG28)))</f>
        <v/>
      </c>
      <c r="AO28" s="2167" t="str">
        <f>IF(ISERROR(AE28),"", IF(AE28=0, "", IF(AE28&gt;'Calculs Péremption conso'!$CB22, Paramétrage!$D$29, AH28)))</f>
        <v/>
      </c>
      <c r="AP28" s="2164" t="str">
        <f>IF(ISERROR(AE28),"", IF(AE28=0, "", IF(AE28&gt;'Calculs Péremption FA'!$CB22, 'Calculs Péremption FA'!$BX22-Paramétrage!$D$29*(365/12), AI28)))</f>
        <v/>
      </c>
      <c r="AQ28" s="2165" t="str">
        <f>IF(ISERROR(AE28),"", IF(AE28=0, "", IF(AE28&gt;'Calculs Péremption conso'!$CB22, CONCATENATE('TRAD-Calculs dispo Données FA'!$B$88, " - ", 'Calculs Péremption conso'!$BY22, "/", 'Calculs Péremption conso'!$BZ22, "/", 'Calculs Péremption conso'!$CA22), AJ28)))</f>
        <v/>
      </c>
      <c r="AR28" s="2051"/>
      <c r="AS28" s="2061">
        <f>Calculs!$M277</f>
        <v>0</v>
      </c>
      <c r="AT28" s="2062">
        <f>Calculs!$L332</f>
        <v>0</v>
      </c>
      <c r="AU28" s="2068">
        <f>Calculs!$N332</f>
        <v>0</v>
      </c>
      <c r="AV28" s="2070" t="str">
        <f>IF(AND(AU28=0, AS28=0, AT28=0), 'TRAD-Calculs dispo Données FA'!$B$82, "")</f>
        <v>Stock et besoin nul</v>
      </c>
      <c r="AW28" s="2062" t="str">
        <f>IF(AND(AU28=0, AS28&gt;0, AT28=0), CONCATENATE(AS28, 'TRAD-Calculs dispo Données FA'!$B$80," =0"), "")</f>
        <v/>
      </c>
      <c r="AX28" s="2063" t="str">
        <f>IF(AND(AS28=0, OR(AT28&gt;=1, AU28&gt;=1)), 'TRAD-Calculs dispo Données FA'!$B$81, "")</f>
        <v/>
      </c>
      <c r="AY28" s="2051"/>
      <c r="AZ28" s="2051"/>
      <c r="BA28" s="2051"/>
      <c r="BB28" s="2051"/>
      <c r="BC28" s="2051"/>
      <c r="BD28" s="2051"/>
      <c r="BE28" s="2051"/>
      <c r="BF28" s="2051"/>
      <c r="BG28" s="2051"/>
      <c r="BH28" s="2051"/>
      <c r="BI28" s="2051"/>
      <c r="BJ28" s="2051"/>
      <c r="BK28" s="2051"/>
      <c r="BL28" s="2051"/>
      <c r="BM28" s="2051"/>
      <c r="BN28" s="2051"/>
      <c r="BO28" s="2051"/>
      <c r="BP28" s="2051"/>
      <c r="BQ28" s="2051"/>
      <c r="BR28" s="2051"/>
      <c r="BS28" s="2051"/>
      <c r="BT28" s="2051"/>
    </row>
    <row r="29" spans="3:72" s="358" customFormat="1" ht="25.5" x14ac:dyDescent="0.2">
      <c r="C29" s="374"/>
      <c r="D29" s="375"/>
      <c r="E29" s="382" t="str">
        <f>'Saisie données stocks'!F35</f>
        <v>EFV</v>
      </c>
      <c r="F29" s="383" t="str">
        <f>'Saisie données stocks'!G35</f>
        <v>Gél</v>
      </c>
      <c r="G29" s="383" t="str">
        <f>'Saisie données stocks'!H35</f>
        <v>200 mg</v>
      </c>
      <c r="H29" s="379" t="str">
        <f>CONCATENATE(E29, " - ", G29, " - ", 'TRAD-Calculs dispo Données FA'!$B$79,"/", K29)</f>
        <v>EFV - 200 mg - B/90</v>
      </c>
      <c r="I29" s="386">
        <f>Calculs!K118</f>
        <v>0</v>
      </c>
      <c r="J29" s="386">
        <f t="shared" si="0"/>
        <v>0</v>
      </c>
      <c r="K29" s="115">
        <f>Calculs!J118</f>
        <v>90</v>
      </c>
      <c r="L29" s="387">
        <f t="shared" si="1"/>
        <v>0</v>
      </c>
      <c r="M29" s="1821">
        <f>IF('Saisie données stocks'!$O$10='TRAD-Saisie données stocks'!$B$51, 'Calculs Péremption conso'!BU23, Calculs!M278)</f>
        <v>2</v>
      </c>
      <c r="N29" s="1870">
        <f>Calculs!$L$333</f>
        <v>21</v>
      </c>
      <c r="O29" s="1870">
        <f>Calculs!$N$333</f>
        <v>0</v>
      </c>
      <c r="P29"/>
      <c r="Q29" s="2168">
        <f>IF(Calculs!N333&gt;0, (-(Calculs!N333+2*Calculs!L333)+SQRT((Calculs!N333+2*Calculs!L333)*(Calculs!N333+2*Calculs!L333)+8*Calculs!N333*(M29)))/(2*Calculs!N333), ((M29)/Calculs!L333))</f>
        <v>9.5238095238095233E-2</v>
      </c>
      <c r="R29" s="2168">
        <f t="shared" si="2"/>
        <v>9.5238095238095233E-2</v>
      </c>
      <c r="S29" s="2173">
        <f>Q29-Paramétrage!D$29</f>
        <v>-2.9047619047619047</v>
      </c>
      <c r="T29" s="2169">
        <f>IF(Q29&lt;Paramétrage!D$29, Q29, Paramétrage!D$29)</f>
        <v>9.5238095238095233E-2</v>
      </c>
      <c r="U29" s="2170">
        <f>Paramétrage!H$19+S29*(365/12)</f>
        <v>41830.646825396827</v>
      </c>
      <c r="V29" s="2171">
        <f>IF(Q29&lt;Paramétrage!D$29, Paramétrage!H$19+T29*(365/12), Paramétrage!H$19+Q29*(365/12))</f>
        <v>41921.896825396827</v>
      </c>
      <c r="W29" s="2051"/>
      <c r="X29" s="2168">
        <f>IF(ISERROR(Q29),"", IF(Q29=0, "", IF(Q29&gt;'Calculs Péremption conso'!$CB23, 'Calculs Péremption conso'!$CB23, Q29)))</f>
        <v>9.5238095238095233E-2</v>
      </c>
      <c r="Y29" s="2172">
        <f>IF(ISERROR(R29),"", IF(R29=0, "", IF(R29&gt;'Calculs Péremption conso'!$CB23, 'Calculs Péremption conso'!$CB23, R29)))</f>
        <v>9.5238095238095233E-2</v>
      </c>
      <c r="Z29" s="2173">
        <f>IF(ISERROR(Q29),"", IF(Q29=0, "", IF(Q29&gt;'Calculs Péremption conso'!$CB23, 'Calculs Péremption conso'!$CB23-Paramétrage!$D$29, S29)))</f>
        <v>-2.9047619047619047</v>
      </c>
      <c r="AA29" s="2174">
        <f>IF(ISERROR(Q29),"", IF(Q29=0, "", IF(Q29&gt;'Calculs Péremption conso'!$CB23, Paramétrage!$D$29, T29)))</f>
        <v>9.5238095238095233E-2</v>
      </c>
      <c r="AB29" s="2170">
        <f>IF(ISERROR(Q29),"", IF(Q29=0, "", IF(Q29&gt;'Calculs Péremption conso'!$CB23, 'Calculs Péremption conso'!$BX23-Paramétrage!$D$29*(365/12), U29)))</f>
        <v>41830.646825396827</v>
      </c>
      <c r="AC29" s="2171">
        <f>IF(ISERROR(Q29), AW29, IF(Q29=0, IF(AND(M29=0, OR(N29&gt;0, O29&gt;0)), AX29, ""), IF(Q29&gt;'Calculs Péremption conso'!$CB23, IF(Q29&lt;'Saisie données stocks'!$N$14, CONCATENATE('TRAD-Calculs dispo Données FA'!$B$88, " - ", 'Calculs Péremption conso'!$BY23, "/", 'Calculs Péremption conso'!$BZ23, "/", 'Calculs Péremption conso'!$CA23), 'Calculs Péremption conso'!CC23), V29)))</f>
        <v>41921.896825396827</v>
      </c>
      <c r="AD29" s="2051"/>
      <c r="AE29" s="2168">
        <f>((Calculs!M278)/Calculs!L333)</f>
        <v>9.5238095238095233E-2</v>
      </c>
      <c r="AF29" s="2168">
        <f t="shared" si="5"/>
        <v>0</v>
      </c>
      <c r="AG29" s="2173">
        <f>AE29-Paramétrage!D$29</f>
        <v>-2.9047619047619047</v>
      </c>
      <c r="AH29" s="2169">
        <f>IF(AE29&lt;Paramétrage!D$29, AE29, Paramétrage!D$29)</f>
        <v>9.5238095238095233E-2</v>
      </c>
      <c r="AI29" s="2170">
        <f>Paramétrage!H$19+AG29*(365/12)</f>
        <v>41830.646825396827</v>
      </c>
      <c r="AJ29" s="2171">
        <f>IF(AE29&lt;Paramétrage!D$29, Paramétrage!H$19+AH29*(365/12), Paramétrage!H$19+AE29*(365/12))</f>
        <v>41921.896825396827</v>
      </c>
      <c r="AK29" s="2051"/>
      <c r="AL29" s="2168">
        <f>IF(ISERROR(AE29),"", IF(AE29=0, "", IF(AE29&gt;'Calculs Péremption conso'!$CB23, 'Calculs Péremption conso'!$CB23, AE29)))</f>
        <v>9.5238095238095233E-2</v>
      </c>
      <c r="AM29" s="2172" t="str">
        <f t="shared" si="6"/>
        <v/>
      </c>
      <c r="AN29" s="2173">
        <f>IF(ISERROR(AE29),"", IF(AE29=0, "", IF(AE29&gt;'Calculs Péremption conso'!$CB23, 'Calculs Péremption conso'!$CB23-Paramétrage!$D$29, AG29)))</f>
        <v>-2.9047619047619047</v>
      </c>
      <c r="AO29" s="2174">
        <f>IF(ISERROR(AE29),"", IF(AE29=0, "", IF(AE29&gt;'Calculs Péremption conso'!$CB23, Paramétrage!$D$29, AH29)))</f>
        <v>9.5238095238095233E-2</v>
      </c>
      <c r="AP29" s="2170">
        <f>IF(ISERROR(AE29),"", IF(AE29=0, "", IF(AE29&gt;'Calculs Péremption FA'!$CB23, 'Calculs Péremption FA'!$BX23-Paramétrage!$D$29*(365/12), AI29)))</f>
        <v>41830.646825396827</v>
      </c>
      <c r="AQ29" s="2171">
        <f>IF(ISERROR(AE29),"", IF(AE29=0, "", IF(AE29&gt;'Calculs Péremption conso'!$CB23, CONCATENATE('TRAD-Calculs dispo Données FA'!$B$88, " - ", 'Calculs Péremption conso'!$BY23, "/", 'Calculs Péremption conso'!$BZ23, "/", 'Calculs Péremption conso'!$CA23), AJ29)))</f>
        <v>41921.896825396827</v>
      </c>
      <c r="AR29" s="2051"/>
      <c r="AS29" s="2061">
        <f>Calculs!$M278</f>
        <v>2</v>
      </c>
      <c r="AT29" s="2062">
        <f>Calculs!$L333</f>
        <v>21</v>
      </c>
      <c r="AU29" s="2068">
        <f>Calculs!$N333</f>
        <v>0</v>
      </c>
      <c r="AV29" s="2070" t="str">
        <f>IF(AND(AU29=0, AS29=0, AT29=0), 'TRAD-Calculs dispo Données FA'!$B$82, "")</f>
        <v/>
      </c>
      <c r="AW29" s="2062" t="str">
        <f>IF(AND(AU29=0, AS29&gt;0, AT29=0), CONCATENATE(AS29, 'TRAD-Calculs dispo Données FA'!$B$80," =0"), "")</f>
        <v/>
      </c>
      <c r="AX29" s="2063" t="str">
        <f>IF(AND(AS29=0, OR(AT29&gt;=1, AU29&gt;=1)), 'TRAD-Calculs dispo Données FA'!$B$81, "")</f>
        <v/>
      </c>
      <c r="AY29" s="2051"/>
      <c r="AZ29" s="2051"/>
      <c r="BA29" s="2051"/>
      <c r="BB29" s="2051"/>
      <c r="BC29" s="2051"/>
      <c r="BD29" s="2051"/>
      <c r="BE29" s="2051"/>
      <c r="BF29" s="2051"/>
      <c r="BG29" s="2051"/>
      <c r="BH29" s="2051"/>
      <c r="BI29" s="2051"/>
      <c r="BJ29" s="2051"/>
      <c r="BK29" s="2051"/>
      <c r="BL29" s="2051"/>
      <c r="BM29" s="2051"/>
      <c r="BN29" s="2051"/>
      <c r="BO29" s="2051"/>
      <c r="BP29" s="2051"/>
      <c r="BQ29" s="2051"/>
      <c r="BR29" s="2051"/>
      <c r="BS29" s="2051"/>
      <c r="BT29" s="2051"/>
    </row>
    <row r="30" spans="3:72" s="358" customFormat="1" ht="25.5" x14ac:dyDescent="0.2">
      <c r="C30" s="374"/>
      <c r="D30" s="375"/>
      <c r="E30" s="396" t="str">
        <f>'Saisie données stocks'!F36</f>
        <v>EFV</v>
      </c>
      <c r="F30" s="397" t="str">
        <f>'Saisie données stocks'!G36</f>
        <v>Cp</v>
      </c>
      <c r="G30" s="397" t="str">
        <f>'Saisie données stocks'!H36</f>
        <v>600 mg</v>
      </c>
      <c r="H30" s="379" t="str">
        <f>CONCATENATE(E30, " - ", G30, " - ", 'TRAD-Calculs dispo Données FA'!$B$79,"/", K30)</f>
        <v>EFV - 600 mg - B/30</v>
      </c>
      <c r="I30" s="399">
        <f>Calculs!K119</f>
        <v>1</v>
      </c>
      <c r="J30" s="399">
        <f t="shared" si="0"/>
        <v>30</v>
      </c>
      <c r="K30" s="117">
        <f>Calculs!J119</f>
        <v>30</v>
      </c>
      <c r="L30" s="400">
        <f t="shared" si="1"/>
        <v>1</v>
      </c>
      <c r="M30" s="1823">
        <f>IF('Saisie données stocks'!$O$10='TRAD-Saisie données stocks'!$B$51, 'Calculs Péremption conso'!BU24, Calculs!M279)</f>
        <v>9356</v>
      </c>
      <c r="N30" s="1871">
        <f>Calculs!$L$334</f>
        <v>1485</v>
      </c>
      <c r="O30" s="1871">
        <f>Calculs!$N$334</f>
        <v>0</v>
      </c>
      <c r="P30"/>
      <c r="Q30" s="2184">
        <f>IF(Calculs!N334&gt;0, (-(Calculs!N334+2*Calculs!L334)+SQRT((Calculs!N334+2*Calculs!L334)*(Calculs!N334+2*Calculs!L334)+8*Calculs!N334*(M30)))/(2*Calculs!N334), ((M30)/Calculs!L334))</f>
        <v>6.3003367003367003</v>
      </c>
      <c r="R30" s="2184">
        <f t="shared" si="2"/>
        <v>6.3003367003367003</v>
      </c>
      <c r="S30" s="2173">
        <f>Q30-Paramétrage!D$29</f>
        <v>3.3003367003367003</v>
      </c>
      <c r="T30" s="2185">
        <f>IF(Q30&lt;Paramétrage!D$29, Q30, Paramétrage!D$29)</f>
        <v>3</v>
      </c>
      <c r="U30" s="2186">
        <f>Paramétrage!H$19+S30*(365/12)</f>
        <v>42019.385241301905</v>
      </c>
      <c r="V30" s="2187">
        <f>IF(Q30&lt;Paramétrage!D$29, Paramétrage!H$19+T30*(365/12), Paramétrage!H$19+Q30*(365/12))</f>
        <v>42110.635241301905</v>
      </c>
      <c r="W30" s="2051"/>
      <c r="X30" s="2184">
        <f>IF(ISERROR(Q30),"", IF(Q30=0, "", IF(Q30&gt;'Calculs Péremption conso'!$CB24, 'Calculs Péremption conso'!$CB24, Q30)))</f>
        <v>6.3003367003367003</v>
      </c>
      <c r="Y30" s="2188">
        <f>IF(ISERROR(R30),"", IF(R30=0, "", IF(R30&gt;'Calculs Péremption conso'!$CB24, 'Calculs Péremption conso'!$CB24, R30)))</f>
        <v>6.3003367003367003</v>
      </c>
      <c r="Z30" s="2176">
        <f>IF(ISERROR(Q30),"", IF(Q30=0, "", IF(Q30&gt;'Calculs Péremption conso'!$CB24, 'Calculs Péremption conso'!$CB24-Paramétrage!$D$29, S30)))</f>
        <v>3.3003367003367003</v>
      </c>
      <c r="AA30" s="2189">
        <f>IF(ISERROR(Q30),"", IF(Q30=0, "", IF(Q30&gt;'Calculs Péremption conso'!$CB24, Paramétrage!$D$29, T30)))</f>
        <v>3</v>
      </c>
      <c r="AB30" s="2186">
        <f>IF(ISERROR(Q30),"", IF(Q30=0, "", IF(Q30&gt;'Calculs Péremption conso'!$CB24, 'Calculs Péremption conso'!$BX24-Paramétrage!$D$29*(365/12), U30)))</f>
        <v>42019.385241301905</v>
      </c>
      <c r="AC30" s="2187">
        <f>IF(ISERROR(Q30), AW30, IF(Q30=0, IF(AND(M30=0, OR(N30&gt;0, O30&gt;0)), AX30, ""), IF(Q30&gt;'Calculs Péremption conso'!$CB24, IF(Q30&lt;'Saisie données stocks'!$N$14, CONCATENATE('TRAD-Calculs dispo Données FA'!$B$88, " - ", 'Calculs Péremption conso'!$BY24, "/", 'Calculs Péremption conso'!$BZ24, "/", 'Calculs Péremption conso'!$CA24), 'Calculs Péremption conso'!CC24), V30)))</f>
        <v>42110.635241301905</v>
      </c>
      <c r="AD30" s="2051"/>
      <c r="AE30" s="2184">
        <f>((Calculs!M279)/Calculs!L334)</f>
        <v>6.3003367003367003</v>
      </c>
      <c r="AF30" s="2184">
        <f t="shared" si="5"/>
        <v>0</v>
      </c>
      <c r="AG30" s="2173">
        <f>AE30-Paramétrage!D$29</f>
        <v>3.3003367003367003</v>
      </c>
      <c r="AH30" s="2185">
        <f>IF(AE30&lt;Paramétrage!D$29, AE30, Paramétrage!D$29)</f>
        <v>3</v>
      </c>
      <c r="AI30" s="2186">
        <f>Paramétrage!H$19+AG30*(365/12)</f>
        <v>42019.385241301905</v>
      </c>
      <c r="AJ30" s="2187">
        <f>IF(AE30&lt;Paramétrage!D$29, Paramétrage!H$19+AH30*(365/12), Paramétrage!H$19+AE30*(365/12))</f>
        <v>42110.635241301905</v>
      </c>
      <c r="AK30" s="2051"/>
      <c r="AL30" s="2184">
        <f>IF(ISERROR(AE30),"", IF(AE30=0, "", IF(AE30&gt;'Calculs Péremption conso'!$CB24, 'Calculs Péremption conso'!$CB24, AE30)))</f>
        <v>6.3003367003367003</v>
      </c>
      <c r="AM30" s="2188" t="str">
        <f t="shared" si="6"/>
        <v/>
      </c>
      <c r="AN30" s="2176">
        <f>IF(ISERROR(AE30),"", IF(AE30=0, "", IF(AE30&gt;'Calculs Péremption conso'!$CB24, 'Calculs Péremption conso'!$CB24-Paramétrage!$D$29, AG30)))</f>
        <v>3.3003367003367003</v>
      </c>
      <c r="AO30" s="2189">
        <f>IF(ISERROR(AE30),"", IF(AE30=0, "", IF(AE30&gt;'Calculs Péremption conso'!$CB24, Paramétrage!$D$29, AH30)))</f>
        <v>3</v>
      </c>
      <c r="AP30" s="2186">
        <f>IF(ISERROR(AE30),"", IF(AE30=0, "", IF(AE30&gt;'Calculs Péremption FA'!$CB24, 'Calculs Péremption FA'!$BX24-Paramétrage!$D$29*(365/12), AI30)))</f>
        <v>42019.385241301905</v>
      </c>
      <c r="AQ30" s="2187">
        <f>IF(ISERROR(AE30),"", IF(AE30=0, "", IF(AE30&gt;'Calculs Péremption conso'!$CB24, CONCATENATE('TRAD-Calculs dispo Données FA'!$B$88, " - ", 'Calculs Péremption conso'!$BY24, "/", 'Calculs Péremption conso'!$BZ24, "/", 'Calculs Péremption conso'!$CA24), AJ30)))</f>
        <v>42110.635241301905</v>
      </c>
      <c r="AR30" s="2051"/>
      <c r="AS30" s="2061">
        <f>Calculs!$M279</f>
        <v>9356</v>
      </c>
      <c r="AT30" s="2062">
        <f>Calculs!$L334</f>
        <v>1485</v>
      </c>
      <c r="AU30" s="2068">
        <f>Calculs!$N334</f>
        <v>0</v>
      </c>
      <c r="AV30" s="2070" t="str">
        <f>IF(AND(AU30=0, AS30=0, AT30=0), 'TRAD-Calculs dispo Données FA'!$B$82, "")</f>
        <v/>
      </c>
      <c r="AW30" s="2062" t="str">
        <f>IF(AND(AU30=0, AS30&gt;0, AT30=0), CONCATENATE(AS30, 'TRAD-Calculs dispo Données FA'!$B$80," =0"), "")</f>
        <v/>
      </c>
      <c r="AX30" s="2063" t="str">
        <f>IF(AND(AS30=0, OR(AT30&gt;=1, AU30&gt;=1)), 'TRAD-Calculs dispo Données FA'!$B$81, "")</f>
        <v/>
      </c>
      <c r="AY30" s="2051"/>
      <c r="AZ30" s="2051"/>
      <c r="BA30" s="2051"/>
      <c r="BB30" s="2051"/>
      <c r="BC30" s="2051"/>
      <c r="BD30" s="2051"/>
      <c r="BE30" s="2051"/>
      <c r="BF30" s="2051"/>
      <c r="BG30" s="2051"/>
      <c r="BH30" s="2051"/>
      <c r="BI30" s="2051"/>
      <c r="BJ30" s="2051"/>
      <c r="BK30" s="2051"/>
      <c r="BL30" s="2051"/>
      <c r="BM30" s="2051"/>
      <c r="BN30" s="2051"/>
      <c r="BO30" s="2051"/>
      <c r="BP30" s="2051"/>
      <c r="BQ30" s="2051"/>
      <c r="BR30" s="2051"/>
      <c r="BS30" s="2051"/>
      <c r="BT30" s="2051"/>
    </row>
    <row r="31" spans="3:72" s="358" customFormat="1" ht="25.5" x14ac:dyDescent="0.2">
      <c r="C31" s="374"/>
      <c r="D31" s="375"/>
      <c r="E31" s="1722" t="str">
        <f>'Saisie données stocks'!F37</f>
        <v>ETV</v>
      </c>
      <c r="F31" s="1723" t="str">
        <f>'Saisie données stocks'!G37</f>
        <v>Cp</v>
      </c>
      <c r="G31" s="1723" t="str">
        <f>'Saisie données stocks'!H37</f>
        <v>200 mg</v>
      </c>
      <c r="H31" s="533" t="str">
        <f>CONCATENATE(E31, " - ", G31, " - ", 'TRAD-Calculs dispo Données FA'!$B$79,"/", K31)</f>
        <v>ETV - 200 mg - B/60</v>
      </c>
      <c r="I31" s="1724">
        <f>Calculs!K120</f>
        <v>2</v>
      </c>
      <c r="J31" s="1724">
        <f t="shared" si="0"/>
        <v>60</v>
      </c>
      <c r="K31" s="1725">
        <f>Calculs!J120</f>
        <v>60</v>
      </c>
      <c r="L31" s="1726">
        <f t="shared" si="1"/>
        <v>1</v>
      </c>
      <c r="M31" s="1824">
        <f>IF('Saisie données stocks'!$O$10='TRAD-Saisie données stocks'!$B$51, 'Calculs Péremption conso'!BU25, Calculs!M280)</f>
        <v>0</v>
      </c>
      <c r="N31" s="1871">
        <f>Calculs!$L$335</f>
        <v>0</v>
      </c>
      <c r="O31" s="1871">
        <f>Calculs!$N$335</f>
        <v>0</v>
      </c>
      <c r="P31"/>
      <c r="Q31" s="2190" t="e">
        <f>IF(Calculs!N335&gt;0, (-(Calculs!N335+2*Calculs!L335)+SQRT((Calculs!N335+2*Calculs!L335)*(Calculs!N335+2*Calculs!L335)+8*Calculs!N335*(M31)))/(2*Calculs!N335), ((M31)/Calculs!L335))</f>
        <v>#DIV/0!</v>
      </c>
      <c r="R31" s="2190" t="e">
        <f t="shared" si="2"/>
        <v>#DIV/0!</v>
      </c>
      <c r="S31" s="2191" t="e">
        <f>Q31-Paramétrage!D$29</f>
        <v>#DIV/0!</v>
      </c>
      <c r="T31" s="2192" t="e">
        <f>IF(Q31&lt;Paramétrage!D$29, Q31, Paramétrage!D$29)</f>
        <v>#DIV/0!</v>
      </c>
      <c r="U31" s="2193" t="e">
        <f>Paramétrage!H$19+S31*(365/12)</f>
        <v>#DIV/0!</v>
      </c>
      <c r="V31" s="2194" t="e">
        <f>IF(Q31&lt;Paramétrage!D$29, Paramétrage!H$19+T31*(365/12), Paramétrage!H$19+Q31*(365/12))</f>
        <v>#DIV/0!</v>
      </c>
      <c r="W31" s="2051"/>
      <c r="X31" s="2190" t="str">
        <f>IF(ISERROR(Q31),"", IF(Q31=0, "", IF(Q31&gt;'Calculs Péremption conso'!$CB25, 'Calculs Péremption conso'!$CB25, Q31)))</f>
        <v/>
      </c>
      <c r="Y31" s="2195" t="str">
        <f>IF(ISERROR(R31),"", IF(R31=0, "", IF(R31&gt;'Calculs Péremption conso'!$CB25, 'Calculs Péremption conso'!$CB25, R31)))</f>
        <v/>
      </c>
      <c r="Z31" s="2191" t="str">
        <f>IF(ISERROR(Q31),"", IF(Q31=0, "", IF(Q31&gt;'Calculs Péremption conso'!$CB25, 'Calculs Péremption conso'!$CB25-Paramétrage!$D$29, S31)))</f>
        <v/>
      </c>
      <c r="AA31" s="2196" t="str">
        <f>IF(ISERROR(Q31),"", IF(Q31=0, "", IF(Q31&gt;'Calculs Péremption conso'!$CB25, Paramétrage!$D$29, T31)))</f>
        <v/>
      </c>
      <c r="AB31" s="2193" t="str">
        <f>IF(ISERROR(Q31),"", IF(Q31=0, "", IF(Q31&gt;'Calculs Péremption conso'!$CB25, 'Calculs Péremption conso'!$BX25-Paramétrage!$D$29*(365/12), U31)))</f>
        <v/>
      </c>
      <c r="AC31" s="2194" t="str">
        <f>IF(ISERROR(Q31), AW31, IF(Q31=0, IF(AND(M31=0, OR(N31&gt;0, O31&gt;0)), AX31, ""), IF(Q31&gt;'Calculs Péremption conso'!$CB25, IF(Q31&lt;'Saisie données stocks'!$N$14, CONCATENATE('TRAD-Calculs dispo Données FA'!$B$88, " - ", 'Calculs Péremption conso'!$BY25, "/", 'Calculs Péremption conso'!$BZ25, "/", 'Calculs Péremption conso'!$CA25), 'Calculs Péremption conso'!CC25), V31)))</f>
        <v/>
      </c>
      <c r="AD31" s="2051"/>
      <c r="AE31" s="2190" t="e">
        <f>((Calculs!M280)/Calculs!L335)</f>
        <v>#DIV/0!</v>
      </c>
      <c r="AF31" s="2190" t="e">
        <f t="shared" si="5"/>
        <v>#DIV/0!</v>
      </c>
      <c r="AG31" s="2197" t="e">
        <f>AE31-Paramétrage!D$29</f>
        <v>#DIV/0!</v>
      </c>
      <c r="AH31" s="2192" t="e">
        <f>IF(AE31&lt;Paramétrage!D$29, AE31, Paramétrage!D$29)</f>
        <v>#DIV/0!</v>
      </c>
      <c r="AI31" s="2193" t="e">
        <f>Paramétrage!H$19+AG31*(365/12)</f>
        <v>#DIV/0!</v>
      </c>
      <c r="AJ31" s="2194" t="e">
        <f>IF(AE31&lt;Paramétrage!D$29, Paramétrage!H$19+AH31*(365/12), Paramétrage!H$19+AE31*(365/12))</f>
        <v>#DIV/0!</v>
      </c>
      <c r="AK31" s="2051"/>
      <c r="AL31" s="2190" t="str">
        <f>IF(ISERROR(AE31),"", IF(AE31=0, "", IF(AE31&gt;'Calculs Péremption conso'!$CB25, 'Calculs Péremption conso'!$CB25, AE31)))</f>
        <v/>
      </c>
      <c r="AM31" s="2195" t="str">
        <f t="shared" si="6"/>
        <v/>
      </c>
      <c r="AN31" s="2191" t="str">
        <f>IF(ISERROR(AE31),"", IF(AE31=0, "", IF(AE31&gt;'Calculs Péremption conso'!$CB25, 'Calculs Péremption conso'!$CB25-Paramétrage!$D$29, AG31)))</f>
        <v/>
      </c>
      <c r="AO31" s="2196" t="str">
        <f>IF(ISERROR(AE31),"", IF(AE31=0, "", IF(AE31&gt;'Calculs Péremption conso'!$CB25, Paramétrage!$D$29, AH31)))</f>
        <v/>
      </c>
      <c r="AP31" s="2193" t="str">
        <f>IF(ISERROR(AE31),"", IF(AE31=0, "", IF(AE31&gt;'Calculs Péremption FA'!$CB25, 'Calculs Péremption FA'!$BX25-Paramétrage!$D$29*(365/12), AI31)))</f>
        <v/>
      </c>
      <c r="AQ31" s="2194" t="str">
        <f>IF(ISERROR(AE31),"", IF(AE31=0, "", IF(AE31&gt;'Calculs Péremption conso'!$CB25, CONCATENATE('TRAD-Calculs dispo Données FA'!$B$88, " - ", 'Calculs Péremption conso'!$BY25, "/", 'Calculs Péremption conso'!$BZ25, "/", 'Calculs Péremption conso'!$CA25), AJ31)))</f>
        <v/>
      </c>
      <c r="AR31" s="2051"/>
      <c r="AS31" s="2061">
        <f>Calculs!$M280</f>
        <v>0</v>
      </c>
      <c r="AT31" s="2062">
        <f>Calculs!$L335</f>
        <v>0</v>
      </c>
      <c r="AU31" s="2068">
        <f>Calculs!$N335</f>
        <v>0</v>
      </c>
      <c r="AV31" s="2070" t="str">
        <f>IF(AND(AU31=0, AS31=0, AT31=0), 'TRAD-Calculs dispo Données FA'!$B$82, "")</f>
        <v>Stock et besoin nul</v>
      </c>
      <c r="AW31" s="2062" t="str">
        <f>IF(AND(AU31=0, AS31&gt;0, AT31=0), CONCATENATE(AS31, 'TRAD-Calculs dispo Données FA'!$B$80," =0"), "")</f>
        <v/>
      </c>
      <c r="AX31" s="2063" t="str">
        <f>IF(AND(AS31=0, OR(AT31&gt;=1, AU31&gt;=1)), 'TRAD-Calculs dispo Données FA'!$B$81, "")</f>
        <v/>
      </c>
      <c r="AY31" s="2051"/>
      <c r="AZ31" s="2051"/>
      <c r="BA31" s="2051"/>
      <c r="BB31" s="2051"/>
      <c r="BC31" s="2051"/>
      <c r="BD31" s="2051"/>
      <c r="BE31" s="2051"/>
      <c r="BF31" s="2051"/>
      <c r="BG31" s="2051"/>
      <c r="BH31" s="2051"/>
      <c r="BI31" s="2051"/>
      <c r="BJ31" s="2051"/>
      <c r="BK31" s="2051"/>
      <c r="BL31" s="2051"/>
      <c r="BM31" s="2051"/>
      <c r="BN31" s="2051"/>
      <c r="BO31" s="2051"/>
      <c r="BP31" s="2051"/>
      <c r="BQ31" s="2051"/>
      <c r="BR31" s="2051"/>
      <c r="BS31" s="2051"/>
      <c r="BT31" s="2051"/>
    </row>
    <row r="32" spans="3:72" s="358" customFormat="1" ht="25.5" x14ac:dyDescent="0.2">
      <c r="C32" s="374"/>
      <c r="D32" s="375"/>
      <c r="E32" s="382" t="str">
        <f>'Saisie données stocks'!F38</f>
        <v>NVP</v>
      </c>
      <c r="F32" s="383" t="str">
        <f>'Saisie données stocks'!G38</f>
        <v>Cp</v>
      </c>
      <c r="G32" s="383" t="str">
        <f>'Saisie données stocks'!H38</f>
        <v>200 mg</v>
      </c>
      <c r="H32" s="385" t="str">
        <f>CONCATENATE(E32, " - ", G32, " - ", 'TRAD-Calculs dispo Données FA'!$B$79,"/", K32)</f>
        <v>NVP - 200 mg - B/60</v>
      </c>
      <c r="I32" s="386">
        <f>Calculs!K121</f>
        <v>2</v>
      </c>
      <c r="J32" s="386">
        <f t="shared" si="0"/>
        <v>60</v>
      </c>
      <c r="K32" s="115">
        <f>Calculs!J121</f>
        <v>60</v>
      </c>
      <c r="L32" s="387">
        <f t="shared" si="1"/>
        <v>1</v>
      </c>
      <c r="M32" s="1821">
        <f>IF('Saisie données stocks'!$O$10='TRAD-Saisie données stocks'!$B$51, 'Calculs Péremption conso'!BU26, Calculs!M281)</f>
        <v>0</v>
      </c>
      <c r="N32" s="1870">
        <f>Calculs!$L$336</f>
        <v>0</v>
      </c>
      <c r="O32" s="1870">
        <f>Calculs!$N$336</f>
        <v>0</v>
      </c>
      <c r="P32"/>
      <c r="Q32" s="2168" t="e">
        <f>IF(Calculs!N336&gt;0, (-(Calculs!N336+2*Calculs!L336)+SQRT((Calculs!N336+2*Calculs!L336)*(Calculs!N336+2*Calculs!L336)+8*Calculs!N336*(M32)))/(2*Calculs!N336), ((M32)/Calculs!L336))</f>
        <v>#DIV/0!</v>
      </c>
      <c r="R32" s="2168" t="e">
        <f t="shared" si="2"/>
        <v>#DIV/0!</v>
      </c>
      <c r="S32" s="2173" t="e">
        <f>Q32-Paramétrage!D$29</f>
        <v>#DIV/0!</v>
      </c>
      <c r="T32" s="2169" t="e">
        <f>IF(Q32&lt;Paramétrage!D$29, Q32, Paramétrage!D$29)</f>
        <v>#DIV/0!</v>
      </c>
      <c r="U32" s="2170" t="e">
        <f>Paramétrage!H$19+S32*(365/12)</f>
        <v>#DIV/0!</v>
      </c>
      <c r="V32" s="2171" t="e">
        <f>IF(Q32&lt;Paramétrage!D$29, Paramétrage!H$19+T32*(365/12), Paramétrage!H$19+Q32*(365/12))</f>
        <v>#DIV/0!</v>
      </c>
      <c r="W32" s="2051"/>
      <c r="X32" s="2168" t="str">
        <f>IF(ISERROR(Q32),"", IF(Q32=0, "", IF(Q32&gt;'Calculs Péremption conso'!$CB26, 'Calculs Péremption conso'!$CB26, Q32)))</f>
        <v/>
      </c>
      <c r="Y32" s="2172" t="str">
        <f>IF(ISERROR(R32),"", IF(R32=0, "", IF(R32&gt;'Calculs Péremption conso'!$CB26, 'Calculs Péremption conso'!$CB26, R32)))</f>
        <v/>
      </c>
      <c r="Z32" s="2173" t="str">
        <f>IF(ISERROR(Q32),"", IF(Q32=0, "", IF(Q32&gt;'Calculs Péremption conso'!$CB26, 'Calculs Péremption conso'!$CB26-Paramétrage!$D$29, S32)))</f>
        <v/>
      </c>
      <c r="AA32" s="2174" t="str">
        <f>IF(ISERROR(Q32),"", IF(Q32=0, "", IF(Q32&gt;'Calculs Péremption conso'!$CB26, Paramétrage!$D$29, T32)))</f>
        <v/>
      </c>
      <c r="AB32" s="2170" t="str">
        <f>IF(ISERROR(Q32),"", IF(Q32=0, "", IF(Q32&gt;'Calculs Péremption conso'!$CB26, 'Calculs Péremption conso'!$BX26-Paramétrage!$D$29*(365/12), U32)))</f>
        <v/>
      </c>
      <c r="AC32" s="2171" t="str">
        <f>IF(ISERROR(Q32), AW32, IF(Q32=0, IF(AND(M32=0, OR(N32&gt;0, O32&gt;0)), AX32, ""), IF(Q32&gt;'Calculs Péremption conso'!$CB26, IF(Q32&lt;'Saisie données stocks'!$N$14, CONCATENATE('TRAD-Calculs dispo Données FA'!$B$88, " - ", 'Calculs Péremption conso'!$BY26, "/", 'Calculs Péremption conso'!$BZ26, "/", 'Calculs Péremption conso'!$CA26), 'Calculs Péremption conso'!CC26), V32)))</f>
        <v/>
      </c>
      <c r="AD32" s="2051"/>
      <c r="AE32" s="2168" t="e">
        <f>((Calculs!M281)/Calculs!L336)</f>
        <v>#DIV/0!</v>
      </c>
      <c r="AF32" s="2168" t="e">
        <f t="shared" si="5"/>
        <v>#DIV/0!</v>
      </c>
      <c r="AG32" s="2173" t="e">
        <f>AE32-Paramétrage!D$29</f>
        <v>#DIV/0!</v>
      </c>
      <c r="AH32" s="2169" t="e">
        <f>IF(AE32&lt;Paramétrage!D$29, AE32, Paramétrage!D$29)</f>
        <v>#DIV/0!</v>
      </c>
      <c r="AI32" s="2170" t="e">
        <f>Paramétrage!H$19+AG32*(365/12)</f>
        <v>#DIV/0!</v>
      </c>
      <c r="AJ32" s="2171" t="e">
        <f>IF(AE32&lt;Paramétrage!D$29, Paramétrage!H$19+AH32*(365/12), Paramétrage!H$19+AE32*(365/12))</f>
        <v>#DIV/0!</v>
      </c>
      <c r="AK32" s="2051"/>
      <c r="AL32" s="2168" t="str">
        <f>IF(ISERROR(AE32),"", IF(AE32=0, "", IF(AE32&gt;'Calculs Péremption conso'!$CB26, 'Calculs Péremption conso'!$CB26, AE32)))</f>
        <v/>
      </c>
      <c r="AM32" s="2172" t="str">
        <f t="shared" si="6"/>
        <v/>
      </c>
      <c r="AN32" s="2173" t="str">
        <f>IF(ISERROR(AE32),"", IF(AE32=0, "", IF(AE32&gt;'Calculs Péremption conso'!$CB26, 'Calculs Péremption conso'!$CB26-Paramétrage!$D$29, AG32)))</f>
        <v/>
      </c>
      <c r="AO32" s="2174" t="str">
        <f>IF(ISERROR(AE32),"", IF(AE32=0, "", IF(AE32&gt;'Calculs Péremption conso'!$CB26, Paramétrage!$D$29, AH32)))</f>
        <v/>
      </c>
      <c r="AP32" s="2170" t="str">
        <f>IF(ISERROR(AE32),"", IF(AE32=0, "", IF(AE32&gt;'Calculs Péremption FA'!$CB26, 'Calculs Péremption FA'!$BX26-Paramétrage!$D$29*(365/12), AI32)))</f>
        <v/>
      </c>
      <c r="AQ32" s="2171" t="str">
        <f>IF(ISERROR(AE32),"", IF(AE32=0, "", IF(AE32&gt;'Calculs Péremption conso'!$CB26, CONCATENATE('TRAD-Calculs dispo Données FA'!$B$88, " - ", 'Calculs Péremption conso'!$BY26, "/", 'Calculs Péremption conso'!$BZ26, "/", 'Calculs Péremption conso'!$CA26), AJ32)))</f>
        <v/>
      </c>
      <c r="AR32" s="2051"/>
      <c r="AS32" s="2061">
        <f>Calculs!$M281</f>
        <v>0</v>
      </c>
      <c r="AT32" s="2062">
        <f>Calculs!$L336</f>
        <v>0</v>
      </c>
      <c r="AU32" s="2068">
        <f>Calculs!$N336</f>
        <v>0</v>
      </c>
      <c r="AV32" s="2070" t="str">
        <f>IF(AND(AU32=0, AS32=0, AT32=0), 'TRAD-Calculs dispo Données FA'!$B$82, "")</f>
        <v>Stock et besoin nul</v>
      </c>
      <c r="AW32" s="2062" t="str">
        <f>IF(AND(AU32=0, AS32&gt;0, AT32=0), CONCATENATE(AS32, 'TRAD-Calculs dispo Données FA'!$B$80," =0"), "")</f>
        <v/>
      </c>
      <c r="AX32" s="2063" t="str">
        <f>IF(AND(AS32=0, OR(AT32&gt;=1, AU32&gt;=1)), 'TRAD-Calculs dispo Données FA'!$B$81, "")</f>
        <v/>
      </c>
      <c r="AY32" s="2051"/>
      <c r="AZ32" s="2051"/>
      <c r="BA32" s="2051"/>
      <c r="BB32" s="2051"/>
      <c r="BC32" s="2051"/>
      <c r="BD32" s="2051"/>
      <c r="BE32" s="2051"/>
      <c r="BF32" s="2051"/>
      <c r="BG32" s="2051"/>
      <c r="BH32" s="2051"/>
      <c r="BI32" s="2051"/>
      <c r="BJ32" s="2051"/>
      <c r="BK32" s="2051"/>
      <c r="BL32" s="2051"/>
      <c r="BM32" s="2051"/>
      <c r="BN32" s="2051"/>
      <c r="BO32" s="2051"/>
      <c r="BP32" s="2051"/>
      <c r="BQ32" s="2051"/>
      <c r="BR32" s="2051"/>
      <c r="BS32" s="2051"/>
      <c r="BT32" s="2051"/>
    </row>
    <row r="33" spans="3:72" s="358" customFormat="1" ht="25.5" x14ac:dyDescent="0.2">
      <c r="C33" s="388"/>
      <c r="D33" s="389"/>
      <c r="E33" s="390" t="str">
        <f>'Saisie données stocks'!F39</f>
        <v>RPV</v>
      </c>
      <c r="F33" s="391" t="str">
        <f>'Saisie données stocks'!G39</f>
        <v>Cp</v>
      </c>
      <c r="G33" s="391" t="str">
        <f>'Saisie données stocks'!H39</f>
        <v>25 mg</v>
      </c>
      <c r="H33" s="393" t="str">
        <f>CONCATENATE(E33, " - ", G33, " - ", 'TRAD-Calculs dispo Données FA'!$B$79,"/", K33)</f>
        <v>RPV - 25 mg - B/30</v>
      </c>
      <c r="I33" s="394">
        <f>Calculs!K122</f>
        <v>1</v>
      </c>
      <c r="J33" s="394">
        <f t="shared" si="0"/>
        <v>30</v>
      </c>
      <c r="K33" s="116">
        <f>Calculs!J122</f>
        <v>30</v>
      </c>
      <c r="L33" s="395">
        <f t="shared" si="1"/>
        <v>1</v>
      </c>
      <c r="M33" s="1822">
        <f>IF('Saisie données stocks'!$O$10='TRAD-Saisie données stocks'!$B$51, 'Calculs Péremption conso'!BU27, Calculs!M282)</f>
        <v>0</v>
      </c>
      <c r="N33" s="1822">
        <f>Calculs!$L$337</f>
        <v>0</v>
      </c>
      <c r="O33" s="1822">
        <f>Calculs!$N$337</f>
        <v>0</v>
      </c>
      <c r="P33"/>
      <c r="Q33" s="2175" t="e">
        <f>IF(Calculs!N337&gt;0, (-(Calculs!N337+2*Calculs!L337)+SQRT((Calculs!N337+2*Calculs!L337)*(Calculs!N337+2*Calculs!L337)+8*Calculs!N337*(M33)))/(2*Calculs!N337), ((M33)/Calculs!L337))</f>
        <v>#DIV/0!</v>
      </c>
      <c r="R33" s="2175" t="e">
        <f t="shared" si="2"/>
        <v>#DIV/0!</v>
      </c>
      <c r="S33" s="2176" t="e">
        <f>Q33-Paramétrage!D$29</f>
        <v>#DIV/0!</v>
      </c>
      <c r="T33" s="2177" t="e">
        <f>IF(Q33&lt;Paramétrage!D$29, Q33, Paramétrage!D$29)</f>
        <v>#DIV/0!</v>
      </c>
      <c r="U33" s="2178" t="e">
        <f>Paramétrage!H$19+S33*(365/12)</f>
        <v>#DIV/0!</v>
      </c>
      <c r="V33" s="2179" t="e">
        <f>IF(Q33&lt;Paramétrage!D$29, Paramétrage!H$19+T33*(365/12), Paramétrage!H$19+Q33*(365/12))</f>
        <v>#DIV/0!</v>
      </c>
      <c r="W33" s="2051"/>
      <c r="X33" s="2175" t="str">
        <f>IF(ISERROR(Q33),"", IF(Q33=0, "", IF(Q33&gt;'Calculs Péremption conso'!$CB27, 'Calculs Péremption conso'!$CB27, Q33)))</f>
        <v/>
      </c>
      <c r="Y33" s="2180" t="str">
        <f>IF(ISERROR(R33),"", IF(R33=0, "", IF(R33&gt;'Calculs Péremption conso'!$CB27, 'Calculs Péremption conso'!$CB27, R33)))</f>
        <v/>
      </c>
      <c r="Z33" s="2181" t="str">
        <f>IF(ISERROR(Q33),"", IF(Q33=0, "", IF(Q33&gt;'Calculs Péremption conso'!$CB27, 'Calculs Péremption conso'!$CB27-Paramétrage!$D$29, S33)))</f>
        <v/>
      </c>
      <c r="AA33" s="2182" t="str">
        <f>IF(ISERROR(Q33),"", IF(Q33=0, "", IF(Q33&gt;'Calculs Péremption conso'!$CB27, Paramétrage!$D$29, T33)))</f>
        <v/>
      </c>
      <c r="AB33" s="2178" t="str">
        <f>IF(ISERROR(Q33),"", IF(Q33=0, "", IF(Q33&gt;'Calculs Péremption conso'!$CB27, 'Calculs Péremption conso'!$BX27-Paramétrage!$D$29*(365/12), U33)))</f>
        <v/>
      </c>
      <c r="AC33" s="2179" t="str">
        <f>IF(ISERROR(Q33), AW33, IF(Q33=0, IF(AND(M33=0, OR(N33&gt;0, O33&gt;0)), AX33, ""), IF(Q33&gt;'Calculs Péremption conso'!$CB27, IF(Q33&lt;'Saisie données stocks'!$N$14, CONCATENATE('TRAD-Calculs dispo Données FA'!$B$88, " - ", 'Calculs Péremption conso'!$BY27, "/", 'Calculs Péremption conso'!$BZ27, "/", 'Calculs Péremption conso'!$CA27), 'Calculs Péremption conso'!CC27), V33)))</f>
        <v/>
      </c>
      <c r="AD33" s="2051"/>
      <c r="AE33" s="2175" t="e">
        <f>((Calculs!M282)/Calculs!L337)</f>
        <v>#DIV/0!</v>
      </c>
      <c r="AF33" s="2175" t="e">
        <f t="shared" si="5"/>
        <v>#DIV/0!</v>
      </c>
      <c r="AG33" s="2173" t="e">
        <f>AE33-Paramétrage!D$29</f>
        <v>#DIV/0!</v>
      </c>
      <c r="AH33" s="2177" t="e">
        <f>IF(AE33&lt;Paramétrage!D$29, AE33, Paramétrage!D$29)</f>
        <v>#DIV/0!</v>
      </c>
      <c r="AI33" s="2178" t="e">
        <f>Paramétrage!H$19+AG33*(365/12)</f>
        <v>#DIV/0!</v>
      </c>
      <c r="AJ33" s="2179" t="e">
        <f>IF(AE33&lt;Paramétrage!D$29, Paramétrage!H$19+AH33*(365/12), Paramétrage!H$19+AE33*(365/12))</f>
        <v>#DIV/0!</v>
      </c>
      <c r="AK33" s="2051"/>
      <c r="AL33" s="2175" t="str">
        <f>IF(ISERROR(AE33),"", IF(AE33=0, "", IF(AE33&gt;'Calculs Péremption conso'!$CB27, 'Calculs Péremption conso'!$CB27, AE33)))</f>
        <v/>
      </c>
      <c r="AM33" s="2180" t="str">
        <f t="shared" si="6"/>
        <v/>
      </c>
      <c r="AN33" s="2181" t="str">
        <f>IF(ISERROR(AE33),"", IF(AE33=0, "", IF(AE33&gt;'Calculs Péremption conso'!$CB27, 'Calculs Péremption conso'!$CB27-Paramétrage!$D$29, AG33)))</f>
        <v/>
      </c>
      <c r="AO33" s="2182" t="str">
        <f>IF(ISERROR(AE33),"", IF(AE33=0, "", IF(AE33&gt;'Calculs Péremption conso'!$CB27, Paramétrage!$D$29, AH33)))</f>
        <v/>
      </c>
      <c r="AP33" s="2178" t="str">
        <f>IF(ISERROR(AE33),"", IF(AE33=0, "", IF(AE33&gt;'Calculs Péremption FA'!$CB27, 'Calculs Péremption FA'!$BX27-Paramétrage!$D$29*(365/12), AI33)))</f>
        <v/>
      </c>
      <c r="AQ33" s="2179" t="str">
        <f>IF(ISERROR(AE33),"", IF(AE33=0, "", IF(AE33&gt;'Calculs Péremption conso'!$CB27, CONCATENATE('TRAD-Calculs dispo Données FA'!$B$88, " - ", 'Calculs Péremption conso'!$BY27, "/", 'Calculs Péremption conso'!$BZ27, "/", 'Calculs Péremption conso'!$CA27), AJ33)))</f>
        <v/>
      </c>
      <c r="AR33" s="2051"/>
      <c r="AS33" s="2061">
        <f>Calculs!$M282</f>
        <v>0</v>
      </c>
      <c r="AT33" s="2062">
        <f>Calculs!$L337</f>
        <v>0</v>
      </c>
      <c r="AU33" s="2068">
        <f>Calculs!$N337</f>
        <v>0</v>
      </c>
      <c r="AV33" s="2070" t="str">
        <f>IF(AND(AU33=0, AS33=0, AT33=0), 'TRAD-Calculs dispo Données FA'!$B$82, "")</f>
        <v>Stock et besoin nul</v>
      </c>
      <c r="AW33" s="2062" t="str">
        <f>IF(AND(AU33=0, AS33&gt;0, AT33=0), CONCATENATE(AS33, 'TRAD-Calculs dispo Données FA'!$B$80," =0"), "")</f>
        <v/>
      </c>
      <c r="AX33" s="2063" t="str">
        <f>IF(AND(AS33=0, OR(AT33&gt;=1, AU33&gt;=1)), 'TRAD-Calculs dispo Données FA'!$B$81, "")</f>
        <v/>
      </c>
      <c r="AY33" s="2051"/>
      <c r="AZ33" s="2051"/>
      <c r="BA33" s="2051"/>
      <c r="BB33" s="2051"/>
      <c r="BC33" s="2051"/>
      <c r="BD33" s="2051"/>
      <c r="BE33" s="2051"/>
      <c r="BF33" s="2051"/>
      <c r="BG33" s="2051"/>
      <c r="BH33" s="2051"/>
      <c r="BI33" s="2051"/>
      <c r="BJ33" s="2051"/>
      <c r="BK33" s="2051"/>
      <c r="BL33" s="2051"/>
      <c r="BM33" s="2051"/>
      <c r="BN33" s="2051"/>
      <c r="BO33" s="2051"/>
      <c r="BP33" s="2051"/>
      <c r="BQ33" s="2051"/>
      <c r="BR33" s="2051"/>
      <c r="BS33" s="2051"/>
      <c r="BT33" s="2051"/>
    </row>
    <row r="34" spans="3:72" s="358" customFormat="1" x14ac:dyDescent="0.2">
      <c r="C34" s="374"/>
      <c r="D34" s="375" t="s">
        <v>31</v>
      </c>
      <c r="E34" s="376" t="str">
        <f>'Saisie données stocks'!F40</f>
        <v>ABC</v>
      </c>
      <c r="F34" s="377" t="str">
        <f>'Saisie données stocks'!G40</f>
        <v>Cp</v>
      </c>
      <c r="G34" s="377" t="str">
        <f>'Saisie données stocks'!H40</f>
        <v>300 mg</v>
      </c>
      <c r="H34" s="378" t="str">
        <f>CONCATENATE(E34, " - ", G34, " - ", 'TRAD-Calculs dispo Données FA'!$B$79,"/", K34)</f>
        <v>ABC - 300 mg - B/60</v>
      </c>
      <c r="I34" s="380">
        <f>Calculs!K123</f>
        <v>2</v>
      </c>
      <c r="J34" s="380">
        <f t="shared" si="0"/>
        <v>60</v>
      </c>
      <c r="K34" s="114">
        <f>Calculs!J123</f>
        <v>60</v>
      </c>
      <c r="L34" s="381">
        <f t="shared" si="1"/>
        <v>1</v>
      </c>
      <c r="M34" s="1820">
        <f>IF('Saisie données stocks'!$O$10='TRAD-Saisie données stocks'!$B$51, 'Calculs Péremption conso'!BU28, Calculs!M283)</f>
        <v>7.6931506849314246</v>
      </c>
      <c r="N34" s="1820">
        <f>Calculs!$L$338</f>
        <v>2</v>
      </c>
      <c r="O34" s="1820">
        <f>Calculs!$N$338</f>
        <v>0</v>
      </c>
      <c r="P34"/>
      <c r="Q34" s="2161">
        <f>IF(Calculs!N338&gt;0, (-(Calculs!N338+2*Calculs!L338)+SQRT((Calculs!N338+2*Calculs!L338)*(Calculs!N338+2*Calculs!L338)+8*Calculs!N338*(M34)))/(2*Calculs!N338), ((M34)/Calculs!L338))</f>
        <v>3.8465753424657123</v>
      </c>
      <c r="R34" s="2161">
        <f t="shared" si="2"/>
        <v>3.8465753424657123</v>
      </c>
      <c r="S34" s="2183">
        <f>Q34-Paramétrage!D$29</f>
        <v>0.84657534246571231</v>
      </c>
      <c r="T34" s="2163">
        <f>IF(Q34&lt;Paramétrage!D$29, Q34, Paramétrage!D$29)</f>
        <v>3</v>
      </c>
      <c r="U34" s="2164">
        <f>Paramétrage!H$19+S34*(365/12)</f>
        <v>41944.75</v>
      </c>
      <c r="V34" s="2165">
        <f>IF(Q34&lt;Paramétrage!D$29, Paramétrage!H$19+T34*(365/12), Paramétrage!H$19+Q34*(365/12))</f>
        <v>42036</v>
      </c>
      <c r="W34" s="2051"/>
      <c r="X34" s="2161">
        <f>IF(ISERROR(Q34),"", IF(Q34=0, "", IF(Q34&gt;'Calculs Péremption conso'!$CB28, 'Calculs Péremption conso'!$CB28, Q34)))</f>
        <v>3.8465753424657123</v>
      </c>
      <c r="Y34" s="2166">
        <f>IF(ISERROR(R34),"", IF(R34=0, "", IF(R34&gt;'Calculs Péremption conso'!$CB28, 'Calculs Péremption conso'!$CB28, R34)))</f>
        <v>3.8465753424657123</v>
      </c>
      <c r="Z34" s="2162">
        <f>IF(ISERROR(Q34),"", IF(Q34=0, "", IF(Q34&gt;'Calculs Péremption conso'!$CB28, 'Calculs Péremption conso'!$CB28-Paramétrage!$D$29, S34)))</f>
        <v>0.84657534246571231</v>
      </c>
      <c r="AA34" s="2167">
        <f>IF(ISERROR(Q34),"", IF(Q34=0, "", IF(Q34&gt;'Calculs Péremption conso'!$CB28, Paramétrage!$D$29, T34)))</f>
        <v>3</v>
      </c>
      <c r="AB34" s="2164">
        <f>IF(ISERROR(Q34),"", IF(Q34=0, "", IF(Q34&gt;'Calculs Péremption conso'!$CB28, 'Calculs Péremption conso'!$BX28-Paramétrage!$D$29*(365/12), U34)))</f>
        <v>41944.75</v>
      </c>
      <c r="AC34" s="2165">
        <f>IF(ISERROR(Q34), AW34, IF(Q34=0, IF(AND(M34=0, OR(N34&gt;0, O34&gt;0)), AX34, ""), IF(Q34&gt;'Calculs Péremption conso'!$CB28, IF(Q34&lt;'Saisie données stocks'!$N$14, CONCATENATE('TRAD-Calculs dispo Données FA'!$B$88, " - ", 'Calculs Péremption conso'!$BY28, "/", 'Calculs Péremption conso'!$BZ28, "/", 'Calculs Péremption conso'!$CA28), 'Calculs Péremption conso'!CC28), V34)))</f>
        <v>42036</v>
      </c>
      <c r="AD34" s="2051"/>
      <c r="AE34" s="2161">
        <f>((Calculs!M283)/Calculs!L338)</f>
        <v>546.5</v>
      </c>
      <c r="AF34" s="2161">
        <f t="shared" si="5"/>
        <v>542.65342465753429</v>
      </c>
      <c r="AG34" s="2162">
        <f>AE34-Paramétrage!D$29</f>
        <v>543.5</v>
      </c>
      <c r="AH34" s="2163">
        <f>IF(AE34&lt;Paramétrage!D$29, AE34, Paramétrage!D$29)</f>
        <v>3</v>
      </c>
      <c r="AI34" s="2164">
        <f>Paramétrage!H$19+AG34*(365/12)</f>
        <v>58450.458333333336</v>
      </c>
      <c r="AJ34" s="2165">
        <f>IF(AE34&lt;Paramétrage!D$29, Paramétrage!H$19+AH34*(365/12), Paramétrage!H$19+AE34*(365/12))</f>
        <v>58541.708333333336</v>
      </c>
      <c r="AK34" s="2051"/>
      <c r="AL34" s="2161">
        <f>IF(ISERROR(AE34),"", IF(AE34=0, "", IF(AE34&gt;'Calculs Péremption conso'!$CB28, 'Calculs Péremption conso'!$CB28, AE34)))</f>
        <v>3.8465753424657532</v>
      </c>
      <c r="AM34" s="2166">
        <f t="shared" si="6"/>
        <v>4.0856207306205761E-14</v>
      </c>
      <c r="AN34" s="2162">
        <f>IF(ISERROR(AE34),"", IF(AE34=0, "", IF(AE34&gt;'Calculs Péremption conso'!$CB28, 'Calculs Péremption conso'!$CB28-Paramétrage!$D$29, AG34)))</f>
        <v>0.84657534246575317</v>
      </c>
      <c r="AO34" s="2167">
        <f>IF(ISERROR(AE34),"", IF(AE34=0, "", IF(AE34&gt;'Calculs Péremption conso'!$CB28, Paramétrage!$D$29, AH34)))</f>
        <v>3</v>
      </c>
      <c r="AP34" s="2164">
        <f>IF(ISERROR(AE34),"", IF(AE34=0, "", IF(AE34&gt;'Calculs Péremption FA'!$CB28, 'Calculs Péremption FA'!$BX28-Paramétrage!$D$29*(365/12), AI34)))</f>
        <v>41944.75</v>
      </c>
      <c r="AQ34" s="2165" t="str">
        <f>IF(ISERROR(AE34),"", IF(AE34=0, "", IF(AE34&gt;'Calculs Péremption conso'!$CB28, CONCATENATE('TRAD-Calculs dispo Données FA'!$B$88, " - ", 'Calculs Péremption conso'!$BY28, "/", 'Calculs Péremption conso'!$BZ28, "/", 'Calculs Péremption conso'!$CA28), AJ34)))</f>
        <v>DLU - 1/2/2015</v>
      </c>
      <c r="AR34" s="2051"/>
      <c r="AS34" s="2061">
        <f>Calculs!$M283</f>
        <v>1093</v>
      </c>
      <c r="AT34" s="2062">
        <f>Calculs!$L338</f>
        <v>2</v>
      </c>
      <c r="AU34" s="2068">
        <f>Calculs!$N338</f>
        <v>0</v>
      </c>
      <c r="AV34" s="2070" t="str">
        <f>IF(AND(AU34=0, AS34=0, AT34=0), 'TRAD-Calculs dispo Données FA'!$B$82, "")</f>
        <v/>
      </c>
      <c r="AW34" s="2062" t="str">
        <f>IF(AND(AU34=0, AS34&gt;0, AT34=0), CONCATENATE(AS34, 'TRAD-Calculs dispo Données FA'!$B$80," =0"), "")</f>
        <v/>
      </c>
      <c r="AX34" s="2063" t="str">
        <f>IF(AND(AS34=0, OR(AT34&gt;=1, AU34&gt;=1)), 'TRAD-Calculs dispo Données FA'!$B$81, "")</f>
        <v/>
      </c>
      <c r="AY34" s="2051"/>
      <c r="AZ34" s="2051"/>
      <c r="BA34" s="2051"/>
      <c r="BB34" s="2051"/>
      <c r="BC34" s="2051"/>
      <c r="BD34" s="2051"/>
      <c r="BE34" s="2051"/>
      <c r="BF34" s="2051"/>
      <c r="BG34" s="2051"/>
      <c r="BH34" s="2051"/>
      <c r="BI34" s="2051"/>
      <c r="BJ34" s="2051"/>
      <c r="BK34" s="2051"/>
      <c r="BL34" s="2051"/>
      <c r="BM34" s="2051"/>
      <c r="BN34" s="2051"/>
      <c r="BO34" s="2051"/>
      <c r="BP34" s="2051"/>
      <c r="BQ34" s="2051"/>
      <c r="BR34" s="2051"/>
      <c r="BS34" s="2051"/>
      <c r="BT34" s="2051"/>
    </row>
    <row r="35" spans="3:72" s="358" customFormat="1" x14ac:dyDescent="0.2">
      <c r="C35" s="374"/>
      <c r="D35" s="375"/>
      <c r="E35" s="376" t="str">
        <f>'Saisie données stocks'!F41</f>
        <v>ABC</v>
      </c>
      <c r="F35" s="377" t="str">
        <f>'Saisie données stocks'!G41</f>
        <v>Cp</v>
      </c>
      <c r="G35" s="377" t="str">
        <f>'Saisie données stocks'!H41</f>
        <v>60 mg</v>
      </c>
      <c r="H35" s="378" t="str">
        <f>CONCATENATE(E35, " - ", G35, " - ", 'TRAD-Calculs dispo Données FA'!$B$79,"/", K35)</f>
        <v>ABC - 60 mg - B/60</v>
      </c>
      <c r="I35" s="380">
        <f>Calculs!K124</f>
        <v>2</v>
      </c>
      <c r="J35" s="380">
        <f t="shared" si="0"/>
        <v>60</v>
      </c>
      <c r="K35" s="114">
        <f>Calculs!J124</f>
        <v>60</v>
      </c>
      <c r="L35" s="381">
        <f t="shared" si="1"/>
        <v>1</v>
      </c>
      <c r="M35" s="1820">
        <f>IF('Saisie données stocks'!$O$10='TRAD-Saisie données stocks'!$B$51, 'Calculs Péremption conso'!BU29, Calculs!M284)</f>
        <v>0</v>
      </c>
      <c r="N35" s="1820">
        <f>Calculs!$L$339</f>
        <v>0</v>
      </c>
      <c r="O35" s="1820">
        <f>Calculs!$N$339</f>
        <v>0</v>
      </c>
      <c r="P35"/>
      <c r="Q35" s="2161" t="e">
        <f>IF(Calculs!N339&gt;0, (-(Calculs!N339+2*Calculs!L339)+SQRT((Calculs!N339+2*Calculs!L339)*(Calculs!N339+2*Calculs!L339)+8*Calculs!N339*(M35)))/(2*Calculs!N339), ((M35)/Calculs!L339))</f>
        <v>#DIV/0!</v>
      </c>
      <c r="R35" s="2161" t="e">
        <f t="shared" si="2"/>
        <v>#DIV/0!</v>
      </c>
      <c r="S35" s="2162" t="e">
        <f>Q35-Paramétrage!D$29</f>
        <v>#DIV/0!</v>
      </c>
      <c r="T35" s="2163" t="e">
        <f>IF(Q35&lt;Paramétrage!D$29, Q35, Paramétrage!D$29)</f>
        <v>#DIV/0!</v>
      </c>
      <c r="U35" s="2164" t="e">
        <f>Paramétrage!H$19+S35*(365/12)</f>
        <v>#DIV/0!</v>
      </c>
      <c r="V35" s="2165" t="e">
        <f>IF(Q35&lt;Paramétrage!D$29, Paramétrage!H$19+T35*(365/12), Paramétrage!H$19+Q35*(365/12))</f>
        <v>#DIV/0!</v>
      </c>
      <c r="W35" s="2051"/>
      <c r="X35" s="2161" t="str">
        <f>IF(ISERROR(Q35),"", IF(Q35=0, "", IF(Q35&gt;'Calculs Péremption conso'!$CB29, 'Calculs Péremption conso'!$CB29, Q35)))</f>
        <v/>
      </c>
      <c r="Y35" s="2166" t="str">
        <f>IF(ISERROR(R35),"", IF(R35=0, "", IF(R35&gt;'Calculs Péremption conso'!$CB29, 'Calculs Péremption conso'!$CB29, R35)))</f>
        <v/>
      </c>
      <c r="Z35" s="2162" t="str">
        <f>IF(ISERROR(Q35),"", IF(Q35=0, "", IF(Q35&gt;'Calculs Péremption conso'!$CB29, 'Calculs Péremption conso'!$CB29-Paramétrage!$D$29, S35)))</f>
        <v/>
      </c>
      <c r="AA35" s="2167" t="str">
        <f>IF(ISERROR(Q35),"", IF(Q35=0, "", IF(Q35&gt;'Calculs Péremption conso'!$CB29, Paramétrage!$D$29, T35)))</f>
        <v/>
      </c>
      <c r="AB35" s="2164" t="str">
        <f>IF(ISERROR(Q35),"", IF(Q35=0, "", IF(Q35&gt;'Calculs Péremption conso'!$CB29, 'Calculs Péremption conso'!$BX29-Paramétrage!$D$29*(365/12), U35)))</f>
        <v/>
      </c>
      <c r="AC35" s="2165" t="str">
        <f>IF(ISERROR(Q35), AW35, IF(Q35=0, IF(AND(M35=0, OR(N35&gt;0, O35&gt;0)), AX35, ""), IF(Q35&gt;'Calculs Péremption conso'!$CB29, IF(Q35&lt;'Saisie données stocks'!$N$14, CONCATENATE('TRAD-Calculs dispo Données FA'!$B$88, " - ", 'Calculs Péremption conso'!$BY29, "/", 'Calculs Péremption conso'!$BZ29, "/", 'Calculs Péremption conso'!$CA29), 'Calculs Péremption conso'!CC29), V35)))</f>
        <v/>
      </c>
      <c r="AD35" s="2051"/>
      <c r="AE35" s="2161" t="e">
        <f>((Calculs!M284)/Calculs!L339)</f>
        <v>#DIV/0!</v>
      </c>
      <c r="AF35" s="2161" t="e">
        <f t="shared" si="5"/>
        <v>#DIV/0!</v>
      </c>
      <c r="AG35" s="2162" t="e">
        <f>AE35-Paramétrage!D$29</f>
        <v>#DIV/0!</v>
      </c>
      <c r="AH35" s="2163" t="e">
        <f>IF(AE35&lt;Paramétrage!D$29, AE35, Paramétrage!D$29)</f>
        <v>#DIV/0!</v>
      </c>
      <c r="AI35" s="2164" t="e">
        <f>Paramétrage!H$19+AG35*(365/12)</f>
        <v>#DIV/0!</v>
      </c>
      <c r="AJ35" s="2165" t="e">
        <f>IF(AE35&lt;Paramétrage!D$29, Paramétrage!H$19+AH35*(365/12), Paramétrage!H$19+AE35*(365/12))</f>
        <v>#DIV/0!</v>
      </c>
      <c r="AK35" s="2051"/>
      <c r="AL35" s="2161" t="str">
        <f>IF(ISERROR(AE35),"", IF(AE35=0, "", IF(AE35&gt;'Calculs Péremption conso'!$CB29, 'Calculs Péremption conso'!$CB29, AE35)))</f>
        <v/>
      </c>
      <c r="AM35" s="2166" t="str">
        <f t="shared" si="6"/>
        <v/>
      </c>
      <c r="AN35" s="2162" t="str">
        <f>IF(ISERROR(AE35),"", IF(AE35=0, "", IF(AE35&gt;'Calculs Péremption conso'!$CB29, 'Calculs Péremption conso'!$CB29-Paramétrage!$D$29, AG35)))</f>
        <v/>
      </c>
      <c r="AO35" s="2167" t="str">
        <f>IF(ISERROR(AE35),"", IF(AE35=0, "", IF(AE35&gt;'Calculs Péremption conso'!$CB29, Paramétrage!$D$29, AH35)))</f>
        <v/>
      </c>
      <c r="AP35" s="2164" t="str">
        <f>IF(ISERROR(AE35),"", IF(AE35=0, "", IF(AE35&gt;'Calculs Péremption FA'!$CB29, 'Calculs Péremption FA'!$BX29-Paramétrage!$D$29*(365/12), AI35)))</f>
        <v/>
      </c>
      <c r="AQ35" s="2165" t="str">
        <f>IF(ISERROR(AE35),"", IF(AE35=0, "", IF(AE35&gt;'Calculs Péremption conso'!$CB29, CONCATENATE('TRAD-Calculs dispo Données FA'!$B$88, " - ", 'Calculs Péremption conso'!$BY29, "/", 'Calculs Péremption conso'!$BZ29, "/", 'Calculs Péremption conso'!$CA29), AJ35)))</f>
        <v/>
      </c>
      <c r="AR35" s="2051"/>
      <c r="AS35" s="2061">
        <f>Calculs!$M284</f>
        <v>0</v>
      </c>
      <c r="AT35" s="2062">
        <f>Calculs!$L339</f>
        <v>0</v>
      </c>
      <c r="AU35" s="2068">
        <f>Calculs!$N339</f>
        <v>0</v>
      </c>
      <c r="AV35" s="2070" t="str">
        <f>IF(AND(AU35=0, AS35=0, AT35=0), 'TRAD-Calculs dispo Données FA'!$B$82, "")</f>
        <v>Stock et besoin nul</v>
      </c>
      <c r="AW35" s="2062" t="str">
        <f>IF(AND(AU35=0, AS35&gt;0, AT35=0), CONCATENATE(AS35, 'TRAD-Calculs dispo Données FA'!$B$80," =0"), "")</f>
        <v/>
      </c>
      <c r="AX35" s="2063" t="str">
        <f>IF(AND(AS35=0, OR(AT35&gt;=1, AU35&gt;=1)), 'TRAD-Calculs dispo Données FA'!$B$81, "")</f>
        <v/>
      </c>
      <c r="AY35" s="2051"/>
      <c r="AZ35" s="2051"/>
      <c r="BA35" s="2051"/>
      <c r="BB35" s="2051"/>
      <c r="BC35" s="2051"/>
      <c r="BD35" s="2051"/>
      <c r="BE35" s="2051"/>
      <c r="BF35" s="2051"/>
      <c r="BG35" s="2051"/>
      <c r="BH35" s="2051"/>
      <c r="BI35" s="2051"/>
      <c r="BJ35" s="2051"/>
      <c r="BK35" s="2051"/>
      <c r="BL35" s="2051"/>
      <c r="BM35" s="2051"/>
      <c r="BN35" s="2051"/>
      <c r="BO35" s="2051"/>
      <c r="BP35" s="2051"/>
      <c r="BQ35" s="2051"/>
      <c r="BR35" s="2051"/>
      <c r="BS35" s="2051"/>
      <c r="BT35" s="2051"/>
    </row>
    <row r="36" spans="3:72" s="358" customFormat="1" x14ac:dyDescent="0.2">
      <c r="C36" s="374"/>
      <c r="D36" s="375"/>
      <c r="E36" s="376" t="str">
        <f>'Saisie données stocks'!F42</f>
        <v>AZT</v>
      </c>
      <c r="F36" s="377" t="str">
        <f>'Saisie données stocks'!G42</f>
        <v>Cp</v>
      </c>
      <c r="G36" s="383" t="str">
        <f>'Saisie données stocks'!H42</f>
        <v>300 mg</v>
      </c>
      <c r="H36" s="378" t="str">
        <f>CONCATENATE(E36, " - ", G36, " - ", 'TRAD-Calculs dispo Données FA'!$B$79,"/", K36)</f>
        <v>AZT - 300 mg - B/60</v>
      </c>
      <c r="I36" s="380">
        <f>Calculs!K125</f>
        <v>2</v>
      </c>
      <c r="J36" s="380">
        <f t="shared" si="0"/>
        <v>60</v>
      </c>
      <c r="K36" s="114">
        <f>Calculs!J125</f>
        <v>60</v>
      </c>
      <c r="L36" s="381">
        <f t="shared" si="1"/>
        <v>1</v>
      </c>
      <c r="M36" s="1820">
        <f>IF('Saisie données stocks'!$O$10='TRAD-Saisie données stocks'!$B$51, 'Calculs Péremption conso'!BU30, Calculs!M285)</f>
        <v>0</v>
      </c>
      <c r="N36" s="1820">
        <f>Calculs!$L$340</f>
        <v>0</v>
      </c>
      <c r="O36" s="1820">
        <f>Calculs!$N$340</f>
        <v>0</v>
      </c>
      <c r="P36"/>
      <c r="Q36" s="2161" t="e">
        <f>IF(Calculs!N340&gt;0, (-(Calculs!N340+2*Calculs!L340)+SQRT((Calculs!N340+2*Calculs!L340)*(Calculs!N340+2*Calculs!L340)+8*Calculs!N340*(M36)))/(2*Calculs!N340), ((M36)/Calculs!L340))</f>
        <v>#DIV/0!</v>
      </c>
      <c r="R36" s="2161" t="e">
        <f t="shared" si="2"/>
        <v>#DIV/0!</v>
      </c>
      <c r="S36" s="2162" t="e">
        <f>Q36-Paramétrage!D$29</f>
        <v>#DIV/0!</v>
      </c>
      <c r="T36" s="2163" t="e">
        <f>IF(Q36&lt;Paramétrage!D$29, Q36, Paramétrage!D$29)</f>
        <v>#DIV/0!</v>
      </c>
      <c r="U36" s="2164" t="e">
        <f>Paramétrage!H$19+S36*(365/12)</f>
        <v>#DIV/0!</v>
      </c>
      <c r="V36" s="2165" t="e">
        <f>IF(Q36&lt;Paramétrage!D$29, Paramétrage!H$19+T36*(365/12), Paramétrage!H$19+Q36*(365/12))</f>
        <v>#DIV/0!</v>
      </c>
      <c r="W36" s="2051"/>
      <c r="X36" s="2161" t="str">
        <f>IF(ISERROR(Q36),"", IF(Q36=0, "", IF(Q36&gt;'Calculs Péremption conso'!$CB30, 'Calculs Péremption conso'!$CB30, Q36)))</f>
        <v/>
      </c>
      <c r="Y36" s="2166" t="str">
        <f>IF(ISERROR(R36),"", IF(R36=0, "", IF(R36&gt;'Calculs Péremption conso'!$CB30, 'Calculs Péremption conso'!$CB30, R36)))</f>
        <v/>
      </c>
      <c r="Z36" s="2162" t="str">
        <f>IF(ISERROR(Q36),"", IF(Q36=0, "", IF(Q36&gt;'Calculs Péremption conso'!$CB30, 'Calculs Péremption conso'!$CB30-Paramétrage!$D$29, S36)))</f>
        <v/>
      </c>
      <c r="AA36" s="2167" t="str">
        <f>IF(ISERROR(Q36),"", IF(Q36=0, "", IF(Q36&gt;'Calculs Péremption conso'!$CB30, Paramétrage!$D$29, T36)))</f>
        <v/>
      </c>
      <c r="AB36" s="2164" t="str">
        <f>IF(ISERROR(Q36),"", IF(Q36=0, "", IF(Q36&gt;'Calculs Péremption conso'!$CB30, 'Calculs Péremption conso'!$BX30-Paramétrage!$D$29*(365/12), U36)))</f>
        <v/>
      </c>
      <c r="AC36" s="2165" t="str">
        <f>IF(ISERROR(Q36), AW36, IF(Q36=0, IF(AND(M36=0, OR(N36&gt;0, O36&gt;0)), AX36, ""), IF(Q36&gt;'Calculs Péremption conso'!$CB30, IF(Q36&lt;'Saisie données stocks'!$N$14, CONCATENATE('TRAD-Calculs dispo Données FA'!$B$88, " - ", 'Calculs Péremption conso'!$BY30, "/", 'Calculs Péremption conso'!$BZ30, "/", 'Calculs Péremption conso'!$CA30), 'Calculs Péremption conso'!CC30), V36)))</f>
        <v/>
      </c>
      <c r="AD36" s="2051"/>
      <c r="AE36" s="2161" t="e">
        <f>((Calculs!M285)/Calculs!L340)</f>
        <v>#DIV/0!</v>
      </c>
      <c r="AF36" s="2161" t="e">
        <f t="shared" si="5"/>
        <v>#DIV/0!</v>
      </c>
      <c r="AG36" s="2162" t="e">
        <f>AE36-Paramétrage!D$29</f>
        <v>#DIV/0!</v>
      </c>
      <c r="AH36" s="2163" t="e">
        <f>IF(AE36&lt;Paramétrage!D$29, AE36, Paramétrage!D$29)</f>
        <v>#DIV/0!</v>
      </c>
      <c r="AI36" s="2164" t="e">
        <f>Paramétrage!H$19+AG36*(365/12)</f>
        <v>#DIV/0!</v>
      </c>
      <c r="AJ36" s="2165" t="e">
        <f>IF(AE36&lt;Paramétrage!D$29, Paramétrage!H$19+AH36*(365/12), Paramétrage!H$19+AE36*(365/12))</f>
        <v>#DIV/0!</v>
      </c>
      <c r="AK36" s="2051"/>
      <c r="AL36" s="2161" t="str">
        <f>IF(ISERROR(AE36),"", IF(AE36=0, "", IF(AE36&gt;'Calculs Péremption conso'!$CB30, 'Calculs Péremption conso'!$CB30, AE36)))</f>
        <v/>
      </c>
      <c r="AM36" s="2166" t="str">
        <f t="shared" si="6"/>
        <v/>
      </c>
      <c r="AN36" s="2162" t="str">
        <f>IF(ISERROR(AE36),"", IF(AE36=0, "", IF(AE36&gt;'Calculs Péremption conso'!$CB30, 'Calculs Péremption conso'!$CB30-Paramétrage!$D$29, AG36)))</f>
        <v/>
      </c>
      <c r="AO36" s="2167" t="str">
        <f>IF(ISERROR(AE36),"", IF(AE36=0, "", IF(AE36&gt;'Calculs Péremption conso'!$CB30, Paramétrage!$D$29, AH36)))</f>
        <v/>
      </c>
      <c r="AP36" s="2164" t="str">
        <f>IF(ISERROR(AE36),"", IF(AE36=0, "", IF(AE36&gt;'Calculs Péremption FA'!$CB30, 'Calculs Péremption FA'!$BX30-Paramétrage!$D$29*(365/12), AI36)))</f>
        <v/>
      </c>
      <c r="AQ36" s="2165" t="str">
        <f>IF(ISERROR(AE36),"", IF(AE36=0, "", IF(AE36&gt;'Calculs Péremption conso'!$CB30, CONCATENATE('TRAD-Calculs dispo Données FA'!$B$88, " - ", 'Calculs Péremption conso'!$BY30, "/", 'Calculs Péremption conso'!$BZ30, "/", 'Calculs Péremption conso'!$CA30), AJ36)))</f>
        <v/>
      </c>
      <c r="AR36" s="2051"/>
      <c r="AS36" s="2061">
        <f>Calculs!$M285</f>
        <v>0</v>
      </c>
      <c r="AT36" s="2062">
        <f>Calculs!$L340</f>
        <v>0</v>
      </c>
      <c r="AU36" s="2068">
        <f>Calculs!$N340</f>
        <v>0</v>
      </c>
      <c r="AV36" s="2070" t="str">
        <f>IF(AND(AU36=0, AS36=0, AT36=0), 'TRAD-Calculs dispo Données FA'!$B$82, "")</f>
        <v>Stock et besoin nul</v>
      </c>
      <c r="AW36" s="2062" t="str">
        <f>IF(AND(AU36=0, AS36&gt;0, AT36=0), CONCATENATE(AS36, 'TRAD-Calculs dispo Données FA'!$B$80," =0"), "")</f>
        <v/>
      </c>
      <c r="AX36" s="2063" t="str">
        <f>IF(AND(AS36=0, OR(AT36&gt;=1, AU36&gt;=1)), 'TRAD-Calculs dispo Données FA'!$B$81, "")</f>
        <v/>
      </c>
      <c r="AY36" s="2051"/>
      <c r="AZ36" s="2051"/>
      <c r="BA36" s="2051"/>
      <c r="BB36" s="2051"/>
      <c r="BC36" s="2051"/>
      <c r="BD36" s="2051"/>
      <c r="BE36" s="2051"/>
      <c r="BF36" s="2051"/>
      <c r="BG36" s="2051"/>
      <c r="BH36" s="2051"/>
      <c r="BI36" s="2051"/>
      <c r="BJ36" s="2051"/>
      <c r="BK36" s="2051"/>
      <c r="BL36" s="2051"/>
      <c r="BM36" s="2051"/>
      <c r="BN36" s="2051"/>
      <c r="BO36" s="2051"/>
      <c r="BP36" s="2051"/>
      <c r="BQ36" s="2051"/>
      <c r="BR36" s="2051"/>
      <c r="BS36" s="2051"/>
      <c r="BT36" s="2051"/>
    </row>
    <row r="37" spans="3:72" s="358" customFormat="1" x14ac:dyDescent="0.2">
      <c r="C37" s="374"/>
      <c r="D37" s="375"/>
      <c r="E37" s="376" t="str">
        <f>'Saisie données stocks'!F43</f>
        <v>AZT</v>
      </c>
      <c r="F37" s="377" t="str">
        <f>'Saisie données stocks'!G43</f>
        <v>Cp</v>
      </c>
      <c r="G37" s="1208" t="str">
        <f>'Saisie données stocks'!H43</f>
        <v>100 mg</v>
      </c>
      <c r="H37" s="378" t="str">
        <f>CONCATENATE(E37, " - ", G37, " - ", 'TRAD-Calculs dispo Données FA'!$B$79,"/", K37)</f>
        <v>AZT - 100 mg - B/100</v>
      </c>
      <c r="I37" s="380">
        <f>Calculs!K126</f>
        <v>0</v>
      </c>
      <c r="J37" s="380">
        <f t="shared" si="0"/>
        <v>0</v>
      </c>
      <c r="K37" s="114">
        <f>Calculs!J126</f>
        <v>100</v>
      </c>
      <c r="L37" s="381">
        <f t="shared" si="1"/>
        <v>0</v>
      </c>
      <c r="M37" s="1820">
        <f>IF('Saisie données stocks'!$O$10='TRAD-Saisie données stocks'!$B$51, 'Calculs Péremption conso'!BU31, Calculs!M286)</f>
        <v>0</v>
      </c>
      <c r="N37" s="1820">
        <f>Calculs!$L$341</f>
        <v>0</v>
      </c>
      <c r="O37" s="1820">
        <f>Calculs!$N$341</f>
        <v>0</v>
      </c>
      <c r="P37"/>
      <c r="Q37" s="2161" t="e">
        <f>IF(Calculs!N341&gt;0, (-(Calculs!N341+2*Calculs!L341)+SQRT((Calculs!N341+2*Calculs!L341)*(Calculs!N341+2*Calculs!L341)+8*Calculs!N341*(M37)))/(2*Calculs!N341), ((M37)/Calculs!L341))</f>
        <v>#DIV/0!</v>
      </c>
      <c r="R37" s="2161" t="e">
        <f t="shared" si="2"/>
        <v>#DIV/0!</v>
      </c>
      <c r="S37" s="2162" t="e">
        <f>Q37-Paramétrage!D$29</f>
        <v>#DIV/0!</v>
      </c>
      <c r="T37" s="2163" t="e">
        <f>IF(Q37&lt;Paramétrage!D$29, Q37, Paramétrage!D$29)</f>
        <v>#DIV/0!</v>
      </c>
      <c r="U37" s="2164" t="e">
        <f>Paramétrage!H$19+S37*(365/12)</f>
        <v>#DIV/0!</v>
      </c>
      <c r="V37" s="2165" t="e">
        <f>IF(Q37&lt;Paramétrage!D$29, Paramétrage!H$19+T37*(365/12), Paramétrage!H$19+Q37*(365/12))</f>
        <v>#DIV/0!</v>
      </c>
      <c r="W37" s="2051"/>
      <c r="X37" s="2161" t="str">
        <f>IF(ISERROR(Q37),"", IF(Q37=0, "", IF(Q37&gt;'Calculs Péremption conso'!$CB31, 'Calculs Péremption conso'!$CB31, Q37)))</f>
        <v/>
      </c>
      <c r="Y37" s="2166" t="str">
        <f>IF(ISERROR(R37),"", IF(R37=0, "", IF(R37&gt;'Calculs Péremption conso'!$CB31, 'Calculs Péremption conso'!$CB31, R37)))</f>
        <v/>
      </c>
      <c r="Z37" s="2162" t="str">
        <f>IF(ISERROR(Q37),"", IF(Q37=0, "", IF(Q37&gt;'Calculs Péremption conso'!$CB31, 'Calculs Péremption conso'!$CB31-Paramétrage!$D$29, S37)))</f>
        <v/>
      </c>
      <c r="AA37" s="2167" t="str">
        <f>IF(ISERROR(Q37),"", IF(Q37=0, "", IF(Q37&gt;'Calculs Péremption conso'!$CB31, Paramétrage!$D$29, T37)))</f>
        <v/>
      </c>
      <c r="AB37" s="2164" t="str">
        <f>IF(ISERROR(Q37),"", IF(Q37=0, "", IF(Q37&gt;'Calculs Péremption conso'!$CB31, 'Calculs Péremption conso'!$BX31-Paramétrage!$D$29*(365/12), U37)))</f>
        <v/>
      </c>
      <c r="AC37" s="2165" t="str">
        <f>IF(ISERROR(Q37), AW37, IF(Q37=0, IF(AND(M37=0, OR(N37&gt;0, O37&gt;0)), AX37, ""), IF(Q37&gt;'Calculs Péremption conso'!$CB31, IF(Q37&lt;'Saisie données stocks'!$N$14, CONCATENATE('TRAD-Calculs dispo Données FA'!$B$88, " - ", 'Calculs Péremption conso'!$BY31, "/", 'Calculs Péremption conso'!$BZ31, "/", 'Calculs Péremption conso'!$CA31), 'Calculs Péremption conso'!CC31), V37)))</f>
        <v/>
      </c>
      <c r="AD37" s="2051"/>
      <c r="AE37" s="2161" t="e">
        <f>((Calculs!M286)/Calculs!L341)</f>
        <v>#DIV/0!</v>
      </c>
      <c r="AF37" s="2161" t="e">
        <f t="shared" si="5"/>
        <v>#DIV/0!</v>
      </c>
      <c r="AG37" s="2162" t="e">
        <f>AE37-Paramétrage!D$29</f>
        <v>#DIV/0!</v>
      </c>
      <c r="AH37" s="2163" t="e">
        <f>IF(AE37&lt;Paramétrage!D$29, AE37, Paramétrage!D$29)</f>
        <v>#DIV/0!</v>
      </c>
      <c r="AI37" s="2164" t="e">
        <f>Paramétrage!H$19+AG37*(365/12)</f>
        <v>#DIV/0!</v>
      </c>
      <c r="AJ37" s="2165" t="e">
        <f>IF(AE37&lt;Paramétrage!D$29, Paramétrage!H$19+AH37*(365/12), Paramétrage!H$19+AE37*(365/12))</f>
        <v>#DIV/0!</v>
      </c>
      <c r="AK37" s="2051"/>
      <c r="AL37" s="2161" t="str">
        <f>IF(ISERROR(AE37),"", IF(AE37=0, "", IF(AE37&gt;'Calculs Péremption conso'!$CB31, 'Calculs Péremption conso'!$CB31, AE37)))</f>
        <v/>
      </c>
      <c r="AM37" s="2166" t="str">
        <f t="shared" si="6"/>
        <v/>
      </c>
      <c r="AN37" s="2162" t="str">
        <f>IF(ISERROR(AE37),"", IF(AE37=0, "", IF(AE37&gt;'Calculs Péremption conso'!$CB31, 'Calculs Péremption conso'!$CB31-Paramétrage!$D$29, AG37)))</f>
        <v/>
      </c>
      <c r="AO37" s="2167" t="str">
        <f>IF(ISERROR(AE37),"", IF(AE37=0, "", IF(AE37&gt;'Calculs Péremption conso'!$CB31, Paramétrage!$D$29, AH37)))</f>
        <v/>
      </c>
      <c r="AP37" s="2164" t="str">
        <f>IF(ISERROR(AE37),"", IF(AE37=0, "", IF(AE37&gt;'Calculs Péremption FA'!$CB31, 'Calculs Péremption FA'!$BX31-Paramétrage!$D$29*(365/12), AI37)))</f>
        <v/>
      </c>
      <c r="AQ37" s="2165" t="str">
        <f>IF(ISERROR(AE37),"", IF(AE37=0, "", IF(AE37&gt;'Calculs Péremption conso'!$CB31, CONCATENATE('TRAD-Calculs dispo Données FA'!$B$88, " - ", 'Calculs Péremption conso'!$BY31, "/", 'Calculs Péremption conso'!$BZ31, "/", 'Calculs Péremption conso'!$CA31), AJ37)))</f>
        <v/>
      </c>
      <c r="AR37" s="2051"/>
      <c r="AS37" s="2061">
        <f>Calculs!$M286</f>
        <v>0</v>
      </c>
      <c r="AT37" s="2062">
        <f>Calculs!$L341</f>
        <v>0</v>
      </c>
      <c r="AU37" s="2068">
        <f>Calculs!$N341</f>
        <v>0</v>
      </c>
      <c r="AV37" s="2070" t="str">
        <f>IF(AND(AU37=0, AS37=0, AT37=0), 'TRAD-Calculs dispo Données FA'!$B$82, "")</f>
        <v>Stock et besoin nul</v>
      </c>
      <c r="AW37" s="2062" t="str">
        <f>IF(AND(AU37=0, AS37&gt;0, AT37=0), CONCATENATE(AS37, 'TRAD-Calculs dispo Données FA'!$B$80," =0"), "")</f>
        <v/>
      </c>
      <c r="AX37" s="2063" t="str">
        <f>IF(AND(AS37=0, OR(AT37&gt;=1, AU37&gt;=1)), 'TRAD-Calculs dispo Données FA'!$B$81, "")</f>
        <v/>
      </c>
      <c r="AY37" s="2051"/>
      <c r="AZ37" s="2051"/>
      <c r="BA37" s="2051"/>
      <c r="BB37" s="2051"/>
      <c r="BC37" s="2051"/>
      <c r="BD37" s="2051"/>
      <c r="BE37" s="2051"/>
      <c r="BF37" s="2051"/>
      <c r="BG37" s="2051"/>
      <c r="BH37" s="2051"/>
      <c r="BI37" s="2051"/>
      <c r="BJ37" s="2051"/>
      <c r="BK37" s="2051"/>
      <c r="BL37" s="2051"/>
      <c r="BM37" s="2051"/>
      <c r="BN37" s="2051"/>
      <c r="BO37" s="2051"/>
      <c r="BP37" s="2051"/>
      <c r="BQ37" s="2051"/>
      <c r="BR37" s="2051"/>
      <c r="BS37" s="2051"/>
      <c r="BT37" s="2051"/>
    </row>
    <row r="38" spans="3:72" s="358" customFormat="1" x14ac:dyDescent="0.2">
      <c r="C38" s="374"/>
      <c r="D38" s="375"/>
      <c r="E38" s="376" t="str">
        <f>'Saisie données stocks'!F44</f>
        <v>AZT</v>
      </c>
      <c r="F38" s="377" t="str">
        <f>'Saisie données stocks'!G44</f>
        <v>Cp</v>
      </c>
      <c r="G38" s="1208" t="str">
        <f>'Saisie données stocks'!H44</f>
        <v>60 mg</v>
      </c>
      <c r="H38" s="378" t="str">
        <f>CONCATENATE(E38, " - ", G38, " - ", 'TRAD-Calculs dispo Données FA'!$B$79,"/", K38)</f>
        <v>AZT - 60 mg - B/60</v>
      </c>
      <c r="I38" s="380">
        <f>Calculs!K127</f>
        <v>2</v>
      </c>
      <c r="J38" s="380">
        <f t="shared" si="0"/>
        <v>60</v>
      </c>
      <c r="K38" s="114">
        <f>Calculs!J127</f>
        <v>60</v>
      </c>
      <c r="L38" s="381">
        <f t="shared" si="1"/>
        <v>1</v>
      </c>
      <c r="M38" s="1820">
        <f>IF('Saisie données stocks'!$O$10='TRAD-Saisie données stocks'!$B$51, 'Calculs Péremption conso'!BU32, Calculs!M287)</f>
        <v>0</v>
      </c>
      <c r="N38" s="1820">
        <f>Calculs!$L$342</f>
        <v>0</v>
      </c>
      <c r="O38" s="1820">
        <f>Calculs!$N$342</f>
        <v>0</v>
      </c>
      <c r="P38"/>
      <c r="Q38" s="2161" t="e">
        <f>IF(Calculs!N342&gt;0, (-(Calculs!N342+2*Calculs!L342)+SQRT((Calculs!N342+2*Calculs!L342)*(Calculs!N342+2*Calculs!L342)+8*Calculs!N342*(M38)))/(2*Calculs!N342), ((M38)/Calculs!L342))</f>
        <v>#DIV/0!</v>
      </c>
      <c r="R38" s="2161" t="e">
        <f t="shared" si="2"/>
        <v>#DIV/0!</v>
      </c>
      <c r="S38" s="2162" t="e">
        <f>Q38-Paramétrage!D$29</f>
        <v>#DIV/0!</v>
      </c>
      <c r="T38" s="2163" t="e">
        <f>IF(Q38&lt;Paramétrage!D$29, Q38, Paramétrage!D$29)</f>
        <v>#DIV/0!</v>
      </c>
      <c r="U38" s="2164" t="e">
        <f>Paramétrage!H$19+S38*(365/12)</f>
        <v>#DIV/0!</v>
      </c>
      <c r="V38" s="2165" t="e">
        <f>IF(Q38&lt;Paramétrage!D$29, Paramétrage!H$19+T38*(365/12), Paramétrage!H$19+Q38*(365/12))</f>
        <v>#DIV/0!</v>
      </c>
      <c r="W38" s="2051"/>
      <c r="X38" s="2161" t="str">
        <f>IF(ISERROR(Q38),"", IF(Q38=0, "", IF(Q38&gt;'Calculs Péremption conso'!$CB32, 'Calculs Péremption conso'!$CB32, Q38)))</f>
        <v/>
      </c>
      <c r="Y38" s="2166" t="str">
        <f>IF(ISERROR(R38),"", IF(R38=0, "", IF(R38&gt;'Calculs Péremption conso'!$CB32, 'Calculs Péremption conso'!$CB32, R38)))</f>
        <v/>
      </c>
      <c r="Z38" s="2162" t="str">
        <f>IF(ISERROR(Q38),"", IF(Q38=0, "", IF(Q38&gt;'Calculs Péremption conso'!$CB32, 'Calculs Péremption conso'!$CB32-Paramétrage!$D$29, S38)))</f>
        <v/>
      </c>
      <c r="AA38" s="2167" t="str">
        <f>IF(ISERROR(Q38),"", IF(Q38=0, "", IF(Q38&gt;'Calculs Péremption conso'!$CB32, Paramétrage!$D$29, T38)))</f>
        <v/>
      </c>
      <c r="AB38" s="2164" t="str">
        <f>IF(ISERROR(Q38),"", IF(Q38=0, "", IF(Q38&gt;'Calculs Péremption conso'!$CB32, 'Calculs Péremption conso'!$BX32-Paramétrage!$D$29*(365/12), U38)))</f>
        <v/>
      </c>
      <c r="AC38" s="2165" t="str">
        <f>IF(ISERROR(Q38), AW38, IF(Q38=0, IF(AND(M38=0, OR(N38&gt;0, O38&gt;0)), AX38, ""), IF(Q38&gt;'Calculs Péremption conso'!$CB32, IF(Q38&lt;'Saisie données stocks'!$N$14, CONCATENATE('TRAD-Calculs dispo Données FA'!$B$88, " - ", 'Calculs Péremption conso'!$BY32, "/", 'Calculs Péremption conso'!$BZ32, "/", 'Calculs Péremption conso'!$CA32), 'Calculs Péremption conso'!CC32), V38)))</f>
        <v/>
      </c>
      <c r="AD38" s="2051"/>
      <c r="AE38" s="2161" t="e">
        <f>((Calculs!M287)/Calculs!L342)</f>
        <v>#DIV/0!</v>
      </c>
      <c r="AF38" s="2161" t="e">
        <f t="shared" si="5"/>
        <v>#DIV/0!</v>
      </c>
      <c r="AG38" s="2162" t="e">
        <f>AE38-Paramétrage!D$29</f>
        <v>#DIV/0!</v>
      </c>
      <c r="AH38" s="2163" t="e">
        <f>IF(AE38&lt;Paramétrage!D$29, AE38, Paramétrage!D$29)</f>
        <v>#DIV/0!</v>
      </c>
      <c r="AI38" s="2164" t="e">
        <f>Paramétrage!H$19+AG38*(365/12)</f>
        <v>#DIV/0!</v>
      </c>
      <c r="AJ38" s="2165" t="e">
        <f>IF(AE38&lt;Paramétrage!D$29, Paramétrage!H$19+AH38*(365/12), Paramétrage!H$19+AE38*(365/12))</f>
        <v>#DIV/0!</v>
      </c>
      <c r="AK38" s="2051"/>
      <c r="AL38" s="2161" t="str">
        <f>IF(ISERROR(AE38),"", IF(AE38=0, "", IF(AE38&gt;'Calculs Péremption conso'!$CB32, 'Calculs Péremption conso'!$CB32, AE38)))</f>
        <v/>
      </c>
      <c r="AM38" s="2166" t="str">
        <f t="shared" si="6"/>
        <v/>
      </c>
      <c r="AN38" s="2162" t="str">
        <f>IF(ISERROR(AE38),"", IF(AE38=0, "", IF(AE38&gt;'Calculs Péremption conso'!$CB32, 'Calculs Péremption conso'!$CB32-Paramétrage!$D$29, AG38)))</f>
        <v/>
      </c>
      <c r="AO38" s="2167" t="str">
        <f>IF(ISERROR(AE38),"", IF(AE38=0, "", IF(AE38&gt;'Calculs Péremption conso'!$CB32, Paramétrage!$D$29, AH38)))</f>
        <v/>
      </c>
      <c r="AP38" s="2164" t="str">
        <f>IF(ISERROR(AE38),"", IF(AE38=0, "", IF(AE38&gt;'Calculs Péremption FA'!$CB32, 'Calculs Péremption FA'!$BX32-Paramétrage!$D$29*(365/12), AI38)))</f>
        <v/>
      </c>
      <c r="AQ38" s="2165" t="str">
        <f>IF(ISERROR(AE38),"", IF(AE38=0, "", IF(AE38&gt;'Calculs Péremption conso'!$CB32, CONCATENATE('TRAD-Calculs dispo Données FA'!$B$88, " - ", 'Calculs Péremption conso'!$BY32, "/", 'Calculs Péremption conso'!$BZ32, "/", 'Calculs Péremption conso'!$CA32), AJ38)))</f>
        <v/>
      </c>
      <c r="AR38" s="2051"/>
      <c r="AS38" s="2061">
        <f>Calculs!$M287</f>
        <v>0</v>
      </c>
      <c r="AT38" s="2062">
        <f>Calculs!$L342</f>
        <v>0</v>
      </c>
      <c r="AU38" s="2068">
        <f>Calculs!$N342</f>
        <v>0</v>
      </c>
      <c r="AV38" s="2070" t="str">
        <f>IF(AND(AU38=0, AS38=0, AT38=0), 'TRAD-Calculs dispo Données FA'!$B$82, "")</f>
        <v>Stock et besoin nul</v>
      </c>
      <c r="AW38" s="2062" t="str">
        <f>IF(AND(AU38=0, AS38&gt;0, AT38=0), CONCATENATE(AS38, 'TRAD-Calculs dispo Données FA'!$B$80," =0"), "")</f>
        <v/>
      </c>
      <c r="AX38" s="2063" t="str">
        <f>IF(AND(AS38=0, OR(AT38&gt;=1, AU38&gt;=1)), 'TRAD-Calculs dispo Données FA'!$B$81, "")</f>
        <v/>
      </c>
      <c r="AY38" s="2051"/>
      <c r="AZ38" s="2051"/>
      <c r="BA38" s="2051"/>
      <c r="BB38" s="2051"/>
      <c r="BC38" s="2051"/>
      <c r="BD38" s="2051"/>
      <c r="BE38" s="2051"/>
      <c r="BF38" s="2051"/>
      <c r="BG38" s="2051"/>
      <c r="BH38" s="2051"/>
      <c r="BI38" s="2051"/>
      <c r="BJ38" s="2051"/>
      <c r="BK38" s="2051"/>
      <c r="BL38" s="2051"/>
      <c r="BM38" s="2051"/>
      <c r="BN38" s="2051"/>
      <c r="BO38" s="2051"/>
      <c r="BP38" s="2051"/>
      <c r="BQ38" s="2051"/>
      <c r="BR38" s="2051"/>
      <c r="BS38" s="2051"/>
      <c r="BT38" s="2051"/>
    </row>
    <row r="39" spans="3:72" s="358" customFormat="1" x14ac:dyDescent="0.2">
      <c r="C39" s="374"/>
      <c r="D39" s="375"/>
      <c r="E39" s="376" t="str">
        <f>'Saisie données stocks'!F45</f>
        <v>D4T</v>
      </c>
      <c r="F39" s="377" t="str">
        <f>'Saisie données stocks'!G45</f>
        <v>Cp</v>
      </c>
      <c r="G39" s="383" t="str">
        <f>'Saisie données stocks'!H45</f>
        <v>30 mg</v>
      </c>
      <c r="H39" s="378" t="str">
        <f>CONCATENATE(E39, " - ", G39, " - ", 'TRAD-Calculs dispo Données FA'!$B$79,"/", K39)</f>
        <v>D4T - 30 mg - B/60</v>
      </c>
      <c r="I39" s="380">
        <f>Calculs!K128</f>
        <v>2</v>
      </c>
      <c r="J39" s="380">
        <f t="shared" si="0"/>
        <v>60</v>
      </c>
      <c r="K39" s="114">
        <f>Calculs!J128</f>
        <v>60</v>
      </c>
      <c r="L39" s="381">
        <f t="shared" si="1"/>
        <v>1</v>
      </c>
      <c r="M39" s="1820">
        <f>IF('Saisie données stocks'!$O$10='TRAD-Saisie données stocks'!$B$51, 'Calculs Péremption conso'!BU33, Calculs!M288)</f>
        <v>0</v>
      </c>
      <c r="N39" s="1820">
        <f>Calculs!$L$343</f>
        <v>0</v>
      </c>
      <c r="O39" s="1820">
        <f>Calculs!$N$343</f>
        <v>0</v>
      </c>
      <c r="P39"/>
      <c r="Q39" s="2161" t="e">
        <f>IF(Calculs!N343&gt;0, (-(Calculs!N343+2*Calculs!L343)+SQRT((Calculs!N343+2*Calculs!L343)*(Calculs!N343+2*Calculs!L343)+8*Calculs!N343*(M39)))/(2*Calculs!N343), ((M39)/Calculs!L343))</f>
        <v>#DIV/0!</v>
      </c>
      <c r="R39" s="2161" t="e">
        <f t="shared" si="2"/>
        <v>#DIV/0!</v>
      </c>
      <c r="S39" s="2162" t="e">
        <f>Q39-Paramétrage!D$29</f>
        <v>#DIV/0!</v>
      </c>
      <c r="T39" s="2163" t="e">
        <f>IF(Q39&lt;Paramétrage!D$29, Q39, Paramétrage!D$29)</f>
        <v>#DIV/0!</v>
      </c>
      <c r="U39" s="2164" t="e">
        <f>Paramétrage!H$19+S39*(365/12)</f>
        <v>#DIV/0!</v>
      </c>
      <c r="V39" s="2165" t="e">
        <f>IF(Q39&lt;Paramétrage!D$29, Paramétrage!H$19+T39*(365/12), Paramétrage!H$19+Q39*(365/12))</f>
        <v>#DIV/0!</v>
      </c>
      <c r="W39" s="2051"/>
      <c r="X39" s="2161" t="str">
        <f>IF(ISERROR(Q39),"", IF(Q39=0, "", IF(Q39&gt;'Calculs Péremption conso'!$CB33, 'Calculs Péremption conso'!$CB33, Q39)))</f>
        <v/>
      </c>
      <c r="Y39" s="2166" t="str">
        <f>IF(ISERROR(R39),"", IF(R39=0, "", IF(R39&gt;'Calculs Péremption conso'!$CB33, 'Calculs Péremption conso'!$CB33, R39)))</f>
        <v/>
      </c>
      <c r="Z39" s="2162" t="str">
        <f>IF(ISERROR(Q39),"", IF(Q39=0, "", IF(Q39&gt;'Calculs Péremption conso'!$CB33, 'Calculs Péremption conso'!$CB33-Paramétrage!$D$29, S39)))</f>
        <v/>
      </c>
      <c r="AA39" s="2167" t="str">
        <f>IF(ISERROR(Q39),"", IF(Q39=0, "", IF(Q39&gt;'Calculs Péremption conso'!$CB33, Paramétrage!$D$29, T39)))</f>
        <v/>
      </c>
      <c r="AB39" s="2164" t="str">
        <f>IF(ISERROR(Q39),"", IF(Q39=0, "", IF(Q39&gt;'Calculs Péremption conso'!$CB33, 'Calculs Péremption conso'!$BX33-Paramétrage!$D$29*(365/12), U39)))</f>
        <v/>
      </c>
      <c r="AC39" s="2165" t="str">
        <f>IF(ISERROR(Q39), AW39, IF(Q39=0, IF(AND(M39=0, OR(N39&gt;0, O39&gt;0)), AX39, ""), IF(Q39&gt;'Calculs Péremption conso'!$CB33, IF(Q39&lt;'Saisie données stocks'!$N$14, CONCATENATE('TRAD-Calculs dispo Données FA'!$B$88, " - ", 'Calculs Péremption conso'!$BY33, "/", 'Calculs Péremption conso'!$BZ33, "/", 'Calculs Péremption conso'!$CA33), 'Calculs Péremption conso'!CC33), V39)))</f>
        <v/>
      </c>
      <c r="AD39" s="2051"/>
      <c r="AE39" s="2161" t="e">
        <f>((Calculs!M288)/Calculs!L343)</f>
        <v>#DIV/0!</v>
      </c>
      <c r="AF39" s="2161" t="e">
        <f t="shared" si="5"/>
        <v>#DIV/0!</v>
      </c>
      <c r="AG39" s="2162" t="e">
        <f>AE39-Paramétrage!D$29</f>
        <v>#DIV/0!</v>
      </c>
      <c r="AH39" s="2163" t="e">
        <f>IF(AE39&lt;Paramétrage!D$29, AE39, Paramétrage!D$29)</f>
        <v>#DIV/0!</v>
      </c>
      <c r="AI39" s="2164" t="e">
        <f>Paramétrage!H$19+AG39*(365/12)</f>
        <v>#DIV/0!</v>
      </c>
      <c r="AJ39" s="2165" t="e">
        <f>IF(AE39&lt;Paramétrage!D$29, Paramétrage!H$19+AH39*(365/12), Paramétrage!H$19+AE39*(365/12))</f>
        <v>#DIV/0!</v>
      </c>
      <c r="AK39" s="2051"/>
      <c r="AL39" s="2161" t="str">
        <f>IF(ISERROR(AE39),"", IF(AE39=0, "", IF(AE39&gt;'Calculs Péremption conso'!$CB33, 'Calculs Péremption conso'!$CB33, AE39)))</f>
        <v/>
      </c>
      <c r="AM39" s="2166" t="str">
        <f t="shared" si="6"/>
        <v/>
      </c>
      <c r="AN39" s="2162" t="str">
        <f>IF(ISERROR(AE39),"", IF(AE39=0, "", IF(AE39&gt;'Calculs Péremption conso'!$CB33, 'Calculs Péremption conso'!$CB33-Paramétrage!$D$29, AG39)))</f>
        <v/>
      </c>
      <c r="AO39" s="2167" t="str">
        <f>IF(ISERROR(AE39),"", IF(AE39=0, "", IF(AE39&gt;'Calculs Péremption conso'!$CB33, Paramétrage!$D$29, AH39)))</f>
        <v/>
      </c>
      <c r="AP39" s="2164" t="str">
        <f>IF(ISERROR(AE39),"", IF(AE39=0, "", IF(AE39&gt;'Calculs Péremption FA'!$CB33, 'Calculs Péremption FA'!$BX33-Paramétrage!$D$29*(365/12), AI39)))</f>
        <v/>
      </c>
      <c r="AQ39" s="2165" t="str">
        <f>IF(ISERROR(AE39),"", IF(AE39=0, "", IF(AE39&gt;'Calculs Péremption conso'!$CB33, CONCATENATE('TRAD-Calculs dispo Données FA'!$B$88, " - ", 'Calculs Péremption conso'!$BY33, "/", 'Calculs Péremption conso'!$BZ33, "/", 'Calculs Péremption conso'!$CA33), AJ39)))</f>
        <v/>
      </c>
      <c r="AR39" s="2051"/>
      <c r="AS39" s="2061">
        <f>Calculs!$M288</f>
        <v>0</v>
      </c>
      <c r="AT39" s="2062">
        <f>Calculs!$L343</f>
        <v>0</v>
      </c>
      <c r="AU39" s="2068">
        <f>Calculs!$N343</f>
        <v>0</v>
      </c>
      <c r="AV39" s="2070" t="str">
        <f>IF(AND(AU39=0, AS39=0, AT39=0), 'TRAD-Calculs dispo Données FA'!$B$82, "")</f>
        <v>Stock et besoin nul</v>
      </c>
      <c r="AW39" s="2062" t="str">
        <f>IF(AND(AU39=0, AS39&gt;0, AT39=0), CONCATENATE(AS39, 'TRAD-Calculs dispo Données FA'!$B$80," =0"), "")</f>
        <v/>
      </c>
      <c r="AX39" s="2063" t="str">
        <f>IF(AND(AS39=0, OR(AT39&gt;=1, AU39&gt;=1)), 'TRAD-Calculs dispo Données FA'!$B$81, "")</f>
        <v/>
      </c>
      <c r="AY39" s="2051"/>
      <c r="AZ39" s="2051"/>
      <c r="BA39" s="2051"/>
      <c r="BB39" s="2051"/>
      <c r="BC39" s="2051"/>
      <c r="BD39" s="2051"/>
      <c r="BE39" s="2051"/>
      <c r="BF39" s="2051"/>
      <c r="BG39" s="2051"/>
      <c r="BH39" s="2051"/>
      <c r="BI39" s="2051"/>
      <c r="BJ39" s="2051"/>
      <c r="BK39" s="2051"/>
      <c r="BL39" s="2051"/>
      <c r="BM39" s="2051"/>
      <c r="BN39" s="2051"/>
      <c r="BO39" s="2051"/>
      <c r="BP39" s="2051"/>
      <c r="BQ39" s="2051"/>
      <c r="BR39" s="2051"/>
      <c r="BS39" s="2051"/>
      <c r="BT39" s="2051"/>
    </row>
    <row r="40" spans="3:72" s="358" customFormat="1" x14ac:dyDescent="0.2">
      <c r="C40" s="374"/>
      <c r="D40" s="375"/>
      <c r="E40" s="376" t="str">
        <f>'Saisie données stocks'!F46</f>
        <v>3TC</v>
      </c>
      <c r="F40" s="377" t="str">
        <f>'Saisie données stocks'!G46</f>
        <v>Cp</v>
      </c>
      <c r="G40" s="1208" t="str">
        <f>'Saisie données stocks'!H46</f>
        <v>150 mg</v>
      </c>
      <c r="H40" s="378" t="str">
        <f>CONCATENATE(E40, " - ", G40, " - ", 'TRAD-Calculs dispo Données FA'!$B$79,"/", K40)</f>
        <v>3TC - 150 mg - B/60</v>
      </c>
      <c r="I40" s="380">
        <f>Calculs!K129</f>
        <v>2</v>
      </c>
      <c r="J40" s="380">
        <f t="shared" si="0"/>
        <v>60</v>
      </c>
      <c r="K40" s="114">
        <f>Calculs!J129</f>
        <v>60</v>
      </c>
      <c r="L40" s="381">
        <f t="shared" si="1"/>
        <v>1</v>
      </c>
      <c r="M40" s="1820">
        <f>IF('Saisie données stocks'!$O$10='TRAD-Saisie données stocks'!$B$51, 'Calculs Péremption conso'!BU34, Calculs!M289)</f>
        <v>0</v>
      </c>
      <c r="N40" s="1820">
        <f>Calculs!$L$344</f>
        <v>0</v>
      </c>
      <c r="O40" s="1820">
        <f>Calculs!$N$344</f>
        <v>0</v>
      </c>
      <c r="P40"/>
      <c r="Q40" s="2161" t="e">
        <f>IF(Calculs!N344&gt;0, (-(Calculs!N344+2*Calculs!L344)+SQRT((Calculs!N344+2*Calculs!L344)*(Calculs!N344+2*Calculs!L344)+8*Calculs!N344*(M40)))/(2*Calculs!N344), ((M40)/Calculs!L344))</f>
        <v>#DIV/0!</v>
      </c>
      <c r="R40" s="2161" t="e">
        <f t="shared" si="2"/>
        <v>#DIV/0!</v>
      </c>
      <c r="S40" s="2162" t="e">
        <f>Q40-Paramétrage!D$29</f>
        <v>#DIV/0!</v>
      </c>
      <c r="T40" s="2163" t="e">
        <f>IF(Q40&lt;Paramétrage!D$29, Q40, Paramétrage!D$29)</f>
        <v>#DIV/0!</v>
      </c>
      <c r="U40" s="2164" t="e">
        <f>Paramétrage!H$19+S40*(365/12)</f>
        <v>#DIV/0!</v>
      </c>
      <c r="V40" s="2165" t="e">
        <f>IF(Q40&lt;Paramétrage!D$29, Paramétrage!H$19+T40*(365/12), Paramétrage!H$19+Q40*(365/12))</f>
        <v>#DIV/0!</v>
      </c>
      <c r="W40" s="2051"/>
      <c r="X40" s="2161" t="str">
        <f>IF(ISERROR(Q40),"", IF(Q40=0, "", IF(Q40&gt;'Calculs Péremption conso'!$CB34, 'Calculs Péremption conso'!$CB34, Q40)))</f>
        <v/>
      </c>
      <c r="Y40" s="2166" t="str">
        <f>IF(ISERROR(R40),"", IF(R40=0, "", IF(R40&gt;'Calculs Péremption conso'!$CB34, 'Calculs Péremption conso'!$CB34, R40)))</f>
        <v/>
      </c>
      <c r="Z40" s="2162" t="str">
        <f>IF(ISERROR(Q40),"", IF(Q40=0, "", IF(Q40&gt;'Calculs Péremption conso'!$CB34, 'Calculs Péremption conso'!$CB34-Paramétrage!$D$29, S40)))</f>
        <v/>
      </c>
      <c r="AA40" s="2167" t="str">
        <f>IF(ISERROR(Q40),"", IF(Q40=0, "", IF(Q40&gt;'Calculs Péremption conso'!$CB34, Paramétrage!$D$29, T40)))</f>
        <v/>
      </c>
      <c r="AB40" s="2164" t="str">
        <f>IF(ISERROR(Q40),"", IF(Q40=0, "", IF(Q40&gt;'Calculs Péremption conso'!$CB34, 'Calculs Péremption conso'!$BX34-Paramétrage!$D$29*(365/12), U40)))</f>
        <v/>
      </c>
      <c r="AC40" s="2165" t="str">
        <f>IF(ISERROR(Q40), AW40, IF(Q40=0, IF(AND(M40=0, OR(N40&gt;0, O40&gt;0)), AX40, ""), IF(Q40&gt;'Calculs Péremption conso'!$CB34, IF(Q40&lt;'Saisie données stocks'!$N$14, CONCATENATE('TRAD-Calculs dispo Données FA'!$B$88, " - ", 'Calculs Péremption conso'!$BY34, "/", 'Calculs Péremption conso'!$BZ34, "/", 'Calculs Péremption conso'!$CA34), 'Calculs Péremption conso'!CC34), V40)))</f>
        <v/>
      </c>
      <c r="AD40" s="2051"/>
      <c r="AE40" s="2161" t="e">
        <f>((Calculs!M289)/Calculs!L344)</f>
        <v>#DIV/0!</v>
      </c>
      <c r="AF40" s="2161" t="e">
        <f t="shared" si="5"/>
        <v>#DIV/0!</v>
      </c>
      <c r="AG40" s="2162" t="e">
        <f>AE40-Paramétrage!D$29</f>
        <v>#DIV/0!</v>
      </c>
      <c r="AH40" s="2163" t="e">
        <f>IF(AE40&lt;Paramétrage!D$29, AE40, Paramétrage!D$29)</f>
        <v>#DIV/0!</v>
      </c>
      <c r="AI40" s="2164" t="e">
        <f>Paramétrage!H$19+AG40*(365/12)</f>
        <v>#DIV/0!</v>
      </c>
      <c r="AJ40" s="2165" t="e">
        <f>IF(AE40&lt;Paramétrage!D$29, Paramétrage!H$19+AH40*(365/12), Paramétrage!H$19+AE40*(365/12))</f>
        <v>#DIV/0!</v>
      </c>
      <c r="AK40" s="2051"/>
      <c r="AL40" s="2161" t="str">
        <f>IF(ISERROR(AE40),"", IF(AE40=0, "", IF(AE40&gt;'Calculs Péremption conso'!$CB34, 'Calculs Péremption conso'!$CB34, AE40)))</f>
        <v/>
      </c>
      <c r="AM40" s="2166" t="str">
        <f t="shared" si="6"/>
        <v/>
      </c>
      <c r="AN40" s="2162" t="str">
        <f>IF(ISERROR(AE40),"", IF(AE40=0, "", IF(AE40&gt;'Calculs Péremption conso'!$CB34, 'Calculs Péremption conso'!$CB34-Paramétrage!$D$29, AG40)))</f>
        <v/>
      </c>
      <c r="AO40" s="2167" t="str">
        <f>IF(ISERROR(AE40),"", IF(AE40=0, "", IF(AE40&gt;'Calculs Péremption conso'!$CB34, Paramétrage!$D$29, AH40)))</f>
        <v/>
      </c>
      <c r="AP40" s="2164" t="str">
        <f>IF(ISERROR(AE40),"", IF(AE40=0, "", IF(AE40&gt;'Calculs Péremption FA'!$CB34, 'Calculs Péremption FA'!$BX34-Paramétrage!$D$29*(365/12), AI40)))</f>
        <v/>
      </c>
      <c r="AQ40" s="2165" t="str">
        <f>IF(ISERROR(AE40),"", IF(AE40=0, "", IF(AE40&gt;'Calculs Péremption conso'!$CB34, CONCATENATE('TRAD-Calculs dispo Données FA'!$B$88, " - ", 'Calculs Péremption conso'!$BY34, "/", 'Calculs Péremption conso'!$BZ34, "/", 'Calculs Péremption conso'!$CA34), AJ40)))</f>
        <v/>
      </c>
      <c r="AR40" s="2051"/>
      <c r="AS40" s="2061">
        <f>Calculs!$M289</f>
        <v>0</v>
      </c>
      <c r="AT40" s="2062">
        <f>Calculs!$L344</f>
        <v>0</v>
      </c>
      <c r="AU40" s="2068">
        <f>Calculs!$N344</f>
        <v>0</v>
      </c>
      <c r="AV40" s="2070" t="str">
        <f>IF(AND(AU40=0, AS40=0, AT40=0), 'TRAD-Calculs dispo Données FA'!$B$82, "")</f>
        <v>Stock et besoin nul</v>
      </c>
      <c r="AW40" s="2062" t="str">
        <f>IF(AND(AU40=0, AS40&gt;0, AT40=0), CONCATENATE(AS40, 'TRAD-Calculs dispo Données FA'!$B$80," =0"), "")</f>
        <v/>
      </c>
      <c r="AX40" s="2063" t="str">
        <f>IF(AND(AS40=0, OR(AT40&gt;=1, AU40&gt;=1)), 'TRAD-Calculs dispo Données FA'!$B$81, "")</f>
        <v/>
      </c>
      <c r="AY40" s="2051"/>
      <c r="AZ40" s="2051"/>
      <c r="BA40" s="2051"/>
      <c r="BB40" s="2051"/>
      <c r="BC40" s="2051"/>
      <c r="BD40" s="2051"/>
      <c r="BE40" s="2051"/>
      <c r="BF40" s="2051"/>
      <c r="BG40" s="2051"/>
      <c r="BH40" s="2051"/>
      <c r="BI40" s="2051"/>
      <c r="BJ40" s="2051"/>
      <c r="BK40" s="2051"/>
      <c r="BL40" s="2051"/>
      <c r="BM40" s="2051"/>
      <c r="BN40" s="2051"/>
      <c r="BO40" s="2051"/>
      <c r="BP40" s="2051"/>
      <c r="BQ40" s="2051"/>
      <c r="BR40" s="2051"/>
      <c r="BS40" s="2051"/>
      <c r="BT40" s="2051"/>
    </row>
    <row r="41" spans="3:72" s="358" customFormat="1" x14ac:dyDescent="0.2">
      <c r="C41" s="374"/>
      <c r="D41" s="375"/>
      <c r="E41" s="376" t="str">
        <f>'Saisie données stocks'!F47</f>
        <v>3TC</v>
      </c>
      <c r="F41" s="377" t="str">
        <f>'Saisie données stocks'!G47</f>
        <v>Cp</v>
      </c>
      <c r="G41" s="383" t="str">
        <f>'Saisie données stocks'!H47</f>
        <v>30 mg</v>
      </c>
      <c r="H41" s="378" t="str">
        <f>CONCATENATE(E41, " - ", G41, " - ", 'TRAD-Calculs dispo Données FA'!$B$79,"/", K41)</f>
        <v>3TC - 30 mg - B/60</v>
      </c>
      <c r="I41" s="380">
        <f>Calculs!K130</f>
        <v>2</v>
      </c>
      <c r="J41" s="380">
        <f t="shared" si="0"/>
        <v>60</v>
      </c>
      <c r="K41" s="114">
        <f>Calculs!J130</f>
        <v>60</v>
      </c>
      <c r="L41" s="381">
        <f t="shared" si="1"/>
        <v>1</v>
      </c>
      <c r="M41" s="1820">
        <f>IF('Saisie données stocks'!$O$10='TRAD-Saisie données stocks'!$B$51, 'Calculs Péremption conso'!BU35, Calculs!M290)</f>
        <v>0</v>
      </c>
      <c r="N41" s="1820">
        <f>Calculs!$L$345</f>
        <v>0</v>
      </c>
      <c r="O41" s="1820">
        <f>Calculs!$N$345</f>
        <v>0</v>
      </c>
      <c r="P41"/>
      <c r="Q41" s="2161" t="e">
        <f>IF(Calculs!N345&gt;0, (-(Calculs!N345+2*Calculs!L345)+SQRT((Calculs!N345+2*Calculs!L345)*(Calculs!N345+2*Calculs!L345)+8*Calculs!N345*(M41)))/(2*Calculs!N345), ((M41)/Calculs!L345))</f>
        <v>#DIV/0!</v>
      </c>
      <c r="R41" s="2161" t="e">
        <f t="shared" si="2"/>
        <v>#DIV/0!</v>
      </c>
      <c r="S41" s="2162" t="e">
        <f>Q41-Paramétrage!D$29</f>
        <v>#DIV/0!</v>
      </c>
      <c r="T41" s="2163" t="e">
        <f>IF(Q41&lt;Paramétrage!D$29, Q41, Paramétrage!D$29)</f>
        <v>#DIV/0!</v>
      </c>
      <c r="U41" s="2164" t="e">
        <f>Paramétrage!H$19+S41*(365/12)</f>
        <v>#DIV/0!</v>
      </c>
      <c r="V41" s="2165" t="e">
        <f>IF(Q41&lt;Paramétrage!D$29, Paramétrage!H$19+T41*(365/12), Paramétrage!H$19+Q41*(365/12))</f>
        <v>#DIV/0!</v>
      </c>
      <c r="W41" s="2051"/>
      <c r="X41" s="2161" t="str">
        <f>IF(ISERROR(Q41),"", IF(Q41=0, "", IF(Q41&gt;'Calculs Péremption conso'!$CB35, 'Calculs Péremption conso'!$CB35, Q41)))</f>
        <v/>
      </c>
      <c r="Y41" s="2166" t="str">
        <f>IF(ISERROR(R41),"", IF(R41=0, "", IF(R41&gt;'Calculs Péremption conso'!$CB35, 'Calculs Péremption conso'!$CB35, R41)))</f>
        <v/>
      </c>
      <c r="Z41" s="2162" t="str">
        <f>IF(ISERROR(Q41),"", IF(Q41=0, "", IF(Q41&gt;'Calculs Péremption conso'!$CB35, 'Calculs Péremption conso'!$CB35-Paramétrage!$D$29, S41)))</f>
        <v/>
      </c>
      <c r="AA41" s="2167" t="str">
        <f>IF(ISERROR(Q41),"", IF(Q41=0, "", IF(Q41&gt;'Calculs Péremption conso'!$CB35, Paramétrage!$D$29, T41)))</f>
        <v/>
      </c>
      <c r="AB41" s="2164" t="str">
        <f>IF(ISERROR(Q41),"", IF(Q41=0, "", IF(Q41&gt;'Calculs Péremption conso'!$CB35, 'Calculs Péremption conso'!$BX35-Paramétrage!$D$29*(365/12), U41)))</f>
        <v/>
      </c>
      <c r="AC41" s="2165" t="str">
        <f>IF(ISERROR(Q41), AW41, IF(Q41=0, IF(AND(M41=0, OR(N41&gt;0, O41&gt;0)), AX41, ""), IF(Q41&gt;'Calculs Péremption conso'!$CB35, IF(Q41&lt;'Saisie données stocks'!$N$14, CONCATENATE('TRAD-Calculs dispo Données FA'!$B$88, " - ", 'Calculs Péremption conso'!$BY35, "/", 'Calculs Péremption conso'!$BZ35, "/", 'Calculs Péremption conso'!$CA35), 'Calculs Péremption conso'!CC35), V41)))</f>
        <v/>
      </c>
      <c r="AD41" s="2051"/>
      <c r="AE41" s="2161" t="e">
        <f>((Calculs!M290)/Calculs!L345)</f>
        <v>#DIV/0!</v>
      </c>
      <c r="AF41" s="2161" t="e">
        <f t="shared" si="5"/>
        <v>#DIV/0!</v>
      </c>
      <c r="AG41" s="2162" t="e">
        <f>AE41-Paramétrage!D$29</f>
        <v>#DIV/0!</v>
      </c>
      <c r="AH41" s="2163" t="e">
        <f>IF(AE41&lt;Paramétrage!D$29, AE41, Paramétrage!D$29)</f>
        <v>#DIV/0!</v>
      </c>
      <c r="AI41" s="2164" t="e">
        <f>Paramétrage!H$19+AG41*(365/12)</f>
        <v>#DIV/0!</v>
      </c>
      <c r="AJ41" s="2165" t="e">
        <f>IF(AE41&lt;Paramétrage!D$29, Paramétrage!H$19+AH41*(365/12), Paramétrage!H$19+AE41*(365/12))</f>
        <v>#DIV/0!</v>
      </c>
      <c r="AK41" s="2051"/>
      <c r="AL41" s="2161" t="str">
        <f>IF(ISERROR(AE41),"", IF(AE41=0, "", IF(AE41&gt;'Calculs Péremption conso'!$CB35, 'Calculs Péremption conso'!$CB35, AE41)))</f>
        <v/>
      </c>
      <c r="AM41" s="2166" t="str">
        <f t="shared" si="6"/>
        <v/>
      </c>
      <c r="AN41" s="2162" t="str">
        <f>IF(ISERROR(AE41),"", IF(AE41=0, "", IF(AE41&gt;'Calculs Péremption conso'!$CB35, 'Calculs Péremption conso'!$CB35-Paramétrage!$D$29, AG41)))</f>
        <v/>
      </c>
      <c r="AO41" s="2167" t="str">
        <f>IF(ISERROR(AE41),"", IF(AE41=0, "", IF(AE41&gt;'Calculs Péremption conso'!$CB35, Paramétrage!$D$29, AH41)))</f>
        <v/>
      </c>
      <c r="AP41" s="2164" t="str">
        <f>IF(ISERROR(AE41),"", IF(AE41=0, "", IF(AE41&gt;'Calculs Péremption FA'!$CB35, 'Calculs Péremption FA'!$BX35-Paramétrage!$D$29*(365/12), AI41)))</f>
        <v/>
      </c>
      <c r="AQ41" s="2165" t="str">
        <f>IF(ISERROR(AE41),"", IF(AE41=0, "", IF(AE41&gt;'Calculs Péremption conso'!$CB35, CONCATENATE('TRAD-Calculs dispo Données FA'!$B$88, " - ", 'Calculs Péremption conso'!$BY35, "/", 'Calculs Péremption conso'!$BZ35, "/", 'Calculs Péremption conso'!$CA35), AJ41)))</f>
        <v/>
      </c>
      <c r="AR41" s="2051"/>
      <c r="AS41" s="2061">
        <f>Calculs!$M290</f>
        <v>0</v>
      </c>
      <c r="AT41" s="2062">
        <f>Calculs!$L345</f>
        <v>0</v>
      </c>
      <c r="AU41" s="2068">
        <f>Calculs!$N345</f>
        <v>0</v>
      </c>
      <c r="AV41" s="2070" t="str">
        <f>IF(AND(AU41=0, AS41=0, AT41=0), 'TRAD-Calculs dispo Données FA'!$B$82, "")</f>
        <v>Stock et besoin nul</v>
      </c>
      <c r="AW41" s="2062" t="str">
        <f>IF(AND(AU41=0, AS41&gt;0, AT41=0), CONCATENATE(AS41, 'TRAD-Calculs dispo Données FA'!$B$80," =0"), "")</f>
        <v/>
      </c>
      <c r="AX41" s="2063" t="str">
        <f>IF(AND(AS41=0, OR(AT41&gt;=1, AU41&gt;=1)), 'TRAD-Calculs dispo Données FA'!$B$81, "")</f>
        <v/>
      </c>
      <c r="AY41" s="2051"/>
      <c r="AZ41" s="2051"/>
      <c r="BA41" s="2051"/>
      <c r="BB41" s="2051"/>
      <c r="BC41" s="2051"/>
      <c r="BD41" s="2051"/>
      <c r="BE41" s="2051"/>
      <c r="BF41" s="2051"/>
      <c r="BG41" s="2051"/>
      <c r="BH41" s="2051"/>
      <c r="BI41" s="2051"/>
      <c r="BJ41" s="2051"/>
      <c r="BK41" s="2051"/>
      <c r="BL41" s="2051"/>
      <c r="BM41" s="2051"/>
      <c r="BN41" s="2051"/>
      <c r="BO41" s="2051"/>
      <c r="BP41" s="2051"/>
      <c r="BQ41" s="2051"/>
      <c r="BR41" s="2051"/>
      <c r="BS41" s="2051"/>
      <c r="BT41" s="2051"/>
    </row>
    <row r="42" spans="3:72" s="358" customFormat="1" x14ac:dyDescent="0.2">
      <c r="C42" s="374"/>
      <c r="D42" s="375"/>
      <c r="E42" s="382" t="str">
        <f>'Saisie données stocks'!F48</f>
        <v>DDI</v>
      </c>
      <c r="F42" s="383" t="str">
        <f>'Saisie données stocks'!G48</f>
        <v>Cp</v>
      </c>
      <c r="G42" s="383" t="str">
        <f>'Saisie données stocks'!H48</f>
        <v>250 mg</v>
      </c>
      <c r="H42" s="384" t="str">
        <f>CONCATENATE(E42, " - ", G42, " - ", 'TRAD-Calculs dispo Données FA'!$B$79,"/", K42)</f>
        <v>DDI - 250 mg - B/30</v>
      </c>
      <c r="I42" s="386">
        <f>Calculs!K131</f>
        <v>1</v>
      </c>
      <c r="J42" s="386">
        <f t="shared" si="0"/>
        <v>30</v>
      </c>
      <c r="K42" s="115">
        <f>Calculs!J131</f>
        <v>30</v>
      </c>
      <c r="L42" s="387">
        <f t="shared" si="1"/>
        <v>1</v>
      </c>
      <c r="M42" s="1820">
        <f>IF('Saisie données stocks'!$O$10='TRAD-Saisie données stocks'!$B$51, 'Calculs Péremption conso'!BU36, Calculs!M291)</f>
        <v>0</v>
      </c>
      <c r="N42" s="1820">
        <f>Calculs!$L$346</f>
        <v>0</v>
      </c>
      <c r="O42" s="1820">
        <f>Calculs!$N$346</f>
        <v>0</v>
      </c>
      <c r="P42"/>
      <c r="Q42" s="2161" t="e">
        <f>IF(Calculs!N346&gt;0, (-(Calculs!N346+2*Calculs!L346)+SQRT((Calculs!N346+2*Calculs!L346)*(Calculs!N346+2*Calculs!L346)+8*Calculs!N346*(M42)))/(2*Calculs!N346), ((M42)/Calculs!L346))</f>
        <v>#DIV/0!</v>
      </c>
      <c r="R42" s="2161" t="e">
        <f t="shared" si="2"/>
        <v>#DIV/0!</v>
      </c>
      <c r="S42" s="2173" t="e">
        <f>Q42-Paramétrage!D$29</f>
        <v>#DIV/0!</v>
      </c>
      <c r="T42" s="2169" t="e">
        <f>IF(Q42&lt;Paramétrage!D$29, Q42, Paramétrage!D$29)</f>
        <v>#DIV/0!</v>
      </c>
      <c r="U42" s="2170" t="e">
        <f>Paramétrage!H$19+S42*(365/12)</f>
        <v>#DIV/0!</v>
      </c>
      <c r="V42" s="2171" t="e">
        <f>IF(Q42&lt;Paramétrage!D$29, Paramétrage!H$19+T42*(365/12), Paramétrage!H$19+Q42*(365/12))</f>
        <v>#DIV/0!</v>
      </c>
      <c r="W42" s="2051"/>
      <c r="X42" s="2161" t="str">
        <f>IF(ISERROR(Q42),"", IF(Q42=0, "", IF(Q42&gt;'Calculs Péremption conso'!$CB36, 'Calculs Péremption conso'!$CB36, Q42)))</f>
        <v/>
      </c>
      <c r="Y42" s="2166" t="str">
        <f>IF(ISERROR(R42),"", IF(R42=0, "", IF(R42&gt;'Calculs Péremption conso'!$CB36, 'Calculs Péremption conso'!$CB36, R42)))</f>
        <v/>
      </c>
      <c r="Z42" s="2173" t="str">
        <f>IF(ISERROR(Q42),"", IF(Q42=0, "", IF(Q42&gt;'Calculs Péremption conso'!$CB36, 'Calculs Péremption conso'!$CB36-Paramétrage!$D$29, S42)))</f>
        <v/>
      </c>
      <c r="AA42" s="2174" t="str">
        <f>IF(ISERROR(Q42),"", IF(Q42=0, "", IF(Q42&gt;'Calculs Péremption conso'!$CB36, Paramétrage!$D$29, T42)))</f>
        <v/>
      </c>
      <c r="AB42" s="2170" t="str">
        <f>IF(ISERROR(Q42),"", IF(Q42=0, "", IF(Q42&gt;'Calculs Péremption conso'!$CB36, 'Calculs Péremption conso'!$BX36-Paramétrage!$D$29*(365/12), U42)))</f>
        <v/>
      </c>
      <c r="AC42" s="2171" t="str">
        <f>IF(ISERROR(Q42), AW42, IF(Q42=0, IF(AND(M42=0, OR(N42&gt;0, O42&gt;0)), AX42, ""), IF(Q42&gt;'Calculs Péremption conso'!$CB36, IF(Q42&lt;'Saisie données stocks'!$N$14, CONCATENATE('TRAD-Calculs dispo Données FA'!$B$88, " - ", 'Calculs Péremption conso'!$BY36, "/", 'Calculs Péremption conso'!$BZ36, "/", 'Calculs Péremption conso'!$CA36), 'Calculs Péremption conso'!CC36), V42)))</f>
        <v/>
      </c>
      <c r="AD42" s="2051"/>
      <c r="AE42" s="2161" t="e">
        <f>((Calculs!M291)/Calculs!L346)</f>
        <v>#DIV/0!</v>
      </c>
      <c r="AF42" s="2161" t="e">
        <f t="shared" si="5"/>
        <v>#DIV/0!</v>
      </c>
      <c r="AG42" s="2173" t="e">
        <f>AE42-Paramétrage!D$29</f>
        <v>#DIV/0!</v>
      </c>
      <c r="AH42" s="2169" t="e">
        <f>IF(AE42&lt;Paramétrage!D$29, AE42, Paramétrage!D$29)</f>
        <v>#DIV/0!</v>
      </c>
      <c r="AI42" s="2170" t="e">
        <f>Paramétrage!H$19+AG42*(365/12)</f>
        <v>#DIV/0!</v>
      </c>
      <c r="AJ42" s="2171" t="e">
        <f>IF(AE42&lt;Paramétrage!D$29, Paramétrage!H$19+AH42*(365/12), Paramétrage!H$19+AE42*(365/12))</f>
        <v>#DIV/0!</v>
      </c>
      <c r="AK42" s="2051"/>
      <c r="AL42" s="2161" t="str">
        <f>IF(ISERROR(AE42),"", IF(AE42=0, "", IF(AE42&gt;'Calculs Péremption conso'!$CB36, 'Calculs Péremption conso'!$CB36, AE42)))</f>
        <v/>
      </c>
      <c r="AM42" s="2166" t="str">
        <f t="shared" si="6"/>
        <v/>
      </c>
      <c r="AN42" s="2173" t="str">
        <f>IF(ISERROR(AE42),"", IF(AE42=0, "", IF(AE42&gt;'Calculs Péremption conso'!$CB36, 'Calculs Péremption conso'!$CB36-Paramétrage!$D$29, AG42)))</f>
        <v/>
      </c>
      <c r="AO42" s="2174" t="str">
        <f>IF(ISERROR(AE42),"", IF(AE42=0, "", IF(AE42&gt;'Calculs Péremption conso'!$CB36, Paramétrage!$D$29, AH42)))</f>
        <v/>
      </c>
      <c r="AP42" s="2170" t="str">
        <f>IF(ISERROR(AE42),"", IF(AE42=0, "", IF(AE42&gt;'Calculs Péremption FA'!$CB36, 'Calculs Péremption FA'!$BX36-Paramétrage!$D$29*(365/12), AI42)))</f>
        <v/>
      </c>
      <c r="AQ42" s="2171" t="str">
        <f>IF(ISERROR(AE42),"", IF(AE42=0, "", IF(AE42&gt;'Calculs Péremption conso'!$CB36, CONCATENATE('TRAD-Calculs dispo Données FA'!$B$88, " - ", 'Calculs Péremption conso'!$BY36, "/", 'Calculs Péremption conso'!$BZ36, "/", 'Calculs Péremption conso'!$CA36), AJ42)))</f>
        <v/>
      </c>
      <c r="AR42" s="2051"/>
      <c r="AS42" s="2061">
        <f>Calculs!$M291</f>
        <v>0</v>
      </c>
      <c r="AT42" s="2062">
        <f>Calculs!$L346</f>
        <v>0</v>
      </c>
      <c r="AU42" s="2068">
        <f>Calculs!$N346</f>
        <v>0</v>
      </c>
      <c r="AV42" s="2070" t="str">
        <f>IF(AND(AU42=0, AS42=0, AT42=0), 'TRAD-Calculs dispo Données FA'!$B$82, "")</f>
        <v>Stock et besoin nul</v>
      </c>
      <c r="AW42" s="2062" t="str">
        <f>IF(AND(AU42=0, AS42&gt;0, AT42=0), CONCATENATE(AS42, 'TRAD-Calculs dispo Données FA'!$B$80," =0"), "")</f>
        <v/>
      </c>
      <c r="AX42" s="2063" t="str">
        <f>IF(AND(AS42=0, OR(AT42&gt;=1, AU42&gt;=1)), 'TRAD-Calculs dispo Données FA'!$B$81, "")</f>
        <v/>
      </c>
      <c r="AY42" s="2051"/>
      <c r="AZ42" s="2051"/>
      <c r="BA42" s="2051"/>
      <c r="BB42" s="2051"/>
      <c r="BC42" s="2051"/>
      <c r="BD42" s="2051"/>
      <c r="BE42" s="2051"/>
      <c r="BF42" s="2051"/>
      <c r="BG42" s="2051"/>
      <c r="BH42" s="2051"/>
      <c r="BI42" s="2051"/>
      <c r="BJ42" s="2051"/>
      <c r="BK42" s="2051"/>
      <c r="BL42" s="2051"/>
      <c r="BM42" s="2051"/>
      <c r="BN42" s="2051"/>
      <c r="BO42" s="2051"/>
      <c r="BP42" s="2051"/>
      <c r="BQ42" s="2051"/>
      <c r="BR42" s="2051"/>
      <c r="BS42" s="2051"/>
      <c r="BT42" s="2051"/>
    </row>
    <row r="43" spans="3:72" s="358" customFormat="1" x14ac:dyDescent="0.2">
      <c r="C43" s="374"/>
      <c r="D43" s="375"/>
      <c r="E43" s="382" t="str">
        <f>'Saisie données stocks'!F49</f>
        <v>DDI</v>
      </c>
      <c r="F43" s="383" t="str">
        <f>'Saisie données stocks'!G49</f>
        <v>Cp</v>
      </c>
      <c r="G43" s="397" t="str">
        <f>'Saisie données stocks'!H49</f>
        <v>400 mg</v>
      </c>
      <c r="H43" s="384" t="str">
        <f>CONCATENATE(E43, " - ", G43, " - ", 'TRAD-Calculs dispo Données FA'!$B$79,"/", K43)</f>
        <v>DDI - 400 mg - B/30</v>
      </c>
      <c r="I43" s="399">
        <f>Calculs!K132</f>
        <v>1</v>
      </c>
      <c r="J43" s="399">
        <f t="shared" si="0"/>
        <v>30</v>
      </c>
      <c r="K43" s="117">
        <f>Calculs!J132</f>
        <v>30</v>
      </c>
      <c r="L43" s="400">
        <f t="shared" si="1"/>
        <v>1</v>
      </c>
      <c r="M43" s="1823">
        <f>IF('Saisie données stocks'!$O$10='TRAD-Saisie données stocks'!$B$51, 'Calculs Péremption conso'!BU37, Calculs!M292)</f>
        <v>19.594520547945208</v>
      </c>
      <c r="N43" s="1871">
        <f>Calculs!$L$347</f>
        <v>2</v>
      </c>
      <c r="O43" s="1871">
        <f>Calculs!$N$347</f>
        <v>0</v>
      </c>
      <c r="P43"/>
      <c r="Q43" s="2184">
        <f>IF(Calculs!N347&gt;0, (-(Calculs!N347+2*Calculs!L347)+SQRT((Calculs!N347+2*Calculs!L347)*(Calculs!N347+2*Calculs!L347)+8*Calculs!N347*(M43)))/(2*Calculs!N347), ((M43)/Calculs!L347))</f>
        <v>9.7972602739726042</v>
      </c>
      <c r="R43" s="2184">
        <f t="shared" si="2"/>
        <v>9.7972602739726042</v>
      </c>
      <c r="S43" s="2173">
        <f>Q43-Paramétrage!D$29</f>
        <v>6.7972602739726042</v>
      </c>
      <c r="T43" s="2169">
        <f>IF(Q43&lt;Paramétrage!D$29, Q43, Paramétrage!D$29)</f>
        <v>3</v>
      </c>
      <c r="U43" s="2186">
        <f>Paramétrage!H$19+S43*(365/12)</f>
        <v>42125.75</v>
      </c>
      <c r="V43" s="2187">
        <f>IF(Q43&lt;Paramétrage!D$29, Paramétrage!H$19+T43*(365/12), Paramétrage!H$19+Q43*(365/12))</f>
        <v>42217</v>
      </c>
      <c r="W43" s="2051"/>
      <c r="X43" s="2184">
        <f>IF(ISERROR(Q43),"", IF(Q43=0, "", IF(Q43&gt;'Calculs Péremption conso'!$CB37, 'Calculs Péremption conso'!$CB37, Q43)))</f>
        <v>9.7972602739726042</v>
      </c>
      <c r="Y43" s="2188">
        <f>IF(ISERROR(R43),"", IF(R43=0, "", IF(R43&gt;'Calculs Péremption conso'!$CB37, 'Calculs Péremption conso'!$CB37, R43)))</f>
        <v>9.7972602739726042</v>
      </c>
      <c r="Z43" s="2173">
        <f>IF(ISERROR(Q43),"", IF(Q43=0, "", IF(Q43&gt;'Calculs Péremption conso'!$CB37, 'Calculs Péremption conso'!$CB37-Paramétrage!$D$29, S43)))</f>
        <v>6.7972602739726042</v>
      </c>
      <c r="AA43" s="2174">
        <f>IF(ISERROR(Q43),"", IF(Q43=0, "", IF(Q43&gt;'Calculs Péremption conso'!$CB37, Paramétrage!$D$29, T43)))</f>
        <v>3</v>
      </c>
      <c r="AB43" s="2186">
        <f>IF(ISERROR(Q43),"", IF(Q43=0, "", IF(Q43&gt;'Calculs Péremption conso'!$CB37, 'Calculs Péremption conso'!$BX37-Paramétrage!$D$29*(365/12), U43)))</f>
        <v>42125.75</v>
      </c>
      <c r="AC43" s="2187">
        <f>IF(ISERROR(Q43), AW43, IF(Q43=0, IF(AND(M43=0, OR(N43&gt;0, O43&gt;0)), AX43, ""), IF(Q43&gt;'Calculs Péremption conso'!$CB37, IF(Q43&lt;'Saisie données stocks'!$N$14, CONCATENATE('TRAD-Calculs dispo Données FA'!$B$88, " - ", 'Calculs Péremption conso'!$BY37, "/", 'Calculs Péremption conso'!$BZ37, "/", 'Calculs Péremption conso'!$CA37), 'Calculs Péremption conso'!CC37), V43)))</f>
        <v>42217</v>
      </c>
      <c r="AD43" s="2051"/>
      <c r="AE43" s="2184">
        <f>((Calculs!M292)/Calculs!L347)</f>
        <v>478</v>
      </c>
      <c r="AF43" s="2184">
        <f t="shared" si="5"/>
        <v>468.2027397260274</v>
      </c>
      <c r="AG43" s="2173">
        <f>AE43-Paramétrage!D$29</f>
        <v>475</v>
      </c>
      <c r="AH43" s="2169">
        <f>IF(AE43&lt;Paramétrage!D$29, AE43, Paramétrage!D$29)</f>
        <v>3</v>
      </c>
      <c r="AI43" s="2186">
        <f>Paramétrage!H$19+AG43*(365/12)</f>
        <v>56366.916666666672</v>
      </c>
      <c r="AJ43" s="2187">
        <f>IF(AE43&lt;Paramétrage!D$29, Paramétrage!H$19+AH43*(365/12), Paramétrage!H$19+AE43*(365/12))</f>
        <v>56458.166666666672</v>
      </c>
      <c r="AK43" s="2051"/>
      <c r="AL43" s="2184">
        <f>IF(ISERROR(AE43),"", IF(AE43=0, "", IF(AE43&gt;'Calculs Péremption conso'!$CB37, 'Calculs Péremption conso'!$CB37, AE43)))</f>
        <v>9.7972602739726025</v>
      </c>
      <c r="AM43" s="2188">
        <f t="shared" si="6"/>
        <v>-1.7763568394002505E-15</v>
      </c>
      <c r="AN43" s="2173">
        <f>IF(ISERROR(AE43),"", IF(AE43=0, "", IF(AE43&gt;'Calculs Péremption conso'!$CB37, 'Calculs Péremption conso'!$CB37-Paramétrage!$D$29, AG43)))</f>
        <v>6.7972602739726025</v>
      </c>
      <c r="AO43" s="2174">
        <f>IF(ISERROR(AE43),"", IF(AE43=0, "", IF(AE43&gt;'Calculs Péremption conso'!$CB37, Paramétrage!$D$29, AH43)))</f>
        <v>3</v>
      </c>
      <c r="AP43" s="2186">
        <f>IF(ISERROR(AE43),"", IF(AE43=0, "", IF(AE43&gt;'Calculs Péremption FA'!$CB37, 'Calculs Péremption FA'!$BX37-Paramétrage!$D$29*(365/12), AI43)))</f>
        <v>42125.75</v>
      </c>
      <c r="AQ43" s="2187" t="str">
        <f>IF(ISERROR(AE43),"", IF(AE43=0, "", IF(AE43&gt;'Calculs Péremption conso'!$CB37, CONCATENATE('TRAD-Calculs dispo Données FA'!$B$88, " - ", 'Calculs Péremption conso'!$BY37, "/", 'Calculs Péremption conso'!$BZ37, "/", 'Calculs Péremption conso'!$CA37), AJ43)))</f>
        <v>DLU - 1/8/2015</v>
      </c>
      <c r="AR43" s="2051"/>
      <c r="AS43" s="2061">
        <f>Calculs!$M292</f>
        <v>956</v>
      </c>
      <c r="AT43" s="2062">
        <f>Calculs!$L347</f>
        <v>2</v>
      </c>
      <c r="AU43" s="2068">
        <f>Calculs!$N347</f>
        <v>0</v>
      </c>
      <c r="AV43" s="2070" t="str">
        <f>IF(AND(AU43=0, AS43=0, AT43=0), 'TRAD-Calculs dispo Données FA'!$B$82, "")</f>
        <v/>
      </c>
      <c r="AW43" s="2062" t="str">
        <f>IF(AND(AU43=0, AS43&gt;0, AT43=0), CONCATENATE(AS43, 'TRAD-Calculs dispo Données FA'!$B$80," =0"), "")</f>
        <v/>
      </c>
      <c r="AX43" s="2063" t="str">
        <f>IF(AND(AS43=0, OR(AT43&gt;=1, AU43&gt;=1)), 'TRAD-Calculs dispo Données FA'!$B$81, "")</f>
        <v/>
      </c>
      <c r="AY43" s="2051"/>
      <c r="AZ43" s="2051"/>
      <c r="BA43" s="2051"/>
      <c r="BB43" s="2051"/>
      <c r="BC43" s="2051"/>
      <c r="BD43" s="2051"/>
      <c r="BE43" s="2051"/>
      <c r="BF43" s="2051"/>
      <c r="BG43" s="2051"/>
      <c r="BH43" s="2051"/>
      <c r="BI43" s="2051"/>
      <c r="BJ43" s="2051"/>
      <c r="BK43" s="2051"/>
      <c r="BL43" s="2051"/>
      <c r="BM43" s="2051"/>
      <c r="BN43" s="2051"/>
      <c r="BO43" s="2051"/>
      <c r="BP43" s="2051"/>
      <c r="BQ43" s="2051"/>
      <c r="BR43" s="2051"/>
      <c r="BS43" s="2051"/>
      <c r="BT43" s="2051"/>
    </row>
    <row r="44" spans="3:72" s="358" customFormat="1" x14ac:dyDescent="0.2">
      <c r="C44" s="388"/>
      <c r="D44" s="389"/>
      <c r="E44" s="390" t="str">
        <f>'Saisie données stocks'!F50</f>
        <v>TDF</v>
      </c>
      <c r="F44" s="391" t="str">
        <f>'Saisie données stocks'!G50</f>
        <v>Cp</v>
      </c>
      <c r="G44" s="391" t="str">
        <f>'Saisie données stocks'!H50</f>
        <v>300 mg</v>
      </c>
      <c r="H44" s="401" t="str">
        <f>CONCATENATE(E44, " - ", G44, " - ", 'TRAD-Calculs dispo Données FA'!$B$79,"/", K44)</f>
        <v>TDF - 300 mg - B/30</v>
      </c>
      <c r="I44" s="394">
        <f>Calculs!K133</f>
        <v>1</v>
      </c>
      <c r="J44" s="394">
        <f t="shared" si="0"/>
        <v>30</v>
      </c>
      <c r="K44" s="116">
        <f>Calculs!J133</f>
        <v>30</v>
      </c>
      <c r="L44" s="395">
        <f t="shared" si="1"/>
        <v>1</v>
      </c>
      <c r="M44" s="1822">
        <f>IF('Saisie données stocks'!$O$10='TRAD-Saisie données stocks'!$B$51, 'Calculs Péremption conso'!BU38, Calculs!M293)</f>
        <v>0</v>
      </c>
      <c r="N44" s="1822">
        <f>Calculs!$L$348</f>
        <v>0</v>
      </c>
      <c r="O44" s="1822">
        <f>Calculs!$N$348</f>
        <v>0</v>
      </c>
      <c r="P44"/>
      <c r="Q44" s="2175" t="e">
        <f>IF(Calculs!N348&gt;0, (-(Calculs!N348+2*Calculs!L348)+SQRT((Calculs!N348+2*Calculs!L348)*(Calculs!N348+2*Calculs!L348)+8*Calculs!N348*(M44)))/(2*Calculs!N348), ((M44)/Calculs!L348))</f>
        <v>#DIV/0!</v>
      </c>
      <c r="R44" s="2175" t="e">
        <f t="shared" si="2"/>
        <v>#DIV/0!</v>
      </c>
      <c r="S44" s="2181" t="e">
        <f>Q44-Paramétrage!D$29</f>
        <v>#DIV/0!</v>
      </c>
      <c r="T44" s="2182" t="e">
        <f>IF(Q44&lt;Paramétrage!D$29, Q44, Paramétrage!D$29)</f>
        <v>#DIV/0!</v>
      </c>
      <c r="U44" s="2178" t="e">
        <f>Paramétrage!H$19+S44*(365/12)</f>
        <v>#DIV/0!</v>
      </c>
      <c r="V44" s="2179" t="e">
        <f>IF(Q44&lt;Paramétrage!D$29, Paramétrage!H$19+T44*(365/12), Paramétrage!H$19+Q44*(365/12))</f>
        <v>#DIV/0!</v>
      </c>
      <c r="W44" s="2051"/>
      <c r="X44" s="2175" t="str">
        <f>IF(ISERROR(Q44),"", IF(Q44=0, "", IF(Q44&gt;'Calculs Péremption conso'!$CB38, 'Calculs Péremption conso'!$CB38, Q44)))</f>
        <v/>
      </c>
      <c r="Y44" s="2180" t="str">
        <f>IF(ISERROR(R44),"", IF(R44=0, "", IF(R44&gt;'Calculs Péremption conso'!$CB38, 'Calculs Péremption conso'!$CB38, R44)))</f>
        <v/>
      </c>
      <c r="Z44" s="2181" t="str">
        <f>IF(ISERROR(Q44),"", IF(Q44=0, "", IF(Q44&gt;'Calculs Péremption conso'!$CB38, 'Calculs Péremption conso'!$CB38-Paramétrage!$D$29, S44)))</f>
        <v/>
      </c>
      <c r="AA44" s="2182" t="str">
        <f>IF(ISERROR(Q44),"", IF(Q44=0, "", IF(Q44&gt;'Calculs Péremption conso'!$CB38, Paramétrage!$D$29, T44)))</f>
        <v/>
      </c>
      <c r="AB44" s="2178" t="str">
        <f>IF(ISERROR(Q44),"", IF(Q44=0, "", IF(Q44&gt;'Calculs Péremption conso'!$CB38, 'Calculs Péremption conso'!$BX38-Paramétrage!$D$29*(365/12), U44)))</f>
        <v/>
      </c>
      <c r="AC44" s="2179" t="str">
        <f>IF(ISERROR(Q44), AW44, IF(Q44=0, IF(AND(M44=0, OR(N44&gt;0, O44&gt;0)), AX44, ""), IF(Q44&gt;'Calculs Péremption conso'!$CB38, IF(Q44&lt;'Saisie données stocks'!$N$14, CONCATENATE('TRAD-Calculs dispo Données FA'!$B$88, " - ", 'Calculs Péremption conso'!$BY38, "/", 'Calculs Péremption conso'!$BZ38, "/", 'Calculs Péremption conso'!$CA38), 'Calculs Péremption conso'!CC38), V44)))</f>
        <v/>
      </c>
      <c r="AD44" s="2051"/>
      <c r="AE44" s="2175" t="e">
        <f>((Calculs!M293)/Calculs!L348)</f>
        <v>#DIV/0!</v>
      </c>
      <c r="AF44" s="2175" t="e">
        <f t="shared" si="5"/>
        <v>#DIV/0!</v>
      </c>
      <c r="AG44" s="2181" t="e">
        <f>AE44-Paramétrage!D$29</f>
        <v>#DIV/0!</v>
      </c>
      <c r="AH44" s="2182" t="e">
        <f>IF(AE44&lt;Paramétrage!D$29, AE44, Paramétrage!D$29)</f>
        <v>#DIV/0!</v>
      </c>
      <c r="AI44" s="2178" t="e">
        <f>Paramétrage!H$19+AG44*(365/12)</f>
        <v>#DIV/0!</v>
      </c>
      <c r="AJ44" s="2179" t="e">
        <f>IF(AE44&lt;Paramétrage!D$29, Paramétrage!H$19+AH44*(365/12), Paramétrage!H$19+AE44*(365/12))</f>
        <v>#DIV/0!</v>
      </c>
      <c r="AK44" s="2051"/>
      <c r="AL44" s="2175" t="str">
        <f>IF(ISERROR(AE44),"", IF(AE44=0, "", IF(AE44&gt;'Calculs Péremption conso'!$CB38, 'Calculs Péremption conso'!$CB38, AE44)))</f>
        <v/>
      </c>
      <c r="AM44" s="2180" t="str">
        <f t="shared" si="6"/>
        <v/>
      </c>
      <c r="AN44" s="2181" t="str">
        <f>IF(ISERROR(AE44),"", IF(AE44=0, "", IF(AE44&gt;'Calculs Péremption conso'!$CB38, 'Calculs Péremption conso'!$CB38-Paramétrage!$D$29, AG44)))</f>
        <v/>
      </c>
      <c r="AO44" s="2182" t="str">
        <f>IF(ISERROR(AE44),"", IF(AE44=0, "", IF(AE44&gt;'Calculs Péremption conso'!$CB38, Paramétrage!$D$29, AH44)))</f>
        <v/>
      </c>
      <c r="AP44" s="2178" t="str">
        <f>IF(ISERROR(AE44),"", IF(AE44=0, "", IF(AE44&gt;'Calculs Péremption FA'!$CB38, 'Calculs Péremption FA'!$BX38-Paramétrage!$D$29*(365/12), AI44)))</f>
        <v/>
      </c>
      <c r="AQ44" s="2179" t="str">
        <f>IF(ISERROR(AE44),"", IF(AE44=0, "", IF(AE44&gt;'Calculs Péremption conso'!$CB38, CONCATENATE('TRAD-Calculs dispo Données FA'!$B$88, " - ", 'Calculs Péremption conso'!$BY38, "/", 'Calculs Péremption conso'!$BZ38, "/", 'Calculs Péremption conso'!$CA38), AJ44)))</f>
        <v/>
      </c>
      <c r="AR44" s="2051"/>
      <c r="AS44" s="2061">
        <f>Calculs!$M293</f>
        <v>0</v>
      </c>
      <c r="AT44" s="2062">
        <f>Calculs!$L348</f>
        <v>0</v>
      </c>
      <c r="AU44" s="2068">
        <f>Calculs!$N348</f>
        <v>0</v>
      </c>
      <c r="AV44" s="2070" t="str">
        <f>IF(AND(AU44=0, AS44=0, AT44=0), 'TRAD-Calculs dispo Données FA'!$B$82, "")</f>
        <v>Stock et besoin nul</v>
      </c>
      <c r="AW44" s="2062" t="str">
        <f>IF(AND(AU44=0, AS44&gt;0, AT44=0), CONCATENATE(AS44, 'TRAD-Calculs dispo Données FA'!$B$80," =0"), "")</f>
        <v/>
      </c>
      <c r="AX44" s="2063" t="str">
        <f>IF(AND(AS44=0, OR(AT44&gt;=1, AU44&gt;=1)), 'TRAD-Calculs dispo Données FA'!$B$81, "")</f>
        <v/>
      </c>
      <c r="AY44" s="2051"/>
      <c r="AZ44" s="2051"/>
      <c r="BA44" s="2051"/>
      <c r="BB44" s="2051"/>
      <c r="BC44" s="2051"/>
      <c r="BD44" s="2051"/>
      <c r="BE44" s="2051"/>
      <c r="BF44" s="2051"/>
      <c r="BG44" s="2051"/>
      <c r="BH44" s="2051"/>
      <c r="BI44" s="2051"/>
      <c r="BJ44" s="2051"/>
      <c r="BK44" s="2051"/>
      <c r="BL44" s="2051"/>
      <c r="BM44" s="2051"/>
      <c r="BN44" s="2051"/>
      <c r="BO44" s="2051"/>
      <c r="BP44" s="2051"/>
      <c r="BQ44" s="2051"/>
      <c r="BR44" s="2051"/>
      <c r="BS44" s="2051"/>
      <c r="BT44" s="2051"/>
    </row>
    <row r="45" spans="3:72" s="358" customFormat="1" x14ac:dyDescent="0.2">
      <c r="C45" s="374"/>
      <c r="D45" s="375" t="s">
        <v>41</v>
      </c>
      <c r="E45" s="376" t="str">
        <f>'Saisie données stocks'!F51</f>
        <v>LPV/r</v>
      </c>
      <c r="F45" s="377" t="str">
        <f>'Saisie données stocks'!G51</f>
        <v>Cp</v>
      </c>
      <c r="G45" s="377" t="str">
        <f>'Saisie données stocks'!H51</f>
        <v>200/50 mg</v>
      </c>
      <c r="H45" s="378" t="str">
        <f>CONCATENATE(E45, " - ", G45, " - ", 'TRAD-Calculs dispo Données FA'!$B$79,"/", K45)</f>
        <v>LPV/r - 200/50 mg - B/120</v>
      </c>
      <c r="I45" s="380">
        <f>Calculs!K134</f>
        <v>4</v>
      </c>
      <c r="J45" s="380">
        <f t="shared" si="0"/>
        <v>120</v>
      </c>
      <c r="K45" s="114">
        <f>Calculs!J134</f>
        <v>120</v>
      </c>
      <c r="L45" s="381">
        <f t="shared" si="1"/>
        <v>1</v>
      </c>
      <c r="M45" s="1820">
        <f>IF('Saisie données stocks'!$O$10='TRAD-Saisie données stocks'!$B$51, 'Calculs Péremption conso'!BU39, Calculs!M294)</f>
        <v>750</v>
      </c>
      <c r="N45" s="1820">
        <f>Calculs!$L$349</f>
        <v>106</v>
      </c>
      <c r="O45" s="1820">
        <f>Calculs!$N$349</f>
        <v>0</v>
      </c>
      <c r="P45"/>
      <c r="Q45" s="2161">
        <f>IF(Calculs!N349&gt;0, (-(Calculs!N349+2*Calculs!L349)+SQRT((Calculs!N349+2*Calculs!L349)*(Calculs!N349+2*Calculs!L349)+8*Calculs!N349*(M45)))/(2*Calculs!N349), ((M45)/Calculs!L349))</f>
        <v>7.0754716981132075</v>
      </c>
      <c r="R45" s="2161">
        <f t="shared" si="2"/>
        <v>7.0754716981132075</v>
      </c>
      <c r="S45" s="2162">
        <f>Q45-Paramétrage!D$29</f>
        <v>4.0754716981132075</v>
      </c>
      <c r="T45" s="2163">
        <f>IF(Q45&lt;Paramétrage!D$29, Q45, Paramétrage!D$29)</f>
        <v>3</v>
      </c>
      <c r="U45" s="2164">
        <f>Paramétrage!H$19+S45*(365/12)</f>
        <v>42042.962264150941</v>
      </c>
      <c r="V45" s="2165">
        <f>IF(Q45&lt;Paramétrage!D$29, Paramétrage!H$19+T45*(365/12), Paramétrage!H$19+Q45*(365/12))</f>
        <v>42134.212264150941</v>
      </c>
      <c r="W45" s="2051"/>
      <c r="X45" s="2161">
        <f>IF(ISERROR(Q45),"", IF(Q45=0, "", IF(Q45&gt;'Calculs Péremption conso'!$CB39, 'Calculs Péremption conso'!$CB39, Q45)))</f>
        <v>7.0754716981132075</v>
      </c>
      <c r="Y45" s="2166">
        <f>IF(ISERROR(R45),"", IF(R45=0, "", IF(R45&gt;'Calculs Péremption conso'!$CB39, 'Calculs Péremption conso'!$CB39, R45)))</f>
        <v>7.0754716981132075</v>
      </c>
      <c r="Z45" s="2162">
        <f>IF(ISERROR(Q45),"", IF(Q45=0, "", IF(Q45&gt;'Calculs Péremption conso'!$CB39, 'Calculs Péremption conso'!$CB39-Paramétrage!$D$29, S45)))</f>
        <v>4.0754716981132075</v>
      </c>
      <c r="AA45" s="2167">
        <f>IF(ISERROR(Q45),"", IF(Q45=0, "", IF(Q45&gt;'Calculs Péremption conso'!$CB39, Paramétrage!$D$29, T45)))</f>
        <v>3</v>
      </c>
      <c r="AB45" s="2164">
        <f>IF(ISERROR(Q45),"", IF(Q45=0, "", IF(Q45&gt;'Calculs Péremption conso'!$CB39, 'Calculs Péremption conso'!$BX39-Paramétrage!$D$29*(365/12), U45)))</f>
        <v>42042.962264150941</v>
      </c>
      <c r="AC45" s="2165">
        <f>IF(ISERROR(Q45), AW45, IF(Q45=0, IF(AND(M45=0, OR(N45&gt;0, O45&gt;0)), AX45, ""), IF(Q45&gt;'Calculs Péremption conso'!$CB39, IF(Q45&lt;'Saisie données stocks'!$N$14, CONCATENATE('TRAD-Calculs dispo Données FA'!$B$88, " - ", 'Calculs Péremption conso'!$BY39, "/", 'Calculs Péremption conso'!$BZ39, "/", 'Calculs Péremption conso'!$CA39), 'Calculs Péremption conso'!CC39), V45)))</f>
        <v>42134.212264150941</v>
      </c>
      <c r="AD45" s="2051"/>
      <c r="AE45" s="2161">
        <f>((Calculs!M294)/Calculs!L349)</f>
        <v>7.0754716981132075</v>
      </c>
      <c r="AF45" s="2161">
        <f t="shared" si="5"/>
        <v>0</v>
      </c>
      <c r="AG45" s="2162">
        <f>AE45-Paramétrage!D$29</f>
        <v>4.0754716981132075</v>
      </c>
      <c r="AH45" s="2163">
        <f>IF(AE45&lt;Paramétrage!D$29, AE45, Paramétrage!D$29)</f>
        <v>3</v>
      </c>
      <c r="AI45" s="2164">
        <f>Paramétrage!H$19+AG45*(365/12)</f>
        <v>42042.962264150941</v>
      </c>
      <c r="AJ45" s="2165">
        <f>IF(AE45&lt;Paramétrage!D$29, Paramétrage!H$19+AH45*(365/12), Paramétrage!H$19+AE45*(365/12))</f>
        <v>42134.212264150941</v>
      </c>
      <c r="AK45" s="2051"/>
      <c r="AL45" s="2161">
        <f>IF(ISERROR(AE45),"", IF(AE45=0, "", IF(AE45&gt;'Calculs Péremption conso'!$CB39, 'Calculs Péremption conso'!$CB39, AE45)))</f>
        <v>7.0754716981132075</v>
      </c>
      <c r="AM45" s="2166" t="str">
        <f t="shared" si="6"/>
        <v/>
      </c>
      <c r="AN45" s="2162">
        <f>IF(ISERROR(AE45),"", IF(AE45=0, "", IF(AE45&gt;'Calculs Péremption conso'!$CB39, 'Calculs Péremption conso'!$CB39-Paramétrage!$D$29, AG45)))</f>
        <v>4.0754716981132075</v>
      </c>
      <c r="AO45" s="2167">
        <f>IF(ISERROR(AE45),"", IF(AE45=0, "", IF(AE45&gt;'Calculs Péremption conso'!$CB39, Paramétrage!$D$29, AH45)))</f>
        <v>3</v>
      </c>
      <c r="AP45" s="2164">
        <f>IF(ISERROR(AE45),"", IF(AE45=0, "", IF(AE45&gt;'Calculs Péremption FA'!$CB39, 'Calculs Péremption FA'!$BX39-Paramétrage!$D$29*(365/12), AI45)))</f>
        <v>42042.962264150941</v>
      </c>
      <c r="AQ45" s="2165">
        <f>IF(ISERROR(AE45),"", IF(AE45=0, "", IF(AE45&gt;'Calculs Péremption conso'!$CB39, CONCATENATE('TRAD-Calculs dispo Données FA'!$B$88, " - ", 'Calculs Péremption conso'!$BY39, "/", 'Calculs Péremption conso'!$BZ39, "/", 'Calculs Péremption conso'!$CA39), AJ45)))</f>
        <v>42134.212264150941</v>
      </c>
      <c r="AR45" s="2051"/>
      <c r="AS45" s="2061">
        <f>Calculs!$M294</f>
        <v>750</v>
      </c>
      <c r="AT45" s="2062">
        <f>Calculs!$L349</f>
        <v>106</v>
      </c>
      <c r="AU45" s="2068">
        <f>Calculs!$N349</f>
        <v>0</v>
      </c>
      <c r="AV45" s="2070" t="str">
        <f>IF(AND(AU45=0, AS45=0, AT45=0), 'TRAD-Calculs dispo Données FA'!$B$82, "")</f>
        <v/>
      </c>
      <c r="AW45" s="2062" t="str">
        <f>IF(AND(AU45=0, AS45&gt;0, AT45=0), CONCATENATE(AS45, 'TRAD-Calculs dispo Données FA'!$B$80," =0"), "")</f>
        <v/>
      </c>
      <c r="AX45" s="2063" t="str">
        <f>IF(AND(AS45=0, OR(AT45&gt;=1, AU45&gt;=1)), 'TRAD-Calculs dispo Données FA'!$B$81, "")</f>
        <v/>
      </c>
      <c r="AY45" s="2051"/>
      <c r="AZ45" s="2051"/>
      <c r="BA45" s="2051"/>
      <c r="BB45" s="2051"/>
      <c r="BC45" s="2051"/>
      <c r="BD45" s="2051"/>
      <c r="BE45" s="2051"/>
      <c r="BF45" s="2051"/>
      <c r="BG45" s="2051"/>
      <c r="BH45" s="2051"/>
      <c r="BI45" s="2051"/>
      <c r="BJ45" s="2051"/>
      <c r="BK45" s="2051"/>
      <c r="BL45" s="2051"/>
      <c r="BM45" s="2051"/>
      <c r="BN45" s="2051"/>
      <c r="BO45" s="2051"/>
      <c r="BP45" s="2051"/>
      <c r="BQ45" s="2051"/>
      <c r="BR45" s="2051"/>
      <c r="BS45" s="2051"/>
      <c r="BT45" s="2051"/>
    </row>
    <row r="46" spans="3:72" s="358" customFormat="1" ht="25.5" x14ac:dyDescent="0.2">
      <c r="C46" s="374"/>
      <c r="D46" s="402"/>
      <c r="E46" s="396" t="str">
        <f>'Saisie données stocks'!F52</f>
        <v>LPV/r</v>
      </c>
      <c r="F46" s="397" t="str">
        <f>'Saisie données stocks'!G52</f>
        <v>Cp coblister</v>
      </c>
      <c r="G46" s="397" t="str">
        <f>'Saisie données stocks'!H52</f>
        <v>100/25 mg</v>
      </c>
      <c r="H46" s="403" t="str">
        <f>CONCATENATE(E46, " - ", G46, " - ", 'TRAD-Calculs dispo Données FA'!$B$79,"/", K46)</f>
        <v>LPV/r - 100/25 mg - B/60</v>
      </c>
      <c r="I46" s="399">
        <f>Calculs!K135</f>
        <v>2</v>
      </c>
      <c r="J46" s="399">
        <f t="shared" si="0"/>
        <v>60</v>
      </c>
      <c r="K46" s="117">
        <f>Calculs!J135</f>
        <v>60</v>
      </c>
      <c r="L46" s="400">
        <f t="shared" si="1"/>
        <v>1</v>
      </c>
      <c r="M46" s="1823">
        <f>IF('Saisie données stocks'!$O$10='TRAD-Saisie données stocks'!$B$51, 'Calculs Péremption conso'!BU40, Calculs!M295)</f>
        <v>104.15342465753429</v>
      </c>
      <c r="N46" s="1871">
        <f>Calculs!$L$350</f>
        <v>18</v>
      </c>
      <c r="O46" s="1871">
        <f>Calculs!$N$350</f>
        <v>0</v>
      </c>
      <c r="P46"/>
      <c r="Q46" s="2184">
        <f>IF(Calculs!N350&gt;0, (-(Calculs!N350+2*Calculs!L350)+SQRT((Calculs!N350+2*Calculs!L350)*(Calculs!N350+2*Calculs!L350)+8*Calculs!N350*(M46)))/(2*Calculs!N350), ((M46)/Calculs!L350))</f>
        <v>5.7863013698630157</v>
      </c>
      <c r="R46" s="2184">
        <f t="shared" si="2"/>
        <v>5.7863013698630166</v>
      </c>
      <c r="S46" s="2176">
        <f>Q46-Paramétrage!D$29</f>
        <v>2.7863013698630157</v>
      </c>
      <c r="T46" s="2163">
        <f>IF(Q46&lt;Paramétrage!D$29, Q46, Paramétrage!D$29)</f>
        <v>3</v>
      </c>
      <c r="U46" s="2186">
        <f>Paramétrage!H$19+S46*(365/12)</f>
        <v>42003.75</v>
      </c>
      <c r="V46" s="2187">
        <f>IF(Q46&lt;Paramétrage!D$29, Paramétrage!H$19+T46*(365/12), Paramétrage!H$19+Q46*(365/12))</f>
        <v>42095</v>
      </c>
      <c r="W46" s="2051"/>
      <c r="X46" s="2184">
        <f>IF(ISERROR(Q46),"", IF(Q46=0, "", IF(Q46&gt;'Calculs Péremption conso'!$CB40, 'Calculs Péremption conso'!$CB40, Q46)))</f>
        <v>5.7863013698630139</v>
      </c>
      <c r="Y46" s="2188">
        <f>IF(ISERROR(R46),"", IF(R46=0, "", IF(R46&gt;'Calculs Péremption conso'!$CB40, 'Calculs Péremption conso'!$CB40, R46)))</f>
        <v>5.7863013698630139</v>
      </c>
      <c r="Z46" s="2176">
        <f>IF(ISERROR(Q46),"", IF(Q46=0, "", IF(Q46&gt;'Calculs Péremption conso'!$CB40, 'Calculs Péremption conso'!$CB40-Paramétrage!$D$29, S46)))</f>
        <v>2.7863013698630139</v>
      </c>
      <c r="AA46" s="2167">
        <f>IF(ISERROR(Q46),"", IF(Q46=0, "", IF(Q46&gt;'Calculs Péremption conso'!$CB40, Paramétrage!$D$29, T46)))</f>
        <v>3</v>
      </c>
      <c r="AB46" s="2186">
        <f>IF(ISERROR(Q46),"", IF(Q46=0, "", IF(Q46&gt;'Calculs Péremption conso'!$CB40, 'Calculs Péremption conso'!$BX40-Paramétrage!$D$29*(365/12), U46)))</f>
        <v>42003.75</v>
      </c>
      <c r="AC46" s="2187" t="str">
        <f>IF(ISERROR(Q46), AW46, IF(Q46=0, IF(AND(M46=0, OR(N46&gt;0, O46&gt;0)), AX46, ""), IF(Q46&gt;'Calculs Péremption conso'!$CB40, IF(Q46&lt;'Saisie données stocks'!$N$14, CONCATENATE('TRAD-Calculs dispo Données FA'!$B$88, " - ", 'Calculs Péremption conso'!$BY40, "/", 'Calculs Péremption conso'!$BZ40, "/", 'Calculs Péremption conso'!$CA40), 'Calculs Péremption conso'!CC40), V46)))</f>
        <v>DLU - 1/4/2015</v>
      </c>
      <c r="AD46" s="2051"/>
      <c r="AE46" s="2184">
        <f>((Calculs!M295)/Calculs!L350)</f>
        <v>38.166666666666664</v>
      </c>
      <c r="AF46" s="2184">
        <f t="shared" si="5"/>
        <v>32.380365296803646</v>
      </c>
      <c r="AG46" s="2176">
        <f>AE46-Paramétrage!D$29</f>
        <v>35.166666666666664</v>
      </c>
      <c r="AH46" s="2163">
        <f>IF(AE46&lt;Paramétrage!D$29, AE46, Paramétrage!D$29)</f>
        <v>3</v>
      </c>
      <c r="AI46" s="2186">
        <f>Paramétrage!H$19+AG46*(365/12)</f>
        <v>42988.652777777781</v>
      </c>
      <c r="AJ46" s="2187">
        <f>IF(AE46&lt;Paramétrage!D$29, Paramétrage!H$19+AH46*(365/12), Paramétrage!H$19+AE46*(365/12))</f>
        <v>43079.902777777781</v>
      </c>
      <c r="AK46" s="2051"/>
      <c r="AL46" s="2184">
        <f>IF(ISERROR(AE46),"", IF(AE46=0, "", IF(AE46&gt;'Calculs Péremption conso'!$CB40, 'Calculs Péremption conso'!$CB40, AE46)))</f>
        <v>5.7863013698630139</v>
      </c>
      <c r="AM46" s="2188" t="str">
        <f t="shared" si="6"/>
        <v>0</v>
      </c>
      <c r="AN46" s="2176">
        <f>IF(ISERROR(AE46),"", IF(AE46=0, "", IF(AE46&gt;'Calculs Péremption conso'!$CB40, 'Calculs Péremption conso'!$CB40-Paramétrage!$D$29, AG46)))</f>
        <v>2.7863013698630139</v>
      </c>
      <c r="AO46" s="2167">
        <f>IF(ISERROR(AE46),"", IF(AE46=0, "", IF(AE46&gt;'Calculs Péremption conso'!$CB40, Paramétrage!$D$29, AH46)))</f>
        <v>3</v>
      </c>
      <c r="AP46" s="2186">
        <f>IF(ISERROR(AE46),"", IF(AE46=0, "", IF(AE46&gt;'Calculs Péremption FA'!$CB40, 'Calculs Péremption FA'!$BX40-Paramétrage!$D$29*(365/12), AI46)))</f>
        <v>42003.75</v>
      </c>
      <c r="AQ46" s="2187" t="str">
        <f>IF(ISERROR(AE46),"", IF(AE46=0, "", IF(AE46&gt;'Calculs Péremption conso'!$CB40, CONCATENATE('TRAD-Calculs dispo Données FA'!$B$88, " - ", 'Calculs Péremption conso'!$BY40, "/", 'Calculs Péremption conso'!$BZ40, "/", 'Calculs Péremption conso'!$CA40), AJ46)))</f>
        <v>DLU - 1/4/2015</v>
      </c>
      <c r="AR46" s="2051"/>
      <c r="AS46" s="2061">
        <f>Calculs!$M295</f>
        <v>687</v>
      </c>
      <c r="AT46" s="2062">
        <f>Calculs!$L350</f>
        <v>18</v>
      </c>
      <c r="AU46" s="2068">
        <f>Calculs!$N350</f>
        <v>0</v>
      </c>
      <c r="AV46" s="2070" t="str">
        <f>IF(AND(AU46=0, AS46=0, AT46=0), 'TRAD-Calculs dispo Données FA'!$B$82, "")</f>
        <v/>
      </c>
      <c r="AW46" s="2062" t="str">
        <f>IF(AND(AU46=0, AS46&gt;0, AT46=0), CONCATENATE(AS46, 'TRAD-Calculs dispo Données FA'!$B$80," =0"), "")</f>
        <v/>
      </c>
      <c r="AX46" s="2063" t="str">
        <f>IF(AND(AS46=0, OR(AT46&gt;=1, AU46&gt;=1)), 'TRAD-Calculs dispo Données FA'!$B$81, "")</f>
        <v/>
      </c>
      <c r="AY46" s="2051"/>
      <c r="AZ46" s="2051"/>
      <c r="BA46" s="2051"/>
      <c r="BB46" s="2051"/>
      <c r="BC46" s="2051"/>
      <c r="BD46" s="2051"/>
      <c r="BE46" s="2051"/>
      <c r="BF46" s="2051"/>
      <c r="BG46" s="2051"/>
      <c r="BH46" s="2051"/>
      <c r="BI46" s="2051"/>
      <c r="BJ46" s="2051"/>
      <c r="BK46" s="2051"/>
      <c r="BL46" s="2051"/>
      <c r="BM46" s="2051"/>
      <c r="BN46" s="2051"/>
      <c r="BO46" s="2051"/>
      <c r="BP46" s="2051"/>
      <c r="BQ46" s="2051"/>
      <c r="BR46" s="2051"/>
      <c r="BS46" s="2051"/>
      <c r="BT46" s="2051"/>
    </row>
    <row r="47" spans="3:72" s="358" customFormat="1" ht="25.5" x14ac:dyDescent="0.2">
      <c r="C47" s="374"/>
      <c r="D47" s="402"/>
      <c r="E47" s="396" t="str">
        <f>'Saisie données stocks'!F53</f>
        <v>ATV/r</v>
      </c>
      <c r="F47" s="397" t="str">
        <f>'Saisie données stocks'!G53</f>
        <v>Cp</v>
      </c>
      <c r="G47" s="397" t="str">
        <f>'Saisie données stocks'!H53</f>
        <v>300/100 mg</v>
      </c>
      <c r="H47" s="403" t="str">
        <f>CONCATENATE(E47, " - ", G47, " - ", 'TRAD-Calculs dispo Données FA'!$B$79,"/", K47)</f>
        <v>ATV/r - 300/100 mg - B/60</v>
      </c>
      <c r="I47" s="399">
        <f>Calculs!K136</f>
        <v>2</v>
      </c>
      <c r="J47" s="399">
        <f t="shared" si="0"/>
        <v>60</v>
      </c>
      <c r="K47" s="117">
        <f>Calculs!J136</f>
        <v>60</v>
      </c>
      <c r="L47" s="400">
        <f t="shared" si="1"/>
        <v>1</v>
      </c>
      <c r="M47" s="1823">
        <f>IF('Saisie données stocks'!$O$10='TRAD-Saisie données stocks'!$B$51, 'Calculs Péremption conso'!BU41, Calculs!M296)</f>
        <v>0</v>
      </c>
      <c r="N47" s="1871">
        <f>Calculs!$L$351</f>
        <v>0</v>
      </c>
      <c r="O47" s="1871">
        <f>Calculs!$N$351</f>
        <v>0</v>
      </c>
      <c r="P47"/>
      <c r="Q47" s="2184" t="e">
        <f>IF(Calculs!N351&gt;0, (-(Calculs!N351+2*Calculs!L351)+SQRT((Calculs!N351+2*Calculs!L351)*(Calculs!N351+2*Calculs!L351)+8*Calculs!N351*(M47)))/(2*Calculs!N351), ((M47)/Calculs!L351))</f>
        <v>#DIV/0!</v>
      </c>
      <c r="R47" s="2184" t="e">
        <f t="shared" si="2"/>
        <v>#DIV/0!</v>
      </c>
      <c r="S47" s="2176" t="e">
        <f>Q47-Paramétrage!D$29</f>
        <v>#DIV/0!</v>
      </c>
      <c r="T47" s="2163" t="e">
        <f>IF(Q47&lt;Paramétrage!D$29, Q47, Paramétrage!D$29)</f>
        <v>#DIV/0!</v>
      </c>
      <c r="U47" s="2186" t="e">
        <f>Paramétrage!H$19+S47*(365/12)</f>
        <v>#DIV/0!</v>
      </c>
      <c r="V47" s="2187" t="e">
        <f>IF(Q47&lt;Paramétrage!D$29, Paramétrage!H$19+T47*(365/12), Paramétrage!H$19+Q47*(365/12))</f>
        <v>#DIV/0!</v>
      </c>
      <c r="W47" s="2051"/>
      <c r="X47" s="2184" t="str">
        <f>IF(ISERROR(Q47),"", IF(Q47=0, "", IF(Q47&gt;'Calculs Péremption conso'!$CB41, 'Calculs Péremption conso'!$CB41, Q47)))</f>
        <v/>
      </c>
      <c r="Y47" s="2188" t="str">
        <f>IF(ISERROR(R47),"", IF(R47=0, "", IF(R47&gt;'Calculs Péremption conso'!$CB41, 'Calculs Péremption conso'!$CB41, R47)))</f>
        <v/>
      </c>
      <c r="Z47" s="2176" t="str">
        <f>IF(ISERROR(Q47),"", IF(Q47=0, "", IF(Q47&gt;'Calculs Péremption conso'!$CB41, 'Calculs Péremption conso'!$CB41-Paramétrage!$D$29, S47)))</f>
        <v/>
      </c>
      <c r="AA47" s="2167" t="str">
        <f>IF(ISERROR(Q47),"", IF(Q47=0, "", IF(Q47&gt;'Calculs Péremption conso'!$CB41, Paramétrage!$D$29, T47)))</f>
        <v/>
      </c>
      <c r="AB47" s="2186" t="str">
        <f>IF(ISERROR(Q47),"", IF(Q47=0, "", IF(Q47&gt;'Calculs Péremption conso'!$CB41, 'Calculs Péremption conso'!$BX41-Paramétrage!$D$29*(365/12), U47)))</f>
        <v/>
      </c>
      <c r="AC47" s="2187" t="str">
        <f>IF(ISERROR(Q47), AW47, IF(Q47=0, IF(AND(M47=0, OR(N47&gt;0, O47&gt;0)), AX47, ""), IF(Q47&gt;'Calculs Péremption conso'!$CB41, IF(Q47&lt;'Saisie données stocks'!$N$14, CONCATENATE('TRAD-Calculs dispo Données FA'!$B$88, " - ", 'Calculs Péremption conso'!$BY41, "/", 'Calculs Péremption conso'!$BZ41, "/", 'Calculs Péremption conso'!$CA41), 'Calculs Péremption conso'!CC41), V47)))</f>
        <v>1705B &amp; conso =0</v>
      </c>
      <c r="AD47" s="2051"/>
      <c r="AE47" s="2184" t="e">
        <f>((Calculs!M296)/Calculs!L351)</f>
        <v>#DIV/0!</v>
      </c>
      <c r="AF47" s="2184" t="e">
        <f t="shared" si="5"/>
        <v>#DIV/0!</v>
      </c>
      <c r="AG47" s="2176" t="e">
        <f>AE47-Paramétrage!D$29</f>
        <v>#DIV/0!</v>
      </c>
      <c r="AH47" s="2163" t="e">
        <f>IF(AE47&lt;Paramétrage!D$29, AE47, Paramétrage!D$29)</f>
        <v>#DIV/0!</v>
      </c>
      <c r="AI47" s="2186" t="e">
        <f>Paramétrage!H$19+AG47*(365/12)</f>
        <v>#DIV/0!</v>
      </c>
      <c r="AJ47" s="2187" t="e">
        <f>IF(AE47&lt;Paramétrage!D$29, Paramétrage!H$19+AH47*(365/12), Paramétrage!H$19+AE47*(365/12))</f>
        <v>#DIV/0!</v>
      </c>
      <c r="AK47" s="2051"/>
      <c r="AL47" s="2184" t="str">
        <f>IF(ISERROR(AE47),"", IF(AE47=0, "", IF(AE47&gt;'Calculs Péremption conso'!$CB41, 'Calculs Péremption conso'!$CB41, AE47)))</f>
        <v/>
      </c>
      <c r="AM47" s="2188" t="str">
        <f t="shared" si="6"/>
        <v/>
      </c>
      <c r="AN47" s="2176" t="str">
        <f>IF(ISERROR(AE47),"", IF(AE47=0, "", IF(AE47&gt;'Calculs Péremption conso'!$CB41, 'Calculs Péremption conso'!$CB41-Paramétrage!$D$29, AG47)))</f>
        <v/>
      </c>
      <c r="AO47" s="2167" t="str">
        <f>IF(ISERROR(AE47),"", IF(AE47=0, "", IF(AE47&gt;'Calculs Péremption conso'!$CB41, Paramétrage!$D$29, AH47)))</f>
        <v/>
      </c>
      <c r="AP47" s="2186" t="str">
        <f>IF(ISERROR(AE47),"", IF(AE47=0, "", IF(AE47&gt;'Calculs Péremption FA'!$CB41, 'Calculs Péremption FA'!$BX41-Paramétrage!$D$29*(365/12), AI47)))</f>
        <v/>
      </c>
      <c r="AQ47" s="2187" t="str">
        <f>IF(ISERROR(AE47),"", IF(AE47=0, "", IF(AE47&gt;'Calculs Péremption conso'!$CB41, CONCATENATE('TRAD-Calculs dispo Données FA'!$B$88, " - ", 'Calculs Péremption conso'!$BY41, "/", 'Calculs Péremption conso'!$BZ41, "/", 'Calculs Péremption conso'!$CA41), AJ47)))</f>
        <v/>
      </c>
      <c r="AR47" s="2051"/>
      <c r="AS47" s="2061">
        <f>Calculs!$M296</f>
        <v>1705</v>
      </c>
      <c r="AT47" s="2062">
        <f>Calculs!$L351</f>
        <v>0</v>
      </c>
      <c r="AU47" s="2068">
        <f>Calculs!$N351</f>
        <v>0</v>
      </c>
      <c r="AV47" s="2070" t="str">
        <f>IF(AND(AU47=0, AS47=0, AT47=0), 'TRAD-Calculs dispo Données FA'!$B$82, "")</f>
        <v/>
      </c>
      <c r="AW47" s="2062" t="str">
        <f>IF(AND(AU47=0, AS47&gt;0, AT47=0), CONCATENATE(AS47, 'TRAD-Calculs dispo Données FA'!$B$80," =0"), "")</f>
        <v>1705B &amp; conso =0</v>
      </c>
      <c r="AX47" s="2063" t="str">
        <f>IF(AND(AS47=0, OR(AT47&gt;=1, AU47&gt;=1)), 'TRAD-Calculs dispo Données FA'!$B$81, "")</f>
        <v/>
      </c>
      <c r="AY47" s="2051"/>
      <c r="AZ47" s="2051"/>
      <c r="BA47" s="2051"/>
      <c r="BB47" s="2051"/>
      <c r="BC47" s="2051"/>
      <c r="BD47" s="2051"/>
      <c r="BE47" s="2051"/>
      <c r="BF47" s="2051"/>
      <c r="BG47" s="2051"/>
      <c r="BH47" s="2051"/>
      <c r="BI47" s="2051"/>
      <c r="BJ47" s="2051"/>
      <c r="BK47" s="2051"/>
      <c r="BL47" s="2051"/>
      <c r="BM47" s="2051"/>
      <c r="BN47" s="2051"/>
      <c r="BO47" s="2051"/>
      <c r="BP47" s="2051"/>
      <c r="BQ47" s="2051"/>
      <c r="BR47" s="2051"/>
      <c r="BS47" s="2051"/>
      <c r="BT47" s="2051"/>
    </row>
    <row r="48" spans="3:72" s="358" customFormat="1" x14ac:dyDescent="0.2">
      <c r="C48" s="374"/>
      <c r="D48" s="402"/>
      <c r="E48" s="396" t="str">
        <f>'Saisie données stocks'!F54</f>
        <v>FPV</v>
      </c>
      <c r="F48" s="397" t="str">
        <f>'Saisie données stocks'!G54</f>
        <v>Cp</v>
      </c>
      <c r="G48" s="397" t="str">
        <f>'Saisie données stocks'!H54</f>
        <v>700 mg</v>
      </c>
      <c r="H48" s="403" t="str">
        <f>CONCATENATE(E48, " - ", G48, " - ", 'TRAD-Calculs dispo Données FA'!$B$79,"/", K48)</f>
        <v>FPV - 700 mg - B/60</v>
      </c>
      <c r="I48" s="399">
        <f>Calculs!K137</f>
        <v>2</v>
      </c>
      <c r="J48" s="399">
        <f t="shared" si="0"/>
        <v>60</v>
      </c>
      <c r="K48" s="117">
        <f>Calculs!J137</f>
        <v>60</v>
      </c>
      <c r="L48" s="400">
        <f t="shared" si="1"/>
        <v>1</v>
      </c>
      <c r="M48" s="1823">
        <f>IF('Saisie données stocks'!$O$10='TRAD-Saisie données stocks'!$B$51, 'Calculs Péremption conso'!BU42, Calculs!M297)</f>
        <v>0</v>
      </c>
      <c r="N48" s="1871">
        <f>Calculs!$L$352</f>
        <v>0</v>
      </c>
      <c r="O48" s="1871">
        <f>Calculs!$N$352</f>
        <v>0</v>
      </c>
      <c r="P48"/>
      <c r="Q48" s="2184" t="e">
        <f>IF(Calculs!N352&gt;0, (-(Calculs!N352+2*Calculs!L352)+SQRT((Calculs!N352+2*Calculs!L352)*(Calculs!N352+2*Calculs!L352)+8*Calculs!N352*(M48)))/(2*Calculs!N352), ((M48)/Calculs!L352))</f>
        <v>#DIV/0!</v>
      </c>
      <c r="R48" s="2184" t="e">
        <f t="shared" si="2"/>
        <v>#DIV/0!</v>
      </c>
      <c r="S48" s="2176" t="e">
        <f>Q48-Paramétrage!D$29</f>
        <v>#DIV/0!</v>
      </c>
      <c r="T48" s="2163" t="e">
        <f>IF(Q48&lt;Paramétrage!D$29, Q48, Paramétrage!D$29)</f>
        <v>#DIV/0!</v>
      </c>
      <c r="U48" s="2186" t="e">
        <f>Paramétrage!H$19+S48*(365/12)</f>
        <v>#DIV/0!</v>
      </c>
      <c r="V48" s="2187" t="e">
        <f>IF(Q48&lt;Paramétrage!D$29, Paramétrage!H$19+T48*(365/12), Paramétrage!H$19+Q48*(365/12))</f>
        <v>#DIV/0!</v>
      </c>
      <c r="W48" s="2051"/>
      <c r="X48" s="2184" t="str">
        <f>IF(ISERROR(Q48),"", IF(Q48=0, "", IF(Q48&gt;'Calculs Péremption conso'!$CB42, 'Calculs Péremption conso'!$CB42, Q48)))</f>
        <v/>
      </c>
      <c r="Y48" s="2188" t="str">
        <f>IF(ISERROR(R48),"", IF(R48=0, "", IF(R48&gt;'Calculs Péremption conso'!$CB42, 'Calculs Péremption conso'!$CB42, R48)))</f>
        <v/>
      </c>
      <c r="Z48" s="2176" t="str">
        <f>IF(ISERROR(Q48),"", IF(Q48=0, "", IF(Q48&gt;'Calculs Péremption conso'!$CB42, 'Calculs Péremption conso'!$CB42-Paramétrage!$D$29, S48)))</f>
        <v/>
      </c>
      <c r="AA48" s="2167" t="str">
        <f>IF(ISERROR(Q48),"", IF(Q48=0, "", IF(Q48&gt;'Calculs Péremption conso'!$CB42, Paramétrage!$D$29, T48)))</f>
        <v/>
      </c>
      <c r="AB48" s="2186" t="str">
        <f>IF(ISERROR(Q48),"", IF(Q48=0, "", IF(Q48&gt;'Calculs Péremption conso'!$CB42, 'Calculs Péremption conso'!$BX42-Paramétrage!$D$29*(365/12), U48)))</f>
        <v/>
      </c>
      <c r="AC48" s="2187" t="str">
        <f>IF(ISERROR(Q48), AW48, IF(Q48=0, IF(AND(M48=0, OR(N48&gt;0, O48&gt;0)), AX48, ""), IF(Q48&gt;'Calculs Péremption conso'!$CB42, IF(Q48&lt;'Saisie données stocks'!$N$14, CONCATENATE('TRAD-Calculs dispo Données FA'!$B$88, " - ", 'Calculs Péremption conso'!$BY42, "/", 'Calculs Péremption conso'!$BZ42, "/", 'Calculs Péremption conso'!$CA42), 'Calculs Péremption conso'!CC42), V48)))</f>
        <v/>
      </c>
      <c r="AD48" s="2051"/>
      <c r="AE48" s="2184" t="e">
        <f>((Calculs!M297)/Calculs!L352)</f>
        <v>#DIV/0!</v>
      </c>
      <c r="AF48" s="2184" t="e">
        <f t="shared" si="5"/>
        <v>#DIV/0!</v>
      </c>
      <c r="AG48" s="2176" t="e">
        <f>AE48-Paramétrage!D$29</f>
        <v>#DIV/0!</v>
      </c>
      <c r="AH48" s="2163" t="e">
        <f>IF(AE48&lt;Paramétrage!D$29, AE48, Paramétrage!D$29)</f>
        <v>#DIV/0!</v>
      </c>
      <c r="AI48" s="2186" t="e">
        <f>Paramétrage!H$19+AG48*(365/12)</f>
        <v>#DIV/0!</v>
      </c>
      <c r="AJ48" s="2187" t="e">
        <f>IF(AE48&lt;Paramétrage!D$29, Paramétrage!H$19+AH48*(365/12), Paramétrage!H$19+AE48*(365/12))</f>
        <v>#DIV/0!</v>
      </c>
      <c r="AK48" s="2051"/>
      <c r="AL48" s="2184" t="str">
        <f>IF(ISERROR(AE48),"", IF(AE48=0, "", IF(AE48&gt;'Calculs Péremption conso'!$CB42, 'Calculs Péremption conso'!$CB42, AE48)))</f>
        <v/>
      </c>
      <c r="AM48" s="2188" t="str">
        <f t="shared" si="6"/>
        <v/>
      </c>
      <c r="AN48" s="2176" t="str">
        <f>IF(ISERROR(AE48),"", IF(AE48=0, "", IF(AE48&gt;'Calculs Péremption conso'!$CB42, 'Calculs Péremption conso'!$CB42-Paramétrage!$D$29, AG48)))</f>
        <v/>
      </c>
      <c r="AO48" s="2167" t="str">
        <f>IF(ISERROR(AE48),"", IF(AE48=0, "", IF(AE48&gt;'Calculs Péremption conso'!$CB42, Paramétrage!$D$29, AH48)))</f>
        <v/>
      </c>
      <c r="AP48" s="2186" t="str">
        <f>IF(ISERROR(AE48),"", IF(AE48=0, "", IF(AE48&gt;'Calculs Péremption FA'!$CB42, 'Calculs Péremption FA'!$BX42-Paramétrage!$D$29*(365/12), AI48)))</f>
        <v/>
      </c>
      <c r="AQ48" s="2187" t="str">
        <f>IF(ISERROR(AE48),"", IF(AE48=0, "", IF(AE48&gt;'Calculs Péremption conso'!$CB42, CONCATENATE('TRAD-Calculs dispo Données FA'!$B$88, " - ", 'Calculs Péremption conso'!$BY42, "/", 'Calculs Péremption conso'!$BZ42, "/", 'Calculs Péremption conso'!$CA42), AJ48)))</f>
        <v/>
      </c>
      <c r="AR48" s="2051"/>
      <c r="AS48" s="2061">
        <f>Calculs!$M297</f>
        <v>0</v>
      </c>
      <c r="AT48" s="2062">
        <f>Calculs!$L352</f>
        <v>0</v>
      </c>
      <c r="AU48" s="2068">
        <f>Calculs!$N352</f>
        <v>0</v>
      </c>
      <c r="AV48" s="2070" t="str">
        <f>IF(AND(AU48=0, AS48=0, AT48=0), 'TRAD-Calculs dispo Données FA'!$B$82, "")</f>
        <v>Stock et besoin nul</v>
      </c>
      <c r="AW48" s="2062" t="str">
        <f>IF(AND(AU48=0, AS48&gt;0, AT48=0), CONCATENATE(AS48, 'TRAD-Calculs dispo Données FA'!$B$80," =0"), "")</f>
        <v/>
      </c>
      <c r="AX48" s="2063" t="str">
        <f>IF(AND(AS48=0, OR(AT48&gt;=1, AU48&gt;=1)), 'TRAD-Calculs dispo Données FA'!$B$81, "")</f>
        <v/>
      </c>
      <c r="AY48" s="2051"/>
      <c r="AZ48" s="2051"/>
      <c r="BA48" s="2051"/>
      <c r="BB48" s="2051"/>
      <c r="BC48" s="2051"/>
      <c r="BD48" s="2051"/>
      <c r="BE48" s="2051"/>
      <c r="BF48" s="2051"/>
      <c r="BG48" s="2051"/>
      <c r="BH48" s="2051"/>
      <c r="BI48" s="2051"/>
      <c r="BJ48" s="2051"/>
      <c r="BK48" s="2051"/>
      <c r="BL48" s="2051"/>
      <c r="BM48" s="2051"/>
      <c r="BN48" s="2051"/>
      <c r="BO48" s="2051"/>
      <c r="BP48" s="2051"/>
      <c r="BQ48" s="2051"/>
      <c r="BR48" s="2051"/>
      <c r="BS48" s="2051"/>
      <c r="BT48" s="2051"/>
    </row>
    <row r="49" spans="3:72" s="358" customFormat="1" x14ac:dyDescent="0.2">
      <c r="C49" s="374"/>
      <c r="D49" s="402"/>
      <c r="E49" s="396" t="str">
        <f>'Saisie données stocks'!F55</f>
        <v>IDV</v>
      </c>
      <c r="F49" s="397" t="str">
        <f>'Saisie données stocks'!G55</f>
        <v>Gel</v>
      </c>
      <c r="G49" s="397" t="str">
        <f>'Saisie données stocks'!H55</f>
        <v>400 mg</v>
      </c>
      <c r="H49" s="403" t="str">
        <f>CONCATENATE(E49, " - ", G49, " - ", 'TRAD-Calculs dispo Données FA'!$B$79,"/", K49)</f>
        <v>IDV - 400 mg - B/180</v>
      </c>
      <c r="I49" s="399">
        <f>Calculs!K138</f>
        <v>0</v>
      </c>
      <c r="J49" s="399">
        <f t="shared" si="0"/>
        <v>0</v>
      </c>
      <c r="K49" s="117">
        <f>Calculs!J138</f>
        <v>180</v>
      </c>
      <c r="L49" s="400">
        <f t="shared" si="1"/>
        <v>0</v>
      </c>
      <c r="M49" s="1823">
        <f>IF('Saisie données stocks'!$O$10='TRAD-Saisie données stocks'!$B$51, 'Calculs Péremption conso'!BU43, Calculs!M298)</f>
        <v>0</v>
      </c>
      <c r="N49" s="1871">
        <f>Calculs!$L$353</f>
        <v>0</v>
      </c>
      <c r="O49" s="1871">
        <f>Calculs!$N$353</f>
        <v>0</v>
      </c>
      <c r="P49"/>
      <c r="Q49" s="2184" t="e">
        <f>IF(Calculs!N353&gt;0, (-(Calculs!N353+2*Calculs!L353)+SQRT((Calculs!N353+2*Calculs!L353)*(Calculs!N353+2*Calculs!L353)+8*Calculs!N353*(M49)))/(2*Calculs!N353), ((M49)/Calculs!L353))</f>
        <v>#DIV/0!</v>
      </c>
      <c r="R49" s="2184" t="e">
        <f t="shared" si="2"/>
        <v>#DIV/0!</v>
      </c>
      <c r="S49" s="2176" t="e">
        <f>Q49-Paramétrage!D$29</f>
        <v>#DIV/0!</v>
      </c>
      <c r="T49" s="2163" t="e">
        <f>IF(Q49&lt;Paramétrage!D$29, Q49, Paramétrage!D$29)</f>
        <v>#DIV/0!</v>
      </c>
      <c r="U49" s="2186" t="e">
        <f>Paramétrage!H$19+S49*(365/12)</f>
        <v>#DIV/0!</v>
      </c>
      <c r="V49" s="2187" t="e">
        <f>IF(Q49&lt;Paramétrage!D$29, Paramétrage!H$19+T49*(365/12), Paramétrage!H$19+Q49*(365/12))</f>
        <v>#DIV/0!</v>
      </c>
      <c r="W49" s="2051"/>
      <c r="X49" s="2184" t="str">
        <f>IF(ISERROR(Q49),"", IF(Q49=0, "", IF(Q49&gt;'Calculs Péremption conso'!$CB43, 'Calculs Péremption conso'!$CB43, Q49)))</f>
        <v/>
      </c>
      <c r="Y49" s="2188" t="str">
        <f>IF(ISERROR(R49),"", IF(R49=0, "", IF(R49&gt;'Calculs Péremption conso'!$CB43, 'Calculs Péremption conso'!$CB43, R49)))</f>
        <v/>
      </c>
      <c r="Z49" s="2176" t="str">
        <f>IF(ISERROR(Q49),"", IF(Q49=0, "", IF(Q49&gt;'Calculs Péremption conso'!$CB43, 'Calculs Péremption conso'!$CB43-Paramétrage!$D$29, S49)))</f>
        <v/>
      </c>
      <c r="AA49" s="2167" t="str">
        <f>IF(ISERROR(Q49),"", IF(Q49=0, "", IF(Q49&gt;'Calculs Péremption conso'!$CB43, Paramétrage!$D$29, T49)))</f>
        <v/>
      </c>
      <c r="AB49" s="2186" t="str">
        <f>IF(ISERROR(Q49),"", IF(Q49=0, "", IF(Q49&gt;'Calculs Péremption conso'!$CB43, 'Calculs Péremption conso'!$BX43-Paramétrage!$D$29*(365/12), U49)))</f>
        <v/>
      </c>
      <c r="AC49" s="2187" t="str">
        <f>IF(ISERROR(Q49), AW49, IF(Q49=0, IF(AND(M49=0, OR(N49&gt;0, O49&gt;0)), AX49, ""), IF(Q49&gt;'Calculs Péremption conso'!$CB43, IF(Q49&lt;'Saisie données stocks'!$N$14, CONCATENATE('TRAD-Calculs dispo Données FA'!$B$88, " - ", 'Calculs Péremption conso'!$BY43, "/", 'Calculs Péremption conso'!$BZ43, "/", 'Calculs Péremption conso'!$CA43), 'Calculs Péremption conso'!CC43), V49)))</f>
        <v/>
      </c>
      <c r="AD49" s="2051"/>
      <c r="AE49" s="2184" t="e">
        <f>((Calculs!M298)/Calculs!L353)</f>
        <v>#DIV/0!</v>
      </c>
      <c r="AF49" s="2184" t="e">
        <f t="shared" si="5"/>
        <v>#DIV/0!</v>
      </c>
      <c r="AG49" s="2176" t="e">
        <f>AE49-Paramétrage!D$29</f>
        <v>#DIV/0!</v>
      </c>
      <c r="AH49" s="2163" t="e">
        <f>IF(AE49&lt;Paramétrage!D$29, AE49, Paramétrage!D$29)</f>
        <v>#DIV/0!</v>
      </c>
      <c r="AI49" s="2186" t="e">
        <f>Paramétrage!H$19+AG49*(365/12)</f>
        <v>#DIV/0!</v>
      </c>
      <c r="AJ49" s="2187" t="e">
        <f>IF(AE49&lt;Paramétrage!D$29, Paramétrage!H$19+AH49*(365/12), Paramétrage!H$19+AE49*(365/12))</f>
        <v>#DIV/0!</v>
      </c>
      <c r="AK49" s="2051"/>
      <c r="AL49" s="2184" t="str">
        <f>IF(ISERROR(AE49),"", IF(AE49=0, "", IF(AE49&gt;'Calculs Péremption conso'!$CB43, 'Calculs Péremption conso'!$CB43, AE49)))</f>
        <v/>
      </c>
      <c r="AM49" s="2188" t="str">
        <f t="shared" si="6"/>
        <v/>
      </c>
      <c r="AN49" s="2176" t="str">
        <f>IF(ISERROR(AE49),"", IF(AE49=0, "", IF(AE49&gt;'Calculs Péremption conso'!$CB43, 'Calculs Péremption conso'!$CB43-Paramétrage!$D$29, AG49)))</f>
        <v/>
      </c>
      <c r="AO49" s="2167" t="str">
        <f>IF(ISERROR(AE49),"", IF(AE49=0, "", IF(AE49&gt;'Calculs Péremption conso'!$CB43, Paramétrage!$D$29, AH49)))</f>
        <v/>
      </c>
      <c r="AP49" s="2186" t="str">
        <f>IF(ISERROR(AE49),"", IF(AE49=0, "", IF(AE49&gt;'Calculs Péremption FA'!$CB43, 'Calculs Péremption FA'!$BX43-Paramétrage!$D$29*(365/12), AI49)))</f>
        <v/>
      </c>
      <c r="AQ49" s="2187" t="str">
        <f>IF(ISERROR(AE49),"", IF(AE49=0, "", IF(AE49&gt;'Calculs Péremption conso'!$CB43, CONCATENATE('TRAD-Calculs dispo Données FA'!$B$88, " - ", 'Calculs Péremption conso'!$BY43, "/", 'Calculs Péremption conso'!$BZ43, "/", 'Calculs Péremption conso'!$CA43), AJ49)))</f>
        <v/>
      </c>
      <c r="AR49" s="2051"/>
      <c r="AS49" s="2061">
        <f>Calculs!$M298</f>
        <v>0</v>
      </c>
      <c r="AT49" s="2062">
        <f>Calculs!$L353</f>
        <v>0</v>
      </c>
      <c r="AU49" s="2068">
        <f>Calculs!$N353</f>
        <v>0</v>
      </c>
      <c r="AV49" s="2070" t="str">
        <f>IF(AND(AU49=0, AS49=0, AT49=0), 'TRAD-Calculs dispo Données FA'!$B$82, "")</f>
        <v>Stock et besoin nul</v>
      </c>
      <c r="AW49" s="2062" t="str">
        <f>IF(AND(AU49=0, AS49&gt;0, AT49=0), CONCATENATE(AS49, 'TRAD-Calculs dispo Données FA'!$B$80," =0"), "")</f>
        <v/>
      </c>
      <c r="AX49" s="2063" t="str">
        <f>IF(AND(AS49=0, OR(AT49&gt;=1, AU49&gt;=1)), 'TRAD-Calculs dispo Données FA'!$B$81, "")</f>
        <v/>
      </c>
      <c r="AY49" s="2051"/>
      <c r="AZ49" s="2051"/>
      <c r="BA49" s="2051"/>
      <c r="BB49" s="2051"/>
      <c r="BC49" s="2051"/>
      <c r="BD49" s="2051"/>
      <c r="BE49" s="2051"/>
      <c r="BF49" s="2051"/>
      <c r="BG49" s="2051"/>
      <c r="BH49" s="2051"/>
      <c r="BI49" s="2051"/>
      <c r="BJ49" s="2051"/>
      <c r="BK49" s="2051"/>
      <c r="BL49" s="2051"/>
      <c r="BM49" s="2051"/>
      <c r="BN49" s="2051"/>
      <c r="BO49" s="2051"/>
      <c r="BP49" s="2051"/>
      <c r="BQ49" s="2051"/>
      <c r="BR49" s="2051"/>
      <c r="BS49" s="2051"/>
      <c r="BT49" s="2051"/>
    </row>
    <row r="50" spans="3:72" s="358" customFormat="1" x14ac:dyDescent="0.2">
      <c r="C50" s="374"/>
      <c r="D50" s="402"/>
      <c r="E50" s="93" t="str">
        <f>'Saisie données stocks'!F56</f>
        <v>DRV</v>
      </c>
      <c r="F50" s="94" t="str">
        <f>'Saisie données stocks'!G56</f>
        <v>Cp</v>
      </c>
      <c r="G50" s="94" t="str">
        <f>'Saisie données stocks'!H56</f>
        <v>300 mg</v>
      </c>
      <c r="H50" s="403" t="str">
        <f>CONCATENATE(E50, " - ", G50, " - ", 'TRAD-Calculs dispo Données FA'!$B$79,"/", K50)</f>
        <v>DRV - 300 mg - B/120</v>
      </c>
      <c r="I50" s="117">
        <f>Calculs!K139</f>
        <v>4</v>
      </c>
      <c r="J50" s="399">
        <f t="shared" si="0"/>
        <v>120</v>
      </c>
      <c r="K50" s="117">
        <f>Calculs!J139</f>
        <v>120</v>
      </c>
      <c r="L50" s="400">
        <f t="shared" si="1"/>
        <v>1</v>
      </c>
      <c r="M50" s="1823">
        <f>IF('Saisie données stocks'!$O$10='TRAD-Saisie données stocks'!$B$51, 'Calculs Péremption conso'!BU44, Calculs!M299)</f>
        <v>0</v>
      </c>
      <c r="N50" s="1871">
        <f>Calculs!$L$354</f>
        <v>0</v>
      </c>
      <c r="O50" s="1871">
        <f>Calculs!$N$354</f>
        <v>0</v>
      </c>
      <c r="P50"/>
      <c r="Q50" s="2184" t="e">
        <f>IF(Calculs!N354&gt;0, (-(Calculs!N354+2*Calculs!L354)+SQRT((Calculs!N354+2*Calculs!L354)*(Calculs!N354+2*Calculs!L354)+8*Calculs!N354*(M50)))/(2*Calculs!N354), ((M50)/Calculs!L354))</f>
        <v>#DIV/0!</v>
      </c>
      <c r="R50" s="2184" t="e">
        <f t="shared" si="2"/>
        <v>#DIV/0!</v>
      </c>
      <c r="S50" s="2176" t="e">
        <f>Q50-Paramétrage!D$29</f>
        <v>#DIV/0!</v>
      </c>
      <c r="T50" s="2185" t="e">
        <f>IF(Q50&lt;Paramétrage!D$29, Q50, Paramétrage!D$29)</f>
        <v>#DIV/0!</v>
      </c>
      <c r="U50" s="2186" t="e">
        <f>Paramétrage!H$19+S50*(365/12)</f>
        <v>#DIV/0!</v>
      </c>
      <c r="V50" s="2187" t="e">
        <f>IF(Q50&lt;Paramétrage!D$29, Paramétrage!H$19+T50*(365/12), Paramétrage!H$19+Q50*(365/12))</f>
        <v>#DIV/0!</v>
      </c>
      <c r="W50" s="2051"/>
      <c r="X50" s="2184" t="str">
        <f>IF(ISERROR(Q50),"", IF(Q50=0, "", IF(Q50&gt;'Calculs Péremption conso'!$CB44, 'Calculs Péremption conso'!$CB44, Q50)))</f>
        <v/>
      </c>
      <c r="Y50" s="2188" t="str">
        <f>IF(ISERROR(R50),"", IF(R50=0, "", IF(R50&gt;'Calculs Péremption conso'!$CB44, 'Calculs Péremption conso'!$CB44, R50)))</f>
        <v/>
      </c>
      <c r="Z50" s="2176" t="str">
        <f>IF(ISERROR(Q50),"", IF(Q50=0, "", IF(Q50&gt;'Calculs Péremption conso'!$CB44, 'Calculs Péremption conso'!$CB44-Paramétrage!$D$29, S50)))</f>
        <v/>
      </c>
      <c r="AA50" s="2189" t="str">
        <f>IF(ISERROR(Q50),"", IF(Q50=0, "", IF(Q50&gt;'Calculs Péremption conso'!$CB44, Paramétrage!$D$29, T50)))</f>
        <v/>
      </c>
      <c r="AB50" s="2186" t="str">
        <f>IF(ISERROR(Q50),"", IF(Q50=0, "", IF(Q50&gt;'Calculs Péremption conso'!$CB44, 'Calculs Péremption conso'!$BX44-Paramétrage!$D$29*(365/12), U50)))</f>
        <v/>
      </c>
      <c r="AC50" s="2187" t="str">
        <f>IF(ISERROR(Q50), AW50, IF(Q50=0, IF(AND(M50=0, OR(N50&gt;0, O50&gt;0)), AX50, ""), IF(Q50&gt;'Calculs Péremption conso'!$CB44, IF(Q50&lt;'Saisie données stocks'!$N$14, CONCATENATE('TRAD-Calculs dispo Données FA'!$B$88, " - ", 'Calculs Péremption conso'!$BY44, "/", 'Calculs Péremption conso'!$BZ44, "/", 'Calculs Péremption conso'!$CA44), 'Calculs Péremption conso'!CC44), V50)))</f>
        <v/>
      </c>
      <c r="AD50" s="2051"/>
      <c r="AE50" s="2184" t="e">
        <f>((Calculs!M299)/Calculs!L354)</f>
        <v>#DIV/0!</v>
      </c>
      <c r="AF50" s="2184" t="e">
        <f t="shared" si="5"/>
        <v>#DIV/0!</v>
      </c>
      <c r="AG50" s="2176" t="e">
        <f>AE50-Paramétrage!D$29</f>
        <v>#DIV/0!</v>
      </c>
      <c r="AH50" s="2185" t="e">
        <f>IF(AE50&lt;Paramétrage!D$29, AE50, Paramétrage!D$29)</f>
        <v>#DIV/0!</v>
      </c>
      <c r="AI50" s="2186" t="e">
        <f>Paramétrage!H$19+AG50*(365/12)</f>
        <v>#DIV/0!</v>
      </c>
      <c r="AJ50" s="2187" t="e">
        <f>IF(AE50&lt;Paramétrage!D$29, Paramétrage!H$19+AH50*(365/12), Paramétrage!H$19+AE50*(365/12))</f>
        <v>#DIV/0!</v>
      </c>
      <c r="AK50" s="2051"/>
      <c r="AL50" s="2184" t="str">
        <f>IF(ISERROR(AE50),"", IF(AE50=0, "", IF(AE50&gt;'Calculs Péremption conso'!$CB44, 'Calculs Péremption conso'!$CB44, AE50)))</f>
        <v/>
      </c>
      <c r="AM50" s="2188" t="str">
        <f t="shared" si="6"/>
        <v/>
      </c>
      <c r="AN50" s="2176" t="str">
        <f>IF(ISERROR(AE50),"", IF(AE50=0, "", IF(AE50&gt;'Calculs Péremption conso'!$CB44, 'Calculs Péremption conso'!$CB44-Paramétrage!$D$29, AG50)))</f>
        <v/>
      </c>
      <c r="AO50" s="2189" t="str">
        <f>IF(ISERROR(AE50),"", IF(AE50=0, "", IF(AE50&gt;'Calculs Péremption conso'!$CB44, Paramétrage!$D$29, AH50)))</f>
        <v/>
      </c>
      <c r="AP50" s="2186" t="str">
        <f>IF(ISERROR(AE50),"", IF(AE50=0, "", IF(AE50&gt;'Calculs Péremption FA'!$CB44, 'Calculs Péremption FA'!$BX44-Paramétrage!$D$29*(365/12), AI50)))</f>
        <v/>
      </c>
      <c r="AQ50" s="2187" t="str">
        <f>IF(ISERROR(AE50),"", IF(AE50=0, "", IF(AE50&gt;'Calculs Péremption conso'!$CB44, CONCATENATE('TRAD-Calculs dispo Données FA'!$B$88, " - ", 'Calculs Péremption conso'!$BY44, "/", 'Calculs Péremption conso'!$BZ44, "/", 'Calculs Péremption conso'!$CA44), AJ50)))</f>
        <v/>
      </c>
      <c r="AR50" s="2051"/>
      <c r="AS50" s="2061">
        <f>Calculs!$M299</f>
        <v>0</v>
      </c>
      <c r="AT50" s="2062">
        <f>Calculs!$L354</f>
        <v>0</v>
      </c>
      <c r="AU50" s="2068">
        <f>Calculs!$N354</f>
        <v>0</v>
      </c>
      <c r="AV50" s="2070" t="str">
        <f>IF(AND(AU50=0, AS50=0, AT50=0), 'TRAD-Calculs dispo Données FA'!$B$82, "")</f>
        <v>Stock et besoin nul</v>
      </c>
      <c r="AW50" s="2062" t="str">
        <f>IF(AND(AU50=0, AS50&gt;0, AT50=0), CONCATENATE(AS50, 'TRAD-Calculs dispo Données FA'!$B$80," =0"), "")</f>
        <v/>
      </c>
      <c r="AX50" s="2063" t="str">
        <f>IF(AND(AS50=0, OR(AT50&gt;=1, AU50&gt;=1)), 'TRAD-Calculs dispo Données FA'!$B$81, "")</f>
        <v/>
      </c>
      <c r="AY50" s="2051"/>
      <c r="AZ50" s="2051"/>
      <c r="BA50" s="2051"/>
      <c r="BB50" s="2051"/>
      <c r="BC50" s="2051"/>
      <c r="BD50" s="2051"/>
      <c r="BE50" s="2051"/>
      <c r="BF50" s="2051"/>
      <c r="BG50" s="2051"/>
      <c r="BH50" s="2051"/>
      <c r="BI50" s="2051"/>
      <c r="BJ50" s="2051"/>
      <c r="BK50" s="2051"/>
      <c r="BL50" s="2051"/>
      <c r="BM50" s="2051"/>
      <c r="BN50" s="2051"/>
      <c r="BO50" s="2051"/>
      <c r="BP50" s="2051"/>
      <c r="BQ50" s="2051"/>
      <c r="BR50" s="2051"/>
      <c r="BS50" s="2051"/>
      <c r="BT50" s="2051"/>
    </row>
    <row r="51" spans="3:72" s="358" customFormat="1" x14ac:dyDescent="0.2">
      <c r="C51" s="374"/>
      <c r="D51" s="402"/>
      <c r="E51" s="396" t="str">
        <f>'Saisie données stocks'!F57</f>
        <v>SQV</v>
      </c>
      <c r="F51" s="397" t="str">
        <f>'Saisie données stocks'!G57</f>
        <v>Cp</v>
      </c>
      <c r="G51" s="397" t="str">
        <f>'Saisie données stocks'!H57</f>
        <v>500 mg</v>
      </c>
      <c r="H51" s="403" t="str">
        <f>CONCATENATE(E51, " - ", G51, " - ", 'TRAD-Calculs dispo Données FA'!$B$79,"/", K51)</f>
        <v>SQV - 500 mg - B/120</v>
      </c>
      <c r="I51" s="399">
        <f>Calculs!K140</f>
        <v>4</v>
      </c>
      <c r="J51" s="399">
        <f t="shared" si="0"/>
        <v>120</v>
      </c>
      <c r="K51" s="117">
        <f>Calculs!J140</f>
        <v>120</v>
      </c>
      <c r="L51" s="400">
        <f t="shared" si="1"/>
        <v>1</v>
      </c>
      <c r="M51" s="1823">
        <f>IF('Saisie données stocks'!$O$10='TRAD-Saisie données stocks'!$B$51, 'Calculs Péremption conso'!BU45, Calculs!M300)</f>
        <v>0</v>
      </c>
      <c r="N51" s="1871">
        <f>Calculs!$L$355</f>
        <v>0</v>
      </c>
      <c r="O51" s="1871">
        <f>Calculs!$N$355</f>
        <v>0</v>
      </c>
      <c r="P51"/>
      <c r="Q51" s="2184" t="e">
        <f>IF(Calculs!N355&gt;0, (-(Calculs!N355+2*Calculs!L355)+SQRT((Calculs!N355+2*Calculs!L355)*(Calculs!N355+2*Calculs!L355)+8*Calculs!N355*(M51)))/(2*Calculs!N355), ((M51)/Calculs!L355))</f>
        <v>#DIV/0!</v>
      </c>
      <c r="R51" s="2184" t="e">
        <f t="shared" si="2"/>
        <v>#DIV/0!</v>
      </c>
      <c r="S51" s="2176" t="e">
        <f>Q51-Paramétrage!D$29</f>
        <v>#DIV/0!</v>
      </c>
      <c r="T51" s="2185" t="e">
        <f>IF(Q51&lt;Paramétrage!D$29, Q51, Paramétrage!D$29)</f>
        <v>#DIV/0!</v>
      </c>
      <c r="U51" s="2186" t="e">
        <f>Paramétrage!H$19+S51*(365/12)</f>
        <v>#DIV/0!</v>
      </c>
      <c r="V51" s="2187" t="e">
        <f>IF(Q51&lt;Paramétrage!D$29, Paramétrage!H$19+T51*(365/12), Paramétrage!H$19+Q51*(365/12))</f>
        <v>#DIV/0!</v>
      </c>
      <c r="W51" s="2051"/>
      <c r="X51" s="2184" t="str">
        <f>IF(ISERROR(Q51),"", IF(Q51=0, "", IF(Q51&gt;'Calculs Péremption conso'!$CB45, 'Calculs Péremption conso'!$CB45, Q51)))</f>
        <v/>
      </c>
      <c r="Y51" s="2188" t="str">
        <f>IF(ISERROR(R51),"", IF(R51=0, "", IF(R51&gt;'Calculs Péremption conso'!$CB45, 'Calculs Péremption conso'!$CB45, R51)))</f>
        <v/>
      </c>
      <c r="Z51" s="2176" t="str">
        <f>IF(ISERROR(Q51),"", IF(Q51=0, "", IF(Q51&gt;'Calculs Péremption conso'!$CB45, 'Calculs Péremption conso'!$CB45-Paramétrage!$D$29, S51)))</f>
        <v/>
      </c>
      <c r="AA51" s="2189" t="str">
        <f>IF(ISERROR(Q51),"", IF(Q51=0, "", IF(Q51&gt;'Calculs Péremption conso'!$CB45, Paramétrage!$D$29, T51)))</f>
        <v/>
      </c>
      <c r="AB51" s="2186" t="str">
        <f>IF(ISERROR(Q51),"", IF(Q51=0, "", IF(Q51&gt;'Calculs Péremption conso'!$CB45, 'Calculs Péremption conso'!$BX45-Paramétrage!$D$29*(365/12), U51)))</f>
        <v/>
      </c>
      <c r="AC51" s="2187" t="str">
        <f>IF(ISERROR(Q51), AW51, IF(Q51=0, IF(AND(M51=0, OR(N51&gt;0, O51&gt;0)), AX51, ""), IF(Q51&gt;'Calculs Péremption conso'!$CB45, IF(Q51&lt;'Saisie données stocks'!$N$14, CONCATENATE('TRAD-Calculs dispo Données FA'!$B$88, " - ", 'Calculs Péremption conso'!$BY45, "/", 'Calculs Péremption conso'!$BZ45, "/", 'Calculs Péremption conso'!$CA45), 'Calculs Péremption conso'!CC45), V51)))</f>
        <v/>
      </c>
      <c r="AD51" s="2051"/>
      <c r="AE51" s="2184" t="e">
        <f>((Calculs!M300)/Calculs!L355)</f>
        <v>#DIV/0!</v>
      </c>
      <c r="AF51" s="2184" t="e">
        <f t="shared" si="5"/>
        <v>#DIV/0!</v>
      </c>
      <c r="AG51" s="2176" t="e">
        <f>AE51-Paramétrage!D$29</f>
        <v>#DIV/0!</v>
      </c>
      <c r="AH51" s="2185" t="e">
        <f>IF(AE51&lt;Paramétrage!D$29, AE51, Paramétrage!D$29)</f>
        <v>#DIV/0!</v>
      </c>
      <c r="AI51" s="2186" t="e">
        <f>Paramétrage!H$19+AG51*(365/12)</f>
        <v>#DIV/0!</v>
      </c>
      <c r="AJ51" s="2187" t="e">
        <f>IF(AE51&lt;Paramétrage!D$29, Paramétrage!H$19+AH51*(365/12), Paramétrage!H$19+AE51*(365/12))</f>
        <v>#DIV/0!</v>
      </c>
      <c r="AK51" s="2051"/>
      <c r="AL51" s="2184" t="str">
        <f>IF(ISERROR(AE51),"", IF(AE51=0, "", IF(AE51&gt;'Calculs Péremption conso'!$CB45, 'Calculs Péremption conso'!$CB45, AE51)))</f>
        <v/>
      </c>
      <c r="AM51" s="2188" t="str">
        <f t="shared" si="6"/>
        <v/>
      </c>
      <c r="AN51" s="2176" t="str">
        <f>IF(ISERROR(AE51),"", IF(AE51=0, "", IF(AE51&gt;'Calculs Péremption conso'!$CB45, 'Calculs Péremption conso'!$CB45-Paramétrage!$D$29, AG51)))</f>
        <v/>
      </c>
      <c r="AO51" s="2189" t="str">
        <f>IF(ISERROR(AE51),"", IF(AE51=0, "", IF(AE51&gt;'Calculs Péremption conso'!$CB45, Paramétrage!$D$29, AH51)))</f>
        <v/>
      </c>
      <c r="AP51" s="2186" t="str">
        <f>IF(ISERROR(AE51),"", IF(AE51=0, "", IF(AE51&gt;'Calculs Péremption FA'!$CB45, 'Calculs Péremption FA'!$BX45-Paramétrage!$D$29*(365/12), AI51)))</f>
        <v/>
      </c>
      <c r="AQ51" s="2187" t="str">
        <f>IF(ISERROR(AE51),"", IF(AE51=0, "", IF(AE51&gt;'Calculs Péremption conso'!$CB45, CONCATENATE('TRAD-Calculs dispo Données FA'!$B$88, " - ", 'Calculs Péremption conso'!$BY45, "/", 'Calculs Péremption conso'!$BZ45, "/", 'Calculs Péremption conso'!$CA45), AJ51)))</f>
        <v/>
      </c>
      <c r="AR51" s="2051"/>
      <c r="AS51" s="2061">
        <f>Calculs!$M300</f>
        <v>0</v>
      </c>
      <c r="AT51" s="2062">
        <f>Calculs!$L355</f>
        <v>0</v>
      </c>
      <c r="AU51" s="2068">
        <f>Calculs!$N355</f>
        <v>0</v>
      </c>
      <c r="AV51" s="2070" t="str">
        <f>IF(AND(AU51=0, AS51=0, AT51=0), 'TRAD-Calculs dispo Données FA'!$B$82, "")</f>
        <v>Stock et besoin nul</v>
      </c>
      <c r="AW51" s="2062" t="str">
        <f>IF(AND(AU51=0, AS51&gt;0, AT51=0), CONCATENATE(AS51, 'TRAD-Calculs dispo Données FA'!$B$80," =0"), "")</f>
        <v/>
      </c>
      <c r="AX51" s="2063" t="str">
        <f>IF(AND(AS51=0, OR(AT51&gt;=1, AU51&gt;=1)), 'TRAD-Calculs dispo Données FA'!$B$81, "")</f>
        <v/>
      </c>
      <c r="AY51" s="2051"/>
      <c r="AZ51" s="2051"/>
      <c r="BA51" s="2051"/>
      <c r="BB51" s="2051"/>
      <c r="BC51" s="2051"/>
      <c r="BD51" s="2051"/>
      <c r="BE51" s="2051"/>
      <c r="BF51" s="2051"/>
      <c r="BG51" s="2051"/>
      <c r="BH51" s="2051"/>
      <c r="BI51" s="2051"/>
      <c r="BJ51" s="2051"/>
      <c r="BK51" s="2051"/>
      <c r="BL51" s="2051"/>
      <c r="BM51" s="2051"/>
      <c r="BN51" s="2051"/>
      <c r="BO51" s="2051"/>
      <c r="BP51" s="2051"/>
      <c r="BQ51" s="2051"/>
      <c r="BR51" s="2051"/>
      <c r="BS51" s="2051"/>
      <c r="BT51" s="2051"/>
    </row>
    <row r="52" spans="3:72" s="358" customFormat="1" x14ac:dyDescent="0.2">
      <c r="C52" s="388"/>
      <c r="D52" s="389"/>
      <c r="E52" s="390" t="str">
        <f>'Saisie données stocks'!F58</f>
        <v>RTV</v>
      </c>
      <c r="F52" s="391" t="str">
        <f>'Saisie données stocks'!G58</f>
        <v>Caps</v>
      </c>
      <c r="G52" s="391" t="str">
        <f>'Saisie données stocks'!H58</f>
        <v>100 mg</v>
      </c>
      <c r="H52" s="401" t="str">
        <f>CONCATENATE(E52, " - ", G52, " - ", 'TRAD-Calculs dispo Données FA'!$B$79,"/", K52)</f>
        <v>RTV - 100 mg - B/84</v>
      </c>
      <c r="I52" s="394">
        <f>Calculs!K141</f>
        <v>0</v>
      </c>
      <c r="J52" s="394">
        <f t="shared" si="0"/>
        <v>0</v>
      </c>
      <c r="K52" s="116">
        <f>Calculs!J141</f>
        <v>84</v>
      </c>
      <c r="L52" s="395">
        <f t="shared" si="1"/>
        <v>0</v>
      </c>
      <c r="M52" s="1822">
        <f>IF('Saisie données stocks'!$O$10='TRAD-Saisie données stocks'!$B$51, 'Calculs Péremption conso'!BU46, Calculs!M301)</f>
        <v>0</v>
      </c>
      <c r="N52" s="1822">
        <f>Calculs!$L$356</f>
        <v>0</v>
      </c>
      <c r="O52" s="1822">
        <f>Calculs!$N$356</f>
        <v>0</v>
      </c>
      <c r="P52"/>
      <c r="Q52" s="2175" t="e">
        <f>IF(Calculs!N356&gt;0, (-(Calculs!N356+2*Calculs!L356)+SQRT((Calculs!N356+2*Calculs!L356)*(Calculs!N356+2*Calculs!L356)+8*Calculs!N356*(M52)))/(2*Calculs!N356), ((M52)/Calculs!L356))</f>
        <v>#DIV/0!</v>
      </c>
      <c r="R52" s="2175" t="e">
        <f t="shared" si="2"/>
        <v>#DIV/0!</v>
      </c>
      <c r="S52" s="2181" t="e">
        <f>Q52-Paramétrage!D$29</f>
        <v>#DIV/0!</v>
      </c>
      <c r="T52" s="2182" t="e">
        <f>IF(Q52&lt;Paramétrage!D$29, Q52, Paramétrage!D$29)</f>
        <v>#DIV/0!</v>
      </c>
      <c r="U52" s="2178" t="e">
        <f>Paramétrage!H$19+S52*(365/12)</f>
        <v>#DIV/0!</v>
      </c>
      <c r="V52" s="2179" t="e">
        <f>IF(Q52&lt;Paramétrage!D$29, Paramétrage!H$19+T52*(365/12), Paramétrage!H$19+Q52*(365/12))</f>
        <v>#DIV/0!</v>
      </c>
      <c r="W52" s="2051"/>
      <c r="X52" s="2175" t="str">
        <f>IF(ISERROR(Q52),"", IF(Q52=0, "", IF(Q52&gt;'Calculs Péremption conso'!$CB46, 'Calculs Péremption conso'!$CB46, Q52)))</f>
        <v/>
      </c>
      <c r="Y52" s="2180" t="str">
        <f>IF(ISERROR(R52),"", IF(R52=0, "", IF(R52&gt;'Calculs Péremption conso'!$CB46, 'Calculs Péremption conso'!$CB46, R52)))</f>
        <v/>
      </c>
      <c r="Z52" s="2181" t="str">
        <f>IF(ISERROR(Q52),"", IF(Q52=0, "", IF(Q52&gt;'Calculs Péremption conso'!$CB46, 'Calculs Péremption conso'!$CB46-Paramétrage!$D$29, S52)))</f>
        <v/>
      </c>
      <c r="AA52" s="2182" t="str">
        <f>IF(ISERROR(Q52),"", IF(Q52=0, "", IF(Q52&gt;'Calculs Péremption conso'!$CB46, Paramétrage!$D$29, T52)))</f>
        <v/>
      </c>
      <c r="AB52" s="2178" t="str">
        <f>IF(ISERROR(Q52),"", IF(Q52=0, "", IF(Q52&gt;'Calculs Péremption conso'!$CB46, 'Calculs Péremption conso'!$BX46-Paramétrage!$D$29*(365/12), U52)))</f>
        <v/>
      </c>
      <c r="AC52" s="2179" t="str">
        <f>IF(ISERROR(Q52), AW52, IF(Q52=0, IF(AND(M52=0, OR(N52&gt;0, O52&gt;0)), AX52, ""), IF(Q52&gt;'Calculs Péremption conso'!$CB46, IF(Q52&lt;'Saisie données stocks'!$N$14, CONCATENATE('TRAD-Calculs dispo Données FA'!$B$88, " - ", 'Calculs Péremption conso'!$BY46, "/", 'Calculs Péremption conso'!$BZ46, "/", 'Calculs Péremption conso'!$CA46), 'Calculs Péremption conso'!CC46), V52)))</f>
        <v/>
      </c>
      <c r="AD52" s="2051"/>
      <c r="AE52" s="2175" t="e">
        <f>((Calculs!M301)/Calculs!L356)</f>
        <v>#DIV/0!</v>
      </c>
      <c r="AF52" s="2175" t="e">
        <f t="shared" si="5"/>
        <v>#DIV/0!</v>
      </c>
      <c r="AG52" s="2181" t="e">
        <f>AE52-Paramétrage!D$29</f>
        <v>#DIV/0!</v>
      </c>
      <c r="AH52" s="2182" t="e">
        <f>IF(AE52&lt;Paramétrage!D$29, AE52, Paramétrage!D$29)</f>
        <v>#DIV/0!</v>
      </c>
      <c r="AI52" s="2178" t="e">
        <f>Paramétrage!H$19+AG52*(365/12)</f>
        <v>#DIV/0!</v>
      </c>
      <c r="AJ52" s="2179" t="e">
        <f>IF(AE52&lt;Paramétrage!D$29, Paramétrage!H$19+AH52*(365/12), Paramétrage!H$19+AE52*(365/12))</f>
        <v>#DIV/0!</v>
      </c>
      <c r="AK52" s="2051"/>
      <c r="AL52" s="2175" t="str">
        <f>IF(ISERROR(AE52),"", IF(AE52=0, "", IF(AE52&gt;'Calculs Péremption conso'!$CB46, 'Calculs Péremption conso'!$CB46, AE52)))</f>
        <v/>
      </c>
      <c r="AM52" s="2180" t="str">
        <f t="shared" si="6"/>
        <v/>
      </c>
      <c r="AN52" s="2181" t="str">
        <f>IF(ISERROR(AE52),"", IF(AE52=0, "", IF(AE52&gt;'Calculs Péremption conso'!$CB46, 'Calculs Péremption conso'!$CB46-Paramétrage!$D$29, AG52)))</f>
        <v/>
      </c>
      <c r="AO52" s="2182" t="str">
        <f>IF(ISERROR(AE52),"", IF(AE52=0, "", IF(AE52&gt;'Calculs Péremption conso'!$CB46, Paramétrage!$D$29, AH52)))</f>
        <v/>
      </c>
      <c r="AP52" s="2178" t="str">
        <f>IF(ISERROR(AE52),"", IF(AE52=0, "", IF(AE52&gt;'Calculs Péremption FA'!$CB46, 'Calculs Péremption FA'!$BX46-Paramétrage!$D$29*(365/12), AI52)))</f>
        <v/>
      </c>
      <c r="AQ52" s="2179" t="str">
        <f>IF(ISERROR(AE52),"", IF(AE52=0, "", IF(AE52&gt;'Calculs Péremption conso'!$CB46, CONCATENATE('TRAD-Calculs dispo Données FA'!$B$88, " - ", 'Calculs Péremption conso'!$BY46, "/", 'Calculs Péremption conso'!$BZ46, "/", 'Calculs Péremption conso'!$CA46), AJ52)))</f>
        <v/>
      </c>
      <c r="AR52" s="2051"/>
      <c r="AS52" s="2061">
        <f>Calculs!$M301</f>
        <v>0</v>
      </c>
      <c r="AT52" s="2062">
        <f>Calculs!$L356</f>
        <v>0</v>
      </c>
      <c r="AU52" s="2068">
        <f>Calculs!$N356</f>
        <v>0</v>
      </c>
      <c r="AV52" s="2070" t="str">
        <f>IF(AND(AU52=0, AS52=0, AT52=0), 'TRAD-Calculs dispo Données FA'!$B$82, "")</f>
        <v>Stock et besoin nul</v>
      </c>
      <c r="AW52" s="2062" t="str">
        <f>IF(AND(AU52=0, AS52&gt;0, AT52=0), CONCATENATE(AS52, 'TRAD-Calculs dispo Données FA'!$B$80," =0"), "")</f>
        <v/>
      </c>
      <c r="AX52" s="2063" t="str">
        <f>IF(AND(AS52=0, OR(AT52&gt;=1, AU52&gt;=1)), 'TRAD-Calculs dispo Données FA'!$B$81, "")</f>
        <v/>
      </c>
      <c r="AY52" s="2051"/>
      <c r="AZ52" s="2051"/>
      <c r="BA52" s="2051"/>
      <c r="BB52" s="2051"/>
      <c r="BC52" s="2051"/>
      <c r="BD52" s="2051"/>
      <c r="BE52" s="2051"/>
      <c r="BF52" s="2051"/>
      <c r="BG52" s="2051"/>
      <c r="BH52" s="2051"/>
      <c r="BI52" s="2051"/>
      <c r="BJ52" s="2051"/>
      <c r="BK52" s="2051"/>
      <c r="BL52" s="2051"/>
      <c r="BM52" s="2051"/>
      <c r="BN52" s="2051"/>
      <c r="BO52" s="2051"/>
      <c r="BP52" s="2051"/>
      <c r="BQ52" s="2051"/>
      <c r="BR52" s="2051"/>
      <c r="BS52" s="2051"/>
      <c r="BT52" s="2051"/>
    </row>
    <row r="53" spans="3:72" s="358" customFormat="1" ht="13.5" thickBot="1" x14ac:dyDescent="0.25">
      <c r="C53" s="374"/>
      <c r="D53" s="375" t="s">
        <v>266</v>
      </c>
      <c r="E53" s="376" t="str">
        <f>'Saisie données stocks'!F59</f>
        <v>RLT = RAL</v>
      </c>
      <c r="F53" s="377" t="str">
        <f>'Saisie données stocks'!G59</f>
        <v>Cp</v>
      </c>
      <c r="G53" s="377" t="str">
        <f>'Saisie données stocks'!H59</f>
        <v>400 mg</v>
      </c>
      <c r="H53" s="378" t="str">
        <f>CONCATENATE(E53, " - ", G53, " - ", 'TRAD-Calculs dispo Données FA'!$B$79,"/", K53)</f>
        <v>RLT = RAL - 400 mg - B/60</v>
      </c>
      <c r="I53" s="380">
        <f>Calculs!K142</f>
        <v>2</v>
      </c>
      <c r="J53" s="380">
        <f t="shared" si="0"/>
        <v>60</v>
      </c>
      <c r="K53" s="114">
        <f>Calculs!J142</f>
        <v>60</v>
      </c>
      <c r="L53" s="381">
        <f t="shared" si="1"/>
        <v>1</v>
      </c>
      <c r="M53" s="1820">
        <f>IF('Saisie données stocks'!$O$10='TRAD-Saisie données stocks'!$B$51, 'Calculs Péremption conso'!BU47, Calculs!M302)</f>
        <v>0</v>
      </c>
      <c r="N53" s="1820">
        <f>Calculs!$L$357</f>
        <v>0</v>
      </c>
      <c r="O53" s="1820">
        <f>Calculs!$N$357</f>
        <v>0</v>
      </c>
      <c r="P53"/>
      <c r="Q53" s="2161" t="e">
        <f>IF(Calculs!N357&gt;0, (-(Calculs!N357+2*Calculs!L357)+SQRT((Calculs!N357+2*Calculs!L357)*(Calculs!N357+2*Calculs!L357)+8*Calculs!N357*(M53)))/(2*Calculs!N357), ((M53)/Calculs!L357))</f>
        <v>#DIV/0!</v>
      </c>
      <c r="R53" s="2161" t="e">
        <f t="shared" si="2"/>
        <v>#DIV/0!</v>
      </c>
      <c r="S53" s="2162" t="e">
        <f>Q53-Paramétrage!D$29</f>
        <v>#DIV/0!</v>
      </c>
      <c r="T53" s="2163" t="e">
        <f>IF(Q53&lt;Paramétrage!D$29, Q53, Paramétrage!D$29)</f>
        <v>#DIV/0!</v>
      </c>
      <c r="U53" s="2164" t="e">
        <f>Paramétrage!H$19+S53*(365/12)</f>
        <v>#DIV/0!</v>
      </c>
      <c r="V53" s="2165" t="e">
        <f>IF(Q53&lt;Paramétrage!D$29, Paramétrage!H$19+T53*(365/12), Paramétrage!H$19+Q53*(365/12))</f>
        <v>#DIV/0!</v>
      </c>
      <c r="W53" s="2051"/>
      <c r="X53" s="2175" t="str">
        <f>IF(ISERROR(Q53),"", IF(Q53=0, "", IF(Q53&gt;'Calculs Péremption conso'!$CB47, 'Calculs Péremption conso'!$CB47, Q53)))</f>
        <v/>
      </c>
      <c r="Y53" s="2180" t="str">
        <f>IF(ISERROR(R53),"", IF(R53=0, "", IF(R53&gt;'Calculs Péremption conso'!$CB47, 'Calculs Péremption conso'!$CB47, R53)))</f>
        <v/>
      </c>
      <c r="Z53" s="2181" t="str">
        <f>IF(ISERROR(Q53),"", IF(Q53=0, "", IF(Q53&gt;'Calculs Péremption conso'!$CB47, 'Calculs Péremption conso'!$CB47-Paramétrage!$D$29, S53)))</f>
        <v/>
      </c>
      <c r="AA53" s="2182" t="str">
        <f>IF(ISERROR(Q53),"", IF(Q53=0, "", IF(Q53&gt;'Calculs Péremption conso'!$CB47, Paramétrage!$D$29, T53)))</f>
        <v/>
      </c>
      <c r="AB53" s="2164" t="str">
        <f>IF(ISERROR(Q53),"", IF(Q53=0, "", IF(Q53&gt;'Calculs Péremption conso'!$CB47, 'Calculs Péremption conso'!$BX47-Paramétrage!$D$29*(365/12), U53)))</f>
        <v/>
      </c>
      <c r="AC53" s="2165" t="str">
        <f>IF(ISERROR(Q53), AW53, IF(Q53=0, IF(AND(M53=0, OR(N53&gt;0, O53&gt;0)), AX53, ""), IF(Q53&gt;'Calculs Péremption conso'!$CB47, IF(Q53&lt;'Saisie données stocks'!$N$14, CONCATENATE('TRAD-Calculs dispo Données FA'!$B$88, " - ", 'Calculs Péremption conso'!$BY47, "/", 'Calculs Péremption conso'!$BZ47, "/", 'Calculs Péremption conso'!$CA47), 'Calculs Péremption conso'!CC47), V53)))</f>
        <v/>
      </c>
      <c r="AD53" s="2051"/>
      <c r="AE53" s="2161" t="e">
        <f>((Calculs!M302)/Calculs!L357)</f>
        <v>#DIV/0!</v>
      </c>
      <c r="AF53" s="2161" t="e">
        <f t="shared" si="5"/>
        <v>#DIV/0!</v>
      </c>
      <c r="AG53" s="2162" t="e">
        <f>AE53-Paramétrage!D$29</f>
        <v>#DIV/0!</v>
      </c>
      <c r="AH53" s="2163" t="e">
        <f>IF(AE53&lt;Paramétrage!D$29, AE53, Paramétrage!D$29)</f>
        <v>#DIV/0!</v>
      </c>
      <c r="AI53" s="2164" t="e">
        <f>Paramétrage!H$19+AG53*(365/12)</f>
        <v>#DIV/0!</v>
      </c>
      <c r="AJ53" s="2165" t="e">
        <f>IF(AE53&lt;Paramétrage!D$29, Paramétrage!H$19+AH53*(365/12), Paramétrage!H$19+AE53*(365/12))</f>
        <v>#DIV/0!</v>
      </c>
      <c r="AK53" s="2051"/>
      <c r="AL53" s="2175" t="str">
        <f>IF(ISERROR(AE53),"", IF(AE53=0, "", IF(AE53&gt;'Calculs Péremption conso'!$CB47, 'Calculs Péremption conso'!$CB47, AE53)))</f>
        <v/>
      </c>
      <c r="AM53" s="2180" t="str">
        <f t="shared" si="6"/>
        <v/>
      </c>
      <c r="AN53" s="2181" t="str">
        <f>IF(ISERROR(AE53),"", IF(AE53=0, "", IF(AE53&gt;'Calculs Péremption conso'!$CB47, 'Calculs Péremption conso'!$CB47-Paramétrage!$D$29, AG53)))</f>
        <v/>
      </c>
      <c r="AO53" s="2182" t="str">
        <f>IF(ISERROR(AE53),"", IF(AE53=0, "", IF(AE53&gt;'Calculs Péremption conso'!$CB47, Paramétrage!$D$29, AH53)))</f>
        <v/>
      </c>
      <c r="AP53" s="2164" t="str">
        <f>IF(ISERROR(AE53),"", IF(AE53=0, "", IF(AE53&gt;'Calculs Péremption FA'!$CB47, 'Calculs Péremption FA'!$BX47-Paramétrage!$D$29*(365/12), AI53)))</f>
        <v/>
      </c>
      <c r="AQ53" s="2165" t="str">
        <f>IF(ISERROR(AE53),"", IF(AE53=0, "", IF(AE53&gt;'Calculs Péremption conso'!$CB47, CONCATENATE('TRAD-Calculs dispo Données FA'!$B$88, " - ", 'Calculs Péremption conso'!$BY47, "/", 'Calculs Péremption conso'!$BZ47, "/", 'Calculs Péremption conso'!$CA47), AJ53)))</f>
        <v/>
      </c>
      <c r="AR53" s="2051"/>
      <c r="AS53" s="2061">
        <f>Calculs!$M302</f>
        <v>0</v>
      </c>
      <c r="AT53" s="2062">
        <f>Calculs!$L357</f>
        <v>0</v>
      </c>
      <c r="AU53" s="2068">
        <f>Calculs!$N357</f>
        <v>0</v>
      </c>
      <c r="AV53" s="2070" t="str">
        <f>IF(AND(AU53=0, AS53=0, AT53=0), 'TRAD-Calculs dispo Données FA'!$B$82, "")</f>
        <v>Stock et besoin nul</v>
      </c>
      <c r="AW53" s="2062" t="str">
        <f>IF(AND(AU53=0, AS53&gt;0, AT53=0), CONCATENATE(AS53, 'TRAD-Calculs dispo Données FA'!$B$80," =0"), "")</f>
        <v/>
      </c>
      <c r="AX53" s="2063" t="str">
        <f>IF(AND(AS53=0, OR(AT53&gt;=1, AU53&gt;=1)), 'TRAD-Calculs dispo Données FA'!$B$81, "")</f>
        <v/>
      </c>
      <c r="AY53" s="2051"/>
      <c r="AZ53" s="2051"/>
      <c r="BA53" s="2051"/>
      <c r="BB53" s="2051"/>
      <c r="BC53" s="2051"/>
      <c r="BD53" s="2051"/>
      <c r="BE53" s="2051"/>
      <c r="BF53" s="2051"/>
      <c r="BG53" s="2051"/>
      <c r="BH53" s="2051"/>
      <c r="BI53" s="2051"/>
      <c r="BJ53" s="2051"/>
      <c r="BK53" s="2051"/>
      <c r="BL53" s="2051"/>
      <c r="BM53" s="2051"/>
      <c r="BN53" s="2051"/>
      <c r="BO53" s="2051"/>
      <c r="BP53" s="2051"/>
      <c r="BQ53" s="2051"/>
      <c r="BR53" s="2051"/>
      <c r="BS53" s="2051"/>
      <c r="BT53" s="2051"/>
    </row>
    <row r="54" spans="3:72" s="358" customFormat="1" ht="77.25" thickBot="1" x14ac:dyDescent="0.25">
      <c r="C54" s="577" t="str">
        <f>'TRAD-Calculs dispo Données FA'!B9</f>
        <v>Classe forme galénique</v>
      </c>
      <c r="D54" s="576" t="str">
        <f>'TRAD-Calculs dispo Données FA'!B10</f>
        <v>Classe thérapeutique</v>
      </c>
      <c r="E54" s="364" t="str">
        <f>'TRAD-Calculs dispo Données FA'!B11</f>
        <v>Composition</v>
      </c>
      <c r="F54" s="365" t="str">
        <f>'TRAD-Calculs dispo Données FA'!B12</f>
        <v>Forme galénique</v>
      </c>
      <c r="G54" s="365" t="str">
        <f>'TRAD-Calculs dispo Données FA'!B13</f>
        <v>Dosage</v>
      </c>
      <c r="H54" s="365" t="str">
        <f>'TRAD-Calculs dispo Données FA'!B14</f>
        <v>Nom pour représentation graphique</v>
      </c>
      <c r="I54" s="365"/>
      <c r="J54" s="365"/>
      <c r="K54" s="365" t="str">
        <f>'TRAD-Calculs dispo Données FA'!B18</f>
        <v>Volume conditionnement primaire (mL)</v>
      </c>
      <c r="L54" s="327" t="str">
        <f>'TRAD-Calculs dispo Données FA'!B19</f>
        <v>Conditionement secondaire</v>
      </c>
      <c r="M54" s="346" t="str">
        <f>'TRAD-Calculs dispo Données FA'!B21</f>
        <v>Stock disponible UTILISABLE au niveau considéré (nb de boites)</v>
      </c>
      <c r="N54" s="2057" t="str">
        <f>'TRAD-Calculs dispo Données FA'!B33</f>
        <v>Besoin mensuel patients suivis selon méthode</v>
      </c>
      <c r="O54" s="2057" t="str">
        <f>'TRAD-Calculs dispo Données FA'!B34</f>
        <v>Besoin mensuel patients initiés selon méthode</v>
      </c>
      <c r="P54"/>
      <c r="Q54" s="346" t="str">
        <f>'TRAD-Calculs dispo Données FA'!B35</f>
        <v>Nombre de mois de disponibilité de produits</v>
      </c>
      <c r="R54" s="346" t="str">
        <f>'TRAD-Calculs dispo Données FA'!B36</f>
        <v>Delta Nb de mois de disponibilité Stocks périph / Stocks total (périph + central)</v>
      </c>
      <c r="S54" s="347" t="str">
        <f>'TRAD-Calculs dispo Données FA'!B37</f>
        <v>Nombre de mois de disponibilité de produits hors ST</v>
      </c>
      <c r="T54" s="327" t="str">
        <f>'TRAD-Calculs dispo Données FA'!B38</f>
        <v>Nombre de mois de stock tampon (ST)</v>
      </c>
      <c r="U54" s="348" t="str">
        <f>'TRAD-Calculs dispo Données FA'!B39</f>
        <v>Date d'entrée en stock tampon</v>
      </c>
      <c r="V54" s="349" t="str">
        <f>'TRAD-Calculs dispo Données FA'!B40</f>
        <v>Date de rupture attendue</v>
      </c>
      <c r="W54" s="2051"/>
      <c r="X54" s="346" t="str">
        <f>'TRAD-Calculs dispo Données FA'!B35</f>
        <v>Nombre de mois de disponibilité de produits</v>
      </c>
      <c r="Y54" s="346" t="str">
        <f>'TRAD-Calculs dispo Données FA'!B36</f>
        <v>Delta Nb de mois de disponibilité Stocks périph / Stocks total (périph + central)</v>
      </c>
      <c r="Z54" s="347" t="str">
        <f>'TRAD-Calculs dispo Données FA'!B37</f>
        <v>Nombre de mois de disponibilité de produits hors ST</v>
      </c>
      <c r="AA54" s="424" t="str">
        <f>'TRAD-Calculs dispo Données FA'!B38</f>
        <v>Nombre de mois de stock tampon (ST)</v>
      </c>
      <c r="AB54" s="348" t="str">
        <f>'TRAD-Calculs dispo Données FA'!B39</f>
        <v>Date d'entrée en stock tampon</v>
      </c>
      <c r="AC54" s="349" t="str">
        <f>'TRAD-Calculs dispo Données FA'!B40</f>
        <v>Date de rupture attendue</v>
      </c>
      <c r="AD54" s="2051"/>
      <c r="AE54" s="346" t="str">
        <f>'TRAD-Calculs dispo Données FA'!B35</f>
        <v>Nombre de mois de disponibilité de produits</v>
      </c>
      <c r="AF54" s="580" t="str">
        <f>'TRAD-Calculs dispo Données FA'!B46</f>
        <v>Gain Nb de mois de disponibilité si arrêt des initiations &amp; switch</v>
      </c>
      <c r="AG54" s="347" t="str">
        <f>'TRAD-Calculs dispo Données FA'!B37</f>
        <v>Nombre de mois de disponibilité de produits hors ST</v>
      </c>
      <c r="AH54" s="424" t="str">
        <f>'TRAD-Calculs dispo Données FA'!B38</f>
        <v>Nombre de mois de stock tampon (ST)</v>
      </c>
      <c r="AI54" s="348" t="str">
        <f>'TRAD-Calculs dispo Données FA'!B39</f>
        <v>Date d'entrée en stock tampon</v>
      </c>
      <c r="AJ54" s="349" t="str">
        <f>'TRAD-Calculs dispo Données FA'!B40</f>
        <v>Date de rupture attendue</v>
      </c>
      <c r="AK54" s="2051"/>
      <c r="AL54" s="346" t="str">
        <f>'TRAD-Calculs dispo Données FA'!B35</f>
        <v>Nombre de mois de disponibilité de produits</v>
      </c>
      <c r="AM54" s="580" t="str">
        <f>'TRAD-Calculs dispo Données FA'!B46</f>
        <v>Gain Nb de mois de disponibilité si arrêt des initiations &amp; switch</v>
      </c>
      <c r="AN54" s="347" t="str">
        <f>'TRAD-Calculs dispo Données FA'!B37</f>
        <v>Nombre de mois de disponibilité de produits hors ST</v>
      </c>
      <c r="AO54" s="424" t="str">
        <f>'TRAD-Calculs dispo Données FA'!B38</f>
        <v>Nombre de mois de stock tampon (ST)</v>
      </c>
      <c r="AP54" s="424" t="str">
        <f>'TRAD-Calculs dispo Données FA'!B39</f>
        <v>Date d'entrée en stock tampon</v>
      </c>
      <c r="AQ54" s="349" t="str">
        <f>'TRAD-Calculs dispo Données FA'!B40</f>
        <v>Date de rupture attendue</v>
      </c>
      <c r="AR54" s="2051"/>
      <c r="AS54" s="2077">
        <f>Calculs!$M303</f>
        <v>0</v>
      </c>
      <c r="AT54" s="2078" t="str">
        <f>Calculs!$O194</f>
        <v>Total des besoins pour 1 mois</v>
      </c>
      <c r="AU54" s="2079" t="str">
        <f>Calculs!$N248</f>
        <v>Total des besoins pour 1 mois</v>
      </c>
      <c r="AV54" s="2077" t="s">
        <v>559</v>
      </c>
      <c r="AW54" s="2078" t="s">
        <v>559</v>
      </c>
      <c r="AX54" s="2080" t="s">
        <v>559</v>
      </c>
      <c r="AY54" s="2051"/>
      <c r="AZ54" s="2051"/>
      <c r="BA54" s="2051"/>
      <c r="BB54" s="2051"/>
      <c r="BC54" s="2051"/>
      <c r="BD54" s="2051"/>
      <c r="BE54" s="2051"/>
      <c r="BF54" s="2051"/>
      <c r="BG54" s="2051"/>
      <c r="BH54" s="2051"/>
      <c r="BI54" s="2051"/>
      <c r="BJ54" s="2051"/>
      <c r="BK54" s="2051"/>
      <c r="BL54" s="2051"/>
      <c r="BM54" s="2051"/>
      <c r="BN54" s="2051"/>
      <c r="BO54" s="2051"/>
      <c r="BP54" s="2051"/>
      <c r="BQ54" s="2051"/>
      <c r="BR54" s="2051"/>
      <c r="BS54" s="2051"/>
      <c r="BT54" s="2051"/>
    </row>
    <row r="55" spans="3:72" s="358" customFormat="1" ht="38.25" x14ac:dyDescent="0.2">
      <c r="C55" s="366" t="str">
        <f>'TRAD-Calculs dispo Données FA'!B67</f>
        <v>Solutions Buvables</v>
      </c>
      <c r="D55" s="367" t="s">
        <v>31</v>
      </c>
      <c r="E55" s="376" t="str">
        <f>'Saisie données stocks'!F61</f>
        <v>AZT</v>
      </c>
      <c r="F55" s="377" t="str">
        <f>'Saisie données stocks'!G61</f>
        <v>Sol buv</v>
      </c>
      <c r="G55" s="377" t="str">
        <f>'Saisie données stocks'!H61</f>
        <v>10 mg/mL</v>
      </c>
      <c r="H55" s="87" t="str">
        <f>CONCATENATE(E55, " - ", G55, " - ", 'TRAD-Calculs dispo Données FA'!$B$83,"/", K55, "mL")</f>
        <v>AZT - 10 mg/mL - Fl/240mL</v>
      </c>
      <c r="I55" s="370"/>
      <c r="J55" s="370"/>
      <c r="K55" s="113">
        <f>'Saisie données stocks'!L61</f>
        <v>240</v>
      </c>
      <c r="L55" s="300">
        <f>'Saisie données stocks'!M61</f>
        <v>1</v>
      </c>
      <c r="M55" s="1819">
        <f>IF('Saisie données stocks'!$O$10='TRAD-Saisie données stocks'!$B$51, 'Calculs Péremption conso'!BU49, Calculs!M304)</f>
        <v>0</v>
      </c>
      <c r="N55" s="1819">
        <f>Calculs!$L$359</f>
        <v>0</v>
      </c>
      <c r="O55" s="1819">
        <f>Calculs!$N$359</f>
        <v>0</v>
      </c>
      <c r="P55"/>
      <c r="Q55" s="2154" t="e">
        <f>IF(Calculs!N359&gt;0, (-(Calculs!N359+2*Calculs!L359)+SQRT((Calculs!N359+2*Calculs!L359)*(Calculs!N359+2*Calculs!L359)+8*Calculs!N359*(M55)))/(2*Calculs!N359), ((M55)/Calculs!L359))</f>
        <v>#DIV/0!</v>
      </c>
      <c r="R55" s="2154" t="e">
        <f t="shared" ref="R55:R62" si="7">Q169-Q112</f>
        <v>#DIV/0!</v>
      </c>
      <c r="S55" s="2155" t="e">
        <f>Q55-Paramétrage!D$29</f>
        <v>#DIV/0!</v>
      </c>
      <c r="T55" s="2156" t="e">
        <f>IF(Q55&lt;Paramétrage!D$29, Q55, Paramétrage!D$29)</f>
        <v>#DIV/0!</v>
      </c>
      <c r="U55" s="2157" t="e">
        <f>Paramétrage!H$19+S55*(365/12)</f>
        <v>#DIV/0!</v>
      </c>
      <c r="V55" s="2158" t="e">
        <f>IF(Q55&lt;Paramétrage!D$29, Paramétrage!H$19+T55*(365/12), Paramétrage!H$19+Q55*(365/12))</f>
        <v>#DIV/0!</v>
      </c>
      <c r="W55" s="2051"/>
      <c r="X55" s="2154" t="str">
        <f>IF(ISERROR(Q55),"", IF(Q55=0, "", IF(Q55&gt;'Calculs Péremption conso'!$CB49, 'Calculs Péremption conso'!$CB49, Q55)))</f>
        <v/>
      </c>
      <c r="Y55" s="2159" t="str">
        <f>IF(ISERROR(R55),"", IF(R55=0, "", IF(R55&gt;'Calculs Péremption conso'!$CB49, 'Calculs Péremption conso'!$CB49, R55)))</f>
        <v/>
      </c>
      <c r="Z55" s="2155" t="str">
        <f>IF(ISERROR(Q55),"", IF(Q55=0, "", IF(Q55&gt;'Calculs Péremption conso'!$CB49, 'Calculs Péremption conso'!$CB49-Paramétrage!$D$29, S55)))</f>
        <v/>
      </c>
      <c r="AA55" s="2160" t="str">
        <f>IF(ISERROR(Q55),"", IF(Q55=0, "", IF(Q55&gt;'Calculs Péremption conso'!$CB49, Paramétrage!$D$29, T55)))</f>
        <v/>
      </c>
      <c r="AB55" s="2157" t="str">
        <f>IF(ISERROR(Q55),"", IF(Q55=0, "", IF(Q55&gt;'Calculs Péremption conso'!$CB49, 'Calculs Péremption conso'!$BX49-Paramétrage!$D$29*(365/12), U55)))</f>
        <v/>
      </c>
      <c r="AC55" s="2158" t="str">
        <f>IF(ISERROR(Q55), AW55, IF(Q55=0, IF(AND(M55=0, OR(N55&gt;0, O55&gt;0)), AX55, ""), IF(Q55&gt;'Calculs Péremption conso'!$CB49, IF(Q55&lt;'Saisie données stocks'!$N$14, CONCATENATE('TRAD-Calculs dispo Données FA'!$B$88, " - ", 'Calculs Péremption conso'!$BY49, "/", 'Calculs Péremption conso'!$BZ49, "/", 'Calculs Péremption conso'!$CA49), 'Calculs Péremption conso'!CC49), V55)))</f>
        <v/>
      </c>
      <c r="AD55" s="2051"/>
      <c r="AE55" s="2154" t="e">
        <f>((Calculs!M304)/Calculs!L359)</f>
        <v>#DIV/0!</v>
      </c>
      <c r="AF55" s="2154" t="e">
        <f t="shared" ref="AF55:AF62" si="8">AE55-Q55</f>
        <v>#DIV/0!</v>
      </c>
      <c r="AG55" s="2155" t="e">
        <f>AE55-Paramétrage!D$29</f>
        <v>#DIV/0!</v>
      </c>
      <c r="AH55" s="2156" t="e">
        <f>IF(AE55&lt;Paramétrage!D$29, AE55, Paramétrage!D$29)</f>
        <v>#DIV/0!</v>
      </c>
      <c r="AI55" s="2157" t="e">
        <f>Paramétrage!H$19+AG55*(365/12)</f>
        <v>#DIV/0!</v>
      </c>
      <c r="AJ55" s="2158" t="e">
        <f>IF(AE55&lt;Paramétrage!D$29, Paramétrage!H$19+AH55*(365/12), Paramétrage!H$19+AE55*(365/12))</f>
        <v>#DIV/0!</v>
      </c>
      <c r="AK55" s="2051"/>
      <c r="AL55" s="2154" t="str">
        <f>IF(ISERROR(AE55),"", IF(AE55=0, "", IF(AE55&gt;'Calculs Péremption conso'!$CB49, 'Calculs Péremption conso'!$CB49, AE55)))</f>
        <v/>
      </c>
      <c r="AM55" s="2159" t="str">
        <f t="shared" ref="AM55:AM62" si="9">IF(ISERROR(AF55),"", IF(AF55=0, "", IF(AL55-X55=0, "0", AL55-X55)))</f>
        <v/>
      </c>
      <c r="AN55" s="2155" t="str">
        <f>IF(ISERROR(AE55),"", IF(AE55=0, "", IF(AE55&gt;'Calculs Péremption conso'!$CB49, 'Calculs Péremption conso'!$CB49-Paramétrage!$D$29, AG55)))</f>
        <v/>
      </c>
      <c r="AO55" s="2160" t="str">
        <f>IF(ISERROR(AE55),"", IF(AE55=0, "", IF(AE55&gt;'Calculs Péremption conso'!$CB49, Paramétrage!$D$29, AH55)))</f>
        <v/>
      </c>
      <c r="AP55" s="2157" t="str">
        <f>IF(ISERROR(AE55),"", IF(AE55=0, "", IF(AE55&gt;'Calculs Péremption FA'!$CB49, 'Calculs Péremption FA'!$BX49-Paramétrage!$D$29*(365/12), AI55)))</f>
        <v/>
      </c>
      <c r="AQ55" s="2158" t="str">
        <f>IF(ISERROR(AE55),"", IF(AE55=0, "", IF(AE55&gt;'Calculs Péremption conso'!$CB49, CONCATENATE('TRAD-Calculs dispo Données FA'!$B$88, " - ", 'Calculs Péremption conso'!$BY49, "/", 'Calculs Péremption conso'!$BZ49, "/", 'Calculs Péremption conso'!$CA49), AJ55)))</f>
        <v/>
      </c>
      <c r="AR55" s="2051"/>
      <c r="AS55" s="2072">
        <f>Calculs!$M304</f>
        <v>0</v>
      </c>
      <c r="AT55" s="2073">
        <f>Calculs!$L359</f>
        <v>0</v>
      </c>
      <c r="AU55" s="2074">
        <f>Calculs!$N359</f>
        <v>0</v>
      </c>
      <c r="AV55" s="2075" t="str">
        <f>IF(AND(AU55=0, AS55=0, AT55=0), 'TRAD-Calculs dispo Données FA'!$B$82, "")</f>
        <v>Stock et besoin nul</v>
      </c>
      <c r="AW55" s="2073" t="str">
        <f>IF(AND(AU55=0, AS55&gt;0, AT55=0), CONCATENATE(AS55, 'TRAD-Calculs dispo Données FA'!$B$80," =0"), "")</f>
        <v/>
      </c>
      <c r="AX55" s="2063" t="str">
        <f>IF(AND(AS55=0, OR(AT55&gt;=1, AU55&gt;=1)), 'TRAD-Calculs dispo Données FA'!$B$81, "")</f>
        <v/>
      </c>
      <c r="AY55" s="2051"/>
      <c r="AZ55" s="2051"/>
      <c r="BA55" s="2051"/>
      <c r="BB55" s="2051"/>
      <c r="BC55" s="2051"/>
      <c r="BD55" s="2051"/>
      <c r="BE55" s="2051"/>
      <c r="BF55" s="2051"/>
      <c r="BG55" s="2051"/>
      <c r="BH55" s="2051"/>
      <c r="BI55" s="2051"/>
      <c r="BJ55" s="2051"/>
      <c r="BK55" s="2051"/>
      <c r="BL55" s="2051"/>
      <c r="BM55" s="2051"/>
      <c r="BN55" s="2051"/>
      <c r="BO55" s="2051"/>
      <c r="BP55" s="2051"/>
      <c r="BQ55" s="2051"/>
      <c r="BR55" s="2051"/>
      <c r="BS55" s="2051"/>
      <c r="BT55" s="2051"/>
    </row>
    <row r="56" spans="3:72" s="358" customFormat="1" ht="38.25" x14ac:dyDescent="0.2">
      <c r="C56" s="374"/>
      <c r="D56" s="375"/>
      <c r="E56" s="376" t="str">
        <f>'Saisie données stocks'!F62</f>
        <v>D4T</v>
      </c>
      <c r="F56" s="377" t="str">
        <f>'Saisie données stocks'!G62</f>
        <v>Sol buv</v>
      </c>
      <c r="G56" s="377" t="str">
        <f>'Saisie données stocks'!H62</f>
        <v>10 mg/mL</v>
      </c>
      <c r="H56" s="89" t="str">
        <f>CONCATENATE(E56, " - ", G56, " - ", 'TRAD-Calculs dispo Données FA'!$B$83,"/", K56, "mL")</f>
        <v>D4T - 10 mg/mL - Fl/240mL</v>
      </c>
      <c r="I56" s="378"/>
      <c r="J56" s="378"/>
      <c r="K56" s="114">
        <f>'Saisie données stocks'!L62</f>
        <v>240</v>
      </c>
      <c r="L56" s="308">
        <f>'Saisie données stocks'!M62</f>
        <v>1</v>
      </c>
      <c r="M56" s="1820">
        <f>IF('Saisie données stocks'!$O$10='TRAD-Saisie données stocks'!$B$51, 'Calculs Péremption conso'!BU50, Calculs!M305)</f>
        <v>0</v>
      </c>
      <c r="N56" s="1820">
        <f>Calculs!$L$360</f>
        <v>0</v>
      </c>
      <c r="O56" s="1820">
        <f>Calculs!$N$360</f>
        <v>0</v>
      </c>
      <c r="P56"/>
      <c r="Q56" s="2161" t="e">
        <f>IF(Calculs!N360&gt;0, (-(Calculs!N360+2*Calculs!L360)+SQRT((Calculs!N360+2*Calculs!L360)*(Calculs!N360+2*Calculs!L360)+8*Calculs!N360*(M56)))/(2*Calculs!N360), ((M56)/Calculs!L360))</f>
        <v>#DIV/0!</v>
      </c>
      <c r="R56" s="2161" t="e">
        <f t="shared" si="7"/>
        <v>#DIV/0!</v>
      </c>
      <c r="S56" s="2162" t="e">
        <f>Q56-Paramétrage!D$29</f>
        <v>#DIV/0!</v>
      </c>
      <c r="T56" s="2163" t="e">
        <f>IF(Q56&lt;Paramétrage!D$29, Q56, Paramétrage!D$29)</f>
        <v>#DIV/0!</v>
      </c>
      <c r="U56" s="2164" t="e">
        <f>Paramétrage!H$19+S56*(365/12)</f>
        <v>#DIV/0!</v>
      </c>
      <c r="V56" s="2165" t="e">
        <f>IF(Q56&lt;Paramétrage!D$29, Paramétrage!H$19+T56*(365/12), Paramétrage!H$19+Q56*(365/12))</f>
        <v>#DIV/0!</v>
      </c>
      <c r="W56" s="2051"/>
      <c r="X56" s="2161" t="str">
        <f>IF(ISERROR(Q56),"", IF(Q56=0, "", IF(Q56&gt;'Calculs Péremption conso'!$CB50, 'Calculs Péremption conso'!$CB50, Q56)))</f>
        <v/>
      </c>
      <c r="Y56" s="2166" t="str">
        <f>IF(ISERROR(R56),"", IF(R56=0, "", IF(R56&gt;'Calculs Péremption conso'!$CB50, 'Calculs Péremption conso'!$CB50, R56)))</f>
        <v/>
      </c>
      <c r="Z56" s="2162" t="str">
        <f>IF(ISERROR(Q56),"", IF(Q56=0, "", IF(Q56&gt;'Calculs Péremption conso'!$CB50, 'Calculs Péremption conso'!$CB50-Paramétrage!$D$29, S56)))</f>
        <v/>
      </c>
      <c r="AA56" s="2167" t="str">
        <f>IF(ISERROR(Q56),"", IF(Q56=0, "", IF(Q56&gt;'Calculs Péremption conso'!$CB50, Paramétrage!$D$29, T56)))</f>
        <v/>
      </c>
      <c r="AB56" s="2164" t="str">
        <f>IF(ISERROR(Q56),"", IF(Q56=0, "", IF(Q56&gt;'Calculs Péremption conso'!$CB50, 'Calculs Péremption conso'!$BX50-Paramétrage!$D$29*(365/12), U56)))</f>
        <v/>
      </c>
      <c r="AC56" s="2165" t="str">
        <f>IF(ISERROR(Q56), AW56, IF(Q56=0, IF(AND(M56=0, OR(N56&gt;0, O56&gt;0)), AX56, ""), IF(Q56&gt;'Calculs Péremption conso'!$CB50, IF(Q56&lt;'Saisie données stocks'!$N$14, CONCATENATE('TRAD-Calculs dispo Données FA'!$B$88, " - ", 'Calculs Péremption conso'!$BY50, "/", 'Calculs Péremption conso'!$BZ50, "/", 'Calculs Péremption conso'!$CA50), 'Calculs Péremption conso'!CC50), V56)))</f>
        <v/>
      </c>
      <c r="AD56" s="2051"/>
      <c r="AE56" s="2161" t="e">
        <f>((Calculs!M305)/Calculs!L360)</f>
        <v>#DIV/0!</v>
      </c>
      <c r="AF56" s="2161" t="e">
        <f t="shared" si="8"/>
        <v>#DIV/0!</v>
      </c>
      <c r="AG56" s="2162" t="e">
        <f>AE56-Paramétrage!D$29</f>
        <v>#DIV/0!</v>
      </c>
      <c r="AH56" s="2163" t="e">
        <f>IF(AE56&lt;Paramétrage!D$29, AE56, Paramétrage!D$29)</f>
        <v>#DIV/0!</v>
      </c>
      <c r="AI56" s="2164" t="e">
        <f>Paramétrage!H$19+AG56*(365/12)</f>
        <v>#DIV/0!</v>
      </c>
      <c r="AJ56" s="2165" t="e">
        <f>IF(AE56&lt;Paramétrage!D$29, Paramétrage!H$19+AH56*(365/12), Paramétrage!H$19+AE56*(365/12))</f>
        <v>#DIV/0!</v>
      </c>
      <c r="AK56" s="2051"/>
      <c r="AL56" s="2161" t="str">
        <f>IF(ISERROR(AE56),"", IF(AE56=0, "", IF(AE56&gt;'Calculs Péremption conso'!$CB50, 'Calculs Péremption conso'!$CB50, AE56)))</f>
        <v/>
      </c>
      <c r="AM56" s="2166" t="str">
        <f t="shared" si="9"/>
        <v/>
      </c>
      <c r="AN56" s="2162" t="str">
        <f>IF(ISERROR(AE56),"", IF(AE56=0, "", IF(AE56&gt;'Calculs Péremption conso'!$CB50, 'Calculs Péremption conso'!$CB50-Paramétrage!$D$29, AG56)))</f>
        <v/>
      </c>
      <c r="AO56" s="2167" t="str">
        <f>IF(ISERROR(AE56),"", IF(AE56=0, "", IF(AE56&gt;'Calculs Péremption conso'!$CB50, Paramétrage!$D$29, AH56)))</f>
        <v/>
      </c>
      <c r="AP56" s="2164" t="str">
        <f>IF(ISERROR(AE56),"", IF(AE56=0, "", IF(AE56&gt;'Calculs Péremption FA'!$CB50, 'Calculs Péremption FA'!$BX50-Paramétrage!$D$29*(365/12), AI56)))</f>
        <v/>
      </c>
      <c r="AQ56" s="2165" t="str">
        <f>IF(ISERROR(AE56),"", IF(AE56=0, "", IF(AE56&gt;'Calculs Péremption conso'!$CB50, CONCATENATE('TRAD-Calculs dispo Données FA'!$B$88, " - ", 'Calculs Péremption conso'!$BY50, "/", 'Calculs Péremption conso'!$BZ50, "/", 'Calculs Péremption conso'!$CA50), AJ56)))</f>
        <v/>
      </c>
      <c r="AR56" s="2051"/>
      <c r="AS56" s="2061">
        <f>Calculs!$M305</f>
        <v>0</v>
      </c>
      <c r="AT56" s="2062">
        <f>Calculs!$L360</f>
        <v>0</v>
      </c>
      <c r="AU56" s="2068">
        <f>Calculs!$N360</f>
        <v>0</v>
      </c>
      <c r="AV56" s="2070" t="str">
        <f>IF(AND(AU56=0, AS56=0, AT56=0), 'TRAD-Calculs dispo Données FA'!$B$82, "")</f>
        <v>Stock et besoin nul</v>
      </c>
      <c r="AW56" s="2062" t="str">
        <f>IF(AND(AU56=0, AS56&gt;0, AT56=0), CONCATENATE(AS56, 'TRAD-Calculs dispo Données FA'!$B$80," =0"), "")</f>
        <v/>
      </c>
      <c r="AX56" s="2063" t="str">
        <f>IF(AND(AS56=0, OR(AT56&gt;=1, AU56&gt;=1)), 'TRAD-Calculs dispo Données FA'!$B$81, "")</f>
        <v/>
      </c>
      <c r="AY56" s="2051"/>
      <c r="AZ56" s="2051"/>
      <c r="BA56" s="2051"/>
      <c r="BB56" s="2051"/>
      <c r="BC56" s="2051"/>
      <c r="BD56" s="2051"/>
      <c r="BE56" s="2051"/>
      <c r="BF56" s="2051"/>
      <c r="BG56" s="2051"/>
      <c r="BH56" s="2051"/>
      <c r="BI56" s="2051"/>
      <c r="BJ56" s="2051"/>
      <c r="BK56" s="2051"/>
      <c r="BL56" s="2051"/>
      <c r="BM56" s="2051"/>
      <c r="BN56" s="2051"/>
      <c r="BO56" s="2051"/>
      <c r="BP56" s="2051"/>
      <c r="BQ56" s="2051"/>
      <c r="BR56" s="2051"/>
      <c r="BS56" s="2051"/>
      <c r="BT56" s="2051"/>
    </row>
    <row r="57" spans="3:72" s="358" customFormat="1" ht="38.25" x14ac:dyDescent="0.2">
      <c r="C57" s="374"/>
      <c r="D57" s="375"/>
      <c r="E57" s="382" t="str">
        <f>'Saisie données stocks'!F63</f>
        <v>3TC</v>
      </c>
      <c r="F57" s="383" t="str">
        <f>'Saisie données stocks'!G63</f>
        <v>Sol buv</v>
      </c>
      <c r="G57" s="383" t="str">
        <f>'Saisie données stocks'!H63</f>
        <v>10 mg/mL</v>
      </c>
      <c r="H57" s="1207" t="str">
        <f>CONCATENATE(E57, " - ", G57, " - ", 'TRAD-Calculs dispo Données FA'!$B$83,"/", K57, "mL")</f>
        <v>3TC - 10 mg/mL - Fl/240mL</v>
      </c>
      <c r="I57" s="384"/>
      <c r="J57" s="384"/>
      <c r="K57" s="115">
        <f>'Saisie données stocks'!L63</f>
        <v>240</v>
      </c>
      <c r="L57" s="304">
        <f>'Saisie données stocks'!M63</f>
        <v>1</v>
      </c>
      <c r="M57" s="1821">
        <f>IF('Saisie données stocks'!$O$10='TRAD-Saisie données stocks'!$B$51, 'Calculs Péremption conso'!BU51, Calculs!M306)</f>
        <v>0</v>
      </c>
      <c r="N57" s="1870">
        <f>Calculs!$L$361</f>
        <v>0</v>
      </c>
      <c r="O57" s="1870">
        <f>Calculs!$N$361</f>
        <v>0</v>
      </c>
      <c r="P57"/>
      <c r="Q57" s="2168" t="e">
        <f>IF(Calculs!N361&gt;0, (-(Calculs!N361+2*Calculs!L361)+SQRT((Calculs!N361+2*Calculs!L361)*(Calculs!N361+2*Calculs!L361)+8*Calculs!N361*(M57)))/(2*Calculs!N361), ((M57)/Calculs!L361))</f>
        <v>#DIV/0!</v>
      </c>
      <c r="R57" s="2168" t="e">
        <f t="shared" si="7"/>
        <v>#DIV/0!</v>
      </c>
      <c r="S57" s="2173" t="e">
        <f>Q57-Paramétrage!D$29</f>
        <v>#DIV/0!</v>
      </c>
      <c r="T57" s="2169" t="e">
        <f>IF(Q57&lt;Paramétrage!D$29, Q57, Paramétrage!D$29)</f>
        <v>#DIV/0!</v>
      </c>
      <c r="U57" s="2170" t="e">
        <f>Paramétrage!H$19+S57*(365/12)</f>
        <v>#DIV/0!</v>
      </c>
      <c r="V57" s="2171" t="e">
        <f>IF(Q57&lt;Paramétrage!D$29, Paramétrage!H$19+T57*(365/12), Paramétrage!H$19+Q57*(365/12))</f>
        <v>#DIV/0!</v>
      </c>
      <c r="W57" s="2051"/>
      <c r="X57" s="2168" t="str">
        <f>IF(ISERROR(Q57),"", IF(Q57=0, "", IF(Q57&gt;'Calculs Péremption conso'!$CB51, 'Calculs Péremption conso'!$CB51, Q57)))</f>
        <v/>
      </c>
      <c r="Y57" s="2172" t="str">
        <f>IF(ISERROR(R57),"", IF(R57=0, "", IF(R57&gt;'Calculs Péremption conso'!$CB51, 'Calculs Péremption conso'!$CB51, R57)))</f>
        <v/>
      </c>
      <c r="Z57" s="2173" t="str">
        <f>IF(ISERROR(Q57),"", IF(Q57=0, "", IF(Q57&gt;'Calculs Péremption conso'!$CB51, 'Calculs Péremption conso'!$CB51-Paramétrage!$D$29, S57)))</f>
        <v/>
      </c>
      <c r="AA57" s="2174" t="str">
        <f>IF(ISERROR(Q57),"", IF(Q57=0, "", IF(Q57&gt;'Calculs Péremption conso'!$CB51, Paramétrage!$D$29, T57)))</f>
        <v/>
      </c>
      <c r="AB57" s="2170" t="str">
        <f>IF(ISERROR(Q57),"", IF(Q57=0, "", IF(Q57&gt;'Calculs Péremption conso'!$CB51, 'Calculs Péremption conso'!$BX51-Paramétrage!$D$29*(365/12), U57)))</f>
        <v/>
      </c>
      <c r="AC57" s="2171" t="str">
        <f>IF(ISERROR(Q57), AW57, IF(Q57=0, IF(AND(M57=0, OR(N57&gt;0, O57&gt;0)), AX57, ""), IF(Q57&gt;'Calculs Péremption conso'!$CB51, IF(Q57&lt;'Saisie données stocks'!$N$14, CONCATENATE('TRAD-Calculs dispo Données FA'!$B$88, " - ", 'Calculs Péremption conso'!$BY51, "/", 'Calculs Péremption conso'!$BZ51, "/", 'Calculs Péremption conso'!$CA51), 'Calculs Péremption conso'!CC51), V57)))</f>
        <v/>
      </c>
      <c r="AD57" s="2051"/>
      <c r="AE57" s="2168" t="e">
        <f>((Calculs!M306)/Calculs!L361)</f>
        <v>#DIV/0!</v>
      </c>
      <c r="AF57" s="2168" t="e">
        <f t="shared" si="8"/>
        <v>#DIV/0!</v>
      </c>
      <c r="AG57" s="2173" t="e">
        <f>AE57-Paramétrage!D$29</f>
        <v>#DIV/0!</v>
      </c>
      <c r="AH57" s="2169" t="e">
        <f>IF(AE57&lt;Paramétrage!D$29, AE57, Paramétrage!D$29)</f>
        <v>#DIV/0!</v>
      </c>
      <c r="AI57" s="2170" t="e">
        <f>Paramétrage!H$19+AG57*(365/12)</f>
        <v>#DIV/0!</v>
      </c>
      <c r="AJ57" s="2171" t="e">
        <f>IF(AE57&lt;Paramétrage!D$29, Paramétrage!H$19+AH57*(365/12), Paramétrage!H$19+AE57*(365/12))</f>
        <v>#DIV/0!</v>
      </c>
      <c r="AK57" s="2051"/>
      <c r="AL57" s="2168" t="str">
        <f>IF(ISERROR(AE57),"", IF(AE57=0, "", IF(AE57&gt;'Calculs Péremption conso'!$CB51, 'Calculs Péremption conso'!$CB51, AE57)))</f>
        <v/>
      </c>
      <c r="AM57" s="2172" t="str">
        <f t="shared" si="9"/>
        <v/>
      </c>
      <c r="AN57" s="2173" t="str">
        <f>IF(ISERROR(AE57),"", IF(AE57=0, "", IF(AE57&gt;'Calculs Péremption conso'!$CB51, 'Calculs Péremption conso'!$CB51-Paramétrage!$D$29, AG57)))</f>
        <v/>
      </c>
      <c r="AO57" s="2174" t="str">
        <f>IF(ISERROR(AE57),"", IF(AE57=0, "", IF(AE57&gt;'Calculs Péremption conso'!$CB51, Paramétrage!$D$29, AH57)))</f>
        <v/>
      </c>
      <c r="AP57" s="2170" t="str">
        <f>IF(ISERROR(AE57),"", IF(AE57=0, "", IF(AE57&gt;'Calculs Péremption FA'!$CB51, 'Calculs Péremption FA'!$BX51-Paramétrage!$D$29*(365/12), AI57)))</f>
        <v/>
      </c>
      <c r="AQ57" s="2171" t="str">
        <f>IF(ISERROR(AE57),"", IF(AE57=0, "", IF(AE57&gt;'Calculs Péremption conso'!$CB51, CONCATENATE('TRAD-Calculs dispo Données FA'!$B$88, " - ", 'Calculs Péremption conso'!$BY51, "/", 'Calculs Péremption conso'!$BZ51, "/", 'Calculs Péremption conso'!$CA51), AJ57)))</f>
        <v/>
      </c>
      <c r="AR57" s="2051"/>
      <c r="AS57" s="2061">
        <f>Calculs!$M306</f>
        <v>0</v>
      </c>
      <c r="AT57" s="2062">
        <f>Calculs!$L361</f>
        <v>0</v>
      </c>
      <c r="AU57" s="2068">
        <f>Calculs!$N361</f>
        <v>0</v>
      </c>
      <c r="AV57" s="2070" t="str">
        <f>IF(AND(AU57=0, AS57=0, AT57=0), 'TRAD-Calculs dispo Données FA'!$B$82, "")</f>
        <v>Stock et besoin nul</v>
      </c>
      <c r="AW57" s="2062" t="str">
        <f>IF(AND(AU57=0, AS57&gt;0, AT57=0), CONCATENATE(AS57, 'TRAD-Calculs dispo Données FA'!$B$80," =0"), "")</f>
        <v/>
      </c>
      <c r="AX57" s="2063" t="str">
        <f>IF(AND(AS57=0, OR(AT57&gt;=1, AU57&gt;=1)), 'TRAD-Calculs dispo Données FA'!$B$81, "")</f>
        <v/>
      </c>
      <c r="AY57" s="2051"/>
      <c r="AZ57" s="2051"/>
      <c r="BA57" s="2051"/>
      <c r="BB57" s="2051"/>
      <c r="BC57" s="2051"/>
      <c r="BD57" s="2051"/>
      <c r="BE57" s="2051"/>
      <c r="BF57" s="2051"/>
      <c r="BG57" s="2051"/>
      <c r="BH57" s="2051"/>
      <c r="BI57" s="2051"/>
      <c r="BJ57" s="2051"/>
      <c r="BK57" s="2051"/>
      <c r="BL57" s="2051"/>
      <c r="BM57" s="2051"/>
      <c r="BN57" s="2051"/>
      <c r="BO57" s="2051"/>
      <c r="BP57" s="2051"/>
      <c r="BQ57" s="2051"/>
      <c r="BR57" s="2051"/>
      <c r="BS57" s="2051"/>
      <c r="BT57" s="2051"/>
    </row>
    <row r="58" spans="3:72" s="358" customFormat="1" ht="38.25" x14ac:dyDescent="0.2">
      <c r="C58" s="374"/>
      <c r="D58" s="407"/>
      <c r="E58" s="376" t="str">
        <f>'Saisie données stocks'!F64</f>
        <v>ABC</v>
      </c>
      <c r="F58" s="377" t="str">
        <f>'Saisie données stocks'!G64</f>
        <v>Sol buv</v>
      </c>
      <c r="G58" s="377" t="str">
        <f>'Saisie données stocks'!H64</f>
        <v>20 mg/mL</v>
      </c>
      <c r="H58" s="89" t="str">
        <f>CONCATENATE(E58, " - ", G58, " - ", 'TRAD-Calculs dispo Données FA'!$B$83,"/", K58, "mL")</f>
        <v>ABC - 20 mg/mL - Fl/240mL</v>
      </c>
      <c r="I58" s="378"/>
      <c r="J58" s="378"/>
      <c r="K58" s="114">
        <f>'Saisie données stocks'!L64</f>
        <v>240</v>
      </c>
      <c r="L58" s="308">
        <f>'Saisie données stocks'!M64</f>
        <v>1</v>
      </c>
      <c r="M58" s="1820">
        <f>IF('Saisie données stocks'!$O$10='TRAD-Saisie données stocks'!$B$51, 'Calculs Péremption conso'!BU52, Calculs!M307)</f>
        <v>0</v>
      </c>
      <c r="N58" s="1820">
        <f>Calculs!$L$362</f>
        <v>0</v>
      </c>
      <c r="O58" s="1820">
        <f>Calculs!$N$362</f>
        <v>0</v>
      </c>
      <c r="P58"/>
      <c r="Q58" s="2161" t="e">
        <f>IF(Calculs!N362&gt;0, (-(Calculs!N362+2*Calculs!L362)+SQRT((Calculs!N362+2*Calculs!L362)*(Calculs!N362+2*Calculs!L362)+8*Calculs!N362*(M58)))/(2*Calculs!N362), ((M58)/Calculs!L362))</f>
        <v>#DIV/0!</v>
      </c>
      <c r="R58" s="2161" t="e">
        <f t="shared" si="7"/>
        <v>#DIV/0!</v>
      </c>
      <c r="S58" s="2162" t="e">
        <f>Q58-Paramétrage!D$29</f>
        <v>#DIV/0!</v>
      </c>
      <c r="T58" s="2163" t="e">
        <f>IF(Q58&lt;Paramétrage!D$29, Q58, Paramétrage!D$29)</f>
        <v>#DIV/0!</v>
      </c>
      <c r="U58" s="2164" t="e">
        <f>Paramétrage!H$19+S58*(365/12)</f>
        <v>#DIV/0!</v>
      </c>
      <c r="V58" s="2165" t="e">
        <f>IF(Q58&lt;Paramétrage!D$29, Paramétrage!H$19+T58*(365/12), Paramétrage!H$19+Q58*(365/12))</f>
        <v>#DIV/0!</v>
      </c>
      <c r="W58" s="2051"/>
      <c r="X58" s="2161" t="str">
        <f>IF(ISERROR(Q58),"", IF(Q58=0, "", IF(Q58&gt;'Calculs Péremption conso'!$CB52, 'Calculs Péremption conso'!$CB52, Q58)))</f>
        <v/>
      </c>
      <c r="Y58" s="2166" t="str">
        <f>IF(ISERROR(R58),"", IF(R58=0, "", IF(R58&gt;'Calculs Péremption conso'!$CB52, 'Calculs Péremption conso'!$CB52, R58)))</f>
        <v/>
      </c>
      <c r="Z58" s="2162" t="str">
        <f>IF(ISERROR(Q58),"", IF(Q58=0, "", IF(Q58&gt;'Calculs Péremption conso'!$CB52, 'Calculs Péremption conso'!$CB52-Paramétrage!$D$29, S58)))</f>
        <v/>
      </c>
      <c r="AA58" s="2167" t="str">
        <f>IF(ISERROR(Q58),"", IF(Q58=0, "", IF(Q58&gt;'Calculs Péremption conso'!$CB52, Paramétrage!$D$29, T58)))</f>
        <v/>
      </c>
      <c r="AB58" s="2164" t="str">
        <f>IF(ISERROR(Q58),"", IF(Q58=0, "", IF(Q58&gt;'Calculs Péremption conso'!$CB52, 'Calculs Péremption conso'!$BX52-Paramétrage!$D$29*(365/12), U58)))</f>
        <v/>
      </c>
      <c r="AC58" s="2165" t="str">
        <f>IF(ISERROR(Q58), AW58, IF(Q58=0, IF(AND(M58=0, OR(N58&gt;0, O58&gt;0)), AX58, ""), IF(Q58&gt;'Calculs Péremption conso'!$CB52, IF(Q58&lt;'Saisie données stocks'!$N$14, CONCATENATE('TRAD-Calculs dispo Données FA'!$B$88, " - ", 'Calculs Péremption conso'!$BY52, "/", 'Calculs Péremption conso'!$BZ52, "/", 'Calculs Péremption conso'!$CA52), 'Calculs Péremption conso'!CC52), V58)))</f>
        <v/>
      </c>
      <c r="AD58" s="2051"/>
      <c r="AE58" s="2161" t="e">
        <f>((Calculs!M307)/Calculs!L362)</f>
        <v>#DIV/0!</v>
      </c>
      <c r="AF58" s="2161" t="e">
        <f t="shared" si="8"/>
        <v>#DIV/0!</v>
      </c>
      <c r="AG58" s="2162" t="e">
        <f>AE58-Paramétrage!D$29</f>
        <v>#DIV/0!</v>
      </c>
      <c r="AH58" s="2163" t="e">
        <f>IF(AE58&lt;Paramétrage!D$29, AE58, Paramétrage!D$29)</f>
        <v>#DIV/0!</v>
      </c>
      <c r="AI58" s="2164" t="e">
        <f>Paramétrage!H$19+AG58*(365/12)</f>
        <v>#DIV/0!</v>
      </c>
      <c r="AJ58" s="2165" t="e">
        <f>IF(AE58&lt;Paramétrage!D$29, Paramétrage!H$19+AH58*(365/12), Paramétrage!H$19+AE58*(365/12))</f>
        <v>#DIV/0!</v>
      </c>
      <c r="AK58" s="2051"/>
      <c r="AL58" s="2161" t="str">
        <f>IF(ISERROR(AE58),"", IF(AE58=0, "", IF(AE58&gt;'Calculs Péremption conso'!$CB52, 'Calculs Péremption conso'!$CB52, AE58)))</f>
        <v/>
      </c>
      <c r="AM58" s="2166" t="str">
        <f t="shared" si="9"/>
        <v/>
      </c>
      <c r="AN58" s="2162" t="str">
        <f>IF(ISERROR(AE58),"", IF(AE58=0, "", IF(AE58&gt;'Calculs Péremption conso'!$CB52, 'Calculs Péremption conso'!$CB52-Paramétrage!$D$29, AG58)))</f>
        <v/>
      </c>
      <c r="AO58" s="2167" t="str">
        <f>IF(ISERROR(AE58),"", IF(AE58=0, "", IF(AE58&gt;'Calculs Péremption conso'!$CB52, Paramétrage!$D$29, AH58)))</f>
        <v/>
      </c>
      <c r="AP58" s="2164" t="str">
        <f>IF(ISERROR(AE58),"", IF(AE58=0, "", IF(AE58&gt;'Calculs Péremption FA'!$CB52, 'Calculs Péremption FA'!$BX52-Paramétrage!$D$29*(365/12), AI58)))</f>
        <v/>
      </c>
      <c r="AQ58" s="2165" t="str">
        <f>IF(ISERROR(AE58),"", IF(AE58=0, "", IF(AE58&gt;'Calculs Péremption conso'!$CB52, CONCATENATE('TRAD-Calculs dispo Données FA'!$B$88, " - ", 'Calculs Péremption conso'!$BY52, "/", 'Calculs Péremption conso'!$BZ52, "/", 'Calculs Péremption conso'!$CA52), AJ58)))</f>
        <v/>
      </c>
      <c r="AR58" s="2051"/>
      <c r="AS58" s="2061">
        <f>Calculs!$M307</f>
        <v>0</v>
      </c>
      <c r="AT58" s="2062">
        <f>Calculs!$L362</f>
        <v>0</v>
      </c>
      <c r="AU58" s="2068">
        <f>Calculs!$N362</f>
        <v>0</v>
      </c>
      <c r="AV58" s="2070" t="str">
        <f>IF(AND(AU58=0, AS58=0, AT58=0), 'TRAD-Calculs dispo Données FA'!$B$82, "")</f>
        <v>Stock et besoin nul</v>
      </c>
      <c r="AW58" s="2062" t="str">
        <f>IF(AND(AU58=0, AS58&gt;0, AT58=0), CONCATENATE(AS58, 'TRAD-Calculs dispo Données FA'!$B$80," =0"), "")</f>
        <v/>
      </c>
      <c r="AX58" s="2063" t="str">
        <f>IF(AND(AS58=0, OR(AT58&gt;=1, AU58&gt;=1)), 'TRAD-Calculs dispo Données FA'!$B$81, "")</f>
        <v/>
      </c>
      <c r="AY58" s="2051"/>
      <c r="AZ58" s="2051"/>
      <c r="BA58" s="2051"/>
      <c r="BB58" s="2051"/>
      <c r="BC58" s="2051"/>
      <c r="BD58" s="2051"/>
      <c r="BE58" s="2051"/>
      <c r="BF58" s="2051"/>
      <c r="BG58" s="2051"/>
      <c r="BH58" s="2051"/>
      <c r="BI58" s="2051"/>
      <c r="BJ58" s="2051"/>
      <c r="BK58" s="2051"/>
      <c r="BL58" s="2051"/>
      <c r="BM58" s="2051"/>
      <c r="BN58" s="2051"/>
      <c r="BO58" s="2051"/>
      <c r="BP58" s="2051"/>
      <c r="BQ58" s="2051"/>
      <c r="BR58" s="2051"/>
      <c r="BS58" s="2051"/>
      <c r="BT58" s="2051"/>
    </row>
    <row r="59" spans="3:72" s="358" customFormat="1" ht="25.5" x14ac:dyDescent="0.2">
      <c r="C59" s="374"/>
      <c r="D59" s="389"/>
      <c r="E59" s="390" t="str">
        <f>'Saisie données stocks'!F65</f>
        <v>DDI</v>
      </c>
      <c r="F59" s="391" t="str">
        <f>'Saisie données stocks'!G65</f>
        <v>Poudre buvable</v>
      </c>
      <c r="G59" s="391" t="str">
        <f>'Saisie données stocks'!H65</f>
        <v>2 g</v>
      </c>
      <c r="H59" s="1643" t="str">
        <f>CONCATENATE(E59, " - ", G59, " - ", 'TRAD-Calculs dispo Données FA'!$B$83,"/", K59, "mL")</f>
        <v>DDI - 2 g - Fl/200mL</v>
      </c>
      <c r="I59" s="401"/>
      <c r="J59" s="401"/>
      <c r="K59" s="116">
        <f>'Saisie données stocks'!L65</f>
        <v>200</v>
      </c>
      <c r="L59" s="311">
        <f>'Saisie données stocks'!M65</f>
        <v>1</v>
      </c>
      <c r="M59" s="1822">
        <f>IF('Saisie données stocks'!$O$10='TRAD-Saisie données stocks'!$B$51, 'Calculs Péremption conso'!BU53, Calculs!M308)</f>
        <v>0</v>
      </c>
      <c r="N59" s="1822">
        <f>Calculs!$L$363</f>
        <v>0</v>
      </c>
      <c r="O59" s="1822">
        <f>Calculs!$N$363</f>
        <v>0</v>
      </c>
      <c r="P59"/>
      <c r="Q59" s="2175" t="e">
        <f>IF(Calculs!N363&gt;0, (-(Calculs!N363+2*Calculs!L363)+SQRT((Calculs!N363+2*Calculs!L363)*(Calculs!N363+2*Calculs!L363)+8*Calculs!N363*(M59)))/(2*Calculs!N363), ((M59)/Calculs!L363))</f>
        <v>#DIV/0!</v>
      </c>
      <c r="R59" s="2175" t="e">
        <f t="shared" si="7"/>
        <v>#DIV/0!</v>
      </c>
      <c r="S59" s="2181" t="e">
        <f>Q59-Paramétrage!D$29</f>
        <v>#DIV/0!</v>
      </c>
      <c r="T59" s="2177" t="e">
        <f>IF(Q59&lt;Paramétrage!D$29, Q59, Paramétrage!D$29)</f>
        <v>#DIV/0!</v>
      </c>
      <c r="U59" s="2178" t="e">
        <f>Paramétrage!H$19+S59*(365/12)</f>
        <v>#DIV/0!</v>
      </c>
      <c r="V59" s="2179" t="e">
        <f>IF(Q59&lt;Paramétrage!D$29, Paramétrage!H$19+T59*(365/12), Paramétrage!H$19+Q59*(365/12))</f>
        <v>#DIV/0!</v>
      </c>
      <c r="W59" s="2051"/>
      <c r="X59" s="2175" t="str">
        <f>IF(ISERROR(Q59),"", IF(Q59=0, "", IF(Q59&gt;'Calculs Péremption conso'!$CB53, 'Calculs Péremption conso'!$CB53, Q59)))</f>
        <v/>
      </c>
      <c r="Y59" s="2180" t="str">
        <f>IF(ISERROR(R59),"", IF(R59=0, "", IF(R59&gt;'Calculs Péremption conso'!$CB53, 'Calculs Péremption conso'!$CB53, R59)))</f>
        <v/>
      </c>
      <c r="Z59" s="2181" t="str">
        <f>IF(ISERROR(Q59),"", IF(Q59=0, "", IF(Q59&gt;'Calculs Péremption conso'!$CB53, 'Calculs Péremption conso'!$CB53-Paramétrage!$D$29, S59)))</f>
        <v/>
      </c>
      <c r="AA59" s="2182" t="str">
        <f>IF(ISERROR(Q59),"", IF(Q59=0, "", IF(Q59&gt;'Calculs Péremption conso'!$CB53, Paramétrage!$D$29, T59)))</f>
        <v/>
      </c>
      <c r="AB59" s="2178" t="str">
        <f>IF(ISERROR(Q59),"", IF(Q59=0, "", IF(Q59&gt;'Calculs Péremption conso'!$CB53, 'Calculs Péremption conso'!$BX53-Paramétrage!$D$29*(365/12), U59)))</f>
        <v/>
      </c>
      <c r="AC59" s="2179" t="str">
        <f>IF(ISERROR(Q59), AW59, IF(Q59=0, IF(AND(M59=0, OR(N59&gt;0, O59&gt;0)), AX59, ""), IF(Q59&gt;'Calculs Péremption conso'!$CB53, IF(Q59&lt;'Saisie données stocks'!$N$14, CONCATENATE('TRAD-Calculs dispo Données FA'!$B$88, " - ", 'Calculs Péremption conso'!$BY53, "/", 'Calculs Péremption conso'!$BZ53, "/", 'Calculs Péremption conso'!$CA53), 'Calculs Péremption conso'!CC53), V59)))</f>
        <v/>
      </c>
      <c r="AD59" s="2051"/>
      <c r="AE59" s="2175" t="e">
        <f>((Calculs!M308)/Calculs!L363)</f>
        <v>#DIV/0!</v>
      </c>
      <c r="AF59" s="2175" t="e">
        <f t="shared" si="8"/>
        <v>#DIV/0!</v>
      </c>
      <c r="AG59" s="2181" t="e">
        <f>AE59-Paramétrage!D$29</f>
        <v>#DIV/0!</v>
      </c>
      <c r="AH59" s="2177" t="e">
        <f>IF(AE59&lt;Paramétrage!D$29, AE59, Paramétrage!D$29)</f>
        <v>#DIV/0!</v>
      </c>
      <c r="AI59" s="2178" t="e">
        <f>Paramétrage!H$19+AG59*(365/12)</f>
        <v>#DIV/0!</v>
      </c>
      <c r="AJ59" s="2179" t="e">
        <f>IF(AE59&lt;Paramétrage!D$29, Paramétrage!H$19+AH59*(365/12), Paramétrage!H$19+AE59*(365/12))</f>
        <v>#DIV/0!</v>
      </c>
      <c r="AK59" s="2051"/>
      <c r="AL59" s="2175" t="str">
        <f>IF(ISERROR(AE59),"", IF(AE59=0, "", IF(AE59&gt;'Calculs Péremption conso'!$CB53, 'Calculs Péremption conso'!$CB53, AE59)))</f>
        <v/>
      </c>
      <c r="AM59" s="2180" t="str">
        <f t="shared" si="9"/>
        <v/>
      </c>
      <c r="AN59" s="2181" t="str">
        <f>IF(ISERROR(AE59),"", IF(AE59=0, "", IF(AE59&gt;'Calculs Péremption conso'!$CB53, 'Calculs Péremption conso'!$CB53-Paramétrage!$D$29, AG59)))</f>
        <v/>
      </c>
      <c r="AO59" s="2182" t="str">
        <f>IF(ISERROR(AE59),"", IF(AE59=0, "", IF(AE59&gt;'Calculs Péremption conso'!$CB53, Paramétrage!$D$29, AH59)))</f>
        <v/>
      </c>
      <c r="AP59" s="2178" t="str">
        <f>IF(ISERROR(AE59),"", IF(AE59=0, "", IF(AE59&gt;'Calculs Péremption FA'!$CB53, 'Calculs Péremption FA'!$BX53-Paramétrage!$D$29*(365/12), AI59)))</f>
        <v/>
      </c>
      <c r="AQ59" s="2179" t="str">
        <f>IF(ISERROR(AE59),"", IF(AE59=0, "", IF(AE59&gt;'Calculs Péremption conso'!$CB53, CONCATENATE('TRAD-Calculs dispo Données FA'!$B$88, " - ", 'Calculs Péremption conso'!$BY53, "/", 'Calculs Péremption conso'!$BZ53, "/", 'Calculs Péremption conso'!$CA53), AJ59)))</f>
        <v/>
      </c>
      <c r="AR59" s="2051"/>
      <c r="AS59" s="2061">
        <f>Calculs!$M308</f>
        <v>0</v>
      </c>
      <c r="AT59" s="2062">
        <f>Calculs!$L363</f>
        <v>0</v>
      </c>
      <c r="AU59" s="2068">
        <f>Calculs!$N363</f>
        <v>0</v>
      </c>
      <c r="AV59" s="2070" t="str">
        <f>IF(AND(AU59=0, AS59=0, AT59=0), 'TRAD-Calculs dispo Données FA'!$B$82, "")</f>
        <v>Stock et besoin nul</v>
      </c>
      <c r="AW59" s="2062" t="str">
        <f>IF(AND(AU59=0, AS59&gt;0, AT59=0), CONCATENATE(AS59, 'TRAD-Calculs dispo Données FA'!$B$80," =0"), "")</f>
        <v/>
      </c>
      <c r="AX59" s="2063" t="str">
        <f>IF(AND(AS59=0, OR(AT59&gt;=1, AU59&gt;=1)), 'TRAD-Calculs dispo Données FA'!$B$81, "")</f>
        <v/>
      </c>
      <c r="AY59" s="2051"/>
      <c r="AZ59" s="2051"/>
      <c r="BA59" s="2051"/>
      <c r="BB59" s="2051"/>
      <c r="BC59" s="2051"/>
      <c r="BD59" s="2051"/>
      <c r="BE59" s="2051"/>
      <c r="BF59" s="2051"/>
      <c r="BG59" s="2051"/>
      <c r="BH59" s="2051"/>
      <c r="BI59" s="2051"/>
      <c r="BJ59" s="2051"/>
      <c r="BK59" s="2051"/>
      <c r="BL59" s="2051"/>
      <c r="BM59" s="2051"/>
      <c r="BN59" s="2051"/>
      <c r="BO59" s="2051"/>
      <c r="BP59" s="2051"/>
      <c r="BQ59" s="2051"/>
      <c r="BR59" s="2051"/>
      <c r="BS59" s="2051"/>
      <c r="BT59" s="2051"/>
    </row>
    <row r="60" spans="3:72" s="358" customFormat="1" ht="38.25" x14ac:dyDescent="0.2">
      <c r="C60" s="374"/>
      <c r="D60" s="375" t="s">
        <v>26</v>
      </c>
      <c r="E60" s="376" t="str">
        <f>'Saisie données stocks'!F66</f>
        <v>NVP</v>
      </c>
      <c r="F60" s="377" t="str">
        <f>'Saisie données stocks'!G66</f>
        <v>Sol buv</v>
      </c>
      <c r="G60" s="377" t="str">
        <f>'Saisie données stocks'!H66</f>
        <v>10 mg/mL</v>
      </c>
      <c r="H60" s="89" t="str">
        <f>CONCATENATE(E60, " - ", G60, " - ", 'TRAD-Calculs dispo Données FA'!$B$83,"/", K60, "mL")</f>
        <v>NVP - 10 mg/mL - Fl/240mL</v>
      </c>
      <c r="I60" s="378"/>
      <c r="J60" s="378"/>
      <c r="K60" s="114">
        <f>'Saisie données stocks'!L66</f>
        <v>240</v>
      </c>
      <c r="L60" s="308">
        <f>'Saisie données stocks'!M66</f>
        <v>1</v>
      </c>
      <c r="M60" s="1820">
        <f>IF('Saisie données stocks'!$O$10='TRAD-Saisie données stocks'!$B$51, 'Calculs Péremption conso'!BU54, Calculs!M309)</f>
        <v>3990</v>
      </c>
      <c r="N60" s="1820">
        <f>Calculs!$L$364</f>
        <v>830</v>
      </c>
      <c r="O60" s="1820">
        <f>Calculs!$N$364</f>
        <v>0</v>
      </c>
      <c r="P60"/>
      <c r="Q60" s="2161">
        <f>IF(Calculs!N364&gt;0, (-(Calculs!N364+2*Calculs!L364)+SQRT((Calculs!N364+2*Calculs!L364)*(Calculs!N364+2*Calculs!L364)+8*Calculs!N364*(M60)))/(2*Calculs!N364), ((M60)/Calculs!L364))</f>
        <v>4.8072289156626509</v>
      </c>
      <c r="R60" s="2161">
        <f t="shared" si="7"/>
        <v>4.8072289156626509</v>
      </c>
      <c r="S60" s="2162">
        <f>Q60-Paramétrage!D$29</f>
        <v>1.8072289156626509</v>
      </c>
      <c r="T60" s="2163">
        <f>IF(Q60&lt;Paramétrage!D$29, Q60, Paramétrage!D$29)</f>
        <v>3</v>
      </c>
      <c r="U60" s="2164">
        <f>Paramétrage!H$19+S60*(365/12)</f>
        <v>41973.969879518074</v>
      </c>
      <c r="V60" s="2165">
        <f>IF(Q60&lt;Paramétrage!D$29, Paramétrage!H$19+T60*(365/12), Paramétrage!H$19+Q60*(365/12))</f>
        <v>42065.219879518074</v>
      </c>
      <c r="W60" s="2051"/>
      <c r="X60" s="2161">
        <f>IF(ISERROR(Q60),"", IF(Q60=0, "", IF(Q60&gt;'Calculs Péremption conso'!$CB54, 'Calculs Péremption conso'!$CB54, Q60)))</f>
        <v>4.8072289156626509</v>
      </c>
      <c r="Y60" s="2166">
        <f>IF(ISERROR(R60),"", IF(R60=0, "", IF(R60&gt;'Calculs Péremption conso'!$CB54, 'Calculs Péremption conso'!$CB54, R60)))</f>
        <v>4.8072289156626509</v>
      </c>
      <c r="Z60" s="2162">
        <f>IF(ISERROR(Q60),"", IF(Q60=0, "", IF(Q60&gt;'Calculs Péremption conso'!$CB54, 'Calculs Péremption conso'!$CB54-Paramétrage!$D$29, S60)))</f>
        <v>1.8072289156626509</v>
      </c>
      <c r="AA60" s="2167">
        <f>IF(ISERROR(Q60),"", IF(Q60=0, "", IF(Q60&gt;'Calculs Péremption conso'!$CB54, Paramétrage!$D$29, T60)))</f>
        <v>3</v>
      </c>
      <c r="AB60" s="2164">
        <f>IF(ISERROR(Q60),"", IF(Q60=0, "", IF(Q60&gt;'Calculs Péremption conso'!$CB54, 'Calculs Péremption conso'!$BX54-Paramétrage!$D$29*(365/12), U60)))</f>
        <v>41973.969879518074</v>
      </c>
      <c r="AC60" s="2165">
        <f>IF(ISERROR(Q60), AW60, IF(Q60=0, IF(AND(M60=0, OR(N60&gt;0, O60&gt;0)), AX60, ""), IF(Q60&gt;'Calculs Péremption conso'!$CB54, IF(Q60&lt;'Saisie données stocks'!$N$14, CONCATENATE('TRAD-Calculs dispo Données FA'!$B$88, " - ", 'Calculs Péremption conso'!$BY54, "/", 'Calculs Péremption conso'!$BZ54, "/", 'Calculs Péremption conso'!$CA54), 'Calculs Péremption conso'!CC54), V60)))</f>
        <v>42065.219879518074</v>
      </c>
      <c r="AD60" s="2051"/>
      <c r="AE60" s="2161">
        <f>((Calculs!M309)/Calculs!L364)</f>
        <v>4.8072289156626509</v>
      </c>
      <c r="AF60" s="2161">
        <f t="shared" si="8"/>
        <v>0</v>
      </c>
      <c r="AG60" s="2162">
        <f>AE60-Paramétrage!D$29</f>
        <v>1.8072289156626509</v>
      </c>
      <c r="AH60" s="2163">
        <f>IF(AE60&lt;Paramétrage!D$29, AE60, Paramétrage!D$29)</f>
        <v>3</v>
      </c>
      <c r="AI60" s="2164">
        <f>Paramétrage!H$19+AG60*(365/12)</f>
        <v>41973.969879518074</v>
      </c>
      <c r="AJ60" s="2165">
        <f>IF(AE60&lt;Paramétrage!D$29, Paramétrage!H$19+AH60*(365/12), Paramétrage!H$19+AE60*(365/12))</f>
        <v>42065.219879518074</v>
      </c>
      <c r="AK60" s="2051"/>
      <c r="AL60" s="2161">
        <f>IF(ISERROR(AE60),"", IF(AE60=0, "", IF(AE60&gt;'Calculs Péremption conso'!$CB54, 'Calculs Péremption conso'!$CB54, AE60)))</f>
        <v>4.8072289156626509</v>
      </c>
      <c r="AM60" s="2166" t="str">
        <f t="shared" si="9"/>
        <v/>
      </c>
      <c r="AN60" s="2162">
        <f>IF(ISERROR(AE60),"", IF(AE60=0, "", IF(AE60&gt;'Calculs Péremption conso'!$CB54, 'Calculs Péremption conso'!$CB54-Paramétrage!$D$29, AG60)))</f>
        <v>1.8072289156626509</v>
      </c>
      <c r="AO60" s="2167">
        <f>IF(ISERROR(AE60),"", IF(AE60=0, "", IF(AE60&gt;'Calculs Péremption conso'!$CB54, Paramétrage!$D$29, AH60)))</f>
        <v>3</v>
      </c>
      <c r="AP60" s="2164">
        <f>IF(ISERROR(AE60),"", IF(AE60=0, "", IF(AE60&gt;'Calculs Péremption FA'!$CB54, 'Calculs Péremption FA'!$BX54-Paramétrage!$D$29*(365/12), AI60)))</f>
        <v>41973.969879518074</v>
      </c>
      <c r="AQ60" s="2165">
        <f>IF(ISERROR(AE60),"", IF(AE60=0, "", IF(AE60&gt;'Calculs Péremption conso'!$CB54, CONCATENATE('TRAD-Calculs dispo Données FA'!$B$88, " - ", 'Calculs Péremption conso'!$BY54, "/", 'Calculs Péremption conso'!$BZ54, "/", 'Calculs Péremption conso'!$CA54), AJ60)))</f>
        <v>42065.219879518074</v>
      </c>
      <c r="AR60" s="2051"/>
      <c r="AS60" s="2061">
        <f>Calculs!$M309</f>
        <v>3990</v>
      </c>
      <c r="AT60" s="2062">
        <f>Calculs!$L364</f>
        <v>830</v>
      </c>
      <c r="AU60" s="2068">
        <f>Calculs!$N364</f>
        <v>0</v>
      </c>
      <c r="AV60" s="2070" t="str">
        <f>IF(AND(AU60=0, AS60=0, AT60=0), 'TRAD-Calculs dispo Données FA'!$B$82, "")</f>
        <v/>
      </c>
      <c r="AW60" s="2062" t="str">
        <f>IF(AND(AU60=0, AS60&gt;0, AT60=0), CONCATENATE(AS60, 'TRAD-Calculs dispo Données FA'!$B$80," =0"), "")</f>
        <v/>
      </c>
      <c r="AX60" s="2063" t="str">
        <f>IF(AND(AS60=0, OR(AT60&gt;=1, AU60&gt;=1)), 'TRAD-Calculs dispo Données FA'!$B$81, "")</f>
        <v/>
      </c>
      <c r="AY60" s="2051"/>
      <c r="AZ60" s="2051"/>
      <c r="BA60" s="2051"/>
      <c r="BB60" s="2051"/>
      <c r="BC60" s="2051"/>
      <c r="BD60" s="2051"/>
      <c r="BE60" s="2051"/>
      <c r="BF60" s="2051"/>
      <c r="BG60" s="2051"/>
      <c r="BH60" s="2051"/>
      <c r="BI60" s="2051"/>
      <c r="BJ60" s="2051"/>
      <c r="BK60" s="2051"/>
      <c r="BL60" s="2051"/>
      <c r="BM60" s="2051"/>
      <c r="BN60" s="2051"/>
      <c r="BO60" s="2051"/>
      <c r="BP60" s="2051"/>
      <c r="BQ60" s="2051"/>
      <c r="BR60" s="2051"/>
      <c r="BS60" s="2051"/>
      <c r="BT60" s="2051"/>
    </row>
    <row r="61" spans="3:72" s="358" customFormat="1" ht="38.25" x14ac:dyDescent="0.2">
      <c r="C61" s="374"/>
      <c r="D61" s="389"/>
      <c r="E61" s="390" t="str">
        <f>'Saisie données stocks'!F67</f>
        <v>EFV</v>
      </c>
      <c r="F61" s="391" t="str">
        <f>'Saisie données stocks'!G67</f>
        <v>Sol buv</v>
      </c>
      <c r="G61" s="391" t="str">
        <f>'Saisie données stocks'!H67</f>
        <v>30 mg/mL</v>
      </c>
      <c r="H61" s="1643" t="str">
        <f>CONCATENATE(E61, " - ", G61, " - ", 'TRAD-Calculs dispo Données FA'!$B$83,"/", K61, "mL")</f>
        <v>EFV - 30 mg/mL - Fl/180mL</v>
      </c>
      <c r="I61" s="401"/>
      <c r="J61" s="401"/>
      <c r="K61" s="116">
        <f>'Saisie données stocks'!L67</f>
        <v>180</v>
      </c>
      <c r="L61" s="311">
        <f>'Saisie données stocks'!M67</f>
        <v>1</v>
      </c>
      <c r="M61" s="1822">
        <f>IF('Saisie données stocks'!$O$10='TRAD-Saisie données stocks'!$B$51, 'Calculs Péremption conso'!BU55, Calculs!M310)</f>
        <v>0</v>
      </c>
      <c r="N61" s="1822">
        <f>Calculs!$L$365</f>
        <v>0</v>
      </c>
      <c r="O61" s="1822">
        <f>Calculs!$N$365</f>
        <v>0</v>
      </c>
      <c r="P61"/>
      <c r="Q61" s="2175" t="e">
        <f>IF(Calculs!N365&gt;0, (-(Calculs!N365+2*Calculs!L365)+SQRT((Calculs!N365+2*Calculs!L365)*(Calculs!N365+2*Calculs!L365)+8*Calculs!N365*(M61)))/(2*Calculs!N365), ((M61)/Calculs!L365))</f>
        <v>#DIV/0!</v>
      </c>
      <c r="R61" s="2175" t="e">
        <f t="shared" si="7"/>
        <v>#DIV/0!</v>
      </c>
      <c r="S61" s="2181" t="e">
        <f>Q61-Paramétrage!D$29</f>
        <v>#DIV/0!</v>
      </c>
      <c r="T61" s="2177" t="e">
        <f>IF(Q61&lt;Paramétrage!D$29, Q61, Paramétrage!D$29)</f>
        <v>#DIV/0!</v>
      </c>
      <c r="U61" s="2178" t="e">
        <f>Paramétrage!H$19+S61*(365/12)</f>
        <v>#DIV/0!</v>
      </c>
      <c r="V61" s="2179" t="e">
        <f>IF(Q61&lt;Paramétrage!D$29, Paramétrage!H$19+T61*(365/12), Paramétrage!H$19+Q61*(365/12))</f>
        <v>#DIV/0!</v>
      </c>
      <c r="W61" s="2051"/>
      <c r="X61" s="2175" t="str">
        <f>IF(ISERROR(Q61),"", IF(Q61=0, "", IF(Q61&gt;'Calculs Péremption conso'!$CB55, 'Calculs Péremption conso'!$CB55, Q61)))</f>
        <v/>
      </c>
      <c r="Y61" s="2180" t="str">
        <f>IF(ISERROR(R61),"", IF(R61=0, "", IF(R61&gt;'Calculs Péremption conso'!$CB55, 'Calculs Péremption conso'!$CB55, R61)))</f>
        <v/>
      </c>
      <c r="Z61" s="2181" t="str">
        <f>IF(ISERROR(Q61),"", IF(Q61=0, "", IF(Q61&gt;'Calculs Péremption conso'!$CB55, 'Calculs Péremption conso'!$CB55-Paramétrage!$D$29, S61)))</f>
        <v/>
      </c>
      <c r="AA61" s="2182" t="str">
        <f>IF(ISERROR(Q61),"", IF(Q61=0, "", IF(Q61&gt;'Calculs Péremption conso'!$CB55, Paramétrage!$D$29, T61)))</f>
        <v/>
      </c>
      <c r="AB61" s="2178" t="str">
        <f>IF(ISERROR(Q61),"", IF(Q61=0, "", IF(Q61&gt;'Calculs Péremption conso'!$CB55, 'Calculs Péremption conso'!$BX55-Paramétrage!$D$29*(365/12), U61)))</f>
        <v/>
      </c>
      <c r="AC61" s="2179" t="str">
        <f>IF(ISERROR(Q61), AW61, IF(Q61=0, IF(AND(M61=0, OR(N61&gt;0, O61&gt;0)), AX61, ""), IF(Q61&gt;'Calculs Péremption conso'!$CB55, IF(Q61&lt;'Saisie données stocks'!$N$14, CONCATENATE('TRAD-Calculs dispo Données FA'!$B$88, " - ", 'Calculs Péremption conso'!$BY55, "/", 'Calculs Péremption conso'!$BZ55, "/", 'Calculs Péremption conso'!$CA55), 'Calculs Péremption conso'!CC55), V61)))</f>
        <v/>
      </c>
      <c r="AD61" s="2051"/>
      <c r="AE61" s="2175" t="e">
        <f>((Calculs!M310)/Calculs!L365)</f>
        <v>#DIV/0!</v>
      </c>
      <c r="AF61" s="2175" t="e">
        <f t="shared" si="8"/>
        <v>#DIV/0!</v>
      </c>
      <c r="AG61" s="2181" t="e">
        <f>AE61-Paramétrage!D$29</f>
        <v>#DIV/0!</v>
      </c>
      <c r="AH61" s="2177" t="e">
        <f>IF(AE61&lt;Paramétrage!D$29, AE61, Paramétrage!D$29)</f>
        <v>#DIV/0!</v>
      </c>
      <c r="AI61" s="2178" t="e">
        <f>Paramétrage!H$19+AG61*(365/12)</f>
        <v>#DIV/0!</v>
      </c>
      <c r="AJ61" s="2179" t="e">
        <f>IF(AE61&lt;Paramétrage!D$29, Paramétrage!H$19+AH61*(365/12), Paramétrage!H$19+AE61*(365/12))</f>
        <v>#DIV/0!</v>
      </c>
      <c r="AK61" s="2051"/>
      <c r="AL61" s="2175" t="str">
        <f>IF(ISERROR(AE61),"", IF(AE61=0, "", IF(AE61&gt;'Calculs Péremption conso'!$CB55, 'Calculs Péremption conso'!$CB55, AE61)))</f>
        <v/>
      </c>
      <c r="AM61" s="2180" t="str">
        <f t="shared" si="9"/>
        <v/>
      </c>
      <c r="AN61" s="2181" t="str">
        <f>IF(ISERROR(AE61),"", IF(AE61=0, "", IF(AE61&gt;'Calculs Péremption conso'!$CB55, 'Calculs Péremption conso'!$CB55-Paramétrage!$D$29, AG61)))</f>
        <v/>
      </c>
      <c r="AO61" s="2182" t="str">
        <f>IF(ISERROR(AE61),"", IF(AE61=0, "", IF(AE61&gt;'Calculs Péremption conso'!$CB55, Paramétrage!$D$29, AH61)))</f>
        <v/>
      </c>
      <c r="AP61" s="2178" t="str">
        <f>IF(ISERROR(AE61),"", IF(AE61=0, "", IF(AE61&gt;'Calculs Péremption FA'!$CB55, 'Calculs Péremption FA'!$BX55-Paramétrage!$D$29*(365/12), AI61)))</f>
        <v/>
      </c>
      <c r="AQ61" s="2179" t="str">
        <f>IF(ISERROR(AE61),"", IF(AE61=0, "", IF(AE61&gt;'Calculs Péremption conso'!$CB55, CONCATENATE('TRAD-Calculs dispo Données FA'!$B$88, " - ", 'Calculs Péremption conso'!$BY55, "/", 'Calculs Péremption conso'!$BZ55, "/", 'Calculs Péremption conso'!$CA55), AJ61)))</f>
        <v/>
      </c>
      <c r="AR61" s="2051"/>
      <c r="AS61" s="2061">
        <f>Calculs!$M310</f>
        <v>0</v>
      </c>
      <c r="AT61" s="2062">
        <f>Calculs!$L365</f>
        <v>0</v>
      </c>
      <c r="AU61" s="2068">
        <f>Calculs!$N365</f>
        <v>0</v>
      </c>
      <c r="AV61" s="2070" t="str">
        <f>IF(AND(AU61=0, AS61=0, AT61=0), 'TRAD-Calculs dispo Données FA'!$B$82, "")</f>
        <v>Stock et besoin nul</v>
      </c>
      <c r="AW61" s="2062" t="str">
        <f>IF(AND(AU61=0, AS61&gt;0, AT61=0), CONCATENATE(AS61, 'TRAD-Calculs dispo Données FA'!$B$80," =0"), "")</f>
        <v/>
      </c>
      <c r="AX61" s="2063" t="str">
        <f>IF(AND(AS61=0, OR(AT61&gt;=1, AU61&gt;=1)), 'TRAD-Calculs dispo Données FA'!$B$81, "")</f>
        <v/>
      </c>
      <c r="AY61" s="2051"/>
      <c r="AZ61" s="2051"/>
      <c r="BA61" s="2051"/>
      <c r="BB61" s="2051"/>
      <c r="BC61" s="2051"/>
      <c r="BD61" s="2051"/>
      <c r="BE61" s="2051"/>
      <c r="BF61" s="2051"/>
      <c r="BG61" s="2051"/>
      <c r="BH61" s="2051"/>
      <c r="BI61" s="2051"/>
      <c r="BJ61" s="2051"/>
      <c r="BK61" s="2051"/>
      <c r="BL61" s="2051"/>
      <c r="BM61" s="2051"/>
      <c r="BN61" s="2051"/>
      <c r="BO61" s="2051"/>
      <c r="BP61" s="2051"/>
      <c r="BQ61" s="2051"/>
      <c r="BR61" s="2051"/>
      <c r="BS61" s="2051"/>
      <c r="BT61" s="2051"/>
    </row>
    <row r="62" spans="3:72" s="358" customFormat="1" ht="51.75" thickBot="1" x14ac:dyDescent="0.25">
      <c r="C62" s="404"/>
      <c r="D62" s="408" t="s">
        <v>41</v>
      </c>
      <c r="E62" s="409" t="str">
        <f>'Saisie données stocks'!F68</f>
        <v>LPV/r</v>
      </c>
      <c r="F62" s="410" t="str">
        <f>'Saisie données stocks'!G68</f>
        <v>Sol buv</v>
      </c>
      <c r="G62" s="410" t="str">
        <f>'Saisie données stocks'!H68</f>
        <v>80/20 mg/mL</v>
      </c>
      <c r="H62" s="107" t="str">
        <f>CONCATENATE(E62, " - ", G62, " - ", 'TRAD-Calculs dispo Données FA'!$B$83,"/", K62, "mL")</f>
        <v>LPV/r - 80/20 mg/mL - Fl/60mL</v>
      </c>
      <c r="I62" s="411"/>
      <c r="J62" s="411"/>
      <c r="K62" s="312">
        <f>'Saisie données stocks'!L68</f>
        <v>60</v>
      </c>
      <c r="L62" s="313">
        <f>'Saisie données stocks'!M68</f>
        <v>4</v>
      </c>
      <c r="M62" s="1825">
        <f>IF('Saisie données stocks'!$O$10='TRAD-Saisie données stocks'!$B$51, 'Calculs Péremption conso'!BU56, Calculs!M311)</f>
        <v>0</v>
      </c>
      <c r="N62" s="1825">
        <f>Calculs!$L$366</f>
        <v>61</v>
      </c>
      <c r="O62" s="1825">
        <f>Calculs!$N$366</f>
        <v>0</v>
      </c>
      <c r="P62"/>
      <c r="Q62" s="2198">
        <f>IF(Calculs!N366&gt;0, (-(Calculs!N366+2*Calculs!L366)+SQRT((Calculs!N366+2*Calculs!L366)*(Calculs!N366+2*Calculs!L366)+8*Calculs!N366*(M62)))/(2*Calculs!N366), ((M62)/Calculs!L366))</f>
        <v>0</v>
      </c>
      <c r="R62" s="2198">
        <f t="shared" si="7"/>
        <v>0</v>
      </c>
      <c r="S62" s="2199">
        <f>Q62-Paramétrage!D$29</f>
        <v>-3</v>
      </c>
      <c r="T62" s="2200">
        <f>IF(Q62&lt;Paramétrage!D$29, Q62, Paramétrage!D$29)</f>
        <v>0</v>
      </c>
      <c r="U62" s="2201">
        <f>Paramétrage!H$19+S62*(365/12)</f>
        <v>41827.75</v>
      </c>
      <c r="V62" s="2202">
        <f>IF(Q62&lt;Paramétrage!D$29, Paramétrage!H$19+T62*(365/12), Paramétrage!H$19+Q62*(365/12))</f>
        <v>41919</v>
      </c>
      <c r="W62" s="2051"/>
      <c r="X62" s="2198" t="str">
        <f>IF(ISERROR(Q62),"", IF(Q62=0, "", IF(Q62&gt;'Calculs Péremption conso'!$CB56, 'Calculs Péremption conso'!$CB56, Q62)))</f>
        <v/>
      </c>
      <c r="Y62" s="2203" t="str">
        <f>IF(ISERROR(R62),"", IF(R62=0, "", IF(R62&gt;'Calculs Péremption conso'!$CB56, 'Calculs Péremption conso'!$CB56, R62)))</f>
        <v/>
      </c>
      <c r="Z62" s="2199" t="str">
        <f>IF(ISERROR(Q62),"", IF(Q62=0, "", IF(Q62&gt;'Calculs Péremption conso'!$CB56, 'Calculs Péremption conso'!$CB56-Paramétrage!$D$29, S62)))</f>
        <v/>
      </c>
      <c r="AA62" s="2204" t="str">
        <f>IF(ISERROR(Q62),"", IF(Q62=0, "", IF(Q62&gt;'Calculs Péremption conso'!$CB56, Paramétrage!$D$29, T62)))</f>
        <v/>
      </c>
      <c r="AB62" s="2201" t="str">
        <f>IF(ISERROR(Q62),"", IF(Q62=0, "", IF(Q62&gt;'Calculs Péremption conso'!$CB56, 'Calculs Péremption conso'!$BX56-Paramétrage!$D$29*(365/12), U62)))</f>
        <v/>
      </c>
      <c r="AC62" s="2202" t="str">
        <f>IF(ISERROR(Q62), AW62, IF(Q62=0, IF(AND(M62=0, OR(N62&gt;0, O62&gt;0)), AX62, ""), IF(Q62&gt;'Calculs Péremption conso'!$CB56, IF(Q62&lt;'Saisie données stocks'!$N$14, CONCATENATE('TRAD-Calculs dispo Données FA'!$B$88, " - ", 'Calculs Péremption conso'!$BY56, "/", 'Calculs Péremption conso'!$BZ56, "/", 'Calculs Péremption conso'!$CA56), 'Calculs Péremption conso'!CC56), V62)))</f>
        <v>RUPTURE</v>
      </c>
      <c r="AD62" s="2051"/>
      <c r="AE62" s="2198">
        <f>((Calculs!M311)/Calculs!L366)</f>
        <v>0</v>
      </c>
      <c r="AF62" s="2198">
        <f t="shared" si="8"/>
        <v>0</v>
      </c>
      <c r="AG62" s="2199">
        <f>AE62-Paramétrage!D$29</f>
        <v>-3</v>
      </c>
      <c r="AH62" s="2200">
        <f>IF(AE62&lt;Paramétrage!D$29, AE62, Paramétrage!D$29)</f>
        <v>0</v>
      </c>
      <c r="AI62" s="2201">
        <f>Paramétrage!H$19+AG62*(365/12)</f>
        <v>41827.75</v>
      </c>
      <c r="AJ62" s="2202">
        <f>IF(AE62&lt;Paramétrage!D$29, Paramétrage!H$19+AH62*(365/12), Paramétrage!H$19+AE62*(365/12))</f>
        <v>41919</v>
      </c>
      <c r="AK62" s="2051"/>
      <c r="AL62" s="2198" t="str">
        <f>IF(ISERROR(AE62),"", IF(AE62=0, "", IF(AE62&gt;'Calculs Péremption conso'!$CB56, 'Calculs Péremption conso'!$CB56, AE62)))</f>
        <v/>
      </c>
      <c r="AM62" s="2203" t="str">
        <f t="shared" si="9"/>
        <v/>
      </c>
      <c r="AN62" s="2199" t="str">
        <f>IF(ISERROR(AE62),"", IF(AE62=0, "", IF(AE62&gt;'Calculs Péremption conso'!$CB56, 'Calculs Péremption conso'!$CB56-Paramétrage!$D$29, AG62)))</f>
        <v/>
      </c>
      <c r="AO62" s="2204" t="str">
        <f>IF(ISERROR(AE62),"", IF(AE62=0, "", IF(AE62&gt;'Calculs Péremption conso'!$CB56, Paramétrage!$D$29, AH62)))</f>
        <v/>
      </c>
      <c r="AP62" s="2201" t="str">
        <f>IF(ISERROR(AE62),"", IF(AE62=0, "", IF(AE62&gt;'Calculs Péremption FA'!$CB56, 'Calculs Péremption FA'!$BX56-Paramétrage!$D$29*(365/12), AI62)))</f>
        <v/>
      </c>
      <c r="AQ62" s="2202" t="str">
        <f>IF(ISERROR(AE62),"", IF(AE62=0, "", IF(AE62&gt;'Calculs Péremption conso'!$CB56, CONCATENATE('TRAD-Calculs dispo Données FA'!$B$88, " - ", 'Calculs Péremption conso'!$BY56, "/", 'Calculs Péremption conso'!$BZ56, "/", 'Calculs Péremption conso'!$CA56), AJ62)))</f>
        <v/>
      </c>
      <c r="AR62" s="2051"/>
      <c r="AS62" s="2064">
        <f>Calculs!$M311</f>
        <v>0</v>
      </c>
      <c r="AT62" s="2065">
        <f>Calculs!$L366</f>
        <v>61</v>
      </c>
      <c r="AU62" s="2069">
        <f>Calculs!$N366</f>
        <v>0</v>
      </c>
      <c r="AV62" s="2071" t="str">
        <f>IF(AND(AU62=0, AS62=0, AT62=0), 'TRAD-Calculs dispo Données FA'!$B$82, "")</f>
        <v/>
      </c>
      <c r="AW62" s="2065" t="str">
        <f>IF(AND(AU62=0, AS62&gt;0, AT62=0), CONCATENATE(AS62, 'TRAD-Calculs dispo Données FA'!$B$80," =0"), "")</f>
        <v/>
      </c>
      <c r="AX62" s="2063" t="str">
        <f>IF(AND(AS62=0, OR(AT62&gt;=1, AU62&gt;=1)), 'TRAD-Calculs dispo Données FA'!$B$81, "")</f>
        <v>RUPTURE</v>
      </c>
      <c r="AY62" s="2051"/>
      <c r="AZ62" s="2051"/>
      <c r="BA62" s="2051"/>
      <c r="BB62" s="2051"/>
      <c r="BC62" s="2051"/>
      <c r="BD62" s="2051"/>
      <c r="BE62" s="2051"/>
      <c r="BF62" s="2051"/>
      <c r="BG62" s="2051"/>
      <c r="BH62" s="2051"/>
      <c r="BI62" s="2051"/>
      <c r="BJ62" s="2051"/>
      <c r="BK62" s="2051"/>
      <c r="BL62" s="2051"/>
      <c r="BM62" s="2051"/>
      <c r="BN62" s="2051"/>
      <c r="BO62" s="2051"/>
      <c r="BP62" s="2051"/>
      <c r="BQ62" s="2051"/>
      <c r="BR62" s="2051"/>
      <c r="BS62" s="2051"/>
      <c r="BT62" s="2051"/>
    </row>
    <row r="63" spans="3:72" s="356" customFormat="1" x14ac:dyDescent="0.2">
      <c r="M63" s="355"/>
      <c r="N63" s="355"/>
      <c r="O63" s="355"/>
      <c r="P63"/>
      <c r="Q63" s="2142"/>
      <c r="R63" s="578"/>
      <c r="S63" s="578"/>
      <c r="T63" s="2143"/>
      <c r="U63" s="2150"/>
      <c r="V63" s="578"/>
      <c r="W63" s="578"/>
      <c r="X63" s="578"/>
      <c r="Y63" s="578"/>
      <c r="Z63" s="578"/>
      <c r="AA63" s="578"/>
      <c r="AB63" s="578"/>
      <c r="AC63" s="578"/>
      <c r="AD63" s="578"/>
      <c r="AE63" s="578"/>
      <c r="AF63" s="2143"/>
      <c r="AG63" s="2150"/>
      <c r="AH63" s="578"/>
      <c r="AI63" s="578"/>
      <c r="AJ63" s="578"/>
      <c r="AK63" s="2144"/>
      <c r="AL63" s="578"/>
      <c r="AM63" s="578"/>
      <c r="AN63" s="578"/>
      <c r="AO63" s="578"/>
      <c r="AP63" s="578"/>
      <c r="AQ63" s="578"/>
      <c r="AR63" s="578"/>
      <c r="AS63" s="578"/>
      <c r="AT63" s="578"/>
      <c r="AU63" s="578"/>
      <c r="AV63" s="578"/>
      <c r="AW63" s="578"/>
      <c r="AX63" s="578"/>
      <c r="AY63" s="578"/>
      <c r="AZ63" s="578"/>
      <c r="BA63" s="578"/>
      <c r="BB63" s="578"/>
      <c r="BC63" s="578"/>
      <c r="BD63" s="578"/>
      <c r="BE63" s="578"/>
      <c r="BF63" s="578"/>
      <c r="BG63" s="578"/>
      <c r="BH63" s="578"/>
      <c r="BI63" s="578"/>
      <c r="BJ63" s="578"/>
      <c r="BK63" s="578"/>
      <c r="BL63" s="578"/>
      <c r="BM63" s="578"/>
      <c r="BN63" s="578"/>
      <c r="BO63" s="578"/>
      <c r="BP63" s="578"/>
      <c r="BQ63" s="578"/>
      <c r="BR63" s="578"/>
      <c r="BS63" s="578"/>
      <c r="BT63" s="578"/>
    </row>
    <row r="64" spans="3:72" s="358" customFormat="1" x14ac:dyDescent="0.2">
      <c r="C64" s="412"/>
      <c r="D64" s="413"/>
      <c r="E64" s="414"/>
      <c r="F64" s="415"/>
      <c r="G64" s="415"/>
      <c r="H64" s="416"/>
      <c r="I64" s="416"/>
      <c r="J64" s="416"/>
      <c r="K64" s="417"/>
      <c r="L64" s="418"/>
      <c r="P64"/>
      <c r="Q64" s="2051"/>
      <c r="R64" s="2051"/>
      <c r="S64" s="2051"/>
      <c r="T64" s="2150"/>
      <c r="U64" s="2150"/>
      <c r="V64" s="2051"/>
      <c r="W64" s="2051"/>
      <c r="X64" s="2051"/>
      <c r="Y64" s="2051"/>
      <c r="Z64" s="2051"/>
      <c r="AA64" s="2051"/>
      <c r="AB64" s="2051"/>
      <c r="AC64" s="2051"/>
      <c r="AD64" s="2051"/>
      <c r="AE64" s="2051"/>
      <c r="AF64" s="2150"/>
      <c r="AG64" s="2150"/>
      <c r="AH64" s="2051"/>
      <c r="AI64" s="2051"/>
      <c r="AJ64" s="2051"/>
      <c r="AK64" s="2151"/>
      <c r="AL64" s="2051"/>
      <c r="AM64" s="2051"/>
      <c r="AN64" s="2051"/>
      <c r="AO64" s="2051"/>
      <c r="AP64" s="2051"/>
      <c r="AQ64" s="2051"/>
      <c r="AR64" s="2051"/>
      <c r="AS64" s="2051"/>
      <c r="AT64" s="2051"/>
      <c r="AU64" s="2051"/>
      <c r="AV64" s="2051"/>
      <c r="AW64" s="2051"/>
      <c r="AX64" s="2051"/>
      <c r="AY64" s="2051"/>
      <c r="AZ64" s="2051"/>
      <c r="BA64" s="2051"/>
      <c r="BB64" s="2051"/>
      <c r="BC64" s="2051"/>
      <c r="BD64" s="2051"/>
      <c r="BE64" s="2051"/>
      <c r="BF64" s="2051"/>
      <c r="BG64" s="2051"/>
      <c r="BH64" s="2051"/>
      <c r="BI64" s="2051"/>
      <c r="BJ64" s="2051"/>
      <c r="BK64" s="2051"/>
      <c r="BL64" s="2051"/>
      <c r="BM64" s="2051"/>
      <c r="BN64" s="2051"/>
      <c r="BO64" s="2051"/>
      <c r="BP64" s="2051"/>
      <c r="BQ64" s="2051"/>
      <c r="BR64" s="2051"/>
      <c r="BS64" s="2051"/>
      <c r="BT64" s="2051"/>
    </row>
    <row r="65" spans="2:72" s="358" customFormat="1" ht="14.25" x14ac:dyDescent="0.2">
      <c r="B65" s="359" t="str">
        <f>'TRAD-Calculs dispo Données FA'!B76</f>
        <v>2.B. Avec les stocks actuellement disponibles au niveau périphérique</v>
      </c>
      <c r="C65" s="359"/>
      <c r="D65" s="359"/>
      <c r="E65" s="359"/>
      <c r="F65" s="359"/>
      <c r="G65" s="359"/>
      <c r="H65" s="359"/>
      <c r="I65" s="359"/>
      <c r="J65" s="359"/>
      <c r="K65" s="359"/>
      <c r="L65" s="359"/>
      <c r="M65" s="360"/>
      <c r="N65" s="360"/>
      <c r="O65" s="360"/>
      <c r="P65"/>
      <c r="Q65" s="2149"/>
      <c r="R65" s="2051"/>
      <c r="S65" s="2051"/>
      <c r="T65" s="2150"/>
      <c r="U65" s="2150"/>
      <c r="V65" s="2051"/>
      <c r="W65" s="2051"/>
      <c r="X65" s="2051"/>
      <c r="Y65" s="2051"/>
      <c r="Z65" s="2051"/>
      <c r="AA65" s="2051"/>
      <c r="AB65" s="2051"/>
      <c r="AC65" s="2051"/>
      <c r="AD65" s="2051"/>
      <c r="AE65" s="2051"/>
      <c r="AF65" s="2150"/>
      <c r="AG65" s="2150"/>
      <c r="AH65" s="2051"/>
      <c r="AI65" s="2051"/>
      <c r="AJ65" s="2051"/>
      <c r="AK65" s="2151"/>
      <c r="AL65" s="2051"/>
      <c r="AM65" s="2051"/>
      <c r="AN65" s="2051"/>
      <c r="AO65" s="2051"/>
      <c r="AP65" s="2051"/>
      <c r="AQ65" s="2051"/>
      <c r="AR65" s="2051"/>
      <c r="AS65" s="2051"/>
      <c r="AT65" s="2051"/>
      <c r="AU65" s="2051"/>
      <c r="AV65" s="2051"/>
      <c r="AW65" s="2051"/>
      <c r="AX65" s="2051"/>
      <c r="AY65" s="2051"/>
      <c r="AZ65" s="2051"/>
      <c r="BA65" s="2051"/>
      <c r="BB65" s="2051"/>
      <c r="BC65" s="2051"/>
      <c r="BD65" s="2051"/>
      <c r="BE65" s="2051"/>
      <c r="BF65" s="2051"/>
      <c r="BG65" s="2051"/>
      <c r="BH65" s="2051"/>
      <c r="BI65" s="2051"/>
      <c r="BJ65" s="2051"/>
      <c r="BK65" s="2051"/>
      <c r="BL65" s="2051"/>
      <c r="BM65" s="2051"/>
      <c r="BN65" s="2051"/>
      <c r="BO65" s="2051"/>
      <c r="BP65" s="2051"/>
      <c r="BQ65" s="2051"/>
      <c r="BR65" s="2051"/>
      <c r="BS65" s="2051"/>
      <c r="BT65" s="2051"/>
    </row>
    <row r="66" spans="2:72" s="356" customFormat="1" ht="13.5" thickBot="1" x14ac:dyDescent="0.25">
      <c r="M66" s="355"/>
      <c r="N66" s="355"/>
      <c r="O66" s="355"/>
      <c r="P66"/>
      <c r="Q66" s="2142"/>
      <c r="R66" s="578"/>
      <c r="S66" s="578"/>
      <c r="T66" s="2143"/>
      <c r="U66" s="2143"/>
      <c r="V66" s="578"/>
      <c r="W66" s="578"/>
      <c r="X66" s="578"/>
      <c r="Y66" s="578"/>
      <c r="Z66" s="578"/>
      <c r="AA66" s="578"/>
      <c r="AB66" s="578"/>
      <c r="AC66" s="578"/>
      <c r="AD66" s="578"/>
      <c r="AE66" s="578"/>
      <c r="AF66" s="2143"/>
      <c r="AG66" s="2143"/>
      <c r="AH66" s="578"/>
      <c r="AI66" s="578"/>
      <c r="AJ66" s="578"/>
      <c r="AK66" s="2144"/>
      <c r="AL66" s="578"/>
      <c r="AM66" s="578"/>
      <c r="AN66" s="578"/>
      <c r="AO66" s="578"/>
      <c r="AP66" s="578"/>
      <c r="AQ66" s="578"/>
      <c r="AR66" s="578"/>
      <c r="AS66" s="578"/>
      <c r="AT66" s="578"/>
      <c r="AU66" s="578"/>
      <c r="AV66" s="578"/>
      <c r="AW66" s="578"/>
      <c r="AX66" s="578"/>
      <c r="AY66" s="578"/>
      <c r="AZ66" s="578"/>
      <c r="BA66" s="578"/>
      <c r="BB66" s="578"/>
      <c r="BC66" s="578"/>
      <c r="BD66" s="578"/>
      <c r="BE66" s="578"/>
      <c r="BF66" s="578"/>
      <c r="BG66" s="578"/>
      <c r="BH66" s="578"/>
      <c r="BI66" s="578"/>
      <c r="BJ66" s="578"/>
      <c r="BK66" s="578"/>
      <c r="BL66" s="578"/>
      <c r="BM66" s="578"/>
      <c r="BN66" s="578"/>
      <c r="BO66" s="578"/>
      <c r="BP66" s="578"/>
      <c r="BQ66" s="578"/>
      <c r="BR66" s="578"/>
      <c r="BS66" s="578"/>
      <c r="BT66" s="578"/>
    </row>
    <row r="67" spans="2:72" s="356" customFormat="1" ht="13.5" thickBot="1" x14ac:dyDescent="0.25">
      <c r="P67"/>
      <c r="Q67" s="3293" t="str">
        <f>'TRAD-Calculs dispo Données FA'!B26</f>
        <v>CALCULS avec croissance des besoins / Stocks dispo peripherique</v>
      </c>
      <c r="R67" s="3294"/>
      <c r="S67" s="3294"/>
      <c r="T67" s="3294"/>
      <c r="U67" s="3294"/>
      <c r="V67" s="3294"/>
      <c r="W67" s="3294"/>
      <c r="X67" s="3294"/>
      <c r="Y67" s="3294"/>
      <c r="Z67" s="3294"/>
      <c r="AA67" s="3294"/>
      <c r="AB67" s="3294"/>
      <c r="AC67" s="3295"/>
      <c r="AD67" s="578"/>
      <c r="AE67" s="3293" t="str">
        <f>'TRAD-Calculs dispo Données FA'!B28</f>
        <v>CALCULS Marge extrême arrêt d'initiations / Stocks dispo périph</v>
      </c>
      <c r="AF67" s="3294"/>
      <c r="AG67" s="3294"/>
      <c r="AH67" s="3294"/>
      <c r="AI67" s="3294"/>
      <c r="AJ67" s="3294"/>
      <c r="AK67" s="3294"/>
      <c r="AL67" s="3294"/>
      <c r="AM67" s="3294"/>
      <c r="AN67" s="3294"/>
      <c r="AO67" s="3294"/>
      <c r="AP67" s="3294"/>
      <c r="AQ67" s="3295"/>
      <c r="AR67" s="578"/>
      <c r="AS67" s="578"/>
      <c r="AT67" s="578"/>
      <c r="AU67" s="578"/>
      <c r="AV67" s="578"/>
      <c r="AW67" s="578"/>
      <c r="AX67" s="578"/>
      <c r="AY67" s="578"/>
      <c r="AZ67" s="578"/>
      <c r="BA67" s="578"/>
      <c r="BB67" s="578"/>
      <c r="BC67" s="578"/>
      <c r="BD67" s="578"/>
      <c r="BE67" s="578"/>
      <c r="BF67" s="578"/>
      <c r="BG67" s="578"/>
      <c r="BH67" s="578"/>
      <c r="BI67" s="578"/>
      <c r="BJ67" s="578"/>
      <c r="BK67" s="578"/>
      <c r="BL67" s="578"/>
      <c r="BM67" s="578"/>
      <c r="BN67" s="578"/>
      <c r="BO67" s="578"/>
      <c r="BP67" s="578"/>
      <c r="BQ67" s="578"/>
      <c r="BR67" s="578"/>
      <c r="BS67" s="578"/>
      <c r="BT67" s="578"/>
    </row>
    <row r="68" spans="2:72" s="356" customFormat="1" ht="26.25" thickBot="1" x14ac:dyDescent="0.25">
      <c r="P68"/>
      <c r="Q68" s="578"/>
      <c r="R68" s="2142"/>
      <c r="S68" s="3289"/>
      <c r="T68" s="3289"/>
      <c r="U68" s="2152"/>
      <c r="V68" s="2143"/>
      <c r="W68" s="578" t="str">
        <f>'TRAD-Calculs dispo Données FA'!B65</f>
        <v>Stocks périphériques</v>
      </c>
      <c r="X68" s="3283" t="str">
        <f>'TRAD-Calculs dispo Données FA'!B27</f>
        <v>Données nettoyées pour représentation graphique</v>
      </c>
      <c r="Y68" s="3284"/>
      <c r="Z68" s="3284"/>
      <c r="AA68" s="3284"/>
      <c r="AB68" s="3284"/>
      <c r="AC68" s="3285"/>
      <c r="AD68" s="578"/>
      <c r="AE68" s="2142"/>
      <c r="AF68" s="3289"/>
      <c r="AG68" s="3289"/>
      <c r="AH68" s="2152"/>
      <c r="AI68" s="2153"/>
      <c r="AJ68" s="2143"/>
      <c r="AK68" s="578" t="str">
        <f>'TRAD-Calculs dispo Données FA'!B65</f>
        <v>Stocks périphériques</v>
      </c>
      <c r="AL68" s="3283" t="str">
        <f>'TRAD-Calculs dispo Données FA'!B27</f>
        <v>Données nettoyées pour représentation graphique</v>
      </c>
      <c r="AM68" s="3284"/>
      <c r="AN68" s="3284"/>
      <c r="AO68" s="3284"/>
      <c r="AP68" s="3284"/>
      <c r="AQ68" s="3285"/>
      <c r="AR68" s="578"/>
      <c r="AS68" s="2077" t="str">
        <f>'TRAD-Calculs dispo Données FA'!B48</f>
        <v>Stock</v>
      </c>
      <c r="AT68" s="2078" t="str">
        <f>'TRAD-Calculs dispo Données FA'!B49</f>
        <v>besoin actuel</v>
      </c>
      <c r="AU68" s="2079" t="str">
        <f>'TRAD-Calculs dispo Données FA'!B50</f>
        <v>Progression besoin</v>
      </c>
      <c r="AV68" s="2077" t="str">
        <f>'TRAD-Calculs dispo Données FA'!B51</f>
        <v>Eval</v>
      </c>
      <c r="AW68" s="2078" t="str">
        <f>'TRAD-Calculs dispo Données FA'!B51</f>
        <v>Eval</v>
      </c>
      <c r="AX68" s="2080" t="str">
        <f>'TRAD-Calculs dispo Données FA'!B51</f>
        <v>Eval</v>
      </c>
      <c r="AY68" s="578"/>
      <c r="AZ68" s="578"/>
      <c r="BA68" s="578"/>
      <c r="BB68" s="578"/>
      <c r="BC68" s="578"/>
      <c r="BD68" s="578"/>
      <c r="BE68" s="578"/>
      <c r="BF68" s="578"/>
      <c r="BG68" s="578"/>
      <c r="BH68" s="578"/>
      <c r="BI68" s="578"/>
      <c r="BJ68" s="578"/>
      <c r="BK68" s="578"/>
      <c r="BL68" s="578"/>
      <c r="BM68" s="578"/>
      <c r="BN68" s="578"/>
      <c r="BO68" s="578"/>
      <c r="BP68" s="578"/>
      <c r="BQ68" s="578"/>
      <c r="BR68" s="578"/>
      <c r="BS68" s="578"/>
      <c r="BT68" s="578"/>
    </row>
    <row r="69" spans="2:72" s="358" customFormat="1" ht="77.25" thickBot="1" x14ac:dyDescent="0.25">
      <c r="C69" s="577" t="str">
        <f>'TRAD-Calculs dispo Données FA'!B9</f>
        <v>Classe forme galénique</v>
      </c>
      <c r="D69" s="576" t="str">
        <f>'TRAD-Calculs dispo Données FA'!B10</f>
        <v>Classe thérapeutique</v>
      </c>
      <c r="E69" s="364" t="str">
        <f>'TRAD-Calculs dispo Données FA'!B11</f>
        <v>Composition</v>
      </c>
      <c r="F69" s="365" t="str">
        <f>'TRAD-Calculs dispo Données FA'!B12</f>
        <v>Forme galénique</v>
      </c>
      <c r="G69" s="365" t="str">
        <f>'TRAD-Calculs dispo Données FA'!B13</f>
        <v>Dosage</v>
      </c>
      <c r="H69" s="365" t="str">
        <f>'TRAD-Calculs dispo Données FA'!B14</f>
        <v>Nom pour représentation graphique</v>
      </c>
      <c r="I69" s="365" t="str">
        <f>'TRAD-Calculs dispo Données FA'!B15</f>
        <v>Nb de prise / jour</v>
      </c>
      <c r="J69" s="365" t="str">
        <f>'TRAD-Calculs dispo Données FA'!B16</f>
        <v>Nb de prise / mois</v>
      </c>
      <c r="K69" s="365" t="str">
        <f>'TRAD-Calculs dispo Données FA'!B17</f>
        <v>Conditionnement</v>
      </c>
      <c r="L69" s="327" t="str">
        <f>'TRAD-Calculs dispo Données FA'!B20</f>
        <v>Nb de boites nécessaire pour 1 mois pour 1 patient</v>
      </c>
      <c r="M69" s="346" t="str">
        <f>'TRAD-Calculs dispo Données FA'!B21</f>
        <v>Stock disponible UTILISABLE au niveau considéré (nb de boites)</v>
      </c>
      <c r="N69" s="2057" t="str">
        <f>'TRAD-Calculs dispo Données FA'!B33</f>
        <v>Besoin mensuel patients suivis selon méthode</v>
      </c>
      <c r="O69" s="2057" t="str">
        <f>'TRAD-Calculs dispo Données FA'!B34</f>
        <v>Besoin mensuel patients initiés selon méthode</v>
      </c>
      <c r="P69"/>
      <c r="Q69" s="346" t="str">
        <f>'TRAD-Calculs dispo Données FA'!B35</f>
        <v>Nombre de mois de disponibilité de produits</v>
      </c>
      <c r="R69" s="346" t="str">
        <f>'TRAD-Calculs dispo Données FA'!B36</f>
        <v>Delta Nb de mois de disponibilité Stocks périph / Stocks total (périph + central)</v>
      </c>
      <c r="S69" s="347" t="str">
        <f>'TRAD-Calculs dispo Données FA'!B37</f>
        <v>Nombre de mois de disponibilité de produits hors ST</v>
      </c>
      <c r="T69" s="327" t="str">
        <f>'TRAD-Calculs dispo Données FA'!B38</f>
        <v>Nombre de mois de stock tampon (ST)</v>
      </c>
      <c r="U69" s="348" t="str">
        <f>'TRAD-Calculs dispo Données FA'!B39</f>
        <v>Date d'entrée en stock tampon</v>
      </c>
      <c r="V69" s="349" t="str">
        <f>'TRAD-Calculs dispo Données FA'!B40</f>
        <v>Date de rupture attendue</v>
      </c>
      <c r="W69" s="2051"/>
      <c r="X69" s="346" t="str">
        <f>'TRAD-Calculs dispo Données FA'!B35</f>
        <v>Nombre de mois de disponibilité de produits</v>
      </c>
      <c r="Y69" s="580" t="str">
        <f>'TRAD-Calculs dispo Données FA'!B36</f>
        <v>Delta Nb de mois de disponibilité Stocks périph / Stocks total (périph + central)</v>
      </c>
      <c r="Z69" s="347" t="str">
        <f>'TRAD-Calculs dispo Données FA'!B37</f>
        <v>Nombre de mois de disponibilité de produits hors ST</v>
      </c>
      <c r="AA69" s="424" t="str">
        <f>'TRAD-Calculs dispo Données FA'!B38</f>
        <v>Nombre de mois de stock tampon (ST)</v>
      </c>
      <c r="AB69" s="348" t="str">
        <f>'TRAD-Calculs dispo Données FA'!B39</f>
        <v>Date d'entrée en stock tampon</v>
      </c>
      <c r="AC69" s="349" t="str">
        <f>'TRAD-Calculs dispo Données FA'!B40</f>
        <v>Date de rupture attendue</v>
      </c>
      <c r="AD69" s="2051"/>
      <c r="AE69" s="346" t="str">
        <f>'TRAD-Calculs dispo Données FA'!B35</f>
        <v>Nombre de mois de disponibilité de produits</v>
      </c>
      <c r="AF69" s="580" t="str">
        <f>'TRAD-Calculs dispo Données FA'!B46</f>
        <v>Gain Nb de mois de disponibilité si arrêt des initiations &amp; switch</v>
      </c>
      <c r="AG69" s="347" t="str">
        <f>'TRAD-Calculs dispo Données FA'!B37</f>
        <v>Nombre de mois de disponibilité de produits hors ST</v>
      </c>
      <c r="AH69" s="424" t="str">
        <f>'TRAD-Calculs dispo Données FA'!B38</f>
        <v>Nombre de mois de stock tampon (ST)</v>
      </c>
      <c r="AI69" s="348" t="str">
        <f>'TRAD-Calculs dispo Données FA'!B39</f>
        <v>Date d'entrée en stock tampon</v>
      </c>
      <c r="AJ69" s="349" t="str">
        <f>'TRAD-Calculs dispo Données FA'!B40</f>
        <v>Date de rupture attendue</v>
      </c>
      <c r="AK69" s="2051"/>
      <c r="AL69" s="346" t="str">
        <f>'TRAD-Calculs dispo Données FA'!B35</f>
        <v>Nombre de mois de disponibilité de produits</v>
      </c>
      <c r="AM69" s="580" t="str">
        <f>'TRAD-Calculs dispo Données FA'!B46</f>
        <v>Gain Nb de mois de disponibilité si arrêt des initiations &amp; switch</v>
      </c>
      <c r="AN69" s="347" t="str">
        <f>'TRAD-Calculs dispo Données FA'!B37</f>
        <v>Nombre de mois de disponibilité de produits hors ST</v>
      </c>
      <c r="AO69" s="424" t="str">
        <f>'TRAD-Calculs dispo Données FA'!B38</f>
        <v>Nombre de mois de stock tampon (ST)</v>
      </c>
      <c r="AP69" s="424" t="str">
        <f>'TRAD-Calculs dispo Données FA'!B39</f>
        <v>Date d'entrée en stock tampon</v>
      </c>
      <c r="AQ69" s="349" t="str">
        <f>'TRAD-Calculs dispo Données FA'!B40</f>
        <v>Date de rupture attendue</v>
      </c>
      <c r="AR69" s="2051"/>
      <c r="AS69" s="2058" t="str">
        <f>'TRAD-Calculs dispo Données FA'!B54</f>
        <v>Calculs!M228</v>
      </c>
      <c r="AT69" s="2059" t="str">
        <f>'TRAD-Calculs dispo Données FA'!B56</f>
        <v>Calculs!L317</v>
      </c>
      <c r="AU69" s="2067" t="str">
        <f>'TRAD-Calculs dispo Données FA'!B57</f>
        <v>Calculs!N317</v>
      </c>
      <c r="AV69" s="2058" t="str">
        <f>'TRAD-Calculs dispo Données FA'!B60</f>
        <v>Stock et besoin actuel et futur =0</v>
      </c>
      <c r="AW69" s="2059" t="str">
        <f>'TRAD-Calculs dispo Données FA'!B61</f>
        <v>Stock &gt;0 et besoin actuel et futur =0</v>
      </c>
      <c r="AX69" s="2060" t="str">
        <f>'TRAD-Calculs dispo Données FA'!B63</f>
        <v>Stock=0; Besoin  ≥ 1</v>
      </c>
      <c r="AY69" s="2051"/>
      <c r="AZ69" s="2051"/>
      <c r="BA69" s="2051"/>
      <c r="BB69" s="2051"/>
      <c r="BC69" s="2051"/>
      <c r="BD69" s="2051"/>
      <c r="BE69" s="2051"/>
      <c r="BF69" s="2051"/>
      <c r="BG69" s="2051"/>
      <c r="BH69" s="2051"/>
      <c r="BI69" s="2051"/>
      <c r="BJ69" s="2051"/>
      <c r="BK69" s="2051"/>
      <c r="BL69" s="2051"/>
      <c r="BM69" s="2051"/>
      <c r="BN69" s="2051"/>
      <c r="BO69" s="2051"/>
      <c r="BP69" s="2051"/>
      <c r="BQ69" s="2051"/>
      <c r="BR69" s="2051"/>
      <c r="BS69" s="2051"/>
      <c r="BT69" s="2051"/>
    </row>
    <row r="70" spans="2:72" s="358" customFormat="1" ht="25.5" x14ac:dyDescent="0.2">
      <c r="C70" s="366" t="str">
        <f>'TRAD-Calculs dispo Données FA'!B66</f>
        <v>Comprimés</v>
      </c>
      <c r="D70" s="367" t="s">
        <v>15</v>
      </c>
      <c r="E70" s="368" t="str">
        <f>'Saisie données stocks'!F19</f>
        <v>AZT+3TC+NVP</v>
      </c>
      <c r="F70" s="369" t="str">
        <f>'Saisie données stocks'!G19</f>
        <v>Cp</v>
      </c>
      <c r="G70" s="369" t="str">
        <f>'Saisie données stocks'!H19</f>
        <v>300/150/200 mg</v>
      </c>
      <c r="H70" s="370" t="str">
        <f>CONCATENATE(E70, " - ", G70, " - ", 'TRAD-Calculs dispo Données FA'!$B$79,"/", K70)</f>
        <v>AZT+3TC+NVP - 300/150/200 mg - B/60</v>
      </c>
      <c r="I70" s="372">
        <f>Calculs!K102</f>
        <v>2</v>
      </c>
      <c r="J70" s="372">
        <f t="shared" ref="J70:J110" si="10">I70*30</f>
        <v>60</v>
      </c>
      <c r="K70" s="113">
        <f>Calculs!J102</f>
        <v>60</v>
      </c>
      <c r="L70" s="373">
        <f t="shared" ref="L70:L110" si="11">J70/K70</f>
        <v>1</v>
      </c>
      <c r="M70" s="1819">
        <f>Calculs!N262</f>
        <v>8969</v>
      </c>
      <c r="N70" s="1819">
        <f>Calculs!$L$317</f>
        <v>6338</v>
      </c>
      <c r="O70" s="1819">
        <f>Calculs!$N$317</f>
        <v>0</v>
      </c>
      <c r="P70"/>
      <c r="Q70" s="2154">
        <f>IF(Calculs!N317&gt;0, (-(Calculs!N317+2*Calculs!L317)+SQRT((Calculs!N317+2*Calculs!L317)*(Calculs!N317+2*Calculs!L317)+8*Calculs!N317*(M70)))/(2*Calculs!N317), ((M70)/Calculs!L317))</f>
        <v>1.4151151782896814</v>
      </c>
      <c r="R70" s="2154">
        <f t="shared" ref="R70:R110" si="12">Q127-Q13</f>
        <v>1.41511517828968</v>
      </c>
      <c r="S70" s="2155">
        <f>Q70-Paramétrage!D$29</f>
        <v>-1.5848848217103186</v>
      </c>
      <c r="T70" s="2156">
        <f>IF(Q70&lt;Paramétrage!D$29, Q70, Paramétrage!D$29)</f>
        <v>1.4151151782896814</v>
      </c>
      <c r="U70" s="2157">
        <f>IF(Q70&lt;Paramétrage!D$29, Paramétrage!H$19+S70*(365/12), Paramétrage!H$19+S70*(365/12))</f>
        <v>41870.79308667298</v>
      </c>
      <c r="V70" s="2158">
        <f>IF(Q70&lt;Paramétrage!D$29, Paramétrage!H$19+T70*(365/12), Paramétrage!H$19+Q70*(365/12))</f>
        <v>41962.04308667298</v>
      </c>
      <c r="W70" s="2051"/>
      <c r="X70" s="2154">
        <f t="shared" ref="X70:X110" si="13">IF(ISERROR(Q70),"", IF(Q70=0, "", Q70))</f>
        <v>1.4151151782896814</v>
      </c>
      <c r="Y70" s="2159">
        <f t="shared" ref="Y70:Y110" si="14">IF(ISERROR(R70),"", IF(R70=0, "", R70))</f>
        <v>1.41511517828968</v>
      </c>
      <c r="Z70" s="2155">
        <f t="shared" ref="Z70:Z110" si="15">IF(ISERROR(Q70),"", IF(Q70=0, "", S70))</f>
        <v>-1.5848848217103186</v>
      </c>
      <c r="AA70" s="2160">
        <f t="shared" ref="AA70:AA110" si="16">IF(ISERROR(Q70),"", IF(Q70=0, "", T70))</f>
        <v>1.4151151782896814</v>
      </c>
      <c r="AB70" s="2157">
        <f>IF(ISERROR(Q70),"", IF(Q70=0, "", IF(Q70&gt;'Calculs Péremption conso'!$CB7, 'Calculs Péremption conso'!$BX7-Paramétrage!$D$29*(365/12), U70)))</f>
        <v>41870.79308667298</v>
      </c>
      <c r="AC70" s="2158">
        <f>IF(ISERROR(Q70), AW70, IF(Q70=0, "", IF(Q70&gt;'Calculs Péremption conso'!$CB7, IF(Q70&lt;'Saisie données stocks'!$N$14, CONCATENATE('TRAD-Calculs dispo Données FA'!$B$88, " - ", 'Calculs Péremption conso'!$BY7, "/", 'Calculs Péremption conso'!$BZ7, "/", 'Calculs Péremption conso'!$CA7), 'Calculs Péremption conso'!CC7), V70)))</f>
        <v>41962.04308667298</v>
      </c>
      <c r="AD70" s="2051"/>
      <c r="AE70" s="2154">
        <f>(Calculs!N262)/Calculs!L317</f>
        <v>1.4151151782896814</v>
      </c>
      <c r="AF70" s="2154">
        <f t="shared" ref="AF70:AF110" si="17">AE70-Q70</f>
        <v>0</v>
      </c>
      <c r="AG70" s="2155">
        <f>AE70-Paramétrage!D$29</f>
        <v>-1.5848848217103186</v>
      </c>
      <c r="AH70" s="2156">
        <f>IF(AE70&lt;Paramétrage!D$29, AE70, Paramétrage!D$29)</f>
        <v>1.4151151782896814</v>
      </c>
      <c r="AI70" s="2157">
        <f>Paramétrage!H$19+AG70*(365/12)</f>
        <v>41870.79308667298</v>
      </c>
      <c r="AJ70" s="2158">
        <f>IF(AE70&lt;Paramétrage!D$29, Paramétrage!H$19+AH70*(365/12), Paramétrage!H$19+AE70*(365/12))</f>
        <v>41962.04308667298</v>
      </c>
      <c r="AK70" s="2051"/>
      <c r="AL70" s="2154">
        <f>IF(ISERROR(AE70),"", IF(AE70=0, "", IF(AE70&gt;'Calculs Péremption conso'!$CB7, 'Calculs Péremption conso'!$CB7, AE70)))</f>
        <v>1.4151151782896814</v>
      </c>
      <c r="AM70" s="2159" t="str">
        <f t="shared" ref="AM70:AM110" si="18">IF(ISERROR(AF70),"", IF(AF70=0, "", IF(AL70-X70=0, "0", AL70-X70)))</f>
        <v/>
      </c>
      <c r="AN70" s="2155">
        <f>IF(ISERROR(AE70),"", IF(AE70=0, "", IF(AE70&gt;'Calculs Péremption conso'!$CB7, 'Calculs Péremption conso'!$CB7-Paramétrage!$D$29, AG70)))</f>
        <v>-1.5848848217103186</v>
      </c>
      <c r="AO70" s="2160">
        <f>IF(ISERROR(AE70),"", IF(AE70=0, "", IF(AE70&gt;'Calculs Péremption conso'!$CB7, Paramétrage!$D$29, AH70)))</f>
        <v>1.4151151782896814</v>
      </c>
      <c r="AP70" s="2157">
        <f>IF(ISERROR(AE70),"", IF(AE70=0, "", IF(AE70&gt;'Calculs Péremption conso'!$CB7, 'Calculs Péremption conso'!$BX7-Paramétrage!$D$29*(365/12), AI70)))</f>
        <v>41870.79308667298</v>
      </c>
      <c r="AQ70" s="2158">
        <f>IF(ISERROR(AE70),"", IF(AE70=0, "", IF(AE70&gt;'Calculs Péremption conso'!$CB7, CONCATENATE('TRAD-Calculs dispo Données FA'!$B$88, " - ", 'Calculs Péremption conso'!$BY7, "/", 'Calculs Péremption conso'!$BZ7, "/", 'Calculs Péremption conso'!$CA7), AJ70)))</f>
        <v>41962.04308667298</v>
      </c>
      <c r="AR70" s="2051"/>
      <c r="AS70" s="2061">
        <f>Calculs!$N262</f>
        <v>8969</v>
      </c>
      <c r="AT70" s="2241">
        <f>Calculs!L317</f>
        <v>6338</v>
      </c>
      <c r="AU70" s="2068">
        <f>Calculs!$N317</f>
        <v>0</v>
      </c>
      <c r="AV70" s="2070" t="str">
        <f>IF(AND(AU70=0, AS70=0, AT70=0), 'TRAD-Calculs dispo Données FA'!$B$82, "")</f>
        <v/>
      </c>
      <c r="AW70" s="2062" t="str">
        <f>IF(AND(AU70=0, AS70&gt;0, AT70=0), CONCATENATE(AS70, 'TRAD-Calculs dispo Données FA'!$B$80," =0"), "")</f>
        <v/>
      </c>
      <c r="AX70" s="2063" t="str">
        <f>IF(AND(AS70=0, OR(AT70&gt;=1, AU70&gt;=1)), 'TRAD-Calculs dispo Données FA'!$B$81, "")</f>
        <v/>
      </c>
      <c r="AY70" s="2051"/>
      <c r="AZ70" s="2051"/>
      <c r="BA70" s="2051"/>
      <c r="BB70" s="2051"/>
      <c r="BC70" s="2051"/>
      <c r="BD70" s="2051"/>
      <c r="BE70" s="2051"/>
      <c r="BF70" s="2051"/>
      <c r="BG70" s="2051"/>
      <c r="BH70" s="2051"/>
      <c r="BI70" s="2051"/>
      <c r="BJ70" s="2051"/>
      <c r="BK70" s="2051"/>
      <c r="BL70" s="2051"/>
      <c r="BM70" s="2051"/>
      <c r="BN70" s="2051"/>
      <c r="BO70" s="2051"/>
      <c r="BP70" s="2051"/>
      <c r="BQ70" s="2051"/>
      <c r="BR70" s="2051"/>
      <c r="BS70" s="2051"/>
      <c r="BT70" s="2051"/>
    </row>
    <row r="71" spans="2:72" s="358" customFormat="1" ht="38.25" x14ac:dyDescent="0.2">
      <c r="C71" s="374"/>
      <c r="D71" s="375"/>
      <c r="E71" s="501" t="str">
        <f>'Saisie données stocks'!F20</f>
        <v>AZT+3TC+NVP</v>
      </c>
      <c r="F71" s="502" t="str">
        <f>'Saisie données stocks'!G20</f>
        <v>Cp</v>
      </c>
      <c r="G71" s="502" t="str">
        <f>'Saisie données stocks'!H20</f>
        <v>60/30/50 mg</v>
      </c>
      <c r="H71" s="504" t="str">
        <f>CONCATENATE(E71, " - ", G71, " - ", 'TRAD-Calculs dispo Données FA'!$B$79,"/", K71)</f>
        <v>AZT+3TC+NVP - 60/30/50 mg - B/60</v>
      </c>
      <c r="I71" s="505">
        <f>Calculs!K103</f>
        <v>2</v>
      </c>
      <c r="J71" s="505">
        <f t="shared" si="10"/>
        <v>60</v>
      </c>
      <c r="K71" s="114">
        <f>Calculs!J103</f>
        <v>60</v>
      </c>
      <c r="L71" s="381">
        <f t="shared" si="11"/>
        <v>1</v>
      </c>
      <c r="M71" s="1820">
        <f>Calculs!N263</f>
        <v>490</v>
      </c>
      <c r="N71" s="1820">
        <f>Calculs!$L$318</f>
        <v>546</v>
      </c>
      <c r="O71" s="1820">
        <f>Calculs!$N$318</f>
        <v>0</v>
      </c>
      <c r="P71"/>
      <c r="Q71" s="2161">
        <f>IF(Calculs!N318&gt;0, (-(Calculs!N318+2*Calculs!L318)+SQRT((Calculs!N318+2*Calculs!L318)*(Calculs!N318+2*Calculs!L318)+8*Calculs!N318*(M71)))/(2*Calculs!N318), ((M71)/Calculs!L318))</f>
        <v>0.89743589743589747</v>
      </c>
      <c r="R71" s="2161">
        <f t="shared" si="12"/>
        <v>0.89743589743589736</v>
      </c>
      <c r="S71" s="2162">
        <f>Q71-Paramétrage!D$29</f>
        <v>-2.1025641025641026</v>
      </c>
      <c r="T71" s="2163">
        <f>IF(Q71&lt;Paramétrage!D$29, Q71, Paramétrage!D$29)</f>
        <v>0.89743589743589747</v>
      </c>
      <c r="U71" s="2164">
        <f>IF(Q71&lt;Paramétrage!D$29, Paramétrage!H$19+S71*(365/12), Paramétrage!H$19+S71*(365/12))</f>
        <v>41855.047008547008</v>
      </c>
      <c r="V71" s="2165">
        <f>IF(Q71&lt;Paramétrage!D$29, Paramétrage!H$19+T71*(365/12), Paramétrage!H$19+Q71*(365/12))</f>
        <v>41946.297008547008</v>
      </c>
      <c r="W71" s="2051"/>
      <c r="X71" s="2161">
        <f t="shared" si="13"/>
        <v>0.89743589743589747</v>
      </c>
      <c r="Y71" s="2166">
        <f t="shared" si="14"/>
        <v>0.89743589743589736</v>
      </c>
      <c r="Z71" s="2162">
        <f t="shared" si="15"/>
        <v>-2.1025641025641026</v>
      </c>
      <c r="AA71" s="2167">
        <f t="shared" si="16"/>
        <v>0.89743589743589747</v>
      </c>
      <c r="AB71" s="2164">
        <f>IF(ISERROR(Q71),"", IF(Q71=0, "", IF(Q71&gt;'Calculs Péremption conso'!$CB8, 'Calculs Péremption conso'!$BX8-Paramétrage!$D$29*(365/12), U71)))</f>
        <v>41855.047008547008</v>
      </c>
      <c r="AC71" s="2165">
        <f>IF(ISERROR(Q71), AW71, IF(Q71=0, "", IF(Q71&gt;'Calculs Péremption conso'!$CB8, IF(Q71&lt;'Saisie données stocks'!$N$14, CONCATENATE('TRAD-Calculs dispo Données FA'!$B$88, " - ", 'Calculs Péremption conso'!$BY8, "/", 'Calculs Péremption conso'!$BZ8, "/", 'Calculs Péremption conso'!$CA8), 'Calculs Péremption conso'!CC8), V71)))</f>
        <v>41946.297008547008</v>
      </c>
      <c r="AD71" s="2051"/>
      <c r="AE71" s="2161">
        <f>(Calculs!N263)/Calculs!L318</f>
        <v>0.89743589743589747</v>
      </c>
      <c r="AF71" s="2161">
        <f t="shared" si="17"/>
        <v>0</v>
      </c>
      <c r="AG71" s="2162">
        <f>AE71-Paramétrage!D$29</f>
        <v>-2.1025641025641026</v>
      </c>
      <c r="AH71" s="2163">
        <f>IF(AE71&lt;Paramétrage!D$29, AE71, Paramétrage!D$29)</f>
        <v>0.89743589743589747</v>
      </c>
      <c r="AI71" s="2164">
        <f>Paramétrage!H$19+AG71*(365/12)</f>
        <v>41855.047008547008</v>
      </c>
      <c r="AJ71" s="2165">
        <f>IF(AE71&lt;Paramétrage!D$29, Paramétrage!H$19+AH71*(365/12), Paramétrage!H$19+AE71*(365/12))</f>
        <v>41946.297008547008</v>
      </c>
      <c r="AK71" s="2051"/>
      <c r="AL71" s="2161">
        <f>IF(ISERROR(AE71),"", IF(AE71=0, "", IF(AE71&gt;'Calculs Péremption conso'!$CB8, 'Calculs Péremption conso'!$CB8, AE71)))</f>
        <v>0.89743589743589747</v>
      </c>
      <c r="AM71" s="2166" t="str">
        <f t="shared" si="18"/>
        <v/>
      </c>
      <c r="AN71" s="2162">
        <f>IF(ISERROR(AE71),"", IF(AE71=0, "", IF(AE71&gt;'Calculs Péremption conso'!$CB8, 'Calculs Péremption conso'!$CB8-Paramétrage!$D$29, AG71)))</f>
        <v>-2.1025641025641026</v>
      </c>
      <c r="AO71" s="2167">
        <f>IF(ISERROR(AE71),"", IF(AE71=0, "", IF(AE71&gt;'Calculs Péremption conso'!$CB8, Paramétrage!$D$29, AH71)))</f>
        <v>0.89743589743589747</v>
      </c>
      <c r="AP71" s="2164">
        <f>IF(ISERROR(AE71),"", IF(AE71=0, "", IF(AE71&gt;'Calculs Péremption conso'!$CB8, 'Calculs Péremption conso'!$BX8-Paramétrage!$D$29*(365/12), AI71)))</f>
        <v>41855.047008547008</v>
      </c>
      <c r="AQ71" s="2165">
        <f>IF(ISERROR(AE71),"", IF(AE71=0, "", IF(AE71&gt;'Calculs Péremption conso'!$CB8, CONCATENATE('TRAD-Calculs dispo Données FA'!$B$88, " - ", 'Calculs Péremption conso'!$BY8, "/", 'Calculs Péremption conso'!$BZ8, "/", 'Calculs Péremption conso'!$CA8), AJ71)))</f>
        <v>41946.297008547008</v>
      </c>
      <c r="AR71" s="2051"/>
      <c r="AS71" s="2061">
        <f>Calculs!$N263</f>
        <v>490</v>
      </c>
      <c r="AT71" s="2062">
        <f>Calculs!L318</f>
        <v>546</v>
      </c>
      <c r="AU71" s="2068">
        <f>Calculs!$N318</f>
        <v>0</v>
      </c>
      <c r="AV71" s="2070" t="str">
        <f>IF(AND(AU71=0, AS71=0, AT71=0), 'TRAD-Calculs dispo Données FA'!$B$82, "")</f>
        <v/>
      </c>
      <c r="AW71" s="2062" t="str">
        <f>IF(AND(AU71=0, AS71&gt;0, AT71=0), CONCATENATE(AS71, 'TRAD-Calculs dispo Données FA'!$B$80," =0"), "")</f>
        <v/>
      </c>
      <c r="AX71" s="2063" t="str">
        <f>IF(AND(AS71=0, OR(AT71&gt;=1, AU71&gt;=1)), 'TRAD-Calculs dispo Données FA'!$B$81, "")</f>
        <v/>
      </c>
      <c r="AY71" s="2051"/>
      <c r="AZ71" s="2051"/>
      <c r="BA71" s="2051"/>
      <c r="BB71" s="2051"/>
      <c r="BC71" s="2051"/>
      <c r="BD71" s="2051"/>
      <c r="BE71" s="2051"/>
      <c r="BF71" s="2051"/>
      <c r="BG71" s="2051"/>
      <c r="BH71" s="2051"/>
      <c r="BI71" s="2051"/>
      <c r="BJ71" s="2051"/>
      <c r="BK71" s="2051"/>
      <c r="BL71" s="2051"/>
      <c r="BM71" s="2051"/>
      <c r="BN71" s="2051"/>
      <c r="BO71" s="2051"/>
      <c r="BP71" s="2051"/>
      <c r="BQ71" s="2051"/>
      <c r="BR71" s="2051"/>
      <c r="BS71" s="2051"/>
      <c r="BT71" s="2051"/>
    </row>
    <row r="72" spans="2:72" s="358" customFormat="1" ht="25.5" x14ac:dyDescent="0.2">
      <c r="C72" s="374"/>
      <c r="D72" s="375"/>
      <c r="E72" s="376" t="str">
        <f>'Saisie données stocks'!F21</f>
        <v>AZT+3TC+ABC</v>
      </c>
      <c r="F72" s="377" t="str">
        <f>'Saisie données stocks'!G21</f>
        <v>Cp</v>
      </c>
      <c r="G72" s="377" t="str">
        <f>'Saisie données stocks'!H21</f>
        <v>300/150/300 mg</v>
      </c>
      <c r="H72" s="378" t="str">
        <f>CONCATENATE(E72, " - ", G72, " - ", 'TRAD-Calculs dispo Données FA'!$B$79,"/", K72)</f>
        <v>AZT+3TC+ABC - 300/150/300 mg - B/60</v>
      </c>
      <c r="I72" s="380">
        <f>Calculs!K104</f>
        <v>2</v>
      </c>
      <c r="J72" s="380">
        <f t="shared" si="10"/>
        <v>60</v>
      </c>
      <c r="K72" s="114">
        <f>Calculs!J104</f>
        <v>60</v>
      </c>
      <c r="L72" s="381">
        <f t="shared" si="11"/>
        <v>1</v>
      </c>
      <c r="M72" s="1820">
        <f>Calculs!N264</f>
        <v>0</v>
      </c>
      <c r="N72" s="1820">
        <f>Calculs!$L$319</f>
        <v>27</v>
      </c>
      <c r="O72" s="1820">
        <f>Calculs!$N$319</f>
        <v>0</v>
      </c>
      <c r="P72"/>
      <c r="Q72" s="2161">
        <f>IF(Calculs!N319&gt;0, (-(Calculs!N319+2*Calculs!L319)+SQRT((Calculs!N319+2*Calculs!L319)*(Calculs!N319+2*Calculs!L319)+8*Calculs!N319*(M72)))/(2*Calculs!N319), ((M72)/Calculs!L319))</f>
        <v>0</v>
      </c>
      <c r="R72" s="2161">
        <f t="shared" si="12"/>
        <v>0</v>
      </c>
      <c r="S72" s="2162">
        <f>Q72-Paramétrage!D$29</f>
        <v>-3</v>
      </c>
      <c r="T72" s="2163">
        <f>IF(Q72&lt;Paramétrage!D$29, Q72, Paramétrage!D$29)</f>
        <v>0</v>
      </c>
      <c r="U72" s="2164">
        <f>IF(Q72&lt;Paramétrage!D$29, Paramétrage!H$19+S72*(365/12), Paramétrage!H$19+S72*(365/12))</f>
        <v>41827.75</v>
      </c>
      <c r="V72" s="2165">
        <f>IF(Q72&lt;Paramétrage!D$29, Paramétrage!H$19+T72*(365/12), Paramétrage!H$19+Q72*(365/12))</f>
        <v>41919</v>
      </c>
      <c r="W72" s="2051"/>
      <c r="X72" s="2161" t="str">
        <f t="shared" si="13"/>
        <v/>
      </c>
      <c r="Y72" s="2166" t="str">
        <f t="shared" si="14"/>
        <v/>
      </c>
      <c r="Z72" s="2162" t="str">
        <f t="shared" si="15"/>
        <v/>
      </c>
      <c r="AA72" s="2167" t="str">
        <f t="shared" si="16"/>
        <v/>
      </c>
      <c r="AB72" s="2164" t="str">
        <f>IF(ISERROR(Q72),"", IF(Q72=0, "", IF(Q72&gt;'Calculs Péremption conso'!$CB9, 'Calculs Péremption conso'!$BX9-Paramétrage!$D$29*(365/12), U72)))</f>
        <v/>
      </c>
      <c r="AC72" s="2165" t="str">
        <f>IF(ISERROR(Q72), AW72, IF(Q72=0, "", IF(Q72&gt;'Calculs Péremption conso'!$CB9, IF(Q72&lt;'Saisie données stocks'!$N$14, CONCATENATE('TRAD-Calculs dispo Données FA'!$B$88, " - ", 'Calculs Péremption conso'!$BY9, "/", 'Calculs Péremption conso'!$BZ9, "/", 'Calculs Péremption conso'!$CA9), 'Calculs Péremption conso'!CC9), V72)))</f>
        <v/>
      </c>
      <c r="AD72" s="2051"/>
      <c r="AE72" s="2161">
        <f>(Calculs!N264)/Calculs!L319</f>
        <v>0</v>
      </c>
      <c r="AF72" s="2161">
        <f t="shared" si="17"/>
        <v>0</v>
      </c>
      <c r="AG72" s="2162">
        <f>AE72-Paramétrage!D$29</f>
        <v>-3</v>
      </c>
      <c r="AH72" s="2163">
        <f>IF(AE72&lt;Paramétrage!D$29, AE72, Paramétrage!D$29)</f>
        <v>0</v>
      </c>
      <c r="AI72" s="2164">
        <f>Paramétrage!H$19+AG72*(365/12)</f>
        <v>41827.75</v>
      </c>
      <c r="AJ72" s="2165">
        <f>IF(AE72&lt;Paramétrage!D$29, Paramétrage!H$19+AH72*(365/12), Paramétrage!H$19+AE72*(365/12))</f>
        <v>41919</v>
      </c>
      <c r="AK72" s="2051"/>
      <c r="AL72" s="2161" t="str">
        <f>IF(ISERROR(AE72),"", IF(AE72=0, "", IF(AE72&gt;'Calculs Péremption conso'!$CB9, 'Calculs Péremption conso'!$CB9, AE72)))</f>
        <v/>
      </c>
      <c r="AM72" s="2166" t="str">
        <f t="shared" si="18"/>
        <v/>
      </c>
      <c r="AN72" s="2162" t="str">
        <f>IF(ISERROR(AE72),"", IF(AE72=0, "", IF(AE72&gt;'Calculs Péremption conso'!$CB9, 'Calculs Péremption conso'!$CB9-Paramétrage!$D$29, AG72)))</f>
        <v/>
      </c>
      <c r="AO72" s="2167" t="str">
        <f>IF(ISERROR(AE72),"", IF(AE72=0, "", IF(AE72&gt;'Calculs Péremption conso'!$CB9, Paramétrage!$D$29, AH72)))</f>
        <v/>
      </c>
      <c r="AP72" s="2164" t="str">
        <f>IF(ISERROR(AE72),"", IF(AE72=0, "", IF(AE72&gt;'Calculs Péremption conso'!$CB9, 'Calculs Péremption conso'!$BX9-Paramétrage!$D$29*(365/12), AI72)))</f>
        <v/>
      </c>
      <c r="AQ72" s="2165" t="str">
        <f>IF(ISERROR(AE72),"", IF(AE72=0, "", IF(AE72&gt;'Calculs Péremption conso'!$CB9, CONCATENATE('TRAD-Calculs dispo Données FA'!$B$88, " - ", 'Calculs Péremption conso'!$BY9, "/", 'Calculs Péremption conso'!$BZ9, "/", 'Calculs Péremption conso'!$CA9), AJ72)))</f>
        <v/>
      </c>
      <c r="AR72" s="2051"/>
      <c r="AS72" s="2061">
        <f>Calculs!$N264</f>
        <v>0</v>
      </c>
      <c r="AT72" s="2062">
        <f>Calculs!L319</f>
        <v>27</v>
      </c>
      <c r="AU72" s="2068">
        <f>Calculs!$N319</f>
        <v>0</v>
      </c>
      <c r="AV72" s="2070" t="str">
        <f>IF(AND(AU72=0, AS72=0, AT72=0), 'TRAD-Calculs dispo Données FA'!$B$82, "")</f>
        <v/>
      </c>
      <c r="AW72" s="2062" t="str">
        <f>IF(AND(AU72=0, AS72&gt;0, AT72=0), CONCATENATE(AS72, 'TRAD-Calculs dispo Données FA'!$B$80," =0"), "")</f>
        <v/>
      </c>
      <c r="AX72" s="2063" t="str">
        <f>IF(AND(AS72=0, OR(AT72&gt;=1, AU72&gt;=1)), 'TRAD-Calculs dispo Données FA'!$B$81, "")</f>
        <v>RUPTURE</v>
      </c>
      <c r="AY72" s="2051"/>
      <c r="AZ72" s="2051"/>
      <c r="BA72" s="2051"/>
      <c r="BB72" s="2051"/>
      <c r="BC72" s="2051"/>
      <c r="BD72" s="2051"/>
      <c r="BE72" s="2051"/>
      <c r="BF72" s="2051"/>
      <c r="BG72" s="2051"/>
      <c r="BH72" s="2051"/>
      <c r="BI72" s="2051"/>
      <c r="BJ72" s="2051"/>
      <c r="BK72" s="2051"/>
      <c r="BL72" s="2051"/>
      <c r="BM72" s="2051"/>
      <c r="BN72" s="2051"/>
      <c r="BO72" s="2051"/>
      <c r="BP72" s="2051"/>
      <c r="BQ72" s="2051"/>
      <c r="BR72" s="2051"/>
      <c r="BS72" s="2051"/>
      <c r="BT72" s="2051"/>
    </row>
    <row r="73" spans="2:72" s="358" customFormat="1" ht="25.5" x14ac:dyDescent="0.2">
      <c r="C73" s="374"/>
      <c r="D73" s="375"/>
      <c r="E73" s="376" t="str">
        <f>'Saisie données stocks'!F22</f>
        <v>AZT+3TC</v>
      </c>
      <c r="F73" s="377" t="str">
        <f>'Saisie données stocks'!G22</f>
        <v>Cp</v>
      </c>
      <c r="G73" s="377" t="str">
        <f>'Saisie données stocks'!H22</f>
        <v>300/150 mg</v>
      </c>
      <c r="H73" s="378" t="str">
        <f>CONCATENATE(E73, " - ", G73, " - ", 'TRAD-Calculs dispo Données FA'!$B$79,"/", K73)</f>
        <v>AZT+3TC - 300/150 mg - B/60</v>
      </c>
      <c r="I73" s="380">
        <f>Calculs!K105</f>
        <v>2</v>
      </c>
      <c r="J73" s="380">
        <f t="shared" si="10"/>
        <v>60</v>
      </c>
      <c r="K73" s="114">
        <f>Calculs!J105</f>
        <v>60</v>
      </c>
      <c r="L73" s="381">
        <f t="shared" si="11"/>
        <v>1</v>
      </c>
      <c r="M73" s="1820">
        <f>Calculs!N265</f>
        <v>1052</v>
      </c>
      <c r="N73" s="1820">
        <f>Calculs!$L$320</f>
        <v>1267</v>
      </c>
      <c r="O73" s="1820">
        <f>Calculs!$N$320</f>
        <v>0</v>
      </c>
      <c r="P73"/>
      <c r="Q73" s="2161">
        <f>IF(Calculs!N320&gt;0, (-(Calculs!N320+2*Calculs!L320)+SQRT((Calculs!N320+2*Calculs!L320)*(Calculs!N320+2*Calculs!L320)+8*Calculs!N320*(M73)))/(2*Calculs!N320), ((M73)/Calculs!L320))</f>
        <v>0.83030781373322815</v>
      </c>
      <c r="R73" s="2161">
        <f t="shared" si="12"/>
        <v>0.83030781373322782</v>
      </c>
      <c r="S73" s="2162">
        <f>Q73-Paramétrage!D$29</f>
        <v>-2.1696921862667717</v>
      </c>
      <c r="T73" s="2163">
        <f>IF(Q73&lt;Paramétrage!D$29, Q73, Paramétrage!D$29)</f>
        <v>0.83030781373322815</v>
      </c>
      <c r="U73" s="2164">
        <f>IF(Q73&lt;Paramétrage!D$29, Paramétrage!H$19+S73*(365/12), Paramétrage!H$19+S73*(365/12))</f>
        <v>41853.005196001053</v>
      </c>
      <c r="V73" s="2165">
        <f>IF(Q73&lt;Paramétrage!D$29, Paramétrage!H$19+T73*(365/12), Paramétrage!H$19+Q73*(365/12))</f>
        <v>41944.255196001053</v>
      </c>
      <c r="W73" s="2051"/>
      <c r="X73" s="2161">
        <f t="shared" si="13"/>
        <v>0.83030781373322815</v>
      </c>
      <c r="Y73" s="2166">
        <f t="shared" si="14"/>
        <v>0.83030781373322782</v>
      </c>
      <c r="Z73" s="2162">
        <f t="shared" si="15"/>
        <v>-2.1696921862667717</v>
      </c>
      <c r="AA73" s="2167">
        <f t="shared" si="16"/>
        <v>0.83030781373322815</v>
      </c>
      <c r="AB73" s="2164">
        <f>IF(ISERROR(Q73),"", IF(Q73=0, "", IF(Q73&gt;'Calculs Péremption conso'!$CB10, 'Calculs Péremption conso'!$BX10-Paramétrage!$D$29*(365/12), U73)))</f>
        <v>41853.005196001053</v>
      </c>
      <c r="AC73" s="2165">
        <f>IF(ISERROR(Q73), AW73, IF(Q73=0, "", IF(Q73&gt;'Calculs Péremption conso'!$CB10, IF(Q73&lt;'Saisie données stocks'!$N$14, CONCATENATE('TRAD-Calculs dispo Données FA'!$B$88, " - ", 'Calculs Péremption conso'!$BY10, "/", 'Calculs Péremption conso'!$BZ10, "/", 'Calculs Péremption conso'!$CA10), 'Calculs Péremption conso'!CC10), V73)))</f>
        <v>41944.255196001053</v>
      </c>
      <c r="AD73" s="2051"/>
      <c r="AE73" s="2161">
        <f>(Calculs!N265)/Calculs!L320</f>
        <v>0.83030781373322815</v>
      </c>
      <c r="AF73" s="2161">
        <f t="shared" si="17"/>
        <v>0</v>
      </c>
      <c r="AG73" s="2162">
        <f>AE73-Paramétrage!D$29</f>
        <v>-2.1696921862667717</v>
      </c>
      <c r="AH73" s="2163">
        <f>IF(AE73&lt;Paramétrage!D$29, AE73, Paramétrage!D$29)</f>
        <v>0.83030781373322815</v>
      </c>
      <c r="AI73" s="2164">
        <f>Paramétrage!H$19+AG73*(365/12)</f>
        <v>41853.005196001053</v>
      </c>
      <c r="AJ73" s="2165">
        <f>IF(AE73&lt;Paramétrage!D$29, Paramétrage!H$19+AH73*(365/12), Paramétrage!H$19+AE73*(365/12))</f>
        <v>41944.255196001053</v>
      </c>
      <c r="AK73" s="2051"/>
      <c r="AL73" s="2161">
        <f>IF(ISERROR(AE73),"", IF(AE73=0, "", IF(AE73&gt;'Calculs Péremption conso'!$CB10, 'Calculs Péremption conso'!$CB10, AE73)))</f>
        <v>0.83030781373322815</v>
      </c>
      <c r="AM73" s="2166" t="str">
        <f t="shared" si="18"/>
        <v/>
      </c>
      <c r="AN73" s="2162">
        <f>IF(ISERROR(AE73),"", IF(AE73=0, "", IF(AE73&gt;'Calculs Péremption conso'!$CB10, 'Calculs Péremption conso'!$CB10-Paramétrage!$D$29, AG73)))</f>
        <v>-2.1696921862667717</v>
      </c>
      <c r="AO73" s="2167">
        <f>IF(ISERROR(AE73),"", IF(AE73=0, "", IF(AE73&gt;'Calculs Péremption conso'!$CB10, Paramétrage!$D$29, AH73)))</f>
        <v>0.83030781373322815</v>
      </c>
      <c r="AP73" s="2164">
        <f>IF(ISERROR(AE73),"", IF(AE73=0, "", IF(AE73&gt;'Calculs Péremption conso'!$CB10, 'Calculs Péremption conso'!$BX10-Paramétrage!$D$29*(365/12), AI73)))</f>
        <v>41853.005196001053</v>
      </c>
      <c r="AQ73" s="2165">
        <f>IF(ISERROR(AE73),"", IF(AE73=0, "", IF(AE73&gt;'Calculs Péremption conso'!$CB10, CONCATENATE('TRAD-Calculs dispo Données FA'!$B$88, " - ", 'Calculs Péremption conso'!$BY10, "/", 'Calculs Péremption conso'!$BZ10, "/", 'Calculs Péremption conso'!$CA10), AJ73)))</f>
        <v>41944.255196001053</v>
      </c>
      <c r="AR73" s="2051"/>
      <c r="AS73" s="2061">
        <f>Calculs!$N265</f>
        <v>1052</v>
      </c>
      <c r="AT73" s="2062">
        <f>Calculs!L320</f>
        <v>1267</v>
      </c>
      <c r="AU73" s="2068">
        <f>Calculs!$N320</f>
        <v>0</v>
      </c>
      <c r="AV73" s="2070" t="str">
        <f>IF(AND(AU73=0, AS73=0, AT73=0), 'TRAD-Calculs dispo Données FA'!$B$82, "")</f>
        <v/>
      </c>
      <c r="AW73" s="2062" t="str">
        <f>IF(AND(AU73=0, AS73&gt;0, AT73=0), CONCATENATE(AS73, 'TRAD-Calculs dispo Données FA'!$B$80," =0"), "")</f>
        <v/>
      </c>
      <c r="AX73" s="2063" t="str">
        <f>IF(AND(AS73=0, OR(AT73&gt;=1, AU73&gt;=1)), 'TRAD-Calculs dispo Données FA'!$B$81, "")</f>
        <v/>
      </c>
      <c r="AY73" s="2051"/>
      <c r="AZ73" s="2051"/>
      <c r="BA73" s="2051"/>
      <c r="BB73" s="2051"/>
      <c r="BC73" s="2051"/>
      <c r="BD73" s="2051"/>
      <c r="BE73" s="2051"/>
      <c r="BF73" s="2051"/>
      <c r="BG73" s="2051"/>
      <c r="BH73" s="2051"/>
      <c r="BI73" s="2051"/>
      <c r="BJ73" s="2051"/>
      <c r="BK73" s="2051"/>
      <c r="BL73" s="2051"/>
      <c r="BM73" s="2051"/>
      <c r="BN73" s="2051"/>
      <c r="BO73" s="2051"/>
      <c r="BP73" s="2051"/>
      <c r="BQ73" s="2051"/>
      <c r="BR73" s="2051"/>
      <c r="BS73" s="2051"/>
      <c r="BT73" s="2051"/>
    </row>
    <row r="74" spans="2:72" s="358" customFormat="1" x14ac:dyDescent="0.2">
      <c r="C74" s="374"/>
      <c r="D74" s="375"/>
      <c r="E74" s="376" t="str">
        <f>'Saisie données stocks'!F23</f>
        <v>AZT+3TC</v>
      </c>
      <c r="F74" s="377" t="str">
        <f>'Saisie données stocks'!G23</f>
        <v>Cp</v>
      </c>
      <c r="G74" s="377" t="str">
        <f>'Saisie données stocks'!H23</f>
        <v>60/30 mg</v>
      </c>
      <c r="H74" s="378" t="str">
        <f>CONCATENATE(E74, " - ", G74, " - ", 'TRAD-Calculs dispo Données FA'!$B$79,"/", K74)</f>
        <v>AZT+3TC - 60/30 mg - B/60</v>
      </c>
      <c r="I74" s="380">
        <f>Calculs!K106</f>
        <v>2</v>
      </c>
      <c r="J74" s="380">
        <f t="shared" si="10"/>
        <v>60</v>
      </c>
      <c r="K74" s="114">
        <f>Calculs!J106</f>
        <v>60</v>
      </c>
      <c r="L74" s="381">
        <f t="shared" si="11"/>
        <v>1</v>
      </c>
      <c r="M74" s="1820">
        <f>Calculs!N266</f>
        <v>160</v>
      </c>
      <c r="N74" s="1820">
        <f>Calculs!$L$321</f>
        <v>146</v>
      </c>
      <c r="O74" s="1820">
        <f>Calculs!$N$321</f>
        <v>0</v>
      </c>
      <c r="P74"/>
      <c r="Q74" s="2161">
        <f>IF(Calculs!N321&gt;0, (-(Calculs!N321+2*Calculs!L321)+SQRT((Calculs!N321+2*Calculs!L321)*(Calculs!N321+2*Calculs!L321)+8*Calculs!N321*(M74)))/(2*Calculs!N321), ((M74)/Calculs!L321))</f>
        <v>1.095890410958904</v>
      </c>
      <c r="R74" s="2161">
        <f t="shared" si="12"/>
        <v>1.095890410958904</v>
      </c>
      <c r="S74" s="2162">
        <f>Q74-Paramétrage!D$29</f>
        <v>-1.904109589041096</v>
      </c>
      <c r="T74" s="2163">
        <f>IF(Q74&lt;Paramétrage!D$29, Q74, Paramétrage!D$29)</f>
        <v>1.095890410958904</v>
      </c>
      <c r="U74" s="2164">
        <f>IF(Q74&lt;Paramétrage!D$29, Paramétrage!H$19+S74*(365/12), Paramétrage!H$19+S74*(365/12))</f>
        <v>41861.083333333336</v>
      </c>
      <c r="V74" s="2165">
        <f>IF(Q74&lt;Paramétrage!D$29, Paramétrage!H$19+T74*(365/12), Paramétrage!H$19+Q74*(365/12))</f>
        <v>41952.333333333336</v>
      </c>
      <c r="W74" s="2051"/>
      <c r="X74" s="2161">
        <f t="shared" si="13"/>
        <v>1.095890410958904</v>
      </c>
      <c r="Y74" s="2166">
        <f t="shared" si="14"/>
        <v>1.095890410958904</v>
      </c>
      <c r="Z74" s="2162">
        <f t="shared" si="15"/>
        <v>-1.904109589041096</v>
      </c>
      <c r="AA74" s="2167">
        <f t="shared" si="16"/>
        <v>1.095890410958904</v>
      </c>
      <c r="AB74" s="2164">
        <f>IF(ISERROR(Q74),"", IF(Q74=0, "", IF(Q74&gt;'Calculs Péremption conso'!$CB11, 'Calculs Péremption conso'!$BX11-Paramétrage!$D$29*(365/12), U74)))</f>
        <v>41861.083333333336</v>
      </c>
      <c r="AC74" s="2165">
        <f>IF(ISERROR(Q74), AW74, IF(Q74=0, "", IF(Q74&gt;'Calculs Péremption conso'!$CB11, IF(Q74&lt;'Saisie données stocks'!$N$14, CONCATENATE('TRAD-Calculs dispo Données FA'!$B$88, " - ", 'Calculs Péremption conso'!$BY11, "/", 'Calculs Péremption conso'!$BZ11, "/", 'Calculs Péremption conso'!$CA11), 'Calculs Péremption conso'!CC11), V74)))</f>
        <v>41952.333333333336</v>
      </c>
      <c r="AD74" s="2051"/>
      <c r="AE74" s="2161">
        <f>(Calculs!N266)/Calculs!L321</f>
        <v>1.095890410958904</v>
      </c>
      <c r="AF74" s="2161">
        <f t="shared" si="17"/>
        <v>0</v>
      </c>
      <c r="AG74" s="2162">
        <f>AE74-Paramétrage!D$29</f>
        <v>-1.904109589041096</v>
      </c>
      <c r="AH74" s="2163">
        <f>IF(AE74&lt;Paramétrage!D$29, AE74, Paramétrage!D$29)</f>
        <v>1.095890410958904</v>
      </c>
      <c r="AI74" s="2164">
        <f>Paramétrage!H$19+AG74*(365/12)</f>
        <v>41861.083333333336</v>
      </c>
      <c r="AJ74" s="2165">
        <f>IF(AE74&lt;Paramétrage!D$29, Paramétrage!H$19+AH74*(365/12), Paramétrage!H$19+AE74*(365/12))</f>
        <v>41952.333333333336</v>
      </c>
      <c r="AK74" s="2051"/>
      <c r="AL74" s="2161">
        <f>IF(ISERROR(AE74),"", IF(AE74=0, "", IF(AE74&gt;'Calculs Péremption conso'!$CB11, 'Calculs Péremption conso'!$CB11, AE74)))</f>
        <v>1.095890410958904</v>
      </c>
      <c r="AM74" s="2166" t="str">
        <f t="shared" si="18"/>
        <v/>
      </c>
      <c r="AN74" s="2162">
        <f>IF(ISERROR(AE74),"", IF(AE74=0, "", IF(AE74&gt;'Calculs Péremption conso'!$CB11, 'Calculs Péremption conso'!$CB11-Paramétrage!$D$29, AG74)))</f>
        <v>-1.904109589041096</v>
      </c>
      <c r="AO74" s="2167">
        <f>IF(ISERROR(AE74),"", IF(AE74=0, "", IF(AE74&gt;'Calculs Péremption conso'!$CB11, Paramétrage!$D$29, AH74)))</f>
        <v>1.095890410958904</v>
      </c>
      <c r="AP74" s="2164">
        <f>IF(ISERROR(AE74),"", IF(AE74=0, "", IF(AE74&gt;'Calculs Péremption conso'!$CB11, 'Calculs Péremption conso'!$BX11-Paramétrage!$D$29*(365/12), AI74)))</f>
        <v>41861.083333333336</v>
      </c>
      <c r="AQ74" s="2165">
        <f>IF(ISERROR(AE74),"", IF(AE74=0, "", IF(AE74&gt;'Calculs Péremption conso'!$CB11, CONCATENATE('TRAD-Calculs dispo Données FA'!$B$88, " - ", 'Calculs Péremption conso'!$BY11, "/", 'Calculs Péremption conso'!$BZ11, "/", 'Calculs Péremption conso'!$CA11), AJ74)))</f>
        <v>41952.333333333336</v>
      </c>
      <c r="AR74" s="2051"/>
      <c r="AS74" s="2061">
        <f>Calculs!$N266</f>
        <v>160</v>
      </c>
      <c r="AT74" s="2062">
        <f>Calculs!L321</f>
        <v>146</v>
      </c>
      <c r="AU74" s="2068">
        <f>Calculs!$N321</f>
        <v>0</v>
      </c>
      <c r="AV74" s="2070" t="str">
        <f>IF(AND(AU74=0, AS74=0, AT74=0), 'TRAD-Calculs dispo Données FA'!$B$82, "")</f>
        <v/>
      </c>
      <c r="AW74" s="2062" t="str">
        <f>IF(AND(AU74=0, AS74&gt;0, AT74=0), CONCATENATE(AS74, 'TRAD-Calculs dispo Données FA'!$B$80," =0"), "")</f>
        <v/>
      </c>
      <c r="AX74" s="2063" t="str">
        <f>IF(AND(AS74=0, OR(AT74&gt;=1, AU74&gt;=1)), 'TRAD-Calculs dispo Données FA'!$B$81, "")</f>
        <v/>
      </c>
      <c r="AY74" s="2051"/>
      <c r="AZ74" s="2051"/>
      <c r="BA74" s="2051"/>
      <c r="BB74" s="2051"/>
      <c r="BC74" s="2051"/>
      <c r="BD74" s="2051"/>
      <c r="BE74" s="2051"/>
      <c r="BF74" s="2051"/>
      <c r="BG74" s="2051"/>
      <c r="BH74" s="2051"/>
      <c r="BI74" s="2051"/>
      <c r="BJ74" s="2051"/>
      <c r="BK74" s="2051"/>
      <c r="BL74" s="2051"/>
      <c r="BM74" s="2051"/>
      <c r="BN74" s="2051"/>
      <c r="BO74" s="2051"/>
      <c r="BP74" s="2051"/>
      <c r="BQ74" s="2051"/>
      <c r="BR74" s="2051"/>
      <c r="BS74" s="2051"/>
      <c r="BT74" s="2051"/>
    </row>
    <row r="75" spans="2:72" s="358" customFormat="1" ht="25.5" x14ac:dyDescent="0.2">
      <c r="C75" s="374"/>
      <c r="D75" s="375"/>
      <c r="E75" s="376" t="str">
        <f>'Saisie données stocks'!F24</f>
        <v>3TC+ABC</v>
      </c>
      <c r="F75" s="377" t="str">
        <f>'Saisie données stocks'!G24</f>
        <v>Cp</v>
      </c>
      <c r="G75" s="377" t="str">
        <f>'Saisie données stocks'!H24</f>
        <v>300/600 mg</v>
      </c>
      <c r="H75" s="378" t="str">
        <f>CONCATENATE(E75, " - ", G75, " - ", 'TRAD-Calculs dispo Données FA'!$B$79,"/", K75)</f>
        <v>3TC+ABC - 300/600 mg - B/30</v>
      </c>
      <c r="I75" s="380">
        <f>Calculs!K107</f>
        <v>1</v>
      </c>
      <c r="J75" s="380">
        <f t="shared" si="10"/>
        <v>30</v>
      </c>
      <c r="K75" s="114">
        <f>Calculs!J107</f>
        <v>30</v>
      </c>
      <c r="L75" s="381">
        <f t="shared" si="11"/>
        <v>1</v>
      </c>
      <c r="M75" s="1820">
        <f>Calculs!N267</f>
        <v>40</v>
      </c>
      <c r="N75" s="1820">
        <f>Calculs!$L$322</f>
        <v>56</v>
      </c>
      <c r="O75" s="1820">
        <f>Calculs!$N$322</f>
        <v>0</v>
      </c>
      <c r="P75"/>
      <c r="Q75" s="2161">
        <f>IF(Calculs!N322&gt;0, (-(Calculs!N322+2*Calculs!L322)+SQRT((Calculs!N322+2*Calculs!L322)*(Calculs!N322+2*Calculs!L322)+8*Calculs!N322*(M75)))/(2*Calculs!N322), ((M75)/Calculs!L322))</f>
        <v>0.7142857142857143</v>
      </c>
      <c r="R75" s="2161">
        <f t="shared" si="12"/>
        <v>0.71428571428571441</v>
      </c>
      <c r="S75" s="2162">
        <f>Q75-Paramétrage!D$29</f>
        <v>-2.2857142857142856</v>
      </c>
      <c r="T75" s="2163">
        <f>IF(Q75&lt;Paramétrage!D$29, Q75, Paramétrage!D$29)</f>
        <v>0.7142857142857143</v>
      </c>
      <c r="U75" s="2164">
        <f>IF(Q75&lt;Paramétrage!D$29, Paramétrage!H$19+S75*(365/12), Paramétrage!H$19+S75*(365/12))</f>
        <v>41849.476190476191</v>
      </c>
      <c r="V75" s="2165">
        <f>IF(Q75&lt;Paramétrage!D$29, Paramétrage!H$19+T75*(365/12), Paramétrage!H$19+Q75*(365/12))</f>
        <v>41940.726190476191</v>
      </c>
      <c r="W75" s="2051"/>
      <c r="X75" s="2161">
        <f t="shared" si="13"/>
        <v>0.7142857142857143</v>
      </c>
      <c r="Y75" s="2166">
        <f t="shared" si="14"/>
        <v>0.71428571428571441</v>
      </c>
      <c r="Z75" s="2162">
        <f t="shared" si="15"/>
        <v>-2.2857142857142856</v>
      </c>
      <c r="AA75" s="2167">
        <f t="shared" si="16"/>
        <v>0.7142857142857143</v>
      </c>
      <c r="AB75" s="2164">
        <f>IF(ISERROR(Q75),"", IF(Q75=0, "", IF(Q75&gt;'Calculs Péremption conso'!$CB12, 'Calculs Péremption conso'!$BX12-Paramétrage!$D$29*(365/12), U75)))</f>
        <v>41849.476190476191</v>
      </c>
      <c r="AC75" s="2165">
        <f>IF(ISERROR(Q75), AW75, IF(Q75=0, "", IF(Q75&gt;'Calculs Péremption conso'!$CB12, IF(Q75&lt;'Saisie données stocks'!$N$14, CONCATENATE('TRAD-Calculs dispo Données FA'!$B$88, " - ", 'Calculs Péremption conso'!$BY12, "/", 'Calculs Péremption conso'!$BZ12, "/", 'Calculs Péremption conso'!$CA12), 'Calculs Péremption conso'!CC12), V75)))</f>
        <v>41940.726190476191</v>
      </c>
      <c r="AD75" s="2051"/>
      <c r="AE75" s="2161">
        <f>(Calculs!N267)/Calculs!L322</f>
        <v>0.7142857142857143</v>
      </c>
      <c r="AF75" s="2161">
        <f t="shared" si="17"/>
        <v>0</v>
      </c>
      <c r="AG75" s="2162">
        <f>AE75-Paramétrage!D$29</f>
        <v>-2.2857142857142856</v>
      </c>
      <c r="AH75" s="2163">
        <f>IF(AE75&lt;Paramétrage!D$29, AE75, Paramétrage!D$29)</f>
        <v>0.7142857142857143</v>
      </c>
      <c r="AI75" s="2164">
        <f>Paramétrage!H$19+AG75*(365/12)</f>
        <v>41849.476190476191</v>
      </c>
      <c r="AJ75" s="2165">
        <f>IF(AE75&lt;Paramétrage!D$29, Paramétrage!H$19+AH75*(365/12), Paramétrage!H$19+AE75*(365/12))</f>
        <v>41940.726190476191</v>
      </c>
      <c r="AK75" s="2051"/>
      <c r="AL75" s="2161">
        <f>IF(ISERROR(AE75),"", IF(AE75=0, "", IF(AE75&gt;'Calculs Péremption conso'!$CB12, 'Calculs Péremption conso'!$CB12, AE75)))</f>
        <v>0.7142857142857143</v>
      </c>
      <c r="AM75" s="2166" t="str">
        <f t="shared" si="18"/>
        <v/>
      </c>
      <c r="AN75" s="2162">
        <f>IF(ISERROR(AE75),"", IF(AE75=0, "", IF(AE75&gt;'Calculs Péremption conso'!$CB12, 'Calculs Péremption conso'!$CB12-Paramétrage!$D$29, AG75)))</f>
        <v>-2.2857142857142856</v>
      </c>
      <c r="AO75" s="2167">
        <f>IF(ISERROR(AE75),"", IF(AE75=0, "", IF(AE75&gt;'Calculs Péremption conso'!$CB12, Paramétrage!$D$29, AH75)))</f>
        <v>0.7142857142857143</v>
      </c>
      <c r="AP75" s="2164">
        <f>IF(ISERROR(AE75),"", IF(AE75=0, "", IF(AE75&gt;'Calculs Péremption conso'!$CB12, 'Calculs Péremption conso'!$BX12-Paramétrage!$D$29*(365/12), AI75)))</f>
        <v>41849.476190476191</v>
      </c>
      <c r="AQ75" s="2165">
        <f>IF(ISERROR(AE75),"", IF(AE75=0, "", IF(AE75&gt;'Calculs Péremption conso'!$CB12, CONCATENATE('TRAD-Calculs dispo Données FA'!$B$88, " - ", 'Calculs Péremption conso'!$BY12, "/", 'Calculs Péremption conso'!$BZ12, "/", 'Calculs Péremption conso'!$CA12), AJ75)))</f>
        <v>41940.726190476191</v>
      </c>
      <c r="AR75" s="2051"/>
      <c r="AS75" s="2061">
        <f>Calculs!$N267</f>
        <v>40</v>
      </c>
      <c r="AT75" s="2062">
        <f>Calculs!L322</f>
        <v>56</v>
      </c>
      <c r="AU75" s="2068">
        <f>Calculs!$N322</f>
        <v>0</v>
      </c>
      <c r="AV75" s="2070" t="str">
        <f>IF(AND(AU75=0, AS75=0, AT75=0), 'TRAD-Calculs dispo Données FA'!$B$82, "")</f>
        <v/>
      </c>
      <c r="AW75" s="2062" t="str">
        <f>IF(AND(AU75=0, AS75&gt;0, AT75=0), CONCATENATE(AS75, 'TRAD-Calculs dispo Données FA'!$B$80," =0"), "")</f>
        <v/>
      </c>
      <c r="AX75" s="2063" t="str">
        <f>IF(AND(AS75=0, OR(AT75&gt;=1, AU75&gt;=1)), 'TRAD-Calculs dispo Données FA'!$B$81, "")</f>
        <v/>
      </c>
      <c r="AY75" s="2051"/>
      <c r="AZ75" s="2051"/>
      <c r="BA75" s="2051"/>
      <c r="BB75" s="2051"/>
      <c r="BC75" s="2051"/>
      <c r="BD75" s="2051"/>
      <c r="BE75" s="2051"/>
      <c r="BF75" s="2051"/>
      <c r="BG75" s="2051"/>
      <c r="BH75" s="2051"/>
      <c r="BI75" s="2051"/>
      <c r="BJ75" s="2051"/>
      <c r="BK75" s="2051"/>
      <c r="BL75" s="2051"/>
      <c r="BM75" s="2051"/>
      <c r="BN75" s="2051"/>
      <c r="BO75" s="2051"/>
      <c r="BP75" s="2051"/>
      <c r="BQ75" s="2051"/>
      <c r="BR75" s="2051"/>
      <c r="BS75" s="2051"/>
      <c r="BT75" s="2051"/>
    </row>
    <row r="76" spans="2:72" s="358" customFormat="1" x14ac:dyDescent="0.2">
      <c r="C76" s="374"/>
      <c r="D76" s="375"/>
      <c r="E76" s="376" t="str">
        <f>'Saisie données stocks'!F25</f>
        <v>3TC+ABC</v>
      </c>
      <c r="F76" s="377" t="str">
        <f>'Saisie données stocks'!G25</f>
        <v>Cp</v>
      </c>
      <c r="G76" s="377" t="str">
        <f>'Saisie données stocks'!H25</f>
        <v>30/60 mg</v>
      </c>
      <c r="H76" s="378" t="str">
        <f>CONCATENATE(E76, " - ", G76, " - ", 'TRAD-Calculs dispo Données FA'!$B$79,"/", K76)</f>
        <v>3TC+ABC - 30/60 mg - B/60</v>
      </c>
      <c r="I76" s="380">
        <f>Calculs!K108</f>
        <v>2</v>
      </c>
      <c r="J76" s="380">
        <f t="shared" si="10"/>
        <v>60</v>
      </c>
      <c r="K76" s="114">
        <f>Calculs!J108</f>
        <v>60</v>
      </c>
      <c r="L76" s="381">
        <f t="shared" si="11"/>
        <v>1</v>
      </c>
      <c r="M76" s="1820">
        <f>Calculs!N268</f>
        <v>0</v>
      </c>
      <c r="N76" s="1820">
        <f>Calculs!$L$323</f>
        <v>22</v>
      </c>
      <c r="O76" s="1820">
        <f>Calculs!$N$323</f>
        <v>0</v>
      </c>
      <c r="P76"/>
      <c r="Q76" s="2161">
        <f>IF(Calculs!N323&gt;0, (-(Calculs!N323+2*Calculs!L323)+SQRT((Calculs!N323+2*Calculs!L323)*(Calculs!N323+2*Calculs!L323)+8*Calculs!N323*(M76)))/(2*Calculs!N323), ((M76)/Calculs!L323))</f>
        <v>0</v>
      </c>
      <c r="R76" s="2161">
        <f t="shared" si="12"/>
        <v>0</v>
      </c>
      <c r="S76" s="2162">
        <f>Q76-Paramétrage!D$29</f>
        <v>-3</v>
      </c>
      <c r="T76" s="2163">
        <f>IF(Q76&lt;Paramétrage!D$29, Q76, Paramétrage!D$29)</f>
        <v>0</v>
      </c>
      <c r="U76" s="2164">
        <f>IF(Q76&lt;Paramétrage!D$29, Paramétrage!H$19+S76*(365/12), Paramétrage!H$19+S76*(365/12))</f>
        <v>41827.75</v>
      </c>
      <c r="V76" s="2165">
        <f>IF(Q76&lt;Paramétrage!D$29, Paramétrage!H$19+T76*(365/12), Paramétrage!H$19+Q76*(365/12))</f>
        <v>41919</v>
      </c>
      <c r="W76" s="2051"/>
      <c r="X76" s="2161" t="str">
        <f t="shared" si="13"/>
        <v/>
      </c>
      <c r="Y76" s="2166" t="str">
        <f t="shared" si="14"/>
        <v/>
      </c>
      <c r="Z76" s="2162" t="str">
        <f t="shared" si="15"/>
        <v/>
      </c>
      <c r="AA76" s="2167" t="str">
        <f t="shared" si="16"/>
        <v/>
      </c>
      <c r="AB76" s="2164" t="str">
        <f>IF(ISERROR(Q76),"", IF(Q76=0, "", IF(Q76&gt;'Calculs Péremption conso'!$CB13, 'Calculs Péremption conso'!$BX13-Paramétrage!$D$29*(365/12), U76)))</f>
        <v/>
      </c>
      <c r="AC76" s="2165" t="str">
        <f>IF(ISERROR(Q76), AW76, IF(Q76=0, "", IF(Q76&gt;'Calculs Péremption conso'!$CB13, IF(Q76&lt;'Saisie données stocks'!$N$14, CONCATENATE('TRAD-Calculs dispo Données FA'!$B$88, " - ", 'Calculs Péremption conso'!$BY13, "/", 'Calculs Péremption conso'!$BZ13, "/", 'Calculs Péremption conso'!$CA13), 'Calculs Péremption conso'!CC13), V76)))</f>
        <v/>
      </c>
      <c r="AD76" s="2051"/>
      <c r="AE76" s="2161">
        <f>(Calculs!N268)/Calculs!L323</f>
        <v>0</v>
      </c>
      <c r="AF76" s="2161">
        <f t="shared" si="17"/>
        <v>0</v>
      </c>
      <c r="AG76" s="2162">
        <f>AE76-Paramétrage!D$29</f>
        <v>-3</v>
      </c>
      <c r="AH76" s="2163">
        <f>IF(AE76&lt;Paramétrage!D$29, AE76, Paramétrage!D$29)</f>
        <v>0</v>
      </c>
      <c r="AI76" s="2164">
        <f>Paramétrage!H$19+AG76*(365/12)</f>
        <v>41827.75</v>
      </c>
      <c r="AJ76" s="2165">
        <f>IF(AE76&lt;Paramétrage!D$29, Paramétrage!H$19+AH76*(365/12), Paramétrage!H$19+AE76*(365/12))</f>
        <v>41919</v>
      </c>
      <c r="AK76" s="2051"/>
      <c r="AL76" s="2161" t="str">
        <f>IF(ISERROR(AE76),"", IF(AE76=0, "", IF(AE76&gt;'Calculs Péremption conso'!$CB13, 'Calculs Péremption conso'!$CB13, AE76)))</f>
        <v/>
      </c>
      <c r="AM76" s="2166" t="str">
        <f t="shared" si="18"/>
        <v/>
      </c>
      <c r="AN76" s="2162" t="str">
        <f>IF(ISERROR(AE76),"", IF(AE76=0, "", IF(AE76&gt;'Calculs Péremption conso'!$CB13, 'Calculs Péremption conso'!$CB13-Paramétrage!$D$29, AG76)))</f>
        <v/>
      </c>
      <c r="AO76" s="2167" t="str">
        <f>IF(ISERROR(AE76),"", IF(AE76=0, "", IF(AE76&gt;'Calculs Péremption conso'!$CB13, Paramétrage!$D$29, AH76)))</f>
        <v/>
      </c>
      <c r="AP76" s="2164" t="str">
        <f>IF(ISERROR(AE76),"", IF(AE76=0, "", IF(AE76&gt;'Calculs Péremption conso'!$CB13, 'Calculs Péremption conso'!$BX13-Paramétrage!$D$29*(365/12), AI76)))</f>
        <v/>
      </c>
      <c r="AQ76" s="2165" t="str">
        <f>IF(ISERROR(AE76),"", IF(AE76=0, "", IF(AE76&gt;'Calculs Péremption conso'!$CB13, CONCATENATE('TRAD-Calculs dispo Données FA'!$B$88, " - ", 'Calculs Péremption conso'!$BY13, "/", 'Calculs Péremption conso'!$BZ13, "/", 'Calculs Péremption conso'!$CA13), AJ76)))</f>
        <v/>
      </c>
      <c r="AR76" s="2051"/>
      <c r="AS76" s="2061">
        <f>Calculs!$N268</f>
        <v>0</v>
      </c>
      <c r="AT76" s="2062">
        <f>Calculs!L323</f>
        <v>22</v>
      </c>
      <c r="AU76" s="2068">
        <f>Calculs!$N323</f>
        <v>0</v>
      </c>
      <c r="AV76" s="2070" t="str">
        <f>IF(AND(AU76=0, AS76=0, AT76=0), 'TRAD-Calculs dispo Données FA'!$B$82, "")</f>
        <v/>
      </c>
      <c r="AW76" s="2062" t="str">
        <f>IF(AND(AU76=0, AS76&gt;0, AT76=0), CONCATENATE(AS76, 'TRAD-Calculs dispo Données FA'!$B$80," =0"), "")</f>
        <v/>
      </c>
      <c r="AX76" s="2063" t="str">
        <f>IF(AND(AS76=0, OR(AT76&gt;=1, AU76&gt;=1)), 'TRAD-Calculs dispo Données FA'!$B$81, "")</f>
        <v>RUPTURE</v>
      </c>
      <c r="AY76" s="2051"/>
      <c r="AZ76" s="2051"/>
      <c r="BA76" s="2051"/>
      <c r="BB76" s="2051"/>
      <c r="BC76" s="2051"/>
      <c r="BD76" s="2051"/>
      <c r="BE76" s="2051"/>
      <c r="BF76" s="2051"/>
      <c r="BG76" s="2051"/>
      <c r="BH76" s="2051"/>
      <c r="BI76" s="2051"/>
      <c r="BJ76" s="2051"/>
      <c r="BK76" s="2051"/>
      <c r="BL76" s="2051"/>
      <c r="BM76" s="2051"/>
      <c r="BN76" s="2051"/>
      <c r="BO76" s="2051"/>
      <c r="BP76" s="2051"/>
      <c r="BQ76" s="2051"/>
      <c r="BR76" s="2051"/>
      <c r="BS76" s="2051"/>
      <c r="BT76" s="2051"/>
    </row>
    <row r="77" spans="2:72" s="358" customFormat="1" ht="25.5" x14ac:dyDescent="0.2">
      <c r="C77" s="374"/>
      <c r="D77" s="375"/>
      <c r="E77" s="382" t="str">
        <f>'Saisie données stocks'!F26</f>
        <v>D4T+3TC+NVP</v>
      </c>
      <c r="F77" s="383" t="str">
        <f>'Saisie données stocks'!G26</f>
        <v>Cp</v>
      </c>
      <c r="G77" s="383" t="str">
        <f>'Saisie données stocks'!H26</f>
        <v>30/150/200 mg</v>
      </c>
      <c r="H77" s="384" t="str">
        <f>CONCATENATE(E77, " - ", G77, " - ", 'TRAD-Calculs dispo Données FA'!$B$79,"/", K77)</f>
        <v>D4T+3TC+NVP - 30/150/200 mg - B/60</v>
      </c>
      <c r="I77" s="386">
        <f>Calculs!K109</f>
        <v>2</v>
      </c>
      <c r="J77" s="386">
        <f t="shared" si="10"/>
        <v>60</v>
      </c>
      <c r="K77" s="115">
        <f>Calculs!J109</f>
        <v>60</v>
      </c>
      <c r="L77" s="387">
        <f t="shared" si="11"/>
        <v>1</v>
      </c>
      <c r="M77" s="1821">
        <f>Calculs!N269</f>
        <v>0</v>
      </c>
      <c r="N77" s="1870">
        <f>Calculs!$L$324</f>
        <v>0</v>
      </c>
      <c r="O77" s="1870">
        <f>Calculs!$N$324</f>
        <v>0</v>
      </c>
      <c r="P77"/>
      <c r="Q77" s="2168" t="e">
        <f>IF(Calculs!N324&gt;0, (-(Calculs!N324+2*Calculs!L324)+SQRT((Calculs!N324+2*Calculs!L324)*(Calculs!N324+2*Calculs!L324)+8*Calculs!N324*(M77)))/(2*Calculs!N324), ((M77)/Calculs!L324))</f>
        <v>#DIV/0!</v>
      </c>
      <c r="R77" s="2168" t="e">
        <f t="shared" si="12"/>
        <v>#DIV/0!</v>
      </c>
      <c r="S77" s="2162" t="e">
        <f>Q77-Paramétrage!D$29</f>
        <v>#DIV/0!</v>
      </c>
      <c r="T77" s="2169" t="e">
        <f>IF(Q77&lt;Paramétrage!D$29, Q77, Paramétrage!D$29)</f>
        <v>#DIV/0!</v>
      </c>
      <c r="U77" s="2170" t="e">
        <f>IF(Q77&lt;Paramétrage!D$29, Paramétrage!H$19+S77*(365/12), Paramétrage!H$19+S77*(365/12))</f>
        <v>#DIV/0!</v>
      </c>
      <c r="V77" s="2171" t="e">
        <f>IF(Q77&lt;Paramétrage!D$29, Paramétrage!H$19+T77*(365/12), Paramétrage!H$19+Q77*(365/12))</f>
        <v>#DIV/0!</v>
      </c>
      <c r="W77" s="2051"/>
      <c r="X77" s="2168" t="str">
        <f t="shared" si="13"/>
        <v/>
      </c>
      <c r="Y77" s="2172" t="str">
        <f t="shared" si="14"/>
        <v/>
      </c>
      <c r="Z77" s="2173" t="str">
        <f t="shared" si="15"/>
        <v/>
      </c>
      <c r="AA77" s="2174" t="str">
        <f t="shared" si="16"/>
        <v/>
      </c>
      <c r="AB77" s="2170" t="str">
        <f>IF(ISERROR(Q77),"", IF(Q77=0, "", IF(Q77&gt;'Calculs Péremption conso'!$CB14, 'Calculs Péremption conso'!$BX14-Paramétrage!$D$29*(365/12), U77)))</f>
        <v/>
      </c>
      <c r="AC77" s="2171" t="str">
        <f>IF(ISERROR(Q77), AW77, IF(Q77=0, "", IF(Q77&gt;'Calculs Péremption conso'!$CB14, IF(Q77&lt;'Saisie données stocks'!$N$14, CONCATENATE('TRAD-Calculs dispo Données FA'!$B$88, " - ", 'Calculs Péremption conso'!$BY14, "/", 'Calculs Péremption conso'!$BZ14, "/", 'Calculs Péremption conso'!$CA14), 'Calculs Péremption conso'!CC14), V77)))</f>
        <v/>
      </c>
      <c r="AD77" s="2051"/>
      <c r="AE77" s="2168" t="e">
        <f>(Calculs!N269)/Calculs!L324</f>
        <v>#DIV/0!</v>
      </c>
      <c r="AF77" s="2168" t="e">
        <f t="shared" si="17"/>
        <v>#DIV/0!</v>
      </c>
      <c r="AG77" s="2162" t="e">
        <f>AE77-Paramétrage!D$29</f>
        <v>#DIV/0!</v>
      </c>
      <c r="AH77" s="2169" t="e">
        <f>IF(AE77&lt;Paramétrage!D$29, AE77, Paramétrage!D$29)</f>
        <v>#DIV/0!</v>
      </c>
      <c r="AI77" s="2170" t="e">
        <f>Paramétrage!H$19+AG77*(365/12)</f>
        <v>#DIV/0!</v>
      </c>
      <c r="AJ77" s="2171" t="e">
        <f>IF(AE77&lt;Paramétrage!D$29, Paramétrage!H$19+AH77*(365/12), Paramétrage!H$19+AE77*(365/12))</f>
        <v>#DIV/0!</v>
      </c>
      <c r="AK77" s="2051"/>
      <c r="AL77" s="2168" t="str">
        <f>IF(ISERROR(AE77),"", IF(AE77=0, "", IF(AE77&gt;'Calculs Péremption conso'!$CB14, 'Calculs Péremption conso'!$CB14, AE77)))</f>
        <v/>
      </c>
      <c r="AM77" s="2172" t="str">
        <f t="shared" si="18"/>
        <v/>
      </c>
      <c r="AN77" s="2173" t="str">
        <f>IF(ISERROR(AE77),"", IF(AE77=0, "", IF(AE77&gt;'Calculs Péremption conso'!$CB14, 'Calculs Péremption conso'!$CB14-Paramétrage!$D$29, AG77)))</f>
        <v/>
      </c>
      <c r="AO77" s="2174" t="str">
        <f>IF(ISERROR(AE77),"", IF(AE77=0, "", IF(AE77&gt;'Calculs Péremption conso'!$CB14, Paramétrage!$D$29, AH77)))</f>
        <v/>
      </c>
      <c r="AP77" s="2170" t="str">
        <f>IF(ISERROR(AE77),"", IF(AE77=0, "", IF(AE77&gt;'Calculs Péremption conso'!$CB14, 'Calculs Péremption conso'!$BX14-Paramétrage!$D$29*(365/12), AI77)))</f>
        <v/>
      </c>
      <c r="AQ77" s="2171" t="str">
        <f>IF(ISERROR(AE77),"", IF(AE77=0, "", IF(AE77&gt;'Calculs Péremption conso'!$CB14, CONCATENATE('TRAD-Calculs dispo Données FA'!$B$88, " - ", 'Calculs Péremption conso'!$BY14, "/", 'Calculs Péremption conso'!$BZ14, "/", 'Calculs Péremption conso'!$CA14), AJ77)))</f>
        <v/>
      </c>
      <c r="AR77" s="2051"/>
      <c r="AS77" s="2061">
        <f>Calculs!$N269</f>
        <v>0</v>
      </c>
      <c r="AT77" s="2062">
        <f>Calculs!L324</f>
        <v>0</v>
      </c>
      <c r="AU77" s="2068">
        <f>Calculs!$N324</f>
        <v>0</v>
      </c>
      <c r="AV77" s="2070" t="str">
        <f>IF(AND(AU77=0, AS77=0, AT77=0), 'TRAD-Calculs dispo Données FA'!$B$82, "")</f>
        <v>Stock et besoin nul</v>
      </c>
      <c r="AW77" s="2062" t="str">
        <f>IF(AND(AU77=0, AS77&gt;0, AT77=0), CONCATENATE(AS77, 'TRAD-Calculs dispo Données FA'!$B$80," =0"), "")</f>
        <v/>
      </c>
      <c r="AX77" s="2063" t="str">
        <f>IF(AND(AS77=0, OR(AT77&gt;=1, AU77&gt;=1)), 'TRAD-Calculs dispo Données FA'!$B$81, "")</f>
        <v/>
      </c>
      <c r="AY77" s="2051"/>
      <c r="AZ77" s="2051"/>
      <c r="BA77" s="2051"/>
      <c r="BB77" s="2051"/>
      <c r="BC77" s="2051"/>
      <c r="BD77" s="2051"/>
      <c r="BE77" s="2051"/>
      <c r="BF77" s="2051"/>
      <c r="BG77" s="2051"/>
      <c r="BH77" s="2051"/>
      <c r="BI77" s="2051"/>
      <c r="BJ77" s="2051"/>
      <c r="BK77" s="2051"/>
      <c r="BL77" s="2051"/>
      <c r="BM77" s="2051"/>
      <c r="BN77" s="2051"/>
      <c r="BO77" s="2051"/>
      <c r="BP77" s="2051"/>
      <c r="BQ77" s="2051"/>
      <c r="BR77" s="2051"/>
      <c r="BS77" s="2051"/>
      <c r="BT77" s="2051"/>
    </row>
    <row r="78" spans="2:72" s="358" customFormat="1" ht="38.25" x14ac:dyDescent="0.2">
      <c r="C78" s="374"/>
      <c r="D78" s="375"/>
      <c r="E78" s="382" t="str">
        <f>'Saisie données stocks'!F27</f>
        <v>D4T+3TC+NVP</v>
      </c>
      <c r="F78" s="383" t="str">
        <f>'Saisie données stocks'!G27</f>
        <v>Cp</v>
      </c>
      <c r="G78" s="383" t="str">
        <f>'Saisie données stocks'!H27</f>
        <v>6/30/50 mg</v>
      </c>
      <c r="H78" s="385" t="str">
        <f>CONCATENATE(E78, " - ", G78, " - ", 'TRAD-Calculs dispo Données FA'!$B$79,"/", K78)</f>
        <v>D4T+3TC+NVP - 6/30/50 mg - B/60</v>
      </c>
      <c r="I78" s="386">
        <f>Calculs!K110</f>
        <v>2</v>
      </c>
      <c r="J78" s="386">
        <f t="shared" si="10"/>
        <v>60</v>
      </c>
      <c r="K78" s="115">
        <f>Calculs!J110</f>
        <v>60</v>
      </c>
      <c r="L78" s="387">
        <f t="shared" si="11"/>
        <v>1</v>
      </c>
      <c r="M78" s="1821">
        <f>Calculs!N270</f>
        <v>30</v>
      </c>
      <c r="N78" s="1870">
        <f>Calculs!$L$325</f>
        <v>100</v>
      </c>
      <c r="O78" s="1870">
        <f>Calculs!$N$325</f>
        <v>0</v>
      </c>
      <c r="P78"/>
      <c r="Q78" s="2168">
        <f>IF(Calculs!N325&gt;0, (-(Calculs!N325+2*Calculs!L325)+SQRT((Calculs!N325+2*Calculs!L325)*(Calculs!N325+2*Calculs!L325)+8*Calculs!N325*(M78)))/(2*Calculs!N325), ((M78)/Calculs!L325))</f>
        <v>0.3</v>
      </c>
      <c r="R78" s="2168">
        <f t="shared" si="12"/>
        <v>0.30000000000000004</v>
      </c>
      <c r="S78" s="2173">
        <f>Q78-Paramétrage!D$29</f>
        <v>-2.7</v>
      </c>
      <c r="T78" s="2169">
        <f>IF(Q78&lt;Paramétrage!D$29, Q78, Paramétrage!D$29)</f>
        <v>0.3</v>
      </c>
      <c r="U78" s="2170">
        <f>IF(Q78&lt;Paramétrage!D$29, Paramétrage!H$19+S78*(365/12), Paramétrage!H$19+S78*(365/12))</f>
        <v>41836.875</v>
      </c>
      <c r="V78" s="2171">
        <f>IF(Q78&lt;Paramétrage!D$29, Paramétrage!H$19+T78*(365/12), Paramétrage!H$19+Q78*(365/12))</f>
        <v>41928.125</v>
      </c>
      <c r="W78" s="2051"/>
      <c r="X78" s="2168">
        <f t="shared" si="13"/>
        <v>0.3</v>
      </c>
      <c r="Y78" s="2172">
        <f t="shared" si="14"/>
        <v>0.30000000000000004</v>
      </c>
      <c r="Z78" s="2173">
        <f t="shared" si="15"/>
        <v>-2.7</v>
      </c>
      <c r="AA78" s="2174">
        <f t="shared" si="16"/>
        <v>0.3</v>
      </c>
      <c r="AB78" s="2170">
        <f>IF(ISERROR(Q78),"", IF(Q78=0, "", IF(Q78&gt;'Calculs Péremption conso'!$CB15, 'Calculs Péremption conso'!$BX15-Paramétrage!$D$29*(365/12), U78)))</f>
        <v>41836.875</v>
      </c>
      <c r="AC78" s="2171">
        <f>IF(ISERROR(Q78), AW78, IF(Q78=0, "", IF(Q78&gt;'Calculs Péremption conso'!$CB15, IF(Q78&lt;'Saisie données stocks'!$N$14, CONCATENATE('TRAD-Calculs dispo Données FA'!$B$88, " - ", 'Calculs Péremption conso'!$BY15, "/", 'Calculs Péremption conso'!$BZ15, "/", 'Calculs Péremption conso'!$CA15), 'Calculs Péremption conso'!CC15), V78)))</f>
        <v>41928.125</v>
      </c>
      <c r="AD78" s="2051"/>
      <c r="AE78" s="2168">
        <f>(Calculs!N270)/Calculs!L325</f>
        <v>0.3</v>
      </c>
      <c r="AF78" s="2168">
        <f t="shared" si="17"/>
        <v>0</v>
      </c>
      <c r="AG78" s="2173">
        <f>AE78-Paramétrage!D$29</f>
        <v>-2.7</v>
      </c>
      <c r="AH78" s="2169">
        <f>IF(AE78&lt;Paramétrage!D$29, AE78, Paramétrage!D$29)</f>
        <v>0.3</v>
      </c>
      <c r="AI78" s="2170">
        <f>Paramétrage!H$19+AG78*(365/12)</f>
        <v>41836.875</v>
      </c>
      <c r="AJ78" s="2171">
        <f>IF(AE78&lt;Paramétrage!D$29, Paramétrage!H$19+AH78*(365/12), Paramétrage!H$19+AE78*(365/12))</f>
        <v>41928.125</v>
      </c>
      <c r="AK78" s="2051"/>
      <c r="AL78" s="2168">
        <f>IF(ISERROR(AE78),"", IF(AE78=0, "", IF(AE78&gt;'Calculs Péremption conso'!$CB15, 'Calculs Péremption conso'!$CB15, AE78)))</f>
        <v>0.3</v>
      </c>
      <c r="AM78" s="2172" t="str">
        <f t="shared" si="18"/>
        <v/>
      </c>
      <c r="AN78" s="2173">
        <f>IF(ISERROR(AE78),"", IF(AE78=0, "", IF(AE78&gt;'Calculs Péremption conso'!$CB15, 'Calculs Péremption conso'!$CB15-Paramétrage!$D$29, AG78)))</f>
        <v>-2.7</v>
      </c>
      <c r="AO78" s="2174">
        <f>IF(ISERROR(AE78),"", IF(AE78=0, "", IF(AE78&gt;'Calculs Péremption conso'!$CB15, Paramétrage!$D$29, AH78)))</f>
        <v>0.3</v>
      </c>
      <c r="AP78" s="2170">
        <f>IF(ISERROR(AE78),"", IF(AE78=0, "", IF(AE78&gt;'Calculs Péremption conso'!$CB15, 'Calculs Péremption conso'!$BX15-Paramétrage!$D$29*(365/12), AI78)))</f>
        <v>41836.875</v>
      </c>
      <c r="AQ78" s="2171">
        <f>IF(ISERROR(AE78),"", IF(AE78=0, "", IF(AE78&gt;'Calculs Péremption conso'!$CB15, CONCATENATE('TRAD-Calculs dispo Données FA'!$B$88, " - ", 'Calculs Péremption conso'!$BY15, "/", 'Calculs Péremption conso'!$BZ15, "/", 'Calculs Péremption conso'!$CA15), AJ78)))</f>
        <v>41928.125</v>
      </c>
      <c r="AR78" s="2051"/>
      <c r="AS78" s="2061">
        <f>Calculs!$N270</f>
        <v>30</v>
      </c>
      <c r="AT78" s="2062">
        <f>Calculs!L325</f>
        <v>100</v>
      </c>
      <c r="AU78" s="2068">
        <f>Calculs!$N325</f>
        <v>0</v>
      </c>
      <c r="AV78" s="2070" t="str">
        <f>IF(AND(AU78=0, AS78=0, AT78=0), 'TRAD-Calculs dispo Données FA'!$B$82, "")</f>
        <v/>
      </c>
      <c r="AW78" s="2062" t="str">
        <f>IF(AND(AU78=0, AS78&gt;0, AT78=0), CONCATENATE(AS78, 'TRAD-Calculs dispo Données FA'!$B$80," =0"), "")</f>
        <v/>
      </c>
      <c r="AX78" s="2063" t="str">
        <f>IF(AND(AS78=0, OR(AT78&gt;=1, AU78&gt;=1)), 'TRAD-Calculs dispo Données FA'!$B$81, "")</f>
        <v/>
      </c>
      <c r="AY78" s="2051"/>
      <c r="AZ78" s="2051"/>
      <c r="BA78" s="2051"/>
      <c r="BB78" s="2051"/>
      <c r="BC78" s="2051"/>
      <c r="BD78" s="2051"/>
      <c r="BE78" s="2051"/>
      <c r="BF78" s="2051"/>
      <c r="BG78" s="2051"/>
      <c r="BH78" s="2051"/>
      <c r="BI78" s="2051"/>
      <c r="BJ78" s="2051"/>
      <c r="BK78" s="2051"/>
      <c r="BL78" s="2051"/>
      <c r="BM78" s="2051"/>
      <c r="BN78" s="2051"/>
      <c r="BO78" s="2051"/>
      <c r="BP78" s="2051"/>
      <c r="BQ78" s="2051"/>
      <c r="BR78" s="2051"/>
      <c r="BS78" s="2051"/>
      <c r="BT78" s="2051"/>
    </row>
    <row r="79" spans="2:72" s="358" customFormat="1" ht="38.25" x14ac:dyDescent="0.2">
      <c r="C79" s="374"/>
      <c r="D79" s="375"/>
      <c r="E79" s="382" t="str">
        <f>'Saisie données stocks'!F28</f>
        <v>D4T+3TC</v>
      </c>
      <c r="F79" s="383" t="str">
        <f>'Saisie données stocks'!G28</f>
        <v>Cp</v>
      </c>
      <c r="G79" s="383" t="str">
        <f>'Saisie données stocks'!H28</f>
        <v>30/150 mg</v>
      </c>
      <c r="H79" s="379" t="str">
        <f>CONCATENATE(E79, " - ", G79, " - ", 'TRAD-Calculs dispo Données FA'!$B$79,"/", K79)</f>
        <v>D4T+3TC - 30/150 mg - B/60</v>
      </c>
      <c r="I79" s="386">
        <f>Calculs!K111</f>
        <v>2</v>
      </c>
      <c r="J79" s="386">
        <f t="shared" si="10"/>
        <v>60</v>
      </c>
      <c r="K79" s="115">
        <f>Calculs!J111</f>
        <v>60</v>
      </c>
      <c r="L79" s="387">
        <f t="shared" si="11"/>
        <v>1</v>
      </c>
      <c r="M79" s="1821">
        <f>Calculs!N271</f>
        <v>14</v>
      </c>
      <c r="N79" s="1870">
        <f>Calculs!$L$326</f>
        <v>45</v>
      </c>
      <c r="O79" s="1870">
        <f>Calculs!$N$326</f>
        <v>0</v>
      </c>
      <c r="P79"/>
      <c r="Q79" s="2168">
        <f>IF(Calculs!N326&gt;0, (-(Calculs!N326+2*Calculs!L326)+SQRT((Calculs!N326+2*Calculs!L326)*(Calculs!N326+2*Calculs!L326)+8*Calculs!N326*(M79)))/(2*Calculs!N326), ((M79)/Calculs!L326))</f>
        <v>0.31111111111111112</v>
      </c>
      <c r="R79" s="2168">
        <f t="shared" si="12"/>
        <v>0.31111111111111112</v>
      </c>
      <c r="S79" s="2173">
        <f>Q79-Paramétrage!D$29</f>
        <v>-2.6888888888888891</v>
      </c>
      <c r="T79" s="2169">
        <f>IF(Q79&lt;Paramétrage!D$29, Q79, Paramétrage!D$29)</f>
        <v>0.31111111111111112</v>
      </c>
      <c r="U79" s="2170">
        <f>IF(Q79&lt;Paramétrage!D$29, Paramétrage!H$19+S79*(365/12), Paramétrage!H$19+S79*(365/12))</f>
        <v>41837.212962962964</v>
      </c>
      <c r="V79" s="2171">
        <f>IF(Q79&lt;Paramétrage!D$29, Paramétrage!H$19+T79*(365/12), Paramétrage!H$19+Q79*(365/12))</f>
        <v>41928.462962962964</v>
      </c>
      <c r="W79" s="2051"/>
      <c r="X79" s="2168">
        <f t="shared" si="13"/>
        <v>0.31111111111111112</v>
      </c>
      <c r="Y79" s="2172">
        <f t="shared" si="14"/>
        <v>0.31111111111111112</v>
      </c>
      <c r="Z79" s="2173">
        <f t="shared" si="15"/>
        <v>-2.6888888888888891</v>
      </c>
      <c r="AA79" s="2174">
        <f t="shared" si="16"/>
        <v>0.31111111111111112</v>
      </c>
      <c r="AB79" s="2170">
        <f>IF(ISERROR(Q79),"", IF(Q79=0, "", IF(Q79&gt;'Calculs Péremption conso'!$CB16, 'Calculs Péremption conso'!$BX16-Paramétrage!$D$29*(365/12), U79)))</f>
        <v>41837.212962962964</v>
      </c>
      <c r="AC79" s="2171">
        <f>IF(ISERROR(Q79), AW79, IF(Q79=0, "", IF(Q79&gt;'Calculs Péremption conso'!$CB16, IF(Q79&lt;'Saisie données stocks'!$N$14, CONCATENATE('TRAD-Calculs dispo Données FA'!$B$88, " - ", 'Calculs Péremption conso'!$BY16, "/", 'Calculs Péremption conso'!$BZ16, "/", 'Calculs Péremption conso'!$CA16), 'Calculs Péremption conso'!CC16), V79)))</f>
        <v>41928.462962962964</v>
      </c>
      <c r="AD79" s="2051"/>
      <c r="AE79" s="2168">
        <f>(Calculs!N271)/Calculs!L326</f>
        <v>0.31111111111111112</v>
      </c>
      <c r="AF79" s="2168">
        <f t="shared" si="17"/>
        <v>0</v>
      </c>
      <c r="AG79" s="2173">
        <f>AE79-Paramétrage!D$29</f>
        <v>-2.6888888888888891</v>
      </c>
      <c r="AH79" s="2169">
        <f>IF(AE79&lt;Paramétrage!D$29, AE79, Paramétrage!D$29)</f>
        <v>0.31111111111111112</v>
      </c>
      <c r="AI79" s="2170">
        <f>Paramétrage!H$19+AG79*(365/12)</f>
        <v>41837.212962962964</v>
      </c>
      <c r="AJ79" s="2171">
        <f>IF(AE79&lt;Paramétrage!D$29, Paramétrage!H$19+AH79*(365/12), Paramétrage!H$19+AE79*(365/12))</f>
        <v>41928.462962962964</v>
      </c>
      <c r="AK79" s="2051"/>
      <c r="AL79" s="2168">
        <f>IF(ISERROR(AE79),"", IF(AE79=0, "", IF(AE79&gt;'Calculs Péremption conso'!$CB16, 'Calculs Péremption conso'!$CB16, AE79)))</f>
        <v>0.31111111111111112</v>
      </c>
      <c r="AM79" s="2172" t="str">
        <f t="shared" si="18"/>
        <v/>
      </c>
      <c r="AN79" s="2173">
        <f>IF(ISERROR(AE79),"", IF(AE79=0, "", IF(AE79&gt;'Calculs Péremption conso'!$CB16, 'Calculs Péremption conso'!$CB16-Paramétrage!$D$29, AG79)))</f>
        <v>-2.6888888888888891</v>
      </c>
      <c r="AO79" s="2174">
        <f>IF(ISERROR(AE79),"", IF(AE79=0, "", IF(AE79&gt;'Calculs Péremption conso'!$CB16, Paramétrage!$D$29, AH79)))</f>
        <v>0.31111111111111112</v>
      </c>
      <c r="AP79" s="2170">
        <f>IF(ISERROR(AE79),"", IF(AE79=0, "", IF(AE79&gt;'Calculs Péremption conso'!$CB16, 'Calculs Péremption conso'!$BX16-Paramétrage!$D$29*(365/12), AI79)))</f>
        <v>41837.212962962964</v>
      </c>
      <c r="AQ79" s="2171">
        <f>IF(ISERROR(AE79),"", IF(AE79=0, "", IF(AE79&gt;'Calculs Péremption conso'!$CB16, CONCATENATE('TRAD-Calculs dispo Données FA'!$B$88, " - ", 'Calculs Péremption conso'!$BY16, "/", 'Calculs Péremption conso'!$BZ16, "/", 'Calculs Péremption conso'!$CA16), AJ79)))</f>
        <v>41928.462962962964</v>
      </c>
      <c r="AR79" s="2051"/>
      <c r="AS79" s="2061">
        <f>Calculs!$N271</f>
        <v>14</v>
      </c>
      <c r="AT79" s="2062">
        <f>Calculs!L326</f>
        <v>45</v>
      </c>
      <c r="AU79" s="2068">
        <f>Calculs!$N326</f>
        <v>0</v>
      </c>
      <c r="AV79" s="2070" t="str">
        <f>IF(AND(AU79=0, AS79=0, AT79=0), 'TRAD-Calculs dispo Données FA'!$B$82, "")</f>
        <v/>
      </c>
      <c r="AW79" s="2062" t="str">
        <f>IF(AND(AU79=0, AS79&gt;0, AT79=0), CONCATENATE(AS79, 'TRAD-Calculs dispo Données FA'!$B$80," =0"), "")</f>
        <v/>
      </c>
      <c r="AX79" s="2063" t="str">
        <f>IF(AND(AS79=0, OR(AT79&gt;=1, AU79&gt;=1)), 'TRAD-Calculs dispo Données FA'!$B$81, "")</f>
        <v/>
      </c>
      <c r="AY79" s="2051"/>
      <c r="AZ79" s="2051"/>
      <c r="BA79" s="2051"/>
      <c r="BB79" s="2051"/>
      <c r="BC79" s="2051"/>
      <c r="BD79" s="2051"/>
      <c r="BE79" s="2051"/>
      <c r="BF79" s="2051"/>
      <c r="BG79" s="2051"/>
      <c r="BH79" s="2051"/>
      <c r="BI79" s="2051"/>
      <c r="BJ79" s="2051"/>
      <c r="BK79" s="2051"/>
      <c r="BL79" s="2051"/>
      <c r="BM79" s="2051"/>
      <c r="BN79" s="2051"/>
      <c r="BO79" s="2051"/>
      <c r="BP79" s="2051"/>
      <c r="BQ79" s="2051"/>
      <c r="BR79" s="2051"/>
      <c r="BS79" s="2051"/>
      <c r="BT79" s="2051"/>
    </row>
    <row r="80" spans="2:72" s="358" customFormat="1" ht="38.25" x14ac:dyDescent="0.2">
      <c r="C80" s="374"/>
      <c r="D80" s="375"/>
      <c r="E80" s="382" t="str">
        <f>'Saisie données stocks'!F29</f>
        <v>TDF+FTC+EFV</v>
      </c>
      <c r="F80" s="383" t="str">
        <f>'Saisie données stocks'!G29</f>
        <v>Cp</v>
      </c>
      <c r="G80" s="383" t="str">
        <f>'Saisie données stocks'!H29</f>
        <v>300/200/600 mg</v>
      </c>
      <c r="H80" s="379" t="str">
        <f>CONCATENATE(E80, " - ", G80, " - ", 'TRAD-Calculs dispo Données FA'!$B$79,"/", K80)</f>
        <v>TDF+FTC+EFV - 300/200/600 mg - B/30</v>
      </c>
      <c r="I80" s="386">
        <f>Calculs!K112</f>
        <v>1</v>
      </c>
      <c r="J80" s="386">
        <f t="shared" si="10"/>
        <v>30</v>
      </c>
      <c r="K80" s="115">
        <f>Calculs!J112</f>
        <v>30</v>
      </c>
      <c r="L80" s="387">
        <f t="shared" si="11"/>
        <v>1</v>
      </c>
      <c r="M80" s="1821">
        <f>Calculs!N272</f>
        <v>0</v>
      </c>
      <c r="N80" s="1870">
        <f>Calculs!$L$327</f>
        <v>0</v>
      </c>
      <c r="O80" s="1870">
        <f>Calculs!$N$327</f>
        <v>0</v>
      </c>
      <c r="P80"/>
      <c r="Q80" s="2168" t="e">
        <f>IF(Calculs!N327&gt;0, (-(Calculs!N327+2*Calculs!L327)+SQRT((Calculs!N327+2*Calculs!L327)*(Calculs!N327+2*Calculs!L327)+8*Calculs!N327*(M80)))/(2*Calculs!N327), ((M80)/Calculs!L327))</f>
        <v>#DIV/0!</v>
      </c>
      <c r="R80" s="2168" t="e">
        <f t="shared" si="12"/>
        <v>#DIV/0!</v>
      </c>
      <c r="S80" s="2173" t="e">
        <f>Q80-Paramétrage!D$29</f>
        <v>#DIV/0!</v>
      </c>
      <c r="T80" s="2169" t="e">
        <f>IF(Q80&lt;Paramétrage!D$29, Q80, Paramétrage!D$29)</f>
        <v>#DIV/0!</v>
      </c>
      <c r="U80" s="2170" t="e">
        <f>IF(Q80&lt;Paramétrage!D$29, Paramétrage!H$19+S80*(365/12), Paramétrage!H$19+S80*(365/12))</f>
        <v>#DIV/0!</v>
      </c>
      <c r="V80" s="2171" t="e">
        <f>IF(Q80&lt;Paramétrage!D$29, Paramétrage!H$19+T80*(365/12), Paramétrage!H$19+Q80*(365/12))</f>
        <v>#DIV/0!</v>
      </c>
      <c r="W80" s="2051"/>
      <c r="X80" s="2168" t="str">
        <f t="shared" si="13"/>
        <v/>
      </c>
      <c r="Y80" s="2172" t="str">
        <f t="shared" si="14"/>
        <v/>
      </c>
      <c r="Z80" s="2173" t="str">
        <f t="shared" si="15"/>
        <v/>
      </c>
      <c r="AA80" s="2174" t="str">
        <f t="shared" si="16"/>
        <v/>
      </c>
      <c r="AB80" s="2170" t="str">
        <f>IF(ISERROR(Q80),"", IF(Q80=0, "", IF(Q80&gt;'Calculs Péremption conso'!$CB17, 'Calculs Péremption conso'!$BX17-Paramétrage!$D$29*(365/12), U80)))</f>
        <v/>
      </c>
      <c r="AC80" s="2171" t="str">
        <f>IF(ISERROR(Q80), AW80, IF(Q80=0, "", IF(Q80&gt;'Calculs Péremption conso'!$CB17, IF(Q80&lt;'Saisie données stocks'!$N$14, CONCATENATE('TRAD-Calculs dispo Données FA'!$B$88, " - ", 'Calculs Péremption conso'!$BY17, "/", 'Calculs Péremption conso'!$BZ17, "/", 'Calculs Péremption conso'!$CA17), 'Calculs Péremption conso'!CC17), V80)))</f>
        <v/>
      </c>
      <c r="AD80" s="2051"/>
      <c r="AE80" s="2168" t="e">
        <f>(Calculs!N272)/Calculs!L327</f>
        <v>#DIV/0!</v>
      </c>
      <c r="AF80" s="2168" t="e">
        <f t="shared" si="17"/>
        <v>#DIV/0!</v>
      </c>
      <c r="AG80" s="2173" t="e">
        <f>AE80-Paramétrage!D$29</f>
        <v>#DIV/0!</v>
      </c>
      <c r="AH80" s="2169" t="e">
        <f>IF(AE80&lt;Paramétrage!D$29, AE80, Paramétrage!D$29)</f>
        <v>#DIV/0!</v>
      </c>
      <c r="AI80" s="2170" t="e">
        <f>Paramétrage!H$19+AG80*(365/12)</f>
        <v>#DIV/0!</v>
      </c>
      <c r="AJ80" s="2171" t="e">
        <f>IF(AE80&lt;Paramétrage!D$29, Paramétrage!H$19+AH80*(365/12), Paramétrage!H$19+AE80*(365/12))</f>
        <v>#DIV/0!</v>
      </c>
      <c r="AK80" s="2051"/>
      <c r="AL80" s="2168" t="str">
        <f>IF(ISERROR(AE80),"", IF(AE80=0, "", IF(AE80&gt;'Calculs Péremption conso'!$CB17, 'Calculs Péremption conso'!$CB17, AE80)))</f>
        <v/>
      </c>
      <c r="AM80" s="2172" t="str">
        <f t="shared" si="18"/>
        <v/>
      </c>
      <c r="AN80" s="2173" t="str">
        <f>IF(ISERROR(AE80),"", IF(AE80=0, "", IF(AE80&gt;'Calculs Péremption conso'!$CB17, 'Calculs Péremption conso'!$CB17-Paramétrage!$D$29, AG80)))</f>
        <v/>
      </c>
      <c r="AO80" s="2174" t="str">
        <f>IF(ISERROR(AE80),"", IF(AE80=0, "", IF(AE80&gt;'Calculs Péremption conso'!$CB17, Paramétrage!$D$29, AH80)))</f>
        <v/>
      </c>
      <c r="AP80" s="2170" t="str">
        <f>IF(ISERROR(AE80),"", IF(AE80=0, "", IF(AE80&gt;'Calculs Péremption conso'!$CB17, 'Calculs Péremption conso'!$BX17-Paramétrage!$D$29*(365/12), AI80)))</f>
        <v/>
      </c>
      <c r="AQ80" s="2171" t="str">
        <f>IF(ISERROR(AE80),"", IF(AE80=0, "", IF(AE80&gt;'Calculs Péremption conso'!$CB17, CONCATENATE('TRAD-Calculs dispo Données FA'!$B$88, " - ", 'Calculs Péremption conso'!$BY17, "/", 'Calculs Péremption conso'!$BZ17, "/", 'Calculs Péremption conso'!$CA17), AJ80)))</f>
        <v/>
      </c>
      <c r="AR80" s="2051"/>
      <c r="AS80" s="2061">
        <f>Calculs!$N272</f>
        <v>0</v>
      </c>
      <c r="AT80" s="2062">
        <f>Calculs!L327</f>
        <v>0</v>
      </c>
      <c r="AU80" s="2068">
        <f>Calculs!$N327</f>
        <v>0</v>
      </c>
      <c r="AV80" s="2070" t="str">
        <f>IF(AND(AU80=0, AS80=0, AT80=0), 'TRAD-Calculs dispo Données FA'!$B$82, "")</f>
        <v>Stock et besoin nul</v>
      </c>
      <c r="AW80" s="2062" t="str">
        <f>IF(AND(AU80=0, AS80&gt;0, AT80=0), CONCATENATE(AS80, 'TRAD-Calculs dispo Données FA'!$B$80," =0"), "")</f>
        <v/>
      </c>
      <c r="AX80" s="2063" t="str">
        <f>IF(AND(AS80=0, OR(AT80&gt;=1, AU80&gt;=1)), 'TRAD-Calculs dispo Données FA'!$B$81, "")</f>
        <v/>
      </c>
      <c r="AY80" s="2051"/>
      <c r="AZ80" s="2051"/>
      <c r="BA80" s="2051"/>
      <c r="BB80" s="2051"/>
      <c r="BC80" s="2051"/>
      <c r="BD80" s="2051"/>
      <c r="BE80" s="2051"/>
      <c r="BF80" s="2051"/>
      <c r="BG80" s="2051"/>
      <c r="BH80" s="2051"/>
      <c r="BI80" s="2051"/>
      <c r="BJ80" s="2051"/>
      <c r="BK80" s="2051"/>
      <c r="BL80" s="2051"/>
      <c r="BM80" s="2051"/>
      <c r="BN80" s="2051"/>
      <c r="BO80" s="2051"/>
      <c r="BP80" s="2051"/>
      <c r="BQ80" s="2051"/>
      <c r="BR80" s="2051"/>
      <c r="BS80" s="2051"/>
      <c r="BT80" s="2051"/>
    </row>
    <row r="81" spans="3:72" s="358" customFormat="1" ht="38.25" x14ac:dyDescent="0.2">
      <c r="C81" s="374"/>
      <c r="D81" s="375"/>
      <c r="E81" s="382" t="str">
        <f>'Saisie données stocks'!F30</f>
        <v>TDF+FTC</v>
      </c>
      <c r="F81" s="383" t="str">
        <f>'Saisie données stocks'!G30</f>
        <v>Cp</v>
      </c>
      <c r="G81" s="383" t="str">
        <f>'Saisie données stocks'!H30</f>
        <v>300/200 mg</v>
      </c>
      <c r="H81" s="379" t="str">
        <f>CONCATENATE(E81, " - ", G81, " - ", 'TRAD-Calculs dispo Données FA'!$B$79,"/", K81)</f>
        <v>TDF+FTC - 300/200 mg - B/30</v>
      </c>
      <c r="I81" s="386">
        <f>Calculs!K113</f>
        <v>1</v>
      </c>
      <c r="J81" s="386">
        <f t="shared" si="10"/>
        <v>30</v>
      </c>
      <c r="K81" s="115">
        <f>Calculs!J113</f>
        <v>30</v>
      </c>
      <c r="L81" s="387">
        <f t="shared" si="11"/>
        <v>1</v>
      </c>
      <c r="M81" s="1821">
        <f>Calculs!N273</f>
        <v>0</v>
      </c>
      <c r="N81" s="1870">
        <f>Calculs!$L$328</f>
        <v>0</v>
      </c>
      <c r="O81" s="1870">
        <f>Calculs!$N$328</f>
        <v>0</v>
      </c>
      <c r="P81"/>
      <c r="Q81" s="2168" t="e">
        <f>IF(Calculs!N328&gt;0, (-(Calculs!N328+2*Calculs!L328)+SQRT((Calculs!N328+2*Calculs!L328)*(Calculs!N328+2*Calculs!L328)+8*Calculs!N328*(M81)))/(2*Calculs!N328), ((M81)/Calculs!L328))</f>
        <v>#DIV/0!</v>
      </c>
      <c r="R81" s="2168" t="e">
        <f t="shared" si="12"/>
        <v>#DIV/0!</v>
      </c>
      <c r="S81" s="2173" t="e">
        <f>Q81-Paramétrage!D$29</f>
        <v>#DIV/0!</v>
      </c>
      <c r="T81" s="2169" t="e">
        <f>IF(Q81&lt;Paramétrage!D$29, Q81, Paramétrage!D$29)</f>
        <v>#DIV/0!</v>
      </c>
      <c r="U81" s="2170" t="e">
        <f>IF(Q81&lt;Paramétrage!D$29, Paramétrage!H$19+S81*(365/12), Paramétrage!H$19+S81*(365/12))</f>
        <v>#DIV/0!</v>
      </c>
      <c r="V81" s="2171" t="e">
        <f>IF(Q81&lt;Paramétrage!D$29, Paramétrage!H$19+T81*(365/12), Paramétrage!H$19+Q81*(365/12))</f>
        <v>#DIV/0!</v>
      </c>
      <c r="W81" s="2051"/>
      <c r="X81" s="2168" t="str">
        <f t="shared" si="13"/>
        <v/>
      </c>
      <c r="Y81" s="2172" t="str">
        <f t="shared" si="14"/>
        <v/>
      </c>
      <c r="Z81" s="2173" t="str">
        <f t="shared" si="15"/>
        <v/>
      </c>
      <c r="AA81" s="2174" t="str">
        <f t="shared" si="16"/>
        <v/>
      </c>
      <c r="AB81" s="2170" t="str">
        <f>IF(ISERROR(Q81),"", IF(Q81=0, "", IF(Q81&gt;'Calculs Péremption conso'!$CB18, 'Calculs Péremption conso'!$BX18-Paramétrage!$D$29*(365/12), U81)))</f>
        <v/>
      </c>
      <c r="AC81" s="2171" t="str">
        <f>IF(ISERROR(Q81), AW81, IF(Q81=0, "", IF(Q81&gt;'Calculs Péremption conso'!$CB18, IF(Q81&lt;'Saisie données stocks'!$N$14, CONCATENATE('TRAD-Calculs dispo Données FA'!$B$88, " - ", 'Calculs Péremption conso'!$BY18, "/", 'Calculs Péremption conso'!$BZ18, "/", 'Calculs Péremption conso'!$CA18), 'Calculs Péremption conso'!CC18), V81)))</f>
        <v/>
      </c>
      <c r="AD81" s="2051"/>
      <c r="AE81" s="2168" t="e">
        <f>(Calculs!N273)/Calculs!L328</f>
        <v>#DIV/0!</v>
      </c>
      <c r="AF81" s="2168" t="e">
        <f t="shared" si="17"/>
        <v>#DIV/0!</v>
      </c>
      <c r="AG81" s="2173" t="e">
        <f>AE81-Paramétrage!D$29</f>
        <v>#DIV/0!</v>
      </c>
      <c r="AH81" s="2169" t="e">
        <f>IF(AE81&lt;Paramétrage!D$29, AE81, Paramétrage!D$29)</f>
        <v>#DIV/0!</v>
      </c>
      <c r="AI81" s="2170" t="e">
        <f>Paramétrage!H$19+AG81*(365/12)</f>
        <v>#DIV/0!</v>
      </c>
      <c r="AJ81" s="2171" t="e">
        <f>IF(AE81&lt;Paramétrage!D$29, Paramétrage!H$19+AH81*(365/12), Paramétrage!H$19+AE81*(365/12))</f>
        <v>#DIV/0!</v>
      </c>
      <c r="AK81" s="2051"/>
      <c r="AL81" s="2168" t="str">
        <f>IF(ISERROR(AE81),"", IF(AE81=0, "", IF(AE81&gt;'Calculs Péremption conso'!$CB18, 'Calculs Péremption conso'!$CB18, AE81)))</f>
        <v/>
      </c>
      <c r="AM81" s="2172" t="str">
        <f t="shared" si="18"/>
        <v/>
      </c>
      <c r="AN81" s="2173" t="str">
        <f>IF(ISERROR(AE81),"", IF(AE81=0, "", IF(AE81&gt;'Calculs Péremption conso'!$CB18, 'Calculs Péremption conso'!$CB18-Paramétrage!$D$29, AG81)))</f>
        <v/>
      </c>
      <c r="AO81" s="2174" t="str">
        <f>IF(ISERROR(AE81),"", IF(AE81=0, "", IF(AE81&gt;'Calculs Péremption conso'!$CB18, Paramétrage!$D$29, AH81)))</f>
        <v/>
      </c>
      <c r="AP81" s="2170" t="str">
        <f>IF(ISERROR(AE81),"", IF(AE81=0, "", IF(AE81&gt;'Calculs Péremption conso'!$CB18, 'Calculs Péremption conso'!$BX18-Paramétrage!$D$29*(365/12), AI81)))</f>
        <v/>
      </c>
      <c r="AQ81" s="2171" t="str">
        <f>IF(ISERROR(AE81),"", IF(AE81=0, "", IF(AE81&gt;'Calculs Péremption conso'!$CB18, CONCATENATE('TRAD-Calculs dispo Données FA'!$B$88, " - ", 'Calculs Péremption conso'!$BY18, "/", 'Calculs Péremption conso'!$BZ18, "/", 'Calculs Péremption conso'!$CA18), AJ81)))</f>
        <v/>
      </c>
      <c r="AR81" s="2051"/>
      <c r="AS81" s="2061">
        <f>Calculs!$N273</f>
        <v>0</v>
      </c>
      <c r="AT81" s="2062">
        <f>Calculs!L328</f>
        <v>0</v>
      </c>
      <c r="AU81" s="2068">
        <f>Calculs!$N328</f>
        <v>0</v>
      </c>
      <c r="AV81" s="2070" t="str">
        <f>IF(AND(AU81=0, AS81=0, AT81=0), 'TRAD-Calculs dispo Données FA'!$B$82, "")</f>
        <v>Stock et besoin nul</v>
      </c>
      <c r="AW81" s="2062" t="str">
        <f>IF(AND(AU81=0, AS81&gt;0, AT81=0), CONCATENATE(AS81, 'TRAD-Calculs dispo Données FA'!$B$80," =0"), "")</f>
        <v/>
      </c>
      <c r="AX81" s="2063" t="str">
        <f>IF(AND(AS81=0, OR(AT81&gt;=1, AU81&gt;=1)), 'TRAD-Calculs dispo Données FA'!$B$81, "")</f>
        <v/>
      </c>
      <c r="AY81" s="2051"/>
      <c r="AZ81" s="2051"/>
      <c r="BA81" s="2051"/>
      <c r="BB81" s="2051"/>
      <c r="BC81" s="2051"/>
      <c r="BD81" s="2051"/>
      <c r="BE81" s="2051"/>
      <c r="BF81" s="2051"/>
      <c r="BG81" s="2051"/>
      <c r="BH81" s="2051"/>
      <c r="BI81" s="2051"/>
      <c r="BJ81" s="2051"/>
      <c r="BK81" s="2051"/>
      <c r="BL81" s="2051"/>
      <c r="BM81" s="2051"/>
      <c r="BN81" s="2051"/>
      <c r="BO81" s="2051"/>
      <c r="BP81" s="2051"/>
      <c r="BQ81" s="2051"/>
      <c r="BR81" s="2051"/>
      <c r="BS81" s="2051"/>
      <c r="BT81" s="2051"/>
    </row>
    <row r="82" spans="3:72" s="358" customFormat="1" ht="51" x14ac:dyDescent="0.2">
      <c r="C82" s="374"/>
      <c r="D82" s="375"/>
      <c r="E82" s="382" t="str">
        <f>'Saisie données stocks'!F31</f>
        <v>TDF+3TC+EFV</v>
      </c>
      <c r="F82" s="383" t="str">
        <f>'Saisie données stocks'!G31</f>
        <v>Cp</v>
      </c>
      <c r="G82" s="383" t="str">
        <f>'Saisie données stocks'!H31</f>
        <v>300/200/600 mg</v>
      </c>
      <c r="H82" s="385" t="str">
        <f>CONCATENATE(E82, " - ", G82, " - ", 'TRAD-Calculs dispo Données FA'!$B$79,"/", K82)</f>
        <v>TDF+3TC+EFV - 300/200/600 mg - B/30</v>
      </c>
      <c r="I82" s="386">
        <f>Calculs!K114</f>
        <v>1</v>
      </c>
      <c r="J82" s="386">
        <f t="shared" si="10"/>
        <v>30</v>
      </c>
      <c r="K82" s="115">
        <f>Calculs!J114</f>
        <v>30</v>
      </c>
      <c r="L82" s="387">
        <f t="shared" si="11"/>
        <v>1</v>
      </c>
      <c r="M82" s="1821">
        <f>Calculs!N274</f>
        <v>2712</v>
      </c>
      <c r="N82" s="1870">
        <f>Calculs!$L$329</f>
        <v>1484</v>
      </c>
      <c r="O82" s="1870">
        <f>Calculs!$N$329</f>
        <v>0</v>
      </c>
      <c r="P82"/>
      <c r="Q82" s="2168">
        <f>IF(Calculs!N329&gt;0, (-(Calculs!N329+2*Calculs!L329)+SQRT((Calculs!N329+2*Calculs!L329)*(Calculs!N329+2*Calculs!L329)+8*Calculs!N329*(M82)))/(2*Calculs!N329), ((M82)/Calculs!L329))</f>
        <v>1.8274932614555257</v>
      </c>
      <c r="R82" s="2168">
        <f t="shared" si="12"/>
        <v>1.8274932614555262</v>
      </c>
      <c r="S82" s="2173">
        <f>Q82-Paramétrage!D$29</f>
        <v>-1.1725067385444743</v>
      </c>
      <c r="T82" s="2169">
        <f>IF(Q82&lt;Paramétrage!D$29, Q82, Paramétrage!D$29)</f>
        <v>1.8274932614555257</v>
      </c>
      <c r="U82" s="2170">
        <f>IF(Q82&lt;Paramétrage!D$29, Paramétrage!H$19+S82*(365/12), Paramétrage!H$19+S82*(365/12))</f>
        <v>41883.336253369271</v>
      </c>
      <c r="V82" s="2171">
        <f>IF(Q82&lt;Paramétrage!D$29, Paramétrage!H$19+T82*(365/12), Paramétrage!H$19+Q82*(365/12))</f>
        <v>41974.586253369271</v>
      </c>
      <c r="W82" s="2051"/>
      <c r="X82" s="2168">
        <f t="shared" si="13"/>
        <v>1.8274932614555257</v>
      </c>
      <c r="Y82" s="2172">
        <f t="shared" si="14"/>
        <v>1.8274932614555262</v>
      </c>
      <c r="Z82" s="2173">
        <f t="shared" si="15"/>
        <v>-1.1725067385444743</v>
      </c>
      <c r="AA82" s="2174">
        <f t="shared" si="16"/>
        <v>1.8274932614555257</v>
      </c>
      <c r="AB82" s="2170">
        <f>IF(ISERROR(Q82),"", IF(Q82=0, "", IF(Q82&gt;'Calculs Péremption conso'!$CB19, 'Calculs Péremption conso'!$BX19-Paramétrage!$D$29*(365/12), U82)))</f>
        <v>41883.336253369271</v>
      </c>
      <c r="AC82" s="2171">
        <f>IF(ISERROR(Q82), AW82, IF(Q82=0, "", IF(Q82&gt;'Calculs Péremption conso'!$CB19, IF(Q82&lt;'Saisie données stocks'!$N$14, CONCATENATE('TRAD-Calculs dispo Données FA'!$B$88, " - ", 'Calculs Péremption conso'!$BY19, "/", 'Calculs Péremption conso'!$BZ19, "/", 'Calculs Péremption conso'!$CA19), 'Calculs Péremption conso'!CC19), V82)))</f>
        <v>41974.586253369271</v>
      </c>
      <c r="AD82" s="2051"/>
      <c r="AE82" s="2168">
        <f>(Calculs!N274)/Calculs!L329</f>
        <v>1.8274932614555257</v>
      </c>
      <c r="AF82" s="2168">
        <f t="shared" si="17"/>
        <v>0</v>
      </c>
      <c r="AG82" s="2173">
        <f>AE82-Paramétrage!D$29</f>
        <v>-1.1725067385444743</v>
      </c>
      <c r="AH82" s="2169">
        <f>IF(AE82&lt;Paramétrage!D$29, AE82, Paramétrage!D$29)</f>
        <v>1.8274932614555257</v>
      </c>
      <c r="AI82" s="2170">
        <f>Paramétrage!H$19+AG82*(365/12)</f>
        <v>41883.336253369271</v>
      </c>
      <c r="AJ82" s="2171">
        <f>IF(AE82&lt;Paramétrage!D$29, Paramétrage!H$19+AH82*(365/12), Paramétrage!H$19+AE82*(365/12))</f>
        <v>41974.586253369271</v>
      </c>
      <c r="AK82" s="2051"/>
      <c r="AL82" s="2168">
        <f>IF(ISERROR(AE82),"", IF(AE82=0, "", IF(AE82&gt;'Calculs Péremption conso'!$CB19, 'Calculs Péremption conso'!$CB19, AE82)))</f>
        <v>1.8274932614555257</v>
      </c>
      <c r="AM82" s="2172" t="str">
        <f t="shared" si="18"/>
        <v/>
      </c>
      <c r="AN82" s="2173">
        <f>IF(ISERROR(AE82),"", IF(AE82=0, "", IF(AE82&gt;'Calculs Péremption conso'!$CB19, 'Calculs Péremption conso'!$CB19-Paramétrage!$D$29, AG82)))</f>
        <v>-1.1725067385444743</v>
      </c>
      <c r="AO82" s="2174">
        <f>IF(ISERROR(AE82),"", IF(AE82=0, "", IF(AE82&gt;'Calculs Péremption conso'!$CB19, Paramétrage!$D$29, AH82)))</f>
        <v>1.8274932614555257</v>
      </c>
      <c r="AP82" s="2170">
        <f>IF(ISERROR(AE82),"", IF(AE82=0, "", IF(AE82&gt;'Calculs Péremption conso'!$CB19, 'Calculs Péremption conso'!$BX19-Paramétrage!$D$29*(365/12), AI82)))</f>
        <v>41883.336253369271</v>
      </c>
      <c r="AQ82" s="2171">
        <f>IF(ISERROR(AE82),"", IF(AE82=0, "", IF(AE82&gt;'Calculs Péremption conso'!$CB19, CONCATENATE('TRAD-Calculs dispo Données FA'!$B$88, " - ", 'Calculs Péremption conso'!$BY19, "/", 'Calculs Péremption conso'!$BZ19, "/", 'Calculs Péremption conso'!$CA19), AJ82)))</f>
        <v>41974.586253369271</v>
      </c>
      <c r="AR82" s="2051"/>
      <c r="AS82" s="2061">
        <f>Calculs!$N274</f>
        <v>2712</v>
      </c>
      <c r="AT82" s="2062">
        <f>Calculs!L329</f>
        <v>1484</v>
      </c>
      <c r="AU82" s="2068">
        <f>Calculs!$N329</f>
        <v>0</v>
      </c>
      <c r="AV82" s="2070" t="str">
        <f>IF(AND(AU82=0, AS82=0, AT82=0), 'TRAD-Calculs dispo Données FA'!$B$82, "")</f>
        <v/>
      </c>
      <c r="AW82" s="2062" t="str">
        <f>IF(AND(AU82=0, AS82&gt;0, AT82=0), CONCATENATE(AS82, 'TRAD-Calculs dispo Données FA'!$B$80," =0"), "")</f>
        <v/>
      </c>
      <c r="AX82" s="2063" t="str">
        <f>IF(AND(AS82=0, OR(AT82&gt;=1, AU82&gt;=1)), 'TRAD-Calculs dispo Données FA'!$B$81, "")</f>
        <v/>
      </c>
      <c r="AY82" s="2051"/>
      <c r="AZ82" s="2051"/>
      <c r="BA82" s="2051"/>
      <c r="BB82" s="2051"/>
      <c r="BC82" s="2051"/>
      <c r="BD82" s="2051"/>
      <c r="BE82" s="2051"/>
      <c r="BF82" s="2051"/>
      <c r="BG82" s="2051"/>
      <c r="BH82" s="2051"/>
      <c r="BI82" s="2051"/>
      <c r="BJ82" s="2051"/>
      <c r="BK82" s="2051"/>
      <c r="BL82" s="2051"/>
      <c r="BM82" s="2051"/>
      <c r="BN82" s="2051"/>
      <c r="BO82" s="2051"/>
      <c r="BP82" s="2051"/>
      <c r="BQ82" s="2051"/>
      <c r="BR82" s="2051"/>
      <c r="BS82" s="2051"/>
      <c r="BT82" s="2051"/>
    </row>
    <row r="83" spans="3:72" s="358" customFormat="1" ht="38.25" x14ac:dyDescent="0.2">
      <c r="C83" s="374"/>
      <c r="D83" s="375"/>
      <c r="E83" s="382" t="str">
        <f>'Saisie données stocks'!F32</f>
        <v>TDF+3TC</v>
      </c>
      <c r="F83" s="383" t="str">
        <f>'Saisie données stocks'!G32</f>
        <v>Cp</v>
      </c>
      <c r="G83" s="383" t="str">
        <f>'Saisie données stocks'!H32</f>
        <v>300/200 mg</v>
      </c>
      <c r="H83" s="385" t="str">
        <f>CONCATENATE(E83, " - ", G83, " - ", 'TRAD-Calculs dispo Données FA'!$B$79,"/", K83)</f>
        <v>TDF+3TC - 300/200 mg - B/30</v>
      </c>
      <c r="I83" s="386">
        <f>Calculs!K115</f>
        <v>1</v>
      </c>
      <c r="J83" s="386">
        <f t="shared" si="10"/>
        <v>30</v>
      </c>
      <c r="K83" s="115">
        <f>Calculs!J115</f>
        <v>30</v>
      </c>
      <c r="L83" s="387">
        <f t="shared" si="11"/>
        <v>1</v>
      </c>
      <c r="M83" s="1821">
        <f>Calculs!N275</f>
        <v>0</v>
      </c>
      <c r="N83" s="1870">
        <f>Calculs!$L$330</f>
        <v>104</v>
      </c>
      <c r="O83" s="1870">
        <f>Calculs!$N$330</f>
        <v>0</v>
      </c>
      <c r="P83"/>
      <c r="Q83" s="2168">
        <f>IF(Calculs!N330&gt;0, (-(Calculs!N330+2*Calculs!L330)+SQRT((Calculs!N330+2*Calculs!L330)*(Calculs!N330+2*Calculs!L330)+8*Calculs!N330*(M83)))/(2*Calculs!N330), ((M83)/Calculs!L330))</f>
        <v>0</v>
      </c>
      <c r="R83" s="2168">
        <f t="shared" si="12"/>
        <v>0</v>
      </c>
      <c r="S83" s="2173">
        <f>Q83-Paramétrage!D$29</f>
        <v>-3</v>
      </c>
      <c r="T83" s="2169">
        <f>IF(Q83&lt;Paramétrage!D$29, Q83, Paramétrage!D$29)</f>
        <v>0</v>
      </c>
      <c r="U83" s="2170">
        <f>IF(Q83&lt;Paramétrage!D$29, Paramétrage!H$19+S83*(365/12), Paramétrage!H$19+S83*(365/12))</f>
        <v>41827.75</v>
      </c>
      <c r="V83" s="2171">
        <f>IF(Q83&lt;Paramétrage!D$29, Paramétrage!H$19+T83*(365/12), Paramétrage!H$19+Q83*(365/12))</f>
        <v>41919</v>
      </c>
      <c r="W83" s="2051"/>
      <c r="X83" s="2168" t="str">
        <f t="shared" si="13"/>
        <v/>
      </c>
      <c r="Y83" s="2172" t="str">
        <f t="shared" si="14"/>
        <v/>
      </c>
      <c r="Z83" s="2173" t="str">
        <f t="shared" si="15"/>
        <v/>
      </c>
      <c r="AA83" s="2174" t="str">
        <f t="shared" si="16"/>
        <v/>
      </c>
      <c r="AB83" s="2170" t="str">
        <f>IF(ISERROR(Q83),"", IF(Q83=0, "", IF(Q83&gt;'Calculs Péremption conso'!$CB20, 'Calculs Péremption conso'!$BX20-Paramétrage!$D$29*(365/12), U83)))</f>
        <v/>
      </c>
      <c r="AC83" s="2171" t="str">
        <f>IF(ISERROR(Q83), AW83, IF(Q83=0, "", IF(Q83&gt;'Calculs Péremption conso'!$CB20, IF(Q83&lt;'Saisie données stocks'!$N$14, CONCATENATE('TRAD-Calculs dispo Données FA'!$B$88, " - ", 'Calculs Péremption conso'!$BY20, "/", 'Calculs Péremption conso'!$BZ20, "/", 'Calculs Péremption conso'!$CA20), 'Calculs Péremption conso'!CC20), V83)))</f>
        <v/>
      </c>
      <c r="AD83" s="2051"/>
      <c r="AE83" s="2168">
        <f>(Calculs!N275)/Calculs!L330</f>
        <v>0</v>
      </c>
      <c r="AF83" s="2168">
        <f t="shared" si="17"/>
        <v>0</v>
      </c>
      <c r="AG83" s="2173">
        <f>AE83-Paramétrage!D$29</f>
        <v>-3</v>
      </c>
      <c r="AH83" s="2169">
        <f>IF(AE83&lt;Paramétrage!D$29, AE83, Paramétrage!D$29)</f>
        <v>0</v>
      </c>
      <c r="AI83" s="2170">
        <f>Paramétrage!H$19+AG83*(365/12)</f>
        <v>41827.75</v>
      </c>
      <c r="AJ83" s="2171">
        <f>IF(AE83&lt;Paramétrage!D$29, Paramétrage!H$19+AH83*(365/12), Paramétrage!H$19+AE83*(365/12))</f>
        <v>41919</v>
      </c>
      <c r="AK83" s="2051"/>
      <c r="AL83" s="2168" t="str">
        <f>IF(ISERROR(AE83),"", IF(AE83=0, "", IF(AE83&gt;'Calculs Péremption conso'!$CB20, 'Calculs Péremption conso'!$CB20, AE83)))</f>
        <v/>
      </c>
      <c r="AM83" s="2172" t="str">
        <f t="shared" si="18"/>
        <v/>
      </c>
      <c r="AN83" s="2173" t="str">
        <f>IF(ISERROR(AE83),"", IF(AE83=0, "", IF(AE83&gt;'Calculs Péremption conso'!$CB20, 'Calculs Péremption conso'!$CB20-Paramétrage!$D$29, AG83)))</f>
        <v/>
      </c>
      <c r="AO83" s="2174" t="str">
        <f>IF(ISERROR(AE83),"", IF(AE83=0, "", IF(AE83&gt;'Calculs Péremption conso'!$CB20, Paramétrage!$D$29, AH83)))</f>
        <v/>
      </c>
      <c r="AP83" s="2170" t="str">
        <f>IF(ISERROR(AE83),"", IF(AE83=0, "", IF(AE83&gt;'Calculs Péremption conso'!$CB20, 'Calculs Péremption conso'!$BX20-Paramétrage!$D$29*(365/12), AI83)))</f>
        <v/>
      </c>
      <c r="AQ83" s="2171" t="str">
        <f>IF(ISERROR(AE83),"", IF(AE83=0, "", IF(AE83&gt;'Calculs Péremption conso'!$CB20, CONCATENATE('TRAD-Calculs dispo Données FA'!$B$88, " - ", 'Calculs Péremption conso'!$BY20, "/", 'Calculs Péremption conso'!$BZ20, "/", 'Calculs Péremption conso'!$CA20), AJ83)))</f>
        <v/>
      </c>
      <c r="AR83" s="2051"/>
      <c r="AS83" s="2061">
        <f>Calculs!$N275</f>
        <v>0</v>
      </c>
      <c r="AT83" s="2062">
        <f>Calculs!L330</f>
        <v>104</v>
      </c>
      <c r="AU83" s="2068">
        <f>Calculs!$N330</f>
        <v>0</v>
      </c>
      <c r="AV83" s="2070" t="str">
        <f>IF(AND(AU83=0, AS83=0, AT83=0), 'TRAD-Calculs dispo Données FA'!$B$82, "")</f>
        <v/>
      </c>
      <c r="AW83" s="2062" t="str">
        <f>IF(AND(AU83=0, AS83&gt;0, AT83=0), CONCATENATE(AS83, 'TRAD-Calculs dispo Données FA'!$B$80," =0"), "")</f>
        <v/>
      </c>
      <c r="AX83" s="2063" t="str">
        <f>IF(AND(AS83=0, OR(AT83&gt;=1, AU83&gt;=1)), 'TRAD-Calculs dispo Données FA'!$B$81, "")</f>
        <v>RUPTURE</v>
      </c>
      <c r="AY83" s="2051"/>
      <c r="AZ83" s="2051"/>
      <c r="BA83" s="2051"/>
      <c r="BB83" s="2051"/>
      <c r="BC83" s="2051"/>
      <c r="BD83" s="2051"/>
      <c r="BE83" s="2051"/>
      <c r="BF83" s="2051"/>
      <c r="BG83" s="2051"/>
      <c r="BH83" s="2051"/>
      <c r="BI83" s="2051"/>
      <c r="BJ83" s="2051"/>
      <c r="BK83" s="2051"/>
      <c r="BL83" s="2051"/>
      <c r="BM83" s="2051"/>
      <c r="BN83" s="2051"/>
      <c r="BO83" s="2051"/>
      <c r="BP83" s="2051"/>
      <c r="BQ83" s="2051"/>
      <c r="BR83" s="2051"/>
      <c r="BS83" s="2051"/>
      <c r="BT83" s="2051"/>
    </row>
    <row r="84" spans="3:72" s="358" customFormat="1" ht="63.75" x14ac:dyDescent="0.2">
      <c r="C84" s="388"/>
      <c r="D84" s="389"/>
      <c r="E84" s="390" t="str">
        <f>'Saisie données stocks'!F33</f>
        <v>[TDF+3TC]+ATV/r</v>
      </c>
      <c r="F84" s="391" t="str">
        <f>'Saisie données stocks'!G33</f>
        <v>Cp coblister</v>
      </c>
      <c r="G84" s="391" t="str">
        <f>'Saisie données stocks'!H33</f>
        <v>[300/300]+300/100 mg</v>
      </c>
      <c r="H84" s="393" t="str">
        <f>CONCATENATE(E84, " - ", G84, " - ", 'TRAD-Calculs dispo Données FA'!$B$79,"/", K84)</f>
        <v>[TDF+3TC]+ATV/r - [300/300]+300/100 mg - B/30</v>
      </c>
      <c r="I84" s="394">
        <f>Calculs!K116</f>
        <v>1</v>
      </c>
      <c r="J84" s="394">
        <f t="shared" si="10"/>
        <v>30</v>
      </c>
      <c r="K84" s="116">
        <f>Calculs!J116</f>
        <v>30</v>
      </c>
      <c r="L84" s="395">
        <f t="shared" si="11"/>
        <v>1</v>
      </c>
      <c r="M84" s="1822">
        <f>Calculs!N276</f>
        <v>0</v>
      </c>
      <c r="N84" s="1822">
        <f>Calculs!$L$331</f>
        <v>0</v>
      </c>
      <c r="O84" s="1822">
        <f>Calculs!$N$331</f>
        <v>0</v>
      </c>
      <c r="P84"/>
      <c r="Q84" s="2175" t="e">
        <f>IF(Calculs!N331&gt;0, (-(Calculs!N331+2*Calculs!L331)+SQRT((Calculs!N331+2*Calculs!L331)*(Calculs!N331+2*Calculs!L331)+8*Calculs!N331*(M84)))/(2*Calculs!N331), ((M84)/Calculs!L331))</f>
        <v>#DIV/0!</v>
      </c>
      <c r="R84" s="2175" t="e">
        <f t="shared" si="12"/>
        <v>#DIV/0!</v>
      </c>
      <c r="S84" s="2176" t="e">
        <f>Q84-Paramétrage!D$29</f>
        <v>#DIV/0!</v>
      </c>
      <c r="T84" s="2177" t="e">
        <f>IF(Q84&lt;Paramétrage!D$29, Q84, Paramétrage!D$29)</f>
        <v>#DIV/0!</v>
      </c>
      <c r="U84" s="2178" t="e">
        <f>IF(Q84&lt;Paramétrage!D$29, Paramétrage!H$19+S84*(365/12), Paramétrage!H$19+S84*(365/12))</f>
        <v>#DIV/0!</v>
      </c>
      <c r="V84" s="2179" t="e">
        <f>IF(Q84&lt;Paramétrage!D$29, Paramétrage!H$19+T84*(365/12), Paramétrage!H$19+Q84*(365/12))</f>
        <v>#DIV/0!</v>
      </c>
      <c r="W84" s="2051"/>
      <c r="X84" s="2175" t="str">
        <f t="shared" si="13"/>
        <v/>
      </c>
      <c r="Y84" s="2180" t="str">
        <f t="shared" si="14"/>
        <v/>
      </c>
      <c r="Z84" s="2181" t="str">
        <f t="shared" si="15"/>
        <v/>
      </c>
      <c r="AA84" s="2182" t="str">
        <f t="shared" si="16"/>
        <v/>
      </c>
      <c r="AB84" s="2178" t="str">
        <f>IF(ISERROR(Q84),"", IF(Q84=0, "", IF(Q84&gt;'Calculs Péremption conso'!$CB21, 'Calculs Péremption conso'!$BX21-Paramétrage!$D$29*(365/12), U84)))</f>
        <v/>
      </c>
      <c r="AC84" s="2179" t="str">
        <f>IF(ISERROR(Q84), AW84, IF(Q84=0, "", IF(Q84&gt;'Calculs Péremption conso'!$CB21, IF(Q84&lt;'Saisie données stocks'!$N$14, CONCATENATE('TRAD-Calculs dispo Données FA'!$B$88, " - ", 'Calculs Péremption conso'!$BY21, "/", 'Calculs Péremption conso'!$BZ21, "/", 'Calculs Péremption conso'!$CA21), 'Calculs Péremption conso'!CC21), V84)))</f>
        <v/>
      </c>
      <c r="AD84" s="2051"/>
      <c r="AE84" s="2175" t="e">
        <f>(Calculs!N276)/Calculs!L331</f>
        <v>#DIV/0!</v>
      </c>
      <c r="AF84" s="2175" t="e">
        <f t="shared" si="17"/>
        <v>#DIV/0!</v>
      </c>
      <c r="AG84" s="2173" t="e">
        <f>AE84-Paramétrage!D$29</f>
        <v>#DIV/0!</v>
      </c>
      <c r="AH84" s="2177" t="e">
        <f>IF(AE84&lt;Paramétrage!D$29, AE84, Paramétrage!D$29)</f>
        <v>#DIV/0!</v>
      </c>
      <c r="AI84" s="2178" t="e">
        <f>Paramétrage!H$19+AG84*(365/12)</f>
        <v>#DIV/0!</v>
      </c>
      <c r="AJ84" s="2179" t="e">
        <f>IF(AE84&lt;Paramétrage!D$29, Paramétrage!H$19+AH84*(365/12), Paramétrage!H$19+AE84*(365/12))</f>
        <v>#DIV/0!</v>
      </c>
      <c r="AK84" s="2051"/>
      <c r="AL84" s="2175" t="str">
        <f>IF(ISERROR(AE84),"", IF(AE84=0, "", IF(AE84&gt;'Calculs Péremption conso'!$CB21, 'Calculs Péremption conso'!$CB21, AE84)))</f>
        <v/>
      </c>
      <c r="AM84" s="2180" t="str">
        <f t="shared" si="18"/>
        <v/>
      </c>
      <c r="AN84" s="2181" t="str">
        <f>IF(ISERROR(AE84),"", IF(AE84=0, "", IF(AE84&gt;'Calculs Péremption conso'!$CB21, 'Calculs Péremption conso'!$CB21-Paramétrage!$D$29, AG84)))</f>
        <v/>
      </c>
      <c r="AO84" s="2182" t="str">
        <f>IF(ISERROR(AE84),"", IF(AE84=0, "", IF(AE84&gt;'Calculs Péremption conso'!$CB21, Paramétrage!$D$29, AH84)))</f>
        <v/>
      </c>
      <c r="AP84" s="2178" t="str">
        <f>IF(ISERROR(AE84),"", IF(AE84=0, "", IF(AE84&gt;'Calculs Péremption conso'!$CB21, 'Calculs Péremption conso'!$BX21-Paramétrage!$D$29*(365/12), AI84)))</f>
        <v/>
      </c>
      <c r="AQ84" s="2179" t="str">
        <f>IF(ISERROR(AE84),"", IF(AE84=0, "", IF(AE84&gt;'Calculs Péremption conso'!$CB21, CONCATENATE('TRAD-Calculs dispo Données FA'!$B$88, " - ", 'Calculs Péremption conso'!$BY21, "/", 'Calculs Péremption conso'!$BZ21, "/", 'Calculs Péremption conso'!$CA21), AJ84)))</f>
        <v/>
      </c>
      <c r="AR84" s="2051"/>
      <c r="AS84" s="2061">
        <f>Calculs!$N276</f>
        <v>0</v>
      </c>
      <c r="AT84" s="2062">
        <f>Calculs!L331</f>
        <v>0</v>
      </c>
      <c r="AU84" s="2068">
        <f>Calculs!$N331</f>
        <v>0</v>
      </c>
      <c r="AV84" s="2070" t="str">
        <f>IF(AND(AU84=0, AS84=0, AT84=0), 'TRAD-Calculs dispo Données FA'!$B$82, "")</f>
        <v>Stock et besoin nul</v>
      </c>
      <c r="AW84" s="2062" t="str">
        <f>IF(AND(AU84=0, AS84&gt;0, AT84=0), CONCATENATE(AS84, 'TRAD-Calculs dispo Données FA'!$B$80," =0"), "")</f>
        <v/>
      </c>
      <c r="AX84" s="2063" t="str">
        <f>IF(AND(AS84=0, OR(AT84&gt;=1, AU84&gt;=1)), 'TRAD-Calculs dispo Données FA'!$B$81, "")</f>
        <v/>
      </c>
      <c r="AY84" s="2051"/>
      <c r="AZ84" s="2051"/>
      <c r="BA84" s="2051"/>
      <c r="BB84" s="2051"/>
      <c r="BC84" s="2051"/>
      <c r="BD84" s="2051"/>
      <c r="BE84" s="2051"/>
      <c r="BF84" s="2051"/>
      <c r="BG84" s="2051"/>
      <c r="BH84" s="2051"/>
      <c r="BI84" s="2051"/>
      <c r="BJ84" s="2051"/>
      <c r="BK84" s="2051"/>
      <c r="BL84" s="2051"/>
      <c r="BM84" s="2051"/>
      <c r="BN84" s="2051"/>
      <c r="BO84" s="2051"/>
      <c r="BP84" s="2051"/>
      <c r="BQ84" s="2051"/>
      <c r="BR84" s="2051"/>
      <c r="BS84" s="2051"/>
      <c r="BT84" s="2051"/>
    </row>
    <row r="85" spans="3:72" s="358" customFormat="1" ht="25.5" x14ac:dyDescent="0.2">
      <c r="C85" s="374"/>
      <c r="D85" s="375" t="s">
        <v>26</v>
      </c>
      <c r="E85" s="376" t="str">
        <f>'Saisie données stocks'!F34</f>
        <v>EFV</v>
      </c>
      <c r="F85" s="377" t="str">
        <f>'Saisie données stocks'!G34</f>
        <v>Gél</v>
      </c>
      <c r="G85" s="377" t="str">
        <f>'Saisie données stocks'!H34</f>
        <v>50 mg</v>
      </c>
      <c r="H85" s="379" t="str">
        <f>CONCATENATE(E85, " - ", G85, " - ", 'TRAD-Calculs dispo Données FA'!$B$79,"/", K85)</f>
        <v>EFV - 50 mg - B/30</v>
      </c>
      <c r="I85" s="380">
        <f>Calculs!K117</f>
        <v>0</v>
      </c>
      <c r="J85" s="380">
        <f t="shared" si="10"/>
        <v>0</v>
      </c>
      <c r="K85" s="114">
        <f>Calculs!J117</f>
        <v>30</v>
      </c>
      <c r="L85" s="381">
        <f t="shared" si="11"/>
        <v>0</v>
      </c>
      <c r="M85" s="1820">
        <f>Calculs!N277</f>
        <v>0</v>
      </c>
      <c r="N85" s="1820">
        <f>Calculs!$L$332</f>
        <v>0</v>
      </c>
      <c r="O85" s="1820">
        <f>Calculs!$N$332</f>
        <v>0</v>
      </c>
      <c r="P85"/>
      <c r="Q85" s="2161" t="e">
        <f>IF(Calculs!N332&gt;0, (-(Calculs!N332+2*Calculs!L332)+SQRT((Calculs!N332+2*Calculs!L332)*(Calculs!N332+2*Calculs!L332)+8*Calculs!N332*(M85)))/(2*Calculs!N332), ((M85)/Calculs!L332))</f>
        <v>#DIV/0!</v>
      </c>
      <c r="R85" s="2161" t="e">
        <f t="shared" si="12"/>
        <v>#DIV/0!</v>
      </c>
      <c r="S85" s="2183" t="e">
        <f>Q85-Paramétrage!D$29</f>
        <v>#DIV/0!</v>
      </c>
      <c r="T85" s="2163" t="e">
        <f>IF(Q85&lt;Paramétrage!D$29, Q85, Paramétrage!D$29)</f>
        <v>#DIV/0!</v>
      </c>
      <c r="U85" s="2164" t="e">
        <f>IF(Q85&lt;Paramétrage!D$29, Paramétrage!H$19+S85*(365/12), Paramétrage!H$19+S85*(365/12))</f>
        <v>#DIV/0!</v>
      </c>
      <c r="V85" s="2165" t="e">
        <f>IF(Q85&lt;Paramétrage!D$29, Paramétrage!H$19+T85*(365/12), Paramétrage!H$19+Q85*(365/12))</f>
        <v>#DIV/0!</v>
      </c>
      <c r="W85" s="2051"/>
      <c r="X85" s="2161" t="str">
        <f t="shared" si="13"/>
        <v/>
      </c>
      <c r="Y85" s="2166" t="str">
        <f t="shared" si="14"/>
        <v/>
      </c>
      <c r="Z85" s="2162" t="str">
        <f t="shared" si="15"/>
        <v/>
      </c>
      <c r="AA85" s="2167" t="str">
        <f t="shared" si="16"/>
        <v/>
      </c>
      <c r="AB85" s="2164" t="str">
        <f>IF(ISERROR(Q85),"", IF(Q85=0, "", IF(Q85&gt;'Calculs Péremption conso'!$CB22, 'Calculs Péremption conso'!$BX22-Paramétrage!$D$29*(365/12), U85)))</f>
        <v/>
      </c>
      <c r="AC85" s="2165" t="str">
        <f>IF(ISERROR(Q85), AW85, IF(Q85=0, "", IF(Q85&gt;'Calculs Péremption conso'!$CB22, IF(Q85&lt;'Saisie données stocks'!$N$14, CONCATENATE('TRAD-Calculs dispo Données FA'!$B$88, " - ", 'Calculs Péremption conso'!$BY22, "/", 'Calculs Péremption conso'!$BZ22, "/", 'Calculs Péremption conso'!$CA22), 'Calculs Péremption conso'!CC22), V85)))</f>
        <v/>
      </c>
      <c r="AD85" s="2051"/>
      <c r="AE85" s="2161" t="e">
        <f>(Calculs!N277)/Calculs!L332</f>
        <v>#DIV/0!</v>
      </c>
      <c r="AF85" s="2161" t="e">
        <f t="shared" si="17"/>
        <v>#DIV/0!</v>
      </c>
      <c r="AG85" s="2173" t="e">
        <f>AE85-Paramétrage!D$29</f>
        <v>#DIV/0!</v>
      </c>
      <c r="AH85" s="2163" t="e">
        <f>IF(AE85&lt;Paramétrage!D$29, AE85, Paramétrage!D$29)</f>
        <v>#DIV/0!</v>
      </c>
      <c r="AI85" s="2164" t="e">
        <f>Paramétrage!H$19+AG85*(365/12)</f>
        <v>#DIV/0!</v>
      </c>
      <c r="AJ85" s="2165" t="e">
        <f>IF(AE85&lt;Paramétrage!D$29, Paramétrage!H$19+AH85*(365/12), Paramétrage!H$19+AE85*(365/12))</f>
        <v>#DIV/0!</v>
      </c>
      <c r="AK85" s="2051"/>
      <c r="AL85" s="2161" t="str">
        <f>IF(ISERROR(AE85),"", IF(AE85=0, "", IF(AE85&gt;'Calculs Péremption conso'!$CB22, 'Calculs Péremption conso'!$CB22, AE85)))</f>
        <v/>
      </c>
      <c r="AM85" s="2166" t="str">
        <f t="shared" si="18"/>
        <v/>
      </c>
      <c r="AN85" s="2162" t="str">
        <f>IF(ISERROR(AE85),"", IF(AE85=0, "", IF(AE85&gt;'Calculs Péremption conso'!$CB22, 'Calculs Péremption conso'!$CB22-Paramétrage!$D$29, AG85)))</f>
        <v/>
      </c>
      <c r="AO85" s="2167" t="str">
        <f>IF(ISERROR(AE85),"", IF(AE85=0, "", IF(AE85&gt;'Calculs Péremption conso'!$CB22, Paramétrage!$D$29, AH85)))</f>
        <v/>
      </c>
      <c r="AP85" s="2164" t="str">
        <f>IF(ISERROR(AE85),"", IF(AE85=0, "", IF(AE85&gt;'Calculs Péremption conso'!$CB22, 'Calculs Péremption conso'!$BX22-Paramétrage!$D$29*(365/12), AI85)))</f>
        <v/>
      </c>
      <c r="AQ85" s="2165" t="str">
        <f>IF(ISERROR(AE85),"", IF(AE85=0, "", IF(AE85&gt;'Calculs Péremption conso'!$CB22, CONCATENATE('TRAD-Calculs dispo Données FA'!$B$88, " - ", 'Calculs Péremption conso'!$BY22, "/", 'Calculs Péremption conso'!$BZ22, "/", 'Calculs Péremption conso'!$CA22), AJ85)))</f>
        <v/>
      </c>
      <c r="AR85" s="2051"/>
      <c r="AS85" s="2061">
        <f>Calculs!$N277</f>
        <v>0</v>
      </c>
      <c r="AT85" s="2062">
        <f>Calculs!L332</f>
        <v>0</v>
      </c>
      <c r="AU85" s="2068">
        <f>Calculs!$N332</f>
        <v>0</v>
      </c>
      <c r="AV85" s="2070" t="str">
        <f>IF(AND(AU85=0, AS85=0, AT85=0), 'TRAD-Calculs dispo Données FA'!$B$82, "")</f>
        <v>Stock et besoin nul</v>
      </c>
      <c r="AW85" s="2062" t="str">
        <f>IF(AND(AU85=0, AS85&gt;0, AT85=0), CONCATENATE(AS85, 'TRAD-Calculs dispo Données FA'!$B$80," =0"), "")</f>
        <v/>
      </c>
      <c r="AX85" s="2063" t="str">
        <f>IF(AND(AS85=0, OR(AT85&gt;=1, AU85&gt;=1)), 'TRAD-Calculs dispo Données FA'!$B$81, "")</f>
        <v/>
      </c>
      <c r="AY85" s="2051"/>
      <c r="AZ85" s="2051"/>
      <c r="BA85" s="2051"/>
      <c r="BB85" s="2051"/>
      <c r="BC85" s="2051"/>
      <c r="BD85" s="2051"/>
      <c r="BE85" s="2051"/>
      <c r="BF85" s="2051"/>
      <c r="BG85" s="2051"/>
      <c r="BH85" s="2051"/>
      <c r="BI85" s="2051"/>
      <c r="BJ85" s="2051"/>
      <c r="BK85" s="2051"/>
      <c r="BL85" s="2051"/>
      <c r="BM85" s="2051"/>
      <c r="BN85" s="2051"/>
      <c r="BO85" s="2051"/>
      <c r="BP85" s="2051"/>
      <c r="BQ85" s="2051"/>
      <c r="BR85" s="2051"/>
      <c r="BS85" s="2051"/>
      <c r="BT85" s="2051"/>
    </row>
    <row r="86" spans="3:72" s="358" customFormat="1" ht="25.5" x14ac:dyDescent="0.2">
      <c r="C86" s="374"/>
      <c r="D86" s="375"/>
      <c r="E86" s="382" t="str">
        <f>'Saisie données stocks'!F35</f>
        <v>EFV</v>
      </c>
      <c r="F86" s="383" t="str">
        <f>'Saisie données stocks'!G35</f>
        <v>Gél</v>
      </c>
      <c r="G86" s="383" t="str">
        <f>'Saisie données stocks'!H35</f>
        <v>200 mg</v>
      </c>
      <c r="H86" s="379" t="str">
        <f>CONCATENATE(E86, " - ", G86, " - ", 'TRAD-Calculs dispo Données FA'!$B$79,"/", K86)</f>
        <v>EFV - 200 mg - B/90</v>
      </c>
      <c r="I86" s="386">
        <f>Calculs!K118</f>
        <v>0</v>
      </c>
      <c r="J86" s="386">
        <f t="shared" si="10"/>
        <v>0</v>
      </c>
      <c r="K86" s="115">
        <f>Calculs!J118</f>
        <v>90</v>
      </c>
      <c r="L86" s="387">
        <f t="shared" si="11"/>
        <v>0</v>
      </c>
      <c r="M86" s="1821">
        <f>Calculs!N278</f>
        <v>0</v>
      </c>
      <c r="N86" s="1870">
        <f>Calculs!$L$333</f>
        <v>21</v>
      </c>
      <c r="O86" s="1870">
        <f>Calculs!$N$333</f>
        <v>0</v>
      </c>
      <c r="P86"/>
      <c r="Q86" s="2168">
        <f>IF(Calculs!N333&gt;0, (-(Calculs!N333+2*Calculs!L333)+SQRT((Calculs!N333+2*Calculs!L333)*(Calculs!N333+2*Calculs!L333)+8*Calculs!N333*(M86)))/(2*Calculs!N333), ((M86)/Calculs!L333))</f>
        <v>0</v>
      </c>
      <c r="R86" s="2168">
        <f t="shared" si="12"/>
        <v>0</v>
      </c>
      <c r="S86" s="2173">
        <f>Q86-Paramétrage!D$29</f>
        <v>-3</v>
      </c>
      <c r="T86" s="2169">
        <f>IF(Q86&lt;Paramétrage!D$29, Q86, Paramétrage!D$29)</f>
        <v>0</v>
      </c>
      <c r="U86" s="2170">
        <f>IF(Q86&lt;Paramétrage!D$29, Paramétrage!H$19+S86*(365/12), Paramétrage!H$19+S86*(365/12))</f>
        <v>41827.75</v>
      </c>
      <c r="V86" s="2171">
        <f>IF(Q86&lt;Paramétrage!D$29, Paramétrage!H$19+T86*(365/12), Paramétrage!H$19+Q86*(365/12))</f>
        <v>41919</v>
      </c>
      <c r="W86" s="2051"/>
      <c r="X86" s="2168" t="str">
        <f t="shared" si="13"/>
        <v/>
      </c>
      <c r="Y86" s="2172" t="str">
        <f t="shared" si="14"/>
        <v/>
      </c>
      <c r="Z86" s="2173" t="str">
        <f t="shared" si="15"/>
        <v/>
      </c>
      <c r="AA86" s="2174" t="str">
        <f t="shared" si="16"/>
        <v/>
      </c>
      <c r="AB86" s="2170" t="str">
        <f>IF(ISERROR(Q86),"", IF(Q86=0, "", IF(Q86&gt;'Calculs Péremption conso'!$CB23, 'Calculs Péremption conso'!$BX23-Paramétrage!$D$29*(365/12), U86)))</f>
        <v/>
      </c>
      <c r="AC86" s="2171" t="str">
        <f>IF(ISERROR(Q86), AW86, IF(Q86=0, "", IF(Q86&gt;'Calculs Péremption conso'!$CB23, IF(Q86&lt;'Saisie données stocks'!$N$14, CONCATENATE('TRAD-Calculs dispo Données FA'!$B$88, " - ", 'Calculs Péremption conso'!$BY23, "/", 'Calculs Péremption conso'!$BZ23, "/", 'Calculs Péremption conso'!$CA23), 'Calculs Péremption conso'!CC23), V86)))</f>
        <v/>
      </c>
      <c r="AD86" s="2051"/>
      <c r="AE86" s="2168">
        <f>(Calculs!N278)/Calculs!L333</f>
        <v>0</v>
      </c>
      <c r="AF86" s="2168">
        <f t="shared" si="17"/>
        <v>0</v>
      </c>
      <c r="AG86" s="2173">
        <f>AE86-Paramétrage!D$29</f>
        <v>-3</v>
      </c>
      <c r="AH86" s="2169">
        <f>IF(AE86&lt;Paramétrage!D$29, AE86, Paramétrage!D$29)</f>
        <v>0</v>
      </c>
      <c r="AI86" s="2170">
        <f>Paramétrage!H$19+AG86*(365/12)</f>
        <v>41827.75</v>
      </c>
      <c r="AJ86" s="2171">
        <f>IF(AE86&lt;Paramétrage!D$29, Paramétrage!H$19+AH86*(365/12), Paramétrage!H$19+AE86*(365/12))</f>
        <v>41919</v>
      </c>
      <c r="AK86" s="2051"/>
      <c r="AL86" s="2168" t="str">
        <f>IF(ISERROR(AE86),"", IF(AE86=0, "", IF(AE86&gt;'Calculs Péremption conso'!$CB23, 'Calculs Péremption conso'!$CB23, AE86)))</f>
        <v/>
      </c>
      <c r="AM86" s="2172" t="str">
        <f t="shared" si="18"/>
        <v/>
      </c>
      <c r="AN86" s="2173" t="str">
        <f>IF(ISERROR(AE86),"", IF(AE86=0, "", IF(AE86&gt;'Calculs Péremption conso'!$CB23, 'Calculs Péremption conso'!$CB23-Paramétrage!$D$29, AG86)))</f>
        <v/>
      </c>
      <c r="AO86" s="2174" t="str">
        <f>IF(ISERROR(AE86),"", IF(AE86=0, "", IF(AE86&gt;'Calculs Péremption conso'!$CB23, Paramétrage!$D$29, AH86)))</f>
        <v/>
      </c>
      <c r="AP86" s="2170" t="str">
        <f>IF(ISERROR(AE86),"", IF(AE86=0, "", IF(AE86&gt;'Calculs Péremption conso'!$CB23, 'Calculs Péremption conso'!$BX23-Paramétrage!$D$29*(365/12), AI86)))</f>
        <v/>
      </c>
      <c r="AQ86" s="2171" t="str">
        <f>IF(ISERROR(AE86),"", IF(AE86=0, "", IF(AE86&gt;'Calculs Péremption conso'!$CB23, CONCATENATE('TRAD-Calculs dispo Données FA'!$B$88, " - ", 'Calculs Péremption conso'!$BY23, "/", 'Calculs Péremption conso'!$BZ23, "/", 'Calculs Péremption conso'!$CA23), AJ86)))</f>
        <v/>
      </c>
      <c r="AR86" s="2051"/>
      <c r="AS86" s="2061">
        <f>Calculs!$N278</f>
        <v>0</v>
      </c>
      <c r="AT86" s="2062">
        <f>Calculs!L333</f>
        <v>21</v>
      </c>
      <c r="AU86" s="2068">
        <f>Calculs!$N333</f>
        <v>0</v>
      </c>
      <c r="AV86" s="2070" t="str">
        <f>IF(AND(AU86=0, AS86=0, AT86=0), 'TRAD-Calculs dispo Données FA'!$B$82, "")</f>
        <v/>
      </c>
      <c r="AW86" s="2062" t="str">
        <f>IF(AND(AU86=0, AS86&gt;0, AT86=0), CONCATENATE(AS86, 'TRAD-Calculs dispo Données FA'!$B$80," =0"), "")</f>
        <v/>
      </c>
      <c r="AX86" s="2063" t="str">
        <f>IF(AND(AS86=0, OR(AT86&gt;=1, AU86&gt;=1)), 'TRAD-Calculs dispo Données FA'!$B$81, "")</f>
        <v>RUPTURE</v>
      </c>
      <c r="AY86" s="2051"/>
      <c r="AZ86" s="2051"/>
      <c r="BA86" s="2051"/>
      <c r="BB86" s="2051"/>
      <c r="BC86" s="2051"/>
      <c r="BD86" s="2051"/>
      <c r="BE86" s="2051"/>
      <c r="BF86" s="2051"/>
      <c r="BG86" s="2051"/>
      <c r="BH86" s="2051"/>
      <c r="BI86" s="2051"/>
      <c r="BJ86" s="2051"/>
      <c r="BK86" s="2051"/>
      <c r="BL86" s="2051"/>
      <c r="BM86" s="2051"/>
      <c r="BN86" s="2051"/>
      <c r="BO86" s="2051"/>
      <c r="BP86" s="2051"/>
      <c r="BQ86" s="2051"/>
      <c r="BR86" s="2051"/>
      <c r="BS86" s="2051"/>
      <c r="BT86" s="2051"/>
    </row>
    <row r="87" spans="3:72" s="358" customFormat="1" ht="25.5" x14ac:dyDescent="0.2">
      <c r="C87" s="374"/>
      <c r="D87" s="375"/>
      <c r="E87" s="396" t="str">
        <f>'Saisie données stocks'!F36</f>
        <v>EFV</v>
      </c>
      <c r="F87" s="397" t="str">
        <f>'Saisie données stocks'!G36</f>
        <v>Cp</v>
      </c>
      <c r="G87" s="397" t="str">
        <f>'Saisie données stocks'!H36</f>
        <v>600 mg</v>
      </c>
      <c r="H87" s="379" t="str">
        <f>CONCATENATE(E87, " - ", G87, " - ", 'TRAD-Calculs dispo Données FA'!$B$79,"/", K87)</f>
        <v>EFV - 600 mg - B/30</v>
      </c>
      <c r="I87" s="399">
        <f>Calculs!K119</f>
        <v>1</v>
      </c>
      <c r="J87" s="399">
        <f t="shared" si="10"/>
        <v>30</v>
      </c>
      <c r="K87" s="117">
        <f>Calculs!J119</f>
        <v>30</v>
      </c>
      <c r="L87" s="400">
        <f t="shared" si="11"/>
        <v>1</v>
      </c>
      <c r="M87" s="1823">
        <f>Calculs!N279</f>
        <v>2210</v>
      </c>
      <c r="N87" s="1871">
        <f>Calculs!$L$334</f>
        <v>1485</v>
      </c>
      <c r="O87" s="1871">
        <f>Calculs!$N$334</f>
        <v>0</v>
      </c>
      <c r="P87"/>
      <c r="Q87" s="2184">
        <f>IF(Calculs!N334&gt;0, (-(Calculs!N334+2*Calculs!L334)+SQRT((Calculs!N334+2*Calculs!L334)*(Calculs!N334+2*Calculs!L334)+8*Calculs!N334*(M87)))/(2*Calculs!N334), ((M87)/Calculs!L334))</f>
        <v>1.4882154882154883</v>
      </c>
      <c r="R87" s="2184">
        <f t="shared" si="12"/>
        <v>1.4882154882154879</v>
      </c>
      <c r="S87" s="2173">
        <f>Q87-Paramétrage!D$29</f>
        <v>-1.5117845117845117</v>
      </c>
      <c r="T87" s="2185">
        <f>IF(Q87&lt;Paramétrage!D$29, Q87, Paramétrage!D$29)</f>
        <v>1.4882154882154883</v>
      </c>
      <c r="U87" s="2186">
        <f>IF(Q87&lt;Paramétrage!D$29, Paramétrage!H$19+S87*(365/12), Paramétrage!H$19+S87*(365/12))</f>
        <v>41873.016554433219</v>
      </c>
      <c r="V87" s="2187">
        <f>IF(Q87&lt;Paramétrage!D$29, Paramétrage!H$19+T87*(365/12), Paramétrage!H$19+Q87*(365/12))</f>
        <v>41964.266554433219</v>
      </c>
      <c r="W87" s="2051"/>
      <c r="X87" s="2184">
        <f t="shared" si="13"/>
        <v>1.4882154882154883</v>
      </c>
      <c r="Y87" s="2188">
        <f t="shared" si="14"/>
        <v>1.4882154882154879</v>
      </c>
      <c r="Z87" s="2176">
        <f t="shared" si="15"/>
        <v>-1.5117845117845117</v>
      </c>
      <c r="AA87" s="2189">
        <f t="shared" si="16"/>
        <v>1.4882154882154883</v>
      </c>
      <c r="AB87" s="2186">
        <f>IF(ISERROR(Q87),"", IF(Q87=0, "", IF(Q87&gt;'Calculs Péremption conso'!$CB24, 'Calculs Péremption conso'!$BX24-Paramétrage!$D$29*(365/12), U87)))</f>
        <v>41873.016554433219</v>
      </c>
      <c r="AC87" s="2187">
        <f>IF(ISERROR(Q87), AW87, IF(Q87=0, "", IF(Q87&gt;'Calculs Péremption conso'!$CB24, IF(Q87&lt;'Saisie données stocks'!$N$14, CONCATENATE('TRAD-Calculs dispo Données FA'!$B$88, " - ", 'Calculs Péremption conso'!$BY24, "/", 'Calculs Péremption conso'!$BZ24, "/", 'Calculs Péremption conso'!$CA24), 'Calculs Péremption conso'!CC24), V87)))</f>
        <v>41964.266554433219</v>
      </c>
      <c r="AD87" s="2051"/>
      <c r="AE87" s="2184">
        <f>(Calculs!N279)/Calculs!L334</f>
        <v>1.4882154882154883</v>
      </c>
      <c r="AF87" s="2184">
        <f t="shared" si="17"/>
        <v>0</v>
      </c>
      <c r="AG87" s="2173">
        <f>AE87-Paramétrage!D$29</f>
        <v>-1.5117845117845117</v>
      </c>
      <c r="AH87" s="2185">
        <f>IF(AE87&lt;Paramétrage!D$29, AE87, Paramétrage!D$29)</f>
        <v>1.4882154882154883</v>
      </c>
      <c r="AI87" s="2186">
        <f>Paramétrage!H$19+AG87*(365/12)</f>
        <v>41873.016554433219</v>
      </c>
      <c r="AJ87" s="2187">
        <f>IF(AE87&lt;Paramétrage!D$29, Paramétrage!H$19+AH87*(365/12), Paramétrage!H$19+AE87*(365/12))</f>
        <v>41964.266554433219</v>
      </c>
      <c r="AK87" s="2051"/>
      <c r="AL87" s="2184">
        <f>IF(ISERROR(AE87),"", IF(AE87=0, "", IF(AE87&gt;'Calculs Péremption conso'!$CB24, 'Calculs Péremption conso'!$CB24, AE87)))</f>
        <v>1.4882154882154883</v>
      </c>
      <c r="AM87" s="2188" t="str">
        <f t="shared" si="18"/>
        <v/>
      </c>
      <c r="AN87" s="2176">
        <f>IF(ISERROR(AE87),"", IF(AE87=0, "", IF(AE87&gt;'Calculs Péremption conso'!$CB24, 'Calculs Péremption conso'!$CB24-Paramétrage!$D$29, AG87)))</f>
        <v>-1.5117845117845117</v>
      </c>
      <c r="AO87" s="2189">
        <f>IF(ISERROR(AE87),"", IF(AE87=0, "", IF(AE87&gt;'Calculs Péremption conso'!$CB24, Paramétrage!$D$29, AH87)))</f>
        <v>1.4882154882154883</v>
      </c>
      <c r="AP87" s="2186">
        <f>IF(ISERROR(AE87),"", IF(AE87=0, "", IF(AE87&gt;'Calculs Péremption conso'!$CB24, 'Calculs Péremption conso'!$BX24-Paramétrage!$D$29*(365/12), AI87)))</f>
        <v>41873.016554433219</v>
      </c>
      <c r="AQ87" s="2187">
        <f>IF(ISERROR(AE87),"", IF(AE87=0, "", IF(AE87&gt;'Calculs Péremption conso'!$CB24, CONCATENATE('TRAD-Calculs dispo Données FA'!$B$88, " - ", 'Calculs Péremption conso'!$BY24, "/", 'Calculs Péremption conso'!$BZ24, "/", 'Calculs Péremption conso'!$CA24), AJ87)))</f>
        <v>41964.266554433219</v>
      </c>
      <c r="AR87" s="2051"/>
      <c r="AS87" s="2061">
        <f>Calculs!$N279</f>
        <v>2210</v>
      </c>
      <c r="AT87" s="2062">
        <f>Calculs!L334</f>
        <v>1485</v>
      </c>
      <c r="AU87" s="2068">
        <f>Calculs!$N334</f>
        <v>0</v>
      </c>
      <c r="AV87" s="2070" t="str">
        <f>IF(AND(AU87=0, AS87=0, AT87=0), 'TRAD-Calculs dispo Données FA'!$B$82, "")</f>
        <v/>
      </c>
      <c r="AW87" s="2062" t="str">
        <f>IF(AND(AU87=0, AS87&gt;0, AT87=0), CONCATENATE(AS87, 'TRAD-Calculs dispo Données FA'!$B$80," =0"), "")</f>
        <v/>
      </c>
      <c r="AX87" s="2063" t="str">
        <f>IF(AND(AS87=0, OR(AT87&gt;=1, AU87&gt;=1)), 'TRAD-Calculs dispo Données FA'!$B$81, "")</f>
        <v/>
      </c>
      <c r="AY87" s="2051"/>
      <c r="AZ87" s="2051"/>
      <c r="BA87" s="2051"/>
      <c r="BB87" s="2051"/>
      <c r="BC87" s="2051"/>
      <c r="BD87" s="2051"/>
      <c r="BE87" s="2051"/>
      <c r="BF87" s="2051"/>
      <c r="BG87" s="2051"/>
      <c r="BH87" s="2051"/>
      <c r="BI87" s="2051"/>
      <c r="BJ87" s="2051"/>
      <c r="BK87" s="2051"/>
      <c r="BL87" s="2051"/>
      <c r="BM87" s="2051"/>
      <c r="BN87" s="2051"/>
      <c r="BO87" s="2051"/>
      <c r="BP87" s="2051"/>
      <c r="BQ87" s="2051"/>
      <c r="BR87" s="2051"/>
      <c r="BS87" s="2051"/>
      <c r="BT87" s="2051"/>
    </row>
    <row r="88" spans="3:72" s="358" customFormat="1" ht="25.5" x14ac:dyDescent="0.2">
      <c r="C88" s="374"/>
      <c r="D88" s="375"/>
      <c r="E88" s="1722" t="str">
        <f>'Saisie données stocks'!F37</f>
        <v>ETV</v>
      </c>
      <c r="F88" s="1723" t="str">
        <f>'Saisie données stocks'!G37</f>
        <v>Cp</v>
      </c>
      <c r="G88" s="1723" t="str">
        <f>'Saisie données stocks'!H37</f>
        <v>200 mg</v>
      </c>
      <c r="H88" s="533" t="str">
        <f>CONCATENATE(E88, " - ", G88, " - ", 'TRAD-Calculs dispo Données FA'!$B$79,"/", K88)</f>
        <v>ETV - 200 mg - B/60</v>
      </c>
      <c r="I88" s="1724">
        <f>Calculs!K120</f>
        <v>2</v>
      </c>
      <c r="J88" s="1724">
        <f t="shared" si="10"/>
        <v>60</v>
      </c>
      <c r="K88" s="1725">
        <f>Calculs!J120</f>
        <v>60</v>
      </c>
      <c r="L88" s="1726">
        <f t="shared" si="11"/>
        <v>1</v>
      </c>
      <c r="M88" s="1824">
        <f>Calculs!N280</f>
        <v>0</v>
      </c>
      <c r="N88" s="1871">
        <f>Calculs!$L$335</f>
        <v>0</v>
      </c>
      <c r="O88" s="1871">
        <f>Calculs!$N$335</f>
        <v>0</v>
      </c>
      <c r="P88"/>
      <c r="Q88" s="2190" t="e">
        <f>IF(Calculs!N335&gt;0, (-(Calculs!N335+2*Calculs!L335)+SQRT((Calculs!N335+2*Calculs!L335)*(Calculs!N335+2*Calculs!L335)+8*Calculs!N335*(M88)))/(2*Calculs!N335), ((M88)/Calculs!L335))</f>
        <v>#DIV/0!</v>
      </c>
      <c r="R88" s="2190" t="e">
        <f t="shared" si="12"/>
        <v>#DIV/0!</v>
      </c>
      <c r="S88" s="2191" t="e">
        <f>Q88-Paramétrage!D$29</f>
        <v>#DIV/0!</v>
      </c>
      <c r="T88" s="2192" t="e">
        <f>IF(Q88&lt;Paramétrage!D$29, Q88, Paramétrage!D$29)</f>
        <v>#DIV/0!</v>
      </c>
      <c r="U88" s="2193" t="e">
        <f>IF(Q88&lt;Paramétrage!D$29, Paramétrage!H$19+S88*(365/12), Paramétrage!H$19+S88*(365/12))</f>
        <v>#DIV/0!</v>
      </c>
      <c r="V88" s="2194" t="e">
        <f>IF(Q88&lt;Paramétrage!D$29, Paramétrage!H$19+T88*(365/12), Paramétrage!H$19+Q88*(365/12))</f>
        <v>#DIV/0!</v>
      </c>
      <c r="W88" s="2051"/>
      <c r="X88" s="2190" t="str">
        <f t="shared" si="13"/>
        <v/>
      </c>
      <c r="Y88" s="2195" t="str">
        <f t="shared" si="14"/>
        <v/>
      </c>
      <c r="Z88" s="2191" t="str">
        <f t="shared" si="15"/>
        <v/>
      </c>
      <c r="AA88" s="2196" t="str">
        <f t="shared" si="16"/>
        <v/>
      </c>
      <c r="AB88" s="2193" t="str">
        <f>IF(ISERROR(Q88),"", IF(Q88=0, "", IF(Q88&gt;'Calculs Péremption conso'!$CB25, 'Calculs Péremption conso'!$BX25-Paramétrage!$D$29*(365/12), U88)))</f>
        <v/>
      </c>
      <c r="AC88" s="2194" t="str">
        <f>IF(ISERROR(Q88), AW88, IF(Q88=0, "", IF(Q88&gt;'Calculs Péremption conso'!$CB25, IF(Q88&lt;'Saisie données stocks'!$N$14, CONCATENATE('TRAD-Calculs dispo Données FA'!$B$88, " - ", 'Calculs Péremption conso'!$BY25, "/", 'Calculs Péremption conso'!$BZ25, "/", 'Calculs Péremption conso'!$CA25), 'Calculs Péremption conso'!CC25), V88)))</f>
        <v/>
      </c>
      <c r="AD88" s="2051"/>
      <c r="AE88" s="2190" t="e">
        <f>(Calculs!N280)/Calculs!L335</f>
        <v>#DIV/0!</v>
      </c>
      <c r="AF88" s="2190" t="e">
        <f t="shared" si="17"/>
        <v>#DIV/0!</v>
      </c>
      <c r="AG88" s="2197" t="e">
        <f>AE88-Paramétrage!D$29</f>
        <v>#DIV/0!</v>
      </c>
      <c r="AH88" s="2192" t="e">
        <f>IF(AE88&lt;Paramétrage!D$29, AE88, Paramétrage!D$29)</f>
        <v>#DIV/0!</v>
      </c>
      <c r="AI88" s="2193" t="e">
        <f>Paramétrage!H$19+AG88*(365/12)</f>
        <v>#DIV/0!</v>
      </c>
      <c r="AJ88" s="2194" t="e">
        <f>IF(AE88&lt;Paramétrage!D$29, Paramétrage!H$19+AH88*(365/12), Paramétrage!H$19+AE88*(365/12))</f>
        <v>#DIV/0!</v>
      </c>
      <c r="AK88" s="2051"/>
      <c r="AL88" s="2190" t="str">
        <f>IF(ISERROR(AE88),"", IF(AE88=0, "", IF(AE88&gt;'Calculs Péremption conso'!$CB25, 'Calculs Péremption conso'!$CB25, AE88)))</f>
        <v/>
      </c>
      <c r="AM88" s="2195" t="str">
        <f t="shared" si="18"/>
        <v/>
      </c>
      <c r="AN88" s="2191" t="str">
        <f>IF(ISERROR(AE88),"", IF(AE88=0, "", IF(AE88&gt;'Calculs Péremption conso'!$CB25, 'Calculs Péremption conso'!$CB25-Paramétrage!$D$29, AG88)))</f>
        <v/>
      </c>
      <c r="AO88" s="2196" t="str">
        <f>IF(ISERROR(AE88),"", IF(AE88=0, "", IF(AE88&gt;'Calculs Péremption conso'!$CB25, Paramétrage!$D$29, AH88)))</f>
        <v/>
      </c>
      <c r="AP88" s="2193" t="str">
        <f>IF(ISERROR(AE88),"", IF(AE88=0, "", IF(AE88&gt;'Calculs Péremption conso'!$CB25, 'Calculs Péremption conso'!$BX25-Paramétrage!$D$29*(365/12), AI88)))</f>
        <v/>
      </c>
      <c r="AQ88" s="2194" t="str">
        <f>IF(ISERROR(AE88),"", IF(AE88=0, "", IF(AE88&gt;'Calculs Péremption conso'!$CB25, CONCATENATE('TRAD-Calculs dispo Données FA'!$B$88, " - ", 'Calculs Péremption conso'!$BY25, "/", 'Calculs Péremption conso'!$BZ25, "/", 'Calculs Péremption conso'!$CA25), AJ88)))</f>
        <v/>
      </c>
      <c r="AR88" s="2051"/>
      <c r="AS88" s="2061">
        <f>Calculs!$N280</f>
        <v>0</v>
      </c>
      <c r="AT88" s="2062">
        <f>Calculs!L335</f>
        <v>0</v>
      </c>
      <c r="AU88" s="2068">
        <f>Calculs!$N335</f>
        <v>0</v>
      </c>
      <c r="AV88" s="2070" t="str">
        <f>IF(AND(AU88=0, AS88=0, AT88=0), 'TRAD-Calculs dispo Données FA'!$B$82, "")</f>
        <v>Stock et besoin nul</v>
      </c>
      <c r="AW88" s="2062" t="str">
        <f>IF(AND(AU88=0, AS88&gt;0, AT88=0), CONCATENATE(AS88, 'TRAD-Calculs dispo Données FA'!$B$80," =0"), "")</f>
        <v/>
      </c>
      <c r="AX88" s="2063" t="str">
        <f>IF(AND(AS88=0, OR(AT88&gt;=1, AU88&gt;=1)), 'TRAD-Calculs dispo Données FA'!$B$81, "")</f>
        <v/>
      </c>
      <c r="AY88" s="2051"/>
      <c r="AZ88" s="2051"/>
      <c r="BA88" s="2051"/>
      <c r="BB88" s="2051"/>
      <c r="BC88" s="2051"/>
      <c r="BD88" s="2051"/>
      <c r="BE88" s="2051"/>
      <c r="BF88" s="2051"/>
      <c r="BG88" s="2051"/>
      <c r="BH88" s="2051"/>
      <c r="BI88" s="2051"/>
      <c r="BJ88" s="2051"/>
      <c r="BK88" s="2051"/>
      <c r="BL88" s="2051"/>
      <c r="BM88" s="2051"/>
      <c r="BN88" s="2051"/>
      <c r="BO88" s="2051"/>
      <c r="BP88" s="2051"/>
      <c r="BQ88" s="2051"/>
      <c r="BR88" s="2051"/>
      <c r="BS88" s="2051"/>
      <c r="BT88" s="2051"/>
    </row>
    <row r="89" spans="3:72" s="358" customFormat="1" ht="25.5" x14ac:dyDescent="0.2">
      <c r="C89" s="374"/>
      <c r="D89" s="375"/>
      <c r="E89" s="382" t="str">
        <f>'Saisie données stocks'!F38</f>
        <v>NVP</v>
      </c>
      <c r="F89" s="383" t="str">
        <f>'Saisie données stocks'!G38</f>
        <v>Cp</v>
      </c>
      <c r="G89" s="383" t="str">
        <f>'Saisie données stocks'!H38</f>
        <v>200 mg</v>
      </c>
      <c r="H89" s="385" t="str">
        <f>CONCATENATE(E89, " - ", G89, " - ", 'TRAD-Calculs dispo Données FA'!$B$79,"/", K89)</f>
        <v>NVP - 200 mg - B/60</v>
      </c>
      <c r="I89" s="386">
        <f>Calculs!K121</f>
        <v>2</v>
      </c>
      <c r="J89" s="386">
        <f t="shared" si="10"/>
        <v>60</v>
      </c>
      <c r="K89" s="115">
        <f>Calculs!J121</f>
        <v>60</v>
      </c>
      <c r="L89" s="387">
        <f t="shared" si="11"/>
        <v>1</v>
      </c>
      <c r="M89" s="1821">
        <f>Calculs!N281</f>
        <v>0</v>
      </c>
      <c r="N89" s="1870">
        <f>Calculs!$L$336</f>
        <v>0</v>
      </c>
      <c r="O89" s="1870">
        <f>Calculs!$N$336</f>
        <v>0</v>
      </c>
      <c r="P89"/>
      <c r="Q89" s="2168" t="e">
        <f>IF(Calculs!N336&gt;0, (-(Calculs!N336+2*Calculs!L336)+SQRT((Calculs!N336+2*Calculs!L336)*(Calculs!N336+2*Calculs!L336)+8*Calculs!N336*(M89)))/(2*Calculs!N336), ((M89)/Calculs!L336))</f>
        <v>#DIV/0!</v>
      </c>
      <c r="R89" s="2168" t="e">
        <f t="shared" si="12"/>
        <v>#DIV/0!</v>
      </c>
      <c r="S89" s="2173" t="e">
        <f>Q89-Paramétrage!D$29</f>
        <v>#DIV/0!</v>
      </c>
      <c r="T89" s="2169" t="e">
        <f>IF(Q89&lt;Paramétrage!D$29, Q89, Paramétrage!D$29)</f>
        <v>#DIV/0!</v>
      </c>
      <c r="U89" s="2170" t="e">
        <f>IF(Q89&lt;Paramétrage!D$29, Paramétrage!H$19+S89*(365/12), Paramétrage!H$19+S89*(365/12))</f>
        <v>#DIV/0!</v>
      </c>
      <c r="V89" s="2171" t="e">
        <f>IF(Q89&lt;Paramétrage!D$29, Paramétrage!H$19+T89*(365/12), Paramétrage!H$19+Q89*(365/12))</f>
        <v>#DIV/0!</v>
      </c>
      <c r="W89" s="2051"/>
      <c r="X89" s="2168" t="str">
        <f t="shared" si="13"/>
        <v/>
      </c>
      <c r="Y89" s="2172" t="str">
        <f t="shared" si="14"/>
        <v/>
      </c>
      <c r="Z89" s="2173" t="str">
        <f t="shared" si="15"/>
        <v/>
      </c>
      <c r="AA89" s="2174" t="str">
        <f t="shared" si="16"/>
        <v/>
      </c>
      <c r="AB89" s="2170" t="str">
        <f>IF(ISERROR(Q89),"", IF(Q89=0, "", IF(Q89&gt;'Calculs Péremption conso'!$CB26, 'Calculs Péremption conso'!$BX26-Paramétrage!$D$29*(365/12), U89)))</f>
        <v/>
      </c>
      <c r="AC89" s="2171" t="str">
        <f>IF(ISERROR(Q89), AW89, IF(Q89=0, "", IF(Q89&gt;'Calculs Péremption conso'!$CB26, IF(Q89&lt;'Saisie données stocks'!$N$14, CONCATENATE('TRAD-Calculs dispo Données FA'!$B$88, " - ", 'Calculs Péremption conso'!$BY26, "/", 'Calculs Péremption conso'!$BZ26, "/", 'Calculs Péremption conso'!$CA26), 'Calculs Péremption conso'!CC26), V89)))</f>
        <v/>
      </c>
      <c r="AD89" s="2051"/>
      <c r="AE89" s="2168" t="e">
        <f>(Calculs!N281)/Calculs!L336</f>
        <v>#DIV/0!</v>
      </c>
      <c r="AF89" s="2168" t="e">
        <f t="shared" si="17"/>
        <v>#DIV/0!</v>
      </c>
      <c r="AG89" s="2173" t="e">
        <f>AE89-Paramétrage!D$29</f>
        <v>#DIV/0!</v>
      </c>
      <c r="AH89" s="2169" t="e">
        <f>IF(AE89&lt;Paramétrage!D$29, AE89, Paramétrage!D$29)</f>
        <v>#DIV/0!</v>
      </c>
      <c r="AI89" s="2170" t="e">
        <f>Paramétrage!H$19+AG89*(365/12)</f>
        <v>#DIV/0!</v>
      </c>
      <c r="AJ89" s="2171" t="e">
        <f>IF(AE89&lt;Paramétrage!D$29, Paramétrage!H$19+AH89*(365/12), Paramétrage!H$19+AE89*(365/12))</f>
        <v>#DIV/0!</v>
      </c>
      <c r="AK89" s="2051"/>
      <c r="AL89" s="2168" t="str">
        <f>IF(ISERROR(AE89),"", IF(AE89=0, "", IF(AE89&gt;'Calculs Péremption conso'!$CB26, 'Calculs Péremption conso'!$CB26, AE89)))</f>
        <v/>
      </c>
      <c r="AM89" s="2172" t="str">
        <f t="shared" si="18"/>
        <v/>
      </c>
      <c r="AN89" s="2173" t="str">
        <f>IF(ISERROR(AE89),"", IF(AE89=0, "", IF(AE89&gt;'Calculs Péremption conso'!$CB26, 'Calculs Péremption conso'!$CB26-Paramétrage!$D$29, AG89)))</f>
        <v/>
      </c>
      <c r="AO89" s="2174" t="str">
        <f>IF(ISERROR(AE89),"", IF(AE89=0, "", IF(AE89&gt;'Calculs Péremption conso'!$CB26, Paramétrage!$D$29, AH89)))</f>
        <v/>
      </c>
      <c r="AP89" s="2170" t="str">
        <f>IF(ISERROR(AE89),"", IF(AE89=0, "", IF(AE89&gt;'Calculs Péremption conso'!$CB26, 'Calculs Péremption conso'!$BX26-Paramétrage!$D$29*(365/12), AI89)))</f>
        <v/>
      </c>
      <c r="AQ89" s="2171" t="str">
        <f>IF(ISERROR(AE89),"", IF(AE89=0, "", IF(AE89&gt;'Calculs Péremption conso'!$CB26, CONCATENATE('TRAD-Calculs dispo Données FA'!$B$88, " - ", 'Calculs Péremption conso'!$BY26, "/", 'Calculs Péremption conso'!$BZ26, "/", 'Calculs Péremption conso'!$CA26), AJ89)))</f>
        <v/>
      </c>
      <c r="AR89" s="2051"/>
      <c r="AS89" s="2061">
        <f>Calculs!$N281</f>
        <v>0</v>
      </c>
      <c r="AT89" s="2062">
        <f>Calculs!L336</f>
        <v>0</v>
      </c>
      <c r="AU89" s="2068">
        <f>Calculs!$N336</f>
        <v>0</v>
      </c>
      <c r="AV89" s="2070" t="str">
        <f>IF(AND(AU89=0, AS89=0, AT89=0), 'TRAD-Calculs dispo Données FA'!$B$82, "")</f>
        <v>Stock et besoin nul</v>
      </c>
      <c r="AW89" s="2062" t="str">
        <f>IF(AND(AU89=0, AS89&gt;0, AT89=0), CONCATENATE(AS89, 'TRAD-Calculs dispo Données FA'!$B$80," =0"), "")</f>
        <v/>
      </c>
      <c r="AX89" s="2063" t="str">
        <f>IF(AND(AS89=0, OR(AT89&gt;=1, AU89&gt;=1)), 'TRAD-Calculs dispo Données FA'!$B$81, "")</f>
        <v/>
      </c>
      <c r="AY89" s="2051"/>
      <c r="AZ89" s="2051"/>
      <c r="BA89" s="2051"/>
      <c r="BB89" s="2051"/>
      <c r="BC89" s="2051"/>
      <c r="BD89" s="2051"/>
      <c r="BE89" s="2051"/>
      <c r="BF89" s="2051"/>
      <c r="BG89" s="2051"/>
      <c r="BH89" s="2051"/>
      <c r="BI89" s="2051"/>
      <c r="BJ89" s="2051"/>
      <c r="BK89" s="2051"/>
      <c r="BL89" s="2051"/>
      <c r="BM89" s="2051"/>
      <c r="BN89" s="2051"/>
      <c r="BO89" s="2051"/>
      <c r="BP89" s="2051"/>
      <c r="BQ89" s="2051"/>
      <c r="BR89" s="2051"/>
      <c r="BS89" s="2051"/>
      <c r="BT89" s="2051"/>
    </row>
    <row r="90" spans="3:72" s="358" customFormat="1" ht="25.5" x14ac:dyDescent="0.2">
      <c r="C90" s="388"/>
      <c r="D90" s="389"/>
      <c r="E90" s="390" t="str">
        <f>'Saisie données stocks'!F39</f>
        <v>RPV</v>
      </c>
      <c r="F90" s="391" t="str">
        <f>'Saisie données stocks'!G39</f>
        <v>Cp</v>
      </c>
      <c r="G90" s="391" t="str">
        <f>'Saisie données stocks'!H39</f>
        <v>25 mg</v>
      </c>
      <c r="H90" s="393" t="str">
        <f>CONCATENATE(E90, " - ", G90, " - ", 'TRAD-Calculs dispo Données FA'!$B$79,"/", K90)</f>
        <v>RPV - 25 mg - B/30</v>
      </c>
      <c r="I90" s="394">
        <f>Calculs!K122</f>
        <v>1</v>
      </c>
      <c r="J90" s="394">
        <f t="shared" si="10"/>
        <v>30</v>
      </c>
      <c r="K90" s="116">
        <f>Calculs!J122</f>
        <v>30</v>
      </c>
      <c r="L90" s="395">
        <f t="shared" si="11"/>
        <v>1</v>
      </c>
      <c r="M90" s="1822">
        <f>Calculs!N282</f>
        <v>0</v>
      </c>
      <c r="N90" s="1822">
        <f>Calculs!$L$337</f>
        <v>0</v>
      </c>
      <c r="O90" s="1822">
        <f>Calculs!$N$337</f>
        <v>0</v>
      </c>
      <c r="P90"/>
      <c r="Q90" s="2175" t="e">
        <f>IF(Calculs!N337&gt;0, (-(Calculs!N337+2*Calculs!L337)+SQRT((Calculs!N337+2*Calculs!L337)*(Calculs!N337+2*Calculs!L337)+8*Calculs!N337*(M90)))/(2*Calculs!N337), ((M90)/Calculs!L337))</f>
        <v>#DIV/0!</v>
      </c>
      <c r="R90" s="2175" t="e">
        <f t="shared" si="12"/>
        <v>#DIV/0!</v>
      </c>
      <c r="S90" s="2176" t="e">
        <f>Q90-Paramétrage!D$29</f>
        <v>#DIV/0!</v>
      </c>
      <c r="T90" s="2177" t="e">
        <f>IF(Q90&lt;Paramétrage!D$29, Q90, Paramétrage!D$29)</f>
        <v>#DIV/0!</v>
      </c>
      <c r="U90" s="2178" t="e">
        <f>IF(Q90&lt;Paramétrage!D$29, Paramétrage!H$19+S90*(365/12), Paramétrage!H$19+S90*(365/12))</f>
        <v>#DIV/0!</v>
      </c>
      <c r="V90" s="2179" t="e">
        <f>IF(Q90&lt;Paramétrage!D$29, Paramétrage!H$19+T90*(365/12), Paramétrage!H$19+Q90*(365/12))</f>
        <v>#DIV/0!</v>
      </c>
      <c r="W90" s="2051"/>
      <c r="X90" s="2175" t="str">
        <f t="shared" si="13"/>
        <v/>
      </c>
      <c r="Y90" s="2180" t="str">
        <f t="shared" si="14"/>
        <v/>
      </c>
      <c r="Z90" s="2181" t="str">
        <f t="shared" si="15"/>
        <v/>
      </c>
      <c r="AA90" s="2182" t="str">
        <f t="shared" si="16"/>
        <v/>
      </c>
      <c r="AB90" s="2178" t="str">
        <f>IF(ISERROR(Q90),"", IF(Q90=0, "", IF(Q90&gt;'Calculs Péremption conso'!$CB27, 'Calculs Péremption conso'!$BX27-Paramétrage!$D$29*(365/12), U90)))</f>
        <v/>
      </c>
      <c r="AC90" s="2179" t="str">
        <f>IF(ISERROR(Q90), AW90, IF(Q90=0, "", IF(Q90&gt;'Calculs Péremption conso'!$CB27, IF(Q90&lt;'Saisie données stocks'!$N$14, CONCATENATE('TRAD-Calculs dispo Données FA'!$B$88, " - ", 'Calculs Péremption conso'!$BY27, "/", 'Calculs Péremption conso'!$BZ27, "/", 'Calculs Péremption conso'!$CA27), 'Calculs Péremption conso'!CC27), V90)))</f>
        <v/>
      </c>
      <c r="AD90" s="2051"/>
      <c r="AE90" s="2175" t="e">
        <f>(Calculs!N282)/Calculs!L337</f>
        <v>#DIV/0!</v>
      </c>
      <c r="AF90" s="2175" t="e">
        <f t="shared" si="17"/>
        <v>#DIV/0!</v>
      </c>
      <c r="AG90" s="2173" t="e">
        <f>AE90-Paramétrage!D$29</f>
        <v>#DIV/0!</v>
      </c>
      <c r="AH90" s="2177" t="e">
        <f>IF(AE90&lt;Paramétrage!D$29, AE90, Paramétrage!D$29)</f>
        <v>#DIV/0!</v>
      </c>
      <c r="AI90" s="2178" t="e">
        <f>Paramétrage!H$19+AG90*(365/12)</f>
        <v>#DIV/0!</v>
      </c>
      <c r="AJ90" s="2179" t="e">
        <f>IF(AE90&lt;Paramétrage!D$29, Paramétrage!H$19+AH90*(365/12), Paramétrage!H$19+AE90*(365/12))</f>
        <v>#DIV/0!</v>
      </c>
      <c r="AK90" s="2051"/>
      <c r="AL90" s="2175" t="str">
        <f>IF(ISERROR(AE90),"", IF(AE90=0, "", IF(AE90&gt;'Calculs Péremption conso'!$CB27, 'Calculs Péremption conso'!$CB27, AE90)))</f>
        <v/>
      </c>
      <c r="AM90" s="2180" t="str">
        <f t="shared" si="18"/>
        <v/>
      </c>
      <c r="AN90" s="2181" t="str">
        <f>IF(ISERROR(AE90),"", IF(AE90=0, "", IF(AE90&gt;'Calculs Péremption conso'!$CB27, 'Calculs Péremption conso'!$CB27-Paramétrage!$D$29, AG90)))</f>
        <v/>
      </c>
      <c r="AO90" s="2182" t="str">
        <f>IF(ISERROR(AE90),"", IF(AE90=0, "", IF(AE90&gt;'Calculs Péremption conso'!$CB27, Paramétrage!$D$29, AH90)))</f>
        <v/>
      </c>
      <c r="AP90" s="2178" t="str">
        <f>IF(ISERROR(AE90),"", IF(AE90=0, "", IF(AE90&gt;'Calculs Péremption conso'!$CB27, 'Calculs Péremption conso'!$BX27-Paramétrage!$D$29*(365/12), AI90)))</f>
        <v/>
      </c>
      <c r="AQ90" s="2179" t="str">
        <f>IF(ISERROR(AE90),"", IF(AE90=0, "", IF(AE90&gt;'Calculs Péremption conso'!$CB27, CONCATENATE('TRAD-Calculs dispo Données FA'!$B$88, " - ", 'Calculs Péremption conso'!$BY27, "/", 'Calculs Péremption conso'!$BZ27, "/", 'Calculs Péremption conso'!$CA27), AJ90)))</f>
        <v/>
      </c>
      <c r="AR90" s="2051"/>
      <c r="AS90" s="2061">
        <f>Calculs!$N282</f>
        <v>0</v>
      </c>
      <c r="AT90" s="2062">
        <f>Calculs!L337</f>
        <v>0</v>
      </c>
      <c r="AU90" s="2068">
        <f>Calculs!$N337</f>
        <v>0</v>
      </c>
      <c r="AV90" s="2070" t="str">
        <f>IF(AND(AU90=0, AS90=0, AT90=0), 'TRAD-Calculs dispo Données FA'!$B$82, "")</f>
        <v>Stock et besoin nul</v>
      </c>
      <c r="AW90" s="2062" t="str">
        <f>IF(AND(AU90=0, AS90&gt;0, AT90=0), CONCATENATE(AS90, 'TRAD-Calculs dispo Données FA'!$B$80," =0"), "")</f>
        <v/>
      </c>
      <c r="AX90" s="2063" t="str">
        <f>IF(AND(AS90=0, OR(AT90&gt;=1, AU90&gt;=1)), 'TRAD-Calculs dispo Données FA'!$B$81, "")</f>
        <v/>
      </c>
      <c r="AY90" s="2051"/>
      <c r="AZ90" s="2051"/>
      <c r="BA90" s="2051"/>
      <c r="BB90" s="2051"/>
      <c r="BC90" s="2051"/>
      <c r="BD90" s="2051"/>
      <c r="BE90" s="2051"/>
      <c r="BF90" s="2051"/>
      <c r="BG90" s="2051"/>
      <c r="BH90" s="2051"/>
      <c r="BI90" s="2051"/>
      <c r="BJ90" s="2051"/>
      <c r="BK90" s="2051"/>
      <c r="BL90" s="2051"/>
      <c r="BM90" s="2051"/>
      <c r="BN90" s="2051"/>
      <c r="BO90" s="2051"/>
      <c r="BP90" s="2051"/>
      <c r="BQ90" s="2051"/>
      <c r="BR90" s="2051"/>
      <c r="BS90" s="2051"/>
      <c r="BT90" s="2051"/>
    </row>
    <row r="91" spans="3:72" s="358" customFormat="1" x14ac:dyDescent="0.2">
      <c r="C91" s="374"/>
      <c r="D91" s="375" t="s">
        <v>31</v>
      </c>
      <c r="E91" s="376" t="str">
        <f>'Saisie données stocks'!F40</f>
        <v>ABC</v>
      </c>
      <c r="F91" s="377" t="str">
        <f>'Saisie données stocks'!G40</f>
        <v>Cp</v>
      </c>
      <c r="G91" s="377" t="str">
        <f>'Saisie données stocks'!H40</f>
        <v>300 mg</v>
      </c>
      <c r="H91" s="378" t="str">
        <f>CONCATENATE(E91, " - ", G91, " - ", 'TRAD-Calculs dispo Données FA'!$B$79,"/", K91)</f>
        <v>ABC - 300 mg - B/60</v>
      </c>
      <c r="I91" s="380">
        <f>Calculs!K123</f>
        <v>2</v>
      </c>
      <c r="J91" s="380">
        <f t="shared" si="10"/>
        <v>60</v>
      </c>
      <c r="K91" s="114">
        <f>Calculs!J123</f>
        <v>60</v>
      </c>
      <c r="L91" s="381">
        <f t="shared" si="11"/>
        <v>1</v>
      </c>
      <c r="M91" s="1820">
        <f>Calculs!N283</f>
        <v>0</v>
      </c>
      <c r="N91" s="1820">
        <f>Calculs!$L$338</f>
        <v>2</v>
      </c>
      <c r="O91" s="1820">
        <f>Calculs!$N$338</f>
        <v>0</v>
      </c>
      <c r="P91"/>
      <c r="Q91" s="2161">
        <f>IF(Calculs!N338&gt;0, (-(Calculs!N338+2*Calculs!L338)+SQRT((Calculs!N338+2*Calculs!L338)*(Calculs!N338+2*Calculs!L338)+8*Calculs!N338*(M91)))/(2*Calculs!N338), ((M91)/Calculs!L338))</f>
        <v>0</v>
      </c>
      <c r="R91" s="2161">
        <f t="shared" si="12"/>
        <v>0</v>
      </c>
      <c r="S91" s="2183">
        <f>Q91-Paramétrage!D$29</f>
        <v>-3</v>
      </c>
      <c r="T91" s="2163">
        <f>IF(Q91&lt;Paramétrage!D$29, Q91, Paramétrage!D$29)</f>
        <v>0</v>
      </c>
      <c r="U91" s="2164">
        <f>IF(Q91&lt;Paramétrage!D$29, Paramétrage!H$19+S91*(365/12), Paramétrage!H$19+S91*(365/12))</f>
        <v>41827.75</v>
      </c>
      <c r="V91" s="2165">
        <f>IF(Q91&lt;Paramétrage!D$29, Paramétrage!H$19+T91*(365/12), Paramétrage!H$19+Q91*(365/12))</f>
        <v>41919</v>
      </c>
      <c r="W91" s="2051"/>
      <c r="X91" s="2161" t="str">
        <f t="shared" si="13"/>
        <v/>
      </c>
      <c r="Y91" s="2166" t="str">
        <f t="shared" si="14"/>
        <v/>
      </c>
      <c r="Z91" s="2162" t="str">
        <f t="shared" si="15"/>
        <v/>
      </c>
      <c r="AA91" s="2167" t="str">
        <f t="shared" si="16"/>
        <v/>
      </c>
      <c r="AB91" s="2164" t="str">
        <f>IF(ISERROR(Q91),"", IF(Q91=0, "", IF(Q91&gt;'Calculs Péremption conso'!$CB28, 'Calculs Péremption conso'!$BX28-Paramétrage!$D$29*(365/12), U91)))</f>
        <v/>
      </c>
      <c r="AC91" s="2165" t="str">
        <f>IF(ISERROR(Q91), AW91, IF(Q91=0, "", IF(Q91&gt;'Calculs Péremption conso'!$CB28, IF(Q91&lt;'Saisie données stocks'!$N$14, CONCATENATE('TRAD-Calculs dispo Données FA'!$B$88, " - ", 'Calculs Péremption conso'!$BY28, "/", 'Calculs Péremption conso'!$BZ28, "/", 'Calculs Péremption conso'!$CA28), 'Calculs Péremption conso'!CC28), V91)))</f>
        <v/>
      </c>
      <c r="AD91" s="2051"/>
      <c r="AE91" s="2161">
        <f>(Calculs!N283)/Calculs!L338</f>
        <v>0</v>
      </c>
      <c r="AF91" s="2161">
        <f t="shared" si="17"/>
        <v>0</v>
      </c>
      <c r="AG91" s="2162">
        <f>AE91-Paramétrage!D$29</f>
        <v>-3</v>
      </c>
      <c r="AH91" s="2163">
        <f>IF(AE91&lt;Paramétrage!D$29, AE91, Paramétrage!D$29)</f>
        <v>0</v>
      </c>
      <c r="AI91" s="2164">
        <f>Paramétrage!H$19+AG91*(365/12)</f>
        <v>41827.75</v>
      </c>
      <c r="AJ91" s="2165">
        <f>IF(AE91&lt;Paramétrage!D$29, Paramétrage!H$19+AH91*(365/12), Paramétrage!H$19+AE91*(365/12))</f>
        <v>41919</v>
      </c>
      <c r="AK91" s="2051"/>
      <c r="AL91" s="2161" t="str">
        <f>IF(ISERROR(AE91),"", IF(AE91=0, "", IF(AE91&gt;'Calculs Péremption conso'!$CB28, 'Calculs Péremption conso'!$CB28, AE91)))</f>
        <v/>
      </c>
      <c r="AM91" s="2166" t="str">
        <f t="shared" si="18"/>
        <v/>
      </c>
      <c r="AN91" s="2162" t="str">
        <f>IF(ISERROR(AE91),"", IF(AE91=0, "", IF(AE91&gt;'Calculs Péremption conso'!$CB28, 'Calculs Péremption conso'!$CB28-Paramétrage!$D$29, AG91)))</f>
        <v/>
      </c>
      <c r="AO91" s="2167" t="str">
        <f>IF(ISERROR(AE91),"", IF(AE91=0, "", IF(AE91&gt;'Calculs Péremption conso'!$CB28, Paramétrage!$D$29, AH91)))</f>
        <v/>
      </c>
      <c r="AP91" s="2164" t="str">
        <f>IF(ISERROR(AE91),"", IF(AE91=0, "", IF(AE91&gt;'Calculs Péremption conso'!$CB28, 'Calculs Péremption conso'!$BX28-Paramétrage!$D$29*(365/12), AI91)))</f>
        <v/>
      </c>
      <c r="AQ91" s="2165" t="str">
        <f>IF(ISERROR(AE91),"", IF(AE91=0, "", IF(AE91&gt;'Calculs Péremption conso'!$CB28, CONCATENATE('TRAD-Calculs dispo Données FA'!$B$88, " - ", 'Calculs Péremption conso'!$BY28, "/", 'Calculs Péremption conso'!$BZ28, "/", 'Calculs Péremption conso'!$CA28), AJ91)))</f>
        <v/>
      </c>
      <c r="AR91" s="2051"/>
      <c r="AS91" s="2061">
        <f>Calculs!$N283</f>
        <v>0</v>
      </c>
      <c r="AT91" s="2062">
        <f>Calculs!L338</f>
        <v>2</v>
      </c>
      <c r="AU91" s="2068">
        <f>Calculs!$N338</f>
        <v>0</v>
      </c>
      <c r="AV91" s="2070" t="str">
        <f>IF(AND(AU91=0, AS91=0, AT91=0), 'TRAD-Calculs dispo Données FA'!$B$82, "")</f>
        <v/>
      </c>
      <c r="AW91" s="2062" t="str">
        <f>IF(AND(AU91=0, AS91&gt;0, AT91=0), CONCATENATE(AS91, 'TRAD-Calculs dispo Données FA'!$B$80," =0"), "")</f>
        <v/>
      </c>
      <c r="AX91" s="2063" t="str">
        <f>IF(AND(AS91=0, OR(AT91&gt;=1, AU91&gt;=1)), 'TRAD-Calculs dispo Données FA'!$B$81, "")</f>
        <v>RUPTURE</v>
      </c>
      <c r="AY91" s="2051"/>
      <c r="AZ91" s="2051"/>
      <c r="BA91" s="2051"/>
      <c r="BB91" s="2051"/>
      <c r="BC91" s="2051"/>
      <c r="BD91" s="2051"/>
      <c r="BE91" s="2051"/>
      <c r="BF91" s="2051"/>
      <c r="BG91" s="2051"/>
      <c r="BH91" s="2051"/>
      <c r="BI91" s="2051"/>
      <c r="BJ91" s="2051"/>
      <c r="BK91" s="2051"/>
      <c r="BL91" s="2051"/>
      <c r="BM91" s="2051"/>
      <c r="BN91" s="2051"/>
      <c r="BO91" s="2051"/>
      <c r="BP91" s="2051"/>
      <c r="BQ91" s="2051"/>
      <c r="BR91" s="2051"/>
      <c r="BS91" s="2051"/>
      <c r="BT91" s="2051"/>
    </row>
    <row r="92" spans="3:72" s="358" customFormat="1" x14ac:dyDescent="0.2">
      <c r="C92" s="374"/>
      <c r="D92" s="375"/>
      <c r="E92" s="376" t="str">
        <f>'Saisie données stocks'!F41</f>
        <v>ABC</v>
      </c>
      <c r="F92" s="377" t="str">
        <f>'Saisie données stocks'!G41</f>
        <v>Cp</v>
      </c>
      <c r="G92" s="377" t="str">
        <f>'Saisie données stocks'!H41</f>
        <v>60 mg</v>
      </c>
      <c r="H92" s="378" t="str">
        <f>CONCATENATE(E92, " - ", G92, " - ", 'TRAD-Calculs dispo Données FA'!$B$79,"/", K92)</f>
        <v>ABC - 60 mg - B/60</v>
      </c>
      <c r="I92" s="380">
        <f>Calculs!K124</f>
        <v>2</v>
      </c>
      <c r="J92" s="380">
        <f t="shared" si="10"/>
        <v>60</v>
      </c>
      <c r="K92" s="114">
        <f>Calculs!J124</f>
        <v>60</v>
      </c>
      <c r="L92" s="381">
        <f t="shared" si="11"/>
        <v>1</v>
      </c>
      <c r="M92" s="1820">
        <f>Calculs!N284</f>
        <v>0</v>
      </c>
      <c r="N92" s="1820">
        <f>Calculs!$L$339</f>
        <v>0</v>
      </c>
      <c r="O92" s="1820">
        <f>Calculs!$N$339</f>
        <v>0</v>
      </c>
      <c r="P92"/>
      <c r="Q92" s="2161" t="e">
        <f>IF(Calculs!N339&gt;0, (-(Calculs!N339+2*Calculs!L339)+SQRT((Calculs!N339+2*Calculs!L339)*(Calculs!N339+2*Calculs!L339)+8*Calculs!N339*(M92)))/(2*Calculs!N339), ((M92)/Calculs!L339))</f>
        <v>#DIV/0!</v>
      </c>
      <c r="R92" s="2161" t="e">
        <f t="shared" si="12"/>
        <v>#DIV/0!</v>
      </c>
      <c r="S92" s="2162" t="e">
        <f>Q92-Paramétrage!D$29</f>
        <v>#DIV/0!</v>
      </c>
      <c r="T92" s="2163" t="e">
        <f>IF(Q92&lt;Paramétrage!D$29, Q92, Paramétrage!D$29)</f>
        <v>#DIV/0!</v>
      </c>
      <c r="U92" s="2164" t="e">
        <f>IF(Q92&lt;Paramétrage!D$29, Paramétrage!H$19+S92*(365/12), Paramétrage!H$19+S92*(365/12))</f>
        <v>#DIV/0!</v>
      </c>
      <c r="V92" s="2165" t="e">
        <f>IF(Q92&lt;Paramétrage!D$29, Paramétrage!H$19+T92*(365/12), Paramétrage!H$19+Q92*(365/12))</f>
        <v>#DIV/0!</v>
      </c>
      <c r="W92" s="2051"/>
      <c r="X92" s="2161" t="str">
        <f t="shared" si="13"/>
        <v/>
      </c>
      <c r="Y92" s="2166" t="str">
        <f t="shared" si="14"/>
        <v/>
      </c>
      <c r="Z92" s="2162" t="str">
        <f t="shared" si="15"/>
        <v/>
      </c>
      <c r="AA92" s="2167" t="str">
        <f t="shared" si="16"/>
        <v/>
      </c>
      <c r="AB92" s="2164" t="str">
        <f>IF(ISERROR(Q92),"", IF(Q92=0, "", IF(Q92&gt;'Calculs Péremption conso'!$CB29, 'Calculs Péremption conso'!$BX29-Paramétrage!$D$29*(365/12), U92)))</f>
        <v/>
      </c>
      <c r="AC92" s="2165" t="str">
        <f>IF(ISERROR(Q92), AW92, IF(Q92=0, "", IF(Q92&gt;'Calculs Péremption conso'!$CB29, IF(Q92&lt;'Saisie données stocks'!$N$14, CONCATENATE('TRAD-Calculs dispo Données FA'!$B$88, " - ", 'Calculs Péremption conso'!$BY29, "/", 'Calculs Péremption conso'!$BZ29, "/", 'Calculs Péremption conso'!$CA29), 'Calculs Péremption conso'!CC29), V92)))</f>
        <v/>
      </c>
      <c r="AD92" s="2051"/>
      <c r="AE92" s="2161" t="e">
        <f>(Calculs!N284)/Calculs!L339</f>
        <v>#DIV/0!</v>
      </c>
      <c r="AF92" s="2161" t="e">
        <f t="shared" si="17"/>
        <v>#DIV/0!</v>
      </c>
      <c r="AG92" s="2162" t="e">
        <f>AE92-Paramétrage!D$29</f>
        <v>#DIV/0!</v>
      </c>
      <c r="AH92" s="2163" t="e">
        <f>IF(AE92&lt;Paramétrage!D$29, AE92, Paramétrage!D$29)</f>
        <v>#DIV/0!</v>
      </c>
      <c r="AI92" s="2164" t="e">
        <f>Paramétrage!H$19+AG92*(365/12)</f>
        <v>#DIV/0!</v>
      </c>
      <c r="AJ92" s="2165" t="e">
        <f>IF(AE92&lt;Paramétrage!D$29, Paramétrage!H$19+AH92*(365/12), Paramétrage!H$19+AE92*(365/12))</f>
        <v>#DIV/0!</v>
      </c>
      <c r="AK92" s="2051"/>
      <c r="AL92" s="2161" t="str">
        <f>IF(ISERROR(AE92),"", IF(AE92=0, "", IF(AE92&gt;'Calculs Péremption conso'!$CB29, 'Calculs Péremption conso'!$CB29, AE92)))</f>
        <v/>
      </c>
      <c r="AM92" s="2166" t="str">
        <f t="shared" si="18"/>
        <v/>
      </c>
      <c r="AN92" s="2162" t="str">
        <f>IF(ISERROR(AE92),"", IF(AE92=0, "", IF(AE92&gt;'Calculs Péremption conso'!$CB29, 'Calculs Péremption conso'!$CB29-Paramétrage!$D$29, AG92)))</f>
        <v/>
      </c>
      <c r="AO92" s="2167" t="str">
        <f>IF(ISERROR(AE92),"", IF(AE92=0, "", IF(AE92&gt;'Calculs Péremption conso'!$CB29, Paramétrage!$D$29, AH92)))</f>
        <v/>
      </c>
      <c r="AP92" s="2164" t="str">
        <f>IF(ISERROR(AE92),"", IF(AE92=0, "", IF(AE92&gt;'Calculs Péremption conso'!$CB29, 'Calculs Péremption conso'!$BX29-Paramétrage!$D$29*(365/12), AI92)))</f>
        <v/>
      </c>
      <c r="AQ92" s="2165" t="str">
        <f>IF(ISERROR(AE92),"", IF(AE92=0, "", IF(AE92&gt;'Calculs Péremption conso'!$CB29, CONCATENATE('TRAD-Calculs dispo Données FA'!$B$88, " - ", 'Calculs Péremption conso'!$BY29, "/", 'Calculs Péremption conso'!$BZ29, "/", 'Calculs Péremption conso'!$CA29), AJ92)))</f>
        <v/>
      </c>
      <c r="AR92" s="2051"/>
      <c r="AS92" s="2061">
        <f>Calculs!$N284</f>
        <v>0</v>
      </c>
      <c r="AT92" s="2062">
        <f>Calculs!L339</f>
        <v>0</v>
      </c>
      <c r="AU92" s="2068">
        <f>Calculs!$N339</f>
        <v>0</v>
      </c>
      <c r="AV92" s="2070" t="str">
        <f>IF(AND(AU92=0, AS92=0, AT92=0), 'TRAD-Calculs dispo Données FA'!$B$82, "")</f>
        <v>Stock et besoin nul</v>
      </c>
      <c r="AW92" s="2062" t="str">
        <f>IF(AND(AU92=0, AS92&gt;0, AT92=0), CONCATENATE(AS92, 'TRAD-Calculs dispo Données FA'!$B$80," =0"), "")</f>
        <v/>
      </c>
      <c r="AX92" s="2063" t="str">
        <f>IF(AND(AS92=0, OR(AT92&gt;=1, AU92&gt;=1)), 'TRAD-Calculs dispo Données FA'!$B$81, "")</f>
        <v/>
      </c>
      <c r="AY92" s="2051"/>
      <c r="AZ92" s="2051"/>
      <c r="BA92" s="2051"/>
      <c r="BB92" s="2051"/>
      <c r="BC92" s="2051"/>
      <c r="BD92" s="2051"/>
      <c r="BE92" s="2051"/>
      <c r="BF92" s="2051"/>
      <c r="BG92" s="2051"/>
      <c r="BH92" s="2051"/>
      <c r="BI92" s="2051"/>
      <c r="BJ92" s="2051"/>
      <c r="BK92" s="2051"/>
      <c r="BL92" s="2051"/>
      <c r="BM92" s="2051"/>
      <c r="BN92" s="2051"/>
      <c r="BO92" s="2051"/>
      <c r="BP92" s="2051"/>
      <c r="BQ92" s="2051"/>
      <c r="BR92" s="2051"/>
      <c r="BS92" s="2051"/>
      <c r="BT92" s="2051"/>
    </row>
    <row r="93" spans="3:72" s="358" customFormat="1" x14ac:dyDescent="0.2">
      <c r="C93" s="374"/>
      <c r="D93" s="375"/>
      <c r="E93" s="376" t="str">
        <f>'Saisie données stocks'!F42</f>
        <v>AZT</v>
      </c>
      <c r="F93" s="377" t="str">
        <f>'Saisie données stocks'!G42</f>
        <v>Cp</v>
      </c>
      <c r="G93" s="383" t="str">
        <f>'Saisie données stocks'!H42</f>
        <v>300 mg</v>
      </c>
      <c r="H93" s="378" t="str">
        <f>CONCATENATE(E93, " - ", G93, " - ", 'TRAD-Calculs dispo Données FA'!$B$79,"/", K93)</f>
        <v>AZT - 300 mg - B/60</v>
      </c>
      <c r="I93" s="380">
        <f>Calculs!K125</f>
        <v>2</v>
      </c>
      <c r="J93" s="380">
        <f t="shared" si="10"/>
        <v>60</v>
      </c>
      <c r="K93" s="114">
        <f>Calculs!J125</f>
        <v>60</v>
      </c>
      <c r="L93" s="381">
        <f t="shared" si="11"/>
        <v>1</v>
      </c>
      <c r="M93" s="1820">
        <f>Calculs!N285</f>
        <v>0</v>
      </c>
      <c r="N93" s="1820">
        <f>Calculs!$L$340</f>
        <v>0</v>
      </c>
      <c r="O93" s="1820">
        <f>Calculs!$N$340</f>
        <v>0</v>
      </c>
      <c r="P93"/>
      <c r="Q93" s="2161" t="e">
        <f>IF(Calculs!N340&gt;0, (-(Calculs!N340+2*Calculs!L340)+SQRT((Calculs!N340+2*Calculs!L340)*(Calculs!N340+2*Calculs!L340)+8*Calculs!N340*(M93)))/(2*Calculs!N340), ((M93)/Calculs!L340))</f>
        <v>#DIV/0!</v>
      </c>
      <c r="R93" s="2161" t="e">
        <f t="shared" si="12"/>
        <v>#DIV/0!</v>
      </c>
      <c r="S93" s="2162" t="e">
        <f>Q93-Paramétrage!D$29</f>
        <v>#DIV/0!</v>
      </c>
      <c r="T93" s="2163" t="e">
        <f>IF(Q93&lt;Paramétrage!D$29, Q93, Paramétrage!D$29)</f>
        <v>#DIV/0!</v>
      </c>
      <c r="U93" s="2164" t="e">
        <f>IF(Q93&lt;Paramétrage!D$29, Paramétrage!H$19+S93*(365/12), Paramétrage!H$19+S93*(365/12))</f>
        <v>#DIV/0!</v>
      </c>
      <c r="V93" s="2165" t="e">
        <f>IF(Q93&lt;Paramétrage!D$29, Paramétrage!H$19+T93*(365/12), Paramétrage!H$19+Q93*(365/12))</f>
        <v>#DIV/0!</v>
      </c>
      <c r="W93" s="2051"/>
      <c r="X93" s="2161" t="str">
        <f t="shared" si="13"/>
        <v/>
      </c>
      <c r="Y93" s="2166" t="str">
        <f t="shared" si="14"/>
        <v/>
      </c>
      <c r="Z93" s="2162" t="str">
        <f t="shared" si="15"/>
        <v/>
      </c>
      <c r="AA93" s="2167" t="str">
        <f t="shared" si="16"/>
        <v/>
      </c>
      <c r="AB93" s="2164" t="str">
        <f>IF(ISERROR(Q93),"", IF(Q93=0, "", IF(Q93&gt;'Calculs Péremption conso'!$CB30, 'Calculs Péremption conso'!$BX30-Paramétrage!$D$29*(365/12), U93)))</f>
        <v/>
      </c>
      <c r="AC93" s="2165" t="str">
        <f>IF(ISERROR(Q93), AW93, IF(Q93=0, "", IF(Q93&gt;'Calculs Péremption conso'!$CB30, IF(Q93&lt;'Saisie données stocks'!$N$14, CONCATENATE('TRAD-Calculs dispo Données FA'!$B$88, " - ", 'Calculs Péremption conso'!$BY30, "/", 'Calculs Péremption conso'!$BZ30, "/", 'Calculs Péremption conso'!$CA30), 'Calculs Péremption conso'!CC30), V93)))</f>
        <v/>
      </c>
      <c r="AD93" s="2051"/>
      <c r="AE93" s="2161" t="e">
        <f>(Calculs!N285)/Calculs!L340</f>
        <v>#DIV/0!</v>
      </c>
      <c r="AF93" s="2161" t="e">
        <f t="shared" si="17"/>
        <v>#DIV/0!</v>
      </c>
      <c r="AG93" s="2162" t="e">
        <f>AE93-Paramétrage!D$29</f>
        <v>#DIV/0!</v>
      </c>
      <c r="AH93" s="2163" t="e">
        <f>IF(AE93&lt;Paramétrage!D$29, AE93, Paramétrage!D$29)</f>
        <v>#DIV/0!</v>
      </c>
      <c r="AI93" s="2164" t="e">
        <f>Paramétrage!H$19+AG93*(365/12)</f>
        <v>#DIV/0!</v>
      </c>
      <c r="AJ93" s="2165" t="e">
        <f>IF(AE93&lt;Paramétrage!D$29, Paramétrage!H$19+AH93*(365/12), Paramétrage!H$19+AE93*(365/12))</f>
        <v>#DIV/0!</v>
      </c>
      <c r="AK93" s="2051"/>
      <c r="AL93" s="2161" t="str">
        <f>IF(ISERROR(AE93),"", IF(AE93=0, "", IF(AE93&gt;'Calculs Péremption conso'!$CB30, 'Calculs Péremption conso'!$CB30, AE93)))</f>
        <v/>
      </c>
      <c r="AM93" s="2166" t="str">
        <f t="shared" si="18"/>
        <v/>
      </c>
      <c r="AN93" s="2162" t="str">
        <f>IF(ISERROR(AE93),"", IF(AE93=0, "", IF(AE93&gt;'Calculs Péremption conso'!$CB30, 'Calculs Péremption conso'!$CB30-Paramétrage!$D$29, AG93)))</f>
        <v/>
      </c>
      <c r="AO93" s="2167" t="str">
        <f>IF(ISERROR(AE93),"", IF(AE93=0, "", IF(AE93&gt;'Calculs Péremption conso'!$CB30, Paramétrage!$D$29, AH93)))</f>
        <v/>
      </c>
      <c r="AP93" s="2164" t="str">
        <f>IF(ISERROR(AE93),"", IF(AE93=0, "", IF(AE93&gt;'Calculs Péremption conso'!$CB30, 'Calculs Péremption conso'!$BX30-Paramétrage!$D$29*(365/12), AI93)))</f>
        <v/>
      </c>
      <c r="AQ93" s="2165" t="str">
        <f>IF(ISERROR(AE93),"", IF(AE93=0, "", IF(AE93&gt;'Calculs Péremption conso'!$CB30, CONCATENATE('TRAD-Calculs dispo Données FA'!$B$88, " - ", 'Calculs Péremption conso'!$BY30, "/", 'Calculs Péremption conso'!$BZ30, "/", 'Calculs Péremption conso'!$CA30), AJ93)))</f>
        <v/>
      </c>
      <c r="AR93" s="2051"/>
      <c r="AS93" s="2061">
        <f>Calculs!$N285</f>
        <v>0</v>
      </c>
      <c r="AT93" s="2062">
        <f>Calculs!L340</f>
        <v>0</v>
      </c>
      <c r="AU93" s="2068">
        <f>Calculs!$N340</f>
        <v>0</v>
      </c>
      <c r="AV93" s="2070" t="str">
        <f>IF(AND(AU93=0, AS93=0, AT93=0), 'TRAD-Calculs dispo Données FA'!$B$82, "")</f>
        <v>Stock et besoin nul</v>
      </c>
      <c r="AW93" s="2062" t="str">
        <f>IF(AND(AU93=0, AS93&gt;0, AT93=0), CONCATENATE(AS93, 'TRAD-Calculs dispo Données FA'!$B$80," =0"), "")</f>
        <v/>
      </c>
      <c r="AX93" s="2063" t="str">
        <f>IF(AND(AS93=0, OR(AT93&gt;=1, AU93&gt;=1)), 'TRAD-Calculs dispo Données FA'!$B$81, "")</f>
        <v/>
      </c>
      <c r="AY93" s="2051"/>
      <c r="AZ93" s="2051"/>
      <c r="BA93" s="2051"/>
      <c r="BB93" s="2051"/>
      <c r="BC93" s="2051"/>
      <c r="BD93" s="2051"/>
      <c r="BE93" s="2051"/>
      <c r="BF93" s="2051"/>
      <c r="BG93" s="2051"/>
      <c r="BH93" s="2051"/>
      <c r="BI93" s="2051"/>
      <c r="BJ93" s="2051"/>
      <c r="BK93" s="2051"/>
      <c r="BL93" s="2051"/>
      <c r="BM93" s="2051"/>
      <c r="BN93" s="2051"/>
      <c r="BO93" s="2051"/>
      <c r="BP93" s="2051"/>
      <c r="BQ93" s="2051"/>
      <c r="BR93" s="2051"/>
      <c r="BS93" s="2051"/>
      <c r="BT93" s="2051"/>
    </row>
    <row r="94" spans="3:72" s="358" customFormat="1" x14ac:dyDescent="0.2">
      <c r="C94" s="374"/>
      <c r="D94" s="375"/>
      <c r="E94" s="376" t="str">
        <f>'Saisie données stocks'!F43</f>
        <v>AZT</v>
      </c>
      <c r="F94" s="377" t="str">
        <f>'Saisie données stocks'!G43</f>
        <v>Cp</v>
      </c>
      <c r="G94" s="1208" t="str">
        <f>'Saisie données stocks'!H43</f>
        <v>100 mg</v>
      </c>
      <c r="H94" s="378" t="str">
        <f>CONCATENATE(E94, " - ", G94, " - ", 'TRAD-Calculs dispo Données FA'!$B$79,"/", K94)</f>
        <v>AZT - 100 mg - B/100</v>
      </c>
      <c r="I94" s="380">
        <f>Calculs!K126</f>
        <v>0</v>
      </c>
      <c r="J94" s="380">
        <f t="shared" si="10"/>
        <v>0</v>
      </c>
      <c r="K94" s="114">
        <f>Calculs!J126</f>
        <v>100</v>
      </c>
      <c r="L94" s="381">
        <f t="shared" si="11"/>
        <v>0</v>
      </c>
      <c r="M94" s="1820">
        <f>Calculs!N286</f>
        <v>0</v>
      </c>
      <c r="N94" s="1820">
        <f>Calculs!$L$341</f>
        <v>0</v>
      </c>
      <c r="O94" s="1820">
        <f>Calculs!$N$341</f>
        <v>0</v>
      </c>
      <c r="P94"/>
      <c r="Q94" s="2161" t="e">
        <f>IF(Calculs!N341&gt;0, (-(Calculs!N341+2*Calculs!L341)+SQRT((Calculs!N341+2*Calculs!L341)*(Calculs!N341+2*Calculs!L341)+8*Calculs!N341*(M94)))/(2*Calculs!N341), ((M94)/Calculs!L341))</f>
        <v>#DIV/0!</v>
      </c>
      <c r="R94" s="2161" t="e">
        <f t="shared" si="12"/>
        <v>#DIV/0!</v>
      </c>
      <c r="S94" s="2162" t="e">
        <f>Q94-Paramétrage!D$29</f>
        <v>#DIV/0!</v>
      </c>
      <c r="T94" s="2163" t="e">
        <f>IF(Q94&lt;Paramétrage!D$29, Q94, Paramétrage!D$29)</f>
        <v>#DIV/0!</v>
      </c>
      <c r="U94" s="2164" t="e">
        <f>IF(Q94&lt;Paramétrage!D$29, Paramétrage!H$19+S94*(365/12), Paramétrage!H$19+S94*(365/12))</f>
        <v>#DIV/0!</v>
      </c>
      <c r="V94" s="2165" t="e">
        <f>IF(Q94&lt;Paramétrage!D$29, Paramétrage!H$19+T94*(365/12), Paramétrage!H$19+Q94*(365/12))</f>
        <v>#DIV/0!</v>
      </c>
      <c r="W94" s="2051"/>
      <c r="X94" s="2161" t="str">
        <f t="shared" si="13"/>
        <v/>
      </c>
      <c r="Y94" s="2166" t="str">
        <f t="shared" si="14"/>
        <v/>
      </c>
      <c r="Z94" s="2162" t="str">
        <f t="shared" si="15"/>
        <v/>
      </c>
      <c r="AA94" s="2167" t="str">
        <f t="shared" si="16"/>
        <v/>
      </c>
      <c r="AB94" s="2164" t="str">
        <f>IF(ISERROR(Q94),"", IF(Q94=0, "", IF(Q94&gt;'Calculs Péremption conso'!$CB31, 'Calculs Péremption conso'!$BX31-Paramétrage!$D$29*(365/12), U94)))</f>
        <v/>
      </c>
      <c r="AC94" s="2165" t="str">
        <f>IF(ISERROR(Q94), AW94, IF(Q94=0, "", IF(Q94&gt;'Calculs Péremption conso'!$CB31, IF(Q94&lt;'Saisie données stocks'!$N$14, CONCATENATE('TRAD-Calculs dispo Données FA'!$B$88, " - ", 'Calculs Péremption conso'!$BY31, "/", 'Calculs Péremption conso'!$BZ31, "/", 'Calculs Péremption conso'!$CA31), 'Calculs Péremption conso'!CC31), V94)))</f>
        <v/>
      </c>
      <c r="AD94" s="2051"/>
      <c r="AE94" s="2161" t="e">
        <f>(Calculs!N286)/Calculs!L341</f>
        <v>#DIV/0!</v>
      </c>
      <c r="AF94" s="2161" t="e">
        <f t="shared" si="17"/>
        <v>#DIV/0!</v>
      </c>
      <c r="AG94" s="2162" t="e">
        <f>AE94-Paramétrage!D$29</f>
        <v>#DIV/0!</v>
      </c>
      <c r="AH94" s="2163" t="e">
        <f>IF(AE94&lt;Paramétrage!D$29, AE94, Paramétrage!D$29)</f>
        <v>#DIV/0!</v>
      </c>
      <c r="AI94" s="2164" t="e">
        <f>Paramétrage!H$19+AG94*(365/12)</f>
        <v>#DIV/0!</v>
      </c>
      <c r="AJ94" s="2165" t="e">
        <f>IF(AE94&lt;Paramétrage!D$29, Paramétrage!H$19+AH94*(365/12), Paramétrage!H$19+AE94*(365/12))</f>
        <v>#DIV/0!</v>
      </c>
      <c r="AK94" s="2051"/>
      <c r="AL94" s="2161" t="str">
        <f>IF(ISERROR(AE94),"", IF(AE94=0, "", IF(AE94&gt;'Calculs Péremption conso'!$CB31, 'Calculs Péremption conso'!$CB31, AE94)))</f>
        <v/>
      </c>
      <c r="AM94" s="2166" t="str">
        <f t="shared" si="18"/>
        <v/>
      </c>
      <c r="AN94" s="2162" t="str">
        <f>IF(ISERROR(AE94),"", IF(AE94=0, "", IF(AE94&gt;'Calculs Péremption conso'!$CB31, 'Calculs Péremption conso'!$CB31-Paramétrage!$D$29, AG94)))</f>
        <v/>
      </c>
      <c r="AO94" s="2167" t="str">
        <f>IF(ISERROR(AE94),"", IF(AE94=0, "", IF(AE94&gt;'Calculs Péremption conso'!$CB31, Paramétrage!$D$29, AH94)))</f>
        <v/>
      </c>
      <c r="AP94" s="2164" t="str">
        <f>IF(ISERROR(AE94),"", IF(AE94=0, "", IF(AE94&gt;'Calculs Péremption conso'!$CB31, 'Calculs Péremption conso'!$BX31-Paramétrage!$D$29*(365/12), AI94)))</f>
        <v/>
      </c>
      <c r="AQ94" s="2165" t="str">
        <f>IF(ISERROR(AE94),"", IF(AE94=0, "", IF(AE94&gt;'Calculs Péremption conso'!$CB31, CONCATENATE('TRAD-Calculs dispo Données FA'!$B$88, " - ", 'Calculs Péremption conso'!$BY31, "/", 'Calculs Péremption conso'!$BZ31, "/", 'Calculs Péremption conso'!$CA31), AJ94)))</f>
        <v/>
      </c>
      <c r="AR94" s="2051"/>
      <c r="AS94" s="2061">
        <f>Calculs!$N286</f>
        <v>0</v>
      </c>
      <c r="AT94" s="2062">
        <f>Calculs!L341</f>
        <v>0</v>
      </c>
      <c r="AU94" s="2068">
        <f>Calculs!$N341</f>
        <v>0</v>
      </c>
      <c r="AV94" s="2070" t="str">
        <f>IF(AND(AU94=0, AS94=0, AT94=0), 'TRAD-Calculs dispo Données FA'!$B$82, "")</f>
        <v>Stock et besoin nul</v>
      </c>
      <c r="AW94" s="2062" t="str">
        <f>IF(AND(AU94=0, AS94&gt;0, AT94=0), CONCATENATE(AS94, 'TRAD-Calculs dispo Données FA'!$B$80," =0"), "")</f>
        <v/>
      </c>
      <c r="AX94" s="2063" t="str">
        <f>IF(AND(AS94=0, OR(AT94&gt;=1, AU94&gt;=1)), 'TRAD-Calculs dispo Données FA'!$B$81, "")</f>
        <v/>
      </c>
      <c r="AY94" s="2051"/>
      <c r="AZ94" s="2051"/>
      <c r="BA94" s="2051"/>
      <c r="BB94" s="2051"/>
      <c r="BC94" s="2051"/>
      <c r="BD94" s="2051"/>
      <c r="BE94" s="2051"/>
      <c r="BF94" s="2051"/>
      <c r="BG94" s="2051"/>
      <c r="BH94" s="2051"/>
      <c r="BI94" s="2051"/>
      <c r="BJ94" s="2051"/>
      <c r="BK94" s="2051"/>
      <c r="BL94" s="2051"/>
      <c r="BM94" s="2051"/>
      <c r="BN94" s="2051"/>
      <c r="BO94" s="2051"/>
      <c r="BP94" s="2051"/>
      <c r="BQ94" s="2051"/>
      <c r="BR94" s="2051"/>
      <c r="BS94" s="2051"/>
      <c r="BT94" s="2051"/>
    </row>
    <row r="95" spans="3:72" s="358" customFormat="1" x14ac:dyDescent="0.2">
      <c r="C95" s="374"/>
      <c r="D95" s="375"/>
      <c r="E95" s="376" t="str">
        <f>'Saisie données stocks'!F44</f>
        <v>AZT</v>
      </c>
      <c r="F95" s="377" t="str">
        <f>'Saisie données stocks'!G44</f>
        <v>Cp</v>
      </c>
      <c r="G95" s="1208" t="str">
        <f>'Saisie données stocks'!H44</f>
        <v>60 mg</v>
      </c>
      <c r="H95" s="378" t="str">
        <f>CONCATENATE(E95, " - ", G95, " - ", 'TRAD-Calculs dispo Données FA'!$B$79,"/", K95)</f>
        <v>AZT - 60 mg - B/60</v>
      </c>
      <c r="I95" s="380">
        <f>Calculs!K127</f>
        <v>2</v>
      </c>
      <c r="J95" s="380">
        <f t="shared" si="10"/>
        <v>60</v>
      </c>
      <c r="K95" s="114">
        <f>Calculs!J127</f>
        <v>60</v>
      </c>
      <c r="L95" s="381">
        <f t="shared" si="11"/>
        <v>1</v>
      </c>
      <c r="M95" s="1820">
        <f>Calculs!N287</f>
        <v>0</v>
      </c>
      <c r="N95" s="1820">
        <f>Calculs!$L$342</f>
        <v>0</v>
      </c>
      <c r="O95" s="1820">
        <f>Calculs!$N$342</f>
        <v>0</v>
      </c>
      <c r="P95"/>
      <c r="Q95" s="2161" t="e">
        <f>IF(Calculs!N342&gt;0, (-(Calculs!N342+2*Calculs!L342)+SQRT((Calculs!N342+2*Calculs!L342)*(Calculs!N342+2*Calculs!L342)+8*Calculs!N342*(M95)))/(2*Calculs!N342), ((M95)/Calculs!L342))</f>
        <v>#DIV/0!</v>
      </c>
      <c r="R95" s="2161" t="e">
        <f t="shared" si="12"/>
        <v>#DIV/0!</v>
      </c>
      <c r="S95" s="2162" t="e">
        <f>Q95-Paramétrage!D$29</f>
        <v>#DIV/0!</v>
      </c>
      <c r="T95" s="2163" t="e">
        <f>IF(Q95&lt;Paramétrage!D$29, Q95, Paramétrage!D$29)</f>
        <v>#DIV/0!</v>
      </c>
      <c r="U95" s="2164" t="e">
        <f>IF(Q95&lt;Paramétrage!D$29, Paramétrage!H$19+S95*(365/12), Paramétrage!H$19+S95*(365/12))</f>
        <v>#DIV/0!</v>
      </c>
      <c r="V95" s="2165" t="e">
        <f>IF(Q95&lt;Paramétrage!D$29, Paramétrage!H$19+T95*(365/12), Paramétrage!H$19+Q95*(365/12))</f>
        <v>#DIV/0!</v>
      </c>
      <c r="W95" s="2051"/>
      <c r="X95" s="2161" t="str">
        <f t="shared" si="13"/>
        <v/>
      </c>
      <c r="Y95" s="2166" t="str">
        <f t="shared" si="14"/>
        <v/>
      </c>
      <c r="Z95" s="2162" t="str">
        <f t="shared" si="15"/>
        <v/>
      </c>
      <c r="AA95" s="2167" t="str">
        <f t="shared" si="16"/>
        <v/>
      </c>
      <c r="AB95" s="2164" t="str">
        <f>IF(ISERROR(Q95),"", IF(Q95=0, "", IF(Q95&gt;'Calculs Péremption conso'!$CB32, 'Calculs Péremption conso'!$BX32-Paramétrage!$D$29*(365/12), U95)))</f>
        <v/>
      </c>
      <c r="AC95" s="2165" t="str">
        <f>IF(ISERROR(Q95), AW95, IF(Q95=0, "", IF(Q95&gt;'Calculs Péremption conso'!$CB32, IF(Q95&lt;'Saisie données stocks'!$N$14, CONCATENATE('TRAD-Calculs dispo Données FA'!$B$88, " - ", 'Calculs Péremption conso'!$BY32, "/", 'Calculs Péremption conso'!$BZ32, "/", 'Calculs Péremption conso'!$CA32), 'Calculs Péremption conso'!CC32), V95)))</f>
        <v/>
      </c>
      <c r="AD95" s="2051"/>
      <c r="AE95" s="2161" t="e">
        <f>(Calculs!N287)/Calculs!L342</f>
        <v>#DIV/0!</v>
      </c>
      <c r="AF95" s="2161" t="e">
        <f t="shared" si="17"/>
        <v>#DIV/0!</v>
      </c>
      <c r="AG95" s="2162" t="e">
        <f>AE95-Paramétrage!D$29</f>
        <v>#DIV/0!</v>
      </c>
      <c r="AH95" s="2163" t="e">
        <f>IF(AE95&lt;Paramétrage!D$29, AE95, Paramétrage!D$29)</f>
        <v>#DIV/0!</v>
      </c>
      <c r="AI95" s="2164" t="e">
        <f>Paramétrage!H$19+AG95*(365/12)</f>
        <v>#DIV/0!</v>
      </c>
      <c r="AJ95" s="2165" t="e">
        <f>IF(AE95&lt;Paramétrage!D$29, Paramétrage!H$19+AH95*(365/12), Paramétrage!H$19+AE95*(365/12))</f>
        <v>#DIV/0!</v>
      </c>
      <c r="AK95" s="2051"/>
      <c r="AL95" s="2161" t="str">
        <f>IF(ISERROR(AE95),"", IF(AE95=0, "", IF(AE95&gt;'Calculs Péremption conso'!$CB32, 'Calculs Péremption conso'!$CB32, AE95)))</f>
        <v/>
      </c>
      <c r="AM95" s="2166" t="str">
        <f t="shared" si="18"/>
        <v/>
      </c>
      <c r="AN95" s="2162" t="str">
        <f>IF(ISERROR(AE95),"", IF(AE95=0, "", IF(AE95&gt;'Calculs Péremption conso'!$CB32, 'Calculs Péremption conso'!$CB32-Paramétrage!$D$29, AG95)))</f>
        <v/>
      </c>
      <c r="AO95" s="2167" t="str">
        <f>IF(ISERROR(AE95),"", IF(AE95=0, "", IF(AE95&gt;'Calculs Péremption conso'!$CB32, Paramétrage!$D$29, AH95)))</f>
        <v/>
      </c>
      <c r="AP95" s="2164" t="str">
        <f>IF(ISERROR(AE95),"", IF(AE95=0, "", IF(AE95&gt;'Calculs Péremption conso'!$CB32, 'Calculs Péremption conso'!$BX32-Paramétrage!$D$29*(365/12), AI95)))</f>
        <v/>
      </c>
      <c r="AQ95" s="2165" t="str">
        <f>IF(ISERROR(AE95),"", IF(AE95=0, "", IF(AE95&gt;'Calculs Péremption conso'!$CB32, CONCATENATE('TRAD-Calculs dispo Données FA'!$B$88, " - ", 'Calculs Péremption conso'!$BY32, "/", 'Calculs Péremption conso'!$BZ32, "/", 'Calculs Péremption conso'!$CA32), AJ95)))</f>
        <v/>
      </c>
      <c r="AR95" s="2051"/>
      <c r="AS95" s="2061">
        <f>Calculs!$N287</f>
        <v>0</v>
      </c>
      <c r="AT95" s="2062">
        <f>Calculs!L342</f>
        <v>0</v>
      </c>
      <c r="AU95" s="2068">
        <f>Calculs!$N342</f>
        <v>0</v>
      </c>
      <c r="AV95" s="2070" t="str">
        <f>IF(AND(AU95=0, AS95=0, AT95=0), 'TRAD-Calculs dispo Données FA'!$B$82, "")</f>
        <v>Stock et besoin nul</v>
      </c>
      <c r="AW95" s="2062" t="str">
        <f>IF(AND(AU95=0, AS95&gt;0, AT95=0), CONCATENATE(AS95, 'TRAD-Calculs dispo Données FA'!$B$80," =0"), "")</f>
        <v/>
      </c>
      <c r="AX95" s="2063" t="str">
        <f>IF(AND(AS95=0, OR(AT95&gt;=1, AU95&gt;=1)), 'TRAD-Calculs dispo Données FA'!$B$81, "")</f>
        <v/>
      </c>
      <c r="AY95" s="2051"/>
      <c r="AZ95" s="2051"/>
      <c r="BA95" s="2051"/>
      <c r="BB95" s="2051"/>
      <c r="BC95" s="2051"/>
      <c r="BD95" s="2051"/>
      <c r="BE95" s="2051"/>
      <c r="BF95" s="2051"/>
      <c r="BG95" s="2051"/>
      <c r="BH95" s="2051"/>
      <c r="BI95" s="2051"/>
      <c r="BJ95" s="2051"/>
      <c r="BK95" s="2051"/>
      <c r="BL95" s="2051"/>
      <c r="BM95" s="2051"/>
      <c r="BN95" s="2051"/>
      <c r="BO95" s="2051"/>
      <c r="BP95" s="2051"/>
      <c r="BQ95" s="2051"/>
      <c r="BR95" s="2051"/>
      <c r="BS95" s="2051"/>
      <c r="BT95" s="2051"/>
    </row>
    <row r="96" spans="3:72" s="358" customFormat="1" x14ac:dyDescent="0.2">
      <c r="C96" s="374"/>
      <c r="D96" s="375"/>
      <c r="E96" s="376" t="str">
        <f>'Saisie données stocks'!F45</f>
        <v>D4T</v>
      </c>
      <c r="F96" s="377" t="str">
        <f>'Saisie données stocks'!G45</f>
        <v>Cp</v>
      </c>
      <c r="G96" s="383" t="str">
        <f>'Saisie données stocks'!H45</f>
        <v>30 mg</v>
      </c>
      <c r="H96" s="378" t="str">
        <f>CONCATENATE(E96, " - ", G96, " - ", 'TRAD-Calculs dispo Données FA'!$B$79,"/", K96)</f>
        <v>D4T - 30 mg - B/60</v>
      </c>
      <c r="I96" s="380">
        <f>Calculs!K128</f>
        <v>2</v>
      </c>
      <c r="J96" s="380">
        <f t="shared" si="10"/>
        <v>60</v>
      </c>
      <c r="K96" s="114">
        <f>Calculs!J128</f>
        <v>60</v>
      </c>
      <c r="L96" s="381">
        <f t="shared" si="11"/>
        <v>1</v>
      </c>
      <c r="M96" s="1820">
        <f>Calculs!N288</f>
        <v>0</v>
      </c>
      <c r="N96" s="1820">
        <f>Calculs!$L$343</f>
        <v>0</v>
      </c>
      <c r="O96" s="1820">
        <f>Calculs!$N$343</f>
        <v>0</v>
      </c>
      <c r="P96"/>
      <c r="Q96" s="2161" t="e">
        <f>IF(Calculs!N343&gt;0, (-(Calculs!N343+2*Calculs!L343)+SQRT((Calculs!N343+2*Calculs!L343)*(Calculs!N343+2*Calculs!L343)+8*Calculs!N343*(M96)))/(2*Calculs!N343), ((M96)/Calculs!L343))</f>
        <v>#DIV/0!</v>
      </c>
      <c r="R96" s="2161" t="e">
        <f t="shared" si="12"/>
        <v>#DIV/0!</v>
      </c>
      <c r="S96" s="2162" t="e">
        <f>Q96-Paramétrage!D$29</f>
        <v>#DIV/0!</v>
      </c>
      <c r="T96" s="2163" t="e">
        <f>IF(Q96&lt;Paramétrage!D$29, Q96, Paramétrage!D$29)</f>
        <v>#DIV/0!</v>
      </c>
      <c r="U96" s="2164" t="e">
        <f>IF(Q96&lt;Paramétrage!D$29, Paramétrage!H$19+S96*(365/12), Paramétrage!H$19+S96*(365/12))</f>
        <v>#DIV/0!</v>
      </c>
      <c r="V96" s="2165" t="e">
        <f>IF(Q96&lt;Paramétrage!D$29, Paramétrage!H$19+T96*(365/12), Paramétrage!H$19+Q96*(365/12))</f>
        <v>#DIV/0!</v>
      </c>
      <c r="W96" s="2051"/>
      <c r="X96" s="2161" t="str">
        <f t="shared" si="13"/>
        <v/>
      </c>
      <c r="Y96" s="2166" t="str">
        <f t="shared" si="14"/>
        <v/>
      </c>
      <c r="Z96" s="2162" t="str">
        <f t="shared" si="15"/>
        <v/>
      </c>
      <c r="AA96" s="2167" t="str">
        <f t="shared" si="16"/>
        <v/>
      </c>
      <c r="AB96" s="2164" t="str">
        <f>IF(ISERROR(Q96),"", IF(Q96=0, "", IF(Q96&gt;'Calculs Péremption conso'!$CB33, 'Calculs Péremption conso'!$BX33-Paramétrage!$D$29*(365/12), U96)))</f>
        <v/>
      </c>
      <c r="AC96" s="2165" t="str">
        <f>IF(ISERROR(Q96), AW96, IF(Q96=0, "", IF(Q96&gt;'Calculs Péremption conso'!$CB33, IF(Q96&lt;'Saisie données stocks'!$N$14, CONCATENATE('TRAD-Calculs dispo Données FA'!$B$88, " - ", 'Calculs Péremption conso'!$BY33, "/", 'Calculs Péremption conso'!$BZ33, "/", 'Calculs Péremption conso'!$CA33), 'Calculs Péremption conso'!CC33), V96)))</f>
        <v/>
      </c>
      <c r="AD96" s="2051"/>
      <c r="AE96" s="2161" t="e">
        <f>(Calculs!N288)/Calculs!L343</f>
        <v>#DIV/0!</v>
      </c>
      <c r="AF96" s="2161" t="e">
        <f t="shared" si="17"/>
        <v>#DIV/0!</v>
      </c>
      <c r="AG96" s="2162" t="e">
        <f>AE96-Paramétrage!D$29</f>
        <v>#DIV/0!</v>
      </c>
      <c r="AH96" s="2163" t="e">
        <f>IF(AE96&lt;Paramétrage!D$29, AE96, Paramétrage!D$29)</f>
        <v>#DIV/0!</v>
      </c>
      <c r="AI96" s="2164" t="e">
        <f>Paramétrage!H$19+AG96*(365/12)</f>
        <v>#DIV/0!</v>
      </c>
      <c r="AJ96" s="2165" t="e">
        <f>IF(AE96&lt;Paramétrage!D$29, Paramétrage!H$19+AH96*(365/12), Paramétrage!H$19+AE96*(365/12))</f>
        <v>#DIV/0!</v>
      </c>
      <c r="AK96" s="2051"/>
      <c r="AL96" s="2161" t="str">
        <f>IF(ISERROR(AE96),"", IF(AE96=0, "", IF(AE96&gt;'Calculs Péremption conso'!$CB33, 'Calculs Péremption conso'!$CB33, AE96)))</f>
        <v/>
      </c>
      <c r="AM96" s="2166" t="str">
        <f t="shared" si="18"/>
        <v/>
      </c>
      <c r="AN96" s="2162" t="str">
        <f>IF(ISERROR(AE96),"", IF(AE96=0, "", IF(AE96&gt;'Calculs Péremption conso'!$CB33, 'Calculs Péremption conso'!$CB33-Paramétrage!$D$29, AG96)))</f>
        <v/>
      </c>
      <c r="AO96" s="2167" t="str">
        <f>IF(ISERROR(AE96),"", IF(AE96=0, "", IF(AE96&gt;'Calculs Péremption conso'!$CB33, Paramétrage!$D$29, AH96)))</f>
        <v/>
      </c>
      <c r="AP96" s="2164" t="str">
        <f>IF(ISERROR(AE96),"", IF(AE96=0, "", IF(AE96&gt;'Calculs Péremption conso'!$CB33, 'Calculs Péremption conso'!$BX33-Paramétrage!$D$29*(365/12), AI96)))</f>
        <v/>
      </c>
      <c r="AQ96" s="2165" t="str">
        <f>IF(ISERROR(AE96),"", IF(AE96=0, "", IF(AE96&gt;'Calculs Péremption conso'!$CB33, CONCATENATE('TRAD-Calculs dispo Données FA'!$B$88, " - ", 'Calculs Péremption conso'!$BY33, "/", 'Calculs Péremption conso'!$BZ33, "/", 'Calculs Péremption conso'!$CA33), AJ96)))</f>
        <v/>
      </c>
      <c r="AR96" s="2051"/>
      <c r="AS96" s="2061">
        <f>Calculs!$N288</f>
        <v>0</v>
      </c>
      <c r="AT96" s="2062">
        <f>Calculs!L343</f>
        <v>0</v>
      </c>
      <c r="AU96" s="2068">
        <f>Calculs!$N343</f>
        <v>0</v>
      </c>
      <c r="AV96" s="2070" t="str">
        <f>IF(AND(AU96=0, AS96=0, AT96=0), 'TRAD-Calculs dispo Données FA'!$B$82, "")</f>
        <v>Stock et besoin nul</v>
      </c>
      <c r="AW96" s="2062" t="str">
        <f>IF(AND(AU96=0, AS96&gt;0, AT96=0), CONCATENATE(AS96, 'TRAD-Calculs dispo Données FA'!$B$80," =0"), "")</f>
        <v/>
      </c>
      <c r="AX96" s="2063" t="str">
        <f>IF(AND(AS96=0, OR(AT96&gt;=1, AU96&gt;=1)), 'TRAD-Calculs dispo Données FA'!$B$81, "")</f>
        <v/>
      </c>
      <c r="AY96" s="2051"/>
      <c r="AZ96" s="2051"/>
      <c r="BA96" s="2051"/>
      <c r="BB96" s="2051"/>
      <c r="BC96" s="2051"/>
      <c r="BD96" s="2051"/>
      <c r="BE96" s="2051"/>
      <c r="BF96" s="2051"/>
      <c r="BG96" s="2051"/>
      <c r="BH96" s="2051"/>
      <c r="BI96" s="2051"/>
      <c r="BJ96" s="2051"/>
      <c r="BK96" s="2051"/>
      <c r="BL96" s="2051"/>
      <c r="BM96" s="2051"/>
      <c r="BN96" s="2051"/>
      <c r="BO96" s="2051"/>
      <c r="BP96" s="2051"/>
      <c r="BQ96" s="2051"/>
      <c r="BR96" s="2051"/>
      <c r="BS96" s="2051"/>
      <c r="BT96" s="2051"/>
    </row>
    <row r="97" spans="3:72" s="358" customFormat="1" x14ac:dyDescent="0.2">
      <c r="C97" s="374"/>
      <c r="D97" s="375"/>
      <c r="E97" s="376" t="str">
        <f>'Saisie données stocks'!F46</f>
        <v>3TC</v>
      </c>
      <c r="F97" s="377" t="str">
        <f>'Saisie données stocks'!G46</f>
        <v>Cp</v>
      </c>
      <c r="G97" s="1208" t="str">
        <f>'Saisie données stocks'!H46</f>
        <v>150 mg</v>
      </c>
      <c r="H97" s="378" t="str">
        <f>CONCATENATE(E97, " - ", G97, " - ", 'TRAD-Calculs dispo Données FA'!$B$79,"/", K97)</f>
        <v>3TC - 150 mg - B/60</v>
      </c>
      <c r="I97" s="380">
        <f>Calculs!K129</f>
        <v>2</v>
      </c>
      <c r="J97" s="380">
        <f t="shared" si="10"/>
        <v>60</v>
      </c>
      <c r="K97" s="114">
        <f>Calculs!J129</f>
        <v>60</v>
      </c>
      <c r="L97" s="381">
        <f t="shared" si="11"/>
        <v>1</v>
      </c>
      <c r="M97" s="1820">
        <f>Calculs!N289</f>
        <v>0</v>
      </c>
      <c r="N97" s="1820">
        <f>Calculs!$L$344</f>
        <v>0</v>
      </c>
      <c r="O97" s="1820">
        <f>Calculs!$N$344</f>
        <v>0</v>
      </c>
      <c r="P97"/>
      <c r="Q97" s="2161" t="e">
        <f>IF(Calculs!N344&gt;0, (-(Calculs!N344+2*Calculs!L344)+SQRT((Calculs!N344+2*Calculs!L344)*(Calculs!N344+2*Calculs!L344)+8*Calculs!N344*(M97)))/(2*Calculs!N344), ((M97)/Calculs!L344))</f>
        <v>#DIV/0!</v>
      </c>
      <c r="R97" s="2161" t="e">
        <f t="shared" si="12"/>
        <v>#DIV/0!</v>
      </c>
      <c r="S97" s="2162" t="e">
        <f>Q97-Paramétrage!D$29</f>
        <v>#DIV/0!</v>
      </c>
      <c r="T97" s="2163" t="e">
        <f>IF(Q97&lt;Paramétrage!D$29, Q97, Paramétrage!D$29)</f>
        <v>#DIV/0!</v>
      </c>
      <c r="U97" s="2164" t="e">
        <f>IF(Q97&lt;Paramétrage!D$29, Paramétrage!H$19+S97*(365/12), Paramétrage!H$19+S97*(365/12))</f>
        <v>#DIV/0!</v>
      </c>
      <c r="V97" s="2165" t="e">
        <f>IF(Q97&lt;Paramétrage!D$29, Paramétrage!H$19+T97*(365/12), Paramétrage!H$19+Q97*(365/12))</f>
        <v>#DIV/0!</v>
      </c>
      <c r="W97" s="2051"/>
      <c r="X97" s="2161" t="str">
        <f t="shared" si="13"/>
        <v/>
      </c>
      <c r="Y97" s="2166" t="str">
        <f t="shared" si="14"/>
        <v/>
      </c>
      <c r="Z97" s="2162" t="str">
        <f t="shared" si="15"/>
        <v/>
      </c>
      <c r="AA97" s="2167" t="str">
        <f t="shared" si="16"/>
        <v/>
      </c>
      <c r="AB97" s="2164" t="str">
        <f>IF(ISERROR(Q97),"", IF(Q97=0, "", IF(Q97&gt;'Calculs Péremption conso'!$CB34, 'Calculs Péremption conso'!$BX34-Paramétrage!$D$29*(365/12), U97)))</f>
        <v/>
      </c>
      <c r="AC97" s="2165" t="str">
        <f>IF(ISERROR(Q97), AW97, IF(Q97=0, "", IF(Q97&gt;'Calculs Péremption conso'!$CB34, IF(Q97&lt;'Saisie données stocks'!$N$14, CONCATENATE('TRAD-Calculs dispo Données FA'!$B$88, " - ", 'Calculs Péremption conso'!$BY34, "/", 'Calculs Péremption conso'!$BZ34, "/", 'Calculs Péremption conso'!$CA34), 'Calculs Péremption conso'!CC34), V97)))</f>
        <v/>
      </c>
      <c r="AD97" s="2051"/>
      <c r="AE97" s="2161" t="e">
        <f>(Calculs!N289)/Calculs!L344</f>
        <v>#DIV/0!</v>
      </c>
      <c r="AF97" s="2161" t="e">
        <f t="shared" si="17"/>
        <v>#DIV/0!</v>
      </c>
      <c r="AG97" s="2162" t="e">
        <f>AE97-Paramétrage!D$29</f>
        <v>#DIV/0!</v>
      </c>
      <c r="AH97" s="2163" t="e">
        <f>IF(AE97&lt;Paramétrage!D$29, AE97, Paramétrage!D$29)</f>
        <v>#DIV/0!</v>
      </c>
      <c r="AI97" s="2164" t="e">
        <f>Paramétrage!H$19+AG97*(365/12)</f>
        <v>#DIV/0!</v>
      </c>
      <c r="AJ97" s="2165" t="e">
        <f>IF(AE97&lt;Paramétrage!D$29, Paramétrage!H$19+AH97*(365/12), Paramétrage!H$19+AE97*(365/12))</f>
        <v>#DIV/0!</v>
      </c>
      <c r="AK97" s="2051"/>
      <c r="AL97" s="2161" t="str">
        <f>IF(ISERROR(AE97),"", IF(AE97=0, "", IF(AE97&gt;'Calculs Péremption conso'!$CB34, 'Calculs Péremption conso'!$CB34, AE97)))</f>
        <v/>
      </c>
      <c r="AM97" s="2166" t="str">
        <f t="shared" si="18"/>
        <v/>
      </c>
      <c r="AN97" s="2162" t="str">
        <f>IF(ISERROR(AE97),"", IF(AE97=0, "", IF(AE97&gt;'Calculs Péremption conso'!$CB34, 'Calculs Péremption conso'!$CB34-Paramétrage!$D$29, AG97)))</f>
        <v/>
      </c>
      <c r="AO97" s="2167" t="str">
        <f>IF(ISERROR(AE97),"", IF(AE97=0, "", IF(AE97&gt;'Calculs Péremption conso'!$CB34, Paramétrage!$D$29, AH97)))</f>
        <v/>
      </c>
      <c r="AP97" s="2164" t="str">
        <f>IF(ISERROR(AE97),"", IF(AE97=0, "", IF(AE97&gt;'Calculs Péremption conso'!$CB34, 'Calculs Péremption conso'!$BX34-Paramétrage!$D$29*(365/12), AI97)))</f>
        <v/>
      </c>
      <c r="AQ97" s="2165" t="str">
        <f>IF(ISERROR(AE97),"", IF(AE97=0, "", IF(AE97&gt;'Calculs Péremption conso'!$CB34, CONCATENATE('TRAD-Calculs dispo Données FA'!$B$88, " - ", 'Calculs Péremption conso'!$BY34, "/", 'Calculs Péremption conso'!$BZ34, "/", 'Calculs Péremption conso'!$CA34), AJ97)))</f>
        <v/>
      </c>
      <c r="AR97" s="2051"/>
      <c r="AS97" s="2061">
        <f>Calculs!$N289</f>
        <v>0</v>
      </c>
      <c r="AT97" s="2062">
        <f>Calculs!L344</f>
        <v>0</v>
      </c>
      <c r="AU97" s="2068">
        <f>Calculs!$N344</f>
        <v>0</v>
      </c>
      <c r="AV97" s="2070" t="str">
        <f>IF(AND(AU97=0, AS97=0, AT97=0), 'TRAD-Calculs dispo Données FA'!$B$82, "")</f>
        <v>Stock et besoin nul</v>
      </c>
      <c r="AW97" s="2062" t="str">
        <f>IF(AND(AU97=0, AS97&gt;0, AT97=0), CONCATENATE(AS97, 'TRAD-Calculs dispo Données FA'!$B$80," =0"), "")</f>
        <v/>
      </c>
      <c r="AX97" s="2063" t="str">
        <f>IF(AND(AS97=0, OR(AT97&gt;=1, AU97&gt;=1)), 'TRAD-Calculs dispo Données FA'!$B$81, "")</f>
        <v/>
      </c>
      <c r="AY97" s="2051"/>
      <c r="AZ97" s="2051"/>
      <c r="BA97" s="2051"/>
      <c r="BB97" s="2051"/>
      <c r="BC97" s="2051"/>
      <c r="BD97" s="2051"/>
      <c r="BE97" s="2051"/>
      <c r="BF97" s="2051"/>
      <c r="BG97" s="2051"/>
      <c r="BH97" s="2051"/>
      <c r="BI97" s="2051"/>
      <c r="BJ97" s="2051"/>
      <c r="BK97" s="2051"/>
      <c r="BL97" s="2051"/>
      <c r="BM97" s="2051"/>
      <c r="BN97" s="2051"/>
      <c r="BO97" s="2051"/>
      <c r="BP97" s="2051"/>
      <c r="BQ97" s="2051"/>
      <c r="BR97" s="2051"/>
      <c r="BS97" s="2051"/>
      <c r="BT97" s="2051"/>
    </row>
    <row r="98" spans="3:72" s="358" customFormat="1" x14ac:dyDescent="0.2">
      <c r="C98" s="374"/>
      <c r="D98" s="375"/>
      <c r="E98" s="376" t="str">
        <f>'Saisie données stocks'!F47</f>
        <v>3TC</v>
      </c>
      <c r="F98" s="377" t="str">
        <f>'Saisie données stocks'!G47</f>
        <v>Cp</v>
      </c>
      <c r="G98" s="383" t="str">
        <f>'Saisie données stocks'!H47</f>
        <v>30 mg</v>
      </c>
      <c r="H98" s="378" t="str">
        <f>CONCATENATE(E98, " - ", G98, " - ", 'TRAD-Calculs dispo Données FA'!$B$79,"/", K98)</f>
        <v>3TC - 30 mg - B/60</v>
      </c>
      <c r="I98" s="380">
        <f>Calculs!K130</f>
        <v>2</v>
      </c>
      <c r="J98" s="380">
        <f t="shared" si="10"/>
        <v>60</v>
      </c>
      <c r="K98" s="114">
        <f>Calculs!J130</f>
        <v>60</v>
      </c>
      <c r="L98" s="381">
        <f t="shared" si="11"/>
        <v>1</v>
      </c>
      <c r="M98" s="1820">
        <f>Calculs!N290</f>
        <v>0</v>
      </c>
      <c r="N98" s="1820">
        <f>Calculs!$L$345</f>
        <v>0</v>
      </c>
      <c r="O98" s="1820">
        <f>Calculs!$N$345</f>
        <v>0</v>
      </c>
      <c r="P98"/>
      <c r="Q98" s="2161" t="e">
        <f>IF(Calculs!N345&gt;0, (-(Calculs!N345+2*Calculs!L345)+SQRT((Calculs!N345+2*Calculs!L345)*(Calculs!N345+2*Calculs!L345)+8*Calculs!N345*(M98)))/(2*Calculs!N345), ((M98)/Calculs!L345))</f>
        <v>#DIV/0!</v>
      </c>
      <c r="R98" s="2161" t="e">
        <f t="shared" si="12"/>
        <v>#DIV/0!</v>
      </c>
      <c r="S98" s="2162" t="e">
        <f>Q98-Paramétrage!D$29</f>
        <v>#DIV/0!</v>
      </c>
      <c r="T98" s="2163" t="e">
        <f>IF(Q98&lt;Paramétrage!D$29, Q98, Paramétrage!D$29)</f>
        <v>#DIV/0!</v>
      </c>
      <c r="U98" s="2164" t="e">
        <f>IF(Q98&lt;Paramétrage!D$29, Paramétrage!H$19+S98*(365/12), Paramétrage!H$19+S98*(365/12))</f>
        <v>#DIV/0!</v>
      </c>
      <c r="V98" s="2165" t="e">
        <f>IF(Q98&lt;Paramétrage!D$29, Paramétrage!H$19+T98*(365/12), Paramétrage!H$19+Q98*(365/12))</f>
        <v>#DIV/0!</v>
      </c>
      <c r="W98" s="2051"/>
      <c r="X98" s="2161" t="str">
        <f t="shared" si="13"/>
        <v/>
      </c>
      <c r="Y98" s="2166" t="str">
        <f t="shared" si="14"/>
        <v/>
      </c>
      <c r="Z98" s="2162" t="str">
        <f t="shared" si="15"/>
        <v/>
      </c>
      <c r="AA98" s="2167" t="str">
        <f t="shared" si="16"/>
        <v/>
      </c>
      <c r="AB98" s="2164" t="str">
        <f>IF(ISERROR(Q98),"", IF(Q98=0, "", IF(Q98&gt;'Calculs Péremption conso'!$CB35, 'Calculs Péremption conso'!$BX35-Paramétrage!$D$29*(365/12), U98)))</f>
        <v/>
      </c>
      <c r="AC98" s="2165" t="str">
        <f>IF(ISERROR(Q98), AW98, IF(Q98=0, "", IF(Q98&gt;'Calculs Péremption conso'!$CB35, IF(Q98&lt;'Saisie données stocks'!$N$14, CONCATENATE('TRAD-Calculs dispo Données FA'!$B$88, " - ", 'Calculs Péremption conso'!$BY35, "/", 'Calculs Péremption conso'!$BZ35, "/", 'Calculs Péremption conso'!$CA35), 'Calculs Péremption conso'!CC35), V98)))</f>
        <v/>
      </c>
      <c r="AD98" s="2051"/>
      <c r="AE98" s="2161" t="e">
        <f>(Calculs!N290)/Calculs!L345</f>
        <v>#DIV/0!</v>
      </c>
      <c r="AF98" s="2161" t="e">
        <f t="shared" si="17"/>
        <v>#DIV/0!</v>
      </c>
      <c r="AG98" s="2162" t="e">
        <f>AE98-Paramétrage!D$29</f>
        <v>#DIV/0!</v>
      </c>
      <c r="AH98" s="2163" t="e">
        <f>IF(AE98&lt;Paramétrage!D$29, AE98, Paramétrage!D$29)</f>
        <v>#DIV/0!</v>
      </c>
      <c r="AI98" s="2164" t="e">
        <f>Paramétrage!H$19+AG98*(365/12)</f>
        <v>#DIV/0!</v>
      </c>
      <c r="AJ98" s="2165" t="e">
        <f>IF(AE98&lt;Paramétrage!D$29, Paramétrage!H$19+AH98*(365/12), Paramétrage!H$19+AE98*(365/12))</f>
        <v>#DIV/0!</v>
      </c>
      <c r="AK98" s="2051"/>
      <c r="AL98" s="2161" t="str">
        <f>IF(ISERROR(AE98),"", IF(AE98=0, "", IF(AE98&gt;'Calculs Péremption conso'!$CB35, 'Calculs Péremption conso'!$CB35, AE98)))</f>
        <v/>
      </c>
      <c r="AM98" s="2166" t="str">
        <f t="shared" si="18"/>
        <v/>
      </c>
      <c r="AN98" s="2162" t="str">
        <f>IF(ISERROR(AE98),"", IF(AE98=0, "", IF(AE98&gt;'Calculs Péremption conso'!$CB35, 'Calculs Péremption conso'!$CB35-Paramétrage!$D$29, AG98)))</f>
        <v/>
      </c>
      <c r="AO98" s="2167" t="str">
        <f>IF(ISERROR(AE98),"", IF(AE98=0, "", IF(AE98&gt;'Calculs Péremption conso'!$CB35, Paramétrage!$D$29, AH98)))</f>
        <v/>
      </c>
      <c r="AP98" s="2164" t="str">
        <f>IF(ISERROR(AE98),"", IF(AE98=0, "", IF(AE98&gt;'Calculs Péremption conso'!$CB35, 'Calculs Péremption conso'!$BX35-Paramétrage!$D$29*(365/12), AI98)))</f>
        <v/>
      </c>
      <c r="AQ98" s="2165" t="str">
        <f>IF(ISERROR(AE98),"", IF(AE98=0, "", IF(AE98&gt;'Calculs Péremption conso'!$CB35, CONCATENATE('TRAD-Calculs dispo Données FA'!$B$88, " - ", 'Calculs Péremption conso'!$BY35, "/", 'Calculs Péremption conso'!$BZ35, "/", 'Calculs Péremption conso'!$CA35), AJ98)))</f>
        <v/>
      </c>
      <c r="AR98" s="2051"/>
      <c r="AS98" s="2061">
        <f>Calculs!$N290</f>
        <v>0</v>
      </c>
      <c r="AT98" s="2062">
        <f>Calculs!L345</f>
        <v>0</v>
      </c>
      <c r="AU98" s="2068">
        <f>Calculs!$N345</f>
        <v>0</v>
      </c>
      <c r="AV98" s="2070" t="str">
        <f>IF(AND(AU98=0, AS98=0, AT98=0), 'TRAD-Calculs dispo Données FA'!$B$82, "")</f>
        <v>Stock et besoin nul</v>
      </c>
      <c r="AW98" s="2062" t="str">
        <f>IF(AND(AU98=0, AS98&gt;0, AT98=0), CONCATENATE(AS98, 'TRAD-Calculs dispo Données FA'!$B$80," =0"), "")</f>
        <v/>
      </c>
      <c r="AX98" s="2063" t="str">
        <f>IF(AND(AS98=0, OR(AT98&gt;=1, AU98&gt;=1)), 'TRAD-Calculs dispo Données FA'!$B$81, "")</f>
        <v/>
      </c>
      <c r="AY98" s="2051"/>
      <c r="AZ98" s="2051"/>
      <c r="BA98" s="2051"/>
      <c r="BB98" s="2051"/>
      <c r="BC98" s="2051"/>
      <c r="BD98" s="2051"/>
      <c r="BE98" s="2051"/>
      <c r="BF98" s="2051"/>
      <c r="BG98" s="2051"/>
      <c r="BH98" s="2051"/>
      <c r="BI98" s="2051"/>
      <c r="BJ98" s="2051"/>
      <c r="BK98" s="2051"/>
      <c r="BL98" s="2051"/>
      <c r="BM98" s="2051"/>
      <c r="BN98" s="2051"/>
      <c r="BO98" s="2051"/>
      <c r="BP98" s="2051"/>
      <c r="BQ98" s="2051"/>
      <c r="BR98" s="2051"/>
      <c r="BS98" s="2051"/>
      <c r="BT98" s="2051"/>
    </row>
    <row r="99" spans="3:72" s="358" customFormat="1" x14ac:dyDescent="0.2">
      <c r="C99" s="374"/>
      <c r="D99" s="375"/>
      <c r="E99" s="382" t="str">
        <f>'Saisie données stocks'!F48</f>
        <v>DDI</v>
      </c>
      <c r="F99" s="383" t="str">
        <f>'Saisie données stocks'!G48</f>
        <v>Cp</v>
      </c>
      <c r="G99" s="383" t="str">
        <f>'Saisie données stocks'!H48</f>
        <v>250 mg</v>
      </c>
      <c r="H99" s="384" t="str">
        <f>CONCATENATE(E99, " - ", G99, " - ", 'TRAD-Calculs dispo Données FA'!$B$79,"/", K99)</f>
        <v>DDI - 250 mg - B/30</v>
      </c>
      <c r="I99" s="386">
        <f>Calculs!K131</f>
        <v>1</v>
      </c>
      <c r="J99" s="386">
        <f t="shared" si="10"/>
        <v>30</v>
      </c>
      <c r="K99" s="115">
        <f>Calculs!J131</f>
        <v>30</v>
      </c>
      <c r="L99" s="387">
        <f t="shared" si="11"/>
        <v>1</v>
      </c>
      <c r="M99" s="1820">
        <f>Calculs!N291</f>
        <v>0</v>
      </c>
      <c r="N99" s="1820">
        <f>Calculs!$L$346</f>
        <v>0</v>
      </c>
      <c r="O99" s="1820">
        <f>Calculs!$N$346</f>
        <v>0</v>
      </c>
      <c r="P99"/>
      <c r="Q99" s="2161" t="e">
        <f>IF(Calculs!N346&gt;0, (-(Calculs!N346+2*Calculs!L346)+SQRT((Calculs!N346+2*Calculs!L346)*(Calculs!N346+2*Calculs!L346)+8*Calculs!N346*(M99)))/(2*Calculs!N346), ((M99)/Calculs!L346))</f>
        <v>#DIV/0!</v>
      </c>
      <c r="R99" s="2161" t="e">
        <f t="shared" si="12"/>
        <v>#DIV/0!</v>
      </c>
      <c r="S99" s="2173" t="e">
        <f>Q99-Paramétrage!D$29</f>
        <v>#DIV/0!</v>
      </c>
      <c r="T99" s="2169" t="e">
        <f>IF(Q99&lt;Paramétrage!D$29, Q99, Paramétrage!D$29)</f>
        <v>#DIV/0!</v>
      </c>
      <c r="U99" s="2170" t="e">
        <f>IF(Q99&lt;Paramétrage!D$29, Paramétrage!H$19+S99*(365/12), Paramétrage!H$19+S99*(365/12))</f>
        <v>#DIV/0!</v>
      </c>
      <c r="V99" s="2171" t="e">
        <f>IF(Q99&lt;Paramétrage!D$29, Paramétrage!H$19+T99*(365/12), Paramétrage!H$19+Q99*(365/12))</f>
        <v>#DIV/0!</v>
      </c>
      <c r="W99" s="2051"/>
      <c r="X99" s="2161" t="str">
        <f t="shared" si="13"/>
        <v/>
      </c>
      <c r="Y99" s="2166" t="str">
        <f t="shared" si="14"/>
        <v/>
      </c>
      <c r="Z99" s="2173" t="str">
        <f t="shared" si="15"/>
        <v/>
      </c>
      <c r="AA99" s="2174" t="str">
        <f t="shared" si="16"/>
        <v/>
      </c>
      <c r="AB99" s="2170" t="str">
        <f>IF(ISERROR(Q99),"", IF(Q99=0, "", IF(Q99&gt;'Calculs Péremption conso'!$CB36, 'Calculs Péremption conso'!$BX36-Paramétrage!$D$29*(365/12), U99)))</f>
        <v/>
      </c>
      <c r="AC99" s="2171" t="str">
        <f>IF(ISERROR(Q99), AW99, IF(Q99=0, "", IF(Q99&gt;'Calculs Péremption conso'!$CB36, IF(Q99&lt;'Saisie données stocks'!$N$14, CONCATENATE('TRAD-Calculs dispo Données FA'!$B$88, " - ", 'Calculs Péremption conso'!$BY36, "/", 'Calculs Péremption conso'!$BZ36, "/", 'Calculs Péremption conso'!$CA36), 'Calculs Péremption conso'!CC36), V99)))</f>
        <v/>
      </c>
      <c r="AD99" s="2051"/>
      <c r="AE99" s="2161" t="e">
        <f>(Calculs!N291)/Calculs!L346</f>
        <v>#DIV/0!</v>
      </c>
      <c r="AF99" s="2161" t="e">
        <f t="shared" si="17"/>
        <v>#DIV/0!</v>
      </c>
      <c r="AG99" s="2173" t="e">
        <f>AE99-Paramétrage!D$29</f>
        <v>#DIV/0!</v>
      </c>
      <c r="AH99" s="2169" t="e">
        <f>IF(AE99&lt;Paramétrage!D$29, AE99, Paramétrage!D$29)</f>
        <v>#DIV/0!</v>
      </c>
      <c r="AI99" s="2170" t="e">
        <f>Paramétrage!H$19+AG99*(365/12)</f>
        <v>#DIV/0!</v>
      </c>
      <c r="AJ99" s="2171" t="e">
        <f>IF(AE99&lt;Paramétrage!D$29, Paramétrage!H$19+AH99*(365/12), Paramétrage!H$19+AE99*(365/12))</f>
        <v>#DIV/0!</v>
      </c>
      <c r="AK99" s="2051"/>
      <c r="AL99" s="2161" t="str">
        <f>IF(ISERROR(AE99),"", IF(AE99=0, "", IF(AE99&gt;'Calculs Péremption conso'!$CB36, 'Calculs Péremption conso'!$CB36, AE99)))</f>
        <v/>
      </c>
      <c r="AM99" s="2166" t="str">
        <f t="shared" si="18"/>
        <v/>
      </c>
      <c r="AN99" s="2173" t="str">
        <f>IF(ISERROR(AE99),"", IF(AE99=0, "", IF(AE99&gt;'Calculs Péremption conso'!$CB36, 'Calculs Péremption conso'!$CB36-Paramétrage!$D$29, AG99)))</f>
        <v/>
      </c>
      <c r="AO99" s="2174" t="str">
        <f>IF(ISERROR(AE99),"", IF(AE99=0, "", IF(AE99&gt;'Calculs Péremption conso'!$CB36, Paramétrage!$D$29, AH99)))</f>
        <v/>
      </c>
      <c r="AP99" s="2170" t="str">
        <f>IF(ISERROR(AE99),"", IF(AE99=0, "", IF(AE99&gt;'Calculs Péremption conso'!$CB36, 'Calculs Péremption conso'!$BX36-Paramétrage!$D$29*(365/12), AI99)))</f>
        <v/>
      </c>
      <c r="AQ99" s="2171" t="str">
        <f>IF(ISERROR(AE99),"", IF(AE99=0, "", IF(AE99&gt;'Calculs Péremption conso'!$CB36, CONCATENATE('TRAD-Calculs dispo Données FA'!$B$88, " - ", 'Calculs Péremption conso'!$BY36, "/", 'Calculs Péremption conso'!$BZ36, "/", 'Calculs Péremption conso'!$CA36), AJ99)))</f>
        <v/>
      </c>
      <c r="AR99" s="2051"/>
      <c r="AS99" s="2061">
        <f>Calculs!$N291</f>
        <v>0</v>
      </c>
      <c r="AT99" s="2062">
        <f>Calculs!L346</f>
        <v>0</v>
      </c>
      <c r="AU99" s="2068">
        <f>Calculs!$N346</f>
        <v>0</v>
      </c>
      <c r="AV99" s="2070" t="str">
        <f>IF(AND(AU99=0, AS99=0, AT99=0), 'TRAD-Calculs dispo Données FA'!$B$82, "")</f>
        <v>Stock et besoin nul</v>
      </c>
      <c r="AW99" s="2062" t="str">
        <f>IF(AND(AU99=0, AS99&gt;0, AT99=0), CONCATENATE(AS99, 'TRAD-Calculs dispo Données FA'!$B$80," =0"), "")</f>
        <v/>
      </c>
      <c r="AX99" s="2063" t="str">
        <f>IF(AND(AS99=0, OR(AT99&gt;=1, AU99&gt;=1)), 'TRAD-Calculs dispo Données FA'!$B$81, "")</f>
        <v/>
      </c>
      <c r="AY99" s="2051"/>
      <c r="AZ99" s="2051"/>
      <c r="BA99" s="2051"/>
      <c r="BB99" s="2051"/>
      <c r="BC99" s="2051"/>
      <c r="BD99" s="2051"/>
      <c r="BE99" s="2051"/>
      <c r="BF99" s="2051"/>
      <c r="BG99" s="2051"/>
      <c r="BH99" s="2051"/>
      <c r="BI99" s="2051"/>
      <c r="BJ99" s="2051"/>
      <c r="BK99" s="2051"/>
      <c r="BL99" s="2051"/>
      <c r="BM99" s="2051"/>
      <c r="BN99" s="2051"/>
      <c r="BO99" s="2051"/>
      <c r="BP99" s="2051"/>
      <c r="BQ99" s="2051"/>
      <c r="BR99" s="2051"/>
      <c r="BS99" s="2051"/>
      <c r="BT99" s="2051"/>
    </row>
    <row r="100" spans="3:72" s="358" customFormat="1" x14ac:dyDescent="0.2">
      <c r="C100" s="374"/>
      <c r="D100" s="375"/>
      <c r="E100" s="382" t="str">
        <f>'Saisie données stocks'!F49</f>
        <v>DDI</v>
      </c>
      <c r="F100" s="383" t="str">
        <f>'Saisie données stocks'!G49</f>
        <v>Cp</v>
      </c>
      <c r="G100" s="397" t="str">
        <f>'Saisie données stocks'!H49</f>
        <v>400 mg</v>
      </c>
      <c r="H100" s="384" t="str">
        <f>CONCATENATE(E100, " - ", G100, " - ", 'TRAD-Calculs dispo Données FA'!$B$79,"/", K100)</f>
        <v>DDI - 400 mg - B/30</v>
      </c>
      <c r="I100" s="399">
        <f>Calculs!K132</f>
        <v>1</v>
      </c>
      <c r="J100" s="399">
        <f t="shared" si="10"/>
        <v>30</v>
      </c>
      <c r="K100" s="117">
        <f>Calculs!J132</f>
        <v>30</v>
      </c>
      <c r="L100" s="400">
        <f t="shared" si="11"/>
        <v>1</v>
      </c>
      <c r="M100" s="1823">
        <f>Calculs!N292</f>
        <v>0</v>
      </c>
      <c r="N100" s="1871">
        <f>Calculs!$L$347</f>
        <v>2</v>
      </c>
      <c r="O100" s="1871">
        <f>Calculs!$N$347</f>
        <v>0</v>
      </c>
      <c r="P100"/>
      <c r="Q100" s="2184">
        <f>IF(Calculs!N347&gt;0, (-(Calculs!N347+2*Calculs!L347)+SQRT((Calculs!N347+2*Calculs!L347)*(Calculs!N347+2*Calculs!L347)+8*Calculs!N347*(M100)))/(2*Calculs!N347), ((M100)/Calculs!L347))</f>
        <v>0</v>
      </c>
      <c r="R100" s="2184">
        <f t="shared" si="12"/>
        <v>0</v>
      </c>
      <c r="S100" s="2173">
        <f>Q100-Paramétrage!D$29</f>
        <v>-3</v>
      </c>
      <c r="T100" s="2169">
        <f>IF(Q100&lt;Paramétrage!D$29, Q100, Paramétrage!D$29)</f>
        <v>0</v>
      </c>
      <c r="U100" s="2186">
        <f>IF(Q100&lt;Paramétrage!D$29, Paramétrage!H$19+S100*(365/12), Paramétrage!H$19+S100*(365/12))</f>
        <v>41827.75</v>
      </c>
      <c r="V100" s="2187">
        <f>IF(Q100&lt;Paramétrage!D$29, Paramétrage!H$19+T100*(365/12), Paramétrage!H$19+Q100*(365/12))</f>
        <v>41919</v>
      </c>
      <c r="W100" s="2051"/>
      <c r="X100" s="2184" t="str">
        <f t="shared" si="13"/>
        <v/>
      </c>
      <c r="Y100" s="2188" t="str">
        <f t="shared" si="14"/>
        <v/>
      </c>
      <c r="Z100" s="2173" t="str">
        <f t="shared" si="15"/>
        <v/>
      </c>
      <c r="AA100" s="2174" t="str">
        <f t="shared" si="16"/>
        <v/>
      </c>
      <c r="AB100" s="2186" t="str">
        <f>IF(ISERROR(Q100),"", IF(Q100=0, "", IF(Q100&gt;'Calculs Péremption conso'!$CB37, 'Calculs Péremption conso'!$BX37-Paramétrage!$D$29*(365/12), U100)))</f>
        <v/>
      </c>
      <c r="AC100" s="2187" t="str">
        <f>IF(ISERROR(Q100), AW100, IF(Q100=0, "", IF(Q100&gt;'Calculs Péremption conso'!$CB37, IF(Q100&lt;'Saisie données stocks'!$N$14, CONCATENATE('TRAD-Calculs dispo Données FA'!$B$88, " - ", 'Calculs Péremption conso'!$BY37, "/", 'Calculs Péremption conso'!$BZ37, "/", 'Calculs Péremption conso'!$CA37), 'Calculs Péremption conso'!CC37), V100)))</f>
        <v/>
      </c>
      <c r="AD100" s="2051"/>
      <c r="AE100" s="2184">
        <f>(Calculs!N292)/Calculs!L347</f>
        <v>0</v>
      </c>
      <c r="AF100" s="2184">
        <f t="shared" si="17"/>
        <v>0</v>
      </c>
      <c r="AG100" s="2173">
        <f>AE100-Paramétrage!D$29</f>
        <v>-3</v>
      </c>
      <c r="AH100" s="2169">
        <f>IF(AE100&lt;Paramétrage!D$29, AE100, Paramétrage!D$29)</f>
        <v>0</v>
      </c>
      <c r="AI100" s="2186">
        <f>Paramétrage!H$19+AG100*(365/12)</f>
        <v>41827.75</v>
      </c>
      <c r="AJ100" s="2187">
        <f>IF(AE100&lt;Paramétrage!D$29, Paramétrage!H$19+AH100*(365/12), Paramétrage!H$19+AE100*(365/12))</f>
        <v>41919</v>
      </c>
      <c r="AK100" s="2051"/>
      <c r="AL100" s="2184" t="str">
        <f>IF(ISERROR(AE100),"", IF(AE100=0, "", IF(AE100&gt;'Calculs Péremption conso'!$CB37, 'Calculs Péremption conso'!$CB37, AE100)))</f>
        <v/>
      </c>
      <c r="AM100" s="2188" t="str">
        <f t="shared" si="18"/>
        <v/>
      </c>
      <c r="AN100" s="2173" t="str">
        <f>IF(ISERROR(AE100),"", IF(AE100=0, "", IF(AE100&gt;'Calculs Péremption conso'!$CB37, 'Calculs Péremption conso'!$CB37-Paramétrage!$D$29, AG100)))</f>
        <v/>
      </c>
      <c r="AO100" s="2174" t="str">
        <f>IF(ISERROR(AE100),"", IF(AE100=0, "", IF(AE100&gt;'Calculs Péremption conso'!$CB37, Paramétrage!$D$29, AH100)))</f>
        <v/>
      </c>
      <c r="AP100" s="2186" t="str">
        <f>IF(ISERROR(AE100),"", IF(AE100=0, "", IF(AE100&gt;'Calculs Péremption conso'!$CB37, 'Calculs Péremption conso'!$BX37-Paramétrage!$D$29*(365/12), AI100)))</f>
        <v/>
      </c>
      <c r="AQ100" s="2187" t="str">
        <f>IF(ISERROR(AE100),"", IF(AE100=0, "", IF(AE100&gt;'Calculs Péremption conso'!$CB37, CONCATENATE('TRAD-Calculs dispo Données FA'!$B$88, " - ", 'Calculs Péremption conso'!$BY37, "/", 'Calculs Péremption conso'!$BZ37, "/", 'Calculs Péremption conso'!$CA37), AJ100)))</f>
        <v/>
      </c>
      <c r="AR100" s="2051"/>
      <c r="AS100" s="2061">
        <f>Calculs!$N292</f>
        <v>0</v>
      </c>
      <c r="AT100" s="2062">
        <f>Calculs!L347</f>
        <v>2</v>
      </c>
      <c r="AU100" s="2068">
        <f>Calculs!$N347</f>
        <v>0</v>
      </c>
      <c r="AV100" s="2070" t="str">
        <f>IF(AND(AU100=0, AS100=0, AT100=0), 'TRAD-Calculs dispo Données FA'!$B$82, "")</f>
        <v/>
      </c>
      <c r="AW100" s="2062" t="str">
        <f>IF(AND(AU100=0, AS100&gt;0, AT100=0), CONCATENATE(AS100, 'TRAD-Calculs dispo Données FA'!$B$80," =0"), "")</f>
        <v/>
      </c>
      <c r="AX100" s="2063" t="str">
        <f>IF(AND(AS100=0, OR(AT100&gt;=1, AU100&gt;=1)), 'TRAD-Calculs dispo Données FA'!$B$81, "")</f>
        <v>RUPTURE</v>
      </c>
      <c r="AY100" s="2051"/>
      <c r="AZ100" s="2051"/>
      <c r="BA100" s="2051"/>
      <c r="BB100" s="2051"/>
      <c r="BC100" s="2051"/>
      <c r="BD100" s="2051"/>
      <c r="BE100" s="2051"/>
      <c r="BF100" s="2051"/>
      <c r="BG100" s="2051"/>
      <c r="BH100" s="2051"/>
      <c r="BI100" s="2051"/>
      <c r="BJ100" s="2051"/>
      <c r="BK100" s="2051"/>
      <c r="BL100" s="2051"/>
      <c r="BM100" s="2051"/>
      <c r="BN100" s="2051"/>
      <c r="BO100" s="2051"/>
      <c r="BP100" s="2051"/>
      <c r="BQ100" s="2051"/>
      <c r="BR100" s="2051"/>
      <c r="BS100" s="2051"/>
      <c r="BT100" s="2051"/>
    </row>
    <row r="101" spans="3:72" s="358" customFormat="1" x14ac:dyDescent="0.2">
      <c r="C101" s="388"/>
      <c r="D101" s="389"/>
      <c r="E101" s="390" t="str">
        <f>'Saisie données stocks'!F50</f>
        <v>TDF</v>
      </c>
      <c r="F101" s="391" t="str">
        <f>'Saisie données stocks'!G50</f>
        <v>Cp</v>
      </c>
      <c r="G101" s="391" t="str">
        <f>'Saisie données stocks'!H50</f>
        <v>300 mg</v>
      </c>
      <c r="H101" s="401" t="str">
        <f>CONCATENATE(E101, " - ", G101, " - ", 'TRAD-Calculs dispo Données FA'!$B$79,"/", K101)</f>
        <v>TDF - 300 mg - B/30</v>
      </c>
      <c r="I101" s="394">
        <f>Calculs!K133</f>
        <v>1</v>
      </c>
      <c r="J101" s="394">
        <f t="shared" si="10"/>
        <v>30</v>
      </c>
      <c r="K101" s="116">
        <f>Calculs!J133</f>
        <v>30</v>
      </c>
      <c r="L101" s="395">
        <f t="shared" si="11"/>
        <v>1</v>
      </c>
      <c r="M101" s="1822">
        <f>Calculs!N293</f>
        <v>0</v>
      </c>
      <c r="N101" s="1822">
        <f>Calculs!$L$348</f>
        <v>0</v>
      </c>
      <c r="O101" s="1822">
        <f>Calculs!$N$348</f>
        <v>0</v>
      </c>
      <c r="P101"/>
      <c r="Q101" s="2175" t="e">
        <f>IF(Calculs!N348&gt;0, (-(Calculs!N348+2*Calculs!L348)+SQRT((Calculs!N348+2*Calculs!L348)*(Calculs!N348+2*Calculs!L348)+8*Calculs!N348*(M101)))/(2*Calculs!N348), ((M101)/Calculs!L348))</f>
        <v>#DIV/0!</v>
      </c>
      <c r="R101" s="2175" t="e">
        <f t="shared" si="12"/>
        <v>#DIV/0!</v>
      </c>
      <c r="S101" s="2181" t="e">
        <f>Q101-Paramétrage!D$29</f>
        <v>#DIV/0!</v>
      </c>
      <c r="T101" s="2182" t="e">
        <f>IF(Q101&lt;Paramétrage!D$29, Q101, Paramétrage!D$29)</f>
        <v>#DIV/0!</v>
      </c>
      <c r="U101" s="2178" t="e">
        <f>IF(Q101&lt;Paramétrage!D$29, Paramétrage!H$19+S101*(365/12), Paramétrage!H$19+S101*(365/12))</f>
        <v>#DIV/0!</v>
      </c>
      <c r="V101" s="2179" t="e">
        <f>IF(Q101&lt;Paramétrage!D$29, Paramétrage!H$19+T101*(365/12), Paramétrage!H$19+Q101*(365/12))</f>
        <v>#DIV/0!</v>
      </c>
      <c r="W101" s="2051"/>
      <c r="X101" s="2175" t="str">
        <f t="shared" si="13"/>
        <v/>
      </c>
      <c r="Y101" s="2180" t="str">
        <f t="shared" si="14"/>
        <v/>
      </c>
      <c r="Z101" s="2181" t="str">
        <f t="shared" si="15"/>
        <v/>
      </c>
      <c r="AA101" s="2182" t="str">
        <f t="shared" si="16"/>
        <v/>
      </c>
      <c r="AB101" s="2178" t="str">
        <f>IF(ISERROR(Q101),"", IF(Q101=0, "", IF(Q101&gt;'Calculs Péremption conso'!$CB38, 'Calculs Péremption conso'!$BX38-Paramétrage!$D$29*(365/12), U101)))</f>
        <v/>
      </c>
      <c r="AC101" s="2179" t="str">
        <f>IF(ISERROR(Q101), AW101, IF(Q101=0, "", IF(Q101&gt;'Calculs Péremption conso'!$CB38, IF(Q101&lt;'Saisie données stocks'!$N$14, CONCATENATE('TRAD-Calculs dispo Données FA'!$B$88, " - ", 'Calculs Péremption conso'!$BY38, "/", 'Calculs Péremption conso'!$BZ38, "/", 'Calculs Péremption conso'!$CA38), 'Calculs Péremption conso'!CC38), V101)))</f>
        <v/>
      </c>
      <c r="AD101" s="2051"/>
      <c r="AE101" s="2175" t="e">
        <f>(Calculs!N293)/Calculs!L348</f>
        <v>#DIV/0!</v>
      </c>
      <c r="AF101" s="2175" t="e">
        <f t="shared" si="17"/>
        <v>#DIV/0!</v>
      </c>
      <c r="AG101" s="2181" t="e">
        <f>AE101-Paramétrage!D$29</f>
        <v>#DIV/0!</v>
      </c>
      <c r="AH101" s="2182" t="e">
        <f>IF(AE101&lt;Paramétrage!D$29, AE101, Paramétrage!D$29)</f>
        <v>#DIV/0!</v>
      </c>
      <c r="AI101" s="2178" t="e">
        <f>Paramétrage!H$19+AG101*(365/12)</f>
        <v>#DIV/0!</v>
      </c>
      <c r="AJ101" s="2179" t="e">
        <f>IF(AE101&lt;Paramétrage!D$29, Paramétrage!H$19+AH101*(365/12), Paramétrage!H$19+AE101*(365/12))</f>
        <v>#DIV/0!</v>
      </c>
      <c r="AK101" s="2051"/>
      <c r="AL101" s="2175" t="str">
        <f>IF(ISERROR(AE101),"", IF(AE101=0, "", IF(AE101&gt;'Calculs Péremption conso'!$CB38, 'Calculs Péremption conso'!$CB38, AE101)))</f>
        <v/>
      </c>
      <c r="AM101" s="2180" t="str">
        <f t="shared" si="18"/>
        <v/>
      </c>
      <c r="AN101" s="2181" t="str">
        <f>IF(ISERROR(AE101),"", IF(AE101=0, "", IF(AE101&gt;'Calculs Péremption conso'!$CB38, 'Calculs Péremption conso'!$CB38-Paramétrage!$D$29, AG101)))</f>
        <v/>
      </c>
      <c r="AO101" s="2182" t="str">
        <f>IF(ISERROR(AE101),"", IF(AE101=0, "", IF(AE101&gt;'Calculs Péremption conso'!$CB38, Paramétrage!$D$29, AH101)))</f>
        <v/>
      </c>
      <c r="AP101" s="2178" t="str">
        <f>IF(ISERROR(AE101),"", IF(AE101=0, "", IF(AE101&gt;'Calculs Péremption conso'!$CB38, 'Calculs Péremption conso'!$BX38-Paramétrage!$D$29*(365/12), AI101)))</f>
        <v/>
      </c>
      <c r="AQ101" s="2179" t="str">
        <f>IF(ISERROR(AE101),"", IF(AE101=0, "", IF(AE101&gt;'Calculs Péremption conso'!$CB38, CONCATENATE('TRAD-Calculs dispo Données FA'!$B$88, " - ", 'Calculs Péremption conso'!$BY38, "/", 'Calculs Péremption conso'!$BZ38, "/", 'Calculs Péremption conso'!$CA38), AJ101)))</f>
        <v/>
      </c>
      <c r="AR101" s="2051"/>
      <c r="AS101" s="2061">
        <f>Calculs!$N293</f>
        <v>0</v>
      </c>
      <c r="AT101" s="2062">
        <f>Calculs!L348</f>
        <v>0</v>
      </c>
      <c r="AU101" s="2068">
        <f>Calculs!$N348</f>
        <v>0</v>
      </c>
      <c r="AV101" s="2070" t="str">
        <f>IF(AND(AU101=0, AS101=0, AT101=0), 'TRAD-Calculs dispo Données FA'!$B$82, "")</f>
        <v>Stock et besoin nul</v>
      </c>
      <c r="AW101" s="2062" t="str">
        <f>IF(AND(AU101=0, AS101&gt;0, AT101=0), CONCATENATE(AS101, 'TRAD-Calculs dispo Données FA'!$B$80," =0"), "")</f>
        <v/>
      </c>
      <c r="AX101" s="2063" t="str">
        <f>IF(AND(AS101=0, OR(AT101&gt;=1, AU101&gt;=1)), 'TRAD-Calculs dispo Données FA'!$B$81, "")</f>
        <v/>
      </c>
      <c r="AY101" s="2051"/>
      <c r="AZ101" s="2051"/>
      <c r="BA101" s="2051"/>
      <c r="BB101" s="2051"/>
      <c r="BC101" s="2051"/>
      <c r="BD101" s="2051"/>
      <c r="BE101" s="2051"/>
      <c r="BF101" s="2051"/>
      <c r="BG101" s="2051"/>
      <c r="BH101" s="2051"/>
      <c r="BI101" s="2051"/>
      <c r="BJ101" s="2051"/>
      <c r="BK101" s="2051"/>
      <c r="BL101" s="2051"/>
      <c r="BM101" s="2051"/>
      <c r="BN101" s="2051"/>
      <c r="BO101" s="2051"/>
      <c r="BP101" s="2051"/>
      <c r="BQ101" s="2051"/>
      <c r="BR101" s="2051"/>
      <c r="BS101" s="2051"/>
      <c r="BT101" s="2051"/>
    </row>
    <row r="102" spans="3:72" s="358" customFormat="1" x14ac:dyDescent="0.2">
      <c r="C102" s="374"/>
      <c r="D102" s="375" t="s">
        <v>41</v>
      </c>
      <c r="E102" s="376" t="str">
        <f>'Saisie données stocks'!F51</f>
        <v>LPV/r</v>
      </c>
      <c r="F102" s="377" t="str">
        <f>'Saisie données stocks'!G51</f>
        <v>Cp</v>
      </c>
      <c r="G102" s="377" t="str">
        <f>'Saisie données stocks'!H51</f>
        <v>200/50 mg</v>
      </c>
      <c r="H102" s="378" t="str">
        <f>CONCATENATE(E102, " - ", G102, " - ", 'TRAD-Calculs dispo Données FA'!$B$79,"/", K102)</f>
        <v>LPV/r - 200/50 mg - B/120</v>
      </c>
      <c r="I102" s="380">
        <f>Calculs!K134</f>
        <v>4</v>
      </c>
      <c r="J102" s="380">
        <f t="shared" si="10"/>
        <v>120</v>
      </c>
      <c r="K102" s="114">
        <f>Calculs!J134</f>
        <v>120</v>
      </c>
      <c r="L102" s="381">
        <f t="shared" si="11"/>
        <v>1</v>
      </c>
      <c r="M102" s="1820">
        <f>Calculs!N294</f>
        <v>0</v>
      </c>
      <c r="N102" s="1820">
        <f>Calculs!$L$349</f>
        <v>106</v>
      </c>
      <c r="O102" s="1820">
        <f>Calculs!$N$349</f>
        <v>0</v>
      </c>
      <c r="P102"/>
      <c r="Q102" s="2161">
        <f>IF(Calculs!N349&gt;0, (-(Calculs!N349+2*Calculs!L349)+SQRT((Calculs!N349+2*Calculs!L349)*(Calculs!N349+2*Calculs!L349)+8*Calculs!N349*(M102)))/(2*Calculs!N349), ((M102)/Calculs!L349))</f>
        <v>0</v>
      </c>
      <c r="R102" s="2161">
        <f t="shared" si="12"/>
        <v>0</v>
      </c>
      <c r="S102" s="2162">
        <f>Q102-Paramétrage!D$29</f>
        <v>-3</v>
      </c>
      <c r="T102" s="2163">
        <f>IF(Q102&lt;Paramétrage!D$29, Q102, Paramétrage!D$29)</f>
        <v>0</v>
      </c>
      <c r="U102" s="2164">
        <f>IF(Q102&lt;Paramétrage!D$29, Paramétrage!H$19+S102*(365/12), Paramétrage!H$19+S102*(365/12))</f>
        <v>41827.75</v>
      </c>
      <c r="V102" s="2165">
        <f>IF(Q102&lt;Paramétrage!D$29, Paramétrage!H$19+T102*(365/12), Paramétrage!H$19+Q102*(365/12))</f>
        <v>41919</v>
      </c>
      <c r="W102" s="2051"/>
      <c r="X102" s="2161" t="str">
        <f t="shared" si="13"/>
        <v/>
      </c>
      <c r="Y102" s="2166" t="str">
        <f t="shared" si="14"/>
        <v/>
      </c>
      <c r="Z102" s="2162" t="str">
        <f t="shared" si="15"/>
        <v/>
      </c>
      <c r="AA102" s="2167" t="str">
        <f t="shared" si="16"/>
        <v/>
      </c>
      <c r="AB102" s="2164" t="str">
        <f>IF(ISERROR(Q102),"", IF(Q102=0, "", IF(Q102&gt;'Calculs Péremption conso'!$CB39, 'Calculs Péremption conso'!$BX39-Paramétrage!$D$29*(365/12), U102)))</f>
        <v/>
      </c>
      <c r="AC102" s="2165" t="str">
        <f>IF(ISERROR(Q102), AW102, IF(Q102=0, "", IF(Q102&gt;'Calculs Péremption conso'!$CB39, IF(Q102&lt;'Saisie données stocks'!$N$14, CONCATENATE('TRAD-Calculs dispo Données FA'!$B$88, " - ", 'Calculs Péremption conso'!$BY39, "/", 'Calculs Péremption conso'!$BZ39, "/", 'Calculs Péremption conso'!$CA39), 'Calculs Péremption conso'!CC39), V102)))</f>
        <v/>
      </c>
      <c r="AD102" s="2051"/>
      <c r="AE102" s="2161">
        <f>(Calculs!N294)/Calculs!L349</f>
        <v>0</v>
      </c>
      <c r="AF102" s="2161">
        <f t="shared" si="17"/>
        <v>0</v>
      </c>
      <c r="AG102" s="2162">
        <f>AE102-Paramétrage!D$29</f>
        <v>-3</v>
      </c>
      <c r="AH102" s="2163">
        <f>IF(AE102&lt;Paramétrage!D$29, AE102, Paramétrage!D$29)</f>
        <v>0</v>
      </c>
      <c r="AI102" s="2164">
        <f>Paramétrage!H$19+AG102*(365/12)</f>
        <v>41827.75</v>
      </c>
      <c r="AJ102" s="2165">
        <f>IF(AE102&lt;Paramétrage!D$29, Paramétrage!H$19+AH102*(365/12), Paramétrage!H$19+AE102*(365/12))</f>
        <v>41919</v>
      </c>
      <c r="AK102" s="2051"/>
      <c r="AL102" s="2161" t="str">
        <f>IF(ISERROR(AE102),"", IF(AE102=0, "", IF(AE102&gt;'Calculs Péremption conso'!$CB39, 'Calculs Péremption conso'!$CB39, AE102)))</f>
        <v/>
      </c>
      <c r="AM102" s="2166" t="str">
        <f t="shared" si="18"/>
        <v/>
      </c>
      <c r="AN102" s="2162" t="str">
        <f>IF(ISERROR(AE102),"", IF(AE102=0, "", IF(AE102&gt;'Calculs Péremption conso'!$CB39, 'Calculs Péremption conso'!$CB39-Paramétrage!$D$29, AG102)))</f>
        <v/>
      </c>
      <c r="AO102" s="2167" t="str">
        <f>IF(ISERROR(AE102),"", IF(AE102=0, "", IF(AE102&gt;'Calculs Péremption conso'!$CB39, Paramétrage!$D$29, AH102)))</f>
        <v/>
      </c>
      <c r="AP102" s="2164" t="str">
        <f>IF(ISERROR(AE102),"", IF(AE102=0, "", IF(AE102&gt;'Calculs Péremption conso'!$CB39, 'Calculs Péremption conso'!$BX39-Paramétrage!$D$29*(365/12), AI102)))</f>
        <v/>
      </c>
      <c r="AQ102" s="2165" t="str">
        <f>IF(ISERROR(AE102),"", IF(AE102=0, "", IF(AE102&gt;'Calculs Péremption conso'!$CB39, CONCATENATE('TRAD-Calculs dispo Données FA'!$B$88, " - ", 'Calculs Péremption conso'!$BY39, "/", 'Calculs Péremption conso'!$BZ39, "/", 'Calculs Péremption conso'!$CA39), AJ102)))</f>
        <v/>
      </c>
      <c r="AR102" s="2051"/>
      <c r="AS102" s="2061">
        <f>Calculs!$N294</f>
        <v>0</v>
      </c>
      <c r="AT102" s="2062">
        <f>Calculs!L349</f>
        <v>106</v>
      </c>
      <c r="AU102" s="2068">
        <f>Calculs!$N349</f>
        <v>0</v>
      </c>
      <c r="AV102" s="2070" t="str">
        <f>IF(AND(AU102=0, AS102=0, AT102=0), 'TRAD-Calculs dispo Données FA'!$B$82, "")</f>
        <v/>
      </c>
      <c r="AW102" s="2062" t="str">
        <f>IF(AND(AU102=0, AS102&gt;0, AT102=0), CONCATENATE(AS102, 'TRAD-Calculs dispo Données FA'!$B$80," =0"), "")</f>
        <v/>
      </c>
      <c r="AX102" s="2063" t="str">
        <f>IF(AND(AS102=0, OR(AT102&gt;=1, AU102&gt;=1)), 'TRAD-Calculs dispo Données FA'!$B$81, "")</f>
        <v>RUPTURE</v>
      </c>
      <c r="AY102" s="2051"/>
      <c r="AZ102" s="2051"/>
      <c r="BA102" s="2051"/>
      <c r="BB102" s="2051"/>
      <c r="BC102" s="2051"/>
      <c r="BD102" s="2051"/>
      <c r="BE102" s="2051"/>
      <c r="BF102" s="2051"/>
      <c r="BG102" s="2051"/>
      <c r="BH102" s="2051"/>
      <c r="BI102" s="2051"/>
      <c r="BJ102" s="2051"/>
      <c r="BK102" s="2051"/>
      <c r="BL102" s="2051"/>
      <c r="BM102" s="2051"/>
      <c r="BN102" s="2051"/>
      <c r="BO102" s="2051"/>
      <c r="BP102" s="2051"/>
      <c r="BQ102" s="2051"/>
      <c r="BR102" s="2051"/>
      <c r="BS102" s="2051"/>
      <c r="BT102" s="2051"/>
    </row>
    <row r="103" spans="3:72" s="358" customFormat="1" ht="25.5" x14ac:dyDescent="0.2">
      <c r="C103" s="374"/>
      <c r="D103" s="402"/>
      <c r="E103" s="396" t="str">
        <f>'Saisie données stocks'!F52</f>
        <v>LPV/r</v>
      </c>
      <c r="F103" s="397" t="str">
        <f>'Saisie données stocks'!G52</f>
        <v>Cp coblister</v>
      </c>
      <c r="G103" s="397" t="str">
        <f>'Saisie données stocks'!H52</f>
        <v>100/25 mg</v>
      </c>
      <c r="H103" s="403" t="str">
        <f>CONCATENATE(E103, " - ", G103, " - ", 'TRAD-Calculs dispo Données FA'!$B$79,"/", K103)</f>
        <v>LPV/r - 100/25 mg - B/60</v>
      </c>
      <c r="I103" s="399">
        <f>Calculs!K135</f>
        <v>2</v>
      </c>
      <c r="J103" s="399">
        <f t="shared" si="10"/>
        <v>60</v>
      </c>
      <c r="K103" s="117">
        <f>Calculs!J135</f>
        <v>60</v>
      </c>
      <c r="L103" s="400">
        <f t="shared" si="11"/>
        <v>1</v>
      </c>
      <c r="M103" s="1823">
        <f>Calculs!N295</f>
        <v>83</v>
      </c>
      <c r="N103" s="1871">
        <f>Calculs!$L$350</f>
        <v>18</v>
      </c>
      <c r="O103" s="1871">
        <f>Calculs!$N$350</f>
        <v>0</v>
      </c>
      <c r="P103"/>
      <c r="Q103" s="2184">
        <f>IF(Calculs!N350&gt;0, (-(Calculs!N350+2*Calculs!L350)+SQRT((Calculs!N350+2*Calculs!L350)*(Calculs!N350+2*Calculs!L350)+8*Calculs!N350*(M103)))/(2*Calculs!N350), ((M103)/Calculs!L350))</f>
        <v>4.6111111111111107</v>
      </c>
      <c r="R103" s="2184">
        <f t="shared" si="12"/>
        <v>4.6111111111111116</v>
      </c>
      <c r="S103" s="2176">
        <f>Q103-Paramétrage!D$29</f>
        <v>1.6111111111111107</v>
      </c>
      <c r="T103" s="2163">
        <f>IF(Q103&lt;Paramétrage!D$29, Q103, Paramétrage!D$29)</f>
        <v>3</v>
      </c>
      <c r="U103" s="2186">
        <f>IF(Q103&lt;Paramétrage!D$29, Paramétrage!H$19+S103*(365/12), Paramétrage!H$19+S103*(365/12))</f>
        <v>41968.004629629628</v>
      </c>
      <c r="V103" s="2187">
        <f>IF(Q103&lt;Paramétrage!D$29, Paramétrage!H$19+T103*(365/12), Paramétrage!H$19+Q103*(365/12))</f>
        <v>42059.254629629628</v>
      </c>
      <c r="W103" s="2051"/>
      <c r="X103" s="2184">
        <f t="shared" si="13"/>
        <v>4.6111111111111107</v>
      </c>
      <c r="Y103" s="2188">
        <f t="shared" si="14"/>
        <v>4.6111111111111116</v>
      </c>
      <c r="Z103" s="2176">
        <f t="shared" si="15"/>
        <v>1.6111111111111107</v>
      </c>
      <c r="AA103" s="2167">
        <f t="shared" si="16"/>
        <v>3</v>
      </c>
      <c r="AB103" s="2186">
        <f>IF(ISERROR(Q103),"", IF(Q103=0, "", IF(Q103&gt;'Calculs Péremption conso'!$CB40, 'Calculs Péremption conso'!$BX40-Paramétrage!$D$29*(365/12), U103)))</f>
        <v>41968.004629629628</v>
      </c>
      <c r="AC103" s="2187">
        <f>IF(ISERROR(Q103), AW103, IF(Q103=0, "", IF(Q103&gt;'Calculs Péremption conso'!$CB40, IF(Q103&lt;'Saisie données stocks'!$N$14, CONCATENATE('TRAD-Calculs dispo Données FA'!$B$88, " - ", 'Calculs Péremption conso'!$BY40, "/", 'Calculs Péremption conso'!$BZ40, "/", 'Calculs Péremption conso'!$CA40), 'Calculs Péremption conso'!CC40), V103)))</f>
        <v>42059.254629629628</v>
      </c>
      <c r="AD103" s="2051"/>
      <c r="AE103" s="2184">
        <f>(Calculs!N295)/Calculs!L350</f>
        <v>4.6111111111111107</v>
      </c>
      <c r="AF103" s="2184">
        <f t="shared" si="17"/>
        <v>0</v>
      </c>
      <c r="AG103" s="2176">
        <f>AE103-Paramétrage!D$29</f>
        <v>1.6111111111111107</v>
      </c>
      <c r="AH103" s="2163">
        <f>IF(AE103&lt;Paramétrage!D$29, AE103, Paramétrage!D$29)</f>
        <v>3</v>
      </c>
      <c r="AI103" s="2186">
        <f>Paramétrage!H$19+AG103*(365/12)</f>
        <v>41968.004629629628</v>
      </c>
      <c r="AJ103" s="2187">
        <f>IF(AE103&lt;Paramétrage!D$29, Paramétrage!H$19+AH103*(365/12), Paramétrage!H$19+AE103*(365/12))</f>
        <v>42059.254629629628</v>
      </c>
      <c r="AK103" s="2051"/>
      <c r="AL103" s="2184">
        <f>IF(ISERROR(AE103),"", IF(AE103=0, "", IF(AE103&gt;'Calculs Péremption conso'!$CB40, 'Calculs Péremption conso'!$CB40, AE103)))</f>
        <v>4.6111111111111107</v>
      </c>
      <c r="AM103" s="2188" t="str">
        <f t="shared" si="18"/>
        <v/>
      </c>
      <c r="AN103" s="2176">
        <f>IF(ISERROR(AE103),"", IF(AE103=0, "", IF(AE103&gt;'Calculs Péremption conso'!$CB40, 'Calculs Péremption conso'!$CB40-Paramétrage!$D$29, AG103)))</f>
        <v>1.6111111111111107</v>
      </c>
      <c r="AO103" s="2167">
        <f>IF(ISERROR(AE103),"", IF(AE103=0, "", IF(AE103&gt;'Calculs Péremption conso'!$CB40, Paramétrage!$D$29, AH103)))</f>
        <v>3</v>
      </c>
      <c r="AP103" s="2186">
        <f>IF(ISERROR(AE103),"", IF(AE103=0, "", IF(AE103&gt;'Calculs Péremption conso'!$CB40, 'Calculs Péremption conso'!$BX40-Paramétrage!$D$29*(365/12), AI103)))</f>
        <v>41968.004629629628</v>
      </c>
      <c r="AQ103" s="2187">
        <f>IF(ISERROR(AE103),"", IF(AE103=0, "", IF(AE103&gt;'Calculs Péremption conso'!$CB40, CONCATENATE('TRAD-Calculs dispo Données FA'!$B$88, " - ", 'Calculs Péremption conso'!$BY40, "/", 'Calculs Péremption conso'!$BZ40, "/", 'Calculs Péremption conso'!$CA40), AJ103)))</f>
        <v>42059.254629629628</v>
      </c>
      <c r="AR103" s="2051"/>
      <c r="AS103" s="2061">
        <f>Calculs!$N295</f>
        <v>83</v>
      </c>
      <c r="AT103" s="2062">
        <f>Calculs!L350</f>
        <v>18</v>
      </c>
      <c r="AU103" s="2068">
        <f>Calculs!$N350</f>
        <v>0</v>
      </c>
      <c r="AV103" s="2070" t="str">
        <f>IF(AND(AU103=0, AS103=0, AT103=0), 'TRAD-Calculs dispo Données FA'!$B$82, "")</f>
        <v/>
      </c>
      <c r="AW103" s="2062" t="str">
        <f>IF(AND(AU103=0, AS103&gt;0, AT103=0), CONCATENATE(AS103, 'TRAD-Calculs dispo Données FA'!$B$80," =0"), "")</f>
        <v/>
      </c>
      <c r="AX103" s="2063" t="str">
        <f>IF(AND(AS103=0, OR(AT103&gt;=1, AU103&gt;=1)), 'TRAD-Calculs dispo Données FA'!$B$81, "")</f>
        <v/>
      </c>
      <c r="AY103" s="2051"/>
      <c r="AZ103" s="2051"/>
      <c r="BA103" s="2051"/>
      <c r="BB103" s="2051"/>
      <c r="BC103" s="2051"/>
      <c r="BD103" s="2051"/>
      <c r="BE103" s="2051"/>
      <c r="BF103" s="2051"/>
      <c r="BG103" s="2051"/>
      <c r="BH103" s="2051"/>
      <c r="BI103" s="2051"/>
      <c r="BJ103" s="2051"/>
      <c r="BK103" s="2051"/>
      <c r="BL103" s="2051"/>
      <c r="BM103" s="2051"/>
      <c r="BN103" s="2051"/>
      <c r="BO103" s="2051"/>
      <c r="BP103" s="2051"/>
      <c r="BQ103" s="2051"/>
      <c r="BR103" s="2051"/>
      <c r="BS103" s="2051"/>
      <c r="BT103" s="2051"/>
    </row>
    <row r="104" spans="3:72" s="358" customFormat="1" ht="25.5" x14ac:dyDescent="0.2">
      <c r="C104" s="374"/>
      <c r="D104" s="402"/>
      <c r="E104" s="396" t="str">
        <f>'Saisie données stocks'!F53</f>
        <v>ATV/r</v>
      </c>
      <c r="F104" s="397" t="str">
        <f>'Saisie données stocks'!G53</f>
        <v>Cp</v>
      </c>
      <c r="G104" s="397" t="str">
        <f>'Saisie données stocks'!H53</f>
        <v>300/100 mg</v>
      </c>
      <c r="H104" s="403" t="str">
        <f>CONCATENATE(E104, " - ", G104, " - ", 'TRAD-Calculs dispo Données FA'!$B$79,"/", K104)</f>
        <v>ATV/r - 300/100 mg - B/60</v>
      </c>
      <c r="I104" s="399">
        <f>Calculs!K136</f>
        <v>2</v>
      </c>
      <c r="J104" s="399">
        <f t="shared" si="10"/>
        <v>60</v>
      </c>
      <c r="K104" s="117">
        <f>Calculs!J136</f>
        <v>60</v>
      </c>
      <c r="L104" s="400">
        <f t="shared" si="11"/>
        <v>1</v>
      </c>
      <c r="M104" s="1823">
        <f>Calculs!N296</f>
        <v>0</v>
      </c>
      <c r="N104" s="1871">
        <f>Calculs!$L$351</f>
        <v>0</v>
      </c>
      <c r="O104" s="1871">
        <f>Calculs!$N$351</f>
        <v>0</v>
      </c>
      <c r="P104"/>
      <c r="Q104" s="2184" t="e">
        <f>IF(Calculs!N351&gt;0, (-(Calculs!N351+2*Calculs!L351)+SQRT((Calculs!N351+2*Calculs!L351)*(Calculs!N351+2*Calculs!L351)+8*Calculs!N351*(M104)))/(2*Calculs!N351), ((M104)/Calculs!L351))</f>
        <v>#DIV/0!</v>
      </c>
      <c r="R104" s="2184" t="e">
        <f t="shared" si="12"/>
        <v>#DIV/0!</v>
      </c>
      <c r="S104" s="2176" t="e">
        <f>Q104-Paramétrage!D$29</f>
        <v>#DIV/0!</v>
      </c>
      <c r="T104" s="2163" t="e">
        <f>IF(Q104&lt;Paramétrage!D$29, Q104, Paramétrage!D$29)</f>
        <v>#DIV/0!</v>
      </c>
      <c r="U104" s="2186" t="e">
        <f>IF(Q104&lt;Paramétrage!D$29, Paramétrage!H$19+S104*(365/12), Paramétrage!H$19+S104*(365/12))</f>
        <v>#DIV/0!</v>
      </c>
      <c r="V104" s="2187" t="e">
        <f>IF(Q104&lt;Paramétrage!D$29, Paramétrage!H$19+T104*(365/12), Paramétrage!H$19+Q104*(365/12))</f>
        <v>#DIV/0!</v>
      </c>
      <c r="W104" s="2051"/>
      <c r="X104" s="2184" t="str">
        <f t="shared" si="13"/>
        <v/>
      </c>
      <c r="Y104" s="2188" t="str">
        <f t="shared" si="14"/>
        <v/>
      </c>
      <c r="Z104" s="2176" t="str">
        <f t="shared" si="15"/>
        <v/>
      </c>
      <c r="AA104" s="2167" t="str">
        <f t="shared" si="16"/>
        <v/>
      </c>
      <c r="AB104" s="2186" t="str">
        <f>IF(ISERROR(Q104),"", IF(Q104=0, "", IF(Q104&gt;'Calculs Péremption conso'!$CB41, 'Calculs Péremption conso'!$BX41-Paramétrage!$D$29*(365/12), U104)))</f>
        <v/>
      </c>
      <c r="AC104" s="2187" t="str">
        <f>IF(ISERROR(Q104), AW104, IF(Q104=0, "", IF(Q104&gt;'Calculs Péremption conso'!$CB41, IF(Q104&lt;'Saisie données stocks'!$N$14, CONCATENATE('TRAD-Calculs dispo Données FA'!$B$88, " - ", 'Calculs Péremption conso'!$BY41, "/", 'Calculs Péremption conso'!$BZ41, "/", 'Calculs Péremption conso'!$CA41), 'Calculs Péremption conso'!CC41), V104)))</f>
        <v/>
      </c>
      <c r="AD104" s="2051"/>
      <c r="AE104" s="2184" t="e">
        <f>(Calculs!N296)/Calculs!L351</f>
        <v>#DIV/0!</v>
      </c>
      <c r="AF104" s="2184" t="e">
        <f t="shared" si="17"/>
        <v>#DIV/0!</v>
      </c>
      <c r="AG104" s="2176" t="e">
        <f>AE104-Paramétrage!D$29</f>
        <v>#DIV/0!</v>
      </c>
      <c r="AH104" s="2163" t="e">
        <f>IF(AE104&lt;Paramétrage!D$29, AE104, Paramétrage!D$29)</f>
        <v>#DIV/0!</v>
      </c>
      <c r="AI104" s="2186" t="e">
        <f>Paramétrage!H$19+AG104*(365/12)</f>
        <v>#DIV/0!</v>
      </c>
      <c r="AJ104" s="2187" t="e">
        <f>IF(AE104&lt;Paramétrage!D$29, Paramétrage!H$19+AH104*(365/12), Paramétrage!H$19+AE104*(365/12))</f>
        <v>#DIV/0!</v>
      </c>
      <c r="AK104" s="2051"/>
      <c r="AL104" s="2184" t="str">
        <f>IF(ISERROR(AE104),"", IF(AE104=0, "", IF(AE104&gt;'Calculs Péremption conso'!$CB41, 'Calculs Péremption conso'!$CB41, AE104)))</f>
        <v/>
      </c>
      <c r="AM104" s="2188" t="str">
        <f t="shared" si="18"/>
        <v/>
      </c>
      <c r="AN104" s="2176" t="str">
        <f>IF(ISERROR(AE104),"", IF(AE104=0, "", IF(AE104&gt;'Calculs Péremption conso'!$CB41, 'Calculs Péremption conso'!$CB41-Paramétrage!$D$29, AG104)))</f>
        <v/>
      </c>
      <c r="AO104" s="2167" t="str">
        <f>IF(ISERROR(AE104),"", IF(AE104=0, "", IF(AE104&gt;'Calculs Péremption conso'!$CB41, Paramétrage!$D$29, AH104)))</f>
        <v/>
      </c>
      <c r="AP104" s="2186" t="str">
        <f>IF(ISERROR(AE104),"", IF(AE104=0, "", IF(AE104&gt;'Calculs Péremption conso'!$CB41, 'Calculs Péremption conso'!$BX41-Paramétrage!$D$29*(365/12), AI104)))</f>
        <v/>
      </c>
      <c r="AQ104" s="2187" t="str">
        <f>IF(ISERROR(AE104),"", IF(AE104=0, "", IF(AE104&gt;'Calculs Péremption conso'!$CB41, CONCATENATE('TRAD-Calculs dispo Données FA'!$B$88, " - ", 'Calculs Péremption conso'!$BY41, "/", 'Calculs Péremption conso'!$BZ41, "/", 'Calculs Péremption conso'!$CA41), AJ104)))</f>
        <v/>
      </c>
      <c r="AR104" s="2051"/>
      <c r="AS104" s="2061">
        <f>Calculs!$N296</f>
        <v>0</v>
      </c>
      <c r="AT104" s="2062">
        <f>Calculs!L351</f>
        <v>0</v>
      </c>
      <c r="AU104" s="2068">
        <f>Calculs!$N351</f>
        <v>0</v>
      </c>
      <c r="AV104" s="2070" t="str">
        <f>IF(AND(AU104=0, AS104=0, AT104=0), 'TRAD-Calculs dispo Données FA'!$B$82, "")</f>
        <v>Stock et besoin nul</v>
      </c>
      <c r="AW104" s="2062" t="str">
        <f>IF(AND(AU104=0, AS104&gt;0, AT104=0), CONCATENATE(AS104, 'TRAD-Calculs dispo Données FA'!$B$80," =0"), "")</f>
        <v/>
      </c>
      <c r="AX104" s="2063" t="str">
        <f>IF(AND(AS104=0, OR(AT104&gt;=1, AU104&gt;=1)), 'TRAD-Calculs dispo Données FA'!$B$81, "")</f>
        <v/>
      </c>
      <c r="AY104" s="2051"/>
      <c r="AZ104" s="2051"/>
      <c r="BA104" s="2051"/>
      <c r="BB104" s="2051"/>
      <c r="BC104" s="2051"/>
      <c r="BD104" s="2051"/>
      <c r="BE104" s="2051"/>
      <c r="BF104" s="2051"/>
      <c r="BG104" s="2051"/>
      <c r="BH104" s="2051"/>
      <c r="BI104" s="2051"/>
      <c r="BJ104" s="2051"/>
      <c r="BK104" s="2051"/>
      <c r="BL104" s="2051"/>
      <c r="BM104" s="2051"/>
      <c r="BN104" s="2051"/>
      <c r="BO104" s="2051"/>
      <c r="BP104" s="2051"/>
      <c r="BQ104" s="2051"/>
      <c r="BR104" s="2051"/>
      <c r="BS104" s="2051"/>
      <c r="BT104" s="2051"/>
    </row>
    <row r="105" spans="3:72" s="358" customFormat="1" x14ac:dyDescent="0.2">
      <c r="C105" s="374"/>
      <c r="D105" s="402"/>
      <c r="E105" s="396" t="str">
        <f>'Saisie données stocks'!F54</f>
        <v>FPV</v>
      </c>
      <c r="F105" s="397" t="str">
        <f>'Saisie données stocks'!G54</f>
        <v>Cp</v>
      </c>
      <c r="G105" s="397" t="str">
        <f>'Saisie données stocks'!H54</f>
        <v>700 mg</v>
      </c>
      <c r="H105" s="403" t="str">
        <f>CONCATENATE(E105, " - ", G105, " - ", 'TRAD-Calculs dispo Données FA'!$B$79,"/", K105)</f>
        <v>FPV - 700 mg - B/60</v>
      </c>
      <c r="I105" s="399">
        <f>Calculs!K137</f>
        <v>2</v>
      </c>
      <c r="J105" s="399">
        <f t="shared" si="10"/>
        <v>60</v>
      </c>
      <c r="K105" s="117">
        <f>Calculs!J137</f>
        <v>60</v>
      </c>
      <c r="L105" s="400">
        <f t="shared" si="11"/>
        <v>1</v>
      </c>
      <c r="M105" s="1823">
        <f>Calculs!N297</f>
        <v>0</v>
      </c>
      <c r="N105" s="1871">
        <f>Calculs!$L$352</f>
        <v>0</v>
      </c>
      <c r="O105" s="1871">
        <f>Calculs!$N$352</f>
        <v>0</v>
      </c>
      <c r="P105"/>
      <c r="Q105" s="2184" t="e">
        <f>IF(Calculs!N352&gt;0, (-(Calculs!N352+2*Calculs!L352)+SQRT((Calculs!N352+2*Calculs!L352)*(Calculs!N352+2*Calculs!L352)+8*Calculs!N352*(M105)))/(2*Calculs!N352), ((M105)/Calculs!L352))</f>
        <v>#DIV/0!</v>
      </c>
      <c r="R105" s="2184" t="e">
        <f t="shared" si="12"/>
        <v>#DIV/0!</v>
      </c>
      <c r="S105" s="2176" t="e">
        <f>Q105-Paramétrage!D$29</f>
        <v>#DIV/0!</v>
      </c>
      <c r="T105" s="2163" t="e">
        <f>IF(Q105&lt;Paramétrage!D$29, Q105, Paramétrage!D$29)</f>
        <v>#DIV/0!</v>
      </c>
      <c r="U105" s="2186" t="e">
        <f>IF(Q105&lt;Paramétrage!D$29, Paramétrage!H$19+S105*(365/12), Paramétrage!H$19+S105*(365/12))</f>
        <v>#DIV/0!</v>
      </c>
      <c r="V105" s="2187" t="e">
        <f>IF(Q105&lt;Paramétrage!D$29, Paramétrage!H$19+T105*(365/12), Paramétrage!H$19+Q105*(365/12))</f>
        <v>#DIV/0!</v>
      </c>
      <c r="W105" s="2051"/>
      <c r="X105" s="2184" t="str">
        <f t="shared" si="13"/>
        <v/>
      </c>
      <c r="Y105" s="2188" t="str">
        <f t="shared" si="14"/>
        <v/>
      </c>
      <c r="Z105" s="2176" t="str">
        <f t="shared" si="15"/>
        <v/>
      </c>
      <c r="AA105" s="2167" t="str">
        <f t="shared" si="16"/>
        <v/>
      </c>
      <c r="AB105" s="2186" t="str">
        <f>IF(ISERROR(Q105),"", IF(Q105=0, "", IF(Q105&gt;'Calculs Péremption conso'!$CB42, 'Calculs Péremption conso'!$BX42-Paramétrage!$D$29*(365/12), U105)))</f>
        <v/>
      </c>
      <c r="AC105" s="2187" t="str">
        <f>IF(ISERROR(Q105), AW105, IF(Q105=0, "", IF(Q105&gt;'Calculs Péremption conso'!$CB42, IF(Q105&lt;'Saisie données stocks'!$N$14, CONCATENATE('TRAD-Calculs dispo Données FA'!$B$88, " - ", 'Calculs Péremption conso'!$BY42, "/", 'Calculs Péremption conso'!$BZ42, "/", 'Calculs Péremption conso'!$CA42), 'Calculs Péremption conso'!CC42), V105)))</f>
        <v/>
      </c>
      <c r="AD105" s="2051"/>
      <c r="AE105" s="2184" t="e">
        <f>(Calculs!N297)/Calculs!L352</f>
        <v>#DIV/0!</v>
      </c>
      <c r="AF105" s="2184" t="e">
        <f t="shared" si="17"/>
        <v>#DIV/0!</v>
      </c>
      <c r="AG105" s="2176" t="e">
        <f>AE105-Paramétrage!D$29</f>
        <v>#DIV/0!</v>
      </c>
      <c r="AH105" s="2163" t="e">
        <f>IF(AE105&lt;Paramétrage!D$29, AE105, Paramétrage!D$29)</f>
        <v>#DIV/0!</v>
      </c>
      <c r="AI105" s="2186" t="e">
        <f>Paramétrage!H$19+AG105*(365/12)</f>
        <v>#DIV/0!</v>
      </c>
      <c r="AJ105" s="2187" t="e">
        <f>IF(AE105&lt;Paramétrage!D$29, Paramétrage!H$19+AH105*(365/12), Paramétrage!H$19+AE105*(365/12))</f>
        <v>#DIV/0!</v>
      </c>
      <c r="AK105" s="2051"/>
      <c r="AL105" s="2184" t="str">
        <f>IF(ISERROR(AE105),"", IF(AE105=0, "", IF(AE105&gt;'Calculs Péremption conso'!$CB42, 'Calculs Péremption conso'!$CB42, AE105)))</f>
        <v/>
      </c>
      <c r="AM105" s="2188" t="str">
        <f t="shared" si="18"/>
        <v/>
      </c>
      <c r="AN105" s="2176" t="str">
        <f>IF(ISERROR(AE105),"", IF(AE105=0, "", IF(AE105&gt;'Calculs Péremption conso'!$CB42, 'Calculs Péremption conso'!$CB42-Paramétrage!$D$29, AG105)))</f>
        <v/>
      </c>
      <c r="AO105" s="2167" t="str">
        <f>IF(ISERROR(AE105),"", IF(AE105=0, "", IF(AE105&gt;'Calculs Péremption conso'!$CB42, Paramétrage!$D$29, AH105)))</f>
        <v/>
      </c>
      <c r="AP105" s="2186" t="str">
        <f>IF(ISERROR(AE105),"", IF(AE105=0, "", IF(AE105&gt;'Calculs Péremption conso'!$CB42, 'Calculs Péremption conso'!$BX42-Paramétrage!$D$29*(365/12), AI105)))</f>
        <v/>
      </c>
      <c r="AQ105" s="2187" t="str">
        <f>IF(ISERROR(AE105),"", IF(AE105=0, "", IF(AE105&gt;'Calculs Péremption conso'!$CB42, CONCATENATE('TRAD-Calculs dispo Données FA'!$B$88, " - ", 'Calculs Péremption conso'!$BY42, "/", 'Calculs Péremption conso'!$BZ42, "/", 'Calculs Péremption conso'!$CA42), AJ105)))</f>
        <v/>
      </c>
      <c r="AR105" s="2051"/>
      <c r="AS105" s="2061">
        <f>Calculs!$N297</f>
        <v>0</v>
      </c>
      <c r="AT105" s="2062">
        <f>Calculs!L352</f>
        <v>0</v>
      </c>
      <c r="AU105" s="2068">
        <f>Calculs!$N352</f>
        <v>0</v>
      </c>
      <c r="AV105" s="2070" t="str">
        <f>IF(AND(AU105=0, AS105=0, AT105=0), 'TRAD-Calculs dispo Données FA'!$B$82, "")</f>
        <v>Stock et besoin nul</v>
      </c>
      <c r="AW105" s="2062" t="str">
        <f>IF(AND(AU105=0, AS105&gt;0, AT105=0), CONCATENATE(AS105, 'TRAD-Calculs dispo Données FA'!$B$80," =0"), "")</f>
        <v/>
      </c>
      <c r="AX105" s="2063" t="str">
        <f>IF(AND(AS105=0, OR(AT105&gt;=1, AU105&gt;=1)), 'TRAD-Calculs dispo Données FA'!$B$81, "")</f>
        <v/>
      </c>
      <c r="AY105" s="2051"/>
      <c r="AZ105" s="2051"/>
      <c r="BA105" s="2051"/>
      <c r="BB105" s="2051"/>
      <c r="BC105" s="2051"/>
      <c r="BD105" s="2051"/>
      <c r="BE105" s="2051"/>
      <c r="BF105" s="2051"/>
      <c r="BG105" s="2051"/>
      <c r="BH105" s="2051"/>
      <c r="BI105" s="2051"/>
      <c r="BJ105" s="2051"/>
      <c r="BK105" s="2051"/>
      <c r="BL105" s="2051"/>
      <c r="BM105" s="2051"/>
      <c r="BN105" s="2051"/>
      <c r="BO105" s="2051"/>
      <c r="BP105" s="2051"/>
      <c r="BQ105" s="2051"/>
      <c r="BR105" s="2051"/>
      <c r="BS105" s="2051"/>
      <c r="BT105" s="2051"/>
    </row>
    <row r="106" spans="3:72" s="358" customFormat="1" x14ac:dyDescent="0.2">
      <c r="C106" s="374"/>
      <c r="D106" s="402"/>
      <c r="E106" s="396" t="str">
        <f>'Saisie données stocks'!F55</f>
        <v>IDV</v>
      </c>
      <c r="F106" s="397" t="str">
        <f>'Saisie données stocks'!G55</f>
        <v>Gel</v>
      </c>
      <c r="G106" s="397" t="str">
        <f>'Saisie données stocks'!H55</f>
        <v>400 mg</v>
      </c>
      <c r="H106" s="403" t="str">
        <f>CONCATENATE(E106, " - ", G106, " - ", 'TRAD-Calculs dispo Données FA'!$B$79,"/", K106)</f>
        <v>IDV - 400 mg - B/180</v>
      </c>
      <c r="I106" s="399">
        <f>Calculs!K138</f>
        <v>0</v>
      </c>
      <c r="J106" s="399">
        <f t="shared" si="10"/>
        <v>0</v>
      </c>
      <c r="K106" s="117">
        <f>Calculs!J138</f>
        <v>180</v>
      </c>
      <c r="L106" s="400">
        <f t="shared" si="11"/>
        <v>0</v>
      </c>
      <c r="M106" s="1823">
        <f>Calculs!N298</f>
        <v>0</v>
      </c>
      <c r="N106" s="1871">
        <f>Calculs!$L$353</f>
        <v>0</v>
      </c>
      <c r="O106" s="1871">
        <f>Calculs!$N$353</f>
        <v>0</v>
      </c>
      <c r="P106"/>
      <c r="Q106" s="2184" t="e">
        <f>IF(Calculs!N353&gt;0, (-(Calculs!N353+2*Calculs!L353)+SQRT((Calculs!N353+2*Calculs!L353)*(Calculs!N353+2*Calculs!L353)+8*Calculs!N353*(M106)))/(2*Calculs!N353), ((M106)/Calculs!L353))</f>
        <v>#DIV/0!</v>
      </c>
      <c r="R106" s="2184" t="e">
        <f t="shared" si="12"/>
        <v>#DIV/0!</v>
      </c>
      <c r="S106" s="2176" t="e">
        <f>Q106-Paramétrage!D$29</f>
        <v>#DIV/0!</v>
      </c>
      <c r="T106" s="2163" t="e">
        <f>IF(Q106&lt;Paramétrage!D$29, Q106, Paramétrage!D$29)</f>
        <v>#DIV/0!</v>
      </c>
      <c r="U106" s="2186" t="e">
        <f>IF(Q106&lt;Paramétrage!D$29, Paramétrage!H$19+S106*(365/12), Paramétrage!H$19+S106*(365/12))</f>
        <v>#DIV/0!</v>
      </c>
      <c r="V106" s="2187" t="e">
        <f>IF(Q106&lt;Paramétrage!D$29, Paramétrage!H$19+T106*(365/12), Paramétrage!H$19+Q106*(365/12))</f>
        <v>#DIV/0!</v>
      </c>
      <c r="W106" s="2051"/>
      <c r="X106" s="2184" t="str">
        <f t="shared" si="13"/>
        <v/>
      </c>
      <c r="Y106" s="2188" t="str">
        <f t="shared" si="14"/>
        <v/>
      </c>
      <c r="Z106" s="2176" t="str">
        <f t="shared" si="15"/>
        <v/>
      </c>
      <c r="AA106" s="2167" t="str">
        <f t="shared" si="16"/>
        <v/>
      </c>
      <c r="AB106" s="2186" t="str">
        <f>IF(ISERROR(Q106),"", IF(Q106=0, "", IF(Q106&gt;'Calculs Péremption conso'!$CB43, 'Calculs Péremption conso'!$BX43-Paramétrage!$D$29*(365/12), U106)))</f>
        <v/>
      </c>
      <c r="AC106" s="2187" t="str">
        <f>IF(ISERROR(Q106), AW106, IF(Q106=0, "", IF(Q106&gt;'Calculs Péremption conso'!$CB43, IF(Q106&lt;'Saisie données stocks'!$N$14, CONCATENATE('TRAD-Calculs dispo Données FA'!$B$88, " - ", 'Calculs Péremption conso'!$BY43, "/", 'Calculs Péremption conso'!$BZ43, "/", 'Calculs Péremption conso'!$CA43), 'Calculs Péremption conso'!CC43), V106)))</f>
        <v/>
      </c>
      <c r="AD106" s="2051"/>
      <c r="AE106" s="2184" t="e">
        <f>(Calculs!N298)/Calculs!L353</f>
        <v>#DIV/0!</v>
      </c>
      <c r="AF106" s="2184" t="e">
        <f t="shared" si="17"/>
        <v>#DIV/0!</v>
      </c>
      <c r="AG106" s="2176" t="e">
        <f>AE106-Paramétrage!D$29</f>
        <v>#DIV/0!</v>
      </c>
      <c r="AH106" s="2163" t="e">
        <f>IF(AE106&lt;Paramétrage!D$29, AE106, Paramétrage!D$29)</f>
        <v>#DIV/0!</v>
      </c>
      <c r="AI106" s="2186" t="e">
        <f>Paramétrage!H$19+AG106*(365/12)</f>
        <v>#DIV/0!</v>
      </c>
      <c r="AJ106" s="2187" t="e">
        <f>IF(AE106&lt;Paramétrage!D$29, Paramétrage!H$19+AH106*(365/12), Paramétrage!H$19+AE106*(365/12))</f>
        <v>#DIV/0!</v>
      </c>
      <c r="AK106" s="2051"/>
      <c r="AL106" s="2184" t="str">
        <f>IF(ISERROR(AE106),"", IF(AE106=0, "", IF(AE106&gt;'Calculs Péremption conso'!$CB43, 'Calculs Péremption conso'!$CB43, AE106)))</f>
        <v/>
      </c>
      <c r="AM106" s="2188" t="str">
        <f t="shared" si="18"/>
        <v/>
      </c>
      <c r="AN106" s="2176" t="str">
        <f>IF(ISERROR(AE106),"", IF(AE106=0, "", IF(AE106&gt;'Calculs Péremption conso'!$CB43, 'Calculs Péremption conso'!$CB43-Paramétrage!$D$29, AG106)))</f>
        <v/>
      </c>
      <c r="AO106" s="2167" t="str">
        <f>IF(ISERROR(AE106),"", IF(AE106=0, "", IF(AE106&gt;'Calculs Péremption conso'!$CB43, Paramétrage!$D$29, AH106)))</f>
        <v/>
      </c>
      <c r="AP106" s="2186" t="str">
        <f>IF(ISERROR(AE106),"", IF(AE106=0, "", IF(AE106&gt;'Calculs Péremption conso'!$CB43, 'Calculs Péremption conso'!$BX43-Paramétrage!$D$29*(365/12), AI106)))</f>
        <v/>
      </c>
      <c r="AQ106" s="2187" t="str">
        <f>IF(ISERROR(AE106),"", IF(AE106=0, "", IF(AE106&gt;'Calculs Péremption conso'!$CB43, CONCATENATE('TRAD-Calculs dispo Données FA'!$B$88, " - ", 'Calculs Péremption conso'!$BY43, "/", 'Calculs Péremption conso'!$BZ43, "/", 'Calculs Péremption conso'!$CA43), AJ106)))</f>
        <v/>
      </c>
      <c r="AR106" s="2051"/>
      <c r="AS106" s="2061">
        <f>Calculs!$N298</f>
        <v>0</v>
      </c>
      <c r="AT106" s="2062">
        <f>Calculs!L353</f>
        <v>0</v>
      </c>
      <c r="AU106" s="2068">
        <f>Calculs!$N353</f>
        <v>0</v>
      </c>
      <c r="AV106" s="2070" t="str">
        <f>IF(AND(AU106=0, AS106=0, AT106=0), 'TRAD-Calculs dispo Données FA'!$B$82, "")</f>
        <v>Stock et besoin nul</v>
      </c>
      <c r="AW106" s="2062" t="str">
        <f>IF(AND(AU106=0, AS106&gt;0, AT106=0), CONCATENATE(AS106, 'TRAD-Calculs dispo Données FA'!$B$80," =0"), "")</f>
        <v/>
      </c>
      <c r="AX106" s="2063" t="str">
        <f>IF(AND(AS106=0, OR(AT106&gt;=1, AU106&gt;=1)), 'TRAD-Calculs dispo Données FA'!$B$81, "")</f>
        <v/>
      </c>
      <c r="AY106" s="2051"/>
      <c r="AZ106" s="2051"/>
      <c r="BA106" s="2051"/>
      <c r="BB106" s="2051"/>
      <c r="BC106" s="2051"/>
      <c r="BD106" s="2051"/>
      <c r="BE106" s="2051"/>
      <c r="BF106" s="2051"/>
      <c r="BG106" s="2051"/>
      <c r="BH106" s="2051"/>
      <c r="BI106" s="2051"/>
      <c r="BJ106" s="2051"/>
      <c r="BK106" s="2051"/>
      <c r="BL106" s="2051"/>
      <c r="BM106" s="2051"/>
      <c r="BN106" s="2051"/>
      <c r="BO106" s="2051"/>
      <c r="BP106" s="2051"/>
      <c r="BQ106" s="2051"/>
      <c r="BR106" s="2051"/>
      <c r="BS106" s="2051"/>
      <c r="BT106" s="2051"/>
    </row>
    <row r="107" spans="3:72" s="358" customFormat="1" x14ac:dyDescent="0.2">
      <c r="C107" s="374"/>
      <c r="D107" s="402"/>
      <c r="E107" s="93" t="str">
        <f>'Saisie données stocks'!F56</f>
        <v>DRV</v>
      </c>
      <c r="F107" s="94" t="str">
        <f>'Saisie données stocks'!G56</f>
        <v>Cp</v>
      </c>
      <c r="G107" s="94" t="str">
        <f>'Saisie données stocks'!H56</f>
        <v>300 mg</v>
      </c>
      <c r="H107" s="403" t="str">
        <f>CONCATENATE(E107, " - ", G107, " - ", 'TRAD-Calculs dispo Données FA'!$B$79,"/", K107)</f>
        <v>DRV - 300 mg - B/120</v>
      </c>
      <c r="I107" s="117">
        <f>Calculs!K139</f>
        <v>4</v>
      </c>
      <c r="J107" s="399">
        <f t="shared" si="10"/>
        <v>120</v>
      </c>
      <c r="K107" s="117">
        <f>Calculs!J139</f>
        <v>120</v>
      </c>
      <c r="L107" s="400">
        <f t="shared" si="11"/>
        <v>1</v>
      </c>
      <c r="M107" s="1823">
        <f>Calculs!N299</f>
        <v>0</v>
      </c>
      <c r="N107" s="1871">
        <f>Calculs!$L$354</f>
        <v>0</v>
      </c>
      <c r="O107" s="1871">
        <f>Calculs!$N$354</f>
        <v>0</v>
      </c>
      <c r="P107"/>
      <c r="Q107" s="2184" t="e">
        <f>IF(Calculs!N354&gt;0, (-(Calculs!N354+2*Calculs!L354)+SQRT((Calculs!N354+2*Calculs!L354)*(Calculs!N354+2*Calculs!L354)+8*Calculs!N354*(M107)))/(2*Calculs!N354), ((M107)/Calculs!L354))</f>
        <v>#DIV/0!</v>
      </c>
      <c r="R107" s="2184" t="e">
        <f t="shared" si="12"/>
        <v>#DIV/0!</v>
      </c>
      <c r="S107" s="2176" t="e">
        <f>Q107-Paramétrage!D$29</f>
        <v>#DIV/0!</v>
      </c>
      <c r="T107" s="2185" t="e">
        <f>IF(Q107&lt;Paramétrage!D$29, Q107, Paramétrage!D$29)</f>
        <v>#DIV/0!</v>
      </c>
      <c r="U107" s="2186" t="e">
        <f>IF(Q107&lt;Paramétrage!D$29, Paramétrage!H$19+S107*(365/12), Paramétrage!H$19+S107*(365/12))</f>
        <v>#DIV/0!</v>
      </c>
      <c r="V107" s="2187" t="e">
        <f>IF(Q107&lt;Paramétrage!D$29, Paramétrage!H$19+T107*(365/12), Paramétrage!H$19+Q107*(365/12))</f>
        <v>#DIV/0!</v>
      </c>
      <c r="W107" s="2051"/>
      <c r="X107" s="2184" t="str">
        <f t="shared" si="13"/>
        <v/>
      </c>
      <c r="Y107" s="2188" t="str">
        <f t="shared" si="14"/>
        <v/>
      </c>
      <c r="Z107" s="2176" t="str">
        <f t="shared" si="15"/>
        <v/>
      </c>
      <c r="AA107" s="2189" t="str">
        <f t="shared" si="16"/>
        <v/>
      </c>
      <c r="AB107" s="2186" t="str">
        <f>IF(ISERROR(Q107),"", IF(Q107=0, "", IF(Q107&gt;'Calculs Péremption conso'!$CB44, 'Calculs Péremption conso'!$BX44-Paramétrage!$D$29*(365/12), U107)))</f>
        <v/>
      </c>
      <c r="AC107" s="2187" t="str">
        <f>IF(ISERROR(Q107), AW107, IF(Q107=0, "", IF(Q107&gt;'Calculs Péremption conso'!$CB44, IF(Q107&lt;'Saisie données stocks'!$N$14, CONCATENATE('TRAD-Calculs dispo Données FA'!$B$88, " - ", 'Calculs Péremption conso'!$BY44, "/", 'Calculs Péremption conso'!$BZ44, "/", 'Calculs Péremption conso'!$CA44), 'Calculs Péremption conso'!CC44), V107)))</f>
        <v/>
      </c>
      <c r="AD107" s="2051"/>
      <c r="AE107" s="2184" t="e">
        <f>(Calculs!N299)/Calculs!L354</f>
        <v>#DIV/0!</v>
      </c>
      <c r="AF107" s="2184" t="e">
        <f t="shared" si="17"/>
        <v>#DIV/0!</v>
      </c>
      <c r="AG107" s="2176" t="e">
        <f>AE107-Paramétrage!D$29</f>
        <v>#DIV/0!</v>
      </c>
      <c r="AH107" s="2185" t="e">
        <f>IF(AE107&lt;Paramétrage!D$29, AE107, Paramétrage!D$29)</f>
        <v>#DIV/0!</v>
      </c>
      <c r="AI107" s="2186" t="e">
        <f>Paramétrage!H$19+AG107*(365/12)</f>
        <v>#DIV/0!</v>
      </c>
      <c r="AJ107" s="2187" t="e">
        <f>IF(AE107&lt;Paramétrage!D$29, Paramétrage!H$19+AH107*(365/12), Paramétrage!H$19+AE107*(365/12))</f>
        <v>#DIV/0!</v>
      </c>
      <c r="AK107" s="2051"/>
      <c r="AL107" s="2184" t="str">
        <f>IF(ISERROR(AE107),"", IF(AE107=0, "", IF(AE107&gt;'Calculs Péremption conso'!$CB44, 'Calculs Péremption conso'!$CB44, AE107)))</f>
        <v/>
      </c>
      <c r="AM107" s="2188" t="str">
        <f t="shared" si="18"/>
        <v/>
      </c>
      <c r="AN107" s="2176" t="str">
        <f>IF(ISERROR(AE107),"", IF(AE107=0, "", IF(AE107&gt;'Calculs Péremption conso'!$CB44, 'Calculs Péremption conso'!$CB44-Paramétrage!$D$29, AG107)))</f>
        <v/>
      </c>
      <c r="AO107" s="2189" t="str">
        <f>IF(ISERROR(AE107),"", IF(AE107=0, "", IF(AE107&gt;'Calculs Péremption conso'!$CB44, Paramétrage!$D$29, AH107)))</f>
        <v/>
      </c>
      <c r="AP107" s="2186" t="str">
        <f>IF(ISERROR(AE107),"", IF(AE107=0, "", IF(AE107&gt;'Calculs Péremption conso'!$CB44, 'Calculs Péremption conso'!$BX44-Paramétrage!$D$29*(365/12), AI107)))</f>
        <v/>
      </c>
      <c r="AQ107" s="2187" t="str">
        <f>IF(ISERROR(AE107),"", IF(AE107=0, "", IF(AE107&gt;'Calculs Péremption conso'!$CB44, CONCATENATE('TRAD-Calculs dispo Données FA'!$B$88, " - ", 'Calculs Péremption conso'!$BY44, "/", 'Calculs Péremption conso'!$BZ44, "/", 'Calculs Péremption conso'!$CA44), AJ107)))</f>
        <v/>
      </c>
      <c r="AR107" s="2051"/>
      <c r="AS107" s="2061">
        <f>Calculs!$N299</f>
        <v>0</v>
      </c>
      <c r="AT107" s="2062">
        <f>Calculs!L354</f>
        <v>0</v>
      </c>
      <c r="AU107" s="2068">
        <f>Calculs!$N354</f>
        <v>0</v>
      </c>
      <c r="AV107" s="2070" t="str">
        <f>IF(AND(AU107=0, AS107=0, AT107=0), 'TRAD-Calculs dispo Données FA'!$B$82, "")</f>
        <v>Stock et besoin nul</v>
      </c>
      <c r="AW107" s="2062" t="str">
        <f>IF(AND(AU107=0, AS107&gt;0, AT107=0), CONCATENATE(AS107, 'TRAD-Calculs dispo Données FA'!$B$80," =0"), "")</f>
        <v/>
      </c>
      <c r="AX107" s="2063" t="str">
        <f>IF(AND(AS107=0, OR(AT107&gt;=1, AU107&gt;=1)), 'TRAD-Calculs dispo Données FA'!$B$81, "")</f>
        <v/>
      </c>
      <c r="AY107" s="2051"/>
      <c r="AZ107" s="2051"/>
      <c r="BA107" s="2051"/>
      <c r="BB107" s="2051"/>
      <c r="BC107" s="2051"/>
      <c r="BD107" s="2051"/>
      <c r="BE107" s="2051"/>
      <c r="BF107" s="2051"/>
      <c r="BG107" s="2051"/>
      <c r="BH107" s="2051"/>
      <c r="BI107" s="2051"/>
      <c r="BJ107" s="2051"/>
      <c r="BK107" s="2051"/>
      <c r="BL107" s="2051"/>
      <c r="BM107" s="2051"/>
      <c r="BN107" s="2051"/>
      <c r="BO107" s="2051"/>
      <c r="BP107" s="2051"/>
      <c r="BQ107" s="2051"/>
      <c r="BR107" s="2051"/>
      <c r="BS107" s="2051"/>
      <c r="BT107" s="2051"/>
    </row>
    <row r="108" spans="3:72" s="358" customFormat="1" x14ac:dyDescent="0.2">
      <c r="C108" s="374"/>
      <c r="D108" s="402"/>
      <c r="E108" s="396" t="str">
        <f>'Saisie données stocks'!F57</f>
        <v>SQV</v>
      </c>
      <c r="F108" s="397" t="str">
        <f>'Saisie données stocks'!G57</f>
        <v>Cp</v>
      </c>
      <c r="G108" s="397" t="str">
        <f>'Saisie données stocks'!H57</f>
        <v>500 mg</v>
      </c>
      <c r="H108" s="403" t="str">
        <f>CONCATENATE(E108, " - ", G108, " - ", 'TRAD-Calculs dispo Données FA'!$B$79,"/", K108)</f>
        <v>SQV - 500 mg - B/120</v>
      </c>
      <c r="I108" s="399">
        <f>Calculs!K140</f>
        <v>4</v>
      </c>
      <c r="J108" s="399">
        <f t="shared" si="10"/>
        <v>120</v>
      </c>
      <c r="K108" s="117">
        <f>Calculs!J140</f>
        <v>120</v>
      </c>
      <c r="L108" s="400">
        <f t="shared" si="11"/>
        <v>1</v>
      </c>
      <c r="M108" s="1823">
        <f>Calculs!N300</f>
        <v>0</v>
      </c>
      <c r="N108" s="1871">
        <f>Calculs!$L$355</f>
        <v>0</v>
      </c>
      <c r="O108" s="1871">
        <f>Calculs!$N$355</f>
        <v>0</v>
      </c>
      <c r="P108"/>
      <c r="Q108" s="2184" t="e">
        <f>IF(Calculs!N355&gt;0, (-(Calculs!N355+2*Calculs!L355)+SQRT((Calculs!N355+2*Calculs!L355)*(Calculs!N355+2*Calculs!L355)+8*Calculs!N355*(M108)))/(2*Calculs!N355), ((M108)/Calculs!L355))</f>
        <v>#DIV/0!</v>
      </c>
      <c r="R108" s="2184" t="e">
        <f t="shared" si="12"/>
        <v>#DIV/0!</v>
      </c>
      <c r="S108" s="2176" t="e">
        <f>Q108-Paramétrage!D$29</f>
        <v>#DIV/0!</v>
      </c>
      <c r="T108" s="2185" t="e">
        <f>IF(Q108&lt;Paramétrage!D$29, Q108, Paramétrage!D$29)</f>
        <v>#DIV/0!</v>
      </c>
      <c r="U108" s="2186" t="e">
        <f>IF(Q108&lt;Paramétrage!D$29, Paramétrage!H$19+S108*(365/12), Paramétrage!H$19+S108*(365/12))</f>
        <v>#DIV/0!</v>
      </c>
      <c r="V108" s="2187" t="e">
        <f>IF(Q108&lt;Paramétrage!D$29, Paramétrage!H$19+T108*(365/12), Paramétrage!H$19+Q108*(365/12))</f>
        <v>#DIV/0!</v>
      </c>
      <c r="W108" s="2051"/>
      <c r="X108" s="2184" t="str">
        <f t="shared" si="13"/>
        <v/>
      </c>
      <c r="Y108" s="2188" t="str">
        <f t="shared" si="14"/>
        <v/>
      </c>
      <c r="Z108" s="2176" t="str">
        <f t="shared" si="15"/>
        <v/>
      </c>
      <c r="AA108" s="2189" t="str">
        <f t="shared" si="16"/>
        <v/>
      </c>
      <c r="AB108" s="2186" t="str">
        <f>IF(ISERROR(Q108),"", IF(Q108=0, "", IF(Q108&gt;'Calculs Péremption conso'!$CB45, 'Calculs Péremption conso'!$BX45-Paramétrage!$D$29*(365/12), U108)))</f>
        <v/>
      </c>
      <c r="AC108" s="2187" t="str">
        <f>IF(ISERROR(Q108), AW108, IF(Q108=0, "", IF(Q108&gt;'Calculs Péremption conso'!$CB45, IF(Q108&lt;'Saisie données stocks'!$N$14, CONCATENATE('TRAD-Calculs dispo Données FA'!$B$88, " - ", 'Calculs Péremption conso'!$BY45, "/", 'Calculs Péremption conso'!$BZ45, "/", 'Calculs Péremption conso'!$CA45), 'Calculs Péremption conso'!CC45), V108)))</f>
        <v/>
      </c>
      <c r="AD108" s="2051"/>
      <c r="AE108" s="2184" t="e">
        <f>(Calculs!N300)/Calculs!L355</f>
        <v>#DIV/0!</v>
      </c>
      <c r="AF108" s="2184" t="e">
        <f t="shared" si="17"/>
        <v>#DIV/0!</v>
      </c>
      <c r="AG108" s="2176" t="e">
        <f>AE108-Paramétrage!D$29</f>
        <v>#DIV/0!</v>
      </c>
      <c r="AH108" s="2185" t="e">
        <f>IF(AE108&lt;Paramétrage!D$29, AE108, Paramétrage!D$29)</f>
        <v>#DIV/0!</v>
      </c>
      <c r="AI108" s="2186" t="e">
        <f>Paramétrage!H$19+AG108*(365/12)</f>
        <v>#DIV/0!</v>
      </c>
      <c r="AJ108" s="2187" t="e">
        <f>IF(AE108&lt;Paramétrage!D$29, Paramétrage!H$19+AH108*(365/12), Paramétrage!H$19+AE108*(365/12))</f>
        <v>#DIV/0!</v>
      </c>
      <c r="AK108" s="2051"/>
      <c r="AL108" s="2184" t="str">
        <f>IF(ISERROR(AE108),"", IF(AE108=0, "", IF(AE108&gt;'Calculs Péremption conso'!$CB45, 'Calculs Péremption conso'!$CB45, AE108)))</f>
        <v/>
      </c>
      <c r="AM108" s="2188" t="str">
        <f t="shared" si="18"/>
        <v/>
      </c>
      <c r="AN108" s="2176" t="str">
        <f>IF(ISERROR(AE108),"", IF(AE108=0, "", IF(AE108&gt;'Calculs Péremption conso'!$CB45, 'Calculs Péremption conso'!$CB45-Paramétrage!$D$29, AG108)))</f>
        <v/>
      </c>
      <c r="AO108" s="2189" t="str">
        <f>IF(ISERROR(AE108),"", IF(AE108=0, "", IF(AE108&gt;'Calculs Péremption conso'!$CB45, Paramétrage!$D$29, AH108)))</f>
        <v/>
      </c>
      <c r="AP108" s="2186" t="str">
        <f>IF(ISERROR(AE108),"", IF(AE108=0, "", IF(AE108&gt;'Calculs Péremption conso'!$CB45, 'Calculs Péremption conso'!$BX45-Paramétrage!$D$29*(365/12), AI108)))</f>
        <v/>
      </c>
      <c r="AQ108" s="2187" t="str">
        <f>IF(ISERROR(AE108),"", IF(AE108=0, "", IF(AE108&gt;'Calculs Péremption conso'!$CB45, CONCATENATE('TRAD-Calculs dispo Données FA'!$B$88, " - ", 'Calculs Péremption conso'!$BY45, "/", 'Calculs Péremption conso'!$BZ45, "/", 'Calculs Péremption conso'!$CA45), AJ108)))</f>
        <v/>
      </c>
      <c r="AR108" s="2051"/>
      <c r="AS108" s="2061">
        <f>Calculs!$N300</f>
        <v>0</v>
      </c>
      <c r="AT108" s="2062">
        <f>Calculs!L355</f>
        <v>0</v>
      </c>
      <c r="AU108" s="2068">
        <f>Calculs!$N355</f>
        <v>0</v>
      </c>
      <c r="AV108" s="2070" t="str">
        <f>IF(AND(AU108=0, AS108=0, AT108=0), 'TRAD-Calculs dispo Données FA'!$B$82, "")</f>
        <v>Stock et besoin nul</v>
      </c>
      <c r="AW108" s="2062" t="str">
        <f>IF(AND(AU108=0, AS108&gt;0, AT108=0), CONCATENATE(AS108, 'TRAD-Calculs dispo Données FA'!$B$80," =0"), "")</f>
        <v/>
      </c>
      <c r="AX108" s="2063" t="str">
        <f>IF(AND(AS108=0, OR(AT108&gt;=1, AU108&gt;=1)), 'TRAD-Calculs dispo Données FA'!$B$81, "")</f>
        <v/>
      </c>
      <c r="AY108" s="2051"/>
      <c r="AZ108" s="2051"/>
      <c r="BA108" s="2051"/>
      <c r="BB108" s="2051"/>
      <c r="BC108" s="2051"/>
      <c r="BD108" s="2051"/>
      <c r="BE108" s="2051"/>
      <c r="BF108" s="2051"/>
      <c r="BG108" s="2051"/>
      <c r="BH108" s="2051"/>
      <c r="BI108" s="2051"/>
      <c r="BJ108" s="2051"/>
      <c r="BK108" s="2051"/>
      <c r="BL108" s="2051"/>
      <c r="BM108" s="2051"/>
      <c r="BN108" s="2051"/>
      <c r="BO108" s="2051"/>
      <c r="BP108" s="2051"/>
      <c r="BQ108" s="2051"/>
      <c r="BR108" s="2051"/>
      <c r="BS108" s="2051"/>
      <c r="BT108" s="2051"/>
    </row>
    <row r="109" spans="3:72" s="358" customFormat="1" x14ac:dyDescent="0.2">
      <c r="C109" s="388"/>
      <c r="D109" s="389"/>
      <c r="E109" s="390" t="str">
        <f>'Saisie données stocks'!F58</f>
        <v>RTV</v>
      </c>
      <c r="F109" s="391" t="str">
        <f>'Saisie données stocks'!G58</f>
        <v>Caps</v>
      </c>
      <c r="G109" s="391" t="str">
        <f>'Saisie données stocks'!H58</f>
        <v>100 mg</v>
      </c>
      <c r="H109" s="401" t="str">
        <f>CONCATENATE(E109, " - ", G109, " - ", 'TRAD-Calculs dispo Données FA'!$B$79,"/", K109)</f>
        <v>RTV - 100 mg - B/84</v>
      </c>
      <c r="I109" s="394">
        <f>Calculs!K141</f>
        <v>0</v>
      </c>
      <c r="J109" s="394">
        <f t="shared" si="10"/>
        <v>0</v>
      </c>
      <c r="K109" s="116">
        <f>Calculs!J141</f>
        <v>84</v>
      </c>
      <c r="L109" s="395">
        <f t="shared" si="11"/>
        <v>0</v>
      </c>
      <c r="M109" s="1822">
        <f>Calculs!N301</f>
        <v>0</v>
      </c>
      <c r="N109" s="1822">
        <f>Calculs!$L$356</f>
        <v>0</v>
      </c>
      <c r="O109" s="1822">
        <f>Calculs!$N$356</f>
        <v>0</v>
      </c>
      <c r="P109"/>
      <c r="Q109" s="2175" t="e">
        <f>IF(Calculs!N356&gt;0, (-(Calculs!N356+2*Calculs!L356)+SQRT((Calculs!N356+2*Calculs!L356)*(Calculs!N356+2*Calculs!L356)+8*Calculs!N356*(M109)))/(2*Calculs!N356), ((M109)/Calculs!L356))</f>
        <v>#DIV/0!</v>
      </c>
      <c r="R109" s="2175" t="e">
        <f t="shared" si="12"/>
        <v>#DIV/0!</v>
      </c>
      <c r="S109" s="2181" t="e">
        <f>Q109-Paramétrage!D$29</f>
        <v>#DIV/0!</v>
      </c>
      <c r="T109" s="2182" t="e">
        <f>IF(Q109&lt;Paramétrage!D$29, Q109, Paramétrage!D$29)</f>
        <v>#DIV/0!</v>
      </c>
      <c r="U109" s="2178" t="e">
        <f>IF(Q109&lt;Paramétrage!D$29, Paramétrage!H$19+S109*(365/12), Paramétrage!H$19+S109*(365/12))</f>
        <v>#DIV/0!</v>
      </c>
      <c r="V109" s="2179" t="e">
        <f>IF(Q109&lt;Paramétrage!D$29, Paramétrage!H$19+T109*(365/12), Paramétrage!H$19+Q109*(365/12))</f>
        <v>#DIV/0!</v>
      </c>
      <c r="W109" s="2051"/>
      <c r="X109" s="2175" t="str">
        <f t="shared" si="13"/>
        <v/>
      </c>
      <c r="Y109" s="2180" t="str">
        <f t="shared" si="14"/>
        <v/>
      </c>
      <c r="Z109" s="2181" t="str">
        <f t="shared" si="15"/>
        <v/>
      </c>
      <c r="AA109" s="2182" t="str">
        <f t="shared" si="16"/>
        <v/>
      </c>
      <c r="AB109" s="2178" t="str">
        <f>IF(ISERROR(Q109),"", IF(Q109=0, "", IF(Q109&gt;'Calculs Péremption conso'!$CB46, 'Calculs Péremption conso'!$BX46-Paramétrage!$D$29*(365/12), U109)))</f>
        <v/>
      </c>
      <c r="AC109" s="2179" t="str">
        <f>IF(ISERROR(Q109), AW109, IF(Q109=0, "", IF(Q109&gt;'Calculs Péremption conso'!$CB46, IF(Q109&lt;'Saisie données stocks'!$N$14, CONCATENATE('TRAD-Calculs dispo Données FA'!$B$88, " - ", 'Calculs Péremption conso'!$BY46, "/", 'Calculs Péremption conso'!$BZ46, "/", 'Calculs Péremption conso'!$CA46), 'Calculs Péremption conso'!CC46), V109)))</f>
        <v/>
      </c>
      <c r="AD109" s="2051"/>
      <c r="AE109" s="2175" t="e">
        <f>(Calculs!N301)/Calculs!L356</f>
        <v>#DIV/0!</v>
      </c>
      <c r="AF109" s="2175" t="e">
        <f t="shared" si="17"/>
        <v>#DIV/0!</v>
      </c>
      <c r="AG109" s="2181" t="e">
        <f>AE109-Paramétrage!D$29</f>
        <v>#DIV/0!</v>
      </c>
      <c r="AH109" s="2182" t="e">
        <f>IF(AE109&lt;Paramétrage!D$29, AE109, Paramétrage!D$29)</f>
        <v>#DIV/0!</v>
      </c>
      <c r="AI109" s="2178" t="e">
        <f>Paramétrage!H$19+AG109*(365/12)</f>
        <v>#DIV/0!</v>
      </c>
      <c r="AJ109" s="2179" t="e">
        <f>IF(AE109&lt;Paramétrage!D$29, Paramétrage!H$19+AH109*(365/12), Paramétrage!H$19+AE109*(365/12))</f>
        <v>#DIV/0!</v>
      </c>
      <c r="AK109" s="2051"/>
      <c r="AL109" s="2175" t="str">
        <f>IF(ISERROR(AE109),"", IF(AE109=0, "", IF(AE109&gt;'Calculs Péremption conso'!$CB46, 'Calculs Péremption conso'!$CB46, AE109)))</f>
        <v/>
      </c>
      <c r="AM109" s="2180" t="str">
        <f t="shared" si="18"/>
        <v/>
      </c>
      <c r="AN109" s="2181" t="str">
        <f>IF(ISERROR(AE109),"", IF(AE109=0, "", IF(AE109&gt;'Calculs Péremption conso'!$CB46, 'Calculs Péremption conso'!$CB46-Paramétrage!$D$29, AG109)))</f>
        <v/>
      </c>
      <c r="AO109" s="2182" t="str">
        <f>IF(ISERROR(AE109),"", IF(AE109=0, "", IF(AE109&gt;'Calculs Péremption conso'!$CB46, Paramétrage!$D$29, AH109)))</f>
        <v/>
      </c>
      <c r="AP109" s="2178" t="str">
        <f>IF(ISERROR(AE109),"", IF(AE109=0, "", IF(AE109&gt;'Calculs Péremption conso'!$CB46, 'Calculs Péremption conso'!$BX46-Paramétrage!$D$29*(365/12), AI109)))</f>
        <v/>
      </c>
      <c r="AQ109" s="2179" t="str">
        <f>IF(ISERROR(AE109),"", IF(AE109=0, "", IF(AE109&gt;'Calculs Péremption conso'!$CB46, CONCATENATE('TRAD-Calculs dispo Données FA'!$B$88, " - ", 'Calculs Péremption conso'!$BY46, "/", 'Calculs Péremption conso'!$BZ46, "/", 'Calculs Péremption conso'!$CA46), AJ109)))</f>
        <v/>
      </c>
      <c r="AR109" s="2051"/>
      <c r="AS109" s="2061">
        <f>Calculs!$N301</f>
        <v>0</v>
      </c>
      <c r="AT109" s="2062">
        <f>Calculs!L356</f>
        <v>0</v>
      </c>
      <c r="AU109" s="2068">
        <f>Calculs!$N356</f>
        <v>0</v>
      </c>
      <c r="AV109" s="2070" t="str">
        <f>IF(AND(AU109=0, AS109=0, AT109=0), 'TRAD-Calculs dispo Données FA'!$B$82, "")</f>
        <v>Stock et besoin nul</v>
      </c>
      <c r="AW109" s="2062" t="str">
        <f>IF(AND(AU109=0, AS109&gt;0, AT109=0), CONCATENATE(AS109, 'TRAD-Calculs dispo Données FA'!$B$80," =0"), "")</f>
        <v/>
      </c>
      <c r="AX109" s="2063" t="str">
        <f>IF(AND(AS109=0, OR(AT109&gt;=1, AU109&gt;=1)), 'TRAD-Calculs dispo Données FA'!$B$81, "")</f>
        <v/>
      </c>
      <c r="AY109" s="2051"/>
      <c r="AZ109" s="2051"/>
      <c r="BA109" s="2051"/>
      <c r="BB109" s="2051"/>
      <c r="BC109" s="2051"/>
      <c r="BD109" s="2051"/>
      <c r="BE109" s="2051"/>
      <c r="BF109" s="2051"/>
      <c r="BG109" s="2051"/>
      <c r="BH109" s="2051"/>
      <c r="BI109" s="2051"/>
      <c r="BJ109" s="2051"/>
      <c r="BK109" s="2051"/>
      <c r="BL109" s="2051"/>
      <c r="BM109" s="2051"/>
      <c r="BN109" s="2051"/>
      <c r="BO109" s="2051"/>
      <c r="BP109" s="2051"/>
      <c r="BQ109" s="2051"/>
      <c r="BR109" s="2051"/>
      <c r="BS109" s="2051"/>
      <c r="BT109" s="2051"/>
    </row>
    <row r="110" spans="3:72" s="358" customFormat="1" ht="13.5" thickBot="1" x14ac:dyDescent="0.25">
      <c r="C110" s="374"/>
      <c r="D110" s="375" t="s">
        <v>266</v>
      </c>
      <c r="E110" s="376" t="str">
        <f>'Saisie données stocks'!F59</f>
        <v>RLT = RAL</v>
      </c>
      <c r="F110" s="377" t="str">
        <f>'Saisie données stocks'!G59</f>
        <v>Cp</v>
      </c>
      <c r="G110" s="377" t="str">
        <f>'Saisie données stocks'!H59</f>
        <v>400 mg</v>
      </c>
      <c r="H110" s="378" t="str">
        <f>CONCATENATE(E110, " - ", G110, " - ", 'TRAD-Calculs dispo Données FA'!$B$79,"/", K110)</f>
        <v>RLT = RAL - 400 mg - B/60</v>
      </c>
      <c r="I110" s="380">
        <f>Calculs!K142</f>
        <v>2</v>
      </c>
      <c r="J110" s="380">
        <f t="shared" si="10"/>
        <v>60</v>
      </c>
      <c r="K110" s="114">
        <f>Calculs!J142</f>
        <v>60</v>
      </c>
      <c r="L110" s="381">
        <f t="shared" si="11"/>
        <v>1</v>
      </c>
      <c r="M110" s="1820">
        <f>Calculs!N302</f>
        <v>0</v>
      </c>
      <c r="N110" s="1820">
        <f>Calculs!$L$357</f>
        <v>0</v>
      </c>
      <c r="O110" s="1820">
        <f>Calculs!$N$357</f>
        <v>0</v>
      </c>
      <c r="P110"/>
      <c r="Q110" s="2161" t="e">
        <f>IF(Calculs!N357&gt;0, (-(Calculs!N357+2*Calculs!L357)+SQRT((Calculs!N357+2*Calculs!L357)*(Calculs!N357+2*Calculs!L357)+8*Calculs!N357*(M110)))/(2*Calculs!N357), ((M110)/Calculs!L357))</f>
        <v>#DIV/0!</v>
      </c>
      <c r="R110" s="2161" t="e">
        <f t="shared" si="12"/>
        <v>#DIV/0!</v>
      </c>
      <c r="S110" s="2162" t="e">
        <f>Q110-Paramétrage!D$29</f>
        <v>#DIV/0!</v>
      </c>
      <c r="T110" s="2163" t="e">
        <f>IF(Q110&lt;Paramétrage!D$29, Q110, Paramétrage!D$29)</f>
        <v>#DIV/0!</v>
      </c>
      <c r="U110" s="2164" t="e">
        <f>IF(Q110&lt;Paramétrage!D$29, Paramétrage!H$19+S110*(365/12), Paramétrage!H$19+S110*(365/12))</f>
        <v>#DIV/0!</v>
      </c>
      <c r="V110" s="2165" t="e">
        <f>IF(Q110&lt;Paramétrage!D$29, Paramétrage!H$19+T110*(365/12), Paramétrage!H$19+Q110*(365/12))</f>
        <v>#DIV/0!</v>
      </c>
      <c r="W110" s="2051"/>
      <c r="X110" s="2175" t="str">
        <f t="shared" si="13"/>
        <v/>
      </c>
      <c r="Y110" s="2180" t="str">
        <f t="shared" si="14"/>
        <v/>
      </c>
      <c r="Z110" s="2181" t="str">
        <f t="shared" si="15"/>
        <v/>
      </c>
      <c r="AA110" s="2182" t="str">
        <f t="shared" si="16"/>
        <v/>
      </c>
      <c r="AB110" s="2164" t="str">
        <f>IF(ISERROR(Q110),"", IF(Q110=0, "", IF(Q110&gt;'Calculs Péremption conso'!$CB47, 'Calculs Péremption conso'!$BX47-Paramétrage!$D$29*(365/12), U110)))</f>
        <v/>
      </c>
      <c r="AC110" s="2165" t="str">
        <f>IF(ISERROR(Q110), AW110, IF(Q110=0, "", IF(Q110&gt;'Calculs Péremption conso'!$CB47, IF(Q110&lt;'Saisie données stocks'!$N$14, CONCATENATE('TRAD-Calculs dispo Données FA'!$B$88, " - ", 'Calculs Péremption conso'!$BY47, "/", 'Calculs Péremption conso'!$BZ47, "/", 'Calculs Péremption conso'!$CA47), 'Calculs Péremption conso'!CC47), V110)))</f>
        <v/>
      </c>
      <c r="AD110" s="2051"/>
      <c r="AE110" s="2161" t="e">
        <f>(Calculs!N302)/Calculs!L357</f>
        <v>#DIV/0!</v>
      </c>
      <c r="AF110" s="2161" t="e">
        <f t="shared" si="17"/>
        <v>#DIV/0!</v>
      </c>
      <c r="AG110" s="2162" t="e">
        <f>AE110-Paramétrage!D$29</f>
        <v>#DIV/0!</v>
      </c>
      <c r="AH110" s="2163" t="e">
        <f>IF(AE110&lt;Paramétrage!D$29, AE110, Paramétrage!D$29)</f>
        <v>#DIV/0!</v>
      </c>
      <c r="AI110" s="2164" t="e">
        <f>Paramétrage!H$19+AG110*(365/12)</f>
        <v>#DIV/0!</v>
      </c>
      <c r="AJ110" s="2165" t="e">
        <f>IF(AE110&lt;Paramétrage!D$29, Paramétrage!H$19+AH110*(365/12), Paramétrage!H$19+AE110*(365/12))</f>
        <v>#DIV/0!</v>
      </c>
      <c r="AK110" s="2051"/>
      <c r="AL110" s="2175" t="str">
        <f>IF(ISERROR(AE110),"", IF(AE110=0, "", IF(AE110&gt;'Calculs Péremption conso'!$CB47, 'Calculs Péremption conso'!$CB47, AE110)))</f>
        <v/>
      </c>
      <c r="AM110" s="2180" t="str">
        <f t="shared" si="18"/>
        <v/>
      </c>
      <c r="AN110" s="2181" t="str">
        <f>IF(ISERROR(AE110),"", IF(AE110=0, "", IF(AE110&gt;'Calculs Péremption conso'!$CB47, 'Calculs Péremption conso'!$CB47-Paramétrage!$D$29, AG110)))</f>
        <v/>
      </c>
      <c r="AO110" s="2182" t="str">
        <f>IF(ISERROR(AE110),"", IF(AE110=0, "", IF(AE110&gt;'Calculs Péremption conso'!$CB47, Paramétrage!$D$29, AH110)))</f>
        <v/>
      </c>
      <c r="AP110" s="2164" t="str">
        <f>IF(ISERROR(AE110),"", IF(AE110=0, "", IF(AE110&gt;'Calculs Péremption conso'!$CB47, 'Calculs Péremption conso'!$BX47-Paramétrage!$D$29*(365/12), AI110)))</f>
        <v/>
      </c>
      <c r="AQ110" s="2165" t="str">
        <f>IF(ISERROR(AE110),"", IF(AE110=0, "", IF(AE110&gt;'Calculs Péremption conso'!$CB47, CONCATENATE('TRAD-Calculs dispo Données FA'!$B$88, " - ", 'Calculs Péremption conso'!$BY47, "/", 'Calculs Péremption conso'!$BZ47, "/", 'Calculs Péremption conso'!$CA47), AJ110)))</f>
        <v/>
      </c>
      <c r="AR110" s="2051"/>
      <c r="AS110" s="2061">
        <f>Calculs!$N302</f>
        <v>0</v>
      </c>
      <c r="AT110" s="2062">
        <f>Calculs!L357</f>
        <v>0</v>
      </c>
      <c r="AU110" s="2068">
        <f>Calculs!$N357</f>
        <v>0</v>
      </c>
      <c r="AV110" s="2070" t="str">
        <f>IF(AND(AU110=0, AS110=0, AT110=0), 'TRAD-Calculs dispo Données FA'!$B$82, "")</f>
        <v>Stock et besoin nul</v>
      </c>
      <c r="AW110" s="2062" t="str">
        <f>IF(AND(AU110=0, AS110&gt;0, AT110=0), CONCATENATE(AS110, 'TRAD-Calculs dispo Données FA'!$B$80," =0"), "")</f>
        <v/>
      </c>
      <c r="AX110" s="2063" t="str">
        <f>IF(AND(AS110=0, OR(AT110&gt;=1, AU110&gt;=1)), 'TRAD-Calculs dispo Données FA'!$B$81, "")</f>
        <v/>
      </c>
      <c r="AY110" s="2051"/>
      <c r="AZ110" s="2051"/>
      <c r="BA110" s="2051"/>
      <c r="BB110" s="2051"/>
      <c r="BC110" s="2051"/>
      <c r="BD110" s="2051"/>
      <c r="BE110" s="2051"/>
      <c r="BF110" s="2051"/>
      <c r="BG110" s="2051"/>
      <c r="BH110" s="2051"/>
      <c r="BI110" s="2051"/>
      <c r="BJ110" s="2051"/>
      <c r="BK110" s="2051"/>
      <c r="BL110" s="2051"/>
      <c r="BM110" s="2051"/>
      <c r="BN110" s="2051"/>
      <c r="BO110" s="2051"/>
      <c r="BP110" s="2051"/>
      <c r="BQ110" s="2051"/>
      <c r="BR110" s="2051"/>
      <c r="BS110" s="2051"/>
      <c r="BT110" s="2051"/>
    </row>
    <row r="111" spans="3:72" s="358" customFormat="1" ht="77.25" thickBot="1" x14ac:dyDescent="0.25">
      <c r="C111" s="577" t="str">
        <f>'TRAD-Calculs dispo Données FA'!B9</f>
        <v>Classe forme galénique</v>
      </c>
      <c r="D111" s="576" t="str">
        <f>'TRAD-Calculs dispo Données FA'!B10</f>
        <v>Classe thérapeutique</v>
      </c>
      <c r="E111" s="364" t="str">
        <f>'TRAD-Calculs dispo Données FA'!B11</f>
        <v>Composition</v>
      </c>
      <c r="F111" s="365" t="str">
        <f>'TRAD-Calculs dispo Données FA'!B12</f>
        <v>Forme galénique</v>
      </c>
      <c r="G111" s="365" t="str">
        <f>'TRAD-Calculs dispo Données FA'!B13</f>
        <v>Dosage</v>
      </c>
      <c r="H111" s="365" t="str">
        <f>'TRAD-Calculs dispo Données FA'!B14</f>
        <v>Nom pour représentation graphique</v>
      </c>
      <c r="I111" s="365"/>
      <c r="J111" s="365"/>
      <c r="K111" s="365" t="str">
        <f>'TRAD-Calculs dispo Données FA'!B18</f>
        <v>Volume conditionnement primaire (mL)</v>
      </c>
      <c r="L111" s="327" t="str">
        <f>'TRAD-Calculs dispo Données FA'!B19</f>
        <v>Conditionement secondaire</v>
      </c>
      <c r="M111" s="346" t="str">
        <f>'TRAD-Calculs dispo Données FA'!B21</f>
        <v>Stock disponible UTILISABLE au niveau considéré (nb de boites)</v>
      </c>
      <c r="N111" s="2057" t="str">
        <f>'TRAD-Calculs dispo Données FA'!B33</f>
        <v>Besoin mensuel patients suivis selon méthode</v>
      </c>
      <c r="O111" s="2057" t="str">
        <f>'TRAD-Calculs dispo Données FA'!B34</f>
        <v>Besoin mensuel patients initiés selon méthode</v>
      </c>
      <c r="P111"/>
      <c r="Q111" s="346" t="str">
        <f>'TRAD-Calculs dispo Données FA'!B35</f>
        <v>Nombre de mois de disponibilité de produits</v>
      </c>
      <c r="R111" s="346" t="str">
        <f>'TRAD-Calculs dispo Données FA'!B36</f>
        <v>Delta Nb de mois de disponibilité Stocks périph / Stocks total (périph + central)</v>
      </c>
      <c r="S111" s="347" t="str">
        <f>'TRAD-Calculs dispo Données FA'!B37</f>
        <v>Nombre de mois de disponibilité de produits hors ST</v>
      </c>
      <c r="T111" s="327" t="str">
        <f>'TRAD-Calculs dispo Données FA'!B38</f>
        <v>Nombre de mois de stock tampon (ST)</v>
      </c>
      <c r="U111" s="348" t="str">
        <f>'TRAD-Calculs dispo Données FA'!B39</f>
        <v>Date d'entrée en stock tampon</v>
      </c>
      <c r="V111" s="349" t="str">
        <f>'TRAD-Calculs dispo Données FA'!B40</f>
        <v>Date de rupture attendue</v>
      </c>
      <c r="W111" s="2051"/>
      <c r="X111" s="346" t="str">
        <f>'TRAD-Calculs dispo Données FA'!B35</f>
        <v>Nombre de mois de disponibilité de produits</v>
      </c>
      <c r="Y111" s="346" t="str">
        <f>'TRAD-Calculs dispo Données FA'!B36</f>
        <v>Delta Nb de mois de disponibilité Stocks périph / Stocks total (périph + central)</v>
      </c>
      <c r="Z111" s="347" t="str">
        <f>'TRAD-Calculs dispo Données FA'!B37</f>
        <v>Nombre de mois de disponibilité de produits hors ST</v>
      </c>
      <c r="AA111" s="424" t="str">
        <f>'TRAD-Calculs dispo Données FA'!B38</f>
        <v>Nombre de mois de stock tampon (ST)</v>
      </c>
      <c r="AB111" s="348" t="str">
        <f>'TRAD-Calculs dispo Données FA'!B39</f>
        <v>Date d'entrée en stock tampon</v>
      </c>
      <c r="AC111" s="349" t="str">
        <f>'TRAD-Calculs dispo Données FA'!B40</f>
        <v>Date de rupture attendue</v>
      </c>
      <c r="AD111" s="2051"/>
      <c r="AE111" s="346" t="str">
        <f>'TRAD-Calculs dispo Données FA'!B35</f>
        <v>Nombre de mois de disponibilité de produits</v>
      </c>
      <c r="AF111" s="580" t="str">
        <f>'TRAD-Calculs dispo Données FA'!B46</f>
        <v>Gain Nb de mois de disponibilité si arrêt des initiations &amp; switch</v>
      </c>
      <c r="AG111" s="347" t="str">
        <f>'TRAD-Calculs dispo Données FA'!B37</f>
        <v>Nombre de mois de disponibilité de produits hors ST</v>
      </c>
      <c r="AH111" s="424" t="str">
        <f>'TRAD-Calculs dispo Données FA'!B38</f>
        <v>Nombre de mois de stock tampon (ST)</v>
      </c>
      <c r="AI111" s="348" t="str">
        <f>'TRAD-Calculs dispo Données FA'!B39</f>
        <v>Date d'entrée en stock tampon</v>
      </c>
      <c r="AJ111" s="349" t="str">
        <f>'TRAD-Calculs dispo Données FA'!B40</f>
        <v>Date de rupture attendue</v>
      </c>
      <c r="AK111" s="2051"/>
      <c r="AL111" s="346" t="str">
        <f>'TRAD-Calculs dispo Données FA'!B35</f>
        <v>Nombre de mois de disponibilité de produits</v>
      </c>
      <c r="AM111" s="580" t="str">
        <f>'TRAD-Calculs dispo Données FA'!B46</f>
        <v>Gain Nb de mois de disponibilité si arrêt des initiations &amp; switch</v>
      </c>
      <c r="AN111" s="347" t="str">
        <f>'TRAD-Calculs dispo Données FA'!B37</f>
        <v>Nombre de mois de disponibilité de produits hors ST</v>
      </c>
      <c r="AO111" s="424" t="str">
        <f>'TRAD-Calculs dispo Données FA'!B38</f>
        <v>Nombre de mois de stock tampon (ST)</v>
      </c>
      <c r="AP111" s="424" t="str">
        <f>'TRAD-Calculs dispo Données FA'!B39</f>
        <v>Date d'entrée en stock tampon</v>
      </c>
      <c r="AQ111" s="349" t="str">
        <f>'TRAD-Calculs dispo Données FA'!B40</f>
        <v>Date de rupture attendue</v>
      </c>
      <c r="AR111" s="2051"/>
      <c r="AS111" s="2077" t="str">
        <f>'TRAD-Calculs dispo Données FA'!B48</f>
        <v>Stock</v>
      </c>
      <c r="AT111" s="2078" t="str">
        <f>'TRAD-Calculs dispo Données FA'!B49</f>
        <v>besoin actuel</v>
      </c>
      <c r="AU111" s="2079" t="str">
        <f>'TRAD-Calculs dispo Données FA'!B50</f>
        <v>Progression besoin</v>
      </c>
      <c r="AV111" s="2077" t="str">
        <f>'TRAD-Calculs dispo Données FA'!B51</f>
        <v>Eval</v>
      </c>
      <c r="AW111" s="2078" t="str">
        <f>'TRAD-Calculs dispo Données FA'!B51</f>
        <v>Eval</v>
      </c>
      <c r="AX111" s="2080" t="str">
        <f>'TRAD-Calculs dispo Données FA'!B51</f>
        <v>Eval</v>
      </c>
      <c r="AY111" s="2051"/>
      <c r="AZ111" s="2051"/>
      <c r="BA111" s="2051"/>
      <c r="BB111" s="2051"/>
      <c r="BC111" s="2051"/>
      <c r="BD111" s="2051"/>
      <c r="BE111" s="2051"/>
      <c r="BF111" s="2051"/>
      <c r="BG111" s="2051"/>
      <c r="BH111" s="2051"/>
      <c r="BI111" s="2051"/>
      <c r="BJ111" s="2051"/>
      <c r="BK111" s="2051"/>
      <c r="BL111" s="2051"/>
      <c r="BM111" s="2051"/>
      <c r="BN111" s="2051"/>
      <c r="BO111" s="2051"/>
      <c r="BP111" s="2051"/>
      <c r="BQ111" s="2051"/>
      <c r="BR111" s="2051"/>
      <c r="BS111" s="2051"/>
      <c r="BT111" s="2051"/>
    </row>
    <row r="112" spans="3:72" s="358" customFormat="1" ht="38.25" x14ac:dyDescent="0.2">
      <c r="C112" s="366" t="str">
        <f>'TRAD-Calculs dispo Données FA'!B67</f>
        <v>Solutions Buvables</v>
      </c>
      <c r="D112" s="367" t="s">
        <v>31</v>
      </c>
      <c r="E112" s="376" t="str">
        <f>'Saisie données stocks'!F61</f>
        <v>AZT</v>
      </c>
      <c r="F112" s="377" t="str">
        <f>'Saisie données stocks'!G61</f>
        <v>Sol buv</v>
      </c>
      <c r="G112" s="377" t="str">
        <f>'Saisie données stocks'!H61</f>
        <v>10 mg/mL</v>
      </c>
      <c r="H112" s="87" t="str">
        <f>CONCATENATE(E112, " - ", G112, " - ", 'TRAD-Calculs dispo Données FA'!$B$83,"/", K112, "mL")</f>
        <v>AZT - 10 mg/mL - Fl/240mL</v>
      </c>
      <c r="I112" s="370"/>
      <c r="J112" s="370"/>
      <c r="K112" s="113">
        <f>'Saisie données stocks'!L61</f>
        <v>240</v>
      </c>
      <c r="L112" s="300">
        <f>'Saisie données stocks'!M61</f>
        <v>1</v>
      </c>
      <c r="M112" s="1819">
        <f>Calculs!N304</f>
        <v>0</v>
      </c>
      <c r="N112" s="1819">
        <f>Calculs!$L$359</f>
        <v>0</v>
      </c>
      <c r="O112" s="1819">
        <f>Calculs!$N$359</f>
        <v>0</v>
      </c>
      <c r="P112"/>
      <c r="Q112" s="2154" t="e">
        <f>IF(Calculs!N359&gt;0, (-(Calculs!N359+2*Calculs!L359)+SQRT((Calculs!N359+2*Calculs!L359)*(Calculs!N359+2*Calculs!L359)+8*Calculs!N359*(M112)))/(2*Calculs!N359), ((M112)/Calculs!L359))</f>
        <v>#DIV/0!</v>
      </c>
      <c r="R112" s="2154" t="e">
        <f t="shared" ref="R112:R119" si="19">Q169-Q55</f>
        <v>#DIV/0!</v>
      </c>
      <c r="S112" s="2155" t="e">
        <f>Q112-Paramétrage!D$29</f>
        <v>#DIV/0!</v>
      </c>
      <c r="T112" s="2156" t="e">
        <f>IF(Q112&lt;Paramétrage!D$29, Q112, Paramétrage!D$29)</f>
        <v>#DIV/0!</v>
      </c>
      <c r="U112" s="2157" t="e">
        <f>IF(Q112&lt;Paramétrage!D$29, Paramétrage!H$19+S112*(365/12), Paramétrage!H$19+S112*(365/12))</f>
        <v>#DIV/0!</v>
      </c>
      <c r="V112" s="2158" t="e">
        <f>IF(Q112&lt;Paramétrage!D$29, Paramétrage!H$19+T112*(365/12), Paramétrage!H$19+Q112*(365/12))</f>
        <v>#DIV/0!</v>
      </c>
      <c r="W112" s="2051"/>
      <c r="X112" s="2154" t="str">
        <f t="shared" ref="X112:Y119" si="20">IF(ISERROR(Q112),"", IF(Q112=0, "", Q112))</f>
        <v/>
      </c>
      <c r="Y112" s="2159" t="str">
        <f t="shared" si="20"/>
        <v/>
      </c>
      <c r="Z112" s="2155" t="str">
        <f t="shared" ref="Z112:Z119" si="21">IF(ISERROR(Q112),"", IF(Q112=0, "", S112))</f>
        <v/>
      </c>
      <c r="AA112" s="2160" t="str">
        <f t="shared" ref="AA112:AA119" si="22">IF(ISERROR(Q112),"", IF(Q112=0, "", T112))</f>
        <v/>
      </c>
      <c r="AB112" s="2157" t="str">
        <f>IF(ISERROR(Q112),"", IF(Q112=0, "", IF(Q112&gt;'Calculs Péremption conso'!$CB49, 'Calculs Péremption conso'!$BX49-Paramétrage!$D$29*(365/12), U112)))</f>
        <v/>
      </c>
      <c r="AC112" s="2158" t="str">
        <f>IF(ISERROR(Q112), AW112, IF(Q112=0, "", IF(Q112&gt;'Calculs Péremption conso'!$CB49, IF(Q112&lt;'Saisie données stocks'!$N$14, CONCATENATE('TRAD-Calculs dispo Données FA'!$B$88, " - ", 'Calculs Péremption conso'!$BY49, "/", 'Calculs Péremption conso'!$BZ49, "/", 'Calculs Péremption conso'!$CA49), 'Calculs Péremption conso'!CC49), V112)))</f>
        <v/>
      </c>
      <c r="AD112" s="2051"/>
      <c r="AE112" s="2154" t="e">
        <f>(Calculs!N304)/Calculs!L359</f>
        <v>#DIV/0!</v>
      </c>
      <c r="AF112" s="2154" t="e">
        <f t="shared" ref="AF112:AF119" si="23">AE112-Q112</f>
        <v>#DIV/0!</v>
      </c>
      <c r="AG112" s="2155" t="e">
        <f>AE112-Paramétrage!D$29</f>
        <v>#DIV/0!</v>
      </c>
      <c r="AH112" s="2156" t="e">
        <f>IF(AE112&lt;Paramétrage!D$29, AE112, Paramétrage!D$29)</f>
        <v>#DIV/0!</v>
      </c>
      <c r="AI112" s="2157" t="e">
        <f>Paramétrage!H$19+AG112*(365/12)</f>
        <v>#DIV/0!</v>
      </c>
      <c r="AJ112" s="2158" t="e">
        <f>IF(AE112&lt;Paramétrage!D$29, Paramétrage!H$19+AH112*(365/12), Paramétrage!H$19+AE112*(365/12))</f>
        <v>#DIV/0!</v>
      </c>
      <c r="AK112" s="2051"/>
      <c r="AL112" s="2154" t="str">
        <f>IF(ISERROR(AE112),"", IF(AE112=0, "", IF(AE112&gt;'Calculs Péremption conso'!$CB49, 'Calculs Péremption conso'!$CB49, AE112)))</f>
        <v/>
      </c>
      <c r="AM112" s="2159" t="str">
        <f t="shared" ref="AM112:AM119" si="24">IF(ISERROR(AF112),"", IF(AF112=0, "", IF(AL112-X112=0, "0", AL112-X112)))</f>
        <v/>
      </c>
      <c r="AN112" s="2155" t="str">
        <f>IF(ISERROR(AE112),"", IF(AE112=0, "", IF(AE112&gt;'Calculs Péremption conso'!$CB49, 'Calculs Péremption conso'!$CB49-Paramétrage!$D$29, AG112)))</f>
        <v/>
      </c>
      <c r="AO112" s="2160" t="str">
        <f>IF(ISERROR(AE112),"", IF(AE112=0, "", IF(AE112&gt;'Calculs Péremption conso'!$CB49, Paramétrage!$D$29, AH112)))</f>
        <v/>
      </c>
      <c r="AP112" s="2157" t="str">
        <f>IF(ISERROR(AE112),"", IF(AE112=0, "", IF(AE112&gt;'Calculs Péremption conso'!$CB49, 'Calculs Péremption conso'!$BX49-Paramétrage!$D$29*(365/12), AI112)))</f>
        <v/>
      </c>
      <c r="AQ112" s="2158" t="str">
        <f>IF(ISERROR(AE112),"", IF(AE112=0, "", IF(AE112&gt;'Calculs Péremption conso'!$CB49, CONCATENATE('TRAD-Calculs dispo Données FA'!$B$88, " - ", 'Calculs Péremption conso'!$BY49, "/", 'Calculs Péremption conso'!$BZ49, "/", 'Calculs Péremption conso'!$CA49), AJ112)))</f>
        <v/>
      </c>
      <c r="AR112" s="2051"/>
      <c r="AS112" s="2072">
        <f>Calculs!$N304</f>
        <v>0</v>
      </c>
      <c r="AT112" s="2073">
        <f>Calculs!L359</f>
        <v>0</v>
      </c>
      <c r="AU112" s="2074">
        <f>Calculs!$N359</f>
        <v>0</v>
      </c>
      <c r="AV112" s="2075" t="str">
        <f>IF(AND(AU112=0, AS112=0, AT112=0), 'TRAD-Calculs dispo Données FA'!$B$82, "")</f>
        <v>Stock et besoin nul</v>
      </c>
      <c r="AW112" s="2073" t="str">
        <f>IF(AND(AU112=0, AS112&gt;0, AT112=0), CONCATENATE(AS112, 'TRAD-Calculs dispo Données FA'!$B$80," =0"), "")</f>
        <v/>
      </c>
      <c r="AX112" s="2076" t="str">
        <f>IF(AND(AS112=0, OR(AT112&gt;=1, AU112&gt;=1)), 'TRAD-Calculs dispo Données FA'!$B$81, "")</f>
        <v/>
      </c>
      <c r="AY112" s="2051"/>
      <c r="AZ112" s="2051"/>
      <c r="BA112" s="2051"/>
      <c r="BB112" s="2051"/>
      <c r="BC112" s="2051"/>
      <c r="BD112" s="2051"/>
      <c r="BE112" s="2051"/>
      <c r="BF112" s="2051"/>
      <c r="BG112" s="2051"/>
      <c r="BH112" s="2051"/>
      <c r="BI112" s="2051"/>
      <c r="BJ112" s="2051"/>
      <c r="BK112" s="2051"/>
      <c r="BL112" s="2051"/>
      <c r="BM112" s="2051"/>
      <c r="BN112" s="2051"/>
      <c r="BO112" s="2051"/>
      <c r="BP112" s="2051"/>
      <c r="BQ112" s="2051"/>
      <c r="BR112" s="2051"/>
      <c r="BS112" s="2051"/>
      <c r="BT112" s="2051"/>
    </row>
    <row r="113" spans="2:72" s="358" customFormat="1" ht="38.25" x14ac:dyDescent="0.2">
      <c r="C113" s="374"/>
      <c r="D113" s="375"/>
      <c r="E113" s="376" t="str">
        <f>'Saisie données stocks'!F62</f>
        <v>D4T</v>
      </c>
      <c r="F113" s="377" t="str">
        <f>'Saisie données stocks'!G62</f>
        <v>Sol buv</v>
      </c>
      <c r="G113" s="377" t="str">
        <f>'Saisie données stocks'!H62</f>
        <v>10 mg/mL</v>
      </c>
      <c r="H113" s="89" t="str">
        <f>CONCATENATE(E113, " - ", G113, " - ", 'TRAD-Calculs dispo Données FA'!$B$83,"/", K113, "mL")</f>
        <v>D4T - 10 mg/mL - Fl/240mL</v>
      </c>
      <c r="I113" s="378"/>
      <c r="J113" s="378"/>
      <c r="K113" s="114">
        <f>'Saisie données stocks'!L62</f>
        <v>240</v>
      </c>
      <c r="L113" s="308">
        <f>'Saisie données stocks'!M62</f>
        <v>1</v>
      </c>
      <c r="M113" s="1820">
        <f>Calculs!N305</f>
        <v>0</v>
      </c>
      <c r="N113" s="1820">
        <f>Calculs!$L$360</f>
        <v>0</v>
      </c>
      <c r="O113" s="1820">
        <f>Calculs!$N$360</f>
        <v>0</v>
      </c>
      <c r="P113"/>
      <c r="Q113" s="2161" t="e">
        <f>IF(Calculs!N360&gt;0, (-(Calculs!N360+2*Calculs!L360)+SQRT((Calculs!N360+2*Calculs!L360)*(Calculs!N360+2*Calculs!L360)+8*Calculs!N360*(M113)))/(2*Calculs!N360), ((M113)/Calculs!L360))</f>
        <v>#DIV/0!</v>
      </c>
      <c r="R113" s="2161" t="e">
        <f t="shared" si="19"/>
        <v>#DIV/0!</v>
      </c>
      <c r="S113" s="2162" t="e">
        <f>Q113-Paramétrage!D$29</f>
        <v>#DIV/0!</v>
      </c>
      <c r="T113" s="2163" t="e">
        <f>IF(Q113&lt;Paramétrage!D$29, Q113, Paramétrage!D$29)</f>
        <v>#DIV/0!</v>
      </c>
      <c r="U113" s="2164" t="e">
        <f>IF(Q113&lt;Paramétrage!D$29, Paramétrage!H$19+S113*(365/12), Paramétrage!H$19+S113*(365/12))</f>
        <v>#DIV/0!</v>
      </c>
      <c r="V113" s="2165" t="e">
        <f>IF(Q113&lt;Paramétrage!D$29, Paramétrage!H$19+T113*(365/12), Paramétrage!H$19+Q113*(365/12))</f>
        <v>#DIV/0!</v>
      </c>
      <c r="W113" s="2051"/>
      <c r="X113" s="2161" t="str">
        <f t="shared" si="20"/>
        <v/>
      </c>
      <c r="Y113" s="2166" t="str">
        <f t="shared" si="20"/>
        <v/>
      </c>
      <c r="Z113" s="2162" t="str">
        <f t="shared" si="21"/>
        <v/>
      </c>
      <c r="AA113" s="2167" t="str">
        <f t="shared" si="22"/>
        <v/>
      </c>
      <c r="AB113" s="2164" t="str">
        <f>IF(ISERROR(Q113),"", IF(Q113=0, "", IF(Q113&gt;'Calculs Péremption conso'!$CB50, 'Calculs Péremption conso'!$BX50-Paramétrage!$D$29*(365/12), U113)))</f>
        <v/>
      </c>
      <c r="AC113" s="2165" t="str">
        <f>IF(ISERROR(Q113), AW113, IF(Q113=0, "", IF(Q113&gt;'Calculs Péremption conso'!$CB50, IF(Q113&lt;'Saisie données stocks'!$N$14, CONCATENATE('TRAD-Calculs dispo Données FA'!$B$88, " - ", 'Calculs Péremption conso'!$BY50, "/", 'Calculs Péremption conso'!$BZ50, "/", 'Calculs Péremption conso'!$CA50), 'Calculs Péremption conso'!CC50), V113)))</f>
        <v/>
      </c>
      <c r="AD113" s="2051"/>
      <c r="AE113" s="2161" t="e">
        <f>(Calculs!N305)/Calculs!L360</f>
        <v>#DIV/0!</v>
      </c>
      <c r="AF113" s="2161" t="e">
        <f t="shared" si="23"/>
        <v>#DIV/0!</v>
      </c>
      <c r="AG113" s="2162" t="e">
        <f>AE113-Paramétrage!D$29</f>
        <v>#DIV/0!</v>
      </c>
      <c r="AH113" s="2163" t="e">
        <f>IF(AE113&lt;Paramétrage!D$29, AE113, Paramétrage!D$29)</f>
        <v>#DIV/0!</v>
      </c>
      <c r="AI113" s="2164" t="e">
        <f>Paramétrage!H$19+AG113*(365/12)</f>
        <v>#DIV/0!</v>
      </c>
      <c r="AJ113" s="2165" t="e">
        <f>IF(AE113&lt;Paramétrage!D$29, Paramétrage!H$19+AH113*(365/12), Paramétrage!H$19+AE113*(365/12))</f>
        <v>#DIV/0!</v>
      </c>
      <c r="AK113" s="2051"/>
      <c r="AL113" s="2161" t="str">
        <f>IF(ISERROR(AE113),"", IF(AE113=0, "", IF(AE113&gt;'Calculs Péremption conso'!$CB50, 'Calculs Péremption conso'!$CB50, AE113)))</f>
        <v/>
      </c>
      <c r="AM113" s="2166" t="str">
        <f t="shared" si="24"/>
        <v/>
      </c>
      <c r="AN113" s="2162" t="str">
        <f>IF(ISERROR(AE113),"", IF(AE113=0, "", IF(AE113&gt;'Calculs Péremption conso'!$CB50, 'Calculs Péremption conso'!$CB50-Paramétrage!$D$29, AG113)))</f>
        <v/>
      </c>
      <c r="AO113" s="2167" t="str">
        <f>IF(ISERROR(AE113),"", IF(AE113=0, "", IF(AE113&gt;'Calculs Péremption conso'!$CB50, Paramétrage!$D$29, AH113)))</f>
        <v/>
      </c>
      <c r="AP113" s="2164" t="str">
        <f>IF(ISERROR(AE113),"", IF(AE113=0, "", IF(AE113&gt;'Calculs Péremption conso'!$CB50, 'Calculs Péremption conso'!$BX50-Paramétrage!$D$29*(365/12), AI113)))</f>
        <v/>
      </c>
      <c r="AQ113" s="2165" t="str">
        <f>IF(ISERROR(AE113),"", IF(AE113=0, "", IF(AE113&gt;'Calculs Péremption conso'!$CB50, CONCATENATE('TRAD-Calculs dispo Données FA'!$B$88, " - ", 'Calculs Péremption conso'!$BY50, "/", 'Calculs Péremption conso'!$BZ50, "/", 'Calculs Péremption conso'!$CA50), AJ113)))</f>
        <v/>
      </c>
      <c r="AR113" s="2051"/>
      <c r="AS113" s="2061">
        <f>Calculs!$N305</f>
        <v>0</v>
      </c>
      <c r="AT113" s="2062">
        <f>Calculs!L360</f>
        <v>0</v>
      </c>
      <c r="AU113" s="2068">
        <f>Calculs!$N360</f>
        <v>0</v>
      </c>
      <c r="AV113" s="2070" t="str">
        <f>IF(AND(AU113=0, AS113=0, AT113=0), 'TRAD-Calculs dispo Données FA'!$B$82, "")</f>
        <v>Stock et besoin nul</v>
      </c>
      <c r="AW113" s="2062" t="str">
        <f>IF(AND(AU113=0, AS113&gt;0, AT113=0), CONCATENATE(AS113, 'TRAD-Calculs dispo Données FA'!$B$80," =0"), "")</f>
        <v/>
      </c>
      <c r="AX113" s="2063" t="str">
        <f>IF(AND(AS113=0, OR(AT113&gt;=1, AU113&gt;=1)), 'TRAD-Calculs dispo Données FA'!$B$81, "")</f>
        <v/>
      </c>
      <c r="AY113" s="2051"/>
      <c r="AZ113" s="2051"/>
      <c r="BA113" s="2051"/>
      <c r="BB113" s="2051"/>
      <c r="BC113" s="2051"/>
      <c r="BD113" s="2051"/>
      <c r="BE113" s="2051"/>
      <c r="BF113" s="2051"/>
      <c r="BG113" s="2051"/>
      <c r="BH113" s="2051"/>
      <c r="BI113" s="2051"/>
      <c r="BJ113" s="2051"/>
      <c r="BK113" s="2051"/>
      <c r="BL113" s="2051"/>
      <c r="BM113" s="2051"/>
      <c r="BN113" s="2051"/>
      <c r="BO113" s="2051"/>
      <c r="BP113" s="2051"/>
      <c r="BQ113" s="2051"/>
      <c r="BR113" s="2051"/>
      <c r="BS113" s="2051"/>
      <c r="BT113" s="2051"/>
    </row>
    <row r="114" spans="2:72" s="358" customFormat="1" ht="38.25" x14ac:dyDescent="0.2">
      <c r="C114" s="374"/>
      <c r="D114" s="375"/>
      <c r="E114" s="382" t="str">
        <f>'Saisie données stocks'!F63</f>
        <v>3TC</v>
      </c>
      <c r="F114" s="383" t="str">
        <f>'Saisie données stocks'!G63</f>
        <v>Sol buv</v>
      </c>
      <c r="G114" s="383" t="str">
        <f>'Saisie données stocks'!H63</f>
        <v>10 mg/mL</v>
      </c>
      <c r="H114" s="1207" t="str">
        <f>CONCATENATE(E114, " - ", G114, " - ", 'TRAD-Calculs dispo Données FA'!$B$83,"/", K114, "mL")</f>
        <v>3TC - 10 mg/mL - Fl/240mL</v>
      </c>
      <c r="I114" s="384"/>
      <c r="J114" s="384"/>
      <c r="K114" s="115">
        <f>'Saisie données stocks'!L63</f>
        <v>240</v>
      </c>
      <c r="L114" s="304">
        <f>'Saisie données stocks'!M63</f>
        <v>1</v>
      </c>
      <c r="M114" s="1821">
        <f>Calculs!N306</f>
        <v>0</v>
      </c>
      <c r="N114" s="1870">
        <f>Calculs!$L$361</f>
        <v>0</v>
      </c>
      <c r="O114" s="1870">
        <f>Calculs!$N$361</f>
        <v>0</v>
      </c>
      <c r="P114"/>
      <c r="Q114" s="2168" t="e">
        <f>IF(Calculs!N361&gt;0, (-(Calculs!N361+2*Calculs!L361)+SQRT((Calculs!N361+2*Calculs!L361)*(Calculs!N361+2*Calculs!L361)+8*Calculs!N361*(M114)))/(2*Calculs!N361), ((M114)/Calculs!L361))</f>
        <v>#DIV/0!</v>
      </c>
      <c r="R114" s="2168" t="e">
        <f t="shared" si="19"/>
        <v>#DIV/0!</v>
      </c>
      <c r="S114" s="2173" t="e">
        <f>Q114-Paramétrage!D$29</f>
        <v>#DIV/0!</v>
      </c>
      <c r="T114" s="2169" t="e">
        <f>IF(Q114&lt;Paramétrage!D$29, Q114, Paramétrage!D$29)</f>
        <v>#DIV/0!</v>
      </c>
      <c r="U114" s="2170" t="e">
        <f>IF(Q114&lt;Paramétrage!D$29, Paramétrage!H$19+S114*(365/12), Paramétrage!H$19+S114*(365/12))</f>
        <v>#DIV/0!</v>
      </c>
      <c r="V114" s="2171" t="e">
        <f>IF(Q114&lt;Paramétrage!D$29, Paramétrage!H$19+T114*(365/12), Paramétrage!H$19+Q114*(365/12))</f>
        <v>#DIV/0!</v>
      </c>
      <c r="W114" s="2051"/>
      <c r="X114" s="2168" t="str">
        <f t="shared" si="20"/>
        <v/>
      </c>
      <c r="Y114" s="2172" t="str">
        <f t="shared" si="20"/>
        <v/>
      </c>
      <c r="Z114" s="2173" t="str">
        <f t="shared" si="21"/>
        <v/>
      </c>
      <c r="AA114" s="2174" t="str">
        <f t="shared" si="22"/>
        <v/>
      </c>
      <c r="AB114" s="2170" t="str">
        <f>IF(ISERROR(Q114),"", IF(Q114=0, "", IF(Q114&gt;'Calculs Péremption conso'!$CB51, 'Calculs Péremption conso'!$BX51-Paramétrage!$D$29*(365/12), U114)))</f>
        <v/>
      </c>
      <c r="AC114" s="2171" t="str">
        <f>IF(ISERROR(Q114), AW114, IF(Q114=0, "", IF(Q114&gt;'Calculs Péremption conso'!$CB51, IF(Q114&lt;'Saisie données stocks'!$N$14, CONCATENATE('TRAD-Calculs dispo Données FA'!$B$88, " - ", 'Calculs Péremption conso'!$BY51, "/", 'Calculs Péremption conso'!$BZ51, "/", 'Calculs Péremption conso'!$CA51), 'Calculs Péremption conso'!CC51), V114)))</f>
        <v/>
      </c>
      <c r="AD114" s="2051"/>
      <c r="AE114" s="2168" t="e">
        <f>(Calculs!N306)/Calculs!L361</f>
        <v>#DIV/0!</v>
      </c>
      <c r="AF114" s="2168" t="e">
        <f t="shared" si="23"/>
        <v>#DIV/0!</v>
      </c>
      <c r="AG114" s="2173" t="e">
        <f>AE114-Paramétrage!D$29</f>
        <v>#DIV/0!</v>
      </c>
      <c r="AH114" s="2169" t="e">
        <f>IF(AE114&lt;Paramétrage!D$29, AE114, Paramétrage!D$29)</f>
        <v>#DIV/0!</v>
      </c>
      <c r="AI114" s="2170" t="e">
        <f>Paramétrage!H$19+AG114*(365/12)</f>
        <v>#DIV/0!</v>
      </c>
      <c r="AJ114" s="2171" t="e">
        <f>IF(AE114&lt;Paramétrage!D$29, Paramétrage!H$19+AH114*(365/12), Paramétrage!H$19+AE114*(365/12))</f>
        <v>#DIV/0!</v>
      </c>
      <c r="AK114" s="2051"/>
      <c r="AL114" s="2168" t="str">
        <f>IF(ISERROR(AE114),"", IF(AE114=0, "", IF(AE114&gt;'Calculs Péremption conso'!$CB51, 'Calculs Péremption conso'!$CB51, AE114)))</f>
        <v/>
      </c>
      <c r="AM114" s="2172" t="str">
        <f t="shared" si="24"/>
        <v/>
      </c>
      <c r="AN114" s="2173" t="str">
        <f>IF(ISERROR(AE114),"", IF(AE114=0, "", IF(AE114&gt;'Calculs Péremption conso'!$CB51, 'Calculs Péremption conso'!$CB51-Paramétrage!$D$29, AG114)))</f>
        <v/>
      </c>
      <c r="AO114" s="2174" t="str">
        <f>IF(ISERROR(AE114),"", IF(AE114=0, "", IF(AE114&gt;'Calculs Péremption conso'!$CB51, Paramétrage!$D$29, AH114)))</f>
        <v/>
      </c>
      <c r="AP114" s="2170" t="str">
        <f>IF(ISERROR(AE114),"", IF(AE114=0, "", IF(AE114&gt;'Calculs Péremption conso'!$CB51, 'Calculs Péremption conso'!$BX51-Paramétrage!$D$29*(365/12), AI114)))</f>
        <v/>
      </c>
      <c r="AQ114" s="2171" t="str">
        <f>IF(ISERROR(AE114),"", IF(AE114=0, "", IF(AE114&gt;'Calculs Péremption conso'!$CB51, CONCATENATE('TRAD-Calculs dispo Données FA'!$B$88, " - ", 'Calculs Péremption conso'!$BY51, "/", 'Calculs Péremption conso'!$BZ51, "/", 'Calculs Péremption conso'!$CA51), AJ114)))</f>
        <v/>
      </c>
      <c r="AR114" s="2051"/>
      <c r="AS114" s="2061">
        <f>Calculs!$N306</f>
        <v>0</v>
      </c>
      <c r="AT114" s="2062">
        <f>Calculs!L361</f>
        <v>0</v>
      </c>
      <c r="AU114" s="2068">
        <f>Calculs!$N361</f>
        <v>0</v>
      </c>
      <c r="AV114" s="2070" t="str">
        <f>IF(AND(AU114=0, AS114=0, AT114=0), 'TRAD-Calculs dispo Données FA'!$B$82, "")</f>
        <v>Stock et besoin nul</v>
      </c>
      <c r="AW114" s="2062" t="str">
        <f>IF(AND(AU114=0, AS114&gt;0, AT114=0), CONCATENATE(AS114, 'TRAD-Calculs dispo Données FA'!$B$80," =0"), "")</f>
        <v/>
      </c>
      <c r="AX114" s="2063" t="str">
        <f>IF(AND(AS114=0, OR(AT114&gt;=1, AU114&gt;=1)), 'TRAD-Calculs dispo Données FA'!$B$81, "")</f>
        <v/>
      </c>
      <c r="AY114" s="2051"/>
      <c r="AZ114" s="2051"/>
      <c r="BA114" s="2051"/>
      <c r="BB114" s="2051"/>
      <c r="BC114" s="2051"/>
      <c r="BD114" s="2051"/>
      <c r="BE114" s="2051"/>
      <c r="BF114" s="2051"/>
      <c r="BG114" s="2051"/>
      <c r="BH114" s="2051"/>
      <c r="BI114" s="2051"/>
      <c r="BJ114" s="2051"/>
      <c r="BK114" s="2051"/>
      <c r="BL114" s="2051"/>
      <c r="BM114" s="2051"/>
      <c r="BN114" s="2051"/>
      <c r="BO114" s="2051"/>
      <c r="BP114" s="2051"/>
      <c r="BQ114" s="2051"/>
      <c r="BR114" s="2051"/>
      <c r="BS114" s="2051"/>
      <c r="BT114" s="2051"/>
    </row>
    <row r="115" spans="2:72" s="358" customFormat="1" ht="38.25" x14ac:dyDescent="0.2">
      <c r="C115" s="374"/>
      <c r="D115" s="407"/>
      <c r="E115" s="376" t="str">
        <f>'Saisie données stocks'!F64</f>
        <v>ABC</v>
      </c>
      <c r="F115" s="377" t="str">
        <f>'Saisie données stocks'!G64</f>
        <v>Sol buv</v>
      </c>
      <c r="G115" s="377" t="str">
        <f>'Saisie données stocks'!H64</f>
        <v>20 mg/mL</v>
      </c>
      <c r="H115" s="89" t="str">
        <f>CONCATENATE(E115, " - ", G115, " - ", 'TRAD-Calculs dispo Données FA'!$B$83,"/", K115, "mL")</f>
        <v>ABC - 20 mg/mL - Fl/240mL</v>
      </c>
      <c r="I115" s="378"/>
      <c r="J115" s="378"/>
      <c r="K115" s="114">
        <f>'Saisie données stocks'!L64</f>
        <v>240</v>
      </c>
      <c r="L115" s="308">
        <f>'Saisie données stocks'!M64</f>
        <v>1</v>
      </c>
      <c r="M115" s="1820">
        <f>Calculs!N307</f>
        <v>0</v>
      </c>
      <c r="N115" s="1820">
        <f>Calculs!$L$362</f>
        <v>0</v>
      </c>
      <c r="O115" s="1820">
        <f>Calculs!$N$362</f>
        <v>0</v>
      </c>
      <c r="P115"/>
      <c r="Q115" s="2161" t="e">
        <f>IF(Calculs!N362&gt;0, (-(Calculs!N362+2*Calculs!L362)+SQRT((Calculs!N362+2*Calculs!L362)*(Calculs!N362+2*Calculs!L362)+8*Calculs!N362*(M115)))/(2*Calculs!N362), ((M115)/Calculs!L362))</f>
        <v>#DIV/0!</v>
      </c>
      <c r="R115" s="2161" t="e">
        <f t="shared" si="19"/>
        <v>#DIV/0!</v>
      </c>
      <c r="S115" s="2162" t="e">
        <f>Q115-Paramétrage!D$29</f>
        <v>#DIV/0!</v>
      </c>
      <c r="T115" s="2163" t="e">
        <f>IF(Q115&lt;Paramétrage!D$29, Q115, Paramétrage!D$29)</f>
        <v>#DIV/0!</v>
      </c>
      <c r="U115" s="2164" t="e">
        <f>IF(Q115&lt;Paramétrage!D$29, Paramétrage!H$19+S115*(365/12), Paramétrage!H$19+S115*(365/12))</f>
        <v>#DIV/0!</v>
      </c>
      <c r="V115" s="2165" t="e">
        <f>IF(Q115&lt;Paramétrage!D$29, Paramétrage!H$19+T115*(365/12), Paramétrage!H$19+Q115*(365/12))</f>
        <v>#DIV/0!</v>
      </c>
      <c r="W115" s="2051"/>
      <c r="X115" s="2161" t="str">
        <f t="shared" si="20"/>
        <v/>
      </c>
      <c r="Y115" s="2166" t="str">
        <f t="shared" si="20"/>
        <v/>
      </c>
      <c r="Z115" s="2162" t="str">
        <f t="shared" si="21"/>
        <v/>
      </c>
      <c r="AA115" s="2167" t="str">
        <f t="shared" si="22"/>
        <v/>
      </c>
      <c r="AB115" s="2164" t="str">
        <f>IF(ISERROR(Q115),"", IF(Q115=0, "", IF(Q115&gt;'Calculs Péremption conso'!$CB52, 'Calculs Péremption conso'!$BX52-Paramétrage!$D$29*(365/12), U115)))</f>
        <v/>
      </c>
      <c r="AC115" s="2165" t="str">
        <f>IF(ISERROR(Q115), AW115, IF(Q115=0, "", IF(Q115&gt;'Calculs Péremption conso'!$CB52, IF(Q115&lt;'Saisie données stocks'!$N$14, CONCATENATE('TRAD-Calculs dispo Données FA'!$B$88, " - ", 'Calculs Péremption conso'!$BY52, "/", 'Calculs Péremption conso'!$BZ52, "/", 'Calculs Péremption conso'!$CA52), 'Calculs Péremption conso'!CC52), V115)))</f>
        <v/>
      </c>
      <c r="AD115" s="2051"/>
      <c r="AE115" s="2161" t="e">
        <f>(Calculs!N307)/Calculs!L362</f>
        <v>#DIV/0!</v>
      </c>
      <c r="AF115" s="2161" t="e">
        <f t="shared" si="23"/>
        <v>#DIV/0!</v>
      </c>
      <c r="AG115" s="2162" t="e">
        <f>AE115-Paramétrage!D$29</f>
        <v>#DIV/0!</v>
      </c>
      <c r="AH115" s="2163" t="e">
        <f>IF(AE115&lt;Paramétrage!D$29, AE115, Paramétrage!D$29)</f>
        <v>#DIV/0!</v>
      </c>
      <c r="AI115" s="2164" t="e">
        <f>Paramétrage!H$19+AG115*(365/12)</f>
        <v>#DIV/0!</v>
      </c>
      <c r="AJ115" s="2165" t="e">
        <f>IF(AE115&lt;Paramétrage!D$29, Paramétrage!H$19+AH115*(365/12), Paramétrage!H$19+AE115*(365/12))</f>
        <v>#DIV/0!</v>
      </c>
      <c r="AK115" s="2051"/>
      <c r="AL115" s="2161" t="str">
        <f>IF(ISERROR(AE115),"", IF(AE115=0, "", IF(AE115&gt;'Calculs Péremption conso'!$CB52, 'Calculs Péremption conso'!$CB52, AE115)))</f>
        <v/>
      </c>
      <c r="AM115" s="2166" t="str">
        <f t="shared" si="24"/>
        <v/>
      </c>
      <c r="AN115" s="2162" t="str">
        <f>IF(ISERROR(AE115),"", IF(AE115=0, "", IF(AE115&gt;'Calculs Péremption conso'!$CB52, 'Calculs Péremption conso'!$CB52-Paramétrage!$D$29, AG115)))</f>
        <v/>
      </c>
      <c r="AO115" s="2167" t="str">
        <f>IF(ISERROR(AE115),"", IF(AE115=0, "", IF(AE115&gt;'Calculs Péremption conso'!$CB52, Paramétrage!$D$29, AH115)))</f>
        <v/>
      </c>
      <c r="AP115" s="2164" t="str">
        <f>IF(ISERROR(AE115),"", IF(AE115=0, "", IF(AE115&gt;'Calculs Péremption conso'!$CB52, 'Calculs Péremption conso'!$BX52-Paramétrage!$D$29*(365/12), AI115)))</f>
        <v/>
      </c>
      <c r="AQ115" s="2165" t="str">
        <f>IF(ISERROR(AE115),"", IF(AE115=0, "", IF(AE115&gt;'Calculs Péremption conso'!$CB52, CONCATENATE('TRAD-Calculs dispo Données FA'!$B$88, " - ", 'Calculs Péremption conso'!$BY52, "/", 'Calculs Péremption conso'!$BZ52, "/", 'Calculs Péremption conso'!$CA52), AJ115)))</f>
        <v/>
      </c>
      <c r="AR115" s="2051"/>
      <c r="AS115" s="2061">
        <f>Calculs!$N307</f>
        <v>0</v>
      </c>
      <c r="AT115" s="2062">
        <f>Calculs!L362</f>
        <v>0</v>
      </c>
      <c r="AU115" s="2068">
        <f>Calculs!$N362</f>
        <v>0</v>
      </c>
      <c r="AV115" s="2070" t="str">
        <f>IF(AND(AU115=0, AS115=0, AT115=0), 'TRAD-Calculs dispo Données FA'!$B$82, "")</f>
        <v>Stock et besoin nul</v>
      </c>
      <c r="AW115" s="2062" t="str">
        <f>IF(AND(AU115=0, AS115&gt;0, AT115=0), CONCATENATE(AS115, 'TRAD-Calculs dispo Données FA'!$B$80," =0"), "")</f>
        <v/>
      </c>
      <c r="AX115" s="2063" t="str">
        <f>IF(AND(AS115=0, OR(AT115&gt;=1, AU115&gt;=1)), 'TRAD-Calculs dispo Données FA'!$B$81, "")</f>
        <v/>
      </c>
      <c r="AY115" s="2051"/>
      <c r="AZ115" s="2051"/>
      <c r="BA115" s="2051"/>
      <c r="BB115" s="2051"/>
      <c r="BC115" s="2051"/>
      <c r="BD115" s="2051"/>
      <c r="BE115" s="2051"/>
      <c r="BF115" s="2051"/>
      <c r="BG115" s="2051"/>
      <c r="BH115" s="2051"/>
      <c r="BI115" s="2051"/>
      <c r="BJ115" s="2051"/>
      <c r="BK115" s="2051"/>
      <c r="BL115" s="2051"/>
      <c r="BM115" s="2051"/>
      <c r="BN115" s="2051"/>
      <c r="BO115" s="2051"/>
      <c r="BP115" s="2051"/>
      <c r="BQ115" s="2051"/>
      <c r="BR115" s="2051"/>
      <c r="BS115" s="2051"/>
      <c r="BT115" s="2051"/>
    </row>
    <row r="116" spans="2:72" s="358" customFormat="1" ht="25.5" x14ac:dyDescent="0.2">
      <c r="C116" s="374"/>
      <c r="D116" s="389"/>
      <c r="E116" s="390" t="str">
        <f>'Saisie données stocks'!F65</f>
        <v>DDI</v>
      </c>
      <c r="F116" s="391" t="str">
        <f>'Saisie données stocks'!G65</f>
        <v>Poudre buvable</v>
      </c>
      <c r="G116" s="391" t="str">
        <f>'Saisie données stocks'!H65</f>
        <v>2 g</v>
      </c>
      <c r="H116" s="1643" t="str">
        <f>CONCATENATE(E116, " - ", G116, " - ", 'TRAD-Calculs dispo Données FA'!$B$83,"/", K116, "mL")</f>
        <v>DDI - 2 g - Fl/200mL</v>
      </c>
      <c r="I116" s="401"/>
      <c r="J116" s="401"/>
      <c r="K116" s="116">
        <f>'Saisie données stocks'!L65</f>
        <v>200</v>
      </c>
      <c r="L116" s="311">
        <f>'Saisie données stocks'!M65</f>
        <v>1</v>
      </c>
      <c r="M116" s="1822">
        <f>Calculs!N308</f>
        <v>0</v>
      </c>
      <c r="N116" s="1822">
        <f>Calculs!$L$363</f>
        <v>0</v>
      </c>
      <c r="O116" s="1822">
        <f>Calculs!$N$363</f>
        <v>0</v>
      </c>
      <c r="P116"/>
      <c r="Q116" s="2175" t="e">
        <f>IF(Calculs!N363&gt;0, (-(Calculs!N363+2*Calculs!L363)+SQRT((Calculs!N363+2*Calculs!L363)*(Calculs!N363+2*Calculs!L363)+8*Calculs!N363*(M116)))/(2*Calculs!N363), ((M116)/Calculs!L363))</f>
        <v>#DIV/0!</v>
      </c>
      <c r="R116" s="2175" t="e">
        <f t="shared" si="19"/>
        <v>#DIV/0!</v>
      </c>
      <c r="S116" s="2181" t="e">
        <f>Q116-Paramétrage!D$29</f>
        <v>#DIV/0!</v>
      </c>
      <c r="T116" s="2177" t="e">
        <f>IF(Q116&lt;Paramétrage!D$29, Q116, Paramétrage!D$29)</f>
        <v>#DIV/0!</v>
      </c>
      <c r="U116" s="2178" t="e">
        <f>IF(Q116&lt;Paramétrage!D$29, Paramétrage!H$19+S116*(365/12), Paramétrage!H$19+S116*(365/12))</f>
        <v>#DIV/0!</v>
      </c>
      <c r="V116" s="2179" t="e">
        <f>IF(Q116&lt;Paramétrage!D$29, Paramétrage!H$19+T116*(365/12), Paramétrage!H$19+Q116*(365/12))</f>
        <v>#DIV/0!</v>
      </c>
      <c r="W116" s="2051"/>
      <c r="X116" s="2175" t="str">
        <f t="shared" si="20"/>
        <v/>
      </c>
      <c r="Y116" s="2180" t="str">
        <f t="shared" si="20"/>
        <v/>
      </c>
      <c r="Z116" s="2181" t="str">
        <f t="shared" si="21"/>
        <v/>
      </c>
      <c r="AA116" s="2182" t="str">
        <f t="shared" si="22"/>
        <v/>
      </c>
      <c r="AB116" s="2178" t="str">
        <f>IF(ISERROR(Q116),"", IF(Q116=0, "", IF(Q116&gt;'Calculs Péremption conso'!$CB53, 'Calculs Péremption conso'!$BX53-Paramétrage!$D$29*(365/12), U116)))</f>
        <v/>
      </c>
      <c r="AC116" s="2179" t="str">
        <f>IF(ISERROR(Q116), AW116, IF(Q116=0, "", IF(Q116&gt;'Calculs Péremption conso'!$CB53, IF(Q116&lt;'Saisie données stocks'!$N$14, CONCATENATE('TRAD-Calculs dispo Données FA'!$B$88, " - ", 'Calculs Péremption conso'!$BY53, "/", 'Calculs Péremption conso'!$BZ53, "/", 'Calculs Péremption conso'!$CA53), 'Calculs Péremption conso'!CC53), V116)))</f>
        <v/>
      </c>
      <c r="AD116" s="2051"/>
      <c r="AE116" s="2175" t="e">
        <f>(Calculs!N308)/Calculs!L363</f>
        <v>#DIV/0!</v>
      </c>
      <c r="AF116" s="2175" t="e">
        <f t="shared" si="23"/>
        <v>#DIV/0!</v>
      </c>
      <c r="AG116" s="2181" t="e">
        <f>AE116-Paramétrage!D$29</f>
        <v>#DIV/0!</v>
      </c>
      <c r="AH116" s="2177" t="e">
        <f>IF(AE116&lt;Paramétrage!D$29, AE116, Paramétrage!D$29)</f>
        <v>#DIV/0!</v>
      </c>
      <c r="AI116" s="2178" t="e">
        <f>Paramétrage!H$19+AG116*(365/12)</f>
        <v>#DIV/0!</v>
      </c>
      <c r="AJ116" s="2179" t="e">
        <f>IF(AE116&lt;Paramétrage!D$29, Paramétrage!H$19+AH116*(365/12), Paramétrage!H$19+AE116*(365/12))</f>
        <v>#DIV/0!</v>
      </c>
      <c r="AK116" s="2051"/>
      <c r="AL116" s="2175" t="str">
        <f>IF(ISERROR(AE116),"", IF(AE116=0, "", IF(AE116&gt;'Calculs Péremption conso'!$CB53, 'Calculs Péremption conso'!$CB53, AE116)))</f>
        <v/>
      </c>
      <c r="AM116" s="2180" t="str">
        <f t="shared" si="24"/>
        <v/>
      </c>
      <c r="AN116" s="2181" t="str">
        <f>IF(ISERROR(AE116),"", IF(AE116=0, "", IF(AE116&gt;'Calculs Péremption conso'!$CB53, 'Calculs Péremption conso'!$CB53-Paramétrage!$D$29, AG116)))</f>
        <v/>
      </c>
      <c r="AO116" s="2182" t="str">
        <f>IF(ISERROR(AE116),"", IF(AE116=0, "", IF(AE116&gt;'Calculs Péremption conso'!$CB53, Paramétrage!$D$29, AH116)))</f>
        <v/>
      </c>
      <c r="AP116" s="2178" t="str">
        <f>IF(ISERROR(AE116),"", IF(AE116=0, "", IF(AE116&gt;'Calculs Péremption conso'!$CB53, 'Calculs Péremption conso'!$BX53-Paramétrage!$D$29*(365/12), AI116)))</f>
        <v/>
      </c>
      <c r="AQ116" s="2179" t="str">
        <f>IF(ISERROR(AE116),"", IF(AE116=0, "", IF(AE116&gt;'Calculs Péremption conso'!$CB53, CONCATENATE('TRAD-Calculs dispo Données FA'!$B$88, " - ", 'Calculs Péremption conso'!$BY53, "/", 'Calculs Péremption conso'!$BZ53, "/", 'Calculs Péremption conso'!$CA53), AJ116)))</f>
        <v/>
      </c>
      <c r="AR116" s="2051"/>
      <c r="AS116" s="2061">
        <f>Calculs!$N308</f>
        <v>0</v>
      </c>
      <c r="AT116" s="2062">
        <f>Calculs!L363</f>
        <v>0</v>
      </c>
      <c r="AU116" s="2068">
        <f>Calculs!$N363</f>
        <v>0</v>
      </c>
      <c r="AV116" s="2070" t="str">
        <f>IF(AND(AU116=0, AS116=0, AT116=0), 'TRAD-Calculs dispo Données FA'!$B$82, "")</f>
        <v>Stock et besoin nul</v>
      </c>
      <c r="AW116" s="2062" t="str">
        <f>IF(AND(AU116=0, AS116&gt;0, AT116=0), CONCATENATE(AS116, 'TRAD-Calculs dispo Données FA'!$B$80," =0"), "")</f>
        <v/>
      </c>
      <c r="AX116" s="2063" t="str">
        <f>IF(AND(AS116=0, OR(AT116&gt;=1, AU116&gt;=1)), 'TRAD-Calculs dispo Données FA'!$B$81, "")</f>
        <v/>
      </c>
      <c r="AY116" s="2051"/>
      <c r="AZ116" s="2051"/>
      <c r="BA116" s="2051"/>
      <c r="BB116" s="2051"/>
      <c r="BC116" s="2051"/>
      <c r="BD116" s="2051"/>
      <c r="BE116" s="2051"/>
      <c r="BF116" s="2051"/>
      <c r="BG116" s="2051"/>
      <c r="BH116" s="2051"/>
      <c r="BI116" s="2051"/>
      <c r="BJ116" s="2051"/>
      <c r="BK116" s="2051"/>
      <c r="BL116" s="2051"/>
      <c r="BM116" s="2051"/>
      <c r="BN116" s="2051"/>
      <c r="BO116" s="2051"/>
      <c r="BP116" s="2051"/>
      <c r="BQ116" s="2051"/>
      <c r="BR116" s="2051"/>
      <c r="BS116" s="2051"/>
      <c r="BT116" s="2051"/>
    </row>
    <row r="117" spans="2:72" s="358" customFormat="1" ht="38.25" x14ac:dyDescent="0.2">
      <c r="C117" s="374"/>
      <c r="D117" s="375" t="s">
        <v>26</v>
      </c>
      <c r="E117" s="376" t="str">
        <f>'Saisie données stocks'!F66</f>
        <v>NVP</v>
      </c>
      <c r="F117" s="377" t="str">
        <f>'Saisie données stocks'!G66</f>
        <v>Sol buv</v>
      </c>
      <c r="G117" s="377" t="str">
        <f>'Saisie données stocks'!H66</f>
        <v>10 mg/mL</v>
      </c>
      <c r="H117" s="89" t="str">
        <f>CONCATENATE(E117, " - ", G117, " - ", 'TRAD-Calculs dispo Données FA'!$B$83,"/", K117, "mL")</f>
        <v>NVP - 10 mg/mL - Fl/240mL</v>
      </c>
      <c r="I117" s="378"/>
      <c r="J117" s="378"/>
      <c r="K117" s="114">
        <f>'Saisie données stocks'!L66</f>
        <v>240</v>
      </c>
      <c r="L117" s="308">
        <f>'Saisie données stocks'!M66</f>
        <v>1</v>
      </c>
      <c r="M117" s="1820">
        <f>Calculs!N309</f>
        <v>0</v>
      </c>
      <c r="N117" s="1820">
        <f>Calculs!$L$364</f>
        <v>830</v>
      </c>
      <c r="O117" s="1820">
        <f>Calculs!$N$364</f>
        <v>0</v>
      </c>
      <c r="P117"/>
      <c r="Q117" s="2161">
        <f>IF(Calculs!N364&gt;0, (-(Calculs!N364+2*Calculs!L364)+SQRT((Calculs!N364+2*Calculs!L364)*(Calculs!N364+2*Calculs!L364)+8*Calculs!N364*(M117)))/(2*Calculs!N364), ((M117)/Calculs!L364))</f>
        <v>0</v>
      </c>
      <c r="R117" s="2161">
        <f t="shared" si="19"/>
        <v>0</v>
      </c>
      <c r="S117" s="2162">
        <f>Q117-Paramétrage!D$29</f>
        <v>-3</v>
      </c>
      <c r="T117" s="2163">
        <f>IF(Q117&lt;Paramétrage!D$29, Q117, Paramétrage!D$29)</f>
        <v>0</v>
      </c>
      <c r="U117" s="2164">
        <f>IF(Q117&lt;Paramétrage!D$29, Paramétrage!H$19+S117*(365/12), Paramétrage!H$19+S117*(365/12))</f>
        <v>41827.75</v>
      </c>
      <c r="V117" s="2165">
        <f>IF(Q117&lt;Paramétrage!D$29, Paramétrage!H$19+T117*(365/12), Paramétrage!H$19+Q117*(365/12))</f>
        <v>41919</v>
      </c>
      <c r="W117" s="2051"/>
      <c r="X117" s="2161" t="str">
        <f t="shared" si="20"/>
        <v/>
      </c>
      <c r="Y117" s="2166" t="str">
        <f t="shared" si="20"/>
        <v/>
      </c>
      <c r="Z117" s="2162" t="str">
        <f t="shared" si="21"/>
        <v/>
      </c>
      <c r="AA117" s="2167" t="str">
        <f t="shared" si="22"/>
        <v/>
      </c>
      <c r="AB117" s="2164" t="str">
        <f>IF(ISERROR(Q117),"", IF(Q117=0, "", IF(Q117&gt;'Calculs Péremption conso'!$CB54, 'Calculs Péremption conso'!$BX54-Paramétrage!$D$29*(365/12), U117)))</f>
        <v/>
      </c>
      <c r="AC117" s="2165" t="str">
        <f>IF(ISERROR(Q117), AW117, IF(Q117=0, "", IF(Q117&gt;'Calculs Péremption conso'!$CB54, IF(Q117&lt;'Saisie données stocks'!$N$14, CONCATENATE('TRAD-Calculs dispo Données FA'!$B$88, " - ", 'Calculs Péremption conso'!$BY54, "/", 'Calculs Péremption conso'!$BZ54, "/", 'Calculs Péremption conso'!$CA54), 'Calculs Péremption conso'!CC54), V117)))</f>
        <v/>
      </c>
      <c r="AD117" s="2051"/>
      <c r="AE117" s="2161">
        <f>(Calculs!N309)/Calculs!L364</f>
        <v>0</v>
      </c>
      <c r="AF117" s="2161">
        <f t="shared" si="23"/>
        <v>0</v>
      </c>
      <c r="AG117" s="2162">
        <f>AE117-Paramétrage!D$29</f>
        <v>-3</v>
      </c>
      <c r="AH117" s="2163">
        <f>IF(AE117&lt;Paramétrage!D$29, AE117, Paramétrage!D$29)</f>
        <v>0</v>
      </c>
      <c r="AI117" s="2164">
        <f>Paramétrage!H$19+AG117*(365/12)</f>
        <v>41827.75</v>
      </c>
      <c r="AJ117" s="2165">
        <f>IF(AE117&lt;Paramétrage!D$29, Paramétrage!H$19+AH117*(365/12), Paramétrage!H$19+AE117*(365/12))</f>
        <v>41919</v>
      </c>
      <c r="AK117" s="2051"/>
      <c r="AL117" s="2161" t="str">
        <f>IF(ISERROR(AE117),"", IF(AE117=0, "", IF(AE117&gt;'Calculs Péremption conso'!$CB54, 'Calculs Péremption conso'!$CB54, AE117)))</f>
        <v/>
      </c>
      <c r="AM117" s="2166" t="str">
        <f t="shared" si="24"/>
        <v/>
      </c>
      <c r="AN117" s="2162" t="str">
        <f>IF(ISERROR(AE117),"", IF(AE117=0, "", IF(AE117&gt;'Calculs Péremption conso'!$CB54, 'Calculs Péremption conso'!$CB54-Paramétrage!$D$29, AG117)))</f>
        <v/>
      </c>
      <c r="AO117" s="2167" t="str">
        <f>IF(ISERROR(AE117),"", IF(AE117=0, "", IF(AE117&gt;'Calculs Péremption conso'!$CB54, Paramétrage!$D$29, AH117)))</f>
        <v/>
      </c>
      <c r="AP117" s="2164" t="str">
        <f>IF(ISERROR(AE117),"", IF(AE117=0, "", IF(AE117&gt;'Calculs Péremption conso'!$CB54, 'Calculs Péremption conso'!$BX54-Paramétrage!$D$29*(365/12), AI117)))</f>
        <v/>
      </c>
      <c r="AQ117" s="2165" t="str">
        <f>IF(ISERROR(AE117),"", IF(AE117=0, "", IF(AE117&gt;'Calculs Péremption conso'!$CB54, CONCATENATE('TRAD-Calculs dispo Données FA'!$B$88, " - ", 'Calculs Péremption conso'!$BY54, "/", 'Calculs Péremption conso'!$BZ54, "/", 'Calculs Péremption conso'!$CA54), AJ117)))</f>
        <v/>
      </c>
      <c r="AR117" s="2051"/>
      <c r="AS117" s="2061">
        <f>Calculs!$N309</f>
        <v>0</v>
      </c>
      <c r="AT117" s="2062">
        <f>Calculs!L364</f>
        <v>830</v>
      </c>
      <c r="AU117" s="2068">
        <f>Calculs!$N364</f>
        <v>0</v>
      </c>
      <c r="AV117" s="2070" t="str">
        <f>IF(AND(AU117=0, AS117=0, AT117=0), 'TRAD-Calculs dispo Données FA'!$B$82, "")</f>
        <v/>
      </c>
      <c r="AW117" s="2062" t="str">
        <f>IF(AND(AU117=0, AS117&gt;0, AT117=0), CONCATENATE(AS117, 'TRAD-Calculs dispo Données FA'!$B$80," =0"), "")</f>
        <v/>
      </c>
      <c r="AX117" s="2063" t="str">
        <f>IF(AND(AS117=0, OR(AT117&gt;=1, AU117&gt;=1)), 'TRAD-Calculs dispo Données FA'!$B$81, "")</f>
        <v>RUPTURE</v>
      </c>
      <c r="AY117" s="2051"/>
      <c r="AZ117" s="2051"/>
      <c r="BA117" s="2051"/>
      <c r="BB117" s="2051"/>
      <c r="BC117" s="2051"/>
      <c r="BD117" s="2051"/>
      <c r="BE117" s="2051"/>
      <c r="BF117" s="2051"/>
      <c r="BG117" s="2051"/>
      <c r="BH117" s="2051"/>
      <c r="BI117" s="2051"/>
      <c r="BJ117" s="2051"/>
      <c r="BK117" s="2051"/>
      <c r="BL117" s="2051"/>
      <c r="BM117" s="2051"/>
      <c r="BN117" s="2051"/>
      <c r="BO117" s="2051"/>
      <c r="BP117" s="2051"/>
      <c r="BQ117" s="2051"/>
      <c r="BR117" s="2051"/>
      <c r="BS117" s="2051"/>
      <c r="BT117" s="2051"/>
    </row>
    <row r="118" spans="2:72" s="358" customFormat="1" ht="38.25" x14ac:dyDescent="0.2">
      <c r="C118" s="374"/>
      <c r="D118" s="389"/>
      <c r="E118" s="390" t="str">
        <f>'Saisie données stocks'!F67</f>
        <v>EFV</v>
      </c>
      <c r="F118" s="391" t="str">
        <f>'Saisie données stocks'!G67</f>
        <v>Sol buv</v>
      </c>
      <c r="G118" s="391" t="str">
        <f>'Saisie données stocks'!H67</f>
        <v>30 mg/mL</v>
      </c>
      <c r="H118" s="1643" t="str">
        <f>CONCATENATE(E118, " - ", G118, " - ", 'TRAD-Calculs dispo Données FA'!$B$83,"/", K118, "mL")</f>
        <v>EFV - 30 mg/mL - Fl/180mL</v>
      </c>
      <c r="I118" s="401"/>
      <c r="J118" s="401"/>
      <c r="K118" s="116">
        <f>'Saisie données stocks'!L67</f>
        <v>180</v>
      </c>
      <c r="L118" s="311">
        <f>'Saisie données stocks'!M67</f>
        <v>1</v>
      </c>
      <c r="M118" s="1822">
        <f>Calculs!N310</f>
        <v>0</v>
      </c>
      <c r="N118" s="1822">
        <f>Calculs!$L$365</f>
        <v>0</v>
      </c>
      <c r="O118" s="1822">
        <f>Calculs!$N$365</f>
        <v>0</v>
      </c>
      <c r="P118"/>
      <c r="Q118" s="2175" t="e">
        <f>IF(Calculs!N365&gt;0, (-(Calculs!N365+2*Calculs!L365)+SQRT((Calculs!N365+2*Calculs!L365)*(Calculs!N365+2*Calculs!L365)+8*Calculs!N365*(M118)))/(2*Calculs!N365), ((M118)/Calculs!L365))</f>
        <v>#DIV/0!</v>
      </c>
      <c r="R118" s="2175" t="e">
        <f t="shared" si="19"/>
        <v>#DIV/0!</v>
      </c>
      <c r="S118" s="2181" t="e">
        <f>Q118-Paramétrage!D$29</f>
        <v>#DIV/0!</v>
      </c>
      <c r="T118" s="2177" t="e">
        <f>IF(Q118&lt;Paramétrage!D$29, Q118, Paramétrage!D$29)</f>
        <v>#DIV/0!</v>
      </c>
      <c r="U118" s="2178" t="e">
        <f>IF(Q118&lt;Paramétrage!D$29, Paramétrage!H$19+S118*(365/12), Paramétrage!H$19+S118*(365/12))</f>
        <v>#DIV/0!</v>
      </c>
      <c r="V118" s="2179" t="e">
        <f>IF(Q118&lt;Paramétrage!D$29, Paramétrage!H$19+T118*(365/12), Paramétrage!H$19+Q118*(365/12))</f>
        <v>#DIV/0!</v>
      </c>
      <c r="W118" s="2051"/>
      <c r="X118" s="2175" t="str">
        <f t="shared" si="20"/>
        <v/>
      </c>
      <c r="Y118" s="2180" t="str">
        <f t="shared" si="20"/>
        <v/>
      </c>
      <c r="Z118" s="2181" t="str">
        <f t="shared" si="21"/>
        <v/>
      </c>
      <c r="AA118" s="2182" t="str">
        <f t="shared" si="22"/>
        <v/>
      </c>
      <c r="AB118" s="2178" t="str">
        <f>IF(ISERROR(Q118),"", IF(Q118=0, "", IF(Q118&gt;'Calculs Péremption conso'!$CB55, 'Calculs Péremption conso'!$BX55-Paramétrage!$D$29*(365/12), U118)))</f>
        <v/>
      </c>
      <c r="AC118" s="2179" t="str">
        <f>IF(ISERROR(Q118), AW118, IF(Q118=0, "", IF(Q118&gt;'Calculs Péremption conso'!$CB55, IF(Q118&lt;'Saisie données stocks'!$N$14, CONCATENATE('TRAD-Calculs dispo Données FA'!$B$88, " - ", 'Calculs Péremption conso'!$BY55, "/", 'Calculs Péremption conso'!$BZ55, "/", 'Calculs Péremption conso'!$CA55), 'Calculs Péremption conso'!CC55), V118)))</f>
        <v/>
      </c>
      <c r="AD118" s="2051"/>
      <c r="AE118" s="2175" t="e">
        <f>(Calculs!N310)/Calculs!L365</f>
        <v>#DIV/0!</v>
      </c>
      <c r="AF118" s="2175" t="e">
        <f t="shared" si="23"/>
        <v>#DIV/0!</v>
      </c>
      <c r="AG118" s="2181" t="e">
        <f>AE118-Paramétrage!D$29</f>
        <v>#DIV/0!</v>
      </c>
      <c r="AH118" s="2177" t="e">
        <f>IF(AE118&lt;Paramétrage!D$29, AE118, Paramétrage!D$29)</f>
        <v>#DIV/0!</v>
      </c>
      <c r="AI118" s="2178" t="e">
        <f>Paramétrage!H$19+AG118*(365/12)</f>
        <v>#DIV/0!</v>
      </c>
      <c r="AJ118" s="2179" t="e">
        <f>IF(AE118&lt;Paramétrage!D$29, Paramétrage!H$19+AH118*(365/12), Paramétrage!H$19+AE118*(365/12))</f>
        <v>#DIV/0!</v>
      </c>
      <c r="AK118" s="2051"/>
      <c r="AL118" s="2175" t="str">
        <f>IF(ISERROR(AE118),"", IF(AE118=0, "", IF(AE118&gt;'Calculs Péremption conso'!$CB55, 'Calculs Péremption conso'!$CB55, AE118)))</f>
        <v/>
      </c>
      <c r="AM118" s="2180" t="str">
        <f t="shared" si="24"/>
        <v/>
      </c>
      <c r="AN118" s="2181" t="str">
        <f>IF(ISERROR(AE118),"", IF(AE118=0, "", IF(AE118&gt;'Calculs Péremption conso'!$CB55, 'Calculs Péremption conso'!$CB55-Paramétrage!$D$29, AG118)))</f>
        <v/>
      </c>
      <c r="AO118" s="2182" t="str">
        <f>IF(ISERROR(AE118),"", IF(AE118=0, "", IF(AE118&gt;'Calculs Péremption conso'!$CB55, Paramétrage!$D$29, AH118)))</f>
        <v/>
      </c>
      <c r="AP118" s="2178" t="str">
        <f>IF(ISERROR(AE118),"", IF(AE118=0, "", IF(AE118&gt;'Calculs Péremption conso'!$CB55, 'Calculs Péremption conso'!$BX55-Paramétrage!$D$29*(365/12), AI118)))</f>
        <v/>
      </c>
      <c r="AQ118" s="2179" t="str">
        <f>IF(ISERROR(AE118),"", IF(AE118=0, "", IF(AE118&gt;'Calculs Péremption conso'!$CB55, CONCATENATE('TRAD-Calculs dispo Données FA'!$B$88, " - ", 'Calculs Péremption conso'!$BY55, "/", 'Calculs Péremption conso'!$BZ55, "/", 'Calculs Péremption conso'!$CA55), AJ118)))</f>
        <v/>
      </c>
      <c r="AR118" s="2051"/>
      <c r="AS118" s="2061">
        <f>Calculs!$N310</f>
        <v>0</v>
      </c>
      <c r="AT118" s="2062">
        <f>Calculs!L365</f>
        <v>0</v>
      </c>
      <c r="AU118" s="2068">
        <f>Calculs!$N365</f>
        <v>0</v>
      </c>
      <c r="AV118" s="2070" t="str">
        <f>IF(AND(AU118=0, AS118=0, AT118=0), 'TRAD-Calculs dispo Données FA'!$B$82, "")</f>
        <v>Stock et besoin nul</v>
      </c>
      <c r="AW118" s="2062" t="str">
        <f>IF(AND(AU118=0, AS118&gt;0, AT118=0), CONCATENATE(AS118, 'TRAD-Calculs dispo Données FA'!$B$80," =0"), "")</f>
        <v/>
      </c>
      <c r="AX118" s="2063" t="str">
        <f>IF(AND(AS118=0, OR(AT118&gt;=1, AU118&gt;=1)), 'TRAD-Calculs dispo Données FA'!$B$81, "")</f>
        <v/>
      </c>
      <c r="AY118" s="2051"/>
      <c r="AZ118" s="2051"/>
      <c r="BA118" s="2051"/>
      <c r="BB118" s="2051"/>
      <c r="BC118" s="2051"/>
      <c r="BD118" s="2051"/>
      <c r="BE118" s="2051"/>
      <c r="BF118" s="2051"/>
      <c r="BG118" s="2051"/>
      <c r="BH118" s="2051"/>
      <c r="BI118" s="2051"/>
      <c r="BJ118" s="2051"/>
      <c r="BK118" s="2051"/>
      <c r="BL118" s="2051"/>
      <c r="BM118" s="2051"/>
      <c r="BN118" s="2051"/>
      <c r="BO118" s="2051"/>
      <c r="BP118" s="2051"/>
      <c r="BQ118" s="2051"/>
      <c r="BR118" s="2051"/>
      <c r="BS118" s="2051"/>
      <c r="BT118" s="2051"/>
    </row>
    <row r="119" spans="2:72" s="358" customFormat="1" ht="51.75" thickBot="1" x14ac:dyDescent="0.25">
      <c r="C119" s="404"/>
      <c r="D119" s="408" t="s">
        <v>41</v>
      </c>
      <c r="E119" s="409" t="str">
        <f>'Saisie données stocks'!F68</f>
        <v>LPV/r</v>
      </c>
      <c r="F119" s="410" t="str">
        <f>'Saisie données stocks'!G68</f>
        <v>Sol buv</v>
      </c>
      <c r="G119" s="410" t="str">
        <f>'Saisie données stocks'!H68</f>
        <v>80/20 mg/mL</v>
      </c>
      <c r="H119" s="107" t="str">
        <f>CONCATENATE(E119, " - ", G119, " - ", 'TRAD-Calculs dispo Données FA'!$B$83,"/", K119, "mL")</f>
        <v>LPV/r - 80/20 mg/mL - Fl/60mL</v>
      </c>
      <c r="I119" s="411"/>
      <c r="J119" s="411"/>
      <c r="K119" s="312">
        <f>'Saisie données stocks'!L68</f>
        <v>60</v>
      </c>
      <c r="L119" s="313">
        <f>'Saisie données stocks'!M68</f>
        <v>4</v>
      </c>
      <c r="M119" s="1825">
        <f>Calculs!N311</f>
        <v>0</v>
      </c>
      <c r="N119" s="1825">
        <f>Calculs!$L$366</f>
        <v>61</v>
      </c>
      <c r="O119" s="1825">
        <f>Calculs!$N$366</f>
        <v>0</v>
      </c>
      <c r="P119"/>
      <c r="Q119" s="2198">
        <f>IF(Calculs!N366&gt;0, (-(Calculs!N366+2*Calculs!L366)+SQRT((Calculs!N366+2*Calculs!L366)*(Calculs!N366+2*Calculs!L366)+8*Calculs!N366*(M119)))/(2*Calculs!N366), ((M119)/Calculs!L366))</f>
        <v>0</v>
      </c>
      <c r="R119" s="2198">
        <f t="shared" si="19"/>
        <v>0</v>
      </c>
      <c r="S119" s="2199">
        <f>Q119-Paramétrage!D$29</f>
        <v>-3</v>
      </c>
      <c r="T119" s="2200">
        <f>IF(Q119&lt;Paramétrage!D$29, Q119, Paramétrage!D$29)</f>
        <v>0</v>
      </c>
      <c r="U119" s="2201">
        <f>IF(Q119&lt;Paramétrage!D$29, Paramétrage!H$19+S119*(365/12), Paramétrage!H$19+S119*(365/12))</f>
        <v>41827.75</v>
      </c>
      <c r="V119" s="2202">
        <f>IF(Q119&lt;Paramétrage!D$29, Paramétrage!H$19+T119*(365/12), Paramétrage!H$19+Q119*(365/12))</f>
        <v>41919</v>
      </c>
      <c r="W119" s="2051"/>
      <c r="X119" s="2198" t="str">
        <f t="shared" si="20"/>
        <v/>
      </c>
      <c r="Y119" s="2203" t="str">
        <f t="shared" si="20"/>
        <v/>
      </c>
      <c r="Z119" s="2199" t="str">
        <f t="shared" si="21"/>
        <v/>
      </c>
      <c r="AA119" s="2204" t="str">
        <f t="shared" si="22"/>
        <v/>
      </c>
      <c r="AB119" s="2201" t="str">
        <f>IF(ISERROR(Q119),"", IF(Q119=0, "", IF(Q119&gt;'Calculs Péremption conso'!$CB56, 'Calculs Péremption conso'!$BX56-Paramétrage!$D$29*(365/12), U119)))</f>
        <v/>
      </c>
      <c r="AC119" s="2202" t="str">
        <f>IF(ISERROR(Q119), AW119, IF(Q119=0, "", IF(Q119&gt;'Calculs Péremption conso'!$CB56, IF(Q119&lt;'Saisie données stocks'!$N$14, CONCATENATE('TRAD-Calculs dispo Données FA'!$B$88, " - ", 'Calculs Péremption conso'!$BY56, "/", 'Calculs Péremption conso'!$BZ56, "/", 'Calculs Péremption conso'!$CA56), 'Calculs Péremption conso'!CC56), V119)))</f>
        <v/>
      </c>
      <c r="AD119" s="2051"/>
      <c r="AE119" s="2198">
        <f>(Calculs!N311)/Calculs!L366</f>
        <v>0</v>
      </c>
      <c r="AF119" s="2198">
        <f t="shared" si="23"/>
        <v>0</v>
      </c>
      <c r="AG119" s="2199">
        <f>AE119-Paramétrage!D$29</f>
        <v>-3</v>
      </c>
      <c r="AH119" s="2200">
        <f>IF(AE119&lt;Paramétrage!D$29, AE119, Paramétrage!D$29)</f>
        <v>0</v>
      </c>
      <c r="AI119" s="2201">
        <f>Paramétrage!H$19+AG119*(365/12)</f>
        <v>41827.75</v>
      </c>
      <c r="AJ119" s="2202">
        <f>IF(AE119&lt;Paramétrage!D$29, Paramétrage!H$19+AH119*(365/12), Paramétrage!H$19+AE119*(365/12))</f>
        <v>41919</v>
      </c>
      <c r="AK119" s="2051"/>
      <c r="AL119" s="2198" t="str">
        <f>IF(ISERROR(AE119),"", IF(AE119=0, "", IF(AE119&gt;'Calculs Péremption conso'!$CB56, 'Calculs Péremption conso'!$CB56, AE119)))</f>
        <v/>
      </c>
      <c r="AM119" s="2203" t="str">
        <f t="shared" si="24"/>
        <v/>
      </c>
      <c r="AN119" s="2199" t="str">
        <f>IF(ISERROR(AE119),"", IF(AE119=0, "", IF(AE119&gt;'Calculs Péremption conso'!$CB56, 'Calculs Péremption conso'!$CB56-Paramétrage!$D$29, AG119)))</f>
        <v/>
      </c>
      <c r="AO119" s="2204" t="str">
        <f>IF(ISERROR(AE119),"", IF(AE119=0, "", IF(AE119&gt;'Calculs Péremption conso'!$CB56, Paramétrage!$D$29, AH119)))</f>
        <v/>
      </c>
      <c r="AP119" s="2201" t="str">
        <f>IF(ISERROR(AE119),"", IF(AE119=0, "", IF(AE119&gt;'Calculs Péremption conso'!$CB56, 'Calculs Péremption conso'!$BX56-Paramétrage!$D$29*(365/12), AI119)))</f>
        <v/>
      </c>
      <c r="AQ119" s="2202" t="str">
        <f>IF(ISERROR(AE119),"", IF(AE119=0, "", IF(AE119&gt;'Calculs Péremption conso'!$CB56, CONCATENATE('TRAD-Calculs dispo Données FA'!$B$88, " - ", 'Calculs Péremption conso'!$BY56, "/", 'Calculs Péremption conso'!$BZ56, "/", 'Calculs Péremption conso'!$CA56), AJ119)))</f>
        <v/>
      </c>
      <c r="AR119" s="2051"/>
      <c r="AS119" s="2064">
        <f>Calculs!$N311</f>
        <v>0</v>
      </c>
      <c r="AT119" s="2065">
        <f>Calculs!L366</f>
        <v>61</v>
      </c>
      <c r="AU119" s="2069">
        <f>Calculs!$N366</f>
        <v>0</v>
      </c>
      <c r="AV119" s="2071" t="str">
        <f>IF(AND(AU119=0, AS119=0, AT119=0), 'TRAD-Calculs dispo Données FA'!$B$82, "")</f>
        <v/>
      </c>
      <c r="AW119" s="2065" t="str">
        <f>IF(AND(AU119=0, AS119&gt;0, AT119=0), CONCATENATE(AS119, 'TRAD-Calculs dispo Données FA'!$B$80," =0"), "")</f>
        <v/>
      </c>
      <c r="AX119" s="2066" t="str">
        <f>IF(AND(AS119=0, OR(AT119&gt;=1, AU119&gt;=1)), 'TRAD-Calculs dispo Données FA'!$B$81, "")</f>
        <v>RUPTURE</v>
      </c>
      <c r="AY119" s="2051"/>
      <c r="AZ119" s="2051"/>
      <c r="BA119" s="2051"/>
      <c r="BB119" s="2051"/>
      <c r="BC119" s="2051"/>
      <c r="BD119" s="2051"/>
      <c r="BE119" s="2051"/>
      <c r="BF119" s="2051"/>
      <c r="BG119" s="2051"/>
      <c r="BH119" s="2051"/>
      <c r="BI119" s="2051"/>
      <c r="BJ119" s="2051"/>
      <c r="BK119" s="2051"/>
      <c r="BL119" s="2051"/>
      <c r="BM119" s="2051"/>
      <c r="BN119" s="2051"/>
      <c r="BO119" s="2051"/>
      <c r="BP119" s="2051"/>
      <c r="BQ119" s="2051"/>
      <c r="BR119" s="2051"/>
      <c r="BS119" s="2051"/>
      <c r="BT119" s="2051"/>
    </row>
    <row r="120" spans="2:72" s="356" customFormat="1" x14ac:dyDescent="0.2">
      <c r="M120" s="355"/>
      <c r="N120" s="355"/>
      <c r="O120" s="355"/>
      <c r="P120"/>
      <c r="Q120" s="2142"/>
      <c r="R120" s="578"/>
      <c r="S120" s="578"/>
      <c r="T120" s="2143"/>
      <c r="U120" s="2150"/>
      <c r="V120" s="578"/>
      <c r="W120" s="578"/>
      <c r="X120" s="578"/>
      <c r="Y120" s="578"/>
      <c r="Z120" s="578"/>
      <c r="AA120" s="578"/>
      <c r="AB120" s="578"/>
      <c r="AC120" s="578"/>
      <c r="AD120" s="578"/>
      <c r="AE120" s="578"/>
      <c r="AF120" s="2143"/>
      <c r="AG120" s="2150"/>
      <c r="AH120" s="578"/>
      <c r="AI120" s="578"/>
      <c r="AJ120" s="578"/>
      <c r="AK120" s="2144"/>
      <c r="AL120" s="578"/>
      <c r="AM120" s="578"/>
      <c r="AN120" s="578"/>
      <c r="AO120" s="578"/>
      <c r="AP120" s="578"/>
      <c r="AQ120" s="578"/>
      <c r="AR120" s="578"/>
      <c r="AS120" s="578"/>
      <c r="AT120" s="578"/>
      <c r="AU120" s="578"/>
      <c r="AV120" s="578"/>
      <c r="AW120" s="578"/>
      <c r="AX120" s="578"/>
      <c r="AY120" s="578"/>
      <c r="AZ120" s="578"/>
      <c r="BA120" s="578"/>
      <c r="BB120" s="578"/>
      <c r="BC120" s="578"/>
      <c r="BD120" s="578"/>
      <c r="BE120" s="578"/>
      <c r="BF120" s="578"/>
      <c r="BG120" s="578"/>
      <c r="BH120" s="578"/>
      <c r="BI120" s="578"/>
      <c r="BJ120" s="578"/>
      <c r="BK120" s="578"/>
      <c r="BL120" s="578"/>
      <c r="BM120" s="578"/>
      <c r="BN120" s="578"/>
      <c r="BO120" s="578"/>
      <c r="BP120" s="578"/>
      <c r="BQ120" s="578"/>
      <c r="BR120" s="578"/>
      <c r="BS120" s="578"/>
      <c r="BT120" s="578"/>
    </row>
    <row r="121" spans="2:72" s="358" customFormat="1" x14ac:dyDescent="0.2">
      <c r="C121" s="412"/>
      <c r="D121" s="413"/>
      <c r="E121" s="414"/>
      <c r="F121" s="415"/>
      <c r="G121" s="415"/>
      <c r="H121" s="416"/>
      <c r="I121" s="416"/>
      <c r="J121" s="416"/>
      <c r="K121" s="417"/>
      <c r="L121" s="418"/>
      <c r="P121"/>
      <c r="Q121" s="2051"/>
      <c r="R121" s="2051"/>
      <c r="S121" s="2051"/>
      <c r="T121" s="2150"/>
      <c r="U121" s="2150"/>
      <c r="V121" s="2051"/>
      <c r="W121" s="2051"/>
      <c r="X121" s="2051"/>
      <c r="Y121" s="2051"/>
      <c r="Z121" s="2051"/>
      <c r="AA121" s="2051"/>
      <c r="AB121" s="2051"/>
      <c r="AC121" s="2051"/>
      <c r="AD121" s="2051"/>
      <c r="AE121" s="2051"/>
      <c r="AF121" s="2150"/>
      <c r="AG121" s="2150"/>
      <c r="AH121" s="2051"/>
      <c r="AI121" s="2051"/>
      <c r="AJ121" s="2051"/>
      <c r="AK121" s="2151"/>
      <c r="AL121" s="2051"/>
      <c r="AM121" s="2051"/>
      <c r="AN121" s="2051"/>
      <c r="AO121" s="2051"/>
      <c r="AP121" s="2051"/>
      <c r="AQ121" s="2051"/>
      <c r="AR121" s="2051"/>
      <c r="AS121" s="2051"/>
      <c r="AT121" s="2051"/>
      <c r="AU121" s="2051"/>
      <c r="AV121" s="2051"/>
      <c r="AW121" s="2051"/>
      <c r="AX121" s="2051"/>
      <c r="AY121" s="2051"/>
      <c r="AZ121" s="2051"/>
      <c r="BA121" s="2051"/>
      <c r="BB121" s="2051"/>
      <c r="BC121" s="2051"/>
      <c r="BD121" s="2051"/>
      <c r="BE121" s="2051"/>
      <c r="BF121" s="2051"/>
      <c r="BG121" s="2051"/>
      <c r="BH121" s="2051"/>
      <c r="BI121" s="2051"/>
      <c r="BJ121" s="2051"/>
      <c r="BK121" s="2051"/>
      <c r="BL121" s="2051"/>
      <c r="BM121" s="2051"/>
      <c r="BN121" s="2051"/>
      <c r="BO121" s="2051"/>
      <c r="BP121" s="2051"/>
      <c r="BQ121" s="2051"/>
      <c r="BR121" s="2051"/>
      <c r="BS121" s="2051"/>
      <c r="BT121" s="2051"/>
    </row>
    <row r="122" spans="2:72" s="358" customFormat="1" ht="14.25" x14ac:dyDescent="0.2">
      <c r="B122" s="359" t="str">
        <f>'TRAD-Calculs dispo Données FA'!B77</f>
        <v xml:space="preserve">2.C. Avec les stocks actuellement disponibles (niveau central &amp; périphériques) </v>
      </c>
      <c r="C122" s="359"/>
      <c r="D122" s="359"/>
      <c r="E122" s="359"/>
      <c r="F122" s="359"/>
      <c r="G122" s="359"/>
      <c r="H122" s="359"/>
      <c r="I122" s="359"/>
      <c r="J122" s="359"/>
      <c r="K122" s="359"/>
      <c r="L122" s="359"/>
      <c r="M122" s="360"/>
      <c r="N122" s="360"/>
      <c r="O122" s="360"/>
      <c r="P122"/>
      <c r="Q122" s="2149"/>
      <c r="R122" s="2051"/>
      <c r="S122" s="2051"/>
      <c r="T122" s="2150"/>
      <c r="U122" s="2150"/>
      <c r="V122" s="2051"/>
      <c r="W122" s="2051"/>
      <c r="X122" s="2051"/>
      <c r="Y122" s="2051"/>
      <c r="Z122" s="2051"/>
      <c r="AA122" s="2051"/>
      <c r="AB122" s="2051"/>
      <c r="AC122" s="2051"/>
      <c r="AD122" s="2051"/>
      <c r="AE122" s="2051"/>
      <c r="AF122" s="2150"/>
      <c r="AG122" s="2150"/>
      <c r="AH122" s="2051"/>
      <c r="AI122" s="2051"/>
      <c r="AJ122" s="2051"/>
      <c r="AK122" s="21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1"/>
      <c r="BE122" s="2051"/>
      <c r="BF122" s="2051"/>
      <c r="BG122" s="2051"/>
      <c r="BH122" s="2051"/>
      <c r="BI122" s="2051"/>
      <c r="BJ122" s="2051"/>
      <c r="BK122" s="2051"/>
      <c r="BL122" s="2051"/>
      <c r="BM122" s="2051"/>
      <c r="BN122" s="2051"/>
      <c r="BO122" s="2051"/>
      <c r="BP122" s="2051"/>
      <c r="BQ122" s="2051"/>
      <c r="BR122" s="2051"/>
      <c r="BS122" s="2051"/>
      <c r="BT122" s="2051"/>
    </row>
    <row r="123" spans="2:72" s="356" customFormat="1" ht="13.5" thickBot="1" x14ac:dyDescent="0.25">
      <c r="M123" s="355"/>
      <c r="N123" s="355"/>
      <c r="O123" s="355"/>
      <c r="P123"/>
      <c r="Q123" s="2142"/>
      <c r="R123" s="578"/>
      <c r="S123" s="578"/>
      <c r="T123" s="2143"/>
      <c r="U123" s="2143"/>
      <c r="V123" s="578"/>
      <c r="W123" s="578"/>
      <c r="X123" s="578"/>
      <c r="Y123" s="578"/>
      <c r="Z123" s="578"/>
      <c r="AA123" s="578"/>
      <c r="AB123" s="578"/>
      <c r="AC123" s="578"/>
      <c r="AD123" s="578"/>
      <c r="AE123" s="578"/>
      <c r="AF123" s="2143"/>
      <c r="AG123" s="2143"/>
      <c r="AH123" s="578"/>
      <c r="AI123" s="578"/>
      <c r="AJ123" s="578"/>
      <c r="AK123" s="2144"/>
      <c r="AL123" s="578"/>
      <c r="AM123" s="578"/>
      <c r="AN123" s="578"/>
      <c r="AO123" s="578"/>
      <c r="AP123" s="578"/>
      <c r="AQ123" s="578"/>
      <c r="AR123" s="578"/>
      <c r="AS123" s="578"/>
      <c r="AT123" s="578"/>
      <c r="AU123" s="578"/>
      <c r="AV123" s="578"/>
      <c r="AW123" s="578"/>
      <c r="AX123" s="578"/>
      <c r="AY123" s="578"/>
      <c r="AZ123" s="578"/>
      <c r="BA123" s="578"/>
      <c r="BB123" s="578"/>
      <c r="BC123" s="578"/>
      <c r="BD123" s="578"/>
      <c r="BE123" s="578"/>
      <c r="BF123" s="578"/>
      <c r="BG123" s="578"/>
      <c r="BH123" s="578"/>
      <c r="BI123" s="578"/>
      <c r="BJ123" s="578"/>
      <c r="BK123" s="578"/>
      <c r="BL123" s="578"/>
      <c r="BM123" s="578"/>
      <c r="BN123" s="578"/>
      <c r="BO123" s="578"/>
      <c r="BP123" s="578"/>
      <c r="BQ123" s="578"/>
      <c r="BR123" s="578"/>
      <c r="BS123" s="578"/>
      <c r="BT123" s="578"/>
    </row>
    <row r="124" spans="2:72" s="356" customFormat="1" ht="13.5" thickBot="1" x14ac:dyDescent="0.25">
      <c r="P124"/>
      <c r="Q124" s="3293" t="str">
        <f>'TRAD-Calculs dispo Données FA'!B23</f>
        <v>CALCULS avec croissance des besoins / Stocks dispo centraux &amp; périphériques</v>
      </c>
      <c r="R124" s="3294"/>
      <c r="S124" s="3294"/>
      <c r="T124" s="3294"/>
      <c r="U124" s="3294"/>
      <c r="V124" s="3294"/>
      <c r="W124" s="3294"/>
      <c r="X124" s="3294"/>
      <c r="Y124" s="3294"/>
      <c r="Z124" s="3294"/>
      <c r="AA124" s="3295"/>
      <c r="AB124" s="578"/>
      <c r="AC124" s="3293" t="str">
        <f>'TRAD-Calculs dispo Données FA'!B29</f>
        <v>CALCULS Marge extrême arrêt d'initiations / Stocks dispo centraux et périph</v>
      </c>
      <c r="AD124" s="3294"/>
      <c r="AE124" s="3294"/>
      <c r="AF124" s="3294"/>
      <c r="AG124" s="3294"/>
      <c r="AH124" s="3294"/>
      <c r="AI124" s="3294"/>
      <c r="AJ124" s="3294"/>
      <c r="AK124" s="3294"/>
      <c r="AL124" s="3294"/>
      <c r="AM124" s="3294"/>
      <c r="AN124" s="3294"/>
      <c r="AO124" s="3295"/>
      <c r="AP124" s="578"/>
      <c r="AQ124" s="578"/>
      <c r="AR124" s="578"/>
      <c r="AS124" s="578"/>
      <c r="AT124" s="578"/>
      <c r="AU124" s="578"/>
      <c r="AV124" s="578"/>
      <c r="AW124" s="578"/>
      <c r="AX124" s="578"/>
      <c r="AY124" s="578"/>
      <c r="AZ124" s="578"/>
      <c r="BA124" s="578"/>
      <c r="BB124" s="578"/>
      <c r="BC124" s="578"/>
      <c r="BD124" s="578"/>
      <c r="BE124" s="578"/>
      <c r="BF124" s="578"/>
      <c r="BG124" s="578"/>
      <c r="BH124" s="578"/>
      <c r="BI124" s="578"/>
      <c r="BJ124" s="578"/>
      <c r="BK124" s="578"/>
      <c r="BL124" s="578"/>
      <c r="BM124" s="578"/>
      <c r="BN124" s="578"/>
      <c r="BO124" s="578"/>
      <c r="BP124" s="578"/>
      <c r="BQ124" s="578"/>
      <c r="BR124" s="578"/>
      <c r="BS124" s="578"/>
      <c r="BT124" s="578"/>
    </row>
    <row r="125" spans="2:72" s="356" customFormat="1" ht="26.25" thickBot="1" x14ac:dyDescent="0.25">
      <c r="M125" s="355"/>
      <c r="N125" s="355"/>
      <c r="O125" s="355"/>
      <c r="P125"/>
      <c r="Q125" s="2142"/>
      <c r="R125" s="3289"/>
      <c r="S125" s="3289"/>
      <c r="T125" s="2152"/>
      <c r="U125" s="2143"/>
      <c r="V125" s="579" t="str">
        <f>'TRAD-Calculs dispo Données FA'!B64</f>
        <v>Stocks centraux et périphériques</v>
      </c>
      <c r="W125" s="3291" t="str">
        <f>'TRAD-Calculs dispo Données FA'!B27</f>
        <v>Données nettoyées pour représentation graphique</v>
      </c>
      <c r="X125" s="3289"/>
      <c r="Y125" s="3289"/>
      <c r="Z125" s="3289"/>
      <c r="AA125" s="3292"/>
      <c r="AB125" s="578"/>
      <c r="AC125" s="2142"/>
      <c r="AD125" s="3289"/>
      <c r="AE125" s="3289"/>
      <c r="AF125" s="2133"/>
      <c r="AG125" s="2152"/>
      <c r="AH125" s="2143"/>
      <c r="AI125" s="579" t="str">
        <f>'TRAD-Calculs dispo Données FA'!B64</f>
        <v>Stocks centraux et périphériques</v>
      </c>
      <c r="AJ125" s="3283" t="str">
        <f>'TRAD-Calculs dispo Données FA'!B27</f>
        <v>Données nettoyées pour représentation graphique</v>
      </c>
      <c r="AK125" s="3284"/>
      <c r="AL125" s="3284"/>
      <c r="AM125" s="3284"/>
      <c r="AN125" s="3284"/>
      <c r="AO125" s="3285"/>
      <c r="AP125" s="2205"/>
      <c r="AQ125" s="2205"/>
      <c r="AR125" s="578"/>
      <c r="AS125" s="2077" t="str">
        <f>'TRAD-Calculs dispo Données FA'!B48</f>
        <v>Stock</v>
      </c>
      <c r="AT125" s="2078" t="str">
        <f>'TRAD-Calculs dispo Données FA'!B49</f>
        <v>besoin actuel</v>
      </c>
      <c r="AU125" s="2079" t="str">
        <f>'TRAD-Calculs dispo Données FA'!B50</f>
        <v>Progression besoin</v>
      </c>
      <c r="AV125" s="2077" t="str">
        <f>'TRAD-Calculs dispo Données FA'!B51</f>
        <v>Eval</v>
      </c>
      <c r="AW125" s="2078" t="str">
        <f>'TRAD-Calculs dispo Données FA'!B51</f>
        <v>Eval</v>
      </c>
      <c r="AX125" s="2080" t="str">
        <f>'TRAD-Calculs dispo Données FA'!B51</f>
        <v>Eval</v>
      </c>
      <c r="AY125" s="578"/>
      <c r="AZ125" s="578"/>
      <c r="BA125" s="578"/>
      <c r="BB125" s="578"/>
      <c r="BC125" s="578"/>
      <c r="BD125" s="578"/>
      <c r="BE125" s="578"/>
      <c r="BF125" s="578"/>
      <c r="BG125" s="578"/>
      <c r="BH125" s="578"/>
      <c r="BI125" s="578"/>
      <c r="BJ125" s="578"/>
      <c r="BK125" s="578"/>
      <c r="BL125" s="578"/>
      <c r="BM125" s="578"/>
      <c r="BN125" s="578"/>
      <c r="BO125" s="578"/>
      <c r="BP125" s="578"/>
      <c r="BQ125" s="578"/>
      <c r="BR125" s="578"/>
      <c r="BS125" s="578"/>
      <c r="BT125" s="578"/>
    </row>
    <row r="126" spans="2:72" s="358" customFormat="1" ht="100.5" customHeight="1" thickBot="1" x14ac:dyDescent="0.25">
      <c r="C126" s="577" t="str">
        <f>'TRAD-Calculs dispo Données FA'!B9</f>
        <v>Classe forme galénique</v>
      </c>
      <c r="D126" s="576" t="str">
        <f>'TRAD-Calculs dispo Données FA'!B10</f>
        <v>Classe thérapeutique</v>
      </c>
      <c r="E126" s="364" t="str">
        <f>'TRAD-Calculs dispo Données FA'!B11</f>
        <v>Composition</v>
      </c>
      <c r="F126" s="365" t="str">
        <f>'TRAD-Calculs dispo Données FA'!B12</f>
        <v>Forme galénique</v>
      </c>
      <c r="G126" s="365" t="str">
        <f>'TRAD-Calculs dispo Données FA'!B13</f>
        <v>Dosage</v>
      </c>
      <c r="H126" s="365" t="str">
        <f>'TRAD-Calculs dispo Données FA'!B14</f>
        <v>Nom pour représentation graphique</v>
      </c>
      <c r="I126" s="365" t="str">
        <f>'TRAD-Calculs dispo Données FA'!B15</f>
        <v>Nb de prise / jour</v>
      </c>
      <c r="J126" s="365" t="str">
        <f>'TRAD-Calculs dispo Données FA'!B16</f>
        <v>Nb de prise / mois</v>
      </c>
      <c r="K126" s="365" t="str">
        <f>'TRAD-Calculs dispo Données FA'!B17</f>
        <v>Conditionnement</v>
      </c>
      <c r="L126" s="327" t="str">
        <f>'TRAD-Calculs dispo Données FA'!B20</f>
        <v>Nb de boites nécessaire pour 1 mois pour 1 patient</v>
      </c>
      <c r="M126" s="346" t="str">
        <f>'TRAD-Calculs dispo Données FA'!B21</f>
        <v>Stock disponible UTILISABLE au niveau considéré (nb de boites)</v>
      </c>
      <c r="N126" s="2057" t="str">
        <f>'TRAD-Calculs dispo Données FA'!B33</f>
        <v>Besoin mensuel patients suivis selon méthode</v>
      </c>
      <c r="O126" s="2057" t="str">
        <f>'TRAD-Calculs dispo Données FA'!B34</f>
        <v>Besoin mensuel patients initiés selon méthode</v>
      </c>
      <c r="P126"/>
      <c r="Q126" s="346" t="str">
        <f>'TRAD-Calculs dispo Données FA'!B35</f>
        <v>Nombre de mois de disponibilité de produits</v>
      </c>
      <c r="R126" s="346" t="str">
        <f>'TRAD-Calculs dispo Données FA'!B37</f>
        <v>Nombre de mois de disponibilité de produits hors ST</v>
      </c>
      <c r="S126" s="347" t="str">
        <f>'TRAD-Calculs dispo Données FA'!B38</f>
        <v>Nombre de mois de stock tampon (ST)</v>
      </c>
      <c r="T126" s="348" t="str">
        <f>'TRAD-Calculs dispo Données FA'!B39</f>
        <v>Date d'entrée en stock tampon</v>
      </c>
      <c r="U126" s="349" t="str">
        <f>'TRAD-Calculs dispo Données FA'!B40</f>
        <v>Date de rupture attendue</v>
      </c>
      <c r="V126" s="2051"/>
      <c r="W126" s="346" t="str">
        <f>'TRAD-Calculs dispo Données FA'!B35</f>
        <v>Nombre de mois de disponibilité de produits</v>
      </c>
      <c r="X126" s="580" t="str">
        <f>'TRAD-Calculs dispo Données FA'!B37</f>
        <v>Nombre de mois de disponibilité de produits hors ST</v>
      </c>
      <c r="Y126" s="347" t="str">
        <f>CONCATENATE('TRAD-Calculs dispo Données FA'!$B$85, " ",  "(", 'TRAD-Calculs dispo Données FA'!$B$86, " ",  Calculs!$D$486, ")")</f>
        <v>Nombre de mois de stock tampon (ST - max 3 mois)</v>
      </c>
      <c r="Z126" s="348" t="str">
        <f>'TRAD-Calculs dispo Données FA'!B39</f>
        <v>Date d'entrée en stock tampon</v>
      </c>
      <c r="AA126" s="349" t="str">
        <f>'TRAD-Calculs dispo Données FA'!B40</f>
        <v>Date de rupture attendue</v>
      </c>
      <c r="AB126" s="2051"/>
      <c r="AC126" s="346" t="str">
        <f>'TRAD-Calculs dispo Données FA'!B35</f>
        <v>Nombre de mois de disponibilité de produits</v>
      </c>
      <c r="AD126" s="580" t="str">
        <f>'TRAD-Calculs dispo Données FA'!B46</f>
        <v>Gain Nb de mois de disponibilité si arrêt des initiations &amp; switch</v>
      </c>
      <c r="AE126" s="347" t="str">
        <f>'TRAD-Calculs dispo Données FA'!B37</f>
        <v>Nombre de mois de disponibilité de produits hors ST</v>
      </c>
      <c r="AF126" s="424" t="str">
        <f>'TRAD-Calculs dispo Données FA'!B38</f>
        <v>Nombre de mois de stock tampon (ST)</v>
      </c>
      <c r="AG126" s="348" t="str">
        <f>'TRAD-Calculs dispo Données FA'!B39</f>
        <v>Date d'entrée en stock tampon</v>
      </c>
      <c r="AH126" s="349" t="str">
        <f>'TRAD-Calculs dispo Données FA'!B40</f>
        <v>Date de rupture attendue</v>
      </c>
      <c r="AI126" s="2051"/>
      <c r="AJ126" s="346" t="str">
        <f>'TRAD-Calculs dispo Données FA'!B35</f>
        <v>Nombre de mois de disponibilité de produits</v>
      </c>
      <c r="AK126" s="580" t="str">
        <f>'TRAD-Calculs dispo Données FA'!B46</f>
        <v>Gain Nb de mois de disponibilité si arrêt des initiations &amp; switch</v>
      </c>
      <c r="AL126" s="347" t="str">
        <f>'TRAD-Calculs dispo Données FA'!B37</f>
        <v>Nombre de mois de disponibilité de produits hors ST</v>
      </c>
      <c r="AM126" s="424" t="str">
        <f>'TRAD-Calculs dispo Données FA'!B38</f>
        <v>Nombre de mois de stock tampon (ST)</v>
      </c>
      <c r="AN126" s="424" t="str">
        <f>'TRAD-Calculs dispo Données FA'!B39</f>
        <v>Date d'entrée en stock tampon</v>
      </c>
      <c r="AO126" s="349" t="str">
        <f>'TRAD-Calculs dispo Données FA'!B40</f>
        <v>Date de rupture attendue</v>
      </c>
      <c r="AP126" s="2138"/>
      <c r="AQ126" s="2139"/>
      <c r="AR126" s="2051"/>
      <c r="AS126" s="2058" t="str">
        <f>'TRAD-Calculs dispo Données FA'!B53</f>
        <v>Calculs!N228</v>
      </c>
      <c r="AT126" s="2059" t="str">
        <f>'TRAD-Calculs dispo Données FA'!B56</f>
        <v>Calculs!L317</v>
      </c>
      <c r="AU126" s="2067" t="str">
        <f>'TRAD-Calculs dispo Données FA'!B57</f>
        <v>Calculs!N317</v>
      </c>
      <c r="AV126" s="2058" t="str">
        <f>'TRAD-Calculs dispo Données FA'!B60</f>
        <v>Stock et besoin actuel et futur =0</v>
      </c>
      <c r="AW126" s="2059" t="str">
        <f>'TRAD-Calculs dispo Données FA'!B61</f>
        <v>Stock &gt;0 et besoin actuel et futur =0</v>
      </c>
      <c r="AX126" s="2060" t="str">
        <f>'TRAD-Calculs dispo Données FA'!B63</f>
        <v>Stock=0; Besoin  ≥ 1</v>
      </c>
      <c r="AY126" s="2051"/>
      <c r="AZ126" s="2051"/>
      <c r="BA126" s="2051"/>
      <c r="BB126" s="2051"/>
      <c r="BC126" s="2051"/>
      <c r="BD126" s="2051"/>
      <c r="BE126" s="2051"/>
      <c r="BF126" s="2051"/>
      <c r="BG126" s="2051"/>
      <c r="BH126" s="2051"/>
      <c r="BI126" s="2051"/>
      <c r="BJ126" s="2051"/>
      <c r="BK126" s="2051"/>
      <c r="BL126" s="2051"/>
      <c r="BM126" s="2051"/>
      <c r="BN126" s="2051"/>
      <c r="BO126" s="2051"/>
      <c r="BP126" s="2051"/>
      <c r="BQ126" s="2051"/>
      <c r="BR126" s="2051"/>
      <c r="BS126" s="2051"/>
      <c r="BT126" s="2051"/>
    </row>
    <row r="127" spans="2:72" s="358" customFormat="1" ht="25.5" x14ac:dyDescent="0.2">
      <c r="C127" s="366" t="str">
        <f>'TRAD-Calculs dispo Données FA'!B66</f>
        <v>Comprimés</v>
      </c>
      <c r="D127" s="367" t="s">
        <v>15</v>
      </c>
      <c r="E127" s="368" t="str">
        <f>'Saisie données stocks'!F19</f>
        <v>AZT+3TC+NVP</v>
      </c>
      <c r="F127" s="369" t="str">
        <f>'Saisie données stocks'!G19</f>
        <v>Cp</v>
      </c>
      <c r="G127" s="369" t="str">
        <f>'Saisie données stocks'!H19</f>
        <v>300/150/200 mg</v>
      </c>
      <c r="H127" s="370" t="str">
        <f>CONCATENATE(E127, " - ", G127," - ", 'TRAD-Calculs dispo Données FA'!$B$79,"/", K127)</f>
        <v>AZT+3TC+NVP - 300/150/200 mg - B/60</v>
      </c>
      <c r="I127" s="372">
        <f>Calculs!K102</f>
        <v>2</v>
      </c>
      <c r="J127" s="372">
        <f t="shared" ref="J127:J167" si="25">I127*30</f>
        <v>60</v>
      </c>
      <c r="K127" s="113">
        <f>Calculs!J102</f>
        <v>60</v>
      </c>
      <c r="L127" s="373">
        <f t="shared" ref="L127:L167" si="26">J127/K127</f>
        <v>1</v>
      </c>
      <c r="M127" s="1819">
        <f>IF('Saisie données stocks'!$O$10='TRAD-Saisie données stocks'!$B$51, 'Calculs Péremption conso'!BU7, Calculs!M262)+IF('Saisie données stocks'!$M$76='TRAD-Saisie données stocks'!$B$51, Calculs!N262, "0")</f>
        <v>71892</v>
      </c>
      <c r="N127" s="1819">
        <f>Calculs!$L$317</f>
        <v>6338</v>
      </c>
      <c r="O127" s="1819">
        <f>Calculs!$N$317</f>
        <v>0</v>
      </c>
      <c r="P127"/>
      <c r="Q127" s="2154">
        <f>IF(Calculs!N317&gt;0, (-(Calculs!N317+2*Calculs!L317)+SQRT((Calculs!N317+2*Calculs!L317)*(Calculs!N317+2*Calculs!L317)+8*Calculs!N317*(M127)))/(2*Calculs!N317), ((M127)/Calculs!L317))</f>
        <v>11.343010413379615</v>
      </c>
      <c r="R127" s="2154">
        <f>Q127-Paramétrage!D$29</f>
        <v>8.3430104133796146</v>
      </c>
      <c r="S127" s="2155">
        <f>IF(Q127&lt;Paramétrage!D$29, Q127, Paramétrage!D$29)</f>
        <v>3</v>
      </c>
      <c r="T127" s="2157">
        <f>IF(Q127&lt;Paramétrage!D$29, Paramétrage!H$19+R127*(365/12), Paramétrage!H$19+R127*(365/12))</f>
        <v>42172.766566740298</v>
      </c>
      <c r="U127" s="2158">
        <f>IF(Q127&lt;Paramétrage!D$29, Paramétrage!H$19+S127*(365/12), Paramétrage!H$19+Q127*(365/12))</f>
        <v>42264.016566740298</v>
      </c>
      <c r="V127" s="2051"/>
      <c r="W127" s="2154">
        <f>IF(ISERROR(Q127),"", IF(Q127=0, "", IF(Q127&gt;'Calculs Péremption conso'!$CB7, 'Calculs Péremption conso'!$CB7, Q127)))</f>
        <v>11.343010413379615</v>
      </c>
      <c r="X127" s="2159">
        <f>IF(ISERROR(Q127),"", IF(Q127=0, "", IF(Q127&gt;'Calculs Péremption conso'!$CB7, 'Calculs Péremption conso'!$CB7-Paramétrage!$D$29, R127)))</f>
        <v>8.3430104133796146</v>
      </c>
      <c r="Y127" s="2155">
        <f>IF(ISERROR(Q127),"", IF(Q127=0, "",  S127))</f>
        <v>3</v>
      </c>
      <c r="Z127" s="2157">
        <f>IF(ISERROR(Q127),"", IF(Q127=0, "", IF(Q127&gt;'Calculs Péremption conso'!$CB7, 'Calculs Péremption conso'!$BX7-Paramétrage!$D$29*(365/12), T127)))</f>
        <v>42172.766566740298</v>
      </c>
      <c r="AA127" s="2158">
        <f>IF(ISERROR(Q127),AW127,IF(Q127=0,IF(AND(M127=0,OR(N127&gt;0,O127&gt;0)),AX127,""),IF('Saisie données stocks'!$O$10='TRAD-Saisie données stocks'!$B$51,IF('Calculs Péremption conso'!P7="OK",IF('Calculs Péremption conso'!BV7&gt;0,CONCATENATE('TRAD-Calculs dispo Données FA'!$B$88, " - ",'Calculs Péremption conso'!$BY7,"/",'Calculs Péremption conso'!$BZ7,"/",'Calculs Péremption conso'!$CA7),U127),IF(Q127&gt;'Saisie données stocks'!$N$14,'Calculs Péremption conso'!CC7,U127)),IF(Q127&gt;'Saisie données stocks'!$N$14,'Calculs Péremption conso'!CC7,U127))))</f>
        <v>42264.016566740298</v>
      </c>
      <c r="AB127" s="2051"/>
      <c r="AC127" s="2154">
        <f>(Calculs!O262)/Calculs!L317</f>
        <v>11.343010413379615</v>
      </c>
      <c r="AD127" s="2154">
        <f t="shared" ref="AD127" si="27">AC127-Q127</f>
        <v>0</v>
      </c>
      <c r="AE127" s="2155">
        <f>AC127-Paramétrage!D$29</f>
        <v>8.3430104133796146</v>
      </c>
      <c r="AF127" s="2156">
        <f>IF(AC127&lt;Paramétrage!D$29, AC127, Paramétrage!D$29)</f>
        <v>3</v>
      </c>
      <c r="AG127" s="2157">
        <f>Paramétrage!H$19+AE127*(365/12)</f>
        <v>42172.766566740298</v>
      </c>
      <c r="AH127" s="2158">
        <f>IF(AC127&lt;Paramétrage!D$29, Paramétrage!H$19+AF127*(365/12), Paramétrage!H$19+AC127*(365/12))</f>
        <v>42264.016566740298</v>
      </c>
      <c r="AI127" s="2051"/>
      <c r="AJ127" s="2154">
        <f>IF(ISERROR(AC127),"", IF(AC127=0, "", IF(AC127&gt;'Calculs Péremption FA'!$CB7, 'Calculs Péremption FA'!$CB7, AC127)))</f>
        <v>11.343010413379615</v>
      </c>
      <c r="AK127" s="2159" t="str">
        <f t="shared" ref="AK127" si="28">IF(ISERROR(AD127),"", IF(AD127=0, "", IF(AJ127-W127=0, "0", AJ127-W127)))</f>
        <v/>
      </c>
      <c r="AL127" s="2155">
        <f>IF(ISERROR(AC127),"", IF(AC127=0, "", IF(AC127&gt;'Calculs Péremption conso'!$CB7, 'Calculs Péremption conso'!$CB7-Paramétrage!$D$29, AE127)))</f>
        <v>8.3430104133796146</v>
      </c>
      <c r="AM127" s="2160">
        <f>IF(ISERROR(AC127),"", IF(AC127=0, "", IF(AC127&gt;'Calculs Péremption conso'!$CB7, Paramétrage!$D$29, AF127)))</f>
        <v>3</v>
      </c>
      <c r="AN127" s="2157">
        <f>IF(ISERROR(AC127),"", IF(AC127=0, "", IF(AC127&gt;'Calculs Péremption conso'!$CB7, 'Calculs Péremption conso'!$BX7-Paramétrage!$D$29*(365/12), AG127)))</f>
        <v>42172.766566740298</v>
      </c>
      <c r="AO127" s="2158">
        <f>IF(ISERROR(AC127),"", IF(AC127=0, "", IF(AC127&gt;'Calculs Péremption conso'!$CB7, CONCATENATE('TRAD-Calculs dispo Données FA'!$B$88, " - ", 'Calculs Péremption conso'!$BY7, "/", 'Calculs Péremption conso'!$BZ7, "/", 'Calculs Péremption conso'!$CA7), AH127)))</f>
        <v>42264.016566740298</v>
      </c>
      <c r="AP127" s="2206"/>
      <c r="AQ127" s="2207"/>
      <c r="AR127" s="2051"/>
      <c r="AS127" s="2061">
        <f>Calculs!$O262</f>
        <v>71892</v>
      </c>
      <c r="AT127" s="2241">
        <f>Calculs!$L317</f>
        <v>6338</v>
      </c>
      <c r="AU127" s="2068">
        <f>Calculs!$N317</f>
        <v>0</v>
      </c>
      <c r="AV127" s="2070" t="str">
        <f>IF(AND(AU127=0, AS127=0, AT127=0), 'TRAD-Calculs dispo Données FA'!$B$82, "")</f>
        <v/>
      </c>
      <c r="AW127" s="2062" t="str">
        <f>IF(AND(AU127=0, AS127&gt;0, AT127=0), CONCATENATE(AS127, 'TRAD-Calculs dispo Données FA'!$B$80," =0"), "")</f>
        <v/>
      </c>
      <c r="AX127" s="2063" t="str">
        <f>IF(AND(AS127=0, OR(AT127&gt;=1, AU127&gt;=1)), 'TRAD-Calculs dispo Données FA'!$B$81, "")</f>
        <v/>
      </c>
      <c r="AY127" s="2051"/>
      <c r="AZ127" s="2051"/>
      <c r="BA127" s="2051"/>
      <c r="BB127" s="2051"/>
      <c r="BC127" s="2051"/>
      <c r="BD127" s="2051"/>
      <c r="BE127" s="2051"/>
      <c r="BF127" s="2051"/>
      <c r="BG127" s="2051"/>
      <c r="BH127" s="2051"/>
      <c r="BI127" s="2051"/>
      <c r="BJ127" s="2051"/>
      <c r="BK127" s="2051"/>
      <c r="BL127" s="2051"/>
      <c r="BM127" s="2051"/>
      <c r="BN127" s="2051"/>
      <c r="BO127" s="2051"/>
      <c r="BP127" s="2051"/>
      <c r="BQ127" s="2051"/>
      <c r="BR127" s="2051"/>
      <c r="BS127" s="2051"/>
      <c r="BT127" s="2051"/>
    </row>
    <row r="128" spans="2:72" s="358" customFormat="1" ht="38.25" x14ac:dyDescent="0.2">
      <c r="C128" s="374"/>
      <c r="D128" s="375"/>
      <c r="E128" s="501" t="str">
        <f>'Saisie données stocks'!F20</f>
        <v>AZT+3TC+NVP</v>
      </c>
      <c r="F128" s="502" t="str">
        <f>'Saisie données stocks'!G20</f>
        <v>Cp</v>
      </c>
      <c r="G128" s="502" t="str">
        <f>'Saisie données stocks'!H20</f>
        <v>60/30/50 mg</v>
      </c>
      <c r="H128" s="504" t="str">
        <f>CONCATENATE(E128, " - ", G128," - ", 'TRAD-Calculs dispo Données FA'!$B$79,"/", K128)</f>
        <v>AZT+3TC+NVP - 60/30/50 mg - B/60</v>
      </c>
      <c r="I128" s="505">
        <f>Calculs!K103</f>
        <v>2</v>
      </c>
      <c r="J128" s="505">
        <f t="shared" si="25"/>
        <v>60</v>
      </c>
      <c r="K128" s="114">
        <f>Calculs!J103</f>
        <v>60</v>
      </c>
      <c r="L128" s="381">
        <f t="shared" si="26"/>
        <v>1</v>
      </c>
      <c r="M128" s="1820">
        <f>IF('Saisie données stocks'!$O$10='TRAD-Saisie données stocks'!$B$51, 'Calculs Péremption conso'!BU8, Calculs!M263)+IF('Saisie données stocks'!$M$76='TRAD-Saisie données stocks'!$B$51, Calculs!N263, "0")</f>
        <v>1522</v>
      </c>
      <c r="N128" s="1820">
        <f>Calculs!$L$318</f>
        <v>546</v>
      </c>
      <c r="O128" s="1820">
        <f>Calculs!$N$318</f>
        <v>0</v>
      </c>
      <c r="P128"/>
      <c r="Q128" s="2161">
        <f>IF(Calculs!N318&gt;0, (-(Calculs!N318+2*Calculs!L318)+SQRT((Calculs!N318+2*Calculs!L318)*(Calculs!N318+2*Calculs!L318)+8*Calculs!N318*(M128)))/(2*Calculs!N318), ((M128)/Calculs!L318))</f>
        <v>2.7875457875457874</v>
      </c>
      <c r="R128" s="2161">
        <f>Q128-Paramétrage!D$29</f>
        <v>-0.21245421245421259</v>
      </c>
      <c r="S128" s="2162">
        <f>IF(Q128&lt;Paramétrage!D$29, Q128, Paramétrage!D$29)</f>
        <v>2.7875457875457874</v>
      </c>
      <c r="T128" s="2164">
        <f>IF(Q128&lt;Paramétrage!D$29, Paramétrage!H$19+R128*(365/12), Paramétrage!H$19+R128*(365/12))</f>
        <v>41912.53785103785</v>
      </c>
      <c r="U128" s="2165">
        <f>IF(Q128&lt;Paramétrage!D$29, Paramétrage!H$19+S128*(365/12), Paramétrage!H$19+Q128*(365/12))</f>
        <v>42003.78785103785</v>
      </c>
      <c r="V128" s="2051"/>
      <c r="W128" s="2161">
        <f>IF(ISERROR(Q128),"", IF(Q128=0, "", IF(Q128&gt;'Calculs Péremption conso'!$CB8, 'Calculs Péremption conso'!$CB8, Q128)))</f>
        <v>2.7875457875457874</v>
      </c>
      <c r="X128" s="2166">
        <f>IF(ISERROR(Q128),"", IF(Q128=0, "", IF(Q128&gt;'Calculs Péremption conso'!$CB8, 'Calculs Péremption conso'!$CB8-Paramétrage!$D$29, R128)))</f>
        <v>-0.21245421245421259</v>
      </c>
      <c r="Y128" s="2162">
        <f t="shared" ref="Y128:Y176" si="29">IF(ISERROR(Q128),"", IF(Q128=0, "",  S128))</f>
        <v>2.7875457875457874</v>
      </c>
      <c r="Z128" s="2164">
        <f>IF(ISERROR(Q128),"", IF(Q128=0, "", IF(Q128&gt;'Calculs Péremption conso'!$CB8, 'Calculs Péremption conso'!$BX8-Paramétrage!$D$29*(365/12), T128)))</f>
        <v>41912.53785103785</v>
      </c>
      <c r="AA128" s="2165">
        <f>IF(ISERROR(Q128),AW128,IF(Q128=0,IF(AND(M128=0,OR(N128&gt;0,O128&gt;0)),AX128,""),IF('Saisie données stocks'!$O$10='TRAD-Saisie données stocks'!$B$51,IF('Calculs Péremption conso'!P8="OK",IF('Calculs Péremption conso'!BV8&gt;0,CONCATENATE('TRAD-Calculs dispo Données FA'!$B$88, " - ",'Calculs Péremption conso'!$BY8,"/",'Calculs Péremption conso'!$BZ8,"/",'Calculs Péremption conso'!$CA8),U128),IF(Q128&gt;'Saisie données stocks'!$N$14,'Calculs Péremption conso'!CC8,U128)),IF(Q128&gt;'Saisie données stocks'!$N$14,'Calculs Péremption conso'!CC8,U128))))</f>
        <v>42003.78785103785</v>
      </c>
      <c r="AB128" s="2051"/>
      <c r="AC128" s="2161">
        <f>(Calculs!O263)/Calculs!L318</f>
        <v>2.7875457875457874</v>
      </c>
      <c r="AD128" s="2161">
        <f t="shared" ref="AD128:AD167" si="30">AC128-Q128</f>
        <v>0</v>
      </c>
      <c r="AE128" s="2162">
        <f>AC128-Paramétrage!D$29</f>
        <v>-0.21245421245421259</v>
      </c>
      <c r="AF128" s="2163">
        <f>IF(AC128&lt;Paramétrage!D$29, AC128, Paramétrage!D$29)</f>
        <v>2.7875457875457874</v>
      </c>
      <c r="AG128" s="2164">
        <f>Paramétrage!H$19+AE128*(365/12)</f>
        <v>41912.53785103785</v>
      </c>
      <c r="AH128" s="2165">
        <f>IF(AC128&lt;Paramétrage!D$29, Paramétrage!H$19+AF128*(365/12), Paramétrage!H$19+AC128*(365/12))</f>
        <v>42003.78785103785</v>
      </c>
      <c r="AI128" s="2051"/>
      <c r="AJ128" s="2161">
        <f>IF(ISERROR(AC128),"", IF(AC128=0, "", IF(AC128&gt;'Calculs Péremption FA'!$CB8, 'Calculs Péremption FA'!$CB8, AC128)))</f>
        <v>2.7875457875457874</v>
      </c>
      <c r="AK128" s="2166" t="str">
        <f t="shared" ref="AK128:AK167" si="31">IF(ISERROR(AD128),"", IF(AD128=0, "", IF(AJ128-W128=0, "0", AJ128-W128)))</f>
        <v/>
      </c>
      <c r="AL128" s="2162">
        <f>IF(ISERROR(AC128),"", IF(AC128=0, "", IF(AC128&gt;'Calculs Péremption conso'!$CB8, 'Calculs Péremption conso'!$CB8-Paramétrage!$D$29, AE128)))</f>
        <v>-0.21245421245421259</v>
      </c>
      <c r="AM128" s="2167">
        <f>IF(ISERROR(AC128),"", IF(AC128=0, "", IF(AC128&gt;'Calculs Péremption conso'!$CB8, Paramétrage!$D$29, AF128)))</f>
        <v>2.7875457875457874</v>
      </c>
      <c r="AN128" s="2164">
        <f>IF(ISERROR(AC128),"", IF(AC128=0, "", IF(AC128&gt;'Calculs Péremption conso'!$CB8, 'Calculs Péremption conso'!$BX8-Paramétrage!$D$29*(365/12), AG128)))</f>
        <v>41912.53785103785</v>
      </c>
      <c r="AO128" s="2165">
        <f>IF(ISERROR(AC128),"", IF(AC128=0, "", IF(AC128&gt;'Calculs Péremption conso'!$CB8, CONCATENATE('TRAD-Calculs dispo Données FA'!$B$88, " - ", 'Calculs Péremption conso'!$BY8, "/", 'Calculs Péremption conso'!$BZ8, "/", 'Calculs Péremption conso'!$CA8), AH128)))</f>
        <v>42003.78785103785</v>
      </c>
      <c r="AP128" s="2206"/>
      <c r="AQ128" s="2207"/>
      <c r="AR128" s="2051"/>
      <c r="AS128" s="2061">
        <f>Calculs!$O263</f>
        <v>1522</v>
      </c>
      <c r="AT128" s="2062">
        <f>Calculs!$L318</f>
        <v>546</v>
      </c>
      <c r="AU128" s="2068">
        <f>Calculs!$N318</f>
        <v>0</v>
      </c>
      <c r="AV128" s="2070" t="str">
        <f>IF(AND(AU128=0, AS128=0, AT128=0), 'TRAD-Calculs dispo Données FA'!$B$82, "")</f>
        <v/>
      </c>
      <c r="AW128" s="2062" t="str">
        <f>IF(AND(AU128=0, AS128&gt;0, AT128=0), CONCATENATE(AS128, 'TRAD-Calculs dispo Données FA'!$B$80," =0"), "")</f>
        <v/>
      </c>
      <c r="AX128" s="2063" t="str">
        <f>IF(AND(AS128=0, OR(AT128&gt;=1, AU128&gt;=1)), 'TRAD-Calculs dispo Données FA'!$B$81, "")</f>
        <v/>
      </c>
      <c r="AY128" s="2051"/>
      <c r="AZ128" s="2051"/>
      <c r="BA128" s="2051"/>
      <c r="BB128" s="2051"/>
      <c r="BC128" s="2051"/>
      <c r="BD128" s="2051"/>
      <c r="BE128" s="2051"/>
      <c r="BF128" s="2051"/>
      <c r="BG128" s="2051"/>
      <c r="BH128" s="2051"/>
      <c r="BI128" s="2051"/>
      <c r="BJ128" s="2051"/>
      <c r="BK128" s="2051"/>
      <c r="BL128" s="2051"/>
      <c r="BM128" s="2051"/>
      <c r="BN128" s="2051"/>
      <c r="BO128" s="2051"/>
      <c r="BP128" s="2051"/>
      <c r="BQ128" s="2051"/>
      <c r="BR128" s="2051"/>
      <c r="BS128" s="2051"/>
      <c r="BT128" s="2051"/>
    </row>
    <row r="129" spans="3:72" s="358" customFormat="1" ht="25.5" x14ac:dyDescent="0.2">
      <c r="C129" s="374"/>
      <c r="D129" s="375"/>
      <c r="E129" s="376" t="str">
        <f>'Saisie données stocks'!F21</f>
        <v>AZT+3TC+ABC</v>
      </c>
      <c r="F129" s="377" t="str">
        <f>'Saisie données stocks'!G21</f>
        <v>Cp</v>
      </c>
      <c r="G129" s="377" t="str">
        <f>'Saisie données stocks'!H21</f>
        <v>300/150/300 mg</v>
      </c>
      <c r="H129" s="378" t="str">
        <f>CONCATENATE(E129, " - ", G129," - ", 'TRAD-Calculs dispo Données FA'!$B$79,"/", K129)</f>
        <v>AZT+3TC+ABC - 300/150/300 mg - B/60</v>
      </c>
      <c r="I129" s="380">
        <f>Calculs!K104</f>
        <v>2</v>
      </c>
      <c r="J129" s="380">
        <f t="shared" si="25"/>
        <v>60</v>
      </c>
      <c r="K129" s="114">
        <f>Calculs!J104</f>
        <v>60</v>
      </c>
      <c r="L129" s="381">
        <f t="shared" si="26"/>
        <v>1</v>
      </c>
      <c r="M129" s="1820">
        <f>IF('Saisie données stocks'!$O$10='TRAD-Saisie données stocks'!$B$51, 'Calculs Péremption conso'!BU9, Calculs!M264)+IF('Saisie données stocks'!$M$76='TRAD-Saisie données stocks'!$B$51, Calculs!N264, "0")</f>
        <v>237.00821917808219</v>
      </c>
      <c r="N129" s="1820">
        <f>Calculs!$L$319</f>
        <v>27</v>
      </c>
      <c r="O129" s="1820">
        <f>Calculs!$N$319</f>
        <v>0</v>
      </c>
      <c r="P129"/>
      <c r="Q129" s="2161">
        <f>IF(Calculs!N319&gt;0, (-(Calculs!N319+2*Calculs!L319)+SQRT((Calculs!N319+2*Calculs!L319)*(Calculs!N319+2*Calculs!L319)+8*Calculs!N319*(M129)))/(2*Calculs!N319), ((M129)/Calculs!L319))</f>
        <v>8.7780821917808218</v>
      </c>
      <c r="R129" s="2161">
        <f>Q129-Paramétrage!D$29</f>
        <v>5.7780821917808218</v>
      </c>
      <c r="S129" s="2162">
        <f>IF(Q129&lt;Paramétrage!D$29, Q129, Paramétrage!D$29)</f>
        <v>3</v>
      </c>
      <c r="T129" s="2164">
        <f>IF(Q129&lt;Paramétrage!D$29, Paramétrage!H$19+R129*(365/12), Paramétrage!H$19+R129*(365/12))</f>
        <v>42094.75</v>
      </c>
      <c r="U129" s="2165">
        <f>IF(Q129&lt;Paramétrage!D$29, Paramétrage!H$19+S129*(365/12), Paramétrage!H$19+Q129*(365/12))</f>
        <v>42186</v>
      </c>
      <c r="V129" s="2051"/>
      <c r="W129" s="2161">
        <f>IF(ISERROR(Q129),"", IF(Q129=0, "", IF(Q129&gt;'Calculs Péremption conso'!$CB9, 'Calculs Péremption conso'!$CB9, Q129)))</f>
        <v>8.7780821917808218</v>
      </c>
      <c r="X129" s="2166">
        <f>IF(ISERROR(Q129),"", IF(Q129=0, "", IF(Q129&gt;'Calculs Péremption conso'!$CB9, 'Calculs Péremption conso'!$CB9-Paramétrage!$D$29, R129)))</f>
        <v>5.7780821917808218</v>
      </c>
      <c r="Y129" s="2162">
        <f t="shared" si="29"/>
        <v>3</v>
      </c>
      <c r="Z129" s="2164">
        <f>IF(ISERROR(Q129),"", IF(Q129=0, "", IF(Q129&gt;'Calculs Péremption conso'!$CB9, 'Calculs Péremption conso'!$BX9-Paramétrage!$D$29*(365/12), T129)))</f>
        <v>42094.75</v>
      </c>
      <c r="AA129" s="2165" t="str">
        <f>IF(ISERROR(Q129),AW129,IF(Q129=0,IF(AND(M129=0,OR(N129&gt;0,O129&gt;0)),AX129,""),IF('Saisie données stocks'!$O$10='TRAD-Saisie données stocks'!$B$51,IF('Calculs Péremption conso'!P9="OK",IF('Calculs Péremption conso'!BV9&gt;0,CONCATENATE('TRAD-Calculs dispo Données FA'!$B$88, " - ",'Calculs Péremption conso'!$BY9,"/",'Calculs Péremption conso'!$BZ9,"/",'Calculs Péremption conso'!$CA9),U129),IF(Q129&gt;'Saisie données stocks'!$N$14,'Calculs Péremption conso'!CC9,U129)),IF(Q129&gt;'Saisie données stocks'!$N$14,'Calculs Péremption conso'!CC9,U129))))</f>
        <v>DLU - 1/7/2015</v>
      </c>
      <c r="AB129" s="2051"/>
      <c r="AC129" s="2161">
        <f>(Calculs!O264)/Calculs!L319</f>
        <v>24.666666666666668</v>
      </c>
      <c r="AD129" s="2161">
        <f t="shared" si="30"/>
        <v>15.888584474885846</v>
      </c>
      <c r="AE129" s="2162">
        <f>AC129-Paramétrage!D$29</f>
        <v>21.666666666666668</v>
      </c>
      <c r="AF129" s="2163">
        <f>IF(AC129&lt;Paramétrage!D$29, AC129, Paramétrage!D$29)</f>
        <v>3</v>
      </c>
      <c r="AG129" s="2164">
        <f>Paramétrage!H$19+AE129*(365/12)</f>
        <v>42578.027777777781</v>
      </c>
      <c r="AH129" s="2165">
        <f>IF(AC129&lt;Paramétrage!D$29, Paramétrage!H$19+AF129*(365/12), Paramétrage!H$19+AC129*(365/12))</f>
        <v>42669.277777777781</v>
      </c>
      <c r="AI129" s="2051"/>
      <c r="AJ129" s="2161">
        <f>IF(ISERROR(AC129),"", IF(AC129=0, "", IF(AC129&gt;'Calculs Péremption FA'!$CB9, 'Calculs Péremption FA'!$CB9, AC129)))</f>
        <v>8.7780821917808218</v>
      </c>
      <c r="AK129" s="2166" t="str">
        <f t="shared" si="31"/>
        <v>0</v>
      </c>
      <c r="AL129" s="2162">
        <f>IF(ISERROR(AC129),"", IF(AC129=0, "", IF(AC129&gt;'Calculs Péremption conso'!$CB9, 'Calculs Péremption conso'!$CB9-Paramétrage!$D$29, AE129)))</f>
        <v>5.7780821917808218</v>
      </c>
      <c r="AM129" s="2167">
        <f>IF(ISERROR(AC129),"", IF(AC129=0, "", IF(AC129&gt;'Calculs Péremption conso'!$CB9, Paramétrage!$D$29, AF129)))</f>
        <v>3</v>
      </c>
      <c r="AN129" s="2164">
        <f>IF(ISERROR(AC129),"", IF(AC129=0, "", IF(AC129&gt;'Calculs Péremption conso'!$CB9, 'Calculs Péremption conso'!$BX9-Paramétrage!$D$29*(365/12), AG129)))</f>
        <v>42094.75</v>
      </c>
      <c r="AO129" s="2165" t="str">
        <f>IF(ISERROR(AC129),"", IF(AC129=0, "", IF(AC129&gt;'Calculs Péremption conso'!$CB9, CONCATENATE('TRAD-Calculs dispo Données FA'!$B$88, " - ", 'Calculs Péremption conso'!$BY9, "/", 'Calculs Péremption conso'!$BZ9, "/", 'Calculs Péremption conso'!$CA9), AH129)))</f>
        <v>DLU - 1/7/2015</v>
      </c>
      <c r="AP129" s="2206"/>
      <c r="AQ129" s="2207"/>
      <c r="AR129" s="2051"/>
      <c r="AS129" s="2061">
        <f>Calculs!$O264</f>
        <v>666</v>
      </c>
      <c r="AT129" s="2062">
        <f>Calculs!$L319</f>
        <v>27</v>
      </c>
      <c r="AU129" s="2068">
        <f>Calculs!$N319</f>
        <v>0</v>
      </c>
      <c r="AV129" s="2070" t="str">
        <f>IF(AND(AU129=0, AS129=0, AT129=0), 'TRAD-Calculs dispo Données FA'!$B$82, "")</f>
        <v/>
      </c>
      <c r="AW129" s="2062" t="str">
        <f>IF(AND(AU129=0, AS129&gt;0, AT129=0), CONCATENATE(AS129, 'TRAD-Calculs dispo Données FA'!$B$80," =0"), "")</f>
        <v/>
      </c>
      <c r="AX129" s="2063" t="str">
        <f>IF(AND(AS129=0, OR(AT129&gt;=1, AU129&gt;=1)), 'TRAD-Calculs dispo Données FA'!$B$81, "")</f>
        <v/>
      </c>
      <c r="AY129" s="2051"/>
      <c r="AZ129" s="2051"/>
      <c r="BA129" s="2051"/>
      <c r="BB129" s="2051"/>
      <c r="BC129" s="2051"/>
      <c r="BD129" s="2051"/>
      <c r="BE129" s="2051"/>
      <c r="BF129" s="2051"/>
      <c r="BG129" s="2051"/>
      <c r="BH129" s="2051"/>
      <c r="BI129" s="2051"/>
      <c r="BJ129" s="2051"/>
      <c r="BK129" s="2051"/>
      <c r="BL129" s="2051"/>
      <c r="BM129" s="2051"/>
      <c r="BN129" s="2051"/>
      <c r="BO129" s="2051"/>
      <c r="BP129" s="2051"/>
      <c r="BQ129" s="2051"/>
      <c r="BR129" s="2051"/>
      <c r="BS129" s="2051"/>
      <c r="BT129" s="2051"/>
    </row>
    <row r="130" spans="3:72" s="358" customFormat="1" ht="25.5" x14ac:dyDescent="0.2">
      <c r="C130" s="374"/>
      <c r="D130" s="375"/>
      <c r="E130" s="376" t="str">
        <f>'Saisie données stocks'!F22</f>
        <v>AZT+3TC</v>
      </c>
      <c r="F130" s="377" t="str">
        <f>'Saisie données stocks'!G22</f>
        <v>Cp</v>
      </c>
      <c r="G130" s="377" t="str">
        <f>'Saisie données stocks'!H22</f>
        <v>300/150 mg</v>
      </c>
      <c r="H130" s="378" t="str">
        <f>CONCATENATE(E130, " - ", G130," - ", 'TRAD-Calculs dispo Données FA'!$B$79,"/", K130)</f>
        <v>AZT+3TC - 300/150 mg - B/60</v>
      </c>
      <c r="I130" s="380">
        <f>Calculs!K105</f>
        <v>2</v>
      </c>
      <c r="J130" s="380">
        <f t="shared" si="25"/>
        <v>60</v>
      </c>
      <c r="K130" s="114">
        <f>Calculs!J105</f>
        <v>60</v>
      </c>
      <c r="L130" s="381">
        <f t="shared" si="26"/>
        <v>1</v>
      </c>
      <c r="M130" s="1820">
        <f>IF('Saisie données stocks'!$O$10='TRAD-Saisie données stocks'!$B$51, 'Calculs Péremption conso'!BU10, Calculs!M265)+IF('Saisie données stocks'!$M$76='TRAD-Saisie données stocks'!$B$51, Calculs!N265, "0")</f>
        <v>12350</v>
      </c>
      <c r="N130" s="1820">
        <f>Calculs!$L$320</f>
        <v>1267</v>
      </c>
      <c r="O130" s="1820">
        <f>Calculs!$N$320</f>
        <v>0</v>
      </c>
      <c r="P130"/>
      <c r="Q130" s="2161">
        <f>IF(Calculs!N320&gt;0, (-(Calculs!N320+2*Calculs!L320)+SQRT((Calculs!N320+2*Calculs!L320)*(Calculs!N320+2*Calculs!L320)+8*Calculs!N320*(M130)))/(2*Calculs!N320), ((M130)/Calculs!L320))</f>
        <v>9.7474348855564319</v>
      </c>
      <c r="R130" s="2161">
        <f>Q130-Paramétrage!D$29</f>
        <v>6.7474348855564319</v>
      </c>
      <c r="S130" s="2162">
        <f>IF(Q130&lt;Paramétrage!D$29, Q130, Paramétrage!D$29)</f>
        <v>3</v>
      </c>
      <c r="T130" s="2164">
        <f>IF(Q130&lt;Paramétrage!D$29, Paramétrage!H$19+R130*(365/12), Paramétrage!H$19+R130*(365/12))</f>
        <v>42124.234477769009</v>
      </c>
      <c r="U130" s="2165">
        <f>IF(Q130&lt;Paramétrage!D$29, Paramétrage!H$19+S130*(365/12), Paramétrage!H$19+Q130*(365/12))</f>
        <v>42215.484477769009</v>
      </c>
      <c r="V130" s="2051"/>
      <c r="W130" s="2161">
        <f>IF(ISERROR(Q130),"", IF(Q130=0, "", IF(Q130&gt;'Calculs Péremption conso'!$CB10, 'Calculs Péremption conso'!$CB10, Q130)))</f>
        <v>9.7474348855564319</v>
      </c>
      <c r="X130" s="2166">
        <f>IF(ISERROR(Q130),"", IF(Q130=0, "", IF(Q130&gt;'Calculs Péremption conso'!$CB10, 'Calculs Péremption conso'!$CB10-Paramétrage!$D$29, R130)))</f>
        <v>6.7474348855564319</v>
      </c>
      <c r="Y130" s="2162">
        <f t="shared" si="29"/>
        <v>3</v>
      </c>
      <c r="Z130" s="2164">
        <f>IF(ISERROR(Q130),"", IF(Q130=0, "", IF(Q130&gt;'Calculs Péremption conso'!$CB10, 'Calculs Péremption conso'!$BX10-Paramétrage!$D$29*(365/12), T130)))</f>
        <v>42124.234477769009</v>
      </c>
      <c r="AA130" s="2165">
        <f>IF(ISERROR(Q130),AW130,IF(Q130=0,IF(AND(M130=0,OR(N130&gt;0,O130&gt;0)),AX130,""),IF('Saisie données stocks'!$O$10='TRAD-Saisie données stocks'!$B$51,IF('Calculs Péremption conso'!P10="OK",IF('Calculs Péremption conso'!BV10&gt;0,CONCATENATE('TRAD-Calculs dispo Données FA'!$B$88, " - ",'Calculs Péremption conso'!$BY10,"/",'Calculs Péremption conso'!$BZ10,"/",'Calculs Péremption conso'!$CA10),U130),IF(Q130&gt;'Saisie données stocks'!$N$14,'Calculs Péremption conso'!CC10,U130)),IF(Q130&gt;'Saisie données stocks'!$N$14,'Calculs Péremption conso'!CC10,U130))))</f>
        <v>42215.484477769009</v>
      </c>
      <c r="AB130" s="2051"/>
      <c r="AC130" s="2161">
        <f>(Calculs!O265)/Calculs!L320</f>
        <v>9.7474348855564319</v>
      </c>
      <c r="AD130" s="2161">
        <f t="shared" si="30"/>
        <v>0</v>
      </c>
      <c r="AE130" s="2162">
        <f>AC130-Paramétrage!D$29</f>
        <v>6.7474348855564319</v>
      </c>
      <c r="AF130" s="2163">
        <f>IF(AC130&lt;Paramétrage!D$29, AC130, Paramétrage!D$29)</f>
        <v>3</v>
      </c>
      <c r="AG130" s="2164">
        <f>Paramétrage!H$19+AE130*(365/12)</f>
        <v>42124.234477769009</v>
      </c>
      <c r="AH130" s="2165">
        <f>IF(AC130&lt;Paramétrage!D$29, Paramétrage!H$19+AF130*(365/12), Paramétrage!H$19+AC130*(365/12))</f>
        <v>42215.484477769009</v>
      </c>
      <c r="AI130" s="2051"/>
      <c r="AJ130" s="2161">
        <f>IF(ISERROR(AC130),"", IF(AC130=0, "", IF(AC130&gt;'Calculs Péremption FA'!$CB10, 'Calculs Péremption FA'!$CB10, AC130)))</f>
        <v>9.7474348855564319</v>
      </c>
      <c r="AK130" s="2166" t="str">
        <f t="shared" si="31"/>
        <v/>
      </c>
      <c r="AL130" s="2162">
        <f>IF(ISERROR(AC130),"", IF(AC130=0, "", IF(AC130&gt;'Calculs Péremption conso'!$CB10, 'Calculs Péremption conso'!$CB10-Paramétrage!$D$29, AE130)))</f>
        <v>6.7474348855564319</v>
      </c>
      <c r="AM130" s="2167">
        <f>IF(ISERROR(AC130),"", IF(AC130=0, "", IF(AC130&gt;'Calculs Péremption conso'!$CB10, Paramétrage!$D$29, AF130)))</f>
        <v>3</v>
      </c>
      <c r="AN130" s="2164">
        <f>IF(ISERROR(AC130),"", IF(AC130=0, "", IF(AC130&gt;'Calculs Péremption conso'!$CB10, 'Calculs Péremption conso'!$BX10-Paramétrage!$D$29*(365/12), AG130)))</f>
        <v>42124.234477769009</v>
      </c>
      <c r="AO130" s="2165">
        <f>IF(ISERROR(AC130),"", IF(AC130=0, "", IF(AC130&gt;'Calculs Péremption conso'!$CB10, CONCATENATE('TRAD-Calculs dispo Données FA'!$B$88, " - ", 'Calculs Péremption conso'!$BY10, "/", 'Calculs Péremption conso'!$BZ10, "/", 'Calculs Péremption conso'!$CA10), AH130)))</f>
        <v>42215.484477769009</v>
      </c>
      <c r="AP130" s="2206"/>
      <c r="AQ130" s="2207"/>
      <c r="AR130" s="2051"/>
      <c r="AS130" s="2061">
        <f>Calculs!$O265</f>
        <v>12350</v>
      </c>
      <c r="AT130" s="2062">
        <f>Calculs!$L320</f>
        <v>1267</v>
      </c>
      <c r="AU130" s="2068">
        <f>Calculs!$N320</f>
        <v>0</v>
      </c>
      <c r="AV130" s="2070" t="str">
        <f>IF(AND(AU130=0, AS130=0, AT130=0), 'TRAD-Calculs dispo Données FA'!$B$82, "")</f>
        <v/>
      </c>
      <c r="AW130" s="2062" t="str">
        <f>IF(AND(AU130=0, AS130&gt;0, AT130=0), CONCATENATE(AS130, 'TRAD-Calculs dispo Données FA'!$B$80," =0"), "")</f>
        <v/>
      </c>
      <c r="AX130" s="2063" t="str">
        <f>IF(AND(AS130=0, OR(AT130&gt;=1, AU130&gt;=1)), 'TRAD-Calculs dispo Données FA'!$B$81, "")</f>
        <v/>
      </c>
      <c r="AY130" s="2051"/>
      <c r="AZ130" s="2051"/>
      <c r="BA130" s="2051"/>
      <c r="BB130" s="2051"/>
      <c r="BC130" s="2051"/>
      <c r="BD130" s="2051"/>
      <c r="BE130" s="2051"/>
      <c r="BF130" s="2051"/>
      <c r="BG130" s="2051"/>
      <c r="BH130" s="2051"/>
      <c r="BI130" s="2051"/>
      <c r="BJ130" s="2051"/>
      <c r="BK130" s="2051"/>
      <c r="BL130" s="2051"/>
      <c r="BM130" s="2051"/>
      <c r="BN130" s="2051"/>
      <c r="BO130" s="2051"/>
      <c r="BP130" s="2051"/>
      <c r="BQ130" s="2051"/>
      <c r="BR130" s="2051"/>
      <c r="BS130" s="2051"/>
      <c r="BT130" s="2051"/>
    </row>
    <row r="131" spans="3:72" s="358" customFormat="1" x14ac:dyDescent="0.2">
      <c r="C131" s="374"/>
      <c r="D131" s="375"/>
      <c r="E131" s="376" t="str">
        <f>'Saisie données stocks'!F23</f>
        <v>AZT+3TC</v>
      </c>
      <c r="F131" s="377" t="str">
        <f>'Saisie données stocks'!G23</f>
        <v>Cp</v>
      </c>
      <c r="G131" s="377" t="str">
        <f>'Saisie données stocks'!H23</f>
        <v>60/30 mg</v>
      </c>
      <c r="H131" s="378" t="str">
        <f>CONCATENATE(E131, " - ", G131," - ", 'TRAD-Calculs dispo Données FA'!$B$79,"/", K131)</f>
        <v>AZT+3TC - 60/30 mg - B/60</v>
      </c>
      <c r="I131" s="380">
        <f>Calculs!K106</f>
        <v>2</v>
      </c>
      <c r="J131" s="380">
        <f t="shared" si="25"/>
        <v>60</v>
      </c>
      <c r="K131" s="114">
        <f>Calculs!J106</f>
        <v>60</v>
      </c>
      <c r="L131" s="381">
        <f t="shared" si="26"/>
        <v>1</v>
      </c>
      <c r="M131" s="1820">
        <f>IF('Saisie données stocks'!$O$10='TRAD-Saisie données stocks'!$B$51, 'Calculs Péremption conso'!BU11, Calculs!M266)+IF('Saisie données stocks'!$M$76='TRAD-Saisie données stocks'!$B$51, Calculs!N266, "0")</f>
        <v>903</v>
      </c>
      <c r="N131" s="1820">
        <f>Calculs!$L$321</f>
        <v>146</v>
      </c>
      <c r="O131" s="1820">
        <f>Calculs!$N$321</f>
        <v>0</v>
      </c>
      <c r="P131"/>
      <c r="Q131" s="2161">
        <f>IF(Calculs!N321&gt;0, (-(Calculs!N321+2*Calculs!L321)+SQRT((Calculs!N321+2*Calculs!L321)*(Calculs!N321+2*Calculs!L321)+8*Calculs!N321*(M131)))/(2*Calculs!N321), ((M131)/Calculs!L321))</f>
        <v>6.1849315068493151</v>
      </c>
      <c r="R131" s="2161">
        <f>Q131-Paramétrage!D$29</f>
        <v>3.1849315068493151</v>
      </c>
      <c r="S131" s="2162">
        <f>IF(Q131&lt;Paramétrage!D$29, Q131, Paramétrage!D$29)</f>
        <v>3</v>
      </c>
      <c r="T131" s="2164">
        <f>IF(Q131&lt;Paramétrage!D$29, Paramétrage!H$19+R131*(365/12), Paramétrage!H$19+R131*(365/12))</f>
        <v>42015.875</v>
      </c>
      <c r="U131" s="2165">
        <f>IF(Q131&lt;Paramétrage!D$29, Paramétrage!H$19+S131*(365/12), Paramétrage!H$19+Q131*(365/12))</f>
        <v>42107.125</v>
      </c>
      <c r="V131" s="2051"/>
      <c r="W131" s="2161">
        <f>IF(ISERROR(Q131),"", IF(Q131=0, "", IF(Q131&gt;'Calculs Péremption conso'!$CB11, 'Calculs Péremption conso'!$CB11, Q131)))</f>
        <v>6.1849315068493151</v>
      </c>
      <c r="X131" s="2166">
        <f>IF(ISERROR(Q131),"", IF(Q131=0, "", IF(Q131&gt;'Calculs Péremption conso'!$CB11, 'Calculs Péremption conso'!$CB11-Paramétrage!$D$29, R131)))</f>
        <v>3.1849315068493151</v>
      </c>
      <c r="Y131" s="2162">
        <f t="shared" si="29"/>
        <v>3</v>
      </c>
      <c r="Z131" s="2164">
        <f>IF(ISERROR(Q131),"", IF(Q131=0, "", IF(Q131&gt;'Calculs Péremption conso'!$CB11, 'Calculs Péremption conso'!$BX11-Paramétrage!$D$29*(365/12), T131)))</f>
        <v>42015.875</v>
      </c>
      <c r="AA131" s="2165">
        <f>IF(ISERROR(Q131),AW131,IF(Q131=0,IF(AND(M131=0,OR(N131&gt;0,O131&gt;0)),AX131,""),IF('Saisie données stocks'!$O$10='TRAD-Saisie données stocks'!$B$51,IF('Calculs Péremption conso'!P11="OK",IF('Calculs Péremption conso'!BV11&gt;0,CONCATENATE('TRAD-Calculs dispo Données FA'!$B$88, " - ",'Calculs Péremption conso'!$BY11,"/",'Calculs Péremption conso'!$BZ11,"/",'Calculs Péremption conso'!$CA11),U131),IF(Q131&gt;'Saisie données stocks'!$N$14,'Calculs Péremption conso'!CC11,U131)),IF(Q131&gt;'Saisie données stocks'!$N$14,'Calculs Péremption conso'!CC11,U131))))</f>
        <v>42107.125</v>
      </c>
      <c r="AB131" s="2051"/>
      <c r="AC131" s="2161">
        <f>(Calculs!O266)/Calculs!L321</f>
        <v>6.1849315068493151</v>
      </c>
      <c r="AD131" s="2161">
        <f t="shared" si="30"/>
        <v>0</v>
      </c>
      <c r="AE131" s="2162">
        <f>AC131-Paramétrage!D$29</f>
        <v>3.1849315068493151</v>
      </c>
      <c r="AF131" s="2163">
        <f>IF(AC131&lt;Paramétrage!D$29, AC131, Paramétrage!D$29)</f>
        <v>3</v>
      </c>
      <c r="AG131" s="2164">
        <f>Paramétrage!H$19+AE131*(365/12)</f>
        <v>42015.875</v>
      </c>
      <c r="AH131" s="2165">
        <f>IF(AC131&lt;Paramétrage!D$29, Paramétrage!H$19+AF131*(365/12), Paramétrage!H$19+AC131*(365/12))</f>
        <v>42107.125</v>
      </c>
      <c r="AI131" s="2051"/>
      <c r="AJ131" s="2161">
        <f>IF(ISERROR(AC131),"", IF(AC131=0, "", IF(AC131&gt;'Calculs Péremption FA'!$CB11, 'Calculs Péremption FA'!$CB11, AC131)))</f>
        <v>6.1849315068493151</v>
      </c>
      <c r="AK131" s="2166" t="str">
        <f t="shared" si="31"/>
        <v/>
      </c>
      <c r="AL131" s="2162">
        <f>IF(ISERROR(AC131),"", IF(AC131=0, "", IF(AC131&gt;'Calculs Péremption conso'!$CB11, 'Calculs Péremption conso'!$CB11-Paramétrage!$D$29, AE131)))</f>
        <v>3.1849315068493151</v>
      </c>
      <c r="AM131" s="2167">
        <f>IF(ISERROR(AC131),"", IF(AC131=0, "", IF(AC131&gt;'Calculs Péremption conso'!$CB11, Paramétrage!$D$29, AF131)))</f>
        <v>3</v>
      </c>
      <c r="AN131" s="2164">
        <f>IF(ISERROR(AC131),"", IF(AC131=0, "", IF(AC131&gt;'Calculs Péremption conso'!$CB11, 'Calculs Péremption conso'!$BX11-Paramétrage!$D$29*(365/12), AG131)))</f>
        <v>42015.875</v>
      </c>
      <c r="AO131" s="2165">
        <f>IF(ISERROR(AC131),"", IF(AC131=0, "", IF(AC131&gt;'Calculs Péremption conso'!$CB11, CONCATENATE('TRAD-Calculs dispo Données FA'!$B$88, " - ", 'Calculs Péremption conso'!$BY11, "/", 'Calculs Péremption conso'!$BZ11, "/", 'Calculs Péremption conso'!$CA11), AH131)))</f>
        <v>42107.125</v>
      </c>
      <c r="AP131" s="2206"/>
      <c r="AQ131" s="2207"/>
      <c r="AR131" s="2051"/>
      <c r="AS131" s="2061">
        <f>Calculs!$O266</f>
        <v>903</v>
      </c>
      <c r="AT131" s="2062">
        <f>Calculs!$L321</f>
        <v>146</v>
      </c>
      <c r="AU131" s="2068">
        <f>Calculs!$N321</f>
        <v>0</v>
      </c>
      <c r="AV131" s="2070" t="str">
        <f>IF(AND(AU131=0, AS131=0, AT131=0), 'TRAD-Calculs dispo Données FA'!$B$82, "")</f>
        <v/>
      </c>
      <c r="AW131" s="2062" t="str">
        <f>IF(AND(AU131=0, AS131&gt;0, AT131=0), CONCATENATE(AS131, 'TRAD-Calculs dispo Données FA'!$B$80," =0"), "")</f>
        <v/>
      </c>
      <c r="AX131" s="2063" t="str">
        <f>IF(AND(AS131=0, OR(AT131&gt;=1, AU131&gt;=1)), 'TRAD-Calculs dispo Données FA'!$B$81, "")</f>
        <v/>
      </c>
      <c r="AY131" s="2051"/>
      <c r="AZ131" s="2051"/>
      <c r="BA131" s="2051"/>
      <c r="BB131" s="2051"/>
      <c r="BC131" s="2051"/>
      <c r="BD131" s="2051"/>
      <c r="BE131" s="2051"/>
      <c r="BF131" s="2051"/>
      <c r="BG131" s="2051"/>
      <c r="BH131" s="2051"/>
      <c r="BI131" s="2051"/>
      <c r="BJ131" s="2051"/>
      <c r="BK131" s="2051"/>
      <c r="BL131" s="2051"/>
      <c r="BM131" s="2051"/>
      <c r="BN131" s="2051"/>
      <c r="BO131" s="2051"/>
      <c r="BP131" s="2051"/>
      <c r="BQ131" s="2051"/>
      <c r="BR131" s="2051"/>
      <c r="BS131" s="2051"/>
      <c r="BT131" s="2051"/>
    </row>
    <row r="132" spans="3:72" s="358" customFormat="1" ht="25.5" x14ac:dyDescent="0.2">
      <c r="C132" s="374"/>
      <c r="D132" s="375"/>
      <c r="E132" s="376" t="str">
        <f>'Saisie données stocks'!F24</f>
        <v>3TC+ABC</v>
      </c>
      <c r="F132" s="377" t="str">
        <f>'Saisie données stocks'!G24</f>
        <v>Cp</v>
      </c>
      <c r="G132" s="377" t="str">
        <f>'Saisie données stocks'!H24</f>
        <v>300/600 mg</v>
      </c>
      <c r="H132" s="378" t="str">
        <f>CONCATENATE(E132, " - ", G132," - ", 'TRAD-Calculs dispo Données FA'!$B$79,"/", K132)</f>
        <v>3TC+ABC - 300/600 mg - B/30</v>
      </c>
      <c r="I132" s="380">
        <f>Calculs!K107</f>
        <v>1</v>
      </c>
      <c r="J132" s="380">
        <f t="shared" si="25"/>
        <v>30</v>
      </c>
      <c r="K132" s="114">
        <f>Calculs!J107</f>
        <v>30</v>
      </c>
      <c r="L132" s="381">
        <f t="shared" si="26"/>
        <v>1</v>
      </c>
      <c r="M132" s="1820">
        <f>IF('Saisie données stocks'!$O$10='TRAD-Saisie données stocks'!$B$51, 'Calculs Péremption conso'!BU12, Calculs!M267)+IF('Saisie données stocks'!$M$76='TRAD-Saisie données stocks'!$B$51, Calculs!N267, "0")</f>
        <v>187</v>
      </c>
      <c r="N132" s="1820">
        <f>Calculs!$L$322</f>
        <v>56</v>
      </c>
      <c r="O132" s="1820">
        <f>Calculs!$N$322</f>
        <v>0</v>
      </c>
      <c r="P132"/>
      <c r="Q132" s="2161">
        <f>IF(Calculs!N322&gt;0, (-(Calculs!N322+2*Calculs!L322)+SQRT((Calculs!N322+2*Calculs!L322)*(Calculs!N322+2*Calculs!L322)+8*Calculs!N322*(M132)))/(2*Calculs!N322), ((M132)/Calculs!L322))</f>
        <v>3.3392857142857144</v>
      </c>
      <c r="R132" s="2161">
        <f>Q132-Paramétrage!D$29</f>
        <v>0.33928571428571441</v>
      </c>
      <c r="S132" s="2162">
        <f>IF(Q132&lt;Paramétrage!D$29, Q132, Paramétrage!D$29)</f>
        <v>3</v>
      </c>
      <c r="T132" s="2164">
        <f>IF(Q132&lt;Paramétrage!D$29, Paramétrage!H$19+R132*(365/12), Paramétrage!H$19+R132*(365/12))</f>
        <v>41929.319940476191</v>
      </c>
      <c r="U132" s="2165">
        <f>IF(Q132&lt;Paramétrage!D$29, Paramétrage!H$19+S132*(365/12), Paramétrage!H$19+Q132*(365/12))</f>
        <v>42020.569940476191</v>
      </c>
      <c r="V132" s="2051"/>
      <c r="W132" s="2161">
        <f>IF(ISERROR(Q132),"", IF(Q132=0, "", IF(Q132&gt;'Calculs Péremption conso'!$CB12, 'Calculs Péremption conso'!$CB12, Q132)))</f>
        <v>3.3392857142857144</v>
      </c>
      <c r="X132" s="2166">
        <f>IF(ISERROR(Q132),"", IF(Q132=0, "", IF(Q132&gt;'Calculs Péremption conso'!$CB12, 'Calculs Péremption conso'!$CB12-Paramétrage!$D$29, R132)))</f>
        <v>0.33928571428571441</v>
      </c>
      <c r="Y132" s="2162">
        <f t="shared" si="29"/>
        <v>3</v>
      </c>
      <c r="Z132" s="2164">
        <f>IF(ISERROR(Q132),"", IF(Q132=0, "", IF(Q132&gt;'Calculs Péremption conso'!$CB12, 'Calculs Péremption conso'!$BX12-Paramétrage!$D$29*(365/12), T132)))</f>
        <v>41929.319940476191</v>
      </c>
      <c r="AA132" s="2165">
        <f>IF(ISERROR(Q132),AW132,IF(Q132=0,IF(AND(M132=0,OR(N132&gt;0,O132&gt;0)),AX132,""),IF('Saisie données stocks'!$O$10='TRAD-Saisie données stocks'!$B$51,IF('Calculs Péremption conso'!P12="OK",IF('Calculs Péremption conso'!BV12&gt;0,CONCATENATE('TRAD-Calculs dispo Données FA'!$B$88, " - ",'Calculs Péremption conso'!$BY12,"/",'Calculs Péremption conso'!$BZ12,"/",'Calculs Péremption conso'!$CA12),U132),IF(Q132&gt;'Saisie données stocks'!$N$14,'Calculs Péremption conso'!CC12,U132)),IF(Q132&gt;'Saisie données stocks'!$N$14,'Calculs Péremption conso'!CC12,U132))))</f>
        <v>42020.569940476191</v>
      </c>
      <c r="AB132" s="2051"/>
      <c r="AC132" s="2161">
        <f>(Calculs!O267)/Calculs!L322</f>
        <v>3.3392857142857144</v>
      </c>
      <c r="AD132" s="2161">
        <f t="shared" si="30"/>
        <v>0</v>
      </c>
      <c r="AE132" s="2162">
        <f>AC132-Paramétrage!D$29</f>
        <v>0.33928571428571441</v>
      </c>
      <c r="AF132" s="2163">
        <f>IF(AC132&lt;Paramétrage!D$29, AC132, Paramétrage!D$29)</f>
        <v>3</v>
      </c>
      <c r="AG132" s="2164">
        <f>Paramétrage!H$19+AE132*(365/12)</f>
        <v>41929.319940476191</v>
      </c>
      <c r="AH132" s="2165">
        <f>IF(AC132&lt;Paramétrage!D$29, Paramétrage!H$19+AF132*(365/12), Paramétrage!H$19+AC132*(365/12))</f>
        <v>42020.569940476191</v>
      </c>
      <c r="AI132" s="2051"/>
      <c r="AJ132" s="2161">
        <f>IF(ISERROR(AC132),"", IF(AC132=0, "", IF(AC132&gt;'Calculs Péremption FA'!$CB12, 'Calculs Péremption FA'!$CB12, AC132)))</f>
        <v>3.3392857142857144</v>
      </c>
      <c r="AK132" s="2166" t="str">
        <f t="shared" si="31"/>
        <v/>
      </c>
      <c r="AL132" s="2162">
        <f>IF(ISERROR(AC132),"", IF(AC132=0, "", IF(AC132&gt;'Calculs Péremption conso'!$CB12, 'Calculs Péremption conso'!$CB12-Paramétrage!$D$29, AE132)))</f>
        <v>0.33928571428571441</v>
      </c>
      <c r="AM132" s="2167">
        <f>IF(ISERROR(AC132),"", IF(AC132=0, "", IF(AC132&gt;'Calculs Péremption conso'!$CB12, Paramétrage!$D$29, AF132)))</f>
        <v>3</v>
      </c>
      <c r="AN132" s="2164">
        <f>IF(ISERROR(AC132),"", IF(AC132=0, "", IF(AC132&gt;'Calculs Péremption conso'!$CB12, 'Calculs Péremption conso'!$BX12-Paramétrage!$D$29*(365/12), AG132)))</f>
        <v>41929.319940476191</v>
      </c>
      <c r="AO132" s="2165">
        <f>IF(ISERROR(AC132),"", IF(AC132=0, "", IF(AC132&gt;'Calculs Péremption conso'!$CB12, CONCATENATE('TRAD-Calculs dispo Données FA'!$B$88, " - ", 'Calculs Péremption conso'!$BY12, "/", 'Calculs Péremption conso'!$BZ12, "/", 'Calculs Péremption conso'!$CA12), AH132)))</f>
        <v>42020.569940476191</v>
      </c>
      <c r="AP132" s="2206"/>
      <c r="AQ132" s="2207"/>
      <c r="AR132" s="2051"/>
      <c r="AS132" s="2061">
        <f>Calculs!$O267</f>
        <v>187</v>
      </c>
      <c r="AT132" s="2062">
        <f>Calculs!$L322</f>
        <v>56</v>
      </c>
      <c r="AU132" s="2068">
        <f>Calculs!$N322</f>
        <v>0</v>
      </c>
      <c r="AV132" s="2070" t="str">
        <f>IF(AND(AU132=0, AS132=0, AT132=0), 'TRAD-Calculs dispo Données FA'!$B$82, "")</f>
        <v/>
      </c>
      <c r="AW132" s="2062" t="str">
        <f>IF(AND(AU132=0, AS132&gt;0, AT132=0), CONCATENATE(AS132, 'TRAD-Calculs dispo Données FA'!$B$80," =0"), "")</f>
        <v/>
      </c>
      <c r="AX132" s="2063" t="str">
        <f>IF(AND(AS132=0, OR(AT132&gt;=1, AU132&gt;=1)), 'TRAD-Calculs dispo Données FA'!$B$81, "")</f>
        <v/>
      </c>
      <c r="AY132" s="2051"/>
      <c r="AZ132" s="2051"/>
      <c r="BA132" s="2051"/>
      <c r="BB132" s="2051"/>
      <c r="BC132" s="2051"/>
      <c r="BD132" s="2051"/>
      <c r="BE132" s="2051"/>
      <c r="BF132" s="2051"/>
      <c r="BG132" s="2051"/>
      <c r="BH132" s="2051"/>
      <c r="BI132" s="2051"/>
      <c r="BJ132" s="2051"/>
      <c r="BK132" s="2051"/>
      <c r="BL132" s="2051"/>
      <c r="BM132" s="2051"/>
      <c r="BN132" s="2051"/>
      <c r="BO132" s="2051"/>
      <c r="BP132" s="2051"/>
      <c r="BQ132" s="2051"/>
      <c r="BR132" s="2051"/>
      <c r="BS132" s="2051"/>
      <c r="BT132" s="2051"/>
    </row>
    <row r="133" spans="3:72" s="358" customFormat="1" x14ac:dyDescent="0.2">
      <c r="C133" s="374"/>
      <c r="D133" s="375"/>
      <c r="E133" s="376" t="str">
        <f>'Saisie données stocks'!F25</f>
        <v>3TC+ABC</v>
      </c>
      <c r="F133" s="377" t="str">
        <f>'Saisie données stocks'!G25</f>
        <v>Cp</v>
      </c>
      <c r="G133" s="377" t="str">
        <f>'Saisie données stocks'!H25</f>
        <v>30/60 mg</v>
      </c>
      <c r="H133" s="378" t="str">
        <f>CONCATENATE(E133, " - ", G133," - ", 'TRAD-Calculs dispo Données FA'!$B$79,"/", K133)</f>
        <v>3TC+ABC - 30/60 mg - B/60</v>
      </c>
      <c r="I133" s="380">
        <f>Calculs!K108</f>
        <v>2</v>
      </c>
      <c r="J133" s="380">
        <f t="shared" si="25"/>
        <v>60</v>
      </c>
      <c r="K133" s="114">
        <f>Calculs!J108</f>
        <v>60</v>
      </c>
      <c r="L133" s="381">
        <f t="shared" si="26"/>
        <v>1</v>
      </c>
      <c r="M133" s="1820">
        <f>IF('Saisie données stocks'!$O$10='TRAD-Saisie données stocks'!$B$51, 'Calculs Péremption conso'!BU13, Calculs!M268)+IF('Saisie données stocks'!$M$76='TRAD-Saisie données stocks'!$B$51, Calculs!N268, "0")</f>
        <v>84.62465753424658</v>
      </c>
      <c r="N133" s="1820">
        <f>Calculs!$L$323</f>
        <v>22</v>
      </c>
      <c r="O133" s="1820">
        <f>Calculs!$N$323</f>
        <v>0</v>
      </c>
      <c r="P133"/>
      <c r="Q133" s="2161">
        <f>IF(Calculs!N323&gt;0, (-(Calculs!N323+2*Calculs!L323)+SQRT((Calculs!N323+2*Calculs!L323)*(Calculs!N323+2*Calculs!L323)+8*Calculs!N323*(M133)))/(2*Calculs!N323), ((M133)/Calculs!L323))</f>
        <v>3.8465753424657536</v>
      </c>
      <c r="R133" s="2161">
        <f>Q133-Paramétrage!D$29</f>
        <v>0.84657534246575361</v>
      </c>
      <c r="S133" s="2162">
        <f>IF(Q133&lt;Paramétrage!D$29, Q133, Paramétrage!D$29)</f>
        <v>3</v>
      </c>
      <c r="T133" s="2164">
        <f>IF(Q133&lt;Paramétrage!D$29, Paramétrage!H$19+R133*(365/12), Paramétrage!H$19+R133*(365/12))</f>
        <v>41944.75</v>
      </c>
      <c r="U133" s="2165">
        <f>IF(Q133&lt;Paramétrage!D$29, Paramétrage!H$19+S133*(365/12), Paramétrage!H$19+Q133*(365/12))</f>
        <v>42036</v>
      </c>
      <c r="V133" s="2051"/>
      <c r="W133" s="2161">
        <f>IF(ISERROR(Q133),"", IF(Q133=0, "", IF(Q133&gt;'Calculs Péremption conso'!$CB13, 'Calculs Péremption conso'!$CB13, Q133)))</f>
        <v>3.8465753424657536</v>
      </c>
      <c r="X133" s="2166">
        <f>IF(ISERROR(Q133),"", IF(Q133=0, "", IF(Q133&gt;'Calculs Péremption conso'!$CB13, 'Calculs Péremption conso'!$CB13-Paramétrage!$D$29, R133)))</f>
        <v>0.84657534246575361</v>
      </c>
      <c r="Y133" s="2162">
        <f t="shared" si="29"/>
        <v>3</v>
      </c>
      <c r="Z133" s="2164">
        <f>IF(ISERROR(Q133),"", IF(Q133=0, "", IF(Q133&gt;'Calculs Péremption conso'!$CB13, 'Calculs Péremption conso'!$BX13-Paramétrage!$D$29*(365/12), T133)))</f>
        <v>41944.75</v>
      </c>
      <c r="AA133" s="2165" t="str">
        <f>IF(ISERROR(Q133),AW133,IF(Q133=0,IF(AND(M133=0,OR(N133&gt;0,O133&gt;0)),AX133,""),IF('Saisie données stocks'!$O$10='TRAD-Saisie données stocks'!$B$51,IF('Calculs Péremption conso'!P13="OK",IF('Calculs Péremption conso'!BV13&gt;0,CONCATENATE('TRAD-Calculs dispo Données FA'!$B$88, " - ",'Calculs Péremption conso'!$BY13,"/",'Calculs Péremption conso'!$BZ13,"/",'Calculs Péremption conso'!$CA13),U133),IF(Q133&gt;'Saisie données stocks'!$N$14,'Calculs Péremption conso'!CC13,U133)),IF(Q133&gt;'Saisie données stocks'!$N$14,'Calculs Péremption conso'!CC13,U133))))</f>
        <v>DLU - 1/2/2015</v>
      </c>
      <c r="AB133" s="2051"/>
      <c r="AC133" s="2161">
        <f>(Calculs!O268)/Calculs!L323</f>
        <v>10.5</v>
      </c>
      <c r="AD133" s="2161">
        <f t="shared" si="30"/>
        <v>6.6534246575342468</v>
      </c>
      <c r="AE133" s="2162">
        <f>AC133-Paramétrage!D$29</f>
        <v>7.5</v>
      </c>
      <c r="AF133" s="2163">
        <f>IF(AC133&lt;Paramétrage!D$29, AC133, Paramétrage!D$29)</f>
        <v>3</v>
      </c>
      <c r="AG133" s="2164">
        <f>Paramétrage!H$19+AE133*(365/12)</f>
        <v>42147.125</v>
      </c>
      <c r="AH133" s="2165">
        <f>IF(AC133&lt;Paramétrage!D$29, Paramétrage!H$19+AF133*(365/12), Paramétrage!H$19+AC133*(365/12))</f>
        <v>42238.375</v>
      </c>
      <c r="AI133" s="2051"/>
      <c r="AJ133" s="2161">
        <f>IF(ISERROR(AC133),"", IF(AC133=0, "", IF(AC133&gt;'Calculs Péremption FA'!$CB13, 'Calculs Péremption FA'!$CB13, AC133)))</f>
        <v>3.8465753424657532</v>
      </c>
      <c r="AK133" s="2166">
        <f t="shared" si="31"/>
        <v>-4.4408920985006262E-16</v>
      </c>
      <c r="AL133" s="2162">
        <f>IF(ISERROR(AC133),"", IF(AC133=0, "", IF(AC133&gt;'Calculs Péremption conso'!$CB13, 'Calculs Péremption conso'!$CB13-Paramétrage!$D$29, AE133)))</f>
        <v>0.84657534246575317</v>
      </c>
      <c r="AM133" s="2167">
        <f>IF(ISERROR(AC133),"", IF(AC133=0, "", IF(AC133&gt;'Calculs Péremption conso'!$CB13, Paramétrage!$D$29, AF133)))</f>
        <v>3</v>
      </c>
      <c r="AN133" s="2164">
        <f>IF(ISERROR(AC133),"", IF(AC133=0, "", IF(AC133&gt;'Calculs Péremption conso'!$CB13, 'Calculs Péremption conso'!$BX13-Paramétrage!$D$29*(365/12), AG133)))</f>
        <v>41944.75</v>
      </c>
      <c r="AO133" s="2165" t="str">
        <f>IF(ISERROR(AC133),"", IF(AC133=0, "", IF(AC133&gt;'Calculs Péremption conso'!$CB13, CONCATENATE('TRAD-Calculs dispo Données FA'!$B$88, " - ", 'Calculs Péremption conso'!$BY13, "/", 'Calculs Péremption conso'!$BZ13, "/", 'Calculs Péremption conso'!$CA13), AH133)))</f>
        <v>DLU - 1/2/2015</v>
      </c>
      <c r="AP133" s="2206"/>
      <c r="AQ133" s="2207"/>
      <c r="AR133" s="2051"/>
      <c r="AS133" s="2061">
        <f>Calculs!$O268</f>
        <v>231</v>
      </c>
      <c r="AT133" s="2062">
        <f>Calculs!$L323</f>
        <v>22</v>
      </c>
      <c r="AU133" s="2068">
        <f>Calculs!$N323</f>
        <v>0</v>
      </c>
      <c r="AV133" s="2070" t="str">
        <f>IF(AND(AU133=0, AS133=0, AT133=0), 'TRAD-Calculs dispo Données FA'!$B$82, "")</f>
        <v/>
      </c>
      <c r="AW133" s="2062" t="str">
        <f>IF(AND(AU133=0, AS133&gt;0, AT133=0), CONCATENATE(AS133, 'TRAD-Calculs dispo Données FA'!$B$80," =0"), "")</f>
        <v/>
      </c>
      <c r="AX133" s="2063" t="str">
        <f>IF(AND(AS133=0, OR(AT133&gt;=1, AU133&gt;=1)), 'TRAD-Calculs dispo Données FA'!$B$81, "")</f>
        <v/>
      </c>
      <c r="AY133" s="2051"/>
      <c r="AZ133" s="2051"/>
      <c r="BA133" s="2051"/>
      <c r="BB133" s="2051"/>
      <c r="BC133" s="2051"/>
      <c r="BD133" s="2051"/>
      <c r="BE133" s="2051"/>
      <c r="BF133" s="2051"/>
      <c r="BG133" s="2051"/>
      <c r="BH133" s="2051"/>
      <c r="BI133" s="2051"/>
      <c r="BJ133" s="2051"/>
      <c r="BK133" s="2051"/>
      <c r="BL133" s="2051"/>
      <c r="BM133" s="2051"/>
      <c r="BN133" s="2051"/>
      <c r="BO133" s="2051"/>
      <c r="BP133" s="2051"/>
      <c r="BQ133" s="2051"/>
      <c r="BR133" s="2051"/>
      <c r="BS133" s="2051"/>
      <c r="BT133" s="2051"/>
    </row>
    <row r="134" spans="3:72" s="358" customFormat="1" ht="25.5" x14ac:dyDescent="0.2">
      <c r="C134" s="374"/>
      <c r="D134" s="375"/>
      <c r="E134" s="382" t="str">
        <f>'Saisie données stocks'!F26</f>
        <v>D4T+3TC+NVP</v>
      </c>
      <c r="F134" s="383" t="str">
        <f>'Saisie données stocks'!G26</f>
        <v>Cp</v>
      </c>
      <c r="G134" s="383" t="str">
        <f>'Saisie données stocks'!H26</f>
        <v>30/150/200 mg</v>
      </c>
      <c r="H134" s="384" t="str">
        <f>CONCATENATE(E134, " - ", G134," - ", 'TRAD-Calculs dispo Données FA'!$B$79,"/", K134)</f>
        <v>D4T+3TC+NVP - 30/150/200 mg - B/60</v>
      </c>
      <c r="I134" s="386">
        <f>Calculs!K109</f>
        <v>2</v>
      </c>
      <c r="J134" s="386">
        <f t="shared" si="25"/>
        <v>60</v>
      </c>
      <c r="K134" s="115">
        <f>Calculs!J109</f>
        <v>60</v>
      </c>
      <c r="L134" s="387">
        <f t="shared" si="26"/>
        <v>1</v>
      </c>
      <c r="M134" s="1821">
        <f>IF('Saisie données stocks'!$O$10='TRAD-Saisie données stocks'!$B$51, 'Calculs Péremption conso'!BU14, Calculs!M269)+IF('Saisie données stocks'!$M$76='TRAD-Saisie données stocks'!$B$51, Calculs!N269, "0")</f>
        <v>0</v>
      </c>
      <c r="N134" s="1870">
        <f>Calculs!$L$324</f>
        <v>0</v>
      </c>
      <c r="O134" s="1870">
        <f>Calculs!$N$324</f>
        <v>0</v>
      </c>
      <c r="P134"/>
      <c r="Q134" s="2168" t="e">
        <f>IF(Calculs!N324&gt;0, (-(Calculs!N324+2*Calculs!L324)+SQRT((Calculs!N324+2*Calculs!L324)*(Calculs!N324+2*Calculs!L324)+8*Calculs!N324*(M134)))/(2*Calculs!N324), ((M134)/Calculs!L324))</f>
        <v>#DIV/0!</v>
      </c>
      <c r="R134" s="2168" t="e">
        <f>Q134-Paramétrage!D$29</f>
        <v>#DIV/0!</v>
      </c>
      <c r="S134" s="2162" t="e">
        <f>IF(Q134&lt;Paramétrage!D$29, Q134, Paramétrage!D$29)</f>
        <v>#DIV/0!</v>
      </c>
      <c r="T134" s="2170" t="e">
        <f>IF(Q134&lt;Paramétrage!D$29, Paramétrage!H$19+R134*(365/12), Paramétrage!H$19+R134*(365/12))</f>
        <v>#DIV/0!</v>
      </c>
      <c r="U134" s="2171" t="e">
        <f>IF(Q134&lt;Paramétrage!D$29, Paramétrage!H$19+S134*(365/12), Paramétrage!H$19+Q134*(365/12))</f>
        <v>#DIV/0!</v>
      </c>
      <c r="V134" s="2051"/>
      <c r="W134" s="2168" t="str">
        <f>IF(ISERROR(Q134),"", IF(Q134=0, "", IF(Q134&gt;'Calculs Péremption conso'!$CB14, 'Calculs Péremption conso'!$CB14, Q134)))</f>
        <v/>
      </c>
      <c r="X134" s="2172" t="str">
        <f>IF(ISERROR(Q134),"", IF(Q134=0, "", IF(Q134&gt;'Calculs Péremption conso'!$CB14, 'Calculs Péremption conso'!$CB14-Paramétrage!$D$29, R134)))</f>
        <v/>
      </c>
      <c r="Y134" s="2173" t="str">
        <f t="shared" si="29"/>
        <v/>
      </c>
      <c r="Z134" s="2170" t="str">
        <f>IF(ISERROR(Q134),"", IF(Q134=0, "", IF(Q134&gt;'Calculs Péremption conso'!$CB14, 'Calculs Péremption conso'!$BX14-Paramétrage!$D$29*(365/12), T134)))</f>
        <v/>
      </c>
      <c r="AA134" s="2171" t="str">
        <f>IF(ISERROR(Q134),AW134,IF(Q134=0,IF(AND(M134=0,OR(N134&gt;0,O134&gt;0)),AX134,""),IF('Saisie données stocks'!$O$10='TRAD-Saisie données stocks'!$B$51,IF('Calculs Péremption conso'!P14="OK",IF('Calculs Péremption conso'!BV14&gt;0,CONCATENATE('TRAD-Calculs dispo Données FA'!$B$88, " - ",'Calculs Péremption conso'!$BY14,"/",'Calculs Péremption conso'!$BZ14,"/",'Calculs Péremption conso'!$CA14),U134),IF(Q134&gt;'Saisie données stocks'!$N$14,'Calculs Péremption conso'!CC14,U134)),IF(Q134&gt;'Saisie données stocks'!$N$14,'Calculs Péremption conso'!CC14,U134))))</f>
        <v/>
      </c>
      <c r="AB134" s="2051"/>
      <c r="AC134" s="2168" t="e">
        <f>(Calculs!O269)/Calculs!L324</f>
        <v>#DIV/0!</v>
      </c>
      <c r="AD134" s="2168" t="e">
        <f t="shared" si="30"/>
        <v>#DIV/0!</v>
      </c>
      <c r="AE134" s="2162" t="e">
        <f>AC134-Paramétrage!D$29</f>
        <v>#DIV/0!</v>
      </c>
      <c r="AF134" s="2169" t="e">
        <f>IF(AC134&lt;Paramétrage!D$29, AC134, Paramétrage!D$29)</f>
        <v>#DIV/0!</v>
      </c>
      <c r="AG134" s="2170" t="e">
        <f>Paramétrage!H$19+AE134*(365/12)</f>
        <v>#DIV/0!</v>
      </c>
      <c r="AH134" s="2171" t="e">
        <f>IF(AC134&lt;Paramétrage!D$29, Paramétrage!H$19+AF134*(365/12), Paramétrage!H$19+AC134*(365/12))</f>
        <v>#DIV/0!</v>
      </c>
      <c r="AI134" s="2051"/>
      <c r="AJ134" s="2168" t="str">
        <f>IF(ISERROR(AC134),"", IF(AC134=0, "", IF(AC134&gt;'Calculs Péremption FA'!$CB14, 'Calculs Péremption FA'!$CB14, AC134)))</f>
        <v/>
      </c>
      <c r="AK134" s="2172" t="str">
        <f t="shared" si="31"/>
        <v/>
      </c>
      <c r="AL134" s="2173" t="str">
        <f>IF(ISERROR(AC134),"", IF(AC134=0, "", IF(AC134&gt;'Calculs Péremption conso'!$CB14, 'Calculs Péremption conso'!$CB14-Paramétrage!$D$29, AE134)))</f>
        <v/>
      </c>
      <c r="AM134" s="2174" t="str">
        <f>IF(ISERROR(AC134),"", IF(AC134=0, "", IF(AC134&gt;'Calculs Péremption conso'!$CB14, Paramétrage!$D$29, AF134)))</f>
        <v/>
      </c>
      <c r="AN134" s="2170" t="str">
        <f>IF(ISERROR(AC134),"", IF(AC134=0, "", IF(AC134&gt;'Calculs Péremption conso'!$CB14, 'Calculs Péremption conso'!$BX14-Paramétrage!$D$29*(365/12), AG134)))</f>
        <v/>
      </c>
      <c r="AO134" s="2171" t="str">
        <f>IF(ISERROR(AC134),"", IF(AC134=0, "", IF(AC134&gt;'Calculs Péremption conso'!$CB14, CONCATENATE('TRAD-Calculs dispo Données FA'!$B$88, " - ", 'Calculs Péremption conso'!$BY14, "/", 'Calculs Péremption conso'!$BZ14, "/", 'Calculs Péremption conso'!$CA14), AH134)))</f>
        <v/>
      </c>
      <c r="AP134" s="2206"/>
      <c r="AQ134" s="2207"/>
      <c r="AR134" s="2051"/>
      <c r="AS134" s="2061">
        <f>Calculs!$O269</f>
        <v>0</v>
      </c>
      <c r="AT134" s="2062">
        <f>Calculs!$L324</f>
        <v>0</v>
      </c>
      <c r="AU134" s="2068">
        <f>Calculs!$N324</f>
        <v>0</v>
      </c>
      <c r="AV134" s="2070" t="str">
        <f>IF(AND(AU134=0, AS134=0, AT134=0), 'TRAD-Calculs dispo Données FA'!$B$82, "")</f>
        <v>Stock et besoin nul</v>
      </c>
      <c r="AW134" s="2062" t="str">
        <f>IF(AND(AU134=0, AS134&gt;0, AT134=0), CONCATENATE(AS134, 'TRAD-Calculs dispo Données FA'!$B$80," =0"), "")</f>
        <v/>
      </c>
      <c r="AX134" s="2063" t="str">
        <f>IF(AND(AS134=0, OR(AT134&gt;=1, AU134&gt;=1)), 'TRAD-Calculs dispo Données FA'!$B$81, "")</f>
        <v/>
      </c>
      <c r="AY134" s="2051"/>
      <c r="AZ134" s="2051"/>
      <c r="BA134" s="2051"/>
      <c r="BB134" s="2051"/>
      <c r="BC134" s="2051"/>
      <c r="BD134" s="2051"/>
      <c r="BE134" s="2051"/>
      <c r="BF134" s="2051"/>
      <c r="BG134" s="2051"/>
      <c r="BH134" s="2051"/>
      <c r="BI134" s="2051"/>
      <c r="BJ134" s="2051"/>
      <c r="BK134" s="2051"/>
      <c r="BL134" s="2051"/>
      <c r="BM134" s="2051"/>
      <c r="BN134" s="2051"/>
      <c r="BO134" s="2051"/>
      <c r="BP134" s="2051"/>
      <c r="BQ134" s="2051"/>
      <c r="BR134" s="2051"/>
      <c r="BS134" s="2051"/>
      <c r="BT134" s="2051"/>
    </row>
    <row r="135" spans="3:72" s="358" customFormat="1" ht="38.25" x14ac:dyDescent="0.2">
      <c r="C135" s="374"/>
      <c r="D135" s="375"/>
      <c r="E135" s="382" t="str">
        <f>'Saisie données stocks'!F27</f>
        <v>D4T+3TC+NVP</v>
      </c>
      <c r="F135" s="383" t="str">
        <f>'Saisie données stocks'!G27</f>
        <v>Cp</v>
      </c>
      <c r="G135" s="383" t="str">
        <f>'Saisie données stocks'!H27</f>
        <v>6/30/50 mg</v>
      </c>
      <c r="H135" s="385" t="str">
        <f>CONCATENATE(E135, " - ", G135," - ", 'TRAD-Calculs dispo Données FA'!$B$79,"/", K135)</f>
        <v>D4T+3TC+NVP - 6/30/50 mg - B/60</v>
      </c>
      <c r="I135" s="386">
        <f>Calculs!K110</f>
        <v>2</v>
      </c>
      <c r="J135" s="386">
        <f t="shared" si="25"/>
        <v>60</v>
      </c>
      <c r="K135" s="115">
        <f>Calculs!J110</f>
        <v>60</v>
      </c>
      <c r="L135" s="387">
        <f t="shared" si="26"/>
        <v>1</v>
      </c>
      <c r="M135" s="1821">
        <f>IF('Saisie données stocks'!$O$10='TRAD-Saisie données stocks'!$B$51, 'Calculs Péremption conso'!BU15, Calculs!M270)+IF('Saisie données stocks'!$M$76='TRAD-Saisie données stocks'!$B$51, Calculs!N270, "0")</f>
        <v>112.1917808219178</v>
      </c>
      <c r="N135" s="1870">
        <f>Calculs!$L$325</f>
        <v>100</v>
      </c>
      <c r="O135" s="1870">
        <f>Calculs!$N$325</f>
        <v>0</v>
      </c>
      <c r="P135"/>
      <c r="Q135" s="2168">
        <f>IF(Calculs!N325&gt;0, (-(Calculs!N325+2*Calculs!L325)+SQRT((Calculs!N325+2*Calculs!L325)*(Calculs!N325+2*Calculs!L325)+8*Calculs!N325*(M135)))/(2*Calculs!N325), ((M135)/Calculs!L325))</f>
        <v>1.1219178082191781</v>
      </c>
      <c r="R135" s="2168">
        <f>Q135-Paramétrage!D$29</f>
        <v>-1.8780821917808219</v>
      </c>
      <c r="S135" s="2173">
        <f>IF(Q135&lt;Paramétrage!D$29, Q135, Paramétrage!D$29)</f>
        <v>1.1219178082191781</v>
      </c>
      <c r="T135" s="2170">
        <f>IF(Q135&lt;Paramétrage!D$29, Paramétrage!H$19+R135*(365/12), Paramétrage!H$19+R135*(365/12))</f>
        <v>41861.875</v>
      </c>
      <c r="U135" s="2171">
        <f>IF(Q135&lt;Paramétrage!D$29, Paramétrage!H$19+S135*(365/12), Paramétrage!H$19+Q135*(365/12))</f>
        <v>41953.125</v>
      </c>
      <c r="V135" s="2051"/>
      <c r="W135" s="2168">
        <f>IF(ISERROR(Q135),"", IF(Q135=0, "", IF(Q135&gt;'Calculs Péremption conso'!$CB15, 'Calculs Péremption conso'!$CB15, Q135)))</f>
        <v>0.82191780821917804</v>
      </c>
      <c r="X135" s="2172">
        <f>IF(ISERROR(Q135),"", IF(Q135=0, "", IF(Q135&gt;'Calculs Péremption conso'!$CB15, 'Calculs Péremption conso'!$CB15-Paramétrage!$D$29, R135)))</f>
        <v>-2.1780821917808222</v>
      </c>
      <c r="Y135" s="2173">
        <f t="shared" si="29"/>
        <v>1.1219178082191781</v>
      </c>
      <c r="Z135" s="2170">
        <f>IF(ISERROR(Q135),"", IF(Q135=0, "", IF(Q135&gt;'Calculs Péremption conso'!$CB15, 'Calculs Péremption conso'!$BX15-Paramétrage!$D$29*(365/12), T135)))</f>
        <v>41852.75</v>
      </c>
      <c r="AA135" s="2171" t="str">
        <f>IF(ISERROR(Q135),AW135,IF(Q135=0,IF(AND(M135=0,OR(N135&gt;0,O135&gt;0)),AX135,""),IF('Saisie données stocks'!$O$10='TRAD-Saisie données stocks'!$B$51,IF('Calculs Péremption conso'!P15="OK",IF('Calculs Péremption conso'!BV15&gt;0,CONCATENATE('TRAD-Calculs dispo Données FA'!$B$88, " - ",'Calculs Péremption conso'!$BY15,"/",'Calculs Péremption conso'!$BZ15,"/",'Calculs Péremption conso'!$CA15),U135),IF(Q135&gt;'Saisie données stocks'!$N$14,'Calculs Péremption conso'!CC15,U135)),IF(Q135&gt;'Saisie données stocks'!$N$14,'Calculs Péremption conso'!CC15,U135))))</f>
        <v>DLU - 1/11/2014</v>
      </c>
      <c r="AB135" s="2051"/>
      <c r="AC135" s="2168">
        <f>(Calculs!O270)/Calculs!L325</f>
        <v>1.21</v>
      </c>
      <c r="AD135" s="2168">
        <f t="shared" si="30"/>
        <v>8.8082191780821883E-2</v>
      </c>
      <c r="AE135" s="2173">
        <f>AC135-Paramétrage!D$29</f>
        <v>-1.79</v>
      </c>
      <c r="AF135" s="2169">
        <f>IF(AC135&lt;Paramétrage!D$29, AC135, Paramétrage!D$29)</f>
        <v>1.21</v>
      </c>
      <c r="AG135" s="2170">
        <f>Paramétrage!H$19+AE135*(365/12)</f>
        <v>41864.554166666669</v>
      </c>
      <c r="AH135" s="2171">
        <f>IF(AC135&lt;Paramétrage!D$29, Paramétrage!H$19+AF135*(365/12), Paramétrage!H$19+AC135*(365/12))</f>
        <v>41955.804166666669</v>
      </c>
      <c r="AI135" s="2051"/>
      <c r="AJ135" s="2168">
        <f>IF(ISERROR(AC135),"", IF(AC135=0, "", IF(AC135&gt;'Calculs Péremption FA'!$CB15, 'Calculs Péremption FA'!$CB15, AC135)))</f>
        <v>0.82191780821917804</v>
      </c>
      <c r="AK135" s="2172" t="str">
        <f t="shared" si="31"/>
        <v>0</v>
      </c>
      <c r="AL135" s="2173">
        <f>IF(ISERROR(AC135),"", IF(AC135=0, "", IF(AC135&gt;'Calculs Péremption conso'!$CB15, 'Calculs Péremption conso'!$CB15-Paramétrage!$D$29, AE135)))</f>
        <v>-2.1780821917808222</v>
      </c>
      <c r="AM135" s="2174">
        <f>IF(ISERROR(AC135),"", IF(AC135=0, "", IF(AC135&gt;'Calculs Péremption conso'!$CB15, Paramétrage!$D$29, AF135)))</f>
        <v>3</v>
      </c>
      <c r="AN135" s="2170">
        <f>IF(ISERROR(AC135),"", IF(AC135=0, "", IF(AC135&gt;'Calculs Péremption conso'!$CB15, 'Calculs Péremption conso'!$BX15-Paramétrage!$D$29*(365/12), AG135)))</f>
        <v>41852.75</v>
      </c>
      <c r="AO135" s="2171" t="str">
        <f>IF(ISERROR(AC135),"", IF(AC135=0, "", IF(AC135&gt;'Calculs Péremption conso'!$CB15, CONCATENATE('TRAD-Calculs dispo Données FA'!$B$88, " - ", 'Calculs Péremption conso'!$BY15, "/", 'Calculs Péremption conso'!$BZ15, "/", 'Calculs Péremption conso'!$CA15), AH135)))</f>
        <v>DLU - 1/11/2014</v>
      </c>
      <c r="AP135" s="2206"/>
      <c r="AQ135" s="2207"/>
      <c r="AR135" s="2051"/>
      <c r="AS135" s="2061">
        <f>Calculs!$O270</f>
        <v>121</v>
      </c>
      <c r="AT135" s="2062">
        <f>Calculs!$L325</f>
        <v>100</v>
      </c>
      <c r="AU135" s="2068">
        <f>Calculs!$N325</f>
        <v>0</v>
      </c>
      <c r="AV135" s="2070" t="str">
        <f>IF(AND(AU135=0, AS135=0, AT135=0), 'TRAD-Calculs dispo Données FA'!$B$82, "")</f>
        <v/>
      </c>
      <c r="AW135" s="2062" t="str">
        <f>IF(AND(AU135=0, AS135&gt;0, AT135=0), CONCATENATE(AS135, 'TRAD-Calculs dispo Données FA'!$B$80," =0"), "")</f>
        <v/>
      </c>
      <c r="AX135" s="2063" t="str">
        <f>IF(AND(AS135=0, OR(AT135&gt;=1, AU135&gt;=1)), 'TRAD-Calculs dispo Données FA'!$B$81, "")</f>
        <v/>
      </c>
      <c r="AY135" s="2051"/>
      <c r="AZ135" s="2051"/>
      <c r="BA135" s="2051"/>
      <c r="BB135" s="2051"/>
      <c r="BC135" s="2051"/>
      <c r="BD135" s="2051"/>
      <c r="BE135" s="2051"/>
      <c r="BF135" s="2051"/>
      <c r="BG135" s="2051"/>
      <c r="BH135" s="2051"/>
      <c r="BI135" s="2051"/>
      <c r="BJ135" s="2051"/>
      <c r="BK135" s="2051"/>
      <c r="BL135" s="2051"/>
      <c r="BM135" s="2051"/>
      <c r="BN135" s="2051"/>
      <c r="BO135" s="2051"/>
      <c r="BP135" s="2051"/>
      <c r="BQ135" s="2051"/>
      <c r="BR135" s="2051"/>
      <c r="BS135" s="2051"/>
      <c r="BT135" s="2051"/>
    </row>
    <row r="136" spans="3:72" s="358" customFormat="1" ht="38.25" x14ac:dyDescent="0.2">
      <c r="C136" s="374"/>
      <c r="D136" s="375"/>
      <c r="E136" s="382" t="str">
        <f>'Saisie données stocks'!F28</f>
        <v>D4T+3TC</v>
      </c>
      <c r="F136" s="383" t="str">
        <f>'Saisie données stocks'!G28</f>
        <v>Cp</v>
      </c>
      <c r="G136" s="383" t="str">
        <f>'Saisie données stocks'!H28</f>
        <v>30/150 mg</v>
      </c>
      <c r="H136" s="379" t="str">
        <f>CONCATENATE(E136, " - ", G136," - ", 'TRAD-Calculs dispo Données FA'!$B$79,"/", K136)</f>
        <v>D4T+3TC - 30/150 mg - B/60</v>
      </c>
      <c r="I136" s="386">
        <f>Calculs!K111</f>
        <v>2</v>
      </c>
      <c r="J136" s="386">
        <f t="shared" si="25"/>
        <v>60</v>
      </c>
      <c r="K136" s="115">
        <f>Calculs!J111</f>
        <v>60</v>
      </c>
      <c r="L136" s="387">
        <f t="shared" si="26"/>
        <v>1</v>
      </c>
      <c r="M136" s="1821">
        <f>IF('Saisie données stocks'!$O$10='TRAD-Saisie données stocks'!$B$51, 'Calculs Péremption conso'!BU16, Calculs!M271)+IF('Saisie données stocks'!$M$76='TRAD-Saisie données stocks'!$B$51, Calculs!N271, "0")</f>
        <v>16</v>
      </c>
      <c r="N136" s="1870">
        <f>Calculs!$L$326</f>
        <v>45</v>
      </c>
      <c r="O136" s="1870">
        <f>Calculs!$N$326</f>
        <v>0</v>
      </c>
      <c r="P136"/>
      <c r="Q136" s="2168">
        <f>IF(Calculs!N326&gt;0, (-(Calculs!N326+2*Calculs!L326)+SQRT((Calculs!N326+2*Calculs!L326)*(Calculs!N326+2*Calculs!L326)+8*Calculs!N326*(M136)))/(2*Calculs!N326), ((M136)/Calculs!L326))</f>
        <v>0.35555555555555557</v>
      </c>
      <c r="R136" s="2168">
        <f>Q136-Paramétrage!D$29</f>
        <v>-2.6444444444444444</v>
      </c>
      <c r="S136" s="2173">
        <f>IF(Q136&lt;Paramétrage!D$29, Q136, Paramétrage!D$29)</f>
        <v>0.35555555555555557</v>
      </c>
      <c r="T136" s="2170">
        <f>IF(Q136&lt;Paramétrage!D$29, Paramétrage!H$19+R136*(365/12), Paramétrage!H$19+R136*(365/12))</f>
        <v>41838.564814814818</v>
      </c>
      <c r="U136" s="2171">
        <f>IF(Q136&lt;Paramétrage!D$29, Paramétrage!H$19+S136*(365/12), Paramétrage!H$19+Q136*(365/12))</f>
        <v>41929.814814814818</v>
      </c>
      <c r="V136" s="2051"/>
      <c r="W136" s="2168">
        <f>IF(ISERROR(Q136),"", IF(Q136=0, "", IF(Q136&gt;'Calculs Péremption conso'!$CB16, 'Calculs Péremption conso'!$CB16, Q136)))</f>
        <v>0.35555555555555557</v>
      </c>
      <c r="X136" s="2172">
        <f>IF(ISERROR(Q136),"", IF(Q136=0, "", IF(Q136&gt;'Calculs Péremption conso'!$CB16, 'Calculs Péremption conso'!$CB16-Paramétrage!$D$29, R136)))</f>
        <v>-2.6444444444444444</v>
      </c>
      <c r="Y136" s="2173">
        <f t="shared" si="29"/>
        <v>0.35555555555555557</v>
      </c>
      <c r="Z136" s="2170">
        <f>IF(ISERROR(Q136),"", IF(Q136=0, "", IF(Q136&gt;'Calculs Péremption conso'!$CB16, 'Calculs Péremption conso'!$BX16-Paramétrage!$D$29*(365/12), T136)))</f>
        <v>41838.564814814818</v>
      </c>
      <c r="AA136" s="2171">
        <f>IF(ISERROR(Q136),AW136,IF(Q136=0,IF(AND(M136=0,OR(N136&gt;0,O136&gt;0)),AX136,""),IF('Saisie données stocks'!$O$10='TRAD-Saisie données stocks'!$B$51,IF('Calculs Péremption conso'!P16="OK",IF('Calculs Péremption conso'!BV16&gt;0,CONCATENATE('TRAD-Calculs dispo Données FA'!$B$88, " - ",'Calculs Péremption conso'!$BY16,"/",'Calculs Péremption conso'!$BZ16,"/",'Calculs Péremption conso'!$CA16),U136),IF(Q136&gt;'Saisie données stocks'!$N$14,'Calculs Péremption conso'!CC16,U136)),IF(Q136&gt;'Saisie données stocks'!$N$14,'Calculs Péremption conso'!CC16,U136))))</f>
        <v>41929.814814814818</v>
      </c>
      <c r="AB136" s="2051"/>
      <c r="AC136" s="2168">
        <f>(Calculs!O271)/Calculs!L326</f>
        <v>0.35555555555555557</v>
      </c>
      <c r="AD136" s="2168">
        <f t="shared" si="30"/>
        <v>0</v>
      </c>
      <c r="AE136" s="2173">
        <f>AC136-Paramétrage!D$29</f>
        <v>-2.6444444444444444</v>
      </c>
      <c r="AF136" s="2169">
        <f>IF(AC136&lt;Paramétrage!D$29, AC136, Paramétrage!D$29)</f>
        <v>0.35555555555555557</v>
      </c>
      <c r="AG136" s="2170">
        <f>Paramétrage!H$19+AE136*(365/12)</f>
        <v>41838.564814814818</v>
      </c>
      <c r="AH136" s="2171">
        <f>IF(AC136&lt;Paramétrage!D$29, Paramétrage!H$19+AF136*(365/12), Paramétrage!H$19+AC136*(365/12))</f>
        <v>41929.814814814818</v>
      </c>
      <c r="AI136" s="2051"/>
      <c r="AJ136" s="2168">
        <f>IF(ISERROR(AC136),"", IF(AC136=0, "", IF(AC136&gt;'Calculs Péremption FA'!$CB16, 'Calculs Péremption FA'!$CB16, AC136)))</f>
        <v>0.35555555555555557</v>
      </c>
      <c r="AK136" s="2172" t="str">
        <f t="shared" si="31"/>
        <v/>
      </c>
      <c r="AL136" s="2173">
        <f>IF(ISERROR(AC136),"", IF(AC136=0, "", IF(AC136&gt;'Calculs Péremption conso'!$CB16, 'Calculs Péremption conso'!$CB16-Paramétrage!$D$29, AE136)))</f>
        <v>-2.6444444444444444</v>
      </c>
      <c r="AM136" s="2174">
        <f>IF(ISERROR(AC136),"", IF(AC136=0, "", IF(AC136&gt;'Calculs Péremption conso'!$CB16, Paramétrage!$D$29, AF136)))</f>
        <v>0.35555555555555557</v>
      </c>
      <c r="AN136" s="2170">
        <f>IF(ISERROR(AC136),"", IF(AC136=0, "", IF(AC136&gt;'Calculs Péremption conso'!$CB16, 'Calculs Péremption conso'!$BX16-Paramétrage!$D$29*(365/12), AG136)))</f>
        <v>41838.564814814818</v>
      </c>
      <c r="AO136" s="2171">
        <f>IF(ISERROR(AC136),"", IF(AC136=0, "", IF(AC136&gt;'Calculs Péremption conso'!$CB16, CONCATENATE('TRAD-Calculs dispo Données FA'!$B$88, " - ", 'Calculs Péremption conso'!$BY16, "/", 'Calculs Péremption conso'!$BZ16, "/", 'Calculs Péremption conso'!$CA16), AH136)))</f>
        <v>41929.814814814818</v>
      </c>
      <c r="AP136" s="2206"/>
      <c r="AQ136" s="2207"/>
      <c r="AR136" s="2051"/>
      <c r="AS136" s="2061">
        <f>Calculs!$O271</f>
        <v>16</v>
      </c>
      <c r="AT136" s="2062">
        <f>Calculs!$L326</f>
        <v>45</v>
      </c>
      <c r="AU136" s="2068">
        <f>Calculs!$N326</f>
        <v>0</v>
      </c>
      <c r="AV136" s="2070" t="str">
        <f>IF(AND(AU136=0, AS136=0, AT136=0), 'TRAD-Calculs dispo Données FA'!$B$82, "")</f>
        <v/>
      </c>
      <c r="AW136" s="2062" t="str">
        <f>IF(AND(AU136=0, AS136&gt;0, AT136=0), CONCATENATE(AS136, 'TRAD-Calculs dispo Données FA'!$B$80," =0"), "")</f>
        <v/>
      </c>
      <c r="AX136" s="2063" t="str">
        <f>IF(AND(AS136=0, OR(AT136&gt;=1, AU136&gt;=1)), 'TRAD-Calculs dispo Données FA'!$B$81, "")</f>
        <v/>
      </c>
      <c r="AY136" s="2051"/>
      <c r="AZ136" s="2051"/>
      <c r="BA136" s="2051"/>
      <c r="BB136" s="2051"/>
      <c r="BC136" s="2051"/>
      <c r="BD136" s="2051"/>
      <c r="BE136" s="2051"/>
      <c r="BF136" s="2051"/>
      <c r="BG136" s="2051"/>
      <c r="BH136" s="2051"/>
      <c r="BI136" s="2051"/>
      <c r="BJ136" s="2051"/>
      <c r="BK136" s="2051"/>
      <c r="BL136" s="2051"/>
      <c r="BM136" s="2051"/>
      <c r="BN136" s="2051"/>
      <c r="BO136" s="2051"/>
      <c r="BP136" s="2051"/>
      <c r="BQ136" s="2051"/>
      <c r="BR136" s="2051"/>
      <c r="BS136" s="2051"/>
      <c r="BT136" s="2051"/>
    </row>
    <row r="137" spans="3:72" s="358" customFormat="1" ht="38.25" x14ac:dyDescent="0.2">
      <c r="C137" s="374"/>
      <c r="D137" s="375"/>
      <c r="E137" s="382" t="str">
        <f>'Saisie données stocks'!F29</f>
        <v>TDF+FTC+EFV</v>
      </c>
      <c r="F137" s="383" t="str">
        <f>'Saisie données stocks'!G29</f>
        <v>Cp</v>
      </c>
      <c r="G137" s="383" t="str">
        <f>'Saisie données stocks'!H29</f>
        <v>300/200/600 mg</v>
      </c>
      <c r="H137" s="379" t="str">
        <f>CONCATENATE(E137, " - ", G137," - ", 'TRAD-Calculs dispo Données FA'!$B$79,"/", K137)</f>
        <v>TDF+FTC+EFV - 300/200/600 mg - B/30</v>
      </c>
      <c r="I137" s="386">
        <f>Calculs!K112</f>
        <v>1</v>
      </c>
      <c r="J137" s="386">
        <f t="shared" si="25"/>
        <v>30</v>
      </c>
      <c r="K137" s="115">
        <f>Calculs!J112</f>
        <v>30</v>
      </c>
      <c r="L137" s="387">
        <f t="shared" si="26"/>
        <v>1</v>
      </c>
      <c r="M137" s="1821">
        <f>IF('Saisie données stocks'!$O$10='TRAD-Saisie données stocks'!$B$51, 'Calculs Péremption conso'!BU17, Calculs!M272)+IF('Saisie données stocks'!$M$76='TRAD-Saisie données stocks'!$B$51, Calculs!N272, "0")</f>
        <v>0</v>
      </c>
      <c r="N137" s="1870">
        <f>Calculs!$L$327</f>
        <v>0</v>
      </c>
      <c r="O137" s="1870">
        <f>Calculs!$N$327</f>
        <v>0</v>
      </c>
      <c r="P137"/>
      <c r="Q137" s="2168" t="e">
        <f>IF(Calculs!N327&gt;0, (-(Calculs!N327+2*Calculs!L327)+SQRT((Calculs!N327+2*Calculs!L327)*(Calculs!N327+2*Calculs!L327)+8*Calculs!N327*(M137)))/(2*Calculs!N327), ((M137)/Calculs!L327))</f>
        <v>#DIV/0!</v>
      </c>
      <c r="R137" s="2168" t="e">
        <f>Q137-Paramétrage!D$29</f>
        <v>#DIV/0!</v>
      </c>
      <c r="S137" s="2173" t="e">
        <f>IF(Q137&lt;Paramétrage!D$29, Q137, Paramétrage!D$29)</f>
        <v>#DIV/0!</v>
      </c>
      <c r="T137" s="2170" t="e">
        <f>IF(Q137&lt;Paramétrage!D$29, Paramétrage!H$19+R137*(365/12), Paramétrage!H$19+R137*(365/12))</f>
        <v>#DIV/0!</v>
      </c>
      <c r="U137" s="2171" t="e">
        <f>IF(Q137&lt;Paramétrage!D$29, Paramétrage!H$19+S137*(365/12), Paramétrage!H$19+Q137*(365/12))</f>
        <v>#DIV/0!</v>
      </c>
      <c r="V137" s="2051"/>
      <c r="W137" s="2168" t="str">
        <f>IF(ISERROR(Q137),"", IF(Q137=0, "", IF(Q137&gt;'Calculs Péremption conso'!$CB17, 'Calculs Péremption conso'!$CB17, Q137)))</f>
        <v/>
      </c>
      <c r="X137" s="2172" t="str">
        <f>IF(ISERROR(Q137),"", IF(Q137=0, "", IF(Q137&gt;'Calculs Péremption conso'!$CB17, 'Calculs Péremption conso'!$CB17-Paramétrage!$D$29, R137)))</f>
        <v/>
      </c>
      <c r="Y137" s="2173" t="str">
        <f t="shared" si="29"/>
        <v/>
      </c>
      <c r="Z137" s="2170" t="str">
        <f>IF(ISERROR(Q137),"", IF(Q137=0, "", IF(Q137&gt;'Calculs Péremption conso'!$CB17, 'Calculs Péremption conso'!$BX17-Paramétrage!$D$29*(365/12), T137)))</f>
        <v/>
      </c>
      <c r="AA137" s="2171" t="str">
        <f>IF(ISERROR(Q137),AW137,IF(Q137=0,IF(AND(M137=0,OR(N137&gt;0,O137&gt;0)),AX137,""),IF('Saisie données stocks'!$O$10='TRAD-Saisie données stocks'!$B$51,IF('Calculs Péremption conso'!P17="OK",IF('Calculs Péremption conso'!BV17&gt;0,CONCATENATE('TRAD-Calculs dispo Données FA'!$B$88, " - ",'Calculs Péremption conso'!$BY17,"/",'Calculs Péremption conso'!$BZ17,"/",'Calculs Péremption conso'!$CA17),U137),IF(Q137&gt;'Saisie données stocks'!$N$14,'Calculs Péremption conso'!CC17,U137)),IF(Q137&gt;'Saisie données stocks'!$N$14,'Calculs Péremption conso'!CC17,U137))))</f>
        <v/>
      </c>
      <c r="AB137" s="2051"/>
      <c r="AC137" s="2168" t="e">
        <f>(Calculs!O272)/Calculs!L327</f>
        <v>#DIV/0!</v>
      </c>
      <c r="AD137" s="2168" t="e">
        <f t="shared" si="30"/>
        <v>#DIV/0!</v>
      </c>
      <c r="AE137" s="2173" t="e">
        <f>AC137-Paramétrage!D$29</f>
        <v>#DIV/0!</v>
      </c>
      <c r="AF137" s="2169" t="e">
        <f>IF(AC137&lt;Paramétrage!D$29, AC137, Paramétrage!D$29)</f>
        <v>#DIV/0!</v>
      </c>
      <c r="AG137" s="2170" t="e">
        <f>Paramétrage!H$19+AE137*(365/12)</f>
        <v>#DIV/0!</v>
      </c>
      <c r="AH137" s="2171" t="e">
        <f>IF(AC137&lt;Paramétrage!D$29, Paramétrage!H$19+AF137*(365/12), Paramétrage!H$19+AC137*(365/12))</f>
        <v>#DIV/0!</v>
      </c>
      <c r="AI137" s="2051"/>
      <c r="AJ137" s="2168" t="str">
        <f>IF(ISERROR(AC137),"", IF(AC137=0, "", IF(AC137&gt;'Calculs Péremption FA'!$CB17, 'Calculs Péremption FA'!$CB17, AC137)))</f>
        <v/>
      </c>
      <c r="AK137" s="2172" t="str">
        <f t="shared" si="31"/>
        <v/>
      </c>
      <c r="AL137" s="2173" t="str">
        <f>IF(ISERROR(AC137),"", IF(AC137=0, "", IF(AC137&gt;'Calculs Péremption conso'!$CB17, 'Calculs Péremption conso'!$CB17-Paramétrage!$D$29, AE137)))</f>
        <v/>
      </c>
      <c r="AM137" s="2174" t="str">
        <f>IF(ISERROR(AC137),"", IF(AC137=0, "", IF(AC137&gt;'Calculs Péremption conso'!$CB17, Paramétrage!$D$29, AF137)))</f>
        <v/>
      </c>
      <c r="AN137" s="2170" t="str">
        <f>IF(ISERROR(AC137),"", IF(AC137=0, "", IF(AC137&gt;'Calculs Péremption conso'!$CB17, 'Calculs Péremption conso'!$BX17-Paramétrage!$D$29*(365/12), AG137)))</f>
        <v/>
      </c>
      <c r="AO137" s="2171" t="str">
        <f>IF(ISERROR(AC137),"", IF(AC137=0, "", IF(AC137&gt;'Calculs Péremption conso'!$CB17, CONCATENATE('TRAD-Calculs dispo Données FA'!$B$88, " - ", 'Calculs Péremption conso'!$BY17, "/", 'Calculs Péremption conso'!$BZ17, "/", 'Calculs Péremption conso'!$CA17), AH137)))</f>
        <v/>
      </c>
      <c r="AP137" s="2206"/>
      <c r="AQ137" s="2207"/>
      <c r="AR137" s="2051"/>
      <c r="AS137" s="2061">
        <f>Calculs!$O272</f>
        <v>0</v>
      </c>
      <c r="AT137" s="2062">
        <f>Calculs!$L327</f>
        <v>0</v>
      </c>
      <c r="AU137" s="2068">
        <f>Calculs!$N327</f>
        <v>0</v>
      </c>
      <c r="AV137" s="2070" t="str">
        <f>IF(AND(AU137=0, AS137=0, AT137=0), 'TRAD-Calculs dispo Données FA'!$B$82, "")</f>
        <v>Stock et besoin nul</v>
      </c>
      <c r="AW137" s="2062" t="str">
        <f>IF(AND(AU137=0, AS137&gt;0, AT137=0), CONCATENATE(AS137, 'TRAD-Calculs dispo Données FA'!$B$80," =0"), "")</f>
        <v/>
      </c>
      <c r="AX137" s="2063" t="str">
        <f>IF(AND(AS137=0, OR(AT137&gt;=1, AU137&gt;=1)), 'TRAD-Calculs dispo Données FA'!$B$81, "")</f>
        <v/>
      </c>
      <c r="AY137" s="2051"/>
      <c r="AZ137" s="2051"/>
      <c r="BA137" s="2051"/>
      <c r="BB137" s="2051"/>
      <c r="BC137" s="2051"/>
      <c r="BD137" s="2051"/>
      <c r="BE137" s="2051"/>
      <c r="BF137" s="2051"/>
      <c r="BG137" s="2051"/>
      <c r="BH137" s="2051"/>
      <c r="BI137" s="2051"/>
      <c r="BJ137" s="2051"/>
      <c r="BK137" s="2051"/>
      <c r="BL137" s="2051"/>
      <c r="BM137" s="2051"/>
      <c r="BN137" s="2051"/>
      <c r="BO137" s="2051"/>
      <c r="BP137" s="2051"/>
      <c r="BQ137" s="2051"/>
      <c r="BR137" s="2051"/>
      <c r="BS137" s="2051"/>
      <c r="BT137" s="2051"/>
    </row>
    <row r="138" spans="3:72" s="358" customFormat="1" ht="38.25" x14ac:dyDescent="0.2">
      <c r="C138" s="374"/>
      <c r="D138" s="375"/>
      <c r="E138" s="382" t="str">
        <f>'Saisie données stocks'!F30</f>
        <v>TDF+FTC</v>
      </c>
      <c r="F138" s="383" t="str">
        <f>'Saisie données stocks'!G30</f>
        <v>Cp</v>
      </c>
      <c r="G138" s="383" t="str">
        <f>'Saisie données stocks'!H30</f>
        <v>300/200 mg</v>
      </c>
      <c r="H138" s="379" t="str">
        <f>CONCATENATE(E138, " - ", G138," - ", 'TRAD-Calculs dispo Données FA'!$B$79,"/", K138)</f>
        <v>TDF+FTC - 300/200 mg - B/30</v>
      </c>
      <c r="I138" s="386">
        <f>Calculs!K113</f>
        <v>1</v>
      </c>
      <c r="J138" s="386">
        <f t="shared" si="25"/>
        <v>30</v>
      </c>
      <c r="K138" s="115">
        <f>Calculs!J113</f>
        <v>30</v>
      </c>
      <c r="L138" s="387">
        <f t="shared" si="26"/>
        <v>1</v>
      </c>
      <c r="M138" s="1821">
        <f>IF('Saisie données stocks'!$O$10='TRAD-Saisie données stocks'!$B$51, 'Calculs Péremption conso'!BU18, Calculs!M273)+IF('Saisie données stocks'!$M$76='TRAD-Saisie données stocks'!$B$51, Calculs!N273, "0")</f>
        <v>0</v>
      </c>
      <c r="N138" s="1870">
        <f>Calculs!$L$328</f>
        <v>0</v>
      </c>
      <c r="O138" s="1870">
        <f>Calculs!$N$328</f>
        <v>0</v>
      </c>
      <c r="P138"/>
      <c r="Q138" s="2168" t="e">
        <f>IF(Calculs!N328&gt;0, (-(Calculs!N328+2*Calculs!L328)+SQRT((Calculs!N328+2*Calculs!L328)*(Calculs!N328+2*Calculs!L328)+8*Calculs!N328*(M138)))/(2*Calculs!N328), ((M138)/Calculs!L328))</f>
        <v>#DIV/0!</v>
      </c>
      <c r="R138" s="2168" t="e">
        <f>Q138-Paramétrage!D$29</f>
        <v>#DIV/0!</v>
      </c>
      <c r="S138" s="2173" t="e">
        <f>IF(Q138&lt;Paramétrage!D$29, Q138, Paramétrage!D$29)</f>
        <v>#DIV/0!</v>
      </c>
      <c r="T138" s="2170" t="e">
        <f>IF(Q138&lt;Paramétrage!D$29, Paramétrage!H$19+R138*(365/12), Paramétrage!H$19+R138*(365/12))</f>
        <v>#DIV/0!</v>
      </c>
      <c r="U138" s="2171" t="e">
        <f>IF(Q138&lt;Paramétrage!D$29, Paramétrage!H$19+S138*(365/12), Paramétrage!H$19+Q138*(365/12))</f>
        <v>#DIV/0!</v>
      </c>
      <c r="V138" s="2051"/>
      <c r="W138" s="2168" t="str">
        <f>IF(ISERROR(Q138),"", IF(Q138=0, "", IF(Q138&gt;'Calculs Péremption conso'!$CB18, 'Calculs Péremption conso'!$CB18, Q138)))</f>
        <v/>
      </c>
      <c r="X138" s="2172" t="str">
        <f>IF(ISERROR(Q138),"", IF(Q138=0, "", IF(Q138&gt;'Calculs Péremption conso'!$CB18, 'Calculs Péremption conso'!$CB18-Paramétrage!$D$29, R138)))</f>
        <v/>
      </c>
      <c r="Y138" s="2173" t="str">
        <f t="shared" si="29"/>
        <v/>
      </c>
      <c r="Z138" s="2170" t="str">
        <f>IF(ISERROR(Q138),"", IF(Q138=0, "", IF(Q138&gt;'Calculs Péremption conso'!$CB18, 'Calculs Péremption conso'!$BX18-Paramétrage!$D$29*(365/12), T138)))</f>
        <v/>
      </c>
      <c r="AA138" s="2171" t="str">
        <f>IF(ISERROR(Q138),AW138,IF(Q138=0,IF(AND(M138=0,OR(N138&gt;0,O138&gt;0)),AX138,""),IF('Saisie données stocks'!$O$10='TRAD-Saisie données stocks'!$B$51,IF('Calculs Péremption conso'!P18="OK",IF('Calculs Péremption conso'!BV18&gt;0,CONCATENATE('TRAD-Calculs dispo Données FA'!$B$88, " - ",'Calculs Péremption conso'!$BY18,"/",'Calculs Péremption conso'!$BZ18,"/",'Calculs Péremption conso'!$CA18),U138),IF(Q138&gt;'Saisie données stocks'!$N$14,'Calculs Péremption conso'!CC18,U138)),IF(Q138&gt;'Saisie données stocks'!$N$14,'Calculs Péremption conso'!CC18,U138))))</f>
        <v/>
      </c>
      <c r="AB138" s="2051"/>
      <c r="AC138" s="2168" t="e">
        <f>(Calculs!O273)/Calculs!L328</f>
        <v>#DIV/0!</v>
      </c>
      <c r="AD138" s="2168" t="e">
        <f t="shared" si="30"/>
        <v>#DIV/0!</v>
      </c>
      <c r="AE138" s="2173" t="e">
        <f>AC138-Paramétrage!D$29</f>
        <v>#DIV/0!</v>
      </c>
      <c r="AF138" s="2169" t="e">
        <f>IF(AC138&lt;Paramétrage!D$29, AC138, Paramétrage!D$29)</f>
        <v>#DIV/0!</v>
      </c>
      <c r="AG138" s="2170" t="e">
        <f>Paramétrage!H$19+AE138*(365/12)</f>
        <v>#DIV/0!</v>
      </c>
      <c r="AH138" s="2171" t="e">
        <f>IF(AC138&lt;Paramétrage!D$29, Paramétrage!H$19+AF138*(365/12), Paramétrage!H$19+AC138*(365/12))</f>
        <v>#DIV/0!</v>
      </c>
      <c r="AI138" s="2051"/>
      <c r="AJ138" s="2168" t="str">
        <f>IF(ISERROR(AC138),"", IF(AC138=0, "", IF(AC138&gt;'Calculs Péremption FA'!$CB18, 'Calculs Péremption FA'!$CB18, AC138)))</f>
        <v/>
      </c>
      <c r="AK138" s="2172" t="str">
        <f t="shared" si="31"/>
        <v/>
      </c>
      <c r="AL138" s="2173" t="str">
        <f>IF(ISERROR(AC138),"", IF(AC138=0, "", IF(AC138&gt;'Calculs Péremption conso'!$CB18, 'Calculs Péremption conso'!$CB18-Paramétrage!$D$29, AE138)))</f>
        <v/>
      </c>
      <c r="AM138" s="2174" t="str">
        <f>IF(ISERROR(AC138),"", IF(AC138=0, "", IF(AC138&gt;'Calculs Péremption conso'!$CB18, Paramétrage!$D$29, AF138)))</f>
        <v/>
      </c>
      <c r="AN138" s="2170" t="str">
        <f>IF(ISERROR(AC138),"", IF(AC138=0, "", IF(AC138&gt;'Calculs Péremption conso'!$CB18, 'Calculs Péremption conso'!$BX18-Paramétrage!$D$29*(365/12), AG138)))</f>
        <v/>
      </c>
      <c r="AO138" s="2171" t="str">
        <f>IF(ISERROR(AC138),"", IF(AC138=0, "", IF(AC138&gt;'Calculs Péremption conso'!$CB18, CONCATENATE('TRAD-Calculs dispo Données FA'!$B$88, " - ", 'Calculs Péremption conso'!$BY18, "/", 'Calculs Péremption conso'!$BZ18, "/", 'Calculs Péremption conso'!$CA18), AH138)))</f>
        <v/>
      </c>
      <c r="AP138" s="2206"/>
      <c r="AQ138" s="2207"/>
      <c r="AR138" s="2051"/>
      <c r="AS138" s="2061">
        <f>Calculs!$O273</f>
        <v>0</v>
      </c>
      <c r="AT138" s="2062">
        <f>Calculs!$L328</f>
        <v>0</v>
      </c>
      <c r="AU138" s="2068">
        <f>Calculs!$N328</f>
        <v>0</v>
      </c>
      <c r="AV138" s="2070" t="str">
        <f>IF(AND(AU138=0, AS138=0, AT138=0), 'TRAD-Calculs dispo Données FA'!$B$82, "")</f>
        <v>Stock et besoin nul</v>
      </c>
      <c r="AW138" s="2062" t="str">
        <f>IF(AND(AU138=0, AS138&gt;0, AT138=0), CONCATENATE(AS138, 'TRAD-Calculs dispo Données FA'!$B$80," =0"), "")</f>
        <v/>
      </c>
      <c r="AX138" s="2063" t="str">
        <f>IF(AND(AS138=0, OR(AT138&gt;=1, AU138&gt;=1)), 'TRAD-Calculs dispo Données FA'!$B$81, "")</f>
        <v/>
      </c>
      <c r="AY138" s="2051"/>
      <c r="AZ138" s="2051"/>
      <c r="BA138" s="2051"/>
      <c r="BB138" s="2051"/>
      <c r="BC138" s="2051"/>
      <c r="BD138" s="2051"/>
      <c r="BE138" s="2051"/>
      <c r="BF138" s="2051"/>
      <c r="BG138" s="2051"/>
      <c r="BH138" s="2051"/>
      <c r="BI138" s="2051"/>
      <c r="BJ138" s="2051"/>
      <c r="BK138" s="2051"/>
      <c r="BL138" s="2051"/>
      <c r="BM138" s="2051"/>
      <c r="BN138" s="2051"/>
      <c r="BO138" s="2051"/>
      <c r="BP138" s="2051"/>
      <c r="BQ138" s="2051"/>
      <c r="BR138" s="2051"/>
      <c r="BS138" s="2051"/>
      <c r="BT138" s="2051"/>
    </row>
    <row r="139" spans="3:72" s="358" customFormat="1" ht="51" x14ac:dyDescent="0.2">
      <c r="C139" s="374"/>
      <c r="D139" s="375"/>
      <c r="E139" s="382" t="str">
        <f>'Saisie données stocks'!F31</f>
        <v>TDF+3TC+EFV</v>
      </c>
      <c r="F139" s="383" t="str">
        <f>'Saisie données stocks'!G31</f>
        <v>Cp</v>
      </c>
      <c r="G139" s="383" t="str">
        <f>'Saisie données stocks'!H31</f>
        <v>300/200/600 mg</v>
      </c>
      <c r="H139" s="385" t="str">
        <f>CONCATENATE(E139, " - ", G139," - ", 'TRAD-Calculs dispo Données FA'!$B$79,"/", K139)</f>
        <v>TDF+3TC+EFV - 300/200/600 mg - B/30</v>
      </c>
      <c r="I139" s="386">
        <f>Calculs!K114</f>
        <v>1</v>
      </c>
      <c r="J139" s="386">
        <f t="shared" si="25"/>
        <v>30</v>
      </c>
      <c r="K139" s="115">
        <f>Calculs!J114</f>
        <v>30</v>
      </c>
      <c r="L139" s="387">
        <f t="shared" si="26"/>
        <v>1</v>
      </c>
      <c r="M139" s="1821">
        <f>IF('Saisie données stocks'!$O$10='TRAD-Saisie données stocks'!$B$51, 'Calculs Péremption conso'!BU19, Calculs!M274)+IF('Saisie données stocks'!$M$76='TRAD-Saisie données stocks'!$B$51, Calculs!N274, "0")</f>
        <v>23203.397260273974</v>
      </c>
      <c r="N139" s="1870">
        <f>Calculs!$L$329</f>
        <v>1484</v>
      </c>
      <c r="O139" s="1870">
        <f>Calculs!$N$329</f>
        <v>0</v>
      </c>
      <c r="P139"/>
      <c r="Q139" s="2168">
        <f>IF(Calculs!N329&gt;0, (-(Calculs!N329+2*Calculs!L329)+SQRT((Calculs!N329+2*Calculs!L329)*(Calculs!N329+2*Calculs!L329)+8*Calculs!N329*(M139)))/(2*Calculs!N329), ((M139)/Calculs!L329))</f>
        <v>15.635712439537718</v>
      </c>
      <c r="R139" s="2168">
        <f>Q139-Paramétrage!D$29</f>
        <v>12.635712439537718</v>
      </c>
      <c r="S139" s="2173">
        <f>IF(Q139&lt;Paramétrage!D$29, Q139, Paramétrage!D$29)</f>
        <v>3</v>
      </c>
      <c r="T139" s="2170">
        <f>IF(Q139&lt;Paramétrage!D$29, Paramétrage!H$19+R139*(365/12), Paramétrage!H$19+R139*(365/12))</f>
        <v>42303.336253369271</v>
      </c>
      <c r="U139" s="2171">
        <f>IF(Q139&lt;Paramétrage!D$29, Paramétrage!H$19+S139*(365/12), Paramétrage!H$19+Q139*(365/12))</f>
        <v>42394.586253369271</v>
      </c>
      <c r="V139" s="2051"/>
      <c r="W139" s="2168">
        <f>IF(ISERROR(Q139),"", IF(Q139=0, "", IF(Q139&gt;'Calculs Péremption conso'!$CB19, 'Calculs Péremption conso'!$CB19, Q139)))</f>
        <v>13.808219178082192</v>
      </c>
      <c r="X139" s="2172">
        <f>IF(ISERROR(Q139),"", IF(Q139=0, "", IF(Q139&gt;'Calculs Péremption conso'!$CB19, 'Calculs Péremption conso'!$CB19-Paramétrage!$D$29, R139)))</f>
        <v>10.808219178082192</v>
      </c>
      <c r="Y139" s="2173">
        <f t="shared" si="29"/>
        <v>3</v>
      </c>
      <c r="Z139" s="2170">
        <f>IF(ISERROR(Q139),"", IF(Q139=0, "", IF(Q139&gt;'Calculs Péremption conso'!$CB19, 'Calculs Péremption conso'!$BX19-Paramétrage!$D$29*(365/12), T139)))</f>
        <v>42247.75</v>
      </c>
      <c r="AA139" s="2171" t="str">
        <f>IF(ISERROR(Q139),AW139,IF(Q139=0,IF(AND(M139=0,OR(N139&gt;0,O139&gt;0)),AX139,""),IF('Saisie données stocks'!$O$10='TRAD-Saisie données stocks'!$B$51,IF('Calculs Péremption conso'!P19="OK",IF('Calculs Péremption conso'!BV19&gt;0,CONCATENATE('TRAD-Calculs dispo Données FA'!$B$88, " - ",'Calculs Péremption conso'!$BY19,"/",'Calculs Péremption conso'!$BZ19,"/",'Calculs Péremption conso'!$CA19),U139),IF(Q139&gt;'Saisie données stocks'!$N$14,'Calculs Péremption conso'!CC19,U139)),IF(Q139&gt;'Saisie données stocks'!$N$14,'Calculs Péremption conso'!CC19,U139))))</f>
        <v>DLU - 1/12/2015</v>
      </c>
      <c r="AB139" s="2051"/>
      <c r="AC139" s="2168">
        <f>(Calculs!O274)/Calculs!L329</f>
        <v>26.109164420485175</v>
      </c>
      <c r="AD139" s="2168">
        <f t="shared" si="30"/>
        <v>10.473451980947457</v>
      </c>
      <c r="AE139" s="2173">
        <f>AC139-Paramétrage!D$29</f>
        <v>23.109164420485175</v>
      </c>
      <c r="AF139" s="2169">
        <f>IF(AC139&lt;Paramétrage!D$29, AC139, Paramétrage!D$29)</f>
        <v>3</v>
      </c>
      <c r="AG139" s="2170">
        <f>Paramétrage!H$19+AE139*(365/12)</f>
        <v>42621.903751123093</v>
      </c>
      <c r="AH139" s="2171">
        <f>IF(AC139&lt;Paramétrage!D$29, Paramétrage!H$19+AF139*(365/12), Paramétrage!H$19+AC139*(365/12))</f>
        <v>42713.153751123093</v>
      </c>
      <c r="AI139" s="2051"/>
      <c r="AJ139" s="2168">
        <f>IF(ISERROR(AC139),"", IF(AC139=0, "", IF(AC139&gt;'Calculs Péremption FA'!$CB19, 'Calculs Péremption FA'!$CB19, AC139)))</f>
        <v>13.808219178082192</v>
      </c>
      <c r="AK139" s="2172" t="str">
        <f t="shared" si="31"/>
        <v>0</v>
      </c>
      <c r="AL139" s="2173">
        <f>IF(ISERROR(AC139),"", IF(AC139=0, "", IF(AC139&gt;'Calculs Péremption conso'!$CB19, 'Calculs Péremption conso'!$CB19-Paramétrage!$D$29, AE139)))</f>
        <v>10.808219178082192</v>
      </c>
      <c r="AM139" s="2174">
        <f>IF(ISERROR(AC139),"", IF(AC139=0, "", IF(AC139&gt;'Calculs Péremption conso'!$CB19, Paramétrage!$D$29, AF139)))</f>
        <v>3</v>
      </c>
      <c r="AN139" s="2170">
        <f>IF(ISERROR(AC139),"", IF(AC139=0, "", IF(AC139&gt;'Calculs Péremption conso'!$CB19, 'Calculs Péremption conso'!$BX19-Paramétrage!$D$29*(365/12), AG139)))</f>
        <v>42247.75</v>
      </c>
      <c r="AO139" s="2171" t="str">
        <f>IF(ISERROR(AC139),"", IF(AC139=0, "", IF(AC139&gt;'Calculs Péremption conso'!$CB19, CONCATENATE('TRAD-Calculs dispo Données FA'!$B$88, " - ", 'Calculs Péremption conso'!$BY19, "/", 'Calculs Péremption conso'!$BZ19, "/", 'Calculs Péremption conso'!$CA19), AH139)))</f>
        <v>DLU - 1/12/2015</v>
      </c>
      <c r="AP139" s="2206"/>
      <c r="AQ139" s="2207"/>
      <c r="AR139" s="2051"/>
      <c r="AS139" s="2061">
        <f>Calculs!$O274</f>
        <v>38746</v>
      </c>
      <c r="AT139" s="2062">
        <f>Calculs!$L329</f>
        <v>1484</v>
      </c>
      <c r="AU139" s="2068">
        <f>Calculs!$N329</f>
        <v>0</v>
      </c>
      <c r="AV139" s="2070" t="str">
        <f>IF(AND(AU139=0, AS139=0, AT139=0), 'TRAD-Calculs dispo Données FA'!$B$82, "")</f>
        <v/>
      </c>
      <c r="AW139" s="2062" t="str">
        <f>IF(AND(AU139=0, AS139&gt;0, AT139=0), CONCATENATE(AS139, 'TRAD-Calculs dispo Données FA'!$B$80," =0"), "")</f>
        <v/>
      </c>
      <c r="AX139" s="2063" t="str">
        <f>IF(AND(AS139=0, OR(AT139&gt;=1, AU139&gt;=1)), 'TRAD-Calculs dispo Données FA'!$B$81, "")</f>
        <v/>
      </c>
      <c r="AY139" s="2051"/>
      <c r="AZ139" s="2051"/>
      <c r="BA139" s="2051"/>
      <c r="BB139" s="2051"/>
      <c r="BC139" s="2051"/>
      <c r="BD139" s="2051"/>
      <c r="BE139" s="2051"/>
      <c r="BF139" s="2051"/>
      <c r="BG139" s="2051"/>
      <c r="BH139" s="2051"/>
      <c r="BI139" s="2051"/>
      <c r="BJ139" s="2051"/>
      <c r="BK139" s="2051"/>
      <c r="BL139" s="2051"/>
      <c r="BM139" s="2051"/>
      <c r="BN139" s="2051"/>
      <c r="BO139" s="2051"/>
      <c r="BP139" s="2051"/>
      <c r="BQ139" s="2051"/>
      <c r="BR139" s="2051"/>
      <c r="BS139" s="2051"/>
      <c r="BT139" s="2051"/>
    </row>
    <row r="140" spans="3:72" s="358" customFormat="1" ht="38.25" x14ac:dyDescent="0.2">
      <c r="C140" s="374"/>
      <c r="D140" s="375"/>
      <c r="E140" s="382" t="str">
        <f>'Saisie données stocks'!F32</f>
        <v>TDF+3TC</v>
      </c>
      <c r="F140" s="383" t="str">
        <f>'Saisie données stocks'!G32</f>
        <v>Cp</v>
      </c>
      <c r="G140" s="383" t="str">
        <f>'Saisie données stocks'!H32</f>
        <v>300/200 mg</v>
      </c>
      <c r="H140" s="385" t="str">
        <f>CONCATENATE(E140, " - ", G140," - ", 'TRAD-Calculs dispo Données FA'!$B$79,"/", K140)</f>
        <v>TDF+3TC - 300/200 mg - B/30</v>
      </c>
      <c r="I140" s="386">
        <f>Calculs!K115</f>
        <v>1</v>
      </c>
      <c r="J140" s="386">
        <f t="shared" si="25"/>
        <v>30</v>
      </c>
      <c r="K140" s="115">
        <f>Calculs!J115</f>
        <v>30</v>
      </c>
      <c r="L140" s="387">
        <f t="shared" si="26"/>
        <v>1</v>
      </c>
      <c r="M140" s="1821">
        <f>IF('Saisie données stocks'!$O$10='TRAD-Saisie données stocks'!$B$51, 'Calculs Péremption conso'!BU20, Calculs!M275)+IF('Saisie données stocks'!$M$76='TRAD-Saisie données stocks'!$B$51, Calculs!N275, "0")</f>
        <v>495.78082191780817</v>
      </c>
      <c r="N140" s="1870">
        <f>Calculs!$L$330</f>
        <v>104</v>
      </c>
      <c r="O140" s="1870">
        <f>Calculs!$N$330</f>
        <v>0</v>
      </c>
      <c r="P140"/>
      <c r="Q140" s="2168">
        <f>IF(Calculs!N330&gt;0, (-(Calculs!N330+2*Calculs!L330)+SQRT((Calculs!N330+2*Calculs!L330)*(Calculs!N330+2*Calculs!L330)+8*Calculs!N330*(M140)))/(2*Calculs!N330), ((M140)/Calculs!L330))</f>
        <v>4.7671232876712324</v>
      </c>
      <c r="R140" s="2168">
        <f>Q140-Paramétrage!D$29</f>
        <v>1.7671232876712324</v>
      </c>
      <c r="S140" s="2173">
        <f>IF(Q140&lt;Paramétrage!D$29, Q140, Paramétrage!D$29)</f>
        <v>3</v>
      </c>
      <c r="T140" s="2170">
        <f>IF(Q140&lt;Paramétrage!D$29, Paramétrage!H$19+R140*(365/12), Paramétrage!H$19+R140*(365/12))</f>
        <v>41972.75</v>
      </c>
      <c r="U140" s="2171">
        <f>IF(Q140&lt;Paramétrage!D$29, Paramétrage!H$19+S140*(365/12), Paramétrage!H$19+Q140*(365/12))</f>
        <v>42064</v>
      </c>
      <c r="V140" s="2051"/>
      <c r="W140" s="2168">
        <f>IF(ISERROR(Q140),"", IF(Q140=0, "", IF(Q140&gt;'Calculs Péremption conso'!$CB20, 'Calculs Péremption conso'!$CB20, Q140)))</f>
        <v>4.7671232876712324</v>
      </c>
      <c r="X140" s="2172">
        <f>IF(ISERROR(Q140),"", IF(Q140=0, "", IF(Q140&gt;'Calculs Péremption conso'!$CB20, 'Calculs Péremption conso'!$CB20-Paramétrage!$D$29, R140)))</f>
        <v>1.7671232876712324</v>
      </c>
      <c r="Y140" s="2173">
        <f t="shared" si="29"/>
        <v>3</v>
      </c>
      <c r="Z140" s="2170">
        <f>IF(ISERROR(Q140),"", IF(Q140=0, "", IF(Q140&gt;'Calculs Péremption conso'!$CB20, 'Calculs Péremption conso'!$BX20-Paramétrage!$D$29*(365/12), T140)))</f>
        <v>41972.75</v>
      </c>
      <c r="AA140" s="2171" t="str">
        <f>IF(ISERROR(Q140),AW140,IF(Q140=0,IF(AND(M140=0,OR(N140&gt;0,O140&gt;0)),AX140,""),IF('Saisie données stocks'!$O$10='TRAD-Saisie données stocks'!$B$51,IF('Calculs Péremption conso'!P20="OK",IF('Calculs Péremption conso'!BV20&gt;0,CONCATENATE('TRAD-Calculs dispo Données FA'!$B$88, " - ",'Calculs Péremption conso'!$BY20,"/",'Calculs Péremption conso'!$BZ20,"/",'Calculs Péremption conso'!$CA20),U140),IF(Q140&gt;'Saisie données stocks'!$N$14,'Calculs Péremption conso'!CC20,U140)),IF(Q140&gt;'Saisie données stocks'!$N$14,'Calculs Péremption conso'!CC20,U140))))</f>
        <v>DLU - 1/3/2015</v>
      </c>
      <c r="AB140" s="2051"/>
      <c r="AC140" s="2168">
        <f>(Calculs!O275)/Calculs!L330</f>
        <v>4.8557692307692308</v>
      </c>
      <c r="AD140" s="2168">
        <f t="shared" si="30"/>
        <v>8.8645943097998448E-2</v>
      </c>
      <c r="AE140" s="2173">
        <f>AC140-Paramétrage!D$29</f>
        <v>1.8557692307692308</v>
      </c>
      <c r="AF140" s="2169">
        <f>IF(AC140&lt;Paramétrage!D$29, AC140, Paramétrage!D$29)</f>
        <v>3</v>
      </c>
      <c r="AG140" s="2170">
        <f>Paramétrage!H$19+AE140*(365/12)</f>
        <v>41975.446314102563</v>
      </c>
      <c r="AH140" s="2171">
        <f>IF(AC140&lt;Paramétrage!D$29, Paramétrage!H$19+AF140*(365/12), Paramétrage!H$19+AC140*(365/12))</f>
        <v>42066.696314102563</v>
      </c>
      <c r="AI140" s="2051"/>
      <c r="AJ140" s="2168">
        <f>IF(ISERROR(AC140),"", IF(AC140=0, "", IF(AC140&gt;'Calculs Péremption FA'!$CB20, 'Calculs Péremption FA'!$CB20, AC140)))</f>
        <v>4.7671232876712324</v>
      </c>
      <c r="AK140" s="2172" t="str">
        <f t="shared" si="31"/>
        <v>0</v>
      </c>
      <c r="AL140" s="2173">
        <f>IF(ISERROR(AC140),"", IF(AC140=0, "", IF(AC140&gt;'Calculs Péremption conso'!$CB20, 'Calculs Péremption conso'!$CB20-Paramétrage!$D$29, AE140)))</f>
        <v>1.7671232876712324</v>
      </c>
      <c r="AM140" s="2174">
        <f>IF(ISERROR(AC140),"", IF(AC140=0, "", IF(AC140&gt;'Calculs Péremption conso'!$CB20, Paramétrage!$D$29, AF140)))</f>
        <v>3</v>
      </c>
      <c r="AN140" s="2170">
        <f>IF(ISERROR(AC140),"", IF(AC140=0, "", IF(AC140&gt;'Calculs Péremption conso'!$CB20, 'Calculs Péremption conso'!$BX20-Paramétrage!$D$29*(365/12), AG140)))</f>
        <v>41972.75</v>
      </c>
      <c r="AO140" s="2171" t="str">
        <f>IF(ISERROR(AC140),"", IF(AC140=0, "", IF(AC140&gt;'Calculs Péremption conso'!$CB20, CONCATENATE('TRAD-Calculs dispo Données FA'!$B$88, " - ", 'Calculs Péremption conso'!$BY20, "/", 'Calculs Péremption conso'!$BZ20, "/", 'Calculs Péremption conso'!$CA20), AH140)))</f>
        <v>DLU - 1/3/2015</v>
      </c>
      <c r="AP140" s="2206"/>
      <c r="AQ140" s="2207"/>
      <c r="AR140" s="2051"/>
      <c r="AS140" s="2061">
        <f>Calculs!$O275</f>
        <v>505</v>
      </c>
      <c r="AT140" s="2062">
        <f>Calculs!$L330</f>
        <v>104</v>
      </c>
      <c r="AU140" s="2068">
        <f>Calculs!$N330</f>
        <v>0</v>
      </c>
      <c r="AV140" s="2070" t="str">
        <f>IF(AND(AU140=0, AS140=0, AT140=0), 'TRAD-Calculs dispo Données FA'!$B$82, "")</f>
        <v/>
      </c>
      <c r="AW140" s="2062" t="str">
        <f>IF(AND(AU140=0, AS140&gt;0, AT140=0), CONCATENATE(AS140, 'TRAD-Calculs dispo Données FA'!$B$80," =0"), "")</f>
        <v/>
      </c>
      <c r="AX140" s="2063" t="str">
        <f>IF(AND(AS140=0, OR(AT140&gt;=1, AU140&gt;=1)), 'TRAD-Calculs dispo Données FA'!$B$81, "")</f>
        <v/>
      </c>
      <c r="AY140" s="2051"/>
      <c r="AZ140" s="2051"/>
      <c r="BA140" s="2051"/>
      <c r="BB140" s="2051"/>
      <c r="BC140" s="2051"/>
      <c r="BD140" s="2051"/>
      <c r="BE140" s="2051"/>
      <c r="BF140" s="2051"/>
      <c r="BG140" s="2051"/>
      <c r="BH140" s="2051"/>
      <c r="BI140" s="2051"/>
      <c r="BJ140" s="2051"/>
      <c r="BK140" s="2051"/>
      <c r="BL140" s="2051"/>
      <c r="BM140" s="2051"/>
      <c r="BN140" s="2051"/>
      <c r="BO140" s="2051"/>
      <c r="BP140" s="2051"/>
      <c r="BQ140" s="2051"/>
      <c r="BR140" s="2051"/>
      <c r="BS140" s="2051"/>
      <c r="BT140" s="2051"/>
    </row>
    <row r="141" spans="3:72" s="358" customFormat="1" ht="63.75" x14ac:dyDescent="0.2">
      <c r="C141" s="388"/>
      <c r="D141" s="389"/>
      <c r="E141" s="390" t="str">
        <f>'Saisie données stocks'!F33</f>
        <v>[TDF+3TC]+ATV/r</v>
      </c>
      <c r="F141" s="391" t="str">
        <f>'Saisie données stocks'!G33</f>
        <v>Cp coblister</v>
      </c>
      <c r="G141" s="391" t="str">
        <f>'Saisie données stocks'!H33</f>
        <v>[300/300]+300/100 mg</v>
      </c>
      <c r="H141" s="393" t="str">
        <f>CONCATENATE(E141, " - ", G141," - ", 'TRAD-Calculs dispo Données FA'!$B$79,"/", K141)</f>
        <v>[TDF+3TC]+ATV/r - [300/300]+300/100 mg - B/30</v>
      </c>
      <c r="I141" s="394">
        <f>Calculs!K116</f>
        <v>1</v>
      </c>
      <c r="J141" s="394">
        <f t="shared" si="25"/>
        <v>30</v>
      </c>
      <c r="K141" s="116">
        <f>Calculs!J116</f>
        <v>30</v>
      </c>
      <c r="L141" s="395">
        <f t="shared" si="26"/>
        <v>1</v>
      </c>
      <c r="M141" s="1822">
        <f>IF('Saisie données stocks'!$O$10='TRAD-Saisie données stocks'!$B$51, 'Calculs Péremption conso'!BU21, Calculs!M276)+IF('Saisie données stocks'!$M$76='TRAD-Saisie données stocks'!$B$51, Calculs!N276, "0")</f>
        <v>0</v>
      </c>
      <c r="N141" s="1822">
        <f>Calculs!$L$331</f>
        <v>0</v>
      </c>
      <c r="O141" s="1822">
        <f>Calculs!$N$331</f>
        <v>0</v>
      </c>
      <c r="P141"/>
      <c r="Q141" s="2175" t="e">
        <f>IF(Calculs!N331&gt;0, (-(Calculs!N331+2*Calculs!L331)+SQRT((Calculs!N331+2*Calculs!L331)*(Calculs!N331+2*Calculs!L331)+8*Calculs!N331*(M141)))/(2*Calculs!N331), ((M141)/Calculs!L331))</f>
        <v>#DIV/0!</v>
      </c>
      <c r="R141" s="2175" t="e">
        <f>Q141-Paramétrage!D$29</f>
        <v>#DIV/0!</v>
      </c>
      <c r="S141" s="2176" t="e">
        <f>IF(Q141&lt;Paramétrage!D$29, Q141, Paramétrage!D$29)</f>
        <v>#DIV/0!</v>
      </c>
      <c r="T141" s="2178" t="e">
        <f>IF(Q141&lt;Paramétrage!D$29, Paramétrage!H$19+R141*(365/12), Paramétrage!H$19+R141*(365/12))</f>
        <v>#DIV/0!</v>
      </c>
      <c r="U141" s="2179" t="e">
        <f>IF(Q141&lt;Paramétrage!D$29, Paramétrage!H$19+S141*(365/12), Paramétrage!H$19+Q141*(365/12))</f>
        <v>#DIV/0!</v>
      </c>
      <c r="V141" s="2051"/>
      <c r="W141" s="2175" t="str">
        <f>IF(ISERROR(Q141),"", IF(Q141=0, "", IF(Q141&gt;'Calculs Péremption conso'!$CB21, 'Calculs Péremption conso'!$CB21, Q141)))</f>
        <v/>
      </c>
      <c r="X141" s="2180" t="str">
        <f>IF(ISERROR(Q141),"", IF(Q141=0, "", IF(Q141&gt;'Calculs Péremption conso'!$CB21, 'Calculs Péremption conso'!$CB21-Paramétrage!$D$29, R141)))</f>
        <v/>
      </c>
      <c r="Y141" s="2181" t="str">
        <f t="shared" si="29"/>
        <v/>
      </c>
      <c r="Z141" s="2178" t="str">
        <f>IF(ISERROR(Q141),"", IF(Q141=0, "", IF(Q141&gt;'Calculs Péremption conso'!$CB21, 'Calculs Péremption conso'!$BX21-Paramétrage!$D$29*(365/12), T141)))</f>
        <v/>
      </c>
      <c r="AA141" s="2179" t="str">
        <f>IF(ISERROR(Q141),AW141,IF(Q141=0,IF(AND(M141=0,OR(N141&gt;0,O141&gt;0)),AX141,""),IF('Saisie données stocks'!$O$10='TRAD-Saisie données stocks'!$B$51,IF('Calculs Péremption conso'!P21="OK",IF('Calculs Péremption conso'!BV21&gt;0,CONCATENATE('TRAD-Calculs dispo Données FA'!$B$88, " - ",'Calculs Péremption conso'!$BY21,"/",'Calculs Péremption conso'!$BZ21,"/",'Calculs Péremption conso'!$CA21),U141),IF(Q141&gt;'Saisie données stocks'!$N$14,'Calculs Péremption conso'!CC21,U141)),IF(Q141&gt;'Saisie données stocks'!$N$14,'Calculs Péremption conso'!CC21,U141))))</f>
        <v/>
      </c>
      <c r="AB141" s="2051"/>
      <c r="AC141" s="2175" t="e">
        <f>(Calculs!O276)/Calculs!L331</f>
        <v>#DIV/0!</v>
      </c>
      <c r="AD141" s="2175" t="e">
        <f t="shared" si="30"/>
        <v>#DIV/0!</v>
      </c>
      <c r="AE141" s="2173" t="e">
        <f>AC141-Paramétrage!D$29</f>
        <v>#DIV/0!</v>
      </c>
      <c r="AF141" s="2177" t="e">
        <f>IF(AC141&lt;Paramétrage!D$29, AC141, Paramétrage!D$29)</f>
        <v>#DIV/0!</v>
      </c>
      <c r="AG141" s="2178" t="e">
        <f>Paramétrage!H$19+AE141*(365/12)</f>
        <v>#DIV/0!</v>
      </c>
      <c r="AH141" s="2179" t="e">
        <f>IF(AC141&lt;Paramétrage!D$29, Paramétrage!H$19+AF141*(365/12), Paramétrage!H$19+AC141*(365/12))</f>
        <v>#DIV/0!</v>
      </c>
      <c r="AI141" s="2051"/>
      <c r="AJ141" s="2175" t="str">
        <f>IF(ISERROR(AC141),"", IF(AC141=0, "", IF(AC141&gt;'Calculs Péremption FA'!$CB21, 'Calculs Péremption FA'!$CB21, AC141)))</f>
        <v/>
      </c>
      <c r="AK141" s="2180" t="str">
        <f t="shared" si="31"/>
        <v/>
      </c>
      <c r="AL141" s="2181" t="str">
        <f>IF(ISERROR(AC141),"", IF(AC141=0, "", IF(AC141&gt;'Calculs Péremption conso'!$CB21, 'Calculs Péremption conso'!$CB21-Paramétrage!$D$29, AE141)))</f>
        <v/>
      </c>
      <c r="AM141" s="2182" t="str">
        <f>IF(ISERROR(AC141),"", IF(AC141=0, "", IF(AC141&gt;'Calculs Péremption conso'!$CB21, Paramétrage!$D$29, AF141)))</f>
        <v/>
      </c>
      <c r="AN141" s="2178" t="str">
        <f>IF(ISERROR(AC141),"", IF(AC141=0, "", IF(AC141&gt;'Calculs Péremption conso'!$CB21, 'Calculs Péremption conso'!$BX21-Paramétrage!$D$29*(365/12), AG141)))</f>
        <v/>
      </c>
      <c r="AO141" s="2179" t="str">
        <f>IF(ISERROR(AC141),"", IF(AC141=0, "", IF(AC141&gt;'Calculs Péremption conso'!$CB21, CONCATENATE('TRAD-Calculs dispo Données FA'!$B$88, " - ", 'Calculs Péremption conso'!$BY21, "/", 'Calculs Péremption conso'!$BZ21, "/", 'Calculs Péremption conso'!$CA21), AH141)))</f>
        <v/>
      </c>
      <c r="AP141" s="2206"/>
      <c r="AQ141" s="2207"/>
      <c r="AR141" s="2051"/>
      <c r="AS141" s="2061">
        <f>Calculs!$O276</f>
        <v>0</v>
      </c>
      <c r="AT141" s="2062">
        <f>Calculs!$L331</f>
        <v>0</v>
      </c>
      <c r="AU141" s="2068">
        <f>Calculs!$N331</f>
        <v>0</v>
      </c>
      <c r="AV141" s="2070" t="str">
        <f>IF(AND(AU141=0, AS141=0, AT141=0), 'TRAD-Calculs dispo Données FA'!$B$82, "")</f>
        <v>Stock et besoin nul</v>
      </c>
      <c r="AW141" s="2062" t="str">
        <f>IF(AND(AU141=0, AS141&gt;0, AT141=0), CONCATENATE(AS141, 'TRAD-Calculs dispo Données FA'!$B$80," =0"), "")</f>
        <v/>
      </c>
      <c r="AX141" s="2063" t="str">
        <f>IF(AND(AS141=0, OR(AT141&gt;=1, AU141&gt;=1)), 'TRAD-Calculs dispo Données FA'!$B$81, "")</f>
        <v/>
      </c>
      <c r="AY141" s="2051"/>
      <c r="AZ141" s="2051"/>
      <c r="BA141" s="2051"/>
      <c r="BB141" s="2051"/>
      <c r="BC141" s="2051"/>
      <c r="BD141" s="2051"/>
      <c r="BE141" s="2051"/>
      <c r="BF141" s="2051"/>
      <c r="BG141" s="2051"/>
      <c r="BH141" s="2051"/>
      <c r="BI141" s="2051"/>
      <c r="BJ141" s="2051"/>
      <c r="BK141" s="2051"/>
      <c r="BL141" s="2051"/>
      <c r="BM141" s="2051"/>
      <c r="BN141" s="2051"/>
      <c r="BO141" s="2051"/>
      <c r="BP141" s="2051"/>
      <c r="BQ141" s="2051"/>
      <c r="BR141" s="2051"/>
      <c r="BS141" s="2051"/>
      <c r="BT141" s="2051"/>
    </row>
    <row r="142" spans="3:72" s="358" customFormat="1" ht="25.5" x14ac:dyDescent="0.2">
      <c r="C142" s="374"/>
      <c r="D142" s="375" t="s">
        <v>26</v>
      </c>
      <c r="E142" s="376" t="str">
        <f>'Saisie données stocks'!F34</f>
        <v>EFV</v>
      </c>
      <c r="F142" s="377" t="str">
        <f>'Saisie données stocks'!G34</f>
        <v>Gél</v>
      </c>
      <c r="G142" s="377" t="str">
        <f>'Saisie données stocks'!H34</f>
        <v>50 mg</v>
      </c>
      <c r="H142" s="379" t="str">
        <f>CONCATENATE(E142, " - ", G142," - ", 'TRAD-Calculs dispo Données FA'!$B$79,"/", K142)</f>
        <v>EFV - 50 mg - B/30</v>
      </c>
      <c r="I142" s="380">
        <f>Calculs!K117</f>
        <v>0</v>
      </c>
      <c r="J142" s="380">
        <f t="shared" si="25"/>
        <v>0</v>
      </c>
      <c r="K142" s="114">
        <f>Calculs!J117</f>
        <v>30</v>
      </c>
      <c r="L142" s="381">
        <f t="shared" si="26"/>
        <v>0</v>
      </c>
      <c r="M142" s="1820">
        <f>IF('Saisie données stocks'!$O$10='TRAD-Saisie données stocks'!$B$51, 'Calculs Péremption conso'!BU22, Calculs!M277)+IF('Saisie données stocks'!$M$76='TRAD-Saisie données stocks'!$B$51, Calculs!N277, "0")</f>
        <v>0</v>
      </c>
      <c r="N142" s="1820">
        <f>Calculs!$L$332</f>
        <v>0</v>
      </c>
      <c r="O142" s="1820">
        <f>Calculs!$N$332</f>
        <v>0</v>
      </c>
      <c r="P142"/>
      <c r="Q142" s="2161" t="e">
        <f>IF(Calculs!N332&gt;0, (-(Calculs!N332+2*Calculs!L332)+SQRT((Calculs!N332+2*Calculs!L332)*(Calculs!N332+2*Calculs!L332)+8*Calculs!N332*(M142)))/(2*Calculs!N332), ((M142)/Calculs!L332))</f>
        <v>#DIV/0!</v>
      </c>
      <c r="R142" s="2161" t="e">
        <f>Q142-Paramétrage!D$29</f>
        <v>#DIV/0!</v>
      </c>
      <c r="S142" s="2183" t="e">
        <f>IF(Q142&lt;Paramétrage!D$29, Q142, Paramétrage!D$29)</f>
        <v>#DIV/0!</v>
      </c>
      <c r="T142" s="2164" t="e">
        <f>IF(Q142&lt;Paramétrage!D$29, Paramétrage!H$19+R142*(365/12), Paramétrage!H$19+R142*(365/12))</f>
        <v>#DIV/0!</v>
      </c>
      <c r="U142" s="2165" t="e">
        <f>IF(Q142&lt;Paramétrage!D$29, Paramétrage!H$19+S142*(365/12), Paramétrage!H$19+Q142*(365/12))</f>
        <v>#DIV/0!</v>
      </c>
      <c r="V142" s="2051"/>
      <c r="W142" s="2161" t="str">
        <f>IF(ISERROR(Q142),"", IF(Q142=0, "", IF(Q142&gt;'Calculs Péremption conso'!$CB22, 'Calculs Péremption conso'!$CB22, Q142)))</f>
        <v/>
      </c>
      <c r="X142" s="2166" t="str">
        <f>IF(ISERROR(Q142),"", IF(Q142=0, "", IF(Q142&gt;'Calculs Péremption conso'!$CB22, 'Calculs Péremption conso'!$CB22-Paramétrage!$D$29, R142)))</f>
        <v/>
      </c>
      <c r="Y142" s="2162" t="str">
        <f t="shared" si="29"/>
        <v/>
      </c>
      <c r="Z142" s="2164" t="str">
        <f>IF(ISERROR(Q142),"", IF(Q142=0, "", IF(Q142&gt;'Calculs Péremption conso'!$CB22, 'Calculs Péremption conso'!$BX22-Paramétrage!$D$29*(365/12), T142)))</f>
        <v/>
      </c>
      <c r="AA142" s="2165" t="str">
        <f>IF(ISERROR(Q142),AW142,IF(Q142=0,IF(AND(M142=0,OR(N142&gt;0,O142&gt;0)),AX142,""),IF('Saisie données stocks'!$O$10='TRAD-Saisie données stocks'!$B$51,IF('Calculs Péremption conso'!P22="OK",IF('Calculs Péremption conso'!BV22&gt;0,CONCATENATE('TRAD-Calculs dispo Données FA'!$B$88, " - ",'Calculs Péremption conso'!$BY22,"/",'Calculs Péremption conso'!$BZ22,"/",'Calculs Péremption conso'!$CA22),U142),IF(Q142&gt;'Saisie données stocks'!$N$14,'Calculs Péremption conso'!CC22,U142)),IF(Q142&gt;'Saisie données stocks'!$N$14,'Calculs Péremption conso'!CC22,U142))))</f>
        <v/>
      </c>
      <c r="AB142" s="2051"/>
      <c r="AC142" s="2161" t="e">
        <f>(Calculs!O277)/Calculs!L332</f>
        <v>#DIV/0!</v>
      </c>
      <c r="AD142" s="2161" t="e">
        <f t="shared" si="30"/>
        <v>#DIV/0!</v>
      </c>
      <c r="AE142" s="2173" t="e">
        <f>AC142-Paramétrage!D$29</f>
        <v>#DIV/0!</v>
      </c>
      <c r="AF142" s="2163" t="e">
        <f>IF(AC142&lt;Paramétrage!D$29, AC142, Paramétrage!D$29)</f>
        <v>#DIV/0!</v>
      </c>
      <c r="AG142" s="2164" t="e">
        <f>Paramétrage!H$19+AE142*(365/12)</f>
        <v>#DIV/0!</v>
      </c>
      <c r="AH142" s="2165" t="e">
        <f>IF(AC142&lt;Paramétrage!D$29, Paramétrage!H$19+AF142*(365/12), Paramétrage!H$19+AC142*(365/12))</f>
        <v>#DIV/0!</v>
      </c>
      <c r="AI142" s="2051"/>
      <c r="AJ142" s="2161" t="str">
        <f>IF(ISERROR(AC142),"", IF(AC142=0, "", IF(AC142&gt;'Calculs Péremption FA'!$CB22, 'Calculs Péremption FA'!$CB22, AC142)))</f>
        <v/>
      </c>
      <c r="AK142" s="2166" t="str">
        <f t="shared" si="31"/>
        <v/>
      </c>
      <c r="AL142" s="2162" t="str">
        <f>IF(ISERROR(AC142),"", IF(AC142=0, "", IF(AC142&gt;'Calculs Péremption conso'!$CB22, 'Calculs Péremption conso'!$CB22-Paramétrage!$D$29, AE142)))</f>
        <v/>
      </c>
      <c r="AM142" s="2167" t="str">
        <f>IF(ISERROR(AC142),"", IF(AC142=0, "", IF(AC142&gt;'Calculs Péremption conso'!$CB22, Paramétrage!$D$29, AF142)))</f>
        <v/>
      </c>
      <c r="AN142" s="2164" t="str">
        <f>IF(ISERROR(AC142),"", IF(AC142=0, "", IF(AC142&gt;'Calculs Péremption conso'!$CB22, 'Calculs Péremption conso'!$BX22-Paramétrage!$D$29*(365/12), AG142)))</f>
        <v/>
      </c>
      <c r="AO142" s="2165" t="str">
        <f>IF(ISERROR(AC142),"", IF(AC142=0, "", IF(AC142&gt;'Calculs Péremption conso'!$CB22, CONCATENATE('TRAD-Calculs dispo Données FA'!$B$88, " - ", 'Calculs Péremption conso'!$BY22, "/", 'Calculs Péremption conso'!$BZ22, "/", 'Calculs Péremption conso'!$CA22), AH142)))</f>
        <v/>
      </c>
      <c r="AP142" s="2206"/>
      <c r="AQ142" s="2207"/>
      <c r="AR142" s="2051"/>
      <c r="AS142" s="2061">
        <f>Calculs!$O277</f>
        <v>0</v>
      </c>
      <c r="AT142" s="2062">
        <f>Calculs!$L332</f>
        <v>0</v>
      </c>
      <c r="AU142" s="2068">
        <f>Calculs!$N332</f>
        <v>0</v>
      </c>
      <c r="AV142" s="2070" t="str">
        <f>IF(AND(AU142=0, AS142=0, AT142=0), 'TRAD-Calculs dispo Données FA'!$B$82, "")</f>
        <v>Stock et besoin nul</v>
      </c>
      <c r="AW142" s="2062" t="str">
        <f>IF(AND(AU142=0, AS142&gt;0, AT142=0), CONCATENATE(AS142, 'TRAD-Calculs dispo Données FA'!$B$80," =0"), "")</f>
        <v/>
      </c>
      <c r="AX142" s="2063" t="str">
        <f>IF(AND(AS142=0, OR(AT142&gt;=1, AU142&gt;=1)), 'TRAD-Calculs dispo Données FA'!$B$81, "")</f>
        <v/>
      </c>
      <c r="AY142" s="2051"/>
      <c r="AZ142" s="2051"/>
      <c r="BA142" s="2051"/>
      <c r="BB142" s="2051"/>
      <c r="BC142" s="2051"/>
      <c r="BD142" s="2051"/>
      <c r="BE142" s="2051"/>
      <c r="BF142" s="2051"/>
      <c r="BG142" s="2051"/>
      <c r="BH142" s="2051"/>
      <c r="BI142" s="2051"/>
      <c r="BJ142" s="2051"/>
      <c r="BK142" s="2051"/>
      <c r="BL142" s="2051"/>
      <c r="BM142" s="2051"/>
      <c r="BN142" s="2051"/>
      <c r="BO142" s="2051"/>
      <c r="BP142" s="2051"/>
      <c r="BQ142" s="2051"/>
      <c r="BR142" s="2051"/>
      <c r="BS142" s="2051"/>
      <c r="BT142" s="2051"/>
    </row>
    <row r="143" spans="3:72" s="358" customFormat="1" ht="25.5" x14ac:dyDescent="0.2">
      <c r="C143" s="374"/>
      <c r="D143" s="375"/>
      <c r="E143" s="382" t="str">
        <f>'Saisie données stocks'!F35</f>
        <v>EFV</v>
      </c>
      <c r="F143" s="383" t="str">
        <f>'Saisie données stocks'!G35</f>
        <v>Gél</v>
      </c>
      <c r="G143" s="383" t="str">
        <f>'Saisie données stocks'!H35</f>
        <v>200 mg</v>
      </c>
      <c r="H143" s="379" t="str">
        <f>CONCATENATE(E143, " - ", G143," - ", 'TRAD-Calculs dispo Données FA'!$B$79,"/", K143)</f>
        <v>EFV - 200 mg - B/90</v>
      </c>
      <c r="I143" s="386">
        <f>Calculs!K118</f>
        <v>0</v>
      </c>
      <c r="J143" s="386">
        <f t="shared" si="25"/>
        <v>0</v>
      </c>
      <c r="K143" s="115">
        <f>Calculs!J118</f>
        <v>90</v>
      </c>
      <c r="L143" s="387">
        <f t="shared" si="26"/>
        <v>0</v>
      </c>
      <c r="M143" s="1821">
        <f>IF('Saisie données stocks'!$O$10='TRAD-Saisie données stocks'!$B$51, 'Calculs Péremption conso'!BU23, Calculs!M278)+IF('Saisie données stocks'!$M$76='TRAD-Saisie données stocks'!$B$51, Calculs!N278, "0")</f>
        <v>2</v>
      </c>
      <c r="N143" s="1870">
        <f>Calculs!$L$333</f>
        <v>21</v>
      </c>
      <c r="O143" s="1870">
        <f>Calculs!$N$333</f>
        <v>0</v>
      </c>
      <c r="P143"/>
      <c r="Q143" s="2168">
        <f>IF(Calculs!N333&gt;0, (-(Calculs!N333+2*Calculs!L333)+SQRT((Calculs!N333+2*Calculs!L333)*(Calculs!N333+2*Calculs!L333)+8*Calculs!N333*(M143)))/(2*Calculs!N333), ((M143)/Calculs!L333))</f>
        <v>9.5238095238095233E-2</v>
      </c>
      <c r="R143" s="2168">
        <f>Q143-Paramétrage!D$29</f>
        <v>-2.9047619047619047</v>
      </c>
      <c r="S143" s="2173">
        <f>IF(Q143&lt;Paramétrage!D$29, Q143, Paramétrage!D$29)</f>
        <v>9.5238095238095233E-2</v>
      </c>
      <c r="T143" s="2170">
        <f>IF(Q143&lt;Paramétrage!D$29, Paramétrage!H$19+R143*(365/12), Paramétrage!H$19+R143*(365/12))</f>
        <v>41830.646825396827</v>
      </c>
      <c r="U143" s="2171">
        <f>IF(Q143&lt;Paramétrage!D$29, Paramétrage!H$19+S143*(365/12), Paramétrage!H$19+Q143*(365/12))</f>
        <v>41921.896825396827</v>
      </c>
      <c r="V143" s="2051"/>
      <c r="W143" s="2168">
        <f>IF(ISERROR(Q143),"", IF(Q143=0, "", IF(Q143&gt;'Calculs Péremption conso'!$CB23, 'Calculs Péremption conso'!$CB23, Q143)))</f>
        <v>9.5238095238095233E-2</v>
      </c>
      <c r="X143" s="2172">
        <f>IF(ISERROR(Q143),"", IF(Q143=0, "", IF(Q143&gt;'Calculs Péremption conso'!$CB23, 'Calculs Péremption conso'!$CB23-Paramétrage!$D$29, R143)))</f>
        <v>-2.9047619047619047</v>
      </c>
      <c r="Y143" s="2173">
        <f t="shared" si="29"/>
        <v>9.5238095238095233E-2</v>
      </c>
      <c r="Z143" s="2170">
        <f>IF(ISERROR(Q143),"", IF(Q143=0, "", IF(Q143&gt;'Calculs Péremption conso'!$CB23, 'Calculs Péremption conso'!$BX23-Paramétrage!$D$29*(365/12), T143)))</f>
        <v>41830.646825396827</v>
      </c>
      <c r="AA143" s="2171">
        <f>IF(ISERROR(Q143),AW143,IF(Q143=0,IF(AND(M143=0,OR(N143&gt;0,O143&gt;0)),AX143,""),IF('Saisie données stocks'!$O$10='TRAD-Saisie données stocks'!$B$51,IF('Calculs Péremption conso'!P23="OK",IF('Calculs Péremption conso'!BV23&gt;0,CONCATENATE('TRAD-Calculs dispo Données FA'!$B$88, " - ",'Calculs Péremption conso'!$BY23,"/",'Calculs Péremption conso'!$BZ23,"/",'Calculs Péremption conso'!$CA23),U143),IF(Q143&gt;'Saisie données stocks'!$N$14,'Calculs Péremption conso'!CC23,U143)),IF(Q143&gt;'Saisie données stocks'!$N$14,'Calculs Péremption conso'!CC23,U143))))</f>
        <v>41921.896825396827</v>
      </c>
      <c r="AB143" s="2051"/>
      <c r="AC143" s="2168">
        <f>(Calculs!O278)/Calculs!L333</f>
        <v>9.5238095238095233E-2</v>
      </c>
      <c r="AD143" s="2168">
        <f t="shared" si="30"/>
        <v>0</v>
      </c>
      <c r="AE143" s="2173">
        <f>AC143-Paramétrage!D$29</f>
        <v>-2.9047619047619047</v>
      </c>
      <c r="AF143" s="2169">
        <f>IF(AC143&lt;Paramétrage!D$29, AC143, Paramétrage!D$29)</f>
        <v>9.5238095238095233E-2</v>
      </c>
      <c r="AG143" s="2170">
        <f>Paramétrage!H$19+AE143*(365/12)</f>
        <v>41830.646825396827</v>
      </c>
      <c r="AH143" s="2171">
        <f>IF(AC143&lt;Paramétrage!D$29, Paramétrage!H$19+AF143*(365/12), Paramétrage!H$19+AC143*(365/12))</f>
        <v>41921.896825396827</v>
      </c>
      <c r="AI143" s="2051"/>
      <c r="AJ143" s="2168">
        <f>IF(ISERROR(AC143),"", IF(AC143=0, "", IF(AC143&gt;'Calculs Péremption FA'!$CB23, 'Calculs Péremption FA'!$CB23, AC143)))</f>
        <v>9.5238095238095233E-2</v>
      </c>
      <c r="AK143" s="2172" t="str">
        <f t="shared" si="31"/>
        <v/>
      </c>
      <c r="AL143" s="2173">
        <f>IF(ISERROR(AC143),"", IF(AC143=0, "", IF(AC143&gt;'Calculs Péremption conso'!$CB23, 'Calculs Péremption conso'!$CB23-Paramétrage!$D$29, AE143)))</f>
        <v>-2.9047619047619047</v>
      </c>
      <c r="AM143" s="2174">
        <f>IF(ISERROR(AC143),"", IF(AC143=0, "", IF(AC143&gt;'Calculs Péremption conso'!$CB23, Paramétrage!$D$29, AF143)))</f>
        <v>9.5238095238095233E-2</v>
      </c>
      <c r="AN143" s="2170">
        <f>IF(ISERROR(AC143),"", IF(AC143=0, "", IF(AC143&gt;'Calculs Péremption conso'!$CB23, 'Calculs Péremption conso'!$BX23-Paramétrage!$D$29*(365/12), AG143)))</f>
        <v>41830.646825396827</v>
      </c>
      <c r="AO143" s="2171">
        <f>IF(ISERROR(AC143),"", IF(AC143=0, "", IF(AC143&gt;'Calculs Péremption conso'!$CB23, CONCATENATE('TRAD-Calculs dispo Données FA'!$B$88, " - ", 'Calculs Péremption conso'!$BY23, "/", 'Calculs Péremption conso'!$BZ23, "/", 'Calculs Péremption conso'!$CA23), AH143)))</f>
        <v>41921.896825396827</v>
      </c>
      <c r="AP143" s="2206"/>
      <c r="AQ143" s="2207"/>
      <c r="AR143" s="2051"/>
      <c r="AS143" s="2061">
        <f>Calculs!$O278</f>
        <v>2</v>
      </c>
      <c r="AT143" s="2062">
        <f>Calculs!$L333</f>
        <v>21</v>
      </c>
      <c r="AU143" s="2068">
        <f>Calculs!$N333</f>
        <v>0</v>
      </c>
      <c r="AV143" s="2070" t="str">
        <f>IF(AND(AU143=0, AS143=0, AT143=0), 'TRAD-Calculs dispo Données FA'!$B$82, "")</f>
        <v/>
      </c>
      <c r="AW143" s="2062" t="str">
        <f>IF(AND(AU143=0, AS143&gt;0, AT143=0), CONCATENATE(AS143, 'TRAD-Calculs dispo Données FA'!$B$80," =0"), "")</f>
        <v/>
      </c>
      <c r="AX143" s="2063" t="str">
        <f>IF(AND(AS143=0, OR(AT143&gt;=1, AU143&gt;=1)), 'TRAD-Calculs dispo Données FA'!$B$81, "")</f>
        <v/>
      </c>
      <c r="AY143" s="2051"/>
      <c r="AZ143" s="2051"/>
      <c r="BA143" s="2051"/>
      <c r="BB143" s="2051"/>
      <c r="BC143" s="2051"/>
      <c r="BD143" s="2051"/>
      <c r="BE143" s="2051"/>
      <c r="BF143" s="2051"/>
      <c r="BG143" s="2051"/>
      <c r="BH143" s="2051"/>
      <c r="BI143" s="2051"/>
      <c r="BJ143" s="2051"/>
      <c r="BK143" s="2051"/>
      <c r="BL143" s="2051"/>
      <c r="BM143" s="2051"/>
      <c r="BN143" s="2051"/>
      <c r="BO143" s="2051"/>
      <c r="BP143" s="2051"/>
      <c r="BQ143" s="2051"/>
      <c r="BR143" s="2051"/>
      <c r="BS143" s="2051"/>
      <c r="BT143" s="2051"/>
    </row>
    <row r="144" spans="3:72" s="358" customFormat="1" ht="25.5" x14ac:dyDescent="0.2">
      <c r="C144" s="374"/>
      <c r="D144" s="375"/>
      <c r="E144" s="396" t="str">
        <f>'Saisie données stocks'!F36</f>
        <v>EFV</v>
      </c>
      <c r="F144" s="397" t="str">
        <f>'Saisie données stocks'!G36</f>
        <v>Cp</v>
      </c>
      <c r="G144" s="397" t="str">
        <f>'Saisie données stocks'!H36</f>
        <v>600 mg</v>
      </c>
      <c r="H144" s="379" t="str">
        <f>CONCATENATE(E144, " - ", G144," - ", 'TRAD-Calculs dispo Données FA'!$B$79,"/", K144)</f>
        <v>EFV - 600 mg - B/30</v>
      </c>
      <c r="I144" s="399">
        <f>Calculs!K119</f>
        <v>1</v>
      </c>
      <c r="J144" s="399">
        <f t="shared" si="25"/>
        <v>30</v>
      </c>
      <c r="K144" s="117">
        <f>Calculs!J119</f>
        <v>30</v>
      </c>
      <c r="L144" s="400">
        <f t="shared" si="26"/>
        <v>1</v>
      </c>
      <c r="M144" s="1823">
        <f>IF('Saisie données stocks'!$O$10='TRAD-Saisie données stocks'!$B$51, 'Calculs Péremption conso'!BU24, Calculs!M279)+IF('Saisie données stocks'!$M$76='TRAD-Saisie données stocks'!$B$51, Calculs!N279, "0")</f>
        <v>11566</v>
      </c>
      <c r="N144" s="1871">
        <f>Calculs!$L$334</f>
        <v>1485</v>
      </c>
      <c r="O144" s="1871">
        <f>Calculs!$N$334</f>
        <v>0</v>
      </c>
      <c r="P144"/>
      <c r="Q144" s="2184">
        <f>IF(Calculs!N334&gt;0, (-(Calculs!N334+2*Calculs!L334)+SQRT((Calculs!N334+2*Calculs!L334)*(Calculs!N334+2*Calculs!L334)+8*Calculs!N334*(M144)))/(2*Calculs!N334), ((M144)/Calculs!L334))</f>
        <v>7.7885521885521882</v>
      </c>
      <c r="R144" s="2184">
        <f>Q144-Paramétrage!D$29</f>
        <v>4.7885521885521882</v>
      </c>
      <c r="S144" s="2173">
        <f>IF(Q144&lt;Paramétrage!D$29, Q144, Paramétrage!D$29)</f>
        <v>3</v>
      </c>
      <c r="T144" s="2186">
        <f>IF(Q144&lt;Paramétrage!D$29, Paramétrage!H$19+R144*(365/12), Paramétrage!H$19+R144*(365/12))</f>
        <v>42064.651795735132</v>
      </c>
      <c r="U144" s="2187">
        <f>IF(Q144&lt;Paramétrage!D$29, Paramétrage!H$19+S144*(365/12), Paramétrage!H$19+Q144*(365/12))</f>
        <v>42155.901795735132</v>
      </c>
      <c r="V144" s="2051"/>
      <c r="W144" s="2184">
        <f>IF(ISERROR(Q144),"", IF(Q144=0, "", IF(Q144&gt;'Calculs Péremption conso'!$CB24, 'Calculs Péremption conso'!$CB24, Q144)))</f>
        <v>7.7885521885521882</v>
      </c>
      <c r="X144" s="2188">
        <f>IF(ISERROR(Q144),"", IF(Q144=0, "", IF(Q144&gt;'Calculs Péremption conso'!$CB24, 'Calculs Péremption conso'!$CB24-Paramétrage!$D$29, R144)))</f>
        <v>4.7885521885521882</v>
      </c>
      <c r="Y144" s="2176">
        <f t="shared" si="29"/>
        <v>3</v>
      </c>
      <c r="Z144" s="2186">
        <f>IF(ISERROR(Q144),"", IF(Q144=0, "", IF(Q144&gt;'Calculs Péremption conso'!$CB24, 'Calculs Péremption conso'!$BX24-Paramétrage!$D$29*(365/12), T144)))</f>
        <v>42064.651795735132</v>
      </c>
      <c r="AA144" s="2187">
        <f>IF(ISERROR(Q144),AW144,IF(Q144=0,IF(AND(M144=0,OR(N144&gt;0,O144&gt;0)),AX144,""),IF('Saisie données stocks'!$O$10='TRAD-Saisie données stocks'!$B$51,IF('Calculs Péremption conso'!P24="OK",IF('Calculs Péremption conso'!BV24&gt;0,CONCATENATE('TRAD-Calculs dispo Données FA'!$B$88, " - ",'Calculs Péremption conso'!$BY24,"/",'Calculs Péremption conso'!$BZ24,"/",'Calculs Péremption conso'!$CA24),U144),IF(Q144&gt;'Saisie données stocks'!$N$14,'Calculs Péremption conso'!CC24,U144)),IF(Q144&gt;'Saisie données stocks'!$N$14,'Calculs Péremption conso'!CC24,U144))))</f>
        <v>42155.901795735132</v>
      </c>
      <c r="AB144" s="2051"/>
      <c r="AC144" s="2184">
        <f>(Calculs!O279)/Calculs!L334</f>
        <v>7.7885521885521882</v>
      </c>
      <c r="AD144" s="2184">
        <f t="shared" si="30"/>
        <v>0</v>
      </c>
      <c r="AE144" s="2173">
        <f>AC144-Paramétrage!D$29</f>
        <v>4.7885521885521882</v>
      </c>
      <c r="AF144" s="2185">
        <f>IF(AC144&lt;Paramétrage!D$29, AC144, Paramétrage!D$29)</f>
        <v>3</v>
      </c>
      <c r="AG144" s="2186">
        <f>Paramétrage!H$19+AE144*(365/12)</f>
        <v>42064.651795735132</v>
      </c>
      <c r="AH144" s="2187">
        <f>IF(AC144&lt;Paramétrage!D$29, Paramétrage!H$19+AF144*(365/12), Paramétrage!H$19+AC144*(365/12))</f>
        <v>42155.901795735132</v>
      </c>
      <c r="AI144" s="2051"/>
      <c r="AJ144" s="2184">
        <f>IF(ISERROR(AC144),"", IF(AC144=0, "", IF(AC144&gt;'Calculs Péremption FA'!$CB24, 'Calculs Péremption FA'!$CB24, AC144)))</f>
        <v>7.7885521885521882</v>
      </c>
      <c r="AK144" s="2188" t="str">
        <f t="shared" si="31"/>
        <v/>
      </c>
      <c r="AL144" s="2176">
        <f>IF(ISERROR(AC144),"", IF(AC144=0, "", IF(AC144&gt;'Calculs Péremption conso'!$CB24, 'Calculs Péremption conso'!$CB24-Paramétrage!$D$29, AE144)))</f>
        <v>4.7885521885521882</v>
      </c>
      <c r="AM144" s="2189">
        <f>IF(ISERROR(AC144),"", IF(AC144=0, "", IF(AC144&gt;'Calculs Péremption conso'!$CB24, Paramétrage!$D$29, AF144)))</f>
        <v>3</v>
      </c>
      <c r="AN144" s="2186">
        <f>IF(ISERROR(AC144),"", IF(AC144=0, "", IF(AC144&gt;'Calculs Péremption conso'!$CB24, 'Calculs Péremption conso'!$BX24-Paramétrage!$D$29*(365/12), AG144)))</f>
        <v>42064.651795735132</v>
      </c>
      <c r="AO144" s="2187">
        <f>IF(ISERROR(AC144),"", IF(AC144=0, "", IF(AC144&gt;'Calculs Péremption conso'!$CB24, CONCATENATE('TRAD-Calculs dispo Données FA'!$B$88, " - ", 'Calculs Péremption conso'!$BY24, "/", 'Calculs Péremption conso'!$BZ24, "/", 'Calculs Péremption conso'!$CA24), AH144)))</f>
        <v>42155.901795735132</v>
      </c>
      <c r="AP144" s="2206"/>
      <c r="AQ144" s="2207"/>
      <c r="AR144" s="2051"/>
      <c r="AS144" s="2061">
        <f>Calculs!$O279</f>
        <v>11566</v>
      </c>
      <c r="AT144" s="2062">
        <f>Calculs!$L334</f>
        <v>1485</v>
      </c>
      <c r="AU144" s="2068">
        <f>Calculs!$N334</f>
        <v>0</v>
      </c>
      <c r="AV144" s="2070" t="str">
        <f>IF(AND(AU144=0, AS144=0, AT144=0), 'TRAD-Calculs dispo Données FA'!$B$82, "")</f>
        <v/>
      </c>
      <c r="AW144" s="2062" t="str">
        <f>IF(AND(AU144=0, AS144&gt;0, AT144=0), CONCATENATE(AS144, 'TRAD-Calculs dispo Données FA'!$B$80," =0"), "")</f>
        <v/>
      </c>
      <c r="AX144" s="2063" t="str">
        <f>IF(AND(AS144=0, OR(AT144&gt;=1, AU144&gt;=1)), 'TRAD-Calculs dispo Données FA'!$B$81, "")</f>
        <v/>
      </c>
      <c r="AY144" s="2051"/>
      <c r="AZ144" s="2051"/>
      <c r="BA144" s="2051"/>
      <c r="BB144" s="2051"/>
      <c r="BC144" s="2051"/>
      <c r="BD144" s="2051"/>
      <c r="BE144" s="2051"/>
      <c r="BF144" s="2051"/>
      <c r="BG144" s="2051"/>
      <c r="BH144" s="2051"/>
      <c r="BI144" s="2051"/>
      <c r="BJ144" s="2051"/>
      <c r="BK144" s="2051"/>
      <c r="BL144" s="2051"/>
      <c r="BM144" s="2051"/>
      <c r="BN144" s="2051"/>
      <c r="BO144" s="2051"/>
      <c r="BP144" s="2051"/>
      <c r="BQ144" s="2051"/>
      <c r="BR144" s="2051"/>
      <c r="BS144" s="2051"/>
      <c r="BT144" s="2051"/>
    </row>
    <row r="145" spans="3:72" s="358" customFormat="1" ht="25.5" x14ac:dyDescent="0.2">
      <c r="C145" s="374"/>
      <c r="D145" s="375"/>
      <c r="E145" s="1722" t="str">
        <f>'Saisie données stocks'!F37</f>
        <v>ETV</v>
      </c>
      <c r="F145" s="1723" t="str">
        <f>'Saisie données stocks'!G37</f>
        <v>Cp</v>
      </c>
      <c r="G145" s="1723" t="str">
        <f>'Saisie données stocks'!H37</f>
        <v>200 mg</v>
      </c>
      <c r="H145" s="533" t="str">
        <f>CONCATENATE(E145, " - ", G145," - ", 'TRAD-Calculs dispo Données FA'!$B$79,"/", K145)</f>
        <v>ETV - 200 mg - B/60</v>
      </c>
      <c r="I145" s="1724">
        <f>Calculs!K120</f>
        <v>2</v>
      </c>
      <c r="J145" s="1724">
        <f t="shared" si="25"/>
        <v>60</v>
      </c>
      <c r="K145" s="1725">
        <f>Calculs!J120</f>
        <v>60</v>
      </c>
      <c r="L145" s="1726">
        <f t="shared" si="26"/>
        <v>1</v>
      </c>
      <c r="M145" s="1824">
        <f>IF('Saisie données stocks'!$O$10='TRAD-Saisie données stocks'!$B$51, 'Calculs Péremption conso'!BU25, Calculs!M280)+IF('Saisie données stocks'!$M$76='TRAD-Saisie données stocks'!$B$51, Calculs!N280, "0")</f>
        <v>0</v>
      </c>
      <c r="N145" s="1871">
        <f>Calculs!$L$335</f>
        <v>0</v>
      </c>
      <c r="O145" s="1871">
        <f>Calculs!$N$335</f>
        <v>0</v>
      </c>
      <c r="P145"/>
      <c r="Q145" s="2190" t="e">
        <f>IF(Calculs!N335&gt;0, (-(Calculs!N335+2*Calculs!L335)+SQRT((Calculs!N335+2*Calculs!L335)*(Calculs!N335+2*Calculs!L335)+8*Calculs!N335*(M145)))/(2*Calculs!N335), ((M145)/Calculs!L335))</f>
        <v>#DIV/0!</v>
      </c>
      <c r="R145" s="2190" t="e">
        <f>Q145-Paramétrage!D$29</f>
        <v>#DIV/0!</v>
      </c>
      <c r="S145" s="2191" t="e">
        <f>IF(Q145&lt;Paramétrage!D$29, Q145, Paramétrage!D$29)</f>
        <v>#DIV/0!</v>
      </c>
      <c r="T145" s="2193" t="e">
        <f>IF(Q145&lt;Paramétrage!D$29, Paramétrage!H$19+R145*(365/12), Paramétrage!H$19+R145*(365/12))</f>
        <v>#DIV/0!</v>
      </c>
      <c r="U145" s="2194" t="e">
        <f>IF(Q145&lt;Paramétrage!D$29, Paramétrage!H$19+S145*(365/12), Paramétrage!H$19+Q145*(365/12))</f>
        <v>#DIV/0!</v>
      </c>
      <c r="V145" s="2051"/>
      <c r="W145" s="2190" t="str">
        <f>IF(ISERROR(Q145),"", IF(Q145=0, "", IF(Q145&gt;'Calculs Péremption conso'!$CB25, 'Calculs Péremption conso'!$CB25, Q145)))</f>
        <v/>
      </c>
      <c r="X145" s="2195" t="str">
        <f>IF(ISERROR(Q145),"", IF(Q145=0, "", IF(Q145&gt;'Calculs Péremption conso'!$CB25, 'Calculs Péremption conso'!$CB25-Paramétrage!$D$29, R145)))</f>
        <v/>
      </c>
      <c r="Y145" s="2191" t="str">
        <f t="shared" si="29"/>
        <v/>
      </c>
      <c r="Z145" s="2193" t="str">
        <f>IF(ISERROR(Q145),"", IF(Q145=0, "", IF(Q145&gt;'Calculs Péremption conso'!$CB25, 'Calculs Péremption conso'!$BX25-Paramétrage!$D$29*(365/12), T145)))</f>
        <v/>
      </c>
      <c r="AA145" s="2194" t="str">
        <f>IF(ISERROR(Q145),AW145,IF(Q145=0,IF(AND(M145=0,OR(N145&gt;0,O145&gt;0)),AX145,""),IF('Saisie données stocks'!$O$10='TRAD-Saisie données stocks'!$B$51,IF('Calculs Péremption conso'!P25="OK",IF('Calculs Péremption conso'!BV25&gt;0,CONCATENATE('TRAD-Calculs dispo Données FA'!$B$88, " - ",'Calculs Péremption conso'!$BY25,"/",'Calculs Péremption conso'!$BZ25,"/",'Calculs Péremption conso'!$CA25),U145),IF(Q145&gt;'Saisie données stocks'!$N$14,'Calculs Péremption conso'!CC25,U145)),IF(Q145&gt;'Saisie données stocks'!$N$14,'Calculs Péremption conso'!CC25,U145))))</f>
        <v/>
      </c>
      <c r="AB145" s="2051"/>
      <c r="AC145" s="2190" t="e">
        <f>(Calculs!O280)/Calculs!L335</f>
        <v>#DIV/0!</v>
      </c>
      <c r="AD145" s="2190" t="e">
        <f t="shared" si="30"/>
        <v>#DIV/0!</v>
      </c>
      <c r="AE145" s="2197" t="e">
        <f>AC145-Paramétrage!D$29</f>
        <v>#DIV/0!</v>
      </c>
      <c r="AF145" s="2192" t="e">
        <f>IF(AC145&lt;Paramétrage!D$29, AC145, Paramétrage!D$29)</f>
        <v>#DIV/0!</v>
      </c>
      <c r="AG145" s="2193" t="e">
        <f>Paramétrage!H$19+AE145*(365/12)</f>
        <v>#DIV/0!</v>
      </c>
      <c r="AH145" s="2194" t="e">
        <f>IF(AC145&lt;Paramétrage!D$29, Paramétrage!H$19+AF145*(365/12), Paramétrage!H$19+AC145*(365/12))</f>
        <v>#DIV/0!</v>
      </c>
      <c r="AI145" s="2051"/>
      <c r="AJ145" s="2190" t="str">
        <f>IF(ISERROR(AC145),"", IF(AC145=0, "", IF(AC145&gt;'Calculs Péremption FA'!$CB25, 'Calculs Péremption FA'!$CB25, AC145)))</f>
        <v/>
      </c>
      <c r="AK145" s="2195" t="str">
        <f t="shared" si="31"/>
        <v/>
      </c>
      <c r="AL145" s="2191" t="str">
        <f>IF(ISERROR(AC145),"", IF(AC145=0, "", IF(AC145&gt;'Calculs Péremption conso'!$CB25, 'Calculs Péremption conso'!$CB25-Paramétrage!$D$29, AE145)))</f>
        <v/>
      </c>
      <c r="AM145" s="2196" t="str">
        <f>IF(ISERROR(AC145),"", IF(AC145=0, "", IF(AC145&gt;'Calculs Péremption conso'!$CB25, Paramétrage!$D$29, AF145)))</f>
        <v/>
      </c>
      <c r="AN145" s="2193" t="str">
        <f>IF(ISERROR(AC145),"", IF(AC145=0, "", IF(AC145&gt;'Calculs Péremption conso'!$CB25, 'Calculs Péremption conso'!$BX25-Paramétrage!$D$29*(365/12), AG145)))</f>
        <v/>
      </c>
      <c r="AO145" s="2194" t="str">
        <f>IF(ISERROR(AC145),"", IF(AC145=0, "", IF(AC145&gt;'Calculs Péremption conso'!$CB25, CONCATENATE('TRAD-Calculs dispo Données FA'!$B$88, " - ", 'Calculs Péremption conso'!$BY25, "/", 'Calculs Péremption conso'!$BZ25, "/", 'Calculs Péremption conso'!$CA25), AH145)))</f>
        <v/>
      </c>
      <c r="AP145" s="2206"/>
      <c r="AQ145" s="2207"/>
      <c r="AR145" s="2051"/>
      <c r="AS145" s="2061">
        <f>Calculs!$O280</f>
        <v>0</v>
      </c>
      <c r="AT145" s="2062">
        <f>Calculs!$L335</f>
        <v>0</v>
      </c>
      <c r="AU145" s="2068">
        <f>Calculs!$N335</f>
        <v>0</v>
      </c>
      <c r="AV145" s="2070" t="str">
        <f>IF(AND(AU145=0, AS145=0, AT145=0), 'TRAD-Calculs dispo Données FA'!$B$82, "")</f>
        <v>Stock et besoin nul</v>
      </c>
      <c r="AW145" s="2062" t="str">
        <f>IF(AND(AU145=0, AS145&gt;0, AT145=0), CONCATENATE(AS145, 'TRAD-Calculs dispo Données FA'!$B$80," =0"), "")</f>
        <v/>
      </c>
      <c r="AX145" s="2063" t="str">
        <f>IF(AND(AS145=0, OR(AT145&gt;=1, AU145&gt;=1)), 'TRAD-Calculs dispo Données FA'!$B$81, "")</f>
        <v/>
      </c>
      <c r="AY145" s="2051"/>
      <c r="AZ145" s="2051"/>
      <c r="BA145" s="2051"/>
      <c r="BB145" s="2051"/>
      <c r="BC145" s="2051"/>
      <c r="BD145" s="2051"/>
      <c r="BE145" s="2051"/>
      <c r="BF145" s="2051"/>
      <c r="BG145" s="2051"/>
      <c r="BH145" s="2051"/>
      <c r="BI145" s="2051"/>
      <c r="BJ145" s="2051"/>
      <c r="BK145" s="2051"/>
      <c r="BL145" s="2051"/>
      <c r="BM145" s="2051"/>
      <c r="BN145" s="2051"/>
      <c r="BO145" s="2051"/>
      <c r="BP145" s="2051"/>
      <c r="BQ145" s="2051"/>
      <c r="BR145" s="2051"/>
      <c r="BS145" s="2051"/>
      <c r="BT145" s="2051"/>
    </row>
    <row r="146" spans="3:72" s="358" customFormat="1" ht="25.5" x14ac:dyDescent="0.2">
      <c r="C146" s="374"/>
      <c r="D146" s="375"/>
      <c r="E146" s="382" t="str">
        <f>'Saisie données stocks'!F38</f>
        <v>NVP</v>
      </c>
      <c r="F146" s="383" t="str">
        <f>'Saisie données stocks'!G38</f>
        <v>Cp</v>
      </c>
      <c r="G146" s="383" t="str">
        <f>'Saisie données stocks'!H38</f>
        <v>200 mg</v>
      </c>
      <c r="H146" s="385" t="str">
        <f>CONCATENATE(E146, " - ", G146," - ", 'TRAD-Calculs dispo Données FA'!$B$79,"/", K146)</f>
        <v>NVP - 200 mg - B/60</v>
      </c>
      <c r="I146" s="386">
        <f>Calculs!K121</f>
        <v>2</v>
      </c>
      <c r="J146" s="386">
        <f t="shared" si="25"/>
        <v>60</v>
      </c>
      <c r="K146" s="115">
        <f>Calculs!J121</f>
        <v>60</v>
      </c>
      <c r="L146" s="387">
        <f t="shared" si="26"/>
        <v>1</v>
      </c>
      <c r="M146" s="1821">
        <f>IF('Saisie données stocks'!$O$10='TRAD-Saisie données stocks'!$B$51, 'Calculs Péremption conso'!BU26, Calculs!M281)+IF('Saisie données stocks'!$M$76='TRAD-Saisie données stocks'!$B$51, Calculs!N281, "0")</f>
        <v>0</v>
      </c>
      <c r="N146" s="1870">
        <f>Calculs!$L$336</f>
        <v>0</v>
      </c>
      <c r="O146" s="1870">
        <f>Calculs!$N$336</f>
        <v>0</v>
      </c>
      <c r="P146"/>
      <c r="Q146" s="2168" t="e">
        <f>IF(Calculs!N336&gt;0, (-(Calculs!N336+2*Calculs!L336)+SQRT((Calculs!N336+2*Calculs!L336)*(Calculs!N336+2*Calculs!L336)+8*Calculs!N336*(M146)))/(2*Calculs!N336), ((M146)/Calculs!L336))</f>
        <v>#DIV/0!</v>
      </c>
      <c r="R146" s="2168" t="e">
        <f>Q146-Paramétrage!D$29</f>
        <v>#DIV/0!</v>
      </c>
      <c r="S146" s="2173" t="e">
        <f>IF(Q146&lt;Paramétrage!D$29, Q146, Paramétrage!D$29)</f>
        <v>#DIV/0!</v>
      </c>
      <c r="T146" s="2170" t="e">
        <f>IF(Q146&lt;Paramétrage!D$29, Paramétrage!H$19+R146*(365/12), Paramétrage!H$19+R146*(365/12))</f>
        <v>#DIV/0!</v>
      </c>
      <c r="U146" s="2171" t="e">
        <f>IF(Q146&lt;Paramétrage!D$29, Paramétrage!H$19+S146*(365/12), Paramétrage!H$19+Q146*(365/12))</f>
        <v>#DIV/0!</v>
      </c>
      <c r="V146" s="2051"/>
      <c r="W146" s="2168" t="str">
        <f>IF(ISERROR(Q146),"", IF(Q146=0, "", IF(Q146&gt;'Calculs Péremption conso'!$CB26, 'Calculs Péremption conso'!$CB26, Q146)))</f>
        <v/>
      </c>
      <c r="X146" s="2172" t="str">
        <f>IF(ISERROR(Q146),"", IF(Q146=0, "", IF(Q146&gt;'Calculs Péremption conso'!$CB26, 'Calculs Péremption conso'!$CB26-Paramétrage!$D$29, R146)))</f>
        <v/>
      </c>
      <c r="Y146" s="2173" t="str">
        <f t="shared" si="29"/>
        <v/>
      </c>
      <c r="Z146" s="2170" t="str">
        <f>IF(ISERROR(Q146),"", IF(Q146=0, "", IF(Q146&gt;'Calculs Péremption conso'!$CB26, 'Calculs Péremption conso'!$BX26-Paramétrage!$D$29*(365/12), T146)))</f>
        <v/>
      </c>
      <c r="AA146" s="2171" t="str">
        <f>IF(ISERROR(Q146),AW146,IF(Q146=0,IF(AND(M146=0,OR(N146&gt;0,O146&gt;0)),AX146,""),IF('Saisie données stocks'!$O$10='TRAD-Saisie données stocks'!$B$51,IF('Calculs Péremption conso'!P26="OK",IF('Calculs Péremption conso'!BV26&gt;0,CONCATENATE('TRAD-Calculs dispo Données FA'!$B$88, " - ",'Calculs Péremption conso'!$BY26,"/",'Calculs Péremption conso'!$BZ26,"/",'Calculs Péremption conso'!$CA26),U146),IF(Q146&gt;'Saisie données stocks'!$N$14,'Calculs Péremption conso'!CC26,U146)),IF(Q146&gt;'Saisie données stocks'!$N$14,'Calculs Péremption conso'!CC26,U146))))</f>
        <v/>
      </c>
      <c r="AB146" s="2051"/>
      <c r="AC146" s="2168" t="e">
        <f>(Calculs!O281)/Calculs!L336</f>
        <v>#DIV/0!</v>
      </c>
      <c r="AD146" s="2168" t="e">
        <f t="shared" si="30"/>
        <v>#DIV/0!</v>
      </c>
      <c r="AE146" s="2173" t="e">
        <f>AC146-Paramétrage!D$29</f>
        <v>#DIV/0!</v>
      </c>
      <c r="AF146" s="2169" t="e">
        <f>IF(AC146&lt;Paramétrage!D$29, AC146, Paramétrage!D$29)</f>
        <v>#DIV/0!</v>
      </c>
      <c r="AG146" s="2170" t="e">
        <f>Paramétrage!H$19+AE146*(365/12)</f>
        <v>#DIV/0!</v>
      </c>
      <c r="AH146" s="2171" t="e">
        <f>IF(AC146&lt;Paramétrage!D$29, Paramétrage!H$19+AF146*(365/12), Paramétrage!H$19+AC146*(365/12))</f>
        <v>#DIV/0!</v>
      </c>
      <c r="AI146" s="2051"/>
      <c r="AJ146" s="2168" t="str">
        <f>IF(ISERROR(AC146),"", IF(AC146=0, "", IF(AC146&gt;'Calculs Péremption FA'!$CB26, 'Calculs Péremption FA'!$CB26, AC146)))</f>
        <v/>
      </c>
      <c r="AK146" s="2172" t="str">
        <f t="shared" si="31"/>
        <v/>
      </c>
      <c r="AL146" s="2173" t="str">
        <f>IF(ISERROR(AC146),"", IF(AC146=0, "", IF(AC146&gt;'Calculs Péremption conso'!$CB26, 'Calculs Péremption conso'!$CB26-Paramétrage!$D$29, AE146)))</f>
        <v/>
      </c>
      <c r="AM146" s="2174" t="str">
        <f>IF(ISERROR(AC146),"", IF(AC146=0, "", IF(AC146&gt;'Calculs Péremption conso'!$CB26, Paramétrage!$D$29, AF146)))</f>
        <v/>
      </c>
      <c r="AN146" s="2170" t="str">
        <f>IF(ISERROR(AC146),"", IF(AC146=0, "", IF(AC146&gt;'Calculs Péremption conso'!$CB26, 'Calculs Péremption conso'!$BX26-Paramétrage!$D$29*(365/12), AG146)))</f>
        <v/>
      </c>
      <c r="AO146" s="2171" t="str">
        <f>IF(ISERROR(AC146),"", IF(AC146=0, "", IF(AC146&gt;'Calculs Péremption conso'!$CB26, CONCATENATE('TRAD-Calculs dispo Données FA'!$B$88, " - ", 'Calculs Péremption conso'!$BY26, "/", 'Calculs Péremption conso'!$BZ26, "/", 'Calculs Péremption conso'!$CA26), AH146)))</f>
        <v/>
      </c>
      <c r="AP146" s="2206"/>
      <c r="AQ146" s="2207"/>
      <c r="AR146" s="2051"/>
      <c r="AS146" s="2061">
        <f>Calculs!$O281</f>
        <v>0</v>
      </c>
      <c r="AT146" s="2062">
        <f>Calculs!$L336</f>
        <v>0</v>
      </c>
      <c r="AU146" s="2068">
        <f>Calculs!$N336</f>
        <v>0</v>
      </c>
      <c r="AV146" s="2070" t="str">
        <f>IF(AND(AU146=0, AS146=0, AT146=0), 'TRAD-Calculs dispo Données FA'!$B$82, "")</f>
        <v>Stock et besoin nul</v>
      </c>
      <c r="AW146" s="2062" t="str">
        <f>IF(AND(AU146=0, AS146&gt;0, AT146=0), CONCATENATE(AS146, 'TRAD-Calculs dispo Données FA'!$B$80," =0"), "")</f>
        <v/>
      </c>
      <c r="AX146" s="2063" t="str">
        <f>IF(AND(AS146=0, OR(AT146&gt;=1, AU146&gt;=1)), 'TRAD-Calculs dispo Données FA'!$B$81, "")</f>
        <v/>
      </c>
      <c r="AY146" s="2051"/>
      <c r="AZ146" s="2051"/>
      <c r="BA146" s="2051"/>
      <c r="BB146" s="2051"/>
      <c r="BC146" s="2051"/>
      <c r="BD146" s="2051"/>
      <c r="BE146" s="2051"/>
      <c r="BF146" s="2051"/>
      <c r="BG146" s="2051"/>
      <c r="BH146" s="2051"/>
      <c r="BI146" s="2051"/>
      <c r="BJ146" s="2051"/>
      <c r="BK146" s="2051"/>
      <c r="BL146" s="2051"/>
      <c r="BM146" s="2051"/>
      <c r="BN146" s="2051"/>
      <c r="BO146" s="2051"/>
      <c r="BP146" s="2051"/>
      <c r="BQ146" s="2051"/>
      <c r="BR146" s="2051"/>
      <c r="BS146" s="2051"/>
      <c r="BT146" s="2051"/>
    </row>
    <row r="147" spans="3:72" s="358" customFormat="1" ht="25.5" x14ac:dyDescent="0.2">
      <c r="C147" s="388"/>
      <c r="D147" s="389"/>
      <c r="E147" s="390" t="str">
        <f>'Saisie données stocks'!F39</f>
        <v>RPV</v>
      </c>
      <c r="F147" s="391" t="str">
        <f>'Saisie données stocks'!G39</f>
        <v>Cp</v>
      </c>
      <c r="G147" s="391" t="str">
        <f>'Saisie données stocks'!H39</f>
        <v>25 mg</v>
      </c>
      <c r="H147" s="393" t="str">
        <f>CONCATENATE(E147, " - ", G147," - ", 'TRAD-Calculs dispo Données FA'!$B$79,"/", K147)</f>
        <v>RPV - 25 mg - B/30</v>
      </c>
      <c r="I147" s="394">
        <f>Calculs!K122</f>
        <v>1</v>
      </c>
      <c r="J147" s="394">
        <f t="shared" si="25"/>
        <v>30</v>
      </c>
      <c r="K147" s="116">
        <f>Calculs!J122</f>
        <v>30</v>
      </c>
      <c r="L147" s="395">
        <f t="shared" si="26"/>
        <v>1</v>
      </c>
      <c r="M147" s="1822">
        <f>IF('Saisie données stocks'!$O$10='TRAD-Saisie données stocks'!$B$51, 'Calculs Péremption conso'!BU27, Calculs!M282)+IF('Saisie données stocks'!$M$76='TRAD-Saisie données stocks'!$B$51, Calculs!N282, "0")</f>
        <v>0</v>
      </c>
      <c r="N147" s="1822">
        <f>Calculs!$L$337</f>
        <v>0</v>
      </c>
      <c r="O147" s="1822">
        <f>Calculs!$N$337</f>
        <v>0</v>
      </c>
      <c r="P147"/>
      <c r="Q147" s="2175" t="e">
        <f>IF(Calculs!N337&gt;0, (-(Calculs!N337+2*Calculs!L337)+SQRT((Calculs!N337+2*Calculs!L337)*(Calculs!N337+2*Calculs!L337)+8*Calculs!N337*(M147)))/(2*Calculs!N337), ((M147)/Calculs!L337))</f>
        <v>#DIV/0!</v>
      </c>
      <c r="R147" s="2175" t="e">
        <f>Q147-Paramétrage!D$29</f>
        <v>#DIV/0!</v>
      </c>
      <c r="S147" s="2176" t="e">
        <f>IF(Q147&lt;Paramétrage!D$29, Q147, Paramétrage!D$29)</f>
        <v>#DIV/0!</v>
      </c>
      <c r="T147" s="2178" t="e">
        <f>IF(Q147&lt;Paramétrage!D$29, Paramétrage!H$19+R147*(365/12), Paramétrage!H$19+R147*(365/12))</f>
        <v>#DIV/0!</v>
      </c>
      <c r="U147" s="2179" t="e">
        <f>IF(Q147&lt;Paramétrage!D$29, Paramétrage!H$19+S147*(365/12), Paramétrage!H$19+Q147*(365/12))</f>
        <v>#DIV/0!</v>
      </c>
      <c r="V147" s="2051"/>
      <c r="W147" s="2175" t="str">
        <f>IF(ISERROR(Q147),"", IF(Q147=0, "", IF(Q147&gt;'Calculs Péremption conso'!$CB27, 'Calculs Péremption conso'!$CB27, Q147)))</f>
        <v/>
      </c>
      <c r="X147" s="2180" t="str">
        <f>IF(ISERROR(Q147),"", IF(Q147=0, "", IF(Q147&gt;'Calculs Péremption conso'!$CB27, 'Calculs Péremption conso'!$CB27-Paramétrage!$D$29, R147)))</f>
        <v/>
      </c>
      <c r="Y147" s="2181" t="str">
        <f t="shared" si="29"/>
        <v/>
      </c>
      <c r="Z147" s="2178" t="str">
        <f>IF(ISERROR(Q147),"", IF(Q147=0, "", IF(Q147&gt;'Calculs Péremption conso'!$CB27, 'Calculs Péremption conso'!$BX27-Paramétrage!$D$29*(365/12), T147)))</f>
        <v/>
      </c>
      <c r="AA147" s="2179" t="str">
        <f>IF(ISERROR(Q147),AW147,IF(Q147=0,IF(AND(M147=0,OR(N147&gt;0,O147&gt;0)),AX147,""),IF('Saisie données stocks'!$O$10='TRAD-Saisie données stocks'!$B$51,IF('Calculs Péremption conso'!P27="OK",IF('Calculs Péremption conso'!BV27&gt;0,CONCATENATE('TRAD-Calculs dispo Données FA'!$B$88, " - ",'Calculs Péremption conso'!$BY27,"/",'Calculs Péremption conso'!$BZ27,"/",'Calculs Péremption conso'!$CA27),U147),IF(Q147&gt;'Saisie données stocks'!$N$14,'Calculs Péremption conso'!CC27,U147)),IF(Q147&gt;'Saisie données stocks'!$N$14,'Calculs Péremption conso'!CC27,U147))))</f>
        <v/>
      </c>
      <c r="AB147" s="2051"/>
      <c r="AC147" s="2175" t="e">
        <f>(Calculs!O282)/Calculs!L337</f>
        <v>#DIV/0!</v>
      </c>
      <c r="AD147" s="2175" t="e">
        <f t="shared" si="30"/>
        <v>#DIV/0!</v>
      </c>
      <c r="AE147" s="2173" t="e">
        <f>AC147-Paramétrage!D$29</f>
        <v>#DIV/0!</v>
      </c>
      <c r="AF147" s="2177" t="e">
        <f>IF(AC147&lt;Paramétrage!D$29, AC147, Paramétrage!D$29)</f>
        <v>#DIV/0!</v>
      </c>
      <c r="AG147" s="2178" t="e">
        <f>Paramétrage!H$19+AE147*(365/12)</f>
        <v>#DIV/0!</v>
      </c>
      <c r="AH147" s="2179" t="e">
        <f>IF(AC147&lt;Paramétrage!D$29, Paramétrage!H$19+AF147*(365/12), Paramétrage!H$19+AC147*(365/12))</f>
        <v>#DIV/0!</v>
      </c>
      <c r="AI147" s="2051"/>
      <c r="AJ147" s="2175" t="str">
        <f>IF(ISERROR(AC147),"", IF(AC147=0, "", IF(AC147&gt;'Calculs Péremption FA'!$CB27, 'Calculs Péremption FA'!$CB27, AC147)))</f>
        <v/>
      </c>
      <c r="AK147" s="2180" t="str">
        <f t="shared" si="31"/>
        <v/>
      </c>
      <c r="AL147" s="2181" t="str">
        <f>IF(ISERROR(AC147),"", IF(AC147=0, "", IF(AC147&gt;'Calculs Péremption conso'!$CB27, 'Calculs Péremption conso'!$CB27-Paramétrage!$D$29, AE147)))</f>
        <v/>
      </c>
      <c r="AM147" s="2182" t="str">
        <f>IF(ISERROR(AC147),"", IF(AC147=0, "", IF(AC147&gt;'Calculs Péremption conso'!$CB27, Paramétrage!$D$29, AF147)))</f>
        <v/>
      </c>
      <c r="AN147" s="2178" t="str">
        <f>IF(ISERROR(AC147),"", IF(AC147=0, "", IF(AC147&gt;'Calculs Péremption conso'!$CB27, 'Calculs Péremption conso'!$BX27-Paramétrage!$D$29*(365/12), AG147)))</f>
        <v/>
      </c>
      <c r="AO147" s="2179" t="str">
        <f>IF(ISERROR(AC147),"", IF(AC147=0, "", IF(AC147&gt;'Calculs Péremption conso'!$CB27, CONCATENATE('TRAD-Calculs dispo Données FA'!$B$88, " - ", 'Calculs Péremption conso'!$BY27, "/", 'Calculs Péremption conso'!$BZ27, "/", 'Calculs Péremption conso'!$CA27), AH147)))</f>
        <v/>
      </c>
      <c r="AP147" s="2206"/>
      <c r="AQ147" s="2207"/>
      <c r="AR147" s="2051"/>
      <c r="AS147" s="2061">
        <f>Calculs!$O282</f>
        <v>0</v>
      </c>
      <c r="AT147" s="2062">
        <f>Calculs!$L337</f>
        <v>0</v>
      </c>
      <c r="AU147" s="2068">
        <f>Calculs!$N337</f>
        <v>0</v>
      </c>
      <c r="AV147" s="2070" t="str">
        <f>IF(AND(AU147=0, AS147=0, AT147=0), 'TRAD-Calculs dispo Données FA'!$B$82, "")</f>
        <v>Stock et besoin nul</v>
      </c>
      <c r="AW147" s="2062" t="str">
        <f>IF(AND(AU147=0, AS147&gt;0, AT147=0), CONCATENATE(AS147, 'TRAD-Calculs dispo Données FA'!$B$80," =0"), "")</f>
        <v/>
      </c>
      <c r="AX147" s="2063" t="str">
        <f>IF(AND(AS147=0, OR(AT147&gt;=1, AU147&gt;=1)), 'TRAD-Calculs dispo Données FA'!$B$81, "")</f>
        <v/>
      </c>
      <c r="AY147" s="2051"/>
      <c r="AZ147" s="2051"/>
      <c r="BA147" s="2051"/>
      <c r="BB147" s="2051"/>
      <c r="BC147" s="2051"/>
      <c r="BD147" s="2051"/>
      <c r="BE147" s="2051"/>
      <c r="BF147" s="2051"/>
      <c r="BG147" s="2051"/>
      <c r="BH147" s="2051"/>
      <c r="BI147" s="2051"/>
      <c r="BJ147" s="2051"/>
      <c r="BK147" s="2051"/>
      <c r="BL147" s="2051"/>
      <c r="BM147" s="2051"/>
      <c r="BN147" s="2051"/>
      <c r="BO147" s="2051"/>
      <c r="BP147" s="2051"/>
      <c r="BQ147" s="2051"/>
      <c r="BR147" s="2051"/>
      <c r="BS147" s="2051"/>
      <c r="BT147" s="2051"/>
    </row>
    <row r="148" spans="3:72" s="358" customFormat="1" x14ac:dyDescent="0.2">
      <c r="C148" s="374"/>
      <c r="D148" s="375" t="s">
        <v>31</v>
      </c>
      <c r="E148" s="376" t="str">
        <f>'Saisie données stocks'!F40</f>
        <v>ABC</v>
      </c>
      <c r="F148" s="377" t="str">
        <f>'Saisie données stocks'!G40</f>
        <v>Cp</v>
      </c>
      <c r="G148" s="377" t="str">
        <f>'Saisie données stocks'!H40</f>
        <v>300 mg</v>
      </c>
      <c r="H148" s="378" t="str">
        <f>CONCATENATE(E148, " - ", G148," - ", 'TRAD-Calculs dispo Données FA'!$B$79,"/", K148)</f>
        <v>ABC - 300 mg - B/60</v>
      </c>
      <c r="I148" s="380">
        <f>Calculs!K123</f>
        <v>2</v>
      </c>
      <c r="J148" s="380">
        <f t="shared" si="25"/>
        <v>60</v>
      </c>
      <c r="K148" s="114">
        <f>Calculs!J123</f>
        <v>60</v>
      </c>
      <c r="L148" s="381">
        <f t="shared" si="26"/>
        <v>1</v>
      </c>
      <c r="M148" s="1820">
        <f>IF('Saisie données stocks'!$O$10='TRAD-Saisie données stocks'!$B$51, 'Calculs Péremption conso'!BU28, Calculs!M283)+IF('Saisie données stocks'!$M$76='TRAD-Saisie données stocks'!$B$51, Calculs!N283, "0")</f>
        <v>7.6931506849314246</v>
      </c>
      <c r="N148" s="1820">
        <f>Calculs!$L$338</f>
        <v>2</v>
      </c>
      <c r="O148" s="1820">
        <f>Calculs!$N$338</f>
        <v>0</v>
      </c>
      <c r="P148"/>
      <c r="Q148" s="2161">
        <f>IF(Calculs!N338&gt;0, (-(Calculs!N338+2*Calculs!L338)+SQRT((Calculs!N338+2*Calculs!L338)*(Calculs!N338+2*Calculs!L338)+8*Calculs!N338*(M148)))/(2*Calculs!N338), ((M148)/Calculs!L338))</f>
        <v>3.8465753424657123</v>
      </c>
      <c r="R148" s="2161">
        <f>Q148-Paramétrage!D$29</f>
        <v>0.84657534246571231</v>
      </c>
      <c r="S148" s="2183">
        <f>IF(Q148&lt;Paramétrage!D$29, Q148, Paramétrage!D$29)</f>
        <v>3</v>
      </c>
      <c r="T148" s="2164">
        <f>IF(Q148&lt;Paramétrage!D$29, Paramétrage!H$19+R148*(365/12), Paramétrage!H$19+R148*(365/12))</f>
        <v>41944.75</v>
      </c>
      <c r="U148" s="2165">
        <f>IF(Q148&lt;Paramétrage!D$29, Paramétrage!H$19+S148*(365/12), Paramétrage!H$19+Q148*(365/12))</f>
        <v>42036</v>
      </c>
      <c r="V148" s="2051"/>
      <c r="W148" s="2161">
        <f>IF(ISERROR(Q148),"", IF(Q148=0, "", IF(Q148&gt;'Calculs Péremption conso'!$CB28, 'Calculs Péremption conso'!$CB28, Q148)))</f>
        <v>3.8465753424657123</v>
      </c>
      <c r="X148" s="2166">
        <f>IF(ISERROR(Q148),"", IF(Q148=0, "", IF(Q148&gt;'Calculs Péremption conso'!$CB28, 'Calculs Péremption conso'!$CB28-Paramétrage!$D$29, R148)))</f>
        <v>0.84657534246571231</v>
      </c>
      <c r="Y148" s="2162">
        <f t="shared" si="29"/>
        <v>3</v>
      </c>
      <c r="Z148" s="2164">
        <f>IF(ISERROR(Q148),"", IF(Q148=0, "", IF(Q148&gt;'Calculs Péremption conso'!$CB28, 'Calculs Péremption conso'!$BX28-Paramétrage!$D$29*(365/12), T148)))</f>
        <v>41944.75</v>
      </c>
      <c r="AA148" s="2165" t="str">
        <f>IF(ISERROR(Q148),AW148,IF(Q148=0,IF(AND(M148=0,OR(N148&gt;0,O148&gt;0)),AX148,""),IF('Saisie données stocks'!$O$10='TRAD-Saisie données stocks'!$B$51,IF('Calculs Péremption conso'!P28="OK",IF('Calculs Péremption conso'!BV28&gt;0,CONCATENATE('TRAD-Calculs dispo Données FA'!$B$88, " - ",'Calculs Péremption conso'!$BY28,"/",'Calculs Péremption conso'!$BZ28,"/",'Calculs Péremption conso'!$CA28),U148),IF(Q148&gt;'Saisie données stocks'!$N$14,'Calculs Péremption conso'!CC28,U148)),IF(Q148&gt;'Saisie données stocks'!$N$14,'Calculs Péremption conso'!CC28,U148))))</f>
        <v>DLU - 1/2/2015</v>
      </c>
      <c r="AB148" s="2051"/>
      <c r="AC148" s="2161">
        <f>(Calculs!O283)/Calculs!L338</f>
        <v>546.5</v>
      </c>
      <c r="AD148" s="2161">
        <f t="shared" si="30"/>
        <v>542.65342465753429</v>
      </c>
      <c r="AE148" s="2162">
        <f>AC148-Paramétrage!D$29</f>
        <v>543.5</v>
      </c>
      <c r="AF148" s="2163">
        <f>IF(AC148&lt;Paramétrage!D$29, AC148, Paramétrage!D$29)</f>
        <v>3</v>
      </c>
      <c r="AG148" s="2164">
        <f>Paramétrage!H$19+AE148*(365/12)</f>
        <v>58450.458333333336</v>
      </c>
      <c r="AH148" s="2165">
        <f>IF(AC148&lt;Paramétrage!D$29, Paramétrage!H$19+AF148*(365/12), Paramétrage!H$19+AC148*(365/12))</f>
        <v>58541.708333333336</v>
      </c>
      <c r="AI148" s="2051"/>
      <c r="AJ148" s="2161">
        <f>IF(ISERROR(AC148),"", IF(AC148=0, "", IF(AC148&gt;'Calculs Péremption FA'!$CB28, 'Calculs Péremption FA'!$CB28, AC148)))</f>
        <v>3.8465753424657532</v>
      </c>
      <c r="AK148" s="2166">
        <f t="shared" si="31"/>
        <v>4.0856207306205761E-14</v>
      </c>
      <c r="AL148" s="2162">
        <f>IF(ISERROR(AC148),"", IF(AC148=0, "", IF(AC148&gt;'Calculs Péremption conso'!$CB28, 'Calculs Péremption conso'!$CB28-Paramétrage!$D$29, AE148)))</f>
        <v>0.84657534246575317</v>
      </c>
      <c r="AM148" s="2167">
        <f>IF(ISERROR(AC148),"", IF(AC148=0, "", IF(AC148&gt;'Calculs Péremption conso'!$CB28, Paramétrage!$D$29, AF148)))</f>
        <v>3</v>
      </c>
      <c r="AN148" s="2164">
        <f>IF(ISERROR(AC148),"", IF(AC148=0, "", IF(AC148&gt;'Calculs Péremption conso'!$CB28, 'Calculs Péremption conso'!$BX28-Paramétrage!$D$29*(365/12), AG148)))</f>
        <v>41944.75</v>
      </c>
      <c r="AO148" s="2165" t="str">
        <f>IF(ISERROR(AC148),"", IF(AC148=0, "", IF(AC148&gt;'Calculs Péremption conso'!$CB28, CONCATENATE('TRAD-Calculs dispo Données FA'!$B$88, " - ", 'Calculs Péremption conso'!$BY28, "/", 'Calculs Péremption conso'!$BZ28, "/", 'Calculs Péremption conso'!$CA28), AH148)))</f>
        <v>DLU - 1/2/2015</v>
      </c>
      <c r="AP148" s="2206"/>
      <c r="AQ148" s="2207"/>
      <c r="AR148" s="2051"/>
      <c r="AS148" s="2061">
        <f>Calculs!$O283</f>
        <v>1093</v>
      </c>
      <c r="AT148" s="2062">
        <f>Calculs!$L338</f>
        <v>2</v>
      </c>
      <c r="AU148" s="2068">
        <f>Calculs!$N338</f>
        <v>0</v>
      </c>
      <c r="AV148" s="2070" t="str">
        <f>IF(AND(AU148=0, AS148=0, AT148=0), 'TRAD-Calculs dispo Données FA'!$B$82, "")</f>
        <v/>
      </c>
      <c r="AW148" s="2062" t="str">
        <f>IF(AND(AU148=0, AS148&gt;0, AT148=0), CONCATENATE(AS148, 'TRAD-Calculs dispo Données FA'!$B$80," =0"), "")</f>
        <v/>
      </c>
      <c r="AX148" s="2063" t="str">
        <f>IF(AND(AS148=0, OR(AT148&gt;=1, AU148&gt;=1)), 'TRAD-Calculs dispo Données FA'!$B$81, "")</f>
        <v/>
      </c>
      <c r="AY148" s="2051"/>
      <c r="AZ148" s="2051"/>
      <c r="BA148" s="2051"/>
      <c r="BB148" s="2051"/>
      <c r="BC148" s="2051"/>
      <c r="BD148" s="2051"/>
      <c r="BE148" s="2051"/>
      <c r="BF148" s="2051"/>
      <c r="BG148" s="2051"/>
      <c r="BH148" s="2051"/>
      <c r="BI148" s="2051"/>
      <c r="BJ148" s="2051"/>
      <c r="BK148" s="2051"/>
      <c r="BL148" s="2051"/>
      <c r="BM148" s="2051"/>
      <c r="BN148" s="2051"/>
      <c r="BO148" s="2051"/>
      <c r="BP148" s="2051"/>
      <c r="BQ148" s="2051"/>
      <c r="BR148" s="2051"/>
      <c r="BS148" s="2051"/>
      <c r="BT148" s="2051"/>
    </row>
    <row r="149" spans="3:72" s="358" customFormat="1" x14ac:dyDescent="0.2">
      <c r="C149" s="374"/>
      <c r="D149" s="375"/>
      <c r="E149" s="376" t="str">
        <f>'Saisie données stocks'!F41</f>
        <v>ABC</v>
      </c>
      <c r="F149" s="377" t="str">
        <f>'Saisie données stocks'!G41</f>
        <v>Cp</v>
      </c>
      <c r="G149" s="377" t="str">
        <f>'Saisie données stocks'!H41</f>
        <v>60 mg</v>
      </c>
      <c r="H149" s="378" t="str">
        <f>CONCATENATE(E149, " - ", G149," - ", 'TRAD-Calculs dispo Données FA'!$B$79,"/", K149)</f>
        <v>ABC - 60 mg - B/60</v>
      </c>
      <c r="I149" s="380">
        <f>Calculs!K124</f>
        <v>2</v>
      </c>
      <c r="J149" s="380">
        <f t="shared" si="25"/>
        <v>60</v>
      </c>
      <c r="K149" s="114">
        <f>Calculs!J124</f>
        <v>60</v>
      </c>
      <c r="L149" s="381">
        <f t="shared" si="26"/>
        <v>1</v>
      </c>
      <c r="M149" s="1820">
        <f>IF('Saisie données stocks'!$O$10='TRAD-Saisie données stocks'!$B$51, 'Calculs Péremption conso'!BU29, Calculs!M284)+IF('Saisie données stocks'!$M$76='TRAD-Saisie données stocks'!$B$51, Calculs!N284, "0")</f>
        <v>0</v>
      </c>
      <c r="N149" s="1820">
        <f>Calculs!$L$339</f>
        <v>0</v>
      </c>
      <c r="O149" s="1820">
        <f>Calculs!$N$339</f>
        <v>0</v>
      </c>
      <c r="P149"/>
      <c r="Q149" s="2161" t="e">
        <f>IF(Calculs!N339&gt;0, (-(Calculs!N339+2*Calculs!L339)+SQRT((Calculs!N339+2*Calculs!L339)*(Calculs!N339+2*Calculs!L339)+8*Calculs!N339*(M149)))/(2*Calculs!N339), ((M149)/Calculs!L339))</f>
        <v>#DIV/0!</v>
      </c>
      <c r="R149" s="2161" t="e">
        <f>Q149-Paramétrage!D$29</f>
        <v>#DIV/0!</v>
      </c>
      <c r="S149" s="2162" t="e">
        <f>IF(Q149&lt;Paramétrage!D$29, Q149, Paramétrage!D$29)</f>
        <v>#DIV/0!</v>
      </c>
      <c r="T149" s="2164" t="e">
        <f>IF(Q149&lt;Paramétrage!D$29, Paramétrage!H$19+R149*(365/12), Paramétrage!H$19+R149*(365/12))</f>
        <v>#DIV/0!</v>
      </c>
      <c r="U149" s="2165" t="e">
        <f>IF(Q149&lt;Paramétrage!D$29, Paramétrage!H$19+S149*(365/12), Paramétrage!H$19+Q149*(365/12))</f>
        <v>#DIV/0!</v>
      </c>
      <c r="V149" s="2051"/>
      <c r="W149" s="2161" t="str">
        <f>IF(ISERROR(Q149),"", IF(Q149=0, "", IF(Q149&gt;'Calculs Péremption conso'!$CB29, 'Calculs Péremption conso'!$CB29, Q149)))</f>
        <v/>
      </c>
      <c r="X149" s="2166" t="str">
        <f>IF(ISERROR(Q149),"", IF(Q149=0, "", IF(Q149&gt;'Calculs Péremption conso'!$CB29, 'Calculs Péremption conso'!$CB29-Paramétrage!$D$29, R149)))</f>
        <v/>
      </c>
      <c r="Y149" s="2162" t="str">
        <f t="shared" si="29"/>
        <v/>
      </c>
      <c r="Z149" s="2164" t="str">
        <f>IF(ISERROR(Q149),"", IF(Q149=0, "", IF(Q149&gt;'Calculs Péremption conso'!$CB29, 'Calculs Péremption conso'!$BX29-Paramétrage!$D$29*(365/12), T149)))</f>
        <v/>
      </c>
      <c r="AA149" s="2165" t="str">
        <f>IF(ISERROR(Q149),AW149,IF(Q149=0,IF(AND(M149=0,OR(N149&gt;0,O149&gt;0)),AX149,""),IF('Saisie données stocks'!$O$10='TRAD-Saisie données stocks'!$B$51,IF('Calculs Péremption conso'!P29="OK",IF('Calculs Péremption conso'!BV29&gt;0,CONCATENATE('TRAD-Calculs dispo Données FA'!$B$88, " - ",'Calculs Péremption conso'!$BY29,"/",'Calculs Péremption conso'!$BZ29,"/",'Calculs Péremption conso'!$CA29),U149),IF(Q149&gt;'Saisie données stocks'!$N$14,'Calculs Péremption conso'!CC29,U149)),IF(Q149&gt;'Saisie données stocks'!$N$14,'Calculs Péremption conso'!CC29,U149))))</f>
        <v/>
      </c>
      <c r="AB149" s="2051"/>
      <c r="AC149" s="2161" t="e">
        <f>(Calculs!O284)/Calculs!L339</f>
        <v>#DIV/0!</v>
      </c>
      <c r="AD149" s="2161" t="e">
        <f t="shared" si="30"/>
        <v>#DIV/0!</v>
      </c>
      <c r="AE149" s="2162" t="e">
        <f>AC149-Paramétrage!D$29</f>
        <v>#DIV/0!</v>
      </c>
      <c r="AF149" s="2163" t="e">
        <f>IF(AC149&lt;Paramétrage!D$29, AC149, Paramétrage!D$29)</f>
        <v>#DIV/0!</v>
      </c>
      <c r="AG149" s="2164" t="e">
        <f>Paramétrage!H$19+AE149*(365/12)</f>
        <v>#DIV/0!</v>
      </c>
      <c r="AH149" s="2165" t="e">
        <f>IF(AC149&lt;Paramétrage!D$29, Paramétrage!H$19+AF149*(365/12), Paramétrage!H$19+AC149*(365/12))</f>
        <v>#DIV/0!</v>
      </c>
      <c r="AI149" s="2051"/>
      <c r="AJ149" s="2161" t="str">
        <f>IF(ISERROR(AC149),"", IF(AC149=0, "", IF(AC149&gt;'Calculs Péremption FA'!$CB29, 'Calculs Péremption FA'!$CB29, AC149)))</f>
        <v/>
      </c>
      <c r="AK149" s="2166" t="str">
        <f t="shared" si="31"/>
        <v/>
      </c>
      <c r="AL149" s="2162" t="str">
        <f>IF(ISERROR(AC149),"", IF(AC149=0, "", IF(AC149&gt;'Calculs Péremption conso'!$CB29, 'Calculs Péremption conso'!$CB29-Paramétrage!$D$29, AE149)))</f>
        <v/>
      </c>
      <c r="AM149" s="2167" t="str">
        <f>IF(ISERROR(AC149),"", IF(AC149=0, "", IF(AC149&gt;'Calculs Péremption conso'!$CB29, Paramétrage!$D$29, AF149)))</f>
        <v/>
      </c>
      <c r="AN149" s="2164" t="str">
        <f>IF(ISERROR(AC149),"", IF(AC149=0, "", IF(AC149&gt;'Calculs Péremption conso'!$CB29, 'Calculs Péremption conso'!$BX29-Paramétrage!$D$29*(365/12), AG149)))</f>
        <v/>
      </c>
      <c r="AO149" s="2165" t="str">
        <f>IF(ISERROR(AC149),"", IF(AC149=0, "", IF(AC149&gt;'Calculs Péremption conso'!$CB29, CONCATENATE('TRAD-Calculs dispo Données FA'!$B$88, " - ", 'Calculs Péremption conso'!$BY29, "/", 'Calculs Péremption conso'!$BZ29, "/", 'Calculs Péremption conso'!$CA29), AH149)))</f>
        <v/>
      </c>
      <c r="AP149" s="2206"/>
      <c r="AQ149" s="2207"/>
      <c r="AR149" s="2051"/>
      <c r="AS149" s="2061">
        <f>Calculs!$O284</f>
        <v>0</v>
      </c>
      <c r="AT149" s="2062">
        <f>Calculs!$L339</f>
        <v>0</v>
      </c>
      <c r="AU149" s="2068">
        <f>Calculs!$N339</f>
        <v>0</v>
      </c>
      <c r="AV149" s="2070" t="str">
        <f>IF(AND(AU149=0, AS149=0, AT149=0), 'TRAD-Calculs dispo Données FA'!$B$82, "")</f>
        <v>Stock et besoin nul</v>
      </c>
      <c r="AW149" s="2062" t="str">
        <f>IF(AND(AU149=0, AS149&gt;0, AT149=0), CONCATENATE(AS149, 'TRAD-Calculs dispo Données FA'!$B$80," =0"), "")</f>
        <v/>
      </c>
      <c r="AX149" s="2063" t="str">
        <f>IF(AND(AS149=0, OR(AT149&gt;=1, AU149&gt;=1)), 'TRAD-Calculs dispo Données FA'!$B$81, "")</f>
        <v/>
      </c>
      <c r="AY149" s="2051"/>
      <c r="AZ149" s="2051"/>
      <c r="BA149" s="2051"/>
      <c r="BB149" s="2051"/>
      <c r="BC149" s="2051"/>
      <c r="BD149" s="2051"/>
      <c r="BE149" s="2051"/>
      <c r="BF149" s="2051"/>
      <c r="BG149" s="2051"/>
      <c r="BH149" s="2051"/>
      <c r="BI149" s="2051"/>
      <c r="BJ149" s="2051"/>
      <c r="BK149" s="2051"/>
      <c r="BL149" s="2051"/>
      <c r="BM149" s="2051"/>
      <c r="BN149" s="2051"/>
      <c r="BO149" s="2051"/>
      <c r="BP149" s="2051"/>
      <c r="BQ149" s="2051"/>
      <c r="BR149" s="2051"/>
      <c r="BS149" s="2051"/>
      <c r="BT149" s="2051"/>
    </row>
    <row r="150" spans="3:72" s="358" customFormat="1" x14ac:dyDescent="0.2">
      <c r="C150" s="374"/>
      <c r="D150" s="375"/>
      <c r="E150" s="376" t="str">
        <f>'Saisie données stocks'!F42</f>
        <v>AZT</v>
      </c>
      <c r="F150" s="377" t="str">
        <f>'Saisie données stocks'!G42</f>
        <v>Cp</v>
      </c>
      <c r="G150" s="383" t="str">
        <f>'Saisie données stocks'!H42</f>
        <v>300 mg</v>
      </c>
      <c r="H150" s="378" t="str">
        <f>CONCATENATE(E150, " - ", G150," - ", 'TRAD-Calculs dispo Données FA'!$B$79,"/", K150)</f>
        <v>AZT - 300 mg - B/60</v>
      </c>
      <c r="I150" s="380">
        <f>Calculs!K125</f>
        <v>2</v>
      </c>
      <c r="J150" s="380">
        <f t="shared" si="25"/>
        <v>60</v>
      </c>
      <c r="K150" s="114">
        <f>Calculs!J125</f>
        <v>60</v>
      </c>
      <c r="L150" s="381">
        <f t="shared" si="26"/>
        <v>1</v>
      </c>
      <c r="M150" s="1820">
        <f>IF('Saisie données stocks'!$O$10='TRAD-Saisie données stocks'!$B$51, 'Calculs Péremption conso'!BU30, Calculs!M285)+IF('Saisie données stocks'!$M$76='TRAD-Saisie données stocks'!$B$51, Calculs!N285, "0")</f>
        <v>0</v>
      </c>
      <c r="N150" s="1820">
        <f>Calculs!$L$340</f>
        <v>0</v>
      </c>
      <c r="O150" s="1820">
        <f>Calculs!$N$340</f>
        <v>0</v>
      </c>
      <c r="P150"/>
      <c r="Q150" s="2161" t="e">
        <f>IF(Calculs!N340&gt;0, (-(Calculs!N340+2*Calculs!L340)+SQRT((Calculs!N340+2*Calculs!L340)*(Calculs!N340+2*Calculs!L340)+8*Calculs!N340*(M150)))/(2*Calculs!N340), ((M150)/Calculs!L340))</f>
        <v>#DIV/0!</v>
      </c>
      <c r="R150" s="2161" t="e">
        <f>Q150-Paramétrage!D$29</f>
        <v>#DIV/0!</v>
      </c>
      <c r="S150" s="2162" t="e">
        <f>IF(Q150&lt;Paramétrage!D$29, Q150, Paramétrage!D$29)</f>
        <v>#DIV/0!</v>
      </c>
      <c r="T150" s="2164" t="e">
        <f>IF(Q150&lt;Paramétrage!D$29, Paramétrage!H$19+R150*(365/12), Paramétrage!H$19+R150*(365/12))</f>
        <v>#DIV/0!</v>
      </c>
      <c r="U150" s="2165" t="e">
        <f>IF(Q150&lt;Paramétrage!D$29, Paramétrage!H$19+S150*(365/12), Paramétrage!H$19+Q150*(365/12))</f>
        <v>#DIV/0!</v>
      </c>
      <c r="V150" s="2051"/>
      <c r="W150" s="2161" t="str">
        <f>IF(ISERROR(Q150),"", IF(Q150=0, "", IF(Q150&gt;'Calculs Péremption conso'!$CB30, 'Calculs Péremption conso'!$CB30, Q150)))</f>
        <v/>
      </c>
      <c r="X150" s="2166" t="str">
        <f>IF(ISERROR(Q150),"", IF(Q150=0, "", IF(Q150&gt;'Calculs Péremption conso'!$CB30, 'Calculs Péremption conso'!$CB30-Paramétrage!$D$29, R150)))</f>
        <v/>
      </c>
      <c r="Y150" s="2162" t="str">
        <f t="shared" si="29"/>
        <v/>
      </c>
      <c r="Z150" s="2164" t="str">
        <f>IF(ISERROR(Q150),"", IF(Q150=0, "", IF(Q150&gt;'Calculs Péremption conso'!$CB30, 'Calculs Péremption conso'!$BX30-Paramétrage!$D$29*(365/12), T150)))</f>
        <v/>
      </c>
      <c r="AA150" s="2165" t="str">
        <f>IF(ISERROR(Q150),AW150,IF(Q150=0,IF(AND(M150=0,OR(N150&gt;0,O150&gt;0)),AX150,""),IF('Saisie données stocks'!$O$10='TRAD-Saisie données stocks'!$B$51,IF('Calculs Péremption conso'!P30="OK",IF('Calculs Péremption conso'!BV30&gt;0,CONCATENATE('TRAD-Calculs dispo Données FA'!$B$88, " - ",'Calculs Péremption conso'!$BY30,"/",'Calculs Péremption conso'!$BZ30,"/",'Calculs Péremption conso'!$CA30),U150),IF(Q150&gt;'Saisie données stocks'!$N$14,'Calculs Péremption conso'!CC30,U150)),IF(Q150&gt;'Saisie données stocks'!$N$14,'Calculs Péremption conso'!CC30,U150))))</f>
        <v/>
      </c>
      <c r="AB150" s="2051"/>
      <c r="AC150" s="2161" t="e">
        <f>(Calculs!O285)/Calculs!L340</f>
        <v>#DIV/0!</v>
      </c>
      <c r="AD150" s="2161" t="e">
        <f t="shared" si="30"/>
        <v>#DIV/0!</v>
      </c>
      <c r="AE150" s="2162" t="e">
        <f>AC150-Paramétrage!D$29</f>
        <v>#DIV/0!</v>
      </c>
      <c r="AF150" s="2163" t="e">
        <f>IF(AC150&lt;Paramétrage!D$29, AC150, Paramétrage!D$29)</f>
        <v>#DIV/0!</v>
      </c>
      <c r="AG150" s="2164" t="e">
        <f>Paramétrage!H$19+AE150*(365/12)</f>
        <v>#DIV/0!</v>
      </c>
      <c r="AH150" s="2165" t="e">
        <f>IF(AC150&lt;Paramétrage!D$29, Paramétrage!H$19+AF150*(365/12), Paramétrage!H$19+AC150*(365/12))</f>
        <v>#DIV/0!</v>
      </c>
      <c r="AI150" s="2051"/>
      <c r="AJ150" s="2161" t="str">
        <f>IF(ISERROR(AC150),"", IF(AC150=0, "", IF(AC150&gt;'Calculs Péremption FA'!$CB30, 'Calculs Péremption FA'!$CB30, AC150)))</f>
        <v/>
      </c>
      <c r="AK150" s="2166" t="str">
        <f t="shared" si="31"/>
        <v/>
      </c>
      <c r="AL150" s="2162" t="str">
        <f>IF(ISERROR(AC150),"", IF(AC150=0, "", IF(AC150&gt;'Calculs Péremption conso'!$CB30, 'Calculs Péremption conso'!$CB30-Paramétrage!$D$29, AE150)))</f>
        <v/>
      </c>
      <c r="AM150" s="2167" t="str">
        <f>IF(ISERROR(AC150),"", IF(AC150=0, "", IF(AC150&gt;'Calculs Péremption conso'!$CB30, Paramétrage!$D$29, AF150)))</f>
        <v/>
      </c>
      <c r="AN150" s="2164" t="str">
        <f>IF(ISERROR(AC150),"", IF(AC150=0, "", IF(AC150&gt;'Calculs Péremption conso'!$CB30, 'Calculs Péremption conso'!$BX30-Paramétrage!$D$29*(365/12), AG150)))</f>
        <v/>
      </c>
      <c r="AO150" s="2165" t="str">
        <f>IF(ISERROR(AC150),"", IF(AC150=0, "", IF(AC150&gt;'Calculs Péremption conso'!$CB30, CONCATENATE('TRAD-Calculs dispo Données FA'!$B$88, " - ", 'Calculs Péremption conso'!$BY30, "/", 'Calculs Péremption conso'!$BZ30, "/", 'Calculs Péremption conso'!$CA30), AH150)))</f>
        <v/>
      </c>
      <c r="AP150" s="2206"/>
      <c r="AQ150" s="2207"/>
      <c r="AR150" s="2051"/>
      <c r="AS150" s="2061">
        <f>Calculs!$O285</f>
        <v>0</v>
      </c>
      <c r="AT150" s="2062">
        <f>Calculs!$L340</f>
        <v>0</v>
      </c>
      <c r="AU150" s="2068">
        <f>Calculs!$N340</f>
        <v>0</v>
      </c>
      <c r="AV150" s="2070" t="str">
        <f>IF(AND(AU150=0, AS150=0, AT150=0), 'TRAD-Calculs dispo Données FA'!$B$82, "")</f>
        <v>Stock et besoin nul</v>
      </c>
      <c r="AW150" s="2062" t="str">
        <f>IF(AND(AU150=0, AS150&gt;0, AT150=0), CONCATENATE(AS150, 'TRAD-Calculs dispo Données FA'!$B$80," =0"), "")</f>
        <v/>
      </c>
      <c r="AX150" s="2063" t="str">
        <f>IF(AND(AS150=0, OR(AT150&gt;=1, AU150&gt;=1)), 'TRAD-Calculs dispo Données FA'!$B$81, "")</f>
        <v/>
      </c>
      <c r="AY150" s="2051"/>
      <c r="AZ150" s="2051"/>
      <c r="BA150" s="2051"/>
      <c r="BB150" s="2051"/>
      <c r="BC150" s="2051"/>
      <c r="BD150" s="2051"/>
      <c r="BE150" s="2051"/>
      <c r="BF150" s="2051"/>
      <c r="BG150" s="2051"/>
      <c r="BH150" s="2051"/>
      <c r="BI150" s="2051"/>
      <c r="BJ150" s="2051"/>
      <c r="BK150" s="2051"/>
      <c r="BL150" s="2051"/>
      <c r="BM150" s="2051"/>
      <c r="BN150" s="2051"/>
      <c r="BO150" s="2051"/>
      <c r="BP150" s="2051"/>
      <c r="BQ150" s="2051"/>
      <c r="BR150" s="2051"/>
      <c r="BS150" s="2051"/>
      <c r="BT150" s="2051"/>
    </row>
    <row r="151" spans="3:72" s="358" customFormat="1" x14ac:dyDescent="0.2">
      <c r="C151" s="374"/>
      <c r="D151" s="375"/>
      <c r="E151" s="376" t="str">
        <f>'Saisie données stocks'!F43</f>
        <v>AZT</v>
      </c>
      <c r="F151" s="377" t="str">
        <f>'Saisie données stocks'!G43</f>
        <v>Cp</v>
      </c>
      <c r="G151" s="1208" t="str">
        <f>'Saisie données stocks'!H43</f>
        <v>100 mg</v>
      </c>
      <c r="H151" s="378" t="str">
        <f>CONCATENATE(E151, " - ", G151," - ", 'TRAD-Calculs dispo Données FA'!$B$79,"/", K151)</f>
        <v>AZT - 100 mg - B/100</v>
      </c>
      <c r="I151" s="380">
        <f>Calculs!K126</f>
        <v>0</v>
      </c>
      <c r="J151" s="380">
        <f t="shared" si="25"/>
        <v>0</v>
      </c>
      <c r="K151" s="114">
        <f>Calculs!J126</f>
        <v>100</v>
      </c>
      <c r="L151" s="381">
        <f t="shared" si="26"/>
        <v>0</v>
      </c>
      <c r="M151" s="1820">
        <f>IF('Saisie données stocks'!$O$10='TRAD-Saisie données stocks'!$B$51, 'Calculs Péremption conso'!BU31, Calculs!M286)+IF('Saisie données stocks'!$M$76='TRAD-Saisie données stocks'!$B$51, Calculs!N286, "0")</f>
        <v>0</v>
      </c>
      <c r="N151" s="1820">
        <f>Calculs!$L$341</f>
        <v>0</v>
      </c>
      <c r="O151" s="1820">
        <f>Calculs!$N$341</f>
        <v>0</v>
      </c>
      <c r="P151"/>
      <c r="Q151" s="2161" t="e">
        <f>IF(Calculs!N341&gt;0, (-(Calculs!N341+2*Calculs!L341)+SQRT((Calculs!N341+2*Calculs!L341)*(Calculs!N341+2*Calculs!L341)+8*Calculs!N341*(M151)))/(2*Calculs!N341), ((M151)/Calculs!L341))</f>
        <v>#DIV/0!</v>
      </c>
      <c r="R151" s="2161" t="e">
        <f>Q151-Paramétrage!D$29</f>
        <v>#DIV/0!</v>
      </c>
      <c r="S151" s="2162" t="e">
        <f>IF(Q151&lt;Paramétrage!D$29, Q151, Paramétrage!D$29)</f>
        <v>#DIV/0!</v>
      </c>
      <c r="T151" s="2164" t="e">
        <f>IF(Q151&lt;Paramétrage!D$29, Paramétrage!H$19+R151*(365/12), Paramétrage!H$19+R151*(365/12))</f>
        <v>#DIV/0!</v>
      </c>
      <c r="U151" s="2165" t="e">
        <f>IF(Q151&lt;Paramétrage!D$29, Paramétrage!H$19+S151*(365/12), Paramétrage!H$19+Q151*(365/12))</f>
        <v>#DIV/0!</v>
      </c>
      <c r="V151" s="2051"/>
      <c r="W151" s="2161" t="str">
        <f>IF(ISERROR(Q151),"", IF(Q151=0, "", IF(Q151&gt;'Calculs Péremption conso'!$CB31, 'Calculs Péremption conso'!$CB31, Q151)))</f>
        <v/>
      </c>
      <c r="X151" s="2166" t="str">
        <f>IF(ISERROR(Q151),"", IF(Q151=0, "", IF(Q151&gt;'Calculs Péremption conso'!$CB31, 'Calculs Péremption conso'!$CB31-Paramétrage!$D$29, R151)))</f>
        <v/>
      </c>
      <c r="Y151" s="2162" t="str">
        <f t="shared" si="29"/>
        <v/>
      </c>
      <c r="Z151" s="2164" t="str">
        <f>IF(ISERROR(Q151),"", IF(Q151=0, "", IF(Q151&gt;'Calculs Péremption conso'!$CB31, 'Calculs Péremption conso'!$BX31-Paramétrage!$D$29*(365/12), T151)))</f>
        <v/>
      </c>
      <c r="AA151" s="2165" t="str">
        <f>IF(ISERROR(Q151),AW151,IF(Q151=0,IF(AND(M151=0,OR(N151&gt;0,O151&gt;0)),AX151,""),IF('Saisie données stocks'!$O$10='TRAD-Saisie données stocks'!$B$51,IF('Calculs Péremption conso'!P31="OK",IF('Calculs Péremption conso'!BV31&gt;0,CONCATENATE('TRAD-Calculs dispo Données FA'!$B$88, " - ",'Calculs Péremption conso'!$BY31,"/",'Calculs Péremption conso'!$BZ31,"/",'Calculs Péremption conso'!$CA31),U151),IF(Q151&gt;'Saisie données stocks'!$N$14,'Calculs Péremption conso'!CC31,U151)),IF(Q151&gt;'Saisie données stocks'!$N$14,'Calculs Péremption conso'!CC31,U151))))</f>
        <v/>
      </c>
      <c r="AB151" s="2051"/>
      <c r="AC151" s="2161" t="e">
        <f>(Calculs!O286)/Calculs!L341</f>
        <v>#DIV/0!</v>
      </c>
      <c r="AD151" s="2161" t="e">
        <f t="shared" si="30"/>
        <v>#DIV/0!</v>
      </c>
      <c r="AE151" s="2162" t="e">
        <f>AC151-Paramétrage!D$29</f>
        <v>#DIV/0!</v>
      </c>
      <c r="AF151" s="2163" t="e">
        <f>IF(AC151&lt;Paramétrage!D$29, AC151, Paramétrage!D$29)</f>
        <v>#DIV/0!</v>
      </c>
      <c r="AG151" s="2164" t="e">
        <f>Paramétrage!H$19+AE151*(365/12)</f>
        <v>#DIV/0!</v>
      </c>
      <c r="AH151" s="2165" t="e">
        <f>IF(AC151&lt;Paramétrage!D$29, Paramétrage!H$19+AF151*(365/12), Paramétrage!H$19+AC151*(365/12))</f>
        <v>#DIV/0!</v>
      </c>
      <c r="AI151" s="2051"/>
      <c r="AJ151" s="2161" t="str">
        <f>IF(ISERROR(AC151),"", IF(AC151=0, "", IF(AC151&gt;'Calculs Péremption FA'!$CB31, 'Calculs Péremption FA'!$CB31, AC151)))</f>
        <v/>
      </c>
      <c r="AK151" s="2166" t="str">
        <f t="shared" si="31"/>
        <v/>
      </c>
      <c r="AL151" s="2162" t="str">
        <f>IF(ISERROR(AC151),"", IF(AC151=0, "", IF(AC151&gt;'Calculs Péremption conso'!$CB31, 'Calculs Péremption conso'!$CB31-Paramétrage!$D$29, AE151)))</f>
        <v/>
      </c>
      <c r="AM151" s="2167" t="str">
        <f>IF(ISERROR(AC151),"", IF(AC151=0, "", IF(AC151&gt;'Calculs Péremption conso'!$CB31, Paramétrage!$D$29, AF151)))</f>
        <v/>
      </c>
      <c r="AN151" s="2164" t="str">
        <f>IF(ISERROR(AC151),"", IF(AC151=0, "", IF(AC151&gt;'Calculs Péremption conso'!$CB31, 'Calculs Péremption conso'!$BX31-Paramétrage!$D$29*(365/12), AG151)))</f>
        <v/>
      </c>
      <c r="AO151" s="2165" t="str">
        <f>IF(ISERROR(AC151),"", IF(AC151=0, "", IF(AC151&gt;'Calculs Péremption conso'!$CB31, CONCATENATE('TRAD-Calculs dispo Données FA'!$B$88, " - ", 'Calculs Péremption conso'!$BY31, "/", 'Calculs Péremption conso'!$BZ31, "/", 'Calculs Péremption conso'!$CA31), AH151)))</f>
        <v/>
      </c>
      <c r="AP151" s="2206"/>
      <c r="AQ151" s="2207"/>
      <c r="AR151" s="2051"/>
      <c r="AS151" s="2061">
        <f>Calculs!$O286</f>
        <v>0</v>
      </c>
      <c r="AT151" s="2062">
        <f>Calculs!$L341</f>
        <v>0</v>
      </c>
      <c r="AU151" s="2068">
        <f>Calculs!$N341</f>
        <v>0</v>
      </c>
      <c r="AV151" s="2070" t="str">
        <f>IF(AND(AU151=0, AS151=0, AT151=0), 'TRAD-Calculs dispo Données FA'!$B$82, "")</f>
        <v>Stock et besoin nul</v>
      </c>
      <c r="AW151" s="2062" t="str">
        <f>IF(AND(AU151=0, AS151&gt;0, AT151=0), CONCATENATE(AS151, 'TRAD-Calculs dispo Données FA'!$B$80," =0"), "")</f>
        <v/>
      </c>
      <c r="AX151" s="2063" t="str">
        <f>IF(AND(AS151=0, OR(AT151&gt;=1, AU151&gt;=1)), 'TRAD-Calculs dispo Données FA'!$B$81, "")</f>
        <v/>
      </c>
      <c r="AY151" s="2051"/>
      <c r="AZ151" s="2051"/>
      <c r="BA151" s="2051"/>
      <c r="BB151" s="2051"/>
      <c r="BC151" s="2051"/>
      <c r="BD151" s="2051"/>
      <c r="BE151" s="2051"/>
      <c r="BF151" s="2051"/>
      <c r="BG151" s="2051"/>
      <c r="BH151" s="2051"/>
      <c r="BI151" s="2051"/>
      <c r="BJ151" s="2051"/>
      <c r="BK151" s="2051"/>
      <c r="BL151" s="2051"/>
      <c r="BM151" s="2051"/>
      <c r="BN151" s="2051"/>
      <c r="BO151" s="2051"/>
      <c r="BP151" s="2051"/>
      <c r="BQ151" s="2051"/>
      <c r="BR151" s="2051"/>
      <c r="BS151" s="2051"/>
      <c r="BT151" s="2051"/>
    </row>
    <row r="152" spans="3:72" s="358" customFormat="1" x14ac:dyDescent="0.2">
      <c r="C152" s="374"/>
      <c r="D152" s="375"/>
      <c r="E152" s="376" t="str">
        <f>'Saisie données stocks'!F44</f>
        <v>AZT</v>
      </c>
      <c r="F152" s="377" t="str">
        <f>'Saisie données stocks'!G44</f>
        <v>Cp</v>
      </c>
      <c r="G152" s="1208" t="str">
        <f>'Saisie données stocks'!H44</f>
        <v>60 mg</v>
      </c>
      <c r="H152" s="378" t="str">
        <f>CONCATENATE(E152, " - ", G152," - ", 'TRAD-Calculs dispo Données FA'!$B$79,"/", K152)</f>
        <v>AZT - 60 mg - B/60</v>
      </c>
      <c r="I152" s="380">
        <f>Calculs!K127</f>
        <v>2</v>
      </c>
      <c r="J152" s="380">
        <f t="shared" si="25"/>
        <v>60</v>
      </c>
      <c r="K152" s="114">
        <f>Calculs!J127</f>
        <v>60</v>
      </c>
      <c r="L152" s="381">
        <f t="shared" si="26"/>
        <v>1</v>
      </c>
      <c r="M152" s="1820">
        <f>IF('Saisie données stocks'!$O$10='TRAD-Saisie données stocks'!$B$51, 'Calculs Péremption conso'!BU32, Calculs!M287)+IF('Saisie données stocks'!$M$76='TRAD-Saisie données stocks'!$B$51, Calculs!N287, "0")</f>
        <v>0</v>
      </c>
      <c r="N152" s="1820">
        <f>Calculs!$L$342</f>
        <v>0</v>
      </c>
      <c r="O152" s="1820">
        <f>Calculs!$N$342</f>
        <v>0</v>
      </c>
      <c r="P152"/>
      <c r="Q152" s="2161" t="e">
        <f>IF(Calculs!N342&gt;0, (-(Calculs!N342+2*Calculs!L342)+SQRT((Calculs!N342+2*Calculs!L342)*(Calculs!N342+2*Calculs!L342)+8*Calculs!N342*(M152)))/(2*Calculs!N342), ((M152)/Calculs!L342))</f>
        <v>#DIV/0!</v>
      </c>
      <c r="R152" s="2161" t="e">
        <f>Q152-Paramétrage!D$29</f>
        <v>#DIV/0!</v>
      </c>
      <c r="S152" s="2162" t="e">
        <f>IF(Q152&lt;Paramétrage!D$29, Q152, Paramétrage!D$29)</f>
        <v>#DIV/0!</v>
      </c>
      <c r="T152" s="2164" t="e">
        <f>IF(Q152&lt;Paramétrage!D$29, Paramétrage!H$19+R152*(365/12), Paramétrage!H$19+R152*(365/12))</f>
        <v>#DIV/0!</v>
      </c>
      <c r="U152" s="2165" t="e">
        <f>IF(Q152&lt;Paramétrage!D$29, Paramétrage!H$19+S152*(365/12), Paramétrage!H$19+Q152*(365/12))</f>
        <v>#DIV/0!</v>
      </c>
      <c r="V152" s="2051"/>
      <c r="W152" s="2161" t="str">
        <f>IF(ISERROR(Q152),"", IF(Q152=0, "", IF(Q152&gt;'Calculs Péremption conso'!$CB32, 'Calculs Péremption conso'!$CB32, Q152)))</f>
        <v/>
      </c>
      <c r="X152" s="2166" t="str">
        <f>IF(ISERROR(Q152),"", IF(Q152=0, "", IF(Q152&gt;'Calculs Péremption conso'!$CB32, 'Calculs Péremption conso'!$CB32-Paramétrage!$D$29, R152)))</f>
        <v/>
      </c>
      <c r="Y152" s="2162" t="str">
        <f t="shared" si="29"/>
        <v/>
      </c>
      <c r="Z152" s="2164" t="str">
        <f>IF(ISERROR(Q152),"", IF(Q152=0, "", IF(Q152&gt;'Calculs Péremption conso'!$CB32, 'Calculs Péremption conso'!$BX32-Paramétrage!$D$29*(365/12), T152)))</f>
        <v/>
      </c>
      <c r="AA152" s="2165" t="str">
        <f>IF(ISERROR(Q152),AW152,IF(Q152=0,IF(AND(M152=0,OR(N152&gt;0,O152&gt;0)),AX152,""),IF('Saisie données stocks'!$O$10='TRAD-Saisie données stocks'!$B$51,IF('Calculs Péremption conso'!P32="OK",IF('Calculs Péremption conso'!BV32&gt;0,CONCATENATE('TRAD-Calculs dispo Données FA'!$B$88, " - ",'Calculs Péremption conso'!$BY32,"/",'Calculs Péremption conso'!$BZ32,"/",'Calculs Péremption conso'!$CA32),U152),IF(Q152&gt;'Saisie données stocks'!$N$14,'Calculs Péremption conso'!CC32,U152)),IF(Q152&gt;'Saisie données stocks'!$N$14,'Calculs Péremption conso'!CC32,U152))))</f>
        <v/>
      </c>
      <c r="AB152" s="2051"/>
      <c r="AC152" s="2161" t="e">
        <f>(Calculs!O287)/Calculs!L342</f>
        <v>#DIV/0!</v>
      </c>
      <c r="AD152" s="2161" t="e">
        <f t="shared" si="30"/>
        <v>#DIV/0!</v>
      </c>
      <c r="AE152" s="2162" t="e">
        <f>AC152-Paramétrage!D$29</f>
        <v>#DIV/0!</v>
      </c>
      <c r="AF152" s="2163" t="e">
        <f>IF(AC152&lt;Paramétrage!D$29, AC152, Paramétrage!D$29)</f>
        <v>#DIV/0!</v>
      </c>
      <c r="AG152" s="2164" t="e">
        <f>Paramétrage!H$19+AE152*(365/12)</f>
        <v>#DIV/0!</v>
      </c>
      <c r="AH152" s="2165" t="e">
        <f>IF(AC152&lt;Paramétrage!D$29, Paramétrage!H$19+AF152*(365/12), Paramétrage!H$19+AC152*(365/12))</f>
        <v>#DIV/0!</v>
      </c>
      <c r="AI152" s="2051"/>
      <c r="AJ152" s="2161" t="str">
        <f>IF(ISERROR(AC152),"", IF(AC152=0, "", IF(AC152&gt;'Calculs Péremption FA'!$CB32, 'Calculs Péremption FA'!$CB32, AC152)))</f>
        <v/>
      </c>
      <c r="AK152" s="2166" t="str">
        <f t="shared" si="31"/>
        <v/>
      </c>
      <c r="AL152" s="2162" t="str">
        <f>IF(ISERROR(AC152),"", IF(AC152=0, "", IF(AC152&gt;'Calculs Péremption conso'!$CB32, 'Calculs Péremption conso'!$CB32-Paramétrage!$D$29, AE152)))</f>
        <v/>
      </c>
      <c r="AM152" s="2167" t="str">
        <f>IF(ISERROR(AC152),"", IF(AC152=0, "", IF(AC152&gt;'Calculs Péremption conso'!$CB32, Paramétrage!$D$29, AF152)))</f>
        <v/>
      </c>
      <c r="AN152" s="2164" t="str">
        <f>IF(ISERROR(AC152),"", IF(AC152=0, "", IF(AC152&gt;'Calculs Péremption conso'!$CB32, 'Calculs Péremption conso'!$BX32-Paramétrage!$D$29*(365/12), AG152)))</f>
        <v/>
      </c>
      <c r="AO152" s="2165" t="str">
        <f>IF(ISERROR(AC152),"", IF(AC152=0, "", IF(AC152&gt;'Calculs Péremption conso'!$CB32, CONCATENATE('TRAD-Calculs dispo Données FA'!$B$88, " - ", 'Calculs Péremption conso'!$BY32, "/", 'Calculs Péremption conso'!$BZ32, "/", 'Calculs Péremption conso'!$CA32), AH152)))</f>
        <v/>
      </c>
      <c r="AP152" s="2206"/>
      <c r="AQ152" s="2207"/>
      <c r="AR152" s="2051"/>
      <c r="AS152" s="2061">
        <f>Calculs!$O287</f>
        <v>0</v>
      </c>
      <c r="AT152" s="2062">
        <f>Calculs!$L342</f>
        <v>0</v>
      </c>
      <c r="AU152" s="2068">
        <f>Calculs!$N342</f>
        <v>0</v>
      </c>
      <c r="AV152" s="2070" t="str">
        <f>IF(AND(AU152=0, AS152=0, AT152=0), 'TRAD-Calculs dispo Données FA'!$B$82, "")</f>
        <v>Stock et besoin nul</v>
      </c>
      <c r="AW152" s="2062" t="str">
        <f>IF(AND(AU152=0, AS152&gt;0, AT152=0), CONCATENATE(AS152, 'TRAD-Calculs dispo Données FA'!$B$80," =0"), "")</f>
        <v/>
      </c>
      <c r="AX152" s="2063" t="str">
        <f>IF(AND(AS152=0, OR(AT152&gt;=1, AU152&gt;=1)), 'TRAD-Calculs dispo Données FA'!$B$81, "")</f>
        <v/>
      </c>
      <c r="AY152" s="2051"/>
      <c r="AZ152" s="2051"/>
      <c r="BA152" s="2051"/>
      <c r="BB152" s="2051"/>
      <c r="BC152" s="2051"/>
      <c r="BD152" s="2051"/>
      <c r="BE152" s="2051"/>
      <c r="BF152" s="2051"/>
      <c r="BG152" s="2051"/>
      <c r="BH152" s="2051"/>
      <c r="BI152" s="2051"/>
      <c r="BJ152" s="2051"/>
      <c r="BK152" s="2051"/>
      <c r="BL152" s="2051"/>
      <c r="BM152" s="2051"/>
      <c r="BN152" s="2051"/>
      <c r="BO152" s="2051"/>
      <c r="BP152" s="2051"/>
      <c r="BQ152" s="2051"/>
      <c r="BR152" s="2051"/>
      <c r="BS152" s="2051"/>
      <c r="BT152" s="2051"/>
    </row>
    <row r="153" spans="3:72" s="358" customFormat="1" x14ac:dyDescent="0.2">
      <c r="C153" s="374"/>
      <c r="D153" s="375"/>
      <c r="E153" s="376" t="str">
        <f>'Saisie données stocks'!F45</f>
        <v>D4T</v>
      </c>
      <c r="F153" s="377" t="str">
        <f>'Saisie données stocks'!G45</f>
        <v>Cp</v>
      </c>
      <c r="G153" s="383" t="str">
        <f>'Saisie données stocks'!H45</f>
        <v>30 mg</v>
      </c>
      <c r="H153" s="378" t="str">
        <f>CONCATENATE(E153, " - ", G153," - ", 'TRAD-Calculs dispo Données FA'!$B$79,"/", K153)</f>
        <v>D4T - 30 mg - B/60</v>
      </c>
      <c r="I153" s="380">
        <f>Calculs!K128</f>
        <v>2</v>
      </c>
      <c r="J153" s="380">
        <f t="shared" si="25"/>
        <v>60</v>
      </c>
      <c r="K153" s="114">
        <f>Calculs!J128</f>
        <v>60</v>
      </c>
      <c r="L153" s="381">
        <f t="shared" si="26"/>
        <v>1</v>
      </c>
      <c r="M153" s="1820">
        <f>IF('Saisie données stocks'!$O$10='TRAD-Saisie données stocks'!$B$51, 'Calculs Péremption conso'!BU33, Calculs!M288)+IF('Saisie données stocks'!$M$76='TRAD-Saisie données stocks'!$B$51, Calculs!N288, "0")</f>
        <v>0</v>
      </c>
      <c r="N153" s="1820">
        <f>Calculs!$L$343</f>
        <v>0</v>
      </c>
      <c r="O153" s="1820">
        <f>Calculs!$N$343</f>
        <v>0</v>
      </c>
      <c r="P153"/>
      <c r="Q153" s="2161" t="e">
        <f>IF(Calculs!N343&gt;0, (-(Calculs!N343+2*Calculs!L343)+SQRT((Calculs!N343+2*Calculs!L343)*(Calculs!N343+2*Calculs!L343)+8*Calculs!N343*(M153)))/(2*Calculs!N343), ((M153)/Calculs!L343))</f>
        <v>#DIV/0!</v>
      </c>
      <c r="R153" s="2161" t="e">
        <f>Q153-Paramétrage!D$29</f>
        <v>#DIV/0!</v>
      </c>
      <c r="S153" s="2162" t="e">
        <f>IF(Q153&lt;Paramétrage!D$29, Q153, Paramétrage!D$29)</f>
        <v>#DIV/0!</v>
      </c>
      <c r="T153" s="2164" t="e">
        <f>IF(Q153&lt;Paramétrage!D$29, Paramétrage!H$19+R153*(365/12), Paramétrage!H$19+R153*(365/12))</f>
        <v>#DIV/0!</v>
      </c>
      <c r="U153" s="2165" t="e">
        <f>IF(Q153&lt;Paramétrage!D$29, Paramétrage!H$19+S153*(365/12), Paramétrage!H$19+Q153*(365/12))</f>
        <v>#DIV/0!</v>
      </c>
      <c r="V153" s="2051"/>
      <c r="W153" s="2161" t="str">
        <f>IF(ISERROR(Q153),"", IF(Q153=0, "", IF(Q153&gt;'Calculs Péremption conso'!$CB33, 'Calculs Péremption conso'!$CB33, Q153)))</f>
        <v/>
      </c>
      <c r="X153" s="2166" t="str">
        <f>IF(ISERROR(Q153),"", IF(Q153=0, "", IF(Q153&gt;'Calculs Péremption conso'!$CB33, 'Calculs Péremption conso'!$CB33-Paramétrage!$D$29, R153)))</f>
        <v/>
      </c>
      <c r="Y153" s="2162" t="str">
        <f t="shared" si="29"/>
        <v/>
      </c>
      <c r="Z153" s="2164" t="str">
        <f>IF(ISERROR(Q153),"", IF(Q153=0, "", IF(Q153&gt;'Calculs Péremption conso'!$CB33, 'Calculs Péremption conso'!$BX33-Paramétrage!$D$29*(365/12), T153)))</f>
        <v/>
      </c>
      <c r="AA153" s="2165" t="str">
        <f>IF(ISERROR(Q153),AW153,IF(Q153=0,IF(AND(M153=0,OR(N153&gt;0,O153&gt;0)),AX153,""),IF('Saisie données stocks'!$O$10='TRAD-Saisie données stocks'!$B$51,IF('Calculs Péremption conso'!P33="OK",IF('Calculs Péremption conso'!BV33&gt;0,CONCATENATE('TRAD-Calculs dispo Données FA'!$B$88, " - ",'Calculs Péremption conso'!$BY33,"/",'Calculs Péremption conso'!$BZ33,"/",'Calculs Péremption conso'!$CA33),U153),IF(Q153&gt;'Saisie données stocks'!$N$14,'Calculs Péremption conso'!CC33,U153)),IF(Q153&gt;'Saisie données stocks'!$N$14,'Calculs Péremption conso'!CC33,U153))))</f>
        <v/>
      </c>
      <c r="AB153" s="2051"/>
      <c r="AC153" s="2161" t="e">
        <f>(Calculs!O288)/Calculs!L343</f>
        <v>#DIV/0!</v>
      </c>
      <c r="AD153" s="2161" t="e">
        <f t="shared" si="30"/>
        <v>#DIV/0!</v>
      </c>
      <c r="AE153" s="2162" t="e">
        <f>AC153-Paramétrage!D$29</f>
        <v>#DIV/0!</v>
      </c>
      <c r="AF153" s="2163" t="e">
        <f>IF(AC153&lt;Paramétrage!D$29, AC153, Paramétrage!D$29)</f>
        <v>#DIV/0!</v>
      </c>
      <c r="AG153" s="2164" t="e">
        <f>Paramétrage!H$19+AE153*(365/12)</f>
        <v>#DIV/0!</v>
      </c>
      <c r="AH153" s="2165" t="e">
        <f>IF(AC153&lt;Paramétrage!D$29, Paramétrage!H$19+AF153*(365/12), Paramétrage!H$19+AC153*(365/12))</f>
        <v>#DIV/0!</v>
      </c>
      <c r="AI153" s="2051"/>
      <c r="AJ153" s="2161" t="str">
        <f>IF(ISERROR(AC153),"", IF(AC153=0, "", IF(AC153&gt;'Calculs Péremption FA'!$CB33, 'Calculs Péremption FA'!$CB33, AC153)))</f>
        <v/>
      </c>
      <c r="AK153" s="2166" t="str">
        <f t="shared" si="31"/>
        <v/>
      </c>
      <c r="AL153" s="2162" t="str">
        <f>IF(ISERROR(AC153),"", IF(AC153=0, "", IF(AC153&gt;'Calculs Péremption conso'!$CB33, 'Calculs Péremption conso'!$CB33-Paramétrage!$D$29, AE153)))</f>
        <v/>
      </c>
      <c r="AM153" s="2167" t="str">
        <f>IF(ISERROR(AC153),"", IF(AC153=0, "", IF(AC153&gt;'Calculs Péremption conso'!$CB33, Paramétrage!$D$29, AF153)))</f>
        <v/>
      </c>
      <c r="AN153" s="2164" t="str">
        <f>IF(ISERROR(AC153),"", IF(AC153=0, "", IF(AC153&gt;'Calculs Péremption conso'!$CB33, 'Calculs Péremption conso'!$BX33-Paramétrage!$D$29*(365/12), AG153)))</f>
        <v/>
      </c>
      <c r="AO153" s="2165" t="str">
        <f>IF(ISERROR(AC153),"", IF(AC153=0, "", IF(AC153&gt;'Calculs Péremption conso'!$CB33, CONCATENATE('TRAD-Calculs dispo Données FA'!$B$88, " - ", 'Calculs Péremption conso'!$BY33, "/", 'Calculs Péremption conso'!$BZ33, "/", 'Calculs Péremption conso'!$CA33), AH153)))</f>
        <v/>
      </c>
      <c r="AP153" s="2206"/>
      <c r="AQ153" s="2207"/>
      <c r="AR153" s="2051"/>
      <c r="AS153" s="2061">
        <f>Calculs!$O288</f>
        <v>0</v>
      </c>
      <c r="AT153" s="2062">
        <f>Calculs!$L343</f>
        <v>0</v>
      </c>
      <c r="AU153" s="2068">
        <f>Calculs!$N343</f>
        <v>0</v>
      </c>
      <c r="AV153" s="2070" t="str">
        <f>IF(AND(AU153=0, AS153=0, AT153=0), 'TRAD-Calculs dispo Données FA'!$B$82, "")</f>
        <v>Stock et besoin nul</v>
      </c>
      <c r="AW153" s="2062" t="str">
        <f>IF(AND(AU153=0, AS153&gt;0, AT153=0), CONCATENATE(AS153, 'TRAD-Calculs dispo Données FA'!$B$80," =0"), "")</f>
        <v/>
      </c>
      <c r="AX153" s="2063" t="str">
        <f>IF(AND(AS153=0, OR(AT153&gt;=1, AU153&gt;=1)), 'TRAD-Calculs dispo Données FA'!$B$81, "")</f>
        <v/>
      </c>
      <c r="AY153" s="2051"/>
      <c r="AZ153" s="2051"/>
      <c r="BA153" s="2051"/>
      <c r="BB153" s="2051"/>
      <c r="BC153" s="2051"/>
      <c r="BD153" s="2051"/>
      <c r="BE153" s="2051"/>
      <c r="BF153" s="2051"/>
      <c r="BG153" s="2051"/>
      <c r="BH153" s="2051"/>
      <c r="BI153" s="2051"/>
      <c r="BJ153" s="2051"/>
      <c r="BK153" s="2051"/>
      <c r="BL153" s="2051"/>
      <c r="BM153" s="2051"/>
      <c r="BN153" s="2051"/>
      <c r="BO153" s="2051"/>
      <c r="BP153" s="2051"/>
      <c r="BQ153" s="2051"/>
      <c r="BR153" s="2051"/>
      <c r="BS153" s="2051"/>
      <c r="BT153" s="2051"/>
    </row>
    <row r="154" spans="3:72" s="358" customFormat="1" x14ac:dyDescent="0.2">
      <c r="C154" s="374"/>
      <c r="D154" s="375"/>
      <c r="E154" s="376" t="str">
        <f>'Saisie données stocks'!F46</f>
        <v>3TC</v>
      </c>
      <c r="F154" s="377" t="str">
        <f>'Saisie données stocks'!G46</f>
        <v>Cp</v>
      </c>
      <c r="G154" s="1208" t="str">
        <f>'Saisie données stocks'!H46</f>
        <v>150 mg</v>
      </c>
      <c r="H154" s="378" t="str">
        <f>CONCATENATE(E154, " - ", G154," - ", 'TRAD-Calculs dispo Données FA'!$B$79,"/", K154)</f>
        <v>3TC - 150 mg - B/60</v>
      </c>
      <c r="I154" s="380">
        <f>Calculs!K129</f>
        <v>2</v>
      </c>
      <c r="J154" s="380">
        <f t="shared" si="25"/>
        <v>60</v>
      </c>
      <c r="K154" s="114">
        <f>Calculs!J129</f>
        <v>60</v>
      </c>
      <c r="L154" s="381">
        <f t="shared" si="26"/>
        <v>1</v>
      </c>
      <c r="M154" s="1820">
        <f>IF('Saisie données stocks'!$O$10='TRAD-Saisie données stocks'!$B$51, 'Calculs Péremption conso'!BU34, Calculs!M289)+IF('Saisie données stocks'!$M$76='TRAD-Saisie données stocks'!$B$51, Calculs!N289, "0")</f>
        <v>0</v>
      </c>
      <c r="N154" s="1820">
        <f>Calculs!$L$344</f>
        <v>0</v>
      </c>
      <c r="O154" s="1820">
        <f>Calculs!$N$344</f>
        <v>0</v>
      </c>
      <c r="P154"/>
      <c r="Q154" s="2161" t="e">
        <f>IF(Calculs!N344&gt;0, (-(Calculs!N344+2*Calculs!L344)+SQRT((Calculs!N344+2*Calculs!L344)*(Calculs!N344+2*Calculs!L344)+8*Calculs!N344*(M154)))/(2*Calculs!N344), ((M154)/Calculs!L344))</f>
        <v>#DIV/0!</v>
      </c>
      <c r="R154" s="2161" t="e">
        <f>Q154-Paramétrage!D$29</f>
        <v>#DIV/0!</v>
      </c>
      <c r="S154" s="2162" t="e">
        <f>IF(Q154&lt;Paramétrage!D$29, Q154, Paramétrage!D$29)</f>
        <v>#DIV/0!</v>
      </c>
      <c r="T154" s="2164" t="e">
        <f>IF(Q154&lt;Paramétrage!D$29, Paramétrage!H$19+R154*(365/12), Paramétrage!H$19+R154*(365/12))</f>
        <v>#DIV/0!</v>
      </c>
      <c r="U154" s="2165" t="e">
        <f>IF(Q154&lt;Paramétrage!D$29, Paramétrage!H$19+S154*(365/12), Paramétrage!H$19+Q154*(365/12))</f>
        <v>#DIV/0!</v>
      </c>
      <c r="V154" s="2051"/>
      <c r="W154" s="2161" t="str">
        <f>IF(ISERROR(Q154),"", IF(Q154=0, "", IF(Q154&gt;'Calculs Péremption conso'!$CB34, 'Calculs Péremption conso'!$CB34, Q154)))</f>
        <v/>
      </c>
      <c r="X154" s="2166" t="str">
        <f>IF(ISERROR(Q154),"", IF(Q154=0, "", IF(Q154&gt;'Calculs Péremption conso'!$CB34, 'Calculs Péremption conso'!$CB34-Paramétrage!$D$29, R154)))</f>
        <v/>
      </c>
      <c r="Y154" s="2162" t="str">
        <f t="shared" si="29"/>
        <v/>
      </c>
      <c r="Z154" s="2164" t="str">
        <f>IF(ISERROR(Q154),"", IF(Q154=0, "", IF(Q154&gt;'Calculs Péremption conso'!$CB34, 'Calculs Péremption conso'!$BX34-Paramétrage!$D$29*(365/12), T154)))</f>
        <v/>
      </c>
      <c r="AA154" s="2165" t="str">
        <f>IF(ISERROR(Q154),AW154,IF(Q154=0,IF(AND(M154=0,OR(N154&gt;0,O154&gt;0)),AX154,""),IF('Saisie données stocks'!$O$10='TRAD-Saisie données stocks'!$B$51,IF('Calculs Péremption conso'!P34="OK",IF('Calculs Péremption conso'!BV34&gt;0,CONCATENATE('TRAD-Calculs dispo Données FA'!$B$88, " - ",'Calculs Péremption conso'!$BY34,"/",'Calculs Péremption conso'!$BZ34,"/",'Calculs Péremption conso'!$CA34),U154),IF(Q154&gt;'Saisie données stocks'!$N$14,'Calculs Péremption conso'!CC34,U154)),IF(Q154&gt;'Saisie données stocks'!$N$14,'Calculs Péremption conso'!CC34,U154))))</f>
        <v/>
      </c>
      <c r="AB154" s="2051"/>
      <c r="AC154" s="2161" t="e">
        <f>(Calculs!O289)/Calculs!L344</f>
        <v>#DIV/0!</v>
      </c>
      <c r="AD154" s="2161" t="e">
        <f t="shared" si="30"/>
        <v>#DIV/0!</v>
      </c>
      <c r="AE154" s="2162" t="e">
        <f>AC154-Paramétrage!D$29</f>
        <v>#DIV/0!</v>
      </c>
      <c r="AF154" s="2163" t="e">
        <f>IF(AC154&lt;Paramétrage!D$29, AC154, Paramétrage!D$29)</f>
        <v>#DIV/0!</v>
      </c>
      <c r="AG154" s="2164" t="e">
        <f>Paramétrage!H$19+AE154*(365/12)</f>
        <v>#DIV/0!</v>
      </c>
      <c r="AH154" s="2165" t="e">
        <f>IF(AC154&lt;Paramétrage!D$29, Paramétrage!H$19+AF154*(365/12), Paramétrage!H$19+AC154*(365/12))</f>
        <v>#DIV/0!</v>
      </c>
      <c r="AI154" s="2051"/>
      <c r="AJ154" s="2161" t="str">
        <f>IF(ISERROR(AC154),"", IF(AC154=0, "", IF(AC154&gt;'Calculs Péremption FA'!$CB34, 'Calculs Péremption FA'!$CB34, AC154)))</f>
        <v/>
      </c>
      <c r="AK154" s="2166" t="str">
        <f t="shared" si="31"/>
        <v/>
      </c>
      <c r="AL154" s="2162" t="str">
        <f>IF(ISERROR(AC154),"", IF(AC154=0, "", IF(AC154&gt;'Calculs Péremption conso'!$CB34, 'Calculs Péremption conso'!$CB34-Paramétrage!$D$29, AE154)))</f>
        <v/>
      </c>
      <c r="AM154" s="2167" t="str">
        <f>IF(ISERROR(AC154),"", IF(AC154=0, "", IF(AC154&gt;'Calculs Péremption conso'!$CB34, Paramétrage!$D$29, AF154)))</f>
        <v/>
      </c>
      <c r="AN154" s="2164" t="str">
        <f>IF(ISERROR(AC154),"", IF(AC154=0, "", IF(AC154&gt;'Calculs Péremption conso'!$CB34, 'Calculs Péremption conso'!$BX34-Paramétrage!$D$29*(365/12), AG154)))</f>
        <v/>
      </c>
      <c r="AO154" s="2165" t="str">
        <f>IF(ISERROR(AC154),"", IF(AC154=0, "", IF(AC154&gt;'Calculs Péremption conso'!$CB34, CONCATENATE('TRAD-Calculs dispo Données FA'!$B$88, " - ", 'Calculs Péremption conso'!$BY34, "/", 'Calculs Péremption conso'!$BZ34, "/", 'Calculs Péremption conso'!$CA34), AH154)))</f>
        <v/>
      </c>
      <c r="AP154" s="2206"/>
      <c r="AQ154" s="2207"/>
      <c r="AR154" s="2051"/>
      <c r="AS154" s="2061">
        <f>Calculs!$O289</f>
        <v>0</v>
      </c>
      <c r="AT154" s="2062">
        <f>Calculs!$L344</f>
        <v>0</v>
      </c>
      <c r="AU154" s="2068">
        <f>Calculs!$N344</f>
        <v>0</v>
      </c>
      <c r="AV154" s="2070" t="str">
        <f>IF(AND(AU154=0, AS154=0, AT154=0), 'TRAD-Calculs dispo Données FA'!$B$82, "")</f>
        <v>Stock et besoin nul</v>
      </c>
      <c r="AW154" s="2062" t="str">
        <f>IF(AND(AU154=0, AS154&gt;0, AT154=0), CONCATENATE(AS154, 'TRAD-Calculs dispo Données FA'!$B$80," =0"), "")</f>
        <v/>
      </c>
      <c r="AX154" s="2063" t="str">
        <f>IF(AND(AS154=0, OR(AT154&gt;=1, AU154&gt;=1)), 'TRAD-Calculs dispo Données FA'!$B$81, "")</f>
        <v/>
      </c>
      <c r="AY154" s="2051"/>
      <c r="AZ154" s="2051"/>
      <c r="BA154" s="2051"/>
      <c r="BB154" s="2051"/>
      <c r="BC154" s="2051"/>
      <c r="BD154" s="2051"/>
      <c r="BE154" s="2051"/>
      <c r="BF154" s="2051"/>
      <c r="BG154" s="2051"/>
      <c r="BH154" s="2051"/>
      <c r="BI154" s="2051"/>
      <c r="BJ154" s="2051"/>
      <c r="BK154" s="2051"/>
      <c r="BL154" s="2051"/>
      <c r="BM154" s="2051"/>
      <c r="BN154" s="2051"/>
      <c r="BO154" s="2051"/>
      <c r="BP154" s="2051"/>
      <c r="BQ154" s="2051"/>
      <c r="BR154" s="2051"/>
      <c r="BS154" s="2051"/>
      <c r="BT154" s="2051"/>
    </row>
    <row r="155" spans="3:72" s="358" customFormat="1" x14ac:dyDescent="0.2">
      <c r="C155" s="374"/>
      <c r="D155" s="375"/>
      <c r="E155" s="376" t="str">
        <f>'Saisie données stocks'!F47</f>
        <v>3TC</v>
      </c>
      <c r="F155" s="377" t="str">
        <f>'Saisie données stocks'!G47</f>
        <v>Cp</v>
      </c>
      <c r="G155" s="383" t="str">
        <f>'Saisie données stocks'!H47</f>
        <v>30 mg</v>
      </c>
      <c r="H155" s="378" t="str">
        <f>CONCATENATE(E155, " - ", G155," - ", 'TRAD-Calculs dispo Données FA'!$B$79,"/", K155)</f>
        <v>3TC - 30 mg - B/60</v>
      </c>
      <c r="I155" s="380">
        <f>Calculs!K130</f>
        <v>2</v>
      </c>
      <c r="J155" s="380">
        <f t="shared" si="25"/>
        <v>60</v>
      </c>
      <c r="K155" s="114">
        <f>Calculs!J130</f>
        <v>60</v>
      </c>
      <c r="L155" s="381">
        <f t="shared" si="26"/>
        <v>1</v>
      </c>
      <c r="M155" s="1820">
        <f>IF('Saisie données stocks'!$O$10='TRAD-Saisie données stocks'!$B$51, 'Calculs Péremption conso'!BU35, Calculs!M290)+IF('Saisie données stocks'!$M$76='TRAD-Saisie données stocks'!$B$51, Calculs!N290, "0")</f>
        <v>0</v>
      </c>
      <c r="N155" s="1820">
        <f>Calculs!$L$345</f>
        <v>0</v>
      </c>
      <c r="O155" s="1820">
        <f>Calculs!$N$345</f>
        <v>0</v>
      </c>
      <c r="P155"/>
      <c r="Q155" s="2161" t="e">
        <f>IF(Calculs!N345&gt;0, (-(Calculs!N345+2*Calculs!L345)+SQRT((Calculs!N345+2*Calculs!L345)*(Calculs!N345+2*Calculs!L345)+8*Calculs!N345*(M155)))/(2*Calculs!N345), ((M155)/Calculs!L345))</f>
        <v>#DIV/0!</v>
      </c>
      <c r="R155" s="2161" t="e">
        <f>Q155-Paramétrage!D$29</f>
        <v>#DIV/0!</v>
      </c>
      <c r="S155" s="2162" t="e">
        <f>IF(Q155&lt;Paramétrage!D$29, Q155, Paramétrage!D$29)</f>
        <v>#DIV/0!</v>
      </c>
      <c r="T155" s="2164" t="e">
        <f>IF(Q155&lt;Paramétrage!D$29, Paramétrage!H$19+R155*(365/12), Paramétrage!H$19+R155*(365/12))</f>
        <v>#DIV/0!</v>
      </c>
      <c r="U155" s="2165" t="e">
        <f>IF(Q155&lt;Paramétrage!D$29, Paramétrage!H$19+S155*(365/12), Paramétrage!H$19+Q155*(365/12))</f>
        <v>#DIV/0!</v>
      </c>
      <c r="V155" s="2051"/>
      <c r="W155" s="2161" t="str">
        <f>IF(ISERROR(Q155),"", IF(Q155=0, "", IF(Q155&gt;'Calculs Péremption conso'!$CB35, 'Calculs Péremption conso'!$CB35, Q155)))</f>
        <v/>
      </c>
      <c r="X155" s="2166" t="str">
        <f>IF(ISERROR(Q155),"", IF(Q155=0, "", IF(Q155&gt;'Calculs Péremption conso'!$CB35, 'Calculs Péremption conso'!$CB35-Paramétrage!$D$29, R155)))</f>
        <v/>
      </c>
      <c r="Y155" s="2162" t="str">
        <f t="shared" si="29"/>
        <v/>
      </c>
      <c r="Z155" s="2164" t="str">
        <f>IF(ISERROR(Q155),"", IF(Q155=0, "", IF(Q155&gt;'Calculs Péremption conso'!$CB35, 'Calculs Péremption conso'!$BX35-Paramétrage!$D$29*(365/12), T155)))</f>
        <v/>
      </c>
      <c r="AA155" s="2165" t="str">
        <f>IF(ISERROR(Q155),AW155,IF(Q155=0,IF(AND(M155=0,OR(N155&gt;0,O155&gt;0)),AX155,""),IF('Saisie données stocks'!$O$10='TRAD-Saisie données stocks'!$B$51,IF('Calculs Péremption conso'!P35="OK",IF('Calculs Péremption conso'!BV35&gt;0,CONCATENATE('TRAD-Calculs dispo Données FA'!$B$88, " - ",'Calculs Péremption conso'!$BY35,"/",'Calculs Péremption conso'!$BZ35,"/",'Calculs Péremption conso'!$CA35),U155),IF(Q155&gt;'Saisie données stocks'!$N$14,'Calculs Péremption conso'!CC35,U155)),IF(Q155&gt;'Saisie données stocks'!$N$14,'Calculs Péremption conso'!CC35,U155))))</f>
        <v/>
      </c>
      <c r="AB155" s="2051"/>
      <c r="AC155" s="2161" t="e">
        <f>(Calculs!O290)/Calculs!L345</f>
        <v>#DIV/0!</v>
      </c>
      <c r="AD155" s="2161" t="e">
        <f t="shared" si="30"/>
        <v>#DIV/0!</v>
      </c>
      <c r="AE155" s="2162" t="e">
        <f>AC155-Paramétrage!D$29</f>
        <v>#DIV/0!</v>
      </c>
      <c r="AF155" s="2163" t="e">
        <f>IF(AC155&lt;Paramétrage!D$29, AC155, Paramétrage!D$29)</f>
        <v>#DIV/0!</v>
      </c>
      <c r="AG155" s="2164" t="e">
        <f>Paramétrage!H$19+AE155*(365/12)</f>
        <v>#DIV/0!</v>
      </c>
      <c r="AH155" s="2165" t="e">
        <f>IF(AC155&lt;Paramétrage!D$29, Paramétrage!H$19+AF155*(365/12), Paramétrage!H$19+AC155*(365/12))</f>
        <v>#DIV/0!</v>
      </c>
      <c r="AI155" s="2051"/>
      <c r="AJ155" s="2161" t="str">
        <f>IF(ISERROR(AC155),"", IF(AC155=0, "", IF(AC155&gt;'Calculs Péremption FA'!$CB35, 'Calculs Péremption FA'!$CB35, AC155)))</f>
        <v/>
      </c>
      <c r="AK155" s="2166" t="str">
        <f t="shared" si="31"/>
        <v/>
      </c>
      <c r="AL155" s="2162" t="str">
        <f>IF(ISERROR(AC155),"", IF(AC155=0, "", IF(AC155&gt;'Calculs Péremption conso'!$CB35, 'Calculs Péremption conso'!$CB35-Paramétrage!$D$29, AE155)))</f>
        <v/>
      </c>
      <c r="AM155" s="2167" t="str">
        <f>IF(ISERROR(AC155),"", IF(AC155=0, "", IF(AC155&gt;'Calculs Péremption conso'!$CB35, Paramétrage!$D$29, AF155)))</f>
        <v/>
      </c>
      <c r="AN155" s="2164" t="str">
        <f>IF(ISERROR(AC155),"", IF(AC155=0, "", IF(AC155&gt;'Calculs Péremption conso'!$CB35, 'Calculs Péremption conso'!$BX35-Paramétrage!$D$29*(365/12), AG155)))</f>
        <v/>
      </c>
      <c r="AO155" s="2165" t="str">
        <f>IF(ISERROR(AC155),"", IF(AC155=0, "", IF(AC155&gt;'Calculs Péremption conso'!$CB35, CONCATENATE('TRAD-Calculs dispo Données FA'!$B$88, " - ", 'Calculs Péremption conso'!$BY35, "/", 'Calculs Péremption conso'!$BZ35, "/", 'Calculs Péremption conso'!$CA35), AH155)))</f>
        <v/>
      </c>
      <c r="AP155" s="2206"/>
      <c r="AQ155" s="2207"/>
      <c r="AR155" s="2051"/>
      <c r="AS155" s="2061">
        <f>Calculs!$O290</f>
        <v>0</v>
      </c>
      <c r="AT155" s="2062">
        <f>Calculs!$L345</f>
        <v>0</v>
      </c>
      <c r="AU155" s="2068">
        <f>Calculs!$N345</f>
        <v>0</v>
      </c>
      <c r="AV155" s="2070" t="str">
        <f>IF(AND(AU155=0, AS155=0, AT155=0), 'TRAD-Calculs dispo Données FA'!$B$82, "")</f>
        <v>Stock et besoin nul</v>
      </c>
      <c r="AW155" s="2062" t="str">
        <f>IF(AND(AU155=0, AS155&gt;0, AT155=0), CONCATENATE(AS155, 'TRAD-Calculs dispo Données FA'!$B$80," =0"), "")</f>
        <v/>
      </c>
      <c r="AX155" s="2063" t="str">
        <f>IF(AND(AS155=0, OR(AT155&gt;=1, AU155&gt;=1)), 'TRAD-Calculs dispo Données FA'!$B$81, "")</f>
        <v/>
      </c>
      <c r="AY155" s="2051"/>
      <c r="AZ155" s="2051"/>
      <c r="BA155" s="2051"/>
      <c r="BB155" s="2051"/>
      <c r="BC155" s="2051"/>
      <c r="BD155" s="2051"/>
      <c r="BE155" s="2051"/>
      <c r="BF155" s="2051"/>
      <c r="BG155" s="2051"/>
      <c r="BH155" s="2051"/>
      <c r="BI155" s="2051"/>
      <c r="BJ155" s="2051"/>
      <c r="BK155" s="2051"/>
      <c r="BL155" s="2051"/>
      <c r="BM155" s="2051"/>
      <c r="BN155" s="2051"/>
      <c r="BO155" s="2051"/>
      <c r="BP155" s="2051"/>
      <c r="BQ155" s="2051"/>
      <c r="BR155" s="2051"/>
      <c r="BS155" s="2051"/>
      <c r="BT155" s="2051"/>
    </row>
    <row r="156" spans="3:72" s="358" customFormat="1" x14ac:dyDescent="0.2">
      <c r="C156" s="374"/>
      <c r="D156" s="375"/>
      <c r="E156" s="382" t="str">
        <f>'Saisie données stocks'!F48</f>
        <v>DDI</v>
      </c>
      <c r="F156" s="383" t="str">
        <f>'Saisie données stocks'!G48</f>
        <v>Cp</v>
      </c>
      <c r="G156" s="383" t="str">
        <f>'Saisie données stocks'!H48</f>
        <v>250 mg</v>
      </c>
      <c r="H156" s="384" t="str">
        <f>CONCATENATE(E156, " - ", G156," - ", 'TRAD-Calculs dispo Données FA'!$B$79,"/", K156)</f>
        <v>DDI - 250 mg - B/30</v>
      </c>
      <c r="I156" s="386">
        <f>Calculs!K131</f>
        <v>1</v>
      </c>
      <c r="J156" s="386">
        <f t="shared" si="25"/>
        <v>30</v>
      </c>
      <c r="K156" s="115">
        <f>Calculs!J131</f>
        <v>30</v>
      </c>
      <c r="L156" s="387">
        <f t="shared" si="26"/>
        <v>1</v>
      </c>
      <c r="M156" s="1820">
        <f>IF('Saisie données stocks'!$O$10='TRAD-Saisie données stocks'!$B$51, 'Calculs Péremption conso'!BU36, Calculs!M291)+IF('Saisie données stocks'!$M$76='TRAD-Saisie données stocks'!$B$51, Calculs!N291, "0")</f>
        <v>0</v>
      </c>
      <c r="N156" s="1820">
        <f>Calculs!$L$346</f>
        <v>0</v>
      </c>
      <c r="O156" s="1820">
        <f>Calculs!$N$346</f>
        <v>0</v>
      </c>
      <c r="P156"/>
      <c r="Q156" s="2161" t="e">
        <f>IF(Calculs!N346&gt;0, (-(Calculs!N346+2*Calculs!L346)+SQRT((Calculs!N346+2*Calculs!L346)*(Calculs!N346+2*Calculs!L346)+8*Calculs!N346*(M156)))/(2*Calculs!N346), ((M156)/Calculs!L346))</f>
        <v>#DIV/0!</v>
      </c>
      <c r="R156" s="2161" t="e">
        <f>Q156-Paramétrage!D$29</f>
        <v>#DIV/0!</v>
      </c>
      <c r="S156" s="2173" t="e">
        <f>IF(Q156&lt;Paramétrage!D$29, Q156, Paramétrage!D$29)</f>
        <v>#DIV/0!</v>
      </c>
      <c r="T156" s="2170" t="e">
        <f>IF(Q156&lt;Paramétrage!D$29, Paramétrage!H$19+R156*(365/12), Paramétrage!H$19+R156*(365/12))</f>
        <v>#DIV/0!</v>
      </c>
      <c r="U156" s="2171" t="e">
        <f>IF(Q156&lt;Paramétrage!D$29, Paramétrage!H$19+S156*(365/12), Paramétrage!H$19+Q156*(365/12))</f>
        <v>#DIV/0!</v>
      </c>
      <c r="V156" s="2051"/>
      <c r="W156" s="2161" t="str">
        <f>IF(ISERROR(Q156),"", IF(Q156=0, "", IF(Q156&gt;'Calculs Péremption conso'!$CB36, 'Calculs Péremption conso'!$CB36, Q156)))</f>
        <v/>
      </c>
      <c r="X156" s="2166" t="str">
        <f>IF(ISERROR(Q156),"", IF(Q156=0, "", IF(Q156&gt;'Calculs Péremption conso'!$CB36, 'Calculs Péremption conso'!$CB36-Paramétrage!$D$29, R156)))</f>
        <v/>
      </c>
      <c r="Y156" s="2173" t="str">
        <f t="shared" si="29"/>
        <v/>
      </c>
      <c r="Z156" s="2170" t="str">
        <f>IF(ISERROR(Q156),"", IF(Q156=0, "", IF(Q156&gt;'Calculs Péremption conso'!$CB36, 'Calculs Péremption conso'!$BX36-Paramétrage!$D$29*(365/12), T156)))</f>
        <v/>
      </c>
      <c r="AA156" s="2171" t="str">
        <f>IF(ISERROR(Q156),AW156,IF(Q156=0,IF(AND(M156=0,OR(N156&gt;0,O156&gt;0)),AX156,""),IF('Saisie données stocks'!$O$10='TRAD-Saisie données stocks'!$B$51,IF('Calculs Péremption conso'!P36="OK",IF('Calculs Péremption conso'!BV36&gt;0,CONCATENATE('TRAD-Calculs dispo Données FA'!$B$88, " - ",'Calculs Péremption conso'!$BY36,"/",'Calculs Péremption conso'!$BZ36,"/",'Calculs Péremption conso'!$CA36),U156),IF(Q156&gt;'Saisie données stocks'!$N$14,'Calculs Péremption conso'!CC36,U156)),IF(Q156&gt;'Saisie données stocks'!$N$14,'Calculs Péremption conso'!CC36,U156))))</f>
        <v/>
      </c>
      <c r="AB156" s="2051"/>
      <c r="AC156" s="2161" t="e">
        <f>(Calculs!O291)/Calculs!L346</f>
        <v>#DIV/0!</v>
      </c>
      <c r="AD156" s="2161" t="e">
        <f t="shared" si="30"/>
        <v>#DIV/0!</v>
      </c>
      <c r="AE156" s="2173" t="e">
        <f>AC156-Paramétrage!D$29</f>
        <v>#DIV/0!</v>
      </c>
      <c r="AF156" s="2169" t="e">
        <f>IF(AC156&lt;Paramétrage!D$29, AC156, Paramétrage!D$29)</f>
        <v>#DIV/0!</v>
      </c>
      <c r="AG156" s="2170" t="e">
        <f>Paramétrage!H$19+AE156*(365/12)</f>
        <v>#DIV/0!</v>
      </c>
      <c r="AH156" s="2171" t="e">
        <f>IF(AC156&lt;Paramétrage!D$29, Paramétrage!H$19+AF156*(365/12), Paramétrage!H$19+AC156*(365/12))</f>
        <v>#DIV/0!</v>
      </c>
      <c r="AI156" s="2051"/>
      <c r="AJ156" s="2161" t="str">
        <f>IF(ISERROR(AC156),"", IF(AC156=0, "", IF(AC156&gt;'Calculs Péremption FA'!$CB36, 'Calculs Péremption FA'!$CB36, AC156)))</f>
        <v/>
      </c>
      <c r="AK156" s="2166" t="str">
        <f t="shared" si="31"/>
        <v/>
      </c>
      <c r="AL156" s="2173" t="str">
        <f>IF(ISERROR(AC156),"", IF(AC156=0, "", IF(AC156&gt;'Calculs Péremption conso'!$CB36, 'Calculs Péremption conso'!$CB36-Paramétrage!$D$29, AE156)))</f>
        <v/>
      </c>
      <c r="AM156" s="2174" t="str">
        <f>IF(ISERROR(AC156),"", IF(AC156=0, "", IF(AC156&gt;'Calculs Péremption conso'!$CB36, Paramétrage!$D$29, AF156)))</f>
        <v/>
      </c>
      <c r="AN156" s="2170" t="str">
        <f>IF(ISERROR(AC156),"", IF(AC156=0, "", IF(AC156&gt;'Calculs Péremption conso'!$CB36, 'Calculs Péremption conso'!$BX36-Paramétrage!$D$29*(365/12), AG156)))</f>
        <v/>
      </c>
      <c r="AO156" s="2171" t="str">
        <f>IF(ISERROR(AC156),"", IF(AC156=0, "", IF(AC156&gt;'Calculs Péremption conso'!$CB36, CONCATENATE('TRAD-Calculs dispo Données FA'!$B$88, " - ", 'Calculs Péremption conso'!$BY36, "/", 'Calculs Péremption conso'!$BZ36, "/", 'Calculs Péremption conso'!$CA36), AH156)))</f>
        <v/>
      </c>
      <c r="AP156" s="2206"/>
      <c r="AQ156" s="2207"/>
      <c r="AR156" s="2051"/>
      <c r="AS156" s="2061">
        <f>Calculs!$O291</f>
        <v>0</v>
      </c>
      <c r="AT156" s="2062">
        <f>Calculs!$L346</f>
        <v>0</v>
      </c>
      <c r="AU156" s="2068">
        <f>Calculs!$N346</f>
        <v>0</v>
      </c>
      <c r="AV156" s="2070" t="str">
        <f>IF(AND(AU156=0, AS156=0, AT156=0), 'TRAD-Calculs dispo Données FA'!$B$82, "")</f>
        <v>Stock et besoin nul</v>
      </c>
      <c r="AW156" s="2062" t="str">
        <f>IF(AND(AU156=0, AS156&gt;0, AT156=0), CONCATENATE(AS156, 'TRAD-Calculs dispo Données FA'!$B$80," =0"), "")</f>
        <v/>
      </c>
      <c r="AX156" s="2063" t="str">
        <f>IF(AND(AS156=0, OR(AT156&gt;=1, AU156&gt;=1)), 'TRAD-Calculs dispo Données FA'!$B$81, "")</f>
        <v/>
      </c>
      <c r="AY156" s="2051"/>
      <c r="AZ156" s="2051"/>
      <c r="BA156" s="2051"/>
      <c r="BB156" s="2051"/>
      <c r="BC156" s="2051"/>
      <c r="BD156" s="2051"/>
      <c r="BE156" s="2051"/>
      <c r="BF156" s="2051"/>
      <c r="BG156" s="2051"/>
      <c r="BH156" s="2051"/>
      <c r="BI156" s="2051"/>
      <c r="BJ156" s="2051"/>
      <c r="BK156" s="2051"/>
      <c r="BL156" s="2051"/>
      <c r="BM156" s="2051"/>
      <c r="BN156" s="2051"/>
      <c r="BO156" s="2051"/>
      <c r="BP156" s="2051"/>
      <c r="BQ156" s="2051"/>
      <c r="BR156" s="2051"/>
      <c r="BS156" s="2051"/>
      <c r="BT156" s="2051"/>
    </row>
    <row r="157" spans="3:72" s="358" customFormat="1" x14ac:dyDescent="0.2">
      <c r="C157" s="374"/>
      <c r="D157" s="375"/>
      <c r="E157" s="382" t="str">
        <f>'Saisie données stocks'!F49</f>
        <v>DDI</v>
      </c>
      <c r="F157" s="383" t="str">
        <f>'Saisie données stocks'!G49</f>
        <v>Cp</v>
      </c>
      <c r="G157" s="397" t="str">
        <f>'Saisie données stocks'!H49</f>
        <v>400 mg</v>
      </c>
      <c r="H157" s="384" t="str">
        <f>CONCATENATE(E157, " - ", G157," - ", 'TRAD-Calculs dispo Données FA'!$B$79,"/", K157)</f>
        <v>DDI - 400 mg - B/30</v>
      </c>
      <c r="I157" s="399">
        <f>Calculs!K132</f>
        <v>1</v>
      </c>
      <c r="J157" s="399">
        <f t="shared" si="25"/>
        <v>30</v>
      </c>
      <c r="K157" s="117">
        <f>Calculs!J132</f>
        <v>30</v>
      </c>
      <c r="L157" s="400">
        <f t="shared" si="26"/>
        <v>1</v>
      </c>
      <c r="M157" s="1823">
        <f>IF('Saisie données stocks'!$O$10='TRAD-Saisie données stocks'!$B$51, 'Calculs Péremption conso'!BU37, Calculs!M292)+IF('Saisie données stocks'!$M$76='TRAD-Saisie données stocks'!$B$51, Calculs!N292, "0")</f>
        <v>19.594520547945208</v>
      </c>
      <c r="N157" s="1871">
        <f>Calculs!$L$347</f>
        <v>2</v>
      </c>
      <c r="O157" s="1871">
        <f>Calculs!$N$347</f>
        <v>0</v>
      </c>
      <c r="P157"/>
      <c r="Q157" s="2184">
        <f>IF(Calculs!N347&gt;0, (-(Calculs!N347+2*Calculs!L347)+SQRT((Calculs!N347+2*Calculs!L347)*(Calculs!N347+2*Calculs!L347)+8*Calculs!N347*(M157)))/(2*Calculs!N347), ((M157)/Calculs!L347))</f>
        <v>9.7972602739726042</v>
      </c>
      <c r="R157" s="2184">
        <f>Q157-Paramétrage!D$29</f>
        <v>6.7972602739726042</v>
      </c>
      <c r="S157" s="2173">
        <f>IF(Q157&lt;Paramétrage!D$29, Q157, Paramétrage!D$29)</f>
        <v>3</v>
      </c>
      <c r="T157" s="2186">
        <f>IF(Q157&lt;Paramétrage!D$29, Paramétrage!H$19+R157*(365/12), Paramétrage!H$19+R157*(365/12))</f>
        <v>42125.75</v>
      </c>
      <c r="U157" s="2187">
        <f>IF(Q157&lt;Paramétrage!D$29, Paramétrage!H$19+S157*(365/12), Paramétrage!H$19+Q157*(365/12))</f>
        <v>42217</v>
      </c>
      <c r="V157" s="2051"/>
      <c r="W157" s="2184">
        <f>IF(ISERROR(Q157),"", IF(Q157=0, "", IF(Q157&gt;'Calculs Péremption conso'!$CB37, 'Calculs Péremption conso'!$CB37, Q157)))</f>
        <v>9.7972602739726042</v>
      </c>
      <c r="X157" s="2188">
        <f>IF(ISERROR(Q157),"", IF(Q157=0, "", IF(Q157&gt;'Calculs Péremption conso'!$CB37, 'Calculs Péremption conso'!$CB37-Paramétrage!$D$29, R157)))</f>
        <v>6.7972602739726042</v>
      </c>
      <c r="Y157" s="2173">
        <f t="shared" si="29"/>
        <v>3</v>
      </c>
      <c r="Z157" s="2186">
        <f>IF(ISERROR(Q157),"", IF(Q157=0, "", IF(Q157&gt;'Calculs Péremption conso'!$CB37, 'Calculs Péremption conso'!$BX37-Paramétrage!$D$29*(365/12), T157)))</f>
        <v>42125.75</v>
      </c>
      <c r="AA157" s="2187" t="str">
        <f>IF(ISERROR(Q157),AW157,IF(Q157=0,IF(AND(M157=0,OR(N157&gt;0,O157&gt;0)),AX157,""),IF('Saisie données stocks'!$O$10='TRAD-Saisie données stocks'!$B$51,IF('Calculs Péremption conso'!P37="OK",IF('Calculs Péremption conso'!BV37&gt;0,CONCATENATE('TRAD-Calculs dispo Données FA'!$B$88, " - ",'Calculs Péremption conso'!$BY37,"/",'Calculs Péremption conso'!$BZ37,"/",'Calculs Péremption conso'!$CA37),U157),IF(Q157&gt;'Saisie données stocks'!$N$14,'Calculs Péremption conso'!CC37,U157)),IF(Q157&gt;'Saisie données stocks'!$N$14,'Calculs Péremption conso'!CC37,U157))))</f>
        <v>DLU - 1/8/2015</v>
      </c>
      <c r="AB157" s="2051"/>
      <c r="AC157" s="2184">
        <f>(Calculs!O292)/Calculs!L347</f>
        <v>478</v>
      </c>
      <c r="AD157" s="2184">
        <f t="shared" si="30"/>
        <v>468.2027397260274</v>
      </c>
      <c r="AE157" s="2173">
        <f>AC157-Paramétrage!D$29</f>
        <v>475</v>
      </c>
      <c r="AF157" s="2169">
        <f>IF(AC157&lt;Paramétrage!D$29, AC157, Paramétrage!D$29)</f>
        <v>3</v>
      </c>
      <c r="AG157" s="2186">
        <f>Paramétrage!H$19+AE157*(365/12)</f>
        <v>56366.916666666672</v>
      </c>
      <c r="AH157" s="2187">
        <f>IF(AC157&lt;Paramétrage!D$29, Paramétrage!H$19+AF157*(365/12), Paramétrage!H$19+AC157*(365/12))</f>
        <v>56458.166666666672</v>
      </c>
      <c r="AI157" s="2051"/>
      <c r="AJ157" s="2184">
        <f>IF(ISERROR(AC157),"", IF(AC157=0, "", IF(AC157&gt;'Calculs Péremption FA'!$CB37, 'Calculs Péremption FA'!$CB37, AC157)))</f>
        <v>9.7972602739726025</v>
      </c>
      <c r="AK157" s="2188">
        <f t="shared" si="31"/>
        <v>-1.7763568394002505E-15</v>
      </c>
      <c r="AL157" s="2173">
        <f>IF(ISERROR(AC157),"", IF(AC157=0, "", IF(AC157&gt;'Calculs Péremption conso'!$CB37, 'Calculs Péremption conso'!$CB37-Paramétrage!$D$29, AE157)))</f>
        <v>6.7972602739726025</v>
      </c>
      <c r="AM157" s="2174">
        <f>IF(ISERROR(AC157),"", IF(AC157=0, "", IF(AC157&gt;'Calculs Péremption conso'!$CB37, Paramétrage!$D$29, AF157)))</f>
        <v>3</v>
      </c>
      <c r="AN157" s="2186">
        <f>IF(ISERROR(AC157),"", IF(AC157=0, "", IF(AC157&gt;'Calculs Péremption conso'!$CB37, 'Calculs Péremption conso'!$BX37-Paramétrage!$D$29*(365/12), AG157)))</f>
        <v>42125.75</v>
      </c>
      <c r="AO157" s="2187" t="str">
        <f>IF(ISERROR(AC157),"", IF(AC157=0, "", IF(AC157&gt;'Calculs Péremption conso'!$CB37, CONCATENATE('TRAD-Calculs dispo Données FA'!$B$88, " - ", 'Calculs Péremption conso'!$BY37, "/", 'Calculs Péremption conso'!$BZ37, "/", 'Calculs Péremption conso'!$CA37), AH157)))</f>
        <v>DLU - 1/8/2015</v>
      </c>
      <c r="AP157" s="2206"/>
      <c r="AQ157" s="2207"/>
      <c r="AR157" s="2051"/>
      <c r="AS157" s="2061">
        <f>Calculs!$O292</f>
        <v>956</v>
      </c>
      <c r="AT157" s="2062">
        <f>Calculs!$L347</f>
        <v>2</v>
      </c>
      <c r="AU157" s="2068">
        <f>Calculs!$N347</f>
        <v>0</v>
      </c>
      <c r="AV157" s="2070" t="str">
        <f>IF(AND(AU157=0, AS157=0, AT157=0), 'TRAD-Calculs dispo Données FA'!$B$82, "")</f>
        <v/>
      </c>
      <c r="AW157" s="2062" t="str">
        <f>IF(AND(AU157=0, AS157&gt;0, AT157=0), CONCATENATE(AS157, 'TRAD-Calculs dispo Données FA'!$B$80," =0"), "")</f>
        <v/>
      </c>
      <c r="AX157" s="2063" t="str">
        <f>IF(AND(AS157=0, OR(AT157&gt;=1, AU157&gt;=1)), 'TRAD-Calculs dispo Données FA'!$B$81, "")</f>
        <v/>
      </c>
      <c r="AY157" s="2051"/>
      <c r="AZ157" s="2051"/>
      <c r="BA157" s="2051"/>
      <c r="BB157" s="2051"/>
      <c r="BC157" s="2051"/>
      <c r="BD157" s="2051"/>
      <c r="BE157" s="2051"/>
      <c r="BF157" s="2051"/>
      <c r="BG157" s="2051"/>
      <c r="BH157" s="2051"/>
      <c r="BI157" s="2051"/>
      <c r="BJ157" s="2051"/>
      <c r="BK157" s="2051"/>
      <c r="BL157" s="2051"/>
      <c r="BM157" s="2051"/>
      <c r="BN157" s="2051"/>
      <c r="BO157" s="2051"/>
      <c r="BP157" s="2051"/>
      <c r="BQ157" s="2051"/>
      <c r="BR157" s="2051"/>
      <c r="BS157" s="2051"/>
      <c r="BT157" s="2051"/>
    </row>
    <row r="158" spans="3:72" s="358" customFormat="1" x14ac:dyDescent="0.2">
      <c r="C158" s="388"/>
      <c r="D158" s="389"/>
      <c r="E158" s="390" t="str">
        <f>'Saisie données stocks'!F50</f>
        <v>TDF</v>
      </c>
      <c r="F158" s="391" t="str">
        <f>'Saisie données stocks'!G50</f>
        <v>Cp</v>
      </c>
      <c r="G158" s="391" t="str">
        <f>'Saisie données stocks'!H50</f>
        <v>300 mg</v>
      </c>
      <c r="H158" s="401" t="str">
        <f>CONCATENATE(E158, " - ", G158," - ", 'TRAD-Calculs dispo Données FA'!$B$79,"/", K158)</f>
        <v>TDF - 300 mg - B/30</v>
      </c>
      <c r="I158" s="394">
        <f>Calculs!K133</f>
        <v>1</v>
      </c>
      <c r="J158" s="394">
        <f t="shared" si="25"/>
        <v>30</v>
      </c>
      <c r="K158" s="116">
        <f>Calculs!J133</f>
        <v>30</v>
      </c>
      <c r="L158" s="395">
        <f t="shared" si="26"/>
        <v>1</v>
      </c>
      <c r="M158" s="1822">
        <f>IF('Saisie données stocks'!$O$10='TRAD-Saisie données stocks'!$B$51, 'Calculs Péremption conso'!BU38, Calculs!M293)+IF('Saisie données stocks'!$M$76='TRAD-Saisie données stocks'!$B$51, Calculs!N293, "0")</f>
        <v>0</v>
      </c>
      <c r="N158" s="1822">
        <f>Calculs!$L$348</f>
        <v>0</v>
      </c>
      <c r="O158" s="1822">
        <f>Calculs!$N$348</f>
        <v>0</v>
      </c>
      <c r="P158"/>
      <c r="Q158" s="2175" t="e">
        <f>IF(Calculs!N348&gt;0, (-(Calculs!N348+2*Calculs!L348)+SQRT((Calculs!N348+2*Calculs!L348)*(Calculs!N348+2*Calculs!L348)+8*Calculs!N348*(M158)))/(2*Calculs!N348), ((M158)/Calculs!L348))</f>
        <v>#DIV/0!</v>
      </c>
      <c r="R158" s="2175" t="e">
        <f>Q158-Paramétrage!D$29</f>
        <v>#DIV/0!</v>
      </c>
      <c r="S158" s="2181" t="e">
        <f>IF(Q158&lt;Paramétrage!D$29, Q158, Paramétrage!D$29)</f>
        <v>#DIV/0!</v>
      </c>
      <c r="T158" s="2178" t="e">
        <f>IF(Q158&lt;Paramétrage!D$29, Paramétrage!H$19+R158*(365/12), Paramétrage!H$19+R158*(365/12))</f>
        <v>#DIV/0!</v>
      </c>
      <c r="U158" s="2179" t="e">
        <f>IF(Q158&lt;Paramétrage!D$29, Paramétrage!H$19+S158*(365/12), Paramétrage!H$19+Q158*(365/12))</f>
        <v>#DIV/0!</v>
      </c>
      <c r="V158" s="2051"/>
      <c r="W158" s="2175" t="str">
        <f>IF(ISERROR(Q158),"", IF(Q158=0, "", IF(Q158&gt;'Calculs Péremption conso'!$CB38, 'Calculs Péremption conso'!$CB38, Q158)))</f>
        <v/>
      </c>
      <c r="X158" s="2180" t="str">
        <f>IF(ISERROR(Q158),"", IF(Q158=0, "", IF(Q158&gt;'Calculs Péremption conso'!$CB38, 'Calculs Péremption conso'!$CB38-Paramétrage!$D$29, R158)))</f>
        <v/>
      </c>
      <c r="Y158" s="2181" t="str">
        <f t="shared" si="29"/>
        <v/>
      </c>
      <c r="Z158" s="2178" t="str">
        <f>IF(ISERROR(Q158),"", IF(Q158=0, "", IF(Q158&gt;'Calculs Péremption conso'!$CB38, 'Calculs Péremption conso'!$BX38-Paramétrage!$D$29*(365/12), T158)))</f>
        <v/>
      </c>
      <c r="AA158" s="2179" t="str">
        <f>IF(ISERROR(Q158),AW158,IF(Q158=0,IF(AND(M158=0,OR(N158&gt;0,O158&gt;0)),AX158,""),IF('Saisie données stocks'!$O$10='TRAD-Saisie données stocks'!$B$51,IF('Calculs Péremption conso'!P38="OK",IF('Calculs Péremption conso'!BV38&gt;0,CONCATENATE('TRAD-Calculs dispo Données FA'!$B$88, " - ",'Calculs Péremption conso'!$BY38,"/",'Calculs Péremption conso'!$BZ38,"/",'Calculs Péremption conso'!$CA38),U158),IF(Q158&gt;'Saisie données stocks'!$N$14,'Calculs Péremption conso'!CC38,U158)),IF(Q158&gt;'Saisie données stocks'!$N$14,'Calculs Péremption conso'!CC38,U158))))</f>
        <v/>
      </c>
      <c r="AB158" s="2051"/>
      <c r="AC158" s="2175" t="e">
        <f>(Calculs!O293)/Calculs!L348</f>
        <v>#DIV/0!</v>
      </c>
      <c r="AD158" s="2175" t="e">
        <f t="shared" si="30"/>
        <v>#DIV/0!</v>
      </c>
      <c r="AE158" s="2181" t="e">
        <f>AC158-Paramétrage!D$29</f>
        <v>#DIV/0!</v>
      </c>
      <c r="AF158" s="2182" t="e">
        <f>IF(AC158&lt;Paramétrage!D$29, AC158, Paramétrage!D$29)</f>
        <v>#DIV/0!</v>
      </c>
      <c r="AG158" s="2178" t="e">
        <f>Paramétrage!H$19+AE158*(365/12)</f>
        <v>#DIV/0!</v>
      </c>
      <c r="AH158" s="2179" t="e">
        <f>IF(AC158&lt;Paramétrage!D$29, Paramétrage!H$19+AF158*(365/12), Paramétrage!H$19+AC158*(365/12))</f>
        <v>#DIV/0!</v>
      </c>
      <c r="AI158" s="2051"/>
      <c r="AJ158" s="2175" t="str">
        <f>IF(ISERROR(AC158),"", IF(AC158=0, "", IF(AC158&gt;'Calculs Péremption FA'!$CB38, 'Calculs Péremption FA'!$CB38, AC158)))</f>
        <v/>
      </c>
      <c r="AK158" s="2180" t="str">
        <f t="shared" si="31"/>
        <v/>
      </c>
      <c r="AL158" s="2181" t="str">
        <f>IF(ISERROR(AC158),"", IF(AC158=0, "", IF(AC158&gt;'Calculs Péremption conso'!$CB38, 'Calculs Péremption conso'!$CB38-Paramétrage!$D$29, AE158)))</f>
        <v/>
      </c>
      <c r="AM158" s="2182" t="str">
        <f>IF(ISERROR(AC158),"", IF(AC158=0, "", IF(AC158&gt;'Calculs Péremption conso'!$CB38, Paramétrage!$D$29, AF158)))</f>
        <v/>
      </c>
      <c r="AN158" s="2178" t="str">
        <f>IF(ISERROR(AC158),"", IF(AC158=0, "", IF(AC158&gt;'Calculs Péremption conso'!$CB38, 'Calculs Péremption conso'!$BX38-Paramétrage!$D$29*(365/12), AG158)))</f>
        <v/>
      </c>
      <c r="AO158" s="2179" t="str">
        <f>IF(ISERROR(AC158),"", IF(AC158=0, "", IF(AC158&gt;'Calculs Péremption conso'!$CB38, CONCATENATE('TRAD-Calculs dispo Données FA'!$B$88, " - ", 'Calculs Péremption conso'!$BY38, "/", 'Calculs Péremption conso'!$BZ38, "/", 'Calculs Péremption conso'!$CA38), AH158)))</f>
        <v/>
      </c>
      <c r="AP158" s="2206"/>
      <c r="AQ158" s="2207"/>
      <c r="AR158" s="2051"/>
      <c r="AS158" s="2061">
        <f>Calculs!$O293</f>
        <v>0</v>
      </c>
      <c r="AT158" s="2062">
        <f>Calculs!$L348</f>
        <v>0</v>
      </c>
      <c r="AU158" s="2068">
        <f>Calculs!$N348</f>
        <v>0</v>
      </c>
      <c r="AV158" s="2070" t="str">
        <f>IF(AND(AU158=0, AS158=0, AT158=0), 'TRAD-Calculs dispo Données FA'!$B$82, "")</f>
        <v>Stock et besoin nul</v>
      </c>
      <c r="AW158" s="2062" t="str">
        <f>IF(AND(AU158=0, AS158&gt;0, AT158=0), CONCATENATE(AS158, 'TRAD-Calculs dispo Données FA'!$B$80," =0"), "")</f>
        <v/>
      </c>
      <c r="AX158" s="2063" t="str">
        <f>IF(AND(AS158=0, OR(AT158&gt;=1, AU158&gt;=1)), 'TRAD-Calculs dispo Données FA'!$B$81, "")</f>
        <v/>
      </c>
      <c r="AY158" s="2051"/>
      <c r="AZ158" s="2051"/>
      <c r="BA158" s="2051"/>
      <c r="BB158" s="2051"/>
      <c r="BC158" s="2051"/>
      <c r="BD158" s="2051"/>
      <c r="BE158" s="2051"/>
      <c r="BF158" s="2051"/>
      <c r="BG158" s="2051"/>
      <c r="BH158" s="2051"/>
      <c r="BI158" s="2051"/>
      <c r="BJ158" s="2051"/>
      <c r="BK158" s="2051"/>
      <c r="BL158" s="2051"/>
      <c r="BM158" s="2051"/>
      <c r="BN158" s="2051"/>
      <c r="BO158" s="2051"/>
      <c r="BP158" s="2051"/>
      <c r="BQ158" s="2051"/>
      <c r="BR158" s="2051"/>
      <c r="BS158" s="2051"/>
      <c r="BT158" s="2051"/>
    </row>
    <row r="159" spans="3:72" s="358" customFormat="1" x14ac:dyDescent="0.2">
      <c r="C159" s="374"/>
      <c r="D159" s="375" t="s">
        <v>41</v>
      </c>
      <c r="E159" s="376" t="str">
        <f>'Saisie données stocks'!F51</f>
        <v>LPV/r</v>
      </c>
      <c r="F159" s="377" t="str">
        <f>'Saisie données stocks'!G51</f>
        <v>Cp</v>
      </c>
      <c r="G159" s="377" t="str">
        <f>'Saisie données stocks'!H51</f>
        <v>200/50 mg</v>
      </c>
      <c r="H159" s="378" t="str">
        <f>CONCATENATE(E159, " - ", G159," - ", 'TRAD-Calculs dispo Données FA'!$B$79,"/", K159)</f>
        <v>LPV/r - 200/50 mg - B/120</v>
      </c>
      <c r="I159" s="380">
        <f>Calculs!K134</f>
        <v>4</v>
      </c>
      <c r="J159" s="380">
        <f t="shared" si="25"/>
        <v>120</v>
      </c>
      <c r="K159" s="114">
        <f>Calculs!J134</f>
        <v>120</v>
      </c>
      <c r="L159" s="381">
        <f t="shared" si="26"/>
        <v>1</v>
      </c>
      <c r="M159" s="1820">
        <f>IF('Saisie données stocks'!$O$10='TRAD-Saisie données stocks'!$B$51, 'Calculs Péremption conso'!BU39, Calculs!M294)+IF('Saisie données stocks'!$M$76='TRAD-Saisie données stocks'!$B$51, Calculs!N294, "0")</f>
        <v>750</v>
      </c>
      <c r="N159" s="1820">
        <f>Calculs!$L$349</f>
        <v>106</v>
      </c>
      <c r="O159" s="1820">
        <f>Calculs!$N$349</f>
        <v>0</v>
      </c>
      <c r="P159"/>
      <c r="Q159" s="2161">
        <f>IF(Calculs!N349&gt;0, (-(Calculs!N349+2*Calculs!L349)+SQRT((Calculs!N349+2*Calculs!L349)*(Calculs!N349+2*Calculs!L349)+8*Calculs!N349*(M159)))/(2*Calculs!N349), ((M159)/Calculs!L349))</f>
        <v>7.0754716981132075</v>
      </c>
      <c r="R159" s="2161">
        <f>Q159-Paramétrage!D$29</f>
        <v>4.0754716981132075</v>
      </c>
      <c r="S159" s="2162">
        <f>IF(Q159&lt;Paramétrage!D$29, Q159, Paramétrage!D$29)</f>
        <v>3</v>
      </c>
      <c r="T159" s="2164">
        <f>IF(Q159&lt;Paramétrage!D$29, Paramétrage!H$19+R159*(365/12), Paramétrage!H$19+R159*(365/12))</f>
        <v>42042.962264150941</v>
      </c>
      <c r="U159" s="2165">
        <f>IF(Q159&lt;Paramétrage!D$29, Paramétrage!H$19+S159*(365/12), Paramétrage!H$19+Q159*(365/12))</f>
        <v>42134.212264150941</v>
      </c>
      <c r="V159" s="2051"/>
      <c r="W159" s="2161">
        <f>IF(ISERROR(Q159),"", IF(Q159=0, "", IF(Q159&gt;'Calculs Péremption conso'!$CB39, 'Calculs Péremption conso'!$CB39, Q159)))</f>
        <v>7.0754716981132075</v>
      </c>
      <c r="X159" s="2166">
        <f>IF(ISERROR(Q159),"", IF(Q159=0, "", IF(Q159&gt;'Calculs Péremption conso'!$CB39, 'Calculs Péremption conso'!$CB39-Paramétrage!$D$29, R159)))</f>
        <v>4.0754716981132075</v>
      </c>
      <c r="Y159" s="2162">
        <f t="shared" si="29"/>
        <v>3</v>
      </c>
      <c r="Z159" s="2164">
        <f>IF(ISERROR(Q159),"", IF(Q159=0, "", IF(Q159&gt;'Calculs Péremption conso'!$CB39, 'Calculs Péremption conso'!$BX39-Paramétrage!$D$29*(365/12), T159)))</f>
        <v>42042.962264150941</v>
      </c>
      <c r="AA159" s="2165">
        <f>IF(ISERROR(Q159),AW159,IF(Q159=0,IF(AND(M159=0,OR(N159&gt;0,O159&gt;0)),AX159,""),IF('Saisie données stocks'!$O$10='TRAD-Saisie données stocks'!$B$51,IF('Calculs Péremption conso'!P39="OK",IF('Calculs Péremption conso'!BV39&gt;0,CONCATENATE('TRAD-Calculs dispo Données FA'!$B$88, " - ",'Calculs Péremption conso'!$BY39,"/",'Calculs Péremption conso'!$BZ39,"/",'Calculs Péremption conso'!$CA39),U159),IF(Q159&gt;'Saisie données stocks'!$N$14,'Calculs Péremption conso'!CC39,U159)),IF(Q159&gt;'Saisie données stocks'!$N$14,'Calculs Péremption conso'!CC39,U159))))</f>
        <v>42134.212264150941</v>
      </c>
      <c r="AB159" s="2051"/>
      <c r="AC159" s="2161">
        <f>(Calculs!O294)/Calculs!L349</f>
        <v>7.0754716981132075</v>
      </c>
      <c r="AD159" s="2161">
        <f t="shared" si="30"/>
        <v>0</v>
      </c>
      <c r="AE159" s="2162">
        <f>AC159-Paramétrage!D$29</f>
        <v>4.0754716981132075</v>
      </c>
      <c r="AF159" s="2163">
        <f>IF(AC159&lt;Paramétrage!D$29, AC159, Paramétrage!D$29)</f>
        <v>3</v>
      </c>
      <c r="AG159" s="2164">
        <f>Paramétrage!H$19+AE159*(365/12)</f>
        <v>42042.962264150941</v>
      </c>
      <c r="AH159" s="2165">
        <f>IF(AC159&lt;Paramétrage!D$29, Paramétrage!H$19+AF159*(365/12), Paramétrage!H$19+AC159*(365/12))</f>
        <v>42134.212264150941</v>
      </c>
      <c r="AI159" s="2051"/>
      <c r="AJ159" s="2161">
        <f>IF(ISERROR(AC159),"", IF(AC159=0, "", IF(AC159&gt;'Calculs Péremption FA'!$CB39, 'Calculs Péremption FA'!$CB39, AC159)))</f>
        <v>7.0754716981132075</v>
      </c>
      <c r="AK159" s="2166" t="str">
        <f t="shared" si="31"/>
        <v/>
      </c>
      <c r="AL159" s="2162">
        <f>IF(ISERROR(AC159),"", IF(AC159=0, "", IF(AC159&gt;'Calculs Péremption conso'!$CB39, 'Calculs Péremption conso'!$CB39-Paramétrage!$D$29, AE159)))</f>
        <v>4.0754716981132075</v>
      </c>
      <c r="AM159" s="2167">
        <f>IF(ISERROR(AC159),"", IF(AC159=0, "", IF(AC159&gt;'Calculs Péremption conso'!$CB39, Paramétrage!$D$29, AF159)))</f>
        <v>3</v>
      </c>
      <c r="AN159" s="2164">
        <f>IF(ISERROR(AC159),"", IF(AC159=0, "", IF(AC159&gt;'Calculs Péremption conso'!$CB39, 'Calculs Péremption conso'!$BX39-Paramétrage!$D$29*(365/12), AG159)))</f>
        <v>42042.962264150941</v>
      </c>
      <c r="AO159" s="2165">
        <f>IF(ISERROR(AC159),"", IF(AC159=0, "", IF(AC159&gt;'Calculs Péremption conso'!$CB39, CONCATENATE('TRAD-Calculs dispo Données FA'!$B$88, " - ", 'Calculs Péremption conso'!$BY39, "/", 'Calculs Péremption conso'!$BZ39, "/", 'Calculs Péremption conso'!$CA39), AH159)))</f>
        <v>42134.212264150941</v>
      </c>
      <c r="AP159" s="2206"/>
      <c r="AQ159" s="2207"/>
      <c r="AR159" s="2051"/>
      <c r="AS159" s="2061">
        <f>Calculs!$O294</f>
        <v>750</v>
      </c>
      <c r="AT159" s="2062">
        <f>Calculs!$L349</f>
        <v>106</v>
      </c>
      <c r="AU159" s="2068">
        <f>Calculs!$N349</f>
        <v>0</v>
      </c>
      <c r="AV159" s="2070" t="str">
        <f>IF(AND(AU159=0, AS159=0, AT159=0), 'TRAD-Calculs dispo Données FA'!$B$82, "")</f>
        <v/>
      </c>
      <c r="AW159" s="2062" t="str">
        <f>IF(AND(AU159=0, AS159&gt;0, AT159=0), CONCATENATE(AS159, 'TRAD-Calculs dispo Données FA'!$B$80," =0"), "")</f>
        <v/>
      </c>
      <c r="AX159" s="2063" t="str">
        <f>IF(AND(AS159=0, OR(AT159&gt;=1, AU159&gt;=1)), 'TRAD-Calculs dispo Données FA'!$B$81, "")</f>
        <v/>
      </c>
      <c r="AY159" s="2051"/>
      <c r="AZ159" s="2051"/>
      <c r="BA159" s="2051"/>
      <c r="BB159" s="2051"/>
      <c r="BC159" s="2051"/>
      <c r="BD159" s="2051"/>
      <c r="BE159" s="2051"/>
      <c r="BF159" s="2051"/>
      <c r="BG159" s="2051"/>
      <c r="BH159" s="2051"/>
      <c r="BI159" s="2051"/>
      <c r="BJ159" s="2051"/>
      <c r="BK159" s="2051"/>
      <c r="BL159" s="2051"/>
      <c r="BM159" s="2051"/>
      <c r="BN159" s="2051"/>
      <c r="BO159" s="2051"/>
      <c r="BP159" s="2051"/>
      <c r="BQ159" s="2051"/>
      <c r="BR159" s="2051"/>
      <c r="BS159" s="2051"/>
      <c r="BT159" s="2051"/>
    </row>
    <row r="160" spans="3:72" s="358" customFormat="1" ht="25.5" x14ac:dyDescent="0.2">
      <c r="C160" s="374"/>
      <c r="D160" s="402"/>
      <c r="E160" s="396" t="str">
        <f>'Saisie données stocks'!F52</f>
        <v>LPV/r</v>
      </c>
      <c r="F160" s="397" t="str">
        <f>'Saisie données stocks'!G52</f>
        <v>Cp coblister</v>
      </c>
      <c r="G160" s="397" t="str">
        <f>'Saisie données stocks'!H52</f>
        <v>100/25 mg</v>
      </c>
      <c r="H160" s="403" t="str">
        <f>CONCATENATE(E160, " - ", G160," - ", 'TRAD-Calculs dispo Données FA'!$B$79,"/", K160)</f>
        <v>LPV/r - 100/25 mg - B/60</v>
      </c>
      <c r="I160" s="399">
        <f>Calculs!K135</f>
        <v>2</v>
      </c>
      <c r="J160" s="399">
        <f t="shared" si="25"/>
        <v>60</v>
      </c>
      <c r="K160" s="117">
        <f>Calculs!J135</f>
        <v>60</v>
      </c>
      <c r="L160" s="400">
        <f t="shared" si="26"/>
        <v>1</v>
      </c>
      <c r="M160" s="1823">
        <f>IF('Saisie données stocks'!$O$10='TRAD-Saisie données stocks'!$B$51, 'Calculs Péremption conso'!BU40, Calculs!M295)+IF('Saisie données stocks'!$M$76='TRAD-Saisie données stocks'!$B$51, Calculs!N295, "0")</f>
        <v>187.15342465753429</v>
      </c>
      <c r="N160" s="1871">
        <f>Calculs!$L$350</f>
        <v>18</v>
      </c>
      <c r="O160" s="1871">
        <f>Calculs!$N$350</f>
        <v>0</v>
      </c>
      <c r="P160"/>
      <c r="Q160" s="2184">
        <f>IF(Calculs!N350&gt;0, (-(Calculs!N350+2*Calculs!L350)+SQRT((Calculs!N350+2*Calculs!L350)*(Calculs!N350+2*Calculs!L350)+8*Calculs!N350*(M160)))/(2*Calculs!N350), ((M160)/Calculs!L350))</f>
        <v>10.397412480974127</v>
      </c>
      <c r="R160" s="2184">
        <f>Q160-Paramétrage!D$29</f>
        <v>7.3974124809741273</v>
      </c>
      <c r="S160" s="2176">
        <f>IF(Q160&lt;Paramétrage!D$29, Q160, Paramétrage!D$29)</f>
        <v>3</v>
      </c>
      <c r="T160" s="2186">
        <f>IF(Q160&lt;Paramétrage!D$29, Paramétrage!H$19+R160*(365/12), Paramétrage!H$19+R160*(365/12))</f>
        <v>42144.004629629628</v>
      </c>
      <c r="U160" s="2187">
        <f>IF(Q160&lt;Paramétrage!D$29, Paramétrage!H$19+S160*(365/12), Paramétrage!H$19+Q160*(365/12))</f>
        <v>42235.254629629628</v>
      </c>
      <c r="V160" s="2051"/>
      <c r="W160" s="2184">
        <f>IF(ISERROR(Q160),"", IF(Q160=0, "", IF(Q160&gt;'Calculs Péremption conso'!$CB40, 'Calculs Péremption conso'!$CB40, Q160)))</f>
        <v>5.7863013698630139</v>
      </c>
      <c r="X160" s="2188">
        <f>IF(ISERROR(Q160),"", IF(Q160=0, "", IF(Q160&gt;'Calculs Péremption conso'!$CB40, 'Calculs Péremption conso'!$CB40-Paramétrage!$D$29, R160)))</f>
        <v>2.7863013698630139</v>
      </c>
      <c r="Y160" s="2176">
        <f t="shared" si="29"/>
        <v>3</v>
      </c>
      <c r="Z160" s="2186">
        <f>IF(ISERROR(Q160),"", IF(Q160=0, "", IF(Q160&gt;'Calculs Péremption conso'!$CB40, 'Calculs Péremption conso'!$BX40-Paramétrage!$D$29*(365/12), T160)))</f>
        <v>42003.75</v>
      </c>
      <c r="AA160" s="2187" t="str">
        <f>IF(ISERROR(Q160),AW160,IF(Q160=0,IF(AND(M160=0,OR(N160&gt;0,O160&gt;0)),AX160,""),IF('Saisie données stocks'!$O$10='TRAD-Saisie données stocks'!$B$51,IF('Calculs Péremption conso'!P40="OK",IF('Calculs Péremption conso'!BV40&gt;0,CONCATENATE('TRAD-Calculs dispo Données FA'!$B$88, " - ",'Calculs Péremption conso'!$BY40,"/",'Calculs Péremption conso'!$BZ40,"/",'Calculs Péremption conso'!$CA40),U160),IF(Q160&gt;'Saisie données stocks'!$N$14,'Calculs Péremption conso'!CC40,U160)),IF(Q160&gt;'Saisie données stocks'!$N$14,'Calculs Péremption conso'!CC40,U160))))</f>
        <v>DLU - 1/4/2015</v>
      </c>
      <c r="AB160" s="2051"/>
      <c r="AC160" s="2184">
        <f>(Calculs!O295)/Calculs!L350</f>
        <v>42.777777777777779</v>
      </c>
      <c r="AD160" s="2184">
        <f t="shared" si="30"/>
        <v>32.380365296803653</v>
      </c>
      <c r="AE160" s="2176">
        <f>AC160-Paramétrage!D$29</f>
        <v>39.777777777777779</v>
      </c>
      <c r="AF160" s="2163">
        <f>IF(AC160&lt;Paramétrage!D$29, AC160, Paramétrage!D$29)</f>
        <v>3</v>
      </c>
      <c r="AG160" s="2186">
        <f>Paramétrage!H$19+AE160*(365/12)</f>
        <v>43128.907407407409</v>
      </c>
      <c r="AH160" s="2187">
        <f>IF(AC160&lt;Paramétrage!D$29, Paramétrage!H$19+AF160*(365/12), Paramétrage!H$19+AC160*(365/12))</f>
        <v>43220.157407407409</v>
      </c>
      <c r="AI160" s="2051"/>
      <c r="AJ160" s="2184">
        <f>IF(ISERROR(AC160),"", IF(AC160=0, "", IF(AC160&gt;'Calculs Péremption FA'!$CB40, 'Calculs Péremption FA'!$CB40, AC160)))</f>
        <v>5.7863013698630139</v>
      </c>
      <c r="AK160" s="2188" t="str">
        <f t="shared" si="31"/>
        <v>0</v>
      </c>
      <c r="AL160" s="2176">
        <f>IF(ISERROR(AC160),"", IF(AC160=0, "", IF(AC160&gt;'Calculs Péremption conso'!$CB40, 'Calculs Péremption conso'!$CB40-Paramétrage!$D$29, AE160)))</f>
        <v>2.7863013698630139</v>
      </c>
      <c r="AM160" s="2167">
        <f>IF(ISERROR(AC160),"", IF(AC160=0, "", IF(AC160&gt;'Calculs Péremption conso'!$CB40, Paramétrage!$D$29, AF160)))</f>
        <v>3</v>
      </c>
      <c r="AN160" s="2186">
        <f>IF(ISERROR(AC160),"", IF(AC160=0, "", IF(AC160&gt;'Calculs Péremption conso'!$CB40, 'Calculs Péremption conso'!$BX40-Paramétrage!$D$29*(365/12), AG160)))</f>
        <v>42003.75</v>
      </c>
      <c r="AO160" s="2187" t="str">
        <f>IF(ISERROR(AC160),"", IF(AC160=0, "", IF(AC160&gt;'Calculs Péremption conso'!$CB40, CONCATENATE('TRAD-Calculs dispo Données FA'!$B$88, " - ", 'Calculs Péremption conso'!$BY40, "/", 'Calculs Péremption conso'!$BZ40, "/", 'Calculs Péremption conso'!$CA40), AH160)))</f>
        <v>DLU - 1/4/2015</v>
      </c>
      <c r="AP160" s="2206"/>
      <c r="AQ160" s="2207"/>
      <c r="AR160" s="2051"/>
      <c r="AS160" s="2061">
        <f>Calculs!$O295</f>
        <v>770</v>
      </c>
      <c r="AT160" s="2062">
        <f>Calculs!$L350</f>
        <v>18</v>
      </c>
      <c r="AU160" s="2068">
        <f>Calculs!$N350</f>
        <v>0</v>
      </c>
      <c r="AV160" s="2070" t="str">
        <f>IF(AND(AU160=0, AS160=0, AT160=0), 'TRAD-Calculs dispo Données FA'!$B$82, "")</f>
        <v/>
      </c>
      <c r="AW160" s="2062" t="str">
        <f>IF(AND(AU160=0, AS160&gt;0, AT160=0), CONCATENATE(AS160, 'TRAD-Calculs dispo Données FA'!$B$80," =0"), "")</f>
        <v/>
      </c>
      <c r="AX160" s="2063" t="str">
        <f>IF(AND(AS160=0, OR(AT160&gt;=1, AU160&gt;=1)), 'TRAD-Calculs dispo Données FA'!$B$81, "")</f>
        <v/>
      </c>
      <c r="AY160" s="2051"/>
      <c r="AZ160" s="2051"/>
      <c r="BA160" s="2051"/>
      <c r="BB160" s="2051"/>
      <c r="BC160" s="2051"/>
      <c r="BD160" s="2051"/>
      <c r="BE160" s="2051"/>
      <c r="BF160" s="2051"/>
      <c r="BG160" s="2051"/>
      <c r="BH160" s="2051"/>
      <c r="BI160" s="2051"/>
      <c r="BJ160" s="2051"/>
      <c r="BK160" s="2051"/>
      <c r="BL160" s="2051"/>
      <c r="BM160" s="2051"/>
      <c r="BN160" s="2051"/>
      <c r="BO160" s="2051"/>
      <c r="BP160" s="2051"/>
      <c r="BQ160" s="2051"/>
      <c r="BR160" s="2051"/>
      <c r="BS160" s="2051"/>
      <c r="BT160" s="2051"/>
    </row>
    <row r="161" spans="3:72" s="358" customFormat="1" ht="25.5" x14ac:dyDescent="0.2">
      <c r="C161" s="374"/>
      <c r="D161" s="402"/>
      <c r="E161" s="396" t="str">
        <f>'Saisie données stocks'!F53</f>
        <v>ATV/r</v>
      </c>
      <c r="F161" s="397" t="str">
        <f>'Saisie données stocks'!G53</f>
        <v>Cp</v>
      </c>
      <c r="G161" s="397" t="str">
        <f>'Saisie données stocks'!H53</f>
        <v>300/100 mg</v>
      </c>
      <c r="H161" s="403" t="str">
        <f>CONCATENATE(E161, " - ", G161," - ", 'TRAD-Calculs dispo Données FA'!$B$79,"/", K161)</f>
        <v>ATV/r - 300/100 mg - B/60</v>
      </c>
      <c r="I161" s="399">
        <f>Calculs!K136</f>
        <v>2</v>
      </c>
      <c r="J161" s="399">
        <f t="shared" si="25"/>
        <v>60</v>
      </c>
      <c r="K161" s="117">
        <f>Calculs!J136</f>
        <v>60</v>
      </c>
      <c r="L161" s="400">
        <f t="shared" si="26"/>
        <v>1</v>
      </c>
      <c r="M161" s="1823">
        <f>IF('Saisie données stocks'!$O$10='TRAD-Saisie données stocks'!$B$51, 'Calculs Péremption conso'!BU41, Calculs!M296)+IF('Saisie données stocks'!$M$76='TRAD-Saisie données stocks'!$B$51, Calculs!N296, "0")</f>
        <v>0</v>
      </c>
      <c r="N161" s="1871">
        <f>Calculs!$L$351</f>
        <v>0</v>
      </c>
      <c r="O161" s="1871">
        <f>Calculs!$N$351</f>
        <v>0</v>
      </c>
      <c r="P161"/>
      <c r="Q161" s="2184" t="e">
        <f>IF(Calculs!N351&gt;0, (-(Calculs!N351+2*Calculs!L351)+SQRT((Calculs!N351+2*Calculs!L351)*(Calculs!N351+2*Calculs!L351)+8*Calculs!N351*(M161)))/(2*Calculs!N351), ((M161)/Calculs!L351))</f>
        <v>#DIV/0!</v>
      </c>
      <c r="R161" s="2184" t="e">
        <f>Q161-Paramétrage!D$29</f>
        <v>#DIV/0!</v>
      </c>
      <c r="S161" s="2176" t="e">
        <f>IF(Q161&lt;Paramétrage!D$29, Q161, Paramétrage!D$29)</f>
        <v>#DIV/0!</v>
      </c>
      <c r="T161" s="2186" t="e">
        <f>IF(Q161&lt;Paramétrage!D$29, Paramétrage!H$19+R161*(365/12), Paramétrage!H$19+R161*(365/12))</f>
        <v>#DIV/0!</v>
      </c>
      <c r="U161" s="2187" t="e">
        <f>IF(Q161&lt;Paramétrage!D$29, Paramétrage!H$19+S161*(365/12), Paramétrage!H$19+Q161*(365/12))</f>
        <v>#DIV/0!</v>
      </c>
      <c r="V161" s="2051"/>
      <c r="W161" s="2184" t="str">
        <f>IF(ISERROR(Q161),"", IF(Q161=0, "", IF(Q161&gt;'Calculs Péremption conso'!$CB41, 'Calculs Péremption conso'!$CB41, Q161)))</f>
        <v/>
      </c>
      <c r="X161" s="2188" t="str">
        <f>IF(ISERROR(Q161),"", IF(Q161=0, "", IF(Q161&gt;'Calculs Péremption conso'!$CB41, 'Calculs Péremption conso'!$CB41-Paramétrage!$D$29, R161)))</f>
        <v/>
      </c>
      <c r="Y161" s="2176" t="str">
        <f t="shared" si="29"/>
        <v/>
      </c>
      <c r="Z161" s="2186" t="str">
        <f>IF(ISERROR(Q161),"", IF(Q161=0, "", IF(Q161&gt;'Calculs Péremption conso'!$CB41, 'Calculs Péremption conso'!$BX41-Paramétrage!$D$29*(365/12), T161)))</f>
        <v/>
      </c>
      <c r="AA161" s="2187" t="str">
        <f>IF(ISERROR(Q161),AW161,IF(Q161=0,IF(AND(M161=0,OR(N161&gt;0,O161&gt;0)),AX161,""),IF('Saisie données stocks'!$O$10='TRAD-Saisie données stocks'!$B$51,IF('Calculs Péremption conso'!P41="OK",IF('Calculs Péremption conso'!BV41&gt;0,CONCATENATE('TRAD-Calculs dispo Données FA'!$B$88, " - ",'Calculs Péremption conso'!$BY41,"/",'Calculs Péremption conso'!$BZ41,"/",'Calculs Péremption conso'!$CA41),U161),IF(Q161&gt;'Saisie données stocks'!$N$14,'Calculs Péremption conso'!CC41,U161)),IF(Q161&gt;'Saisie données stocks'!$N$14,'Calculs Péremption conso'!CC41,U161))))</f>
        <v>1705B &amp; conso =0</v>
      </c>
      <c r="AB161" s="2051"/>
      <c r="AC161" s="2184" t="e">
        <f>(Calculs!O296)/Calculs!L351</f>
        <v>#DIV/0!</v>
      </c>
      <c r="AD161" s="2184" t="e">
        <f t="shared" si="30"/>
        <v>#DIV/0!</v>
      </c>
      <c r="AE161" s="2176" t="e">
        <f>AC161-Paramétrage!D$29</f>
        <v>#DIV/0!</v>
      </c>
      <c r="AF161" s="2163" t="e">
        <f>IF(AC161&lt;Paramétrage!D$29, AC161, Paramétrage!D$29)</f>
        <v>#DIV/0!</v>
      </c>
      <c r="AG161" s="2186" t="e">
        <f>Paramétrage!H$19+AE161*(365/12)</f>
        <v>#DIV/0!</v>
      </c>
      <c r="AH161" s="2187" t="e">
        <f>IF(AC161&lt;Paramétrage!D$29, Paramétrage!H$19+AF161*(365/12), Paramétrage!H$19+AC161*(365/12))</f>
        <v>#DIV/0!</v>
      </c>
      <c r="AI161" s="2051"/>
      <c r="AJ161" s="2184" t="str">
        <f>IF(ISERROR(AC161),"", IF(AC161=0, "", IF(AC161&gt;'Calculs Péremption FA'!$CB41, 'Calculs Péremption FA'!$CB41, AC161)))</f>
        <v/>
      </c>
      <c r="AK161" s="2188" t="str">
        <f t="shared" si="31"/>
        <v/>
      </c>
      <c r="AL161" s="2176" t="str">
        <f>IF(ISERROR(AC161),"", IF(AC161=0, "", IF(AC161&gt;'Calculs Péremption conso'!$CB41, 'Calculs Péremption conso'!$CB41-Paramétrage!$D$29, AE161)))</f>
        <v/>
      </c>
      <c r="AM161" s="2167" t="str">
        <f>IF(ISERROR(AC161),"", IF(AC161=0, "", IF(AC161&gt;'Calculs Péremption conso'!$CB41, Paramétrage!$D$29, AF161)))</f>
        <v/>
      </c>
      <c r="AN161" s="2186" t="str">
        <f>IF(ISERROR(AC161),"", IF(AC161=0, "", IF(AC161&gt;'Calculs Péremption conso'!$CB41, 'Calculs Péremption conso'!$BX41-Paramétrage!$D$29*(365/12), AG161)))</f>
        <v/>
      </c>
      <c r="AO161" s="2187" t="str">
        <f>IF(ISERROR(AC161),"", IF(AC161=0, "", IF(AC161&gt;'Calculs Péremption conso'!$CB41, CONCATENATE('TRAD-Calculs dispo Données FA'!$B$88, " - ", 'Calculs Péremption conso'!$BY41, "/", 'Calculs Péremption conso'!$BZ41, "/", 'Calculs Péremption conso'!$CA41), AH161)))</f>
        <v/>
      </c>
      <c r="AP161" s="2206"/>
      <c r="AQ161" s="2207"/>
      <c r="AR161" s="2051"/>
      <c r="AS161" s="2061">
        <f>Calculs!$O296</f>
        <v>1705</v>
      </c>
      <c r="AT161" s="2062">
        <f>Calculs!$L351</f>
        <v>0</v>
      </c>
      <c r="AU161" s="2068">
        <f>Calculs!$N351</f>
        <v>0</v>
      </c>
      <c r="AV161" s="2070" t="str">
        <f>IF(AND(AU161=0, AS161=0, AT161=0), 'TRAD-Calculs dispo Données FA'!$B$82, "")</f>
        <v/>
      </c>
      <c r="AW161" s="2062" t="str">
        <f>IF(AND(AU161=0, AS161&gt;0, AT161=0), CONCATENATE(AS161, 'TRAD-Calculs dispo Données FA'!$B$80," =0"), "")</f>
        <v>1705B &amp; conso =0</v>
      </c>
      <c r="AX161" s="2063" t="str">
        <f>IF(AND(AS161=0, OR(AT161&gt;=1, AU161&gt;=1)), 'TRAD-Calculs dispo Données FA'!$B$81, "")</f>
        <v/>
      </c>
      <c r="AY161" s="2051"/>
      <c r="AZ161" s="2051"/>
      <c r="BA161" s="2051"/>
      <c r="BB161" s="2051"/>
      <c r="BC161" s="2051"/>
      <c r="BD161" s="2051"/>
      <c r="BE161" s="2051"/>
      <c r="BF161" s="2051"/>
      <c r="BG161" s="2051"/>
      <c r="BH161" s="2051"/>
      <c r="BI161" s="2051"/>
      <c r="BJ161" s="2051"/>
      <c r="BK161" s="2051"/>
      <c r="BL161" s="2051"/>
      <c r="BM161" s="2051"/>
      <c r="BN161" s="2051"/>
      <c r="BO161" s="2051"/>
      <c r="BP161" s="2051"/>
      <c r="BQ161" s="2051"/>
      <c r="BR161" s="2051"/>
      <c r="BS161" s="2051"/>
      <c r="BT161" s="2051"/>
    </row>
    <row r="162" spans="3:72" s="358" customFormat="1" x14ac:dyDescent="0.2">
      <c r="C162" s="374"/>
      <c r="D162" s="402"/>
      <c r="E162" s="396" t="str">
        <f>'Saisie données stocks'!F54</f>
        <v>FPV</v>
      </c>
      <c r="F162" s="397" t="str">
        <f>'Saisie données stocks'!G54</f>
        <v>Cp</v>
      </c>
      <c r="G162" s="397" t="str">
        <f>'Saisie données stocks'!H54</f>
        <v>700 mg</v>
      </c>
      <c r="H162" s="403" t="str">
        <f>CONCATENATE(E162, " - ", G162," - ", 'TRAD-Calculs dispo Données FA'!$B$79,"/", K162)</f>
        <v>FPV - 700 mg - B/60</v>
      </c>
      <c r="I162" s="399">
        <f>Calculs!K137</f>
        <v>2</v>
      </c>
      <c r="J162" s="399">
        <f t="shared" si="25"/>
        <v>60</v>
      </c>
      <c r="K162" s="117">
        <f>Calculs!J137</f>
        <v>60</v>
      </c>
      <c r="L162" s="400">
        <f t="shared" si="26"/>
        <v>1</v>
      </c>
      <c r="M162" s="1823">
        <f>IF('Saisie données stocks'!$O$10='TRAD-Saisie données stocks'!$B$51, 'Calculs Péremption conso'!BU42, Calculs!M297)+IF('Saisie données stocks'!$M$76='TRAD-Saisie données stocks'!$B$51, Calculs!N297, "0")</f>
        <v>0</v>
      </c>
      <c r="N162" s="1871">
        <f>Calculs!$L$352</f>
        <v>0</v>
      </c>
      <c r="O162" s="1871">
        <f>Calculs!$N$352</f>
        <v>0</v>
      </c>
      <c r="P162"/>
      <c r="Q162" s="2184" t="e">
        <f>IF(Calculs!N352&gt;0, (-(Calculs!N352+2*Calculs!L352)+SQRT((Calculs!N352+2*Calculs!L352)*(Calculs!N352+2*Calculs!L352)+8*Calculs!N352*(M162)))/(2*Calculs!N352), ((M162)/Calculs!L352))</f>
        <v>#DIV/0!</v>
      </c>
      <c r="R162" s="2184" t="e">
        <f>Q162-Paramétrage!D$29</f>
        <v>#DIV/0!</v>
      </c>
      <c r="S162" s="2176" t="e">
        <f>IF(Q162&lt;Paramétrage!D$29, Q162, Paramétrage!D$29)</f>
        <v>#DIV/0!</v>
      </c>
      <c r="T162" s="2186" t="e">
        <f>IF(Q162&lt;Paramétrage!D$29, Paramétrage!H$19+R162*(365/12), Paramétrage!H$19+R162*(365/12))</f>
        <v>#DIV/0!</v>
      </c>
      <c r="U162" s="2187" t="e">
        <f>IF(Q162&lt;Paramétrage!D$29, Paramétrage!H$19+S162*(365/12), Paramétrage!H$19+Q162*(365/12))</f>
        <v>#DIV/0!</v>
      </c>
      <c r="V162" s="2051"/>
      <c r="W162" s="2184" t="str">
        <f>IF(ISERROR(Q162),"", IF(Q162=0, "", IF(Q162&gt;'Calculs Péremption conso'!$CB42, 'Calculs Péremption conso'!$CB42, Q162)))</f>
        <v/>
      </c>
      <c r="X162" s="2188" t="str">
        <f>IF(ISERROR(Q162),"", IF(Q162=0, "", IF(Q162&gt;'Calculs Péremption conso'!$CB42, 'Calculs Péremption conso'!$CB42-Paramétrage!$D$29, R162)))</f>
        <v/>
      </c>
      <c r="Y162" s="2176" t="str">
        <f t="shared" si="29"/>
        <v/>
      </c>
      <c r="Z162" s="2186" t="str">
        <f>IF(ISERROR(Q162),"", IF(Q162=0, "", IF(Q162&gt;'Calculs Péremption conso'!$CB42, 'Calculs Péremption conso'!$BX42-Paramétrage!$D$29*(365/12), T162)))</f>
        <v/>
      </c>
      <c r="AA162" s="2187" t="str">
        <f>IF(ISERROR(Q162),AW162,IF(Q162=0,IF(AND(M162=0,OR(N162&gt;0,O162&gt;0)),AX162,""),IF('Saisie données stocks'!$O$10='TRAD-Saisie données stocks'!$B$51,IF('Calculs Péremption conso'!P42="OK",IF('Calculs Péremption conso'!BV42&gt;0,CONCATENATE('TRAD-Calculs dispo Données FA'!$B$88, " - ",'Calculs Péremption conso'!$BY42,"/",'Calculs Péremption conso'!$BZ42,"/",'Calculs Péremption conso'!$CA42),U162),IF(Q162&gt;'Saisie données stocks'!$N$14,'Calculs Péremption conso'!CC42,U162)),IF(Q162&gt;'Saisie données stocks'!$N$14,'Calculs Péremption conso'!CC42,U162))))</f>
        <v/>
      </c>
      <c r="AB162" s="2051"/>
      <c r="AC162" s="2184" t="e">
        <f>(Calculs!O297)/Calculs!L352</f>
        <v>#DIV/0!</v>
      </c>
      <c r="AD162" s="2184" t="e">
        <f t="shared" si="30"/>
        <v>#DIV/0!</v>
      </c>
      <c r="AE162" s="2176" t="e">
        <f>AC162-Paramétrage!D$29</f>
        <v>#DIV/0!</v>
      </c>
      <c r="AF162" s="2163" t="e">
        <f>IF(AC162&lt;Paramétrage!D$29, AC162, Paramétrage!D$29)</f>
        <v>#DIV/0!</v>
      </c>
      <c r="AG162" s="2186" t="e">
        <f>Paramétrage!H$19+AE162*(365/12)</f>
        <v>#DIV/0!</v>
      </c>
      <c r="AH162" s="2187" t="e">
        <f>IF(AC162&lt;Paramétrage!D$29, Paramétrage!H$19+AF162*(365/12), Paramétrage!H$19+AC162*(365/12))</f>
        <v>#DIV/0!</v>
      </c>
      <c r="AI162" s="2051"/>
      <c r="AJ162" s="2184" t="str">
        <f>IF(ISERROR(AC162),"", IF(AC162=0, "", IF(AC162&gt;'Calculs Péremption FA'!$CB42, 'Calculs Péremption FA'!$CB42, AC162)))</f>
        <v/>
      </c>
      <c r="AK162" s="2188" t="str">
        <f t="shared" si="31"/>
        <v/>
      </c>
      <c r="AL162" s="2176" t="str">
        <f>IF(ISERROR(AC162),"", IF(AC162=0, "", IF(AC162&gt;'Calculs Péremption conso'!$CB42, 'Calculs Péremption conso'!$CB42-Paramétrage!$D$29, AE162)))</f>
        <v/>
      </c>
      <c r="AM162" s="2167" t="str">
        <f>IF(ISERROR(AC162),"", IF(AC162=0, "", IF(AC162&gt;'Calculs Péremption conso'!$CB42, Paramétrage!$D$29, AF162)))</f>
        <v/>
      </c>
      <c r="AN162" s="2186" t="str">
        <f>IF(ISERROR(AC162),"", IF(AC162=0, "", IF(AC162&gt;'Calculs Péremption conso'!$CB42, 'Calculs Péremption conso'!$BX42-Paramétrage!$D$29*(365/12), AG162)))</f>
        <v/>
      </c>
      <c r="AO162" s="2187" t="str">
        <f>IF(ISERROR(AC162),"", IF(AC162=0, "", IF(AC162&gt;'Calculs Péremption conso'!$CB42, CONCATENATE('TRAD-Calculs dispo Données FA'!$B$88, " - ", 'Calculs Péremption conso'!$BY42, "/", 'Calculs Péremption conso'!$BZ42, "/", 'Calculs Péremption conso'!$CA42), AH162)))</f>
        <v/>
      </c>
      <c r="AP162" s="2206"/>
      <c r="AQ162" s="2207"/>
      <c r="AR162" s="2051"/>
      <c r="AS162" s="2061">
        <f>Calculs!$O297</f>
        <v>0</v>
      </c>
      <c r="AT162" s="2062">
        <f>Calculs!$L352</f>
        <v>0</v>
      </c>
      <c r="AU162" s="2068">
        <f>Calculs!$N352</f>
        <v>0</v>
      </c>
      <c r="AV162" s="2070" t="str">
        <f>IF(AND(AU162=0, AS162=0, AT162=0), 'TRAD-Calculs dispo Données FA'!$B$82, "")</f>
        <v>Stock et besoin nul</v>
      </c>
      <c r="AW162" s="2062" t="str">
        <f>IF(AND(AU162=0, AS162&gt;0, AT162=0), CONCATENATE(AS162, 'TRAD-Calculs dispo Données FA'!$B$80," =0"), "")</f>
        <v/>
      </c>
      <c r="AX162" s="2063" t="str">
        <f>IF(AND(AS162=0, OR(AT162&gt;=1, AU162&gt;=1)), 'TRAD-Calculs dispo Données FA'!$B$81, "")</f>
        <v/>
      </c>
      <c r="AY162" s="2051"/>
      <c r="AZ162" s="2051"/>
      <c r="BA162" s="2051"/>
      <c r="BB162" s="2051"/>
      <c r="BC162" s="2051"/>
      <c r="BD162" s="2051"/>
      <c r="BE162" s="2051"/>
      <c r="BF162" s="2051"/>
      <c r="BG162" s="2051"/>
      <c r="BH162" s="2051"/>
      <c r="BI162" s="2051"/>
      <c r="BJ162" s="2051"/>
      <c r="BK162" s="2051"/>
      <c r="BL162" s="2051"/>
      <c r="BM162" s="2051"/>
      <c r="BN162" s="2051"/>
      <c r="BO162" s="2051"/>
      <c r="BP162" s="2051"/>
      <c r="BQ162" s="2051"/>
      <c r="BR162" s="2051"/>
      <c r="BS162" s="2051"/>
      <c r="BT162" s="2051"/>
    </row>
    <row r="163" spans="3:72" s="358" customFormat="1" x14ac:dyDescent="0.2">
      <c r="C163" s="374"/>
      <c r="D163" s="402"/>
      <c r="E163" s="396" t="str">
        <f>'Saisie données stocks'!F55</f>
        <v>IDV</v>
      </c>
      <c r="F163" s="397" t="str">
        <f>'Saisie données stocks'!G55</f>
        <v>Gel</v>
      </c>
      <c r="G163" s="397" t="str">
        <f>'Saisie données stocks'!H55</f>
        <v>400 mg</v>
      </c>
      <c r="H163" s="403" t="str">
        <f>CONCATENATE(E163, " - ", G163," - ", 'TRAD-Calculs dispo Données FA'!$B$79,"/", K163)</f>
        <v>IDV - 400 mg - B/180</v>
      </c>
      <c r="I163" s="399">
        <f>Calculs!K138</f>
        <v>0</v>
      </c>
      <c r="J163" s="399">
        <f t="shared" si="25"/>
        <v>0</v>
      </c>
      <c r="K163" s="117">
        <f>Calculs!J138</f>
        <v>180</v>
      </c>
      <c r="L163" s="400">
        <f t="shared" si="26"/>
        <v>0</v>
      </c>
      <c r="M163" s="1823">
        <f>IF('Saisie données stocks'!$O$10='TRAD-Saisie données stocks'!$B$51, 'Calculs Péremption conso'!BU43, Calculs!M298)+IF('Saisie données stocks'!$M$76='TRAD-Saisie données stocks'!$B$51, Calculs!N298, "0")</f>
        <v>0</v>
      </c>
      <c r="N163" s="1871">
        <f>Calculs!$L$353</f>
        <v>0</v>
      </c>
      <c r="O163" s="1871">
        <f>Calculs!$N$353</f>
        <v>0</v>
      </c>
      <c r="P163"/>
      <c r="Q163" s="2184" t="e">
        <f>IF(Calculs!N353&gt;0, (-(Calculs!N353+2*Calculs!L353)+SQRT((Calculs!N353+2*Calculs!L353)*(Calculs!N353+2*Calculs!L353)+8*Calculs!N353*(M163)))/(2*Calculs!N353), ((M163)/Calculs!L353))</f>
        <v>#DIV/0!</v>
      </c>
      <c r="R163" s="2184" t="e">
        <f>Q163-Paramétrage!D$29</f>
        <v>#DIV/0!</v>
      </c>
      <c r="S163" s="2176" t="e">
        <f>IF(Q163&lt;Paramétrage!D$29, Q163, Paramétrage!D$29)</f>
        <v>#DIV/0!</v>
      </c>
      <c r="T163" s="2186" t="e">
        <f>IF(Q163&lt;Paramétrage!D$29, Paramétrage!H$19+R163*(365/12), Paramétrage!H$19+R163*(365/12))</f>
        <v>#DIV/0!</v>
      </c>
      <c r="U163" s="2187" t="e">
        <f>IF(Q163&lt;Paramétrage!D$29, Paramétrage!H$19+S163*(365/12), Paramétrage!H$19+Q163*(365/12))</f>
        <v>#DIV/0!</v>
      </c>
      <c r="V163" s="2051"/>
      <c r="W163" s="2184" t="str">
        <f>IF(ISERROR(Q163),"", IF(Q163=0, "", IF(Q163&gt;'Calculs Péremption conso'!$CB43, 'Calculs Péremption conso'!$CB43, Q163)))</f>
        <v/>
      </c>
      <c r="X163" s="2188" t="str">
        <f>IF(ISERROR(Q163),"", IF(Q163=0, "", IF(Q163&gt;'Calculs Péremption conso'!$CB43, 'Calculs Péremption conso'!$CB43-Paramétrage!$D$29, R163)))</f>
        <v/>
      </c>
      <c r="Y163" s="2176" t="str">
        <f t="shared" si="29"/>
        <v/>
      </c>
      <c r="Z163" s="2186" t="str">
        <f>IF(ISERROR(Q163),"", IF(Q163=0, "", IF(Q163&gt;'Calculs Péremption conso'!$CB43, 'Calculs Péremption conso'!$BX43-Paramétrage!$D$29*(365/12), T163)))</f>
        <v/>
      </c>
      <c r="AA163" s="2187" t="str">
        <f>IF(ISERROR(Q163),AW163,IF(Q163=0,IF(AND(M163=0,OR(N163&gt;0,O163&gt;0)),AX163,""),IF('Saisie données stocks'!$O$10='TRAD-Saisie données stocks'!$B$51,IF('Calculs Péremption conso'!P43="OK",IF('Calculs Péremption conso'!BV43&gt;0,CONCATENATE('TRAD-Calculs dispo Données FA'!$B$88, " - ",'Calculs Péremption conso'!$BY43,"/",'Calculs Péremption conso'!$BZ43,"/",'Calculs Péremption conso'!$CA43),U163),IF(Q163&gt;'Saisie données stocks'!$N$14,'Calculs Péremption conso'!CC43,U163)),IF(Q163&gt;'Saisie données stocks'!$N$14,'Calculs Péremption conso'!CC43,U163))))</f>
        <v/>
      </c>
      <c r="AB163" s="2051"/>
      <c r="AC163" s="2184" t="e">
        <f>(Calculs!O298)/Calculs!L353</f>
        <v>#DIV/0!</v>
      </c>
      <c r="AD163" s="2184" t="e">
        <f t="shared" si="30"/>
        <v>#DIV/0!</v>
      </c>
      <c r="AE163" s="2176" t="e">
        <f>AC163-Paramétrage!D$29</f>
        <v>#DIV/0!</v>
      </c>
      <c r="AF163" s="2163" t="e">
        <f>IF(AC163&lt;Paramétrage!D$29, AC163, Paramétrage!D$29)</f>
        <v>#DIV/0!</v>
      </c>
      <c r="AG163" s="2186" t="e">
        <f>Paramétrage!H$19+AE163*(365/12)</f>
        <v>#DIV/0!</v>
      </c>
      <c r="AH163" s="2187" t="e">
        <f>IF(AC163&lt;Paramétrage!D$29, Paramétrage!H$19+AF163*(365/12), Paramétrage!H$19+AC163*(365/12))</f>
        <v>#DIV/0!</v>
      </c>
      <c r="AI163" s="2051"/>
      <c r="AJ163" s="2184" t="str">
        <f>IF(ISERROR(AC163),"", IF(AC163=0, "", IF(AC163&gt;'Calculs Péremption FA'!$CB43, 'Calculs Péremption FA'!$CB43, AC163)))</f>
        <v/>
      </c>
      <c r="AK163" s="2188" t="str">
        <f t="shared" si="31"/>
        <v/>
      </c>
      <c r="AL163" s="2176" t="str">
        <f>IF(ISERROR(AC163),"", IF(AC163=0, "", IF(AC163&gt;'Calculs Péremption conso'!$CB43, 'Calculs Péremption conso'!$CB43-Paramétrage!$D$29, AE163)))</f>
        <v/>
      </c>
      <c r="AM163" s="2167" t="str">
        <f>IF(ISERROR(AC163),"", IF(AC163=0, "", IF(AC163&gt;'Calculs Péremption conso'!$CB43, Paramétrage!$D$29, AF163)))</f>
        <v/>
      </c>
      <c r="AN163" s="2186" t="str">
        <f>IF(ISERROR(AC163),"", IF(AC163=0, "", IF(AC163&gt;'Calculs Péremption conso'!$CB43, 'Calculs Péremption conso'!$BX43-Paramétrage!$D$29*(365/12), AG163)))</f>
        <v/>
      </c>
      <c r="AO163" s="2187" t="str">
        <f>IF(ISERROR(AC163),"", IF(AC163=0, "", IF(AC163&gt;'Calculs Péremption conso'!$CB43, CONCATENATE('TRAD-Calculs dispo Données FA'!$B$88, " - ", 'Calculs Péremption conso'!$BY43, "/", 'Calculs Péremption conso'!$BZ43, "/", 'Calculs Péremption conso'!$CA43), AH163)))</f>
        <v/>
      </c>
      <c r="AP163" s="2206"/>
      <c r="AQ163" s="2207"/>
      <c r="AR163" s="2051"/>
      <c r="AS163" s="2061">
        <f>Calculs!$O298</f>
        <v>0</v>
      </c>
      <c r="AT163" s="2062">
        <f>Calculs!$L353</f>
        <v>0</v>
      </c>
      <c r="AU163" s="2068">
        <f>Calculs!$N353</f>
        <v>0</v>
      </c>
      <c r="AV163" s="2070" t="str">
        <f>IF(AND(AU163=0, AS163=0, AT163=0), 'TRAD-Calculs dispo Données FA'!$B$82, "")</f>
        <v>Stock et besoin nul</v>
      </c>
      <c r="AW163" s="2062" t="str">
        <f>IF(AND(AU163=0, AS163&gt;0, AT163=0), CONCATENATE(AS163, 'TRAD-Calculs dispo Données FA'!$B$80," =0"), "")</f>
        <v/>
      </c>
      <c r="AX163" s="2063" t="str">
        <f>IF(AND(AS163=0, OR(AT163&gt;=1, AU163&gt;=1)), 'TRAD-Calculs dispo Données FA'!$B$81, "")</f>
        <v/>
      </c>
      <c r="AY163" s="2051"/>
      <c r="AZ163" s="2051"/>
      <c r="BA163" s="2051"/>
      <c r="BB163" s="2051"/>
      <c r="BC163" s="2051"/>
      <c r="BD163" s="2051"/>
      <c r="BE163" s="2051"/>
      <c r="BF163" s="2051"/>
      <c r="BG163" s="2051"/>
      <c r="BH163" s="2051"/>
      <c r="BI163" s="2051"/>
      <c r="BJ163" s="2051"/>
      <c r="BK163" s="2051"/>
      <c r="BL163" s="2051"/>
      <c r="BM163" s="2051"/>
      <c r="BN163" s="2051"/>
      <c r="BO163" s="2051"/>
      <c r="BP163" s="2051"/>
      <c r="BQ163" s="2051"/>
      <c r="BR163" s="2051"/>
      <c r="BS163" s="2051"/>
      <c r="BT163" s="2051"/>
    </row>
    <row r="164" spans="3:72" s="358" customFormat="1" x14ac:dyDescent="0.2">
      <c r="C164" s="374"/>
      <c r="D164" s="402"/>
      <c r="E164" s="93" t="str">
        <f>'Saisie données stocks'!F56</f>
        <v>DRV</v>
      </c>
      <c r="F164" s="94" t="str">
        <f>'Saisie données stocks'!G56</f>
        <v>Cp</v>
      </c>
      <c r="G164" s="94" t="str">
        <f>'Saisie données stocks'!H56</f>
        <v>300 mg</v>
      </c>
      <c r="H164" s="403" t="str">
        <f>CONCATENATE(E164, " - ", G164," - ", 'TRAD-Calculs dispo Données FA'!$B$79,"/", K164)</f>
        <v>DRV - 300 mg - B/120</v>
      </c>
      <c r="I164" s="117">
        <f>Calculs!K139</f>
        <v>4</v>
      </c>
      <c r="J164" s="399">
        <f t="shared" si="25"/>
        <v>120</v>
      </c>
      <c r="K164" s="117">
        <f>Calculs!J139</f>
        <v>120</v>
      </c>
      <c r="L164" s="400">
        <f t="shared" si="26"/>
        <v>1</v>
      </c>
      <c r="M164" s="1823">
        <f>IF('Saisie données stocks'!$O$10='TRAD-Saisie données stocks'!$B$51, 'Calculs Péremption conso'!BU44, Calculs!M299)+IF('Saisie données stocks'!$M$76='TRAD-Saisie données stocks'!$B$51, Calculs!N299, "0")</f>
        <v>0</v>
      </c>
      <c r="N164" s="1871">
        <f>Calculs!$L$354</f>
        <v>0</v>
      </c>
      <c r="O164" s="1871">
        <f>Calculs!$N$354</f>
        <v>0</v>
      </c>
      <c r="P164"/>
      <c r="Q164" s="2184" t="e">
        <f>IF(Calculs!N354&gt;0, (-(Calculs!N354+2*Calculs!L354)+SQRT((Calculs!N354+2*Calculs!L354)*(Calculs!N354+2*Calculs!L354)+8*Calculs!N354*(M164)))/(2*Calculs!N354), ((M164)/Calculs!L354))</f>
        <v>#DIV/0!</v>
      </c>
      <c r="R164" s="2184" t="e">
        <f>Q164-Paramétrage!D$29</f>
        <v>#DIV/0!</v>
      </c>
      <c r="S164" s="2176" t="e">
        <f>IF(Q164&lt;Paramétrage!D$29, Q164, Paramétrage!D$29)</f>
        <v>#DIV/0!</v>
      </c>
      <c r="T164" s="2186" t="e">
        <f>IF(Q164&lt;Paramétrage!D$29, Paramétrage!H$19+R164*(365/12), Paramétrage!H$19+R164*(365/12))</f>
        <v>#DIV/0!</v>
      </c>
      <c r="U164" s="2187" t="e">
        <f>IF(Q164&lt;Paramétrage!D$29, Paramétrage!H$19+S164*(365/12), Paramétrage!H$19+Q164*(365/12))</f>
        <v>#DIV/0!</v>
      </c>
      <c r="V164" s="2051"/>
      <c r="W164" s="2184" t="str">
        <f>IF(ISERROR(Q164),"", IF(Q164=0, "", IF(Q164&gt;'Calculs Péremption conso'!$CB44, 'Calculs Péremption conso'!$CB44, Q164)))</f>
        <v/>
      </c>
      <c r="X164" s="2188" t="str">
        <f>IF(ISERROR(Q164),"", IF(Q164=0, "", IF(Q164&gt;'Calculs Péremption conso'!$CB44, 'Calculs Péremption conso'!$CB44-Paramétrage!$D$29, R164)))</f>
        <v/>
      </c>
      <c r="Y164" s="2176" t="str">
        <f t="shared" si="29"/>
        <v/>
      </c>
      <c r="Z164" s="2186" t="str">
        <f>IF(ISERROR(Q164),"", IF(Q164=0, "", IF(Q164&gt;'Calculs Péremption conso'!$CB44, 'Calculs Péremption conso'!$BX44-Paramétrage!$D$29*(365/12), T164)))</f>
        <v/>
      </c>
      <c r="AA164" s="2187" t="str">
        <f>IF(ISERROR(Q164),AW164,IF(Q164=0,IF(AND(M164=0,OR(N164&gt;0,O164&gt;0)),AX164,""),IF('Saisie données stocks'!$O$10='TRAD-Saisie données stocks'!$B$51,IF('Calculs Péremption conso'!P44="OK",IF('Calculs Péremption conso'!BV44&gt;0,CONCATENATE('TRAD-Calculs dispo Données FA'!$B$88, " - ",'Calculs Péremption conso'!$BY44,"/",'Calculs Péremption conso'!$BZ44,"/",'Calculs Péremption conso'!$CA44),U164),IF(Q164&gt;'Saisie données stocks'!$N$14,'Calculs Péremption conso'!CC44,U164)),IF(Q164&gt;'Saisie données stocks'!$N$14,'Calculs Péremption conso'!CC44,U164))))</f>
        <v/>
      </c>
      <c r="AB164" s="2051"/>
      <c r="AC164" s="2184" t="e">
        <f>(Calculs!O299)/Calculs!L354</f>
        <v>#DIV/0!</v>
      </c>
      <c r="AD164" s="2184" t="e">
        <f t="shared" si="30"/>
        <v>#DIV/0!</v>
      </c>
      <c r="AE164" s="2176" t="e">
        <f>AC164-Paramétrage!D$29</f>
        <v>#DIV/0!</v>
      </c>
      <c r="AF164" s="2185" t="e">
        <f>IF(AC164&lt;Paramétrage!D$29, AC164, Paramétrage!D$29)</f>
        <v>#DIV/0!</v>
      </c>
      <c r="AG164" s="2186" t="e">
        <f>Paramétrage!H$19+AE164*(365/12)</f>
        <v>#DIV/0!</v>
      </c>
      <c r="AH164" s="2187" t="e">
        <f>IF(AC164&lt;Paramétrage!D$29, Paramétrage!H$19+AF164*(365/12), Paramétrage!H$19+AC164*(365/12))</f>
        <v>#DIV/0!</v>
      </c>
      <c r="AI164" s="2051"/>
      <c r="AJ164" s="2184" t="str">
        <f>IF(ISERROR(AC164),"", IF(AC164=0, "", IF(AC164&gt;'Calculs Péremption FA'!$CB44, 'Calculs Péremption FA'!$CB44, AC164)))</f>
        <v/>
      </c>
      <c r="AK164" s="2188" t="str">
        <f t="shared" si="31"/>
        <v/>
      </c>
      <c r="AL164" s="2176" t="str">
        <f>IF(ISERROR(AC164),"", IF(AC164=0, "", IF(AC164&gt;'Calculs Péremption conso'!$CB44, 'Calculs Péremption conso'!$CB44-Paramétrage!$D$29, AE164)))</f>
        <v/>
      </c>
      <c r="AM164" s="2189" t="str">
        <f>IF(ISERROR(AC164),"", IF(AC164=0, "", IF(AC164&gt;'Calculs Péremption conso'!$CB44, Paramétrage!$D$29, AF164)))</f>
        <v/>
      </c>
      <c r="AN164" s="2186" t="str">
        <f>IF(ISERROR(AC164),"", IF(AC164=0, "", IF(AC164&gt;'Calculs Péremption conso'!$CB44, 'Calculs Péremption conso'!$BX44-Paramétrage!$D$29*(365/12), AG164)))</f>
        <v/>
      </c>
      <c r="AO164" s="2187" t="str">
        <f>IF(ISERROR(AC164),"", IF(AC164=0, "", IF(AC164&gt;'Calculs Péremption conso'!$CB44, CONCATENATE('TRAD-Calculs dispo Données FA'!$B$88, " - ", 'Calculs Péremption conso'!$BY44, "/", 'Calculs Péremption conso'!$BZ44, "/", 'Calculs Péremption conso'!$CA44), AH164)))</f>
        <v/>
      </c>
      <c r="AP164" s="2206"/>
      <c r="AQ164" s="2207"/>
      <c r="AR164" s="2051"/>
      <c r="AS164" s="2061">
        <f>Calculs!$O299</f>
        <v>0</v>
      </c>
      <c r="AT164" s="2062">
        <f>Calculs!$L354</f>
        <v>0</v>
      </c>
      <c r="AU164" s="2068">
        <f>Calculs!$N354</f>
        <v>0</v>
      </c>
      <c r="AV164" s="2070" t="str">
        <f>IF(AND(AU164=0, AS164=0, AT164=0), 'TRAD-Calculs dispo Données FA'!$B$82, "")</f>
        <v>Stock et besoin nul</v>
      </c>
      <c r="AW164" s="2062" t="str">
        <f>IF(AND(AU164=0, AS164&gt;0, AT164=0), CONCATENATE(AS164, 'TRAD-Calculs dispo Données FA'!$B$80," =0"), "")</f>
        <v/>
      </c>
      <c r="AX164" s="2063" t="str">
        <f>IF(AND(AS164=0, OR(AT164&gt;=1, AU164&gt;=1)), 'TRAD-Calculs dispo Données FA'!$B$81, "")</f>
        <v/>
      </c>
      <c r="AY164" s="2051"/>
      <c r="AZ164" s="2051"/>
      <c r="BA164" s="2051"/>
      <c r="BB164" s="2051"/>
      <c r="BC164" s="2051"/>
      <c r="BD164" s="2051"/>
      <c r="BE164" s="2051"/>
      <c r="BF164" s="2051"/>
      <c r="BG164" s="2051"/>
      <c r="BH164" s="2051"/>
      <c r="BI164" s="2051"/>
      <c r="BJ164" s="2051"/>
      <c r="BK164" s="2051"/>
      <c r="BL164" s="2051"/>
      <c r="BM164" s="2051"/>
      <c r="BN164" s="2051"/>
      <c r="BO164" s="2051"/>
      <c r="BP164" s="2051"/>
      <c r="BQ164" s="2051"/>
      <c r="BR164" s="2051"/>
      <c r="BS164" s="2051"/>
      <c r="BT164" s="2051"/>
    </row>
    <row r="165" spans="3:72" s="358" customFormat="1" x14ac:dyDescent="0.2">
      <c r="C165" s="374"/>
      <c r="D165" s="402"/>
      <c r="E165" s="396" t="str">
        <f>'Saisie données stocks'!F57</f>
        <v>SQV</v>
      </c>
      <c r="F165" s="397" t="str">
        <f>'Saisie données stocks'!G57</f>
        <v>Cp</v>
      </c>
      <c r="G165" s="397" t="str">
        <f>'Saisie données stocks'!H57</f>
        <v>500 mg</v>
      </c>
      <c r="H165" s="403" t="str">
        <f>CONCATENATE(E165, " - ", G165," - ", 'TRAD-Calculs dispo Données FA'!$B$79,"/", K165)</f>
        <v>SQV - 500 mg - B/120</v>
      </c>
      <c r="I165" s="399">
        <f>Calculs!K140</f>
        <v>4</v>
      </c>
      <c r="J165" s="399">
        <f t="shared" si="25"/>
        <v>120</v>
      </c>
      <c r="K165" s="117">
        <f>Calculs!J140</f>
        <v>120</v>
      </c>
      <c r="L165" s="400">
        <f t="shared" si="26"/>
        <v>1</v>
      </c>
      <c r="M165" s="1823">
        <f>IF('Saisie données stocks'!$O$10='TRAD-Saisie données stocks'!$B$51, 'Calculs Péremption conso'!BU45, Calculs!M300)+IF('Saisie données stocks'!$M$76='TRAD-Saisie données stocks'!$B$51, Calculs!N300, "0")</f>
        <v>0</v>
      </c>
      <c r="N165" s="1871">
        <f>Calculs!$L$355</f>
        <v>0</v>
      </c>
      <c r="O165" s="1871">
        <f>Calculs!$N$355</f>
        <v>0</v>
      </c>
      <c r="P165"/>
      <c r="Q165" s="2184" t="e">
        <f>IF(Calculs!N355&gt;0, (-(Calculs!N355+2*Calculs!L355)+SQRT((Calculs!N355+2*Calculs!L355)*(Calculs!N355+2*Calculs!L355)+8*Calculs!N355*(M165)))/(2*Calculs!N355), ((M165)/Calculs!L355))</f>
        <v>#DIV/0!</v>
      </c>
      <c r="R165" s="2184" t="e">
        <f>Q165-Paramétrage!D$29</f>
        <v>#DIV/0!</v>
      </c>
      <c r="S165" s="2176" t="e">
        <f>IF(Q165&lt;Paramétrage!D$29, Q165, Paramétrage!D$29)</f>
        <v>#DIV/0!</v>
      </c>
      <c r="T165" s="2186" t="e">
        <f>IF(Q165&lt;Paramétrage!D$29, Paramétrage!H$19+R165*(365/12), Paramétrage!H$19+R165*(365/12))</f>
        <v>#DIV/0!</v>
      </c>
      <c r="U165" s="2187" t="e">
        <f>IF(Q165&lt;Paramétrage!D$29, Paramétrage!H$19+S165*(365/12), Paramétrage!H$19+Q165*(365/12))</f>
        <v>#DIV/0!</v>
      </c>
      <c r="V165" s="2051"/>
      <c r="W165" s="2184" t="str">
        <f>IF(ISERROR(Q165),"", IF(Q165=0, "", IF(Q165&gt;'Calculs Péremption conso'!$CB45, 'Calculs Péremption conso'!$CB45, Q165)))</f>
        <v/>
      </c>
      <c r="X165" s="2188" t="str">
        <f>IF(ISERROR(Q165),"", IF(Q165=0, "", IF(Q165&gt;'Calculs Péremption conso'!$CB45, 'Calculs Péremption conso'!$CB45-Paramétrage!$D$29, R165)))</f>
        <v/>
      </c>
      <c r="Y165" s="2176" t="str">
        <f t="shared" si="29"/>
        <v/>
      </c>
      <c r="Z165" s="2186" t="str">
        <f>IF(ISERROR(Q165),"", IF(Q165=0, "", IF(Q165&gt;'Calculs Péremption conso'!$CB45, 'Calculs Péremption conso'!$BX45-Paramétrage!$D$29*(365/12), T165)))</f>
        <v/>
      </c>
      <c r="AA165" s="2187" t="str">
        <f>IF(ISERROR(Q165),AW165,IF(Q165=0,IF(AND(M165=0,OR(N165&gt;0,O165&gt;0)),AX165,""),IF('Saisie données stocks'!$O$10='TRAD-Saisie données stocks'!$B$51,IF('Calculs Péremption conso'!P45="OK",IF('Calculs Péremption conso'!BV45&gt;0,CONCATENATE('TRAD-Calculs dispo Données FA'!$B$88, " - ",'Calculs Péremption conso'!$BY45,"/",'Calculs Péremption conso'!$BZ45,"/",'Calculs Péremption conso'!$CA45),U165),IF(Q165&gt;'Saisie données stocks'!$N$14,'Calculs Péremption conso'!CC45,U165)),IF(Q165&gt;'Saisie données stocks'!$N$14,'Calculs Péremption conso'!CC45,U165))))</f>
        <v/>
      </c>
      <c r="AB165" s="2051"/>
      <c r="AC165" s="2184" t="e">
        <f>(Calculs!O300)/Calculs!L355</f>
        <v>#DIV/0!</v>
      </c>
      <c r="AD165" s="2184" t="e">
        <f t="shared" si="30"/>
        <v>#DIV/0!</v>
      </c>
      <c r="AE165" s="2176" t="e">
        <f>AC165-Paramétrage!D$29</f>
        <v>#DIV/0!</v>
      </c>
      <c r="AF165" s="2185" t="e">
        <f>IF(AC165&lt;Paramétrage!D$29, AC165, Paramétrage!D$29)</f>
        <v>#DIV/0!</v>
      </c>
      <c r="AG165" s="2186" t="e">
        <f>Paramétrage!H$19+AE165*(365/12)</f>
        <v>#DIV/0!</v>
      </c>
      <c r="AH165" s="2187" t="e">
        <f>IF(AC165&lt;Paramétrage!D$29, Paramétrage!H$19+AF165*(365/12), Paramétrage!H$19+AC165*(365/12))</f>
        <v>#DIV/0!</v>
      </c>
      <c r="AI165" s="2051"/>
      <c r="AJ165" s="2184" t="str">
        <f>IF(ISERROR(AC165),"", IF(AC165=0, "", IF(AC165&gt;'Calculs Péremption FA'!$CB45, 'Calculs Péremption FA'!$CB45, AC165)))</f>
        <v/>
      </c>
      <c r="AK165" s="2188" t="str">
        <f t="shared" si="31"/>
        <v/>
      </c>
      <c r="AL165" s="2176" t="str">
        <f>IF(ISERROR(AC165),"", IF(AC165=0, "", IF(AC165&gt;'Calculs Péremption conso'!$CB45, 'Calculs Péremption conso'!$CB45-Paramétrage!$D$29, AE165)))</f>
        <v/>
      </c>
      <c r="AM165" s="2189" t="str">
        <f>IF(ISERROR(AC165),"", IF(AC165=0, "", IF(AC165&gt;'Calculs Péremption conso'!$CB45, Paramétrage!$D$29, AF165)))</f>
        <v/>
      </c>
      <c r="AN165" s="2186" t="str">
        <f>IF(ISERROR(AC165),"", IF(AC165=0, "", IF(AC165&gt;'Calculs Péremption conso'!$CB45, 'Calculs Péremption conso'!$BX45-Paramétrage!$D$29*(365/12), AG165)))</f>
        <v/>
      </c>
      <c r="AO165" s="2187" t="str">
        <f>IF(ISERROR(AC165),"", IF(AC165=0, "", IF(AC165&gt;'Calculs Péremption conso'!$CB45, CONCATENATE('TRAD-Calculs dispo Données FA'!$B$88, " - ", 'Calculs Péremption conso'!$BY45, "/", 'Calculs Péremption conso'!$BZ45, "/", 'Calculs Péremption conso'!$CA45), AH165)))</f>
        <v/>
      </c>
      <c r="AP165" s="2206"/>
      <c r="AQ165" s="2207"/>
      <c r="AR165" s="2051"/>
      <c r="AS165" s="2061">
        <f>Calculs!$O300</f>
        <v>0</v>
      </c>
      <c r="AT165" s="2062">
        <f>Calculs!$L355</f>
        <v>0</v>
      </c>
      <c r="AU165" s="2068">
        <f>Calculs!$N355</f>
        <v>0</v>
      </c>
      <c r="AV165" s="2070" t="str">
        <f>IF(AND(AU165=0, AS165=0, AT165=0), 'TRAD-Calculs dispo Données FA'!$B$82, "")</f>
        <v>Stock et besoin nul</v>
      </c>
      <c r="AW165" s="2062" t="str">
        <f>IF(AND(AU165=0, AS165&gt;0, AT165=0), CONCATENATE(AS165, 'TRAD-Calculs dispo Données FA'!$B$80," =0"), "")</f>
        <v/>
      </c>
      <c r="AX165" s="2063" t="str">
        <f>IF(AND(AS165=0, OR(AT165&gt;=1, AU165&gt;=1)), 'TRAD-Calculs dispo Données FA'!$B$81, "")</f>
        <v/>
      </c>
      <c r="AY165" s="2051"/>
      <c r="AZ165" s="2051"/>
      <c r="BA165" s="2051"/>
      <c r="BB165" s="2051"/>
      <c r="BC165" s="2051"/>
      <c r="BD165" s="2051"/>
      <c r="BE165" s="2051"/>
      <c r="BF165" s="2051"/>
      <c r="BG165" s="2051"/>
      <c r="BH165" s="2051"/>
      <c r="BI165" s="2051"/>
      <c r="BJ165" s="2051"/>
      <c r="BK165" s="2051"/>
      <c r="BL165" s="2051"/>
      <c r="BM165" s="2051"/>
      <c r="BN165" s="2051"/>
      <c r="BO165" s="2051"/>
      <c r="BP165" s="2051"/>
      <c r="BQ165" s="2051"/>
      <c r="BR165" s="2051"/>
      <c r="BS165" s="2051"/>
      <c r="BT165" s="2051"/>
    </row>
    <row r="166" spans="3:72" s="358" customFormat="1" x14ac:dyDescent="0.2">
      <c r="C166" s="388"/>
      <c r="D166" s="389"/>
      <c r="E166" s="390" t="str">
        <f>'Saisie données stocks'!F58</f>
        <v>RTV</v>
      </c>
      <c r="F166" s="391" t="str">
        <f>'Saisie données stocks'!G58</f>
        <v>Caps</v>
      </c>
      <c r="G166" s="391" t="str">
        <f>'Saisie données stocks'!H58</f>
        <v>100 mg</v>
      </c>
      <c r="H166" s="401" t="str">
        <f>CONCATENATE(E166, " - ", G166," - ", 'TRAD-Calculs dispo Données FA'!$B$79,"/", K166)</f>
        <v>RTV - 100 mg - B/84</v>
      </c>
      <c r="I166" s="394">
        <f>Calculs!K141</f>
        <v>0</v>
      </c>
      <c r="J166" s="394">
        <f t="shared" si="25"/>
        <v>0</v>
      </c>
      <c r="K166" s="116">
        <f>Calculs!J141</f>
        <v>84</v>
      </c>
      <c r="L166" s="395">
        <f t="shared" si="26"/>
        <v>0</v>
      </c>
      <c r="M166" s="1822">
        <f>IF('Saisie données stocks'!$O$10='TRAD-Saisie données stocks'!$B$51, 'Calculs Péremption conso'!BU46, Calculs!M301)+IF('Saisie données stocks'!$M$76='TRAD-Saisie données stocks'!$B$51, Calculs!N301, "0")</f>
        <v>0</v>
      </c>
      <c r="N166" s="1822">
        <f>Calculs!$L$356</f>
        <v>0</v>
      </c>
      <c r="O166" s="1822">
        <f>Calculs!$N$356</f>
        <v>0</v>
      </c>
      <c r="P166"/>
      <c r="Q166" s="2175" t="e">
        <f>IF(Calculs!N356&gt;0, (-(Calculs!N356+2*Calculs!L356)+SQRT((Calculs!N356+2*Calculs!L356)*(Calculs!N356+2*Calculs!L356)+8*Calculs!N356*(M166)))/(2*Calculs!N356), ((M166)/Calculs!L356))</f>
        <v>#DIV/0!</v>
      </c>
      <c r="R166" s="2175" t="e">
        <f>Q166-Paramétrage!D$29</f>
        <v>#DIV/0!</v>
      </c>
      <c r="S166" s="2181" t="e">
        <f>IF(Q166&lt;Paramétrage!D$29, Q166, Paramétrage!D$29)</f>
        <v>#DIV/0!</v>
      </c>
      <c r="T166" s="2178" t="e">
        <f>IF(Q166&lt;Paramétrage!D$29, Paramétrage!H$19+R166*(365/12), Paramétrage!H$19+R166*(365/12))</f>
        <v>#DIV/0!</v>
      </c>
      <c r="U166" s="2179" t="e">
        <f>IF(Q166&lt;Paramétrage!D$29, Paramétrage!H$19+S166*(365/12), Paramétrage!H$19+Q166*(365/12))</f>
        <v>#DIV/0!</v>
      </c>
      <c r="V166" s="2051"/>
      <c r="W166" s="2175" t="str">
        <f>IF(ISERROR(Q166),"", IF(Q166=0, "", IF(Q166&gt;'Calculs Péremption conso'!$CB46, 'Calculs Péremption conso'!$CB46, Q166)))</f>
        <v/>
      </c>
      <c r="X166" s="2180" t="str">
        <f>IF(ISERROR(Q166),"", IF(Q166=0, "", IF(Q166&gt;'Calculs Péremption conso'!$CB46, 'Calculs Péremption conso'!$CB46-Paramétrage!$D$29, R166)))</f>
        <v/>
      </c>
      <c r="Y166" s="2181" t="str">
        <f t="shared" si="29"/>
        <v/>
      </c>
      <c r="Z166" s="2178" t="str">
        <f>IF(ISERROR(Q166),"", IF(Q166=0, "", IF(Q166&gt;'Calculs Péremption conso'!$CB46, 'Calculs Péremption conso'!$BX46-Paramétrage!$D$29*(365/12), T166)))</f>
        <v/>
      </c>
      <c r="AA166" s="2179" t="str">
        <f>IF(ISERROR(Q166),AW166,IF(Q166=0,IF(AND(M166=0,OR(N166&gt;0,O166&gt;0)),AX166,""),IF('Saisie données stocks'!$O$10='TRAD-Saisie données stocks'!$B$51,IF('Calculs Péremption conso'!P46="OK",IF('Calculs Péremption conso'!BV46&gt;0,CONCATENATE('TRAD-Calculs dispo Données FA'!$B$88, " - ",'Calculs Péremption conso'!$BY46,"/",'Calculs Péremption conso'!$BZ46,"/",'Calculs Péremption conso'!$CA46),U166),IF(Q166&gt;'Saisie données stocks'!$N$14,'Calculs Péremption conso'!CC46,U166)),IF(Q166&gt;'Saisie données stocks'!$N$14,'Calculs Péremption conso'!CC46,U166))))</f>
        <v/>
      </c>
      <c r="AB166" s="2051"/>
      <c r="AC166" s="2175" t="e">
        <f>(Calculs!O301)/Calculs!L356</f>
        <v>#DIV/0!</v>
      </c>
      <c r="AD166" s="2175" t="e">
        <f t="shared" si="30"/>
        <v>#DIV/0!</v>
      </c>
      <c r="AE166" s="2181" t="e">
        <f>AC166-Paramétrage!D$29</f>
        <v>#DIV/0!</v>
      </c>
      <c r="AF166" s="2182" t="e">
        <f>IF(AC166&lt;Paramétrage!D$29, AC166, Paramétrage!D$29)</f>
        <v>#DIV/0!</v>
      </c>
      <c r="AG166" s="2178" t="e">
        <f>Paramétrage!H$19+AE166*(365/12)</f>
        <v>#DIV/0!</v>
      </c>
      <c r="AH166" s="2179" t="e">
        <f>IF(AC166&lt;Paramétrage!D$29, Paramétrage!H$19+AF166*(365/12), Paramétrage!H$19+AC166*(365/12))</f>
        <v>#DIV/0!</v>
      </c>
      <c r="AI166" s="2051"/>
      <c r="AJ166" s="2175" t="str">
        <f>IF(ISERROR(AC166),"", IF(AC166=0, "", IF(AC166&gt;'Calculs Péremption FA'!$CB46, 'Calculs Péremption FA'!$CB46, AC166)))</f>
        <v/>
      </c>
      <c r="AK166" s="2180" t="str">
        <f t="shared" si="31"/>
        <v/>
      </c>
      <c r="AL166" s="2181" t="str">
        <f>IF(ISERROR(AC166),"", IF(AC166=0, "", IF(AC166&gt;'Calculs Péremption conso'!$CB46, 'Calculs Péremption conso'!$CB46-Paramétrage!$D$29, AE166)))</f>
        <v/>
      </c>
      <c r="AM166" s="2182" t="str">
        <f>IF(ISERROR(AC166),"", IF(AC166=0, "", IF(AC166&gt;'Calculs Péremption conso'!$CB46, Paramétrage!$D$29, AF166)))</f>
        <v/>
      </c>
      <c r="AN166" s="2178" t="str">
        <f>IF(ISERROR(AC166),"", IF(AC166=0, "", IF(AC166&gt;'Calculs Péremption conso'!$CB46, 'Calculs Péremption conso'!$BX46-Paramétrage!$D$29*(365/12), AG166)))</f>
        <v/>
      </c>
      <c r="AO166" s="2179" t="str">
        <f>IF(ISERROR(AC166),"", IF(AC166=0, "", IF(AC166&gt;'Calculs Péremption conso'!$CB46, CONCATENATE('TRAD-Calculs dispo Données FA'!$B$88, " - ", 'Calculs Péremption conso'!$BY46, "/", 'Calculs Péremption conso'!$BZ46, "/", 'Calculs Péremption conso'!$CA46), AH166)))</f>
        <v/>
      </c>
      <c r="AP166" s="2206"/>
      <c r="AQ166" s="2207"/>
      <c r="AR166" s="2051"/>
      <c r="AS166" s="2061">
        <f>Calculs!$O301</f>
        <v>0</v>
      </c>
      <c r="AT166" s="2062">
        <f>Calculs!$L356</f>
        <v>0</v>
      </c>
      <c r="AU166" s="2068">
        <f>Calculs!$N356</f>
        <v>0</v>
      </c>
      <c r="AV166" s="2070" t="str">
        <f>IF(AND(AU166=0, AS166=0, AT166=0), 'TRAD-Calculs dispo Données FA'!$B$82, "")</f>
        <v>Stock et besoin nul</v>
      </c>
      <c r="AW166" s="2062" t="str">
        <f>IF(AND(AU166=0, AS166&gt;0, AT166=0), CONCATENATE(AS166, 'TRAD-Calculs dispo Données FA'!$B$80," =0"), "")</f>
        <v/>
      </c>
      <c r="AX166" s="2063" t="str">
        <f>IF(AND(AS166=0, OR(AT166&gt;=1, AU166&gt;=1)), 'TRAD-Calculs dispo Données FA'!$B$81, "")</f>
        <v/>
      </c>
      <c r="AY166" s="2051"/>
      <c r="AZ166" s="2051"/>
      <c r="BA166" s="2051"/>
      <c r="BB166" s="2051"/>
      <c r="BC166" s="2051"/>
      <c r="BD166" s="2051"/>
      <c r="BE166" s="2051"/>
      <c r="BF166" s="2051"/>
      <c r="BG166" s="2051"/>
      <c r="BH166" s="2051"/>
      <c r="BI166" s="2051"/>
      <c r="BJ166" s="2051"/>
      <c r="BK166" s="2051"/>
      <c r="BL166" s="2051"/>
      <c r="BM166" s="2051"/>
      <c r="BN166" s="2051"/>
      <c r="BO166" s="2051"/>
      <c r="BP166" s="2051"/>
      <c r="BQ166" s="2051"/>
      <c r="BR166" s="2051"/>
      <c r="BS166" s="2051"/>
      <c r="BT166" s="2051"/>
    </row>
    <row r="167" spans="3:72" s="358" customFormat="1" ht="13.5" thickBot="1" x14ac:dyDescent="0.25">
      <c r="C167" s="374"/>
      <c r="D167" s="375" t="s">
        <v>266</v>
      </c>
      <c r="E167" s="376" t="str">
        <f>'Saisie données stocks'!F59</f>
        <v>RLT = RAL</v>
      </c>
      <c r="F167" s="377" t="str">
        <f>'Saisie données stocks'!G59</f>
        <v>Cp</v>
      </c>
      <c r="G167" s="377" t="str">
        <f>'Saisie données stocks'!H59</f>
        <v>400 mg</v>
      </c>
      <c r="H167" s="378" t="str">
        <f>CONCATENATE(E167, " - ", G167," - ", 'TRAD-Calculs dispo Données FA'!$B$79,"/", K167)</f>
        <v>RLT = RAL - 400 mg - B/60</v>
      </c>
      <c r="I167" s="380">
        <f>Calculs!K142</f>
        <v>2</v>
      </c>
      <c r="J167" s="380">
        <f t="shared" si="25"/>
        <v>60</v>
      </c>
      <c r="K167" s="114">
        <f>Calculs!J142</f>
        <v>60</v>
      </c>
      <c r="L167" s="381">
        <f t="shared" si="26"/>
        <v>1</v>
      </c>
      <c r="M167" s="1820">
        <f>IF('Saisie données stocks'!$O$10='TRAD-Saisie données stocks'!$B$51, 'Calculs Péremption conso'!BU47, Calculs!M302)+IF('Saisie données stocks'!$M$76='TRAD-Saisie données stocks'!$B$51, Calculs!N302, "0")</f>
        <v>0</v>
      </c>
      <c r="N167" s="1820">
        <f>Calculs!$L$357</f>
        <v>0</v>
      </c>
      <c r="O167" s="1820">
        <f>Calculs!$N$357</f>
        <v>0</v>
      </c>
      <c r="P167"/>
      <c r="Q167" s="2161" t="e">
        <f>IF(Calculs!N357&gt;0, (-(Calculs!N357+2*Calculs!L357)+SQRT((Calculs!N357+2*Calculs!L357)*(Calculs!N357+2*Calculs!L357)+8*Calculs!N357*(M167)))/(2*Calculs!N357), ((M167)/Calculs!L357))</f>
        <v>#DIV/0!</v>
      </c>
      <c r="R167" s="2161" t="e">
        <f>Q167-Paramétrage!D$29</f>
        <v>#DIV/0!</v>
      </c>
      <c r="S167" s="2162" t="e">
        <f>IF(Q167&lt;Paramétrage!D$29, Q167, Paramétrage!D$29)</f>
        <v>#DIV/0!</v>
      </c>
      <c r="T167" s="2164" t="e">
        <f>IF(Q167&lt;Paramétrage!D$29, Paramétrage!H$19+R167*(365/12), Paramétrage!H$19+R167*(365/12))</f>
        <v>#DIV/0!</v>
      </c>
      <c r="U167" s="2165" t="e">
        <f>IF(Q167&lt;Paramétrage!D$29, Paramétrage!H$19+S167*(365/12), Paramétrage!H$19+Q167*(365/12))</f>
        <v>#DIV/0!</v>
      </c>
      <c r="V167" s="2051"/>
      <c r="W167" s="2175" t="str">
        <f>IF(ISERROR(Q167),"", IF(Q167=0, "", IF(Q167&gt;'Calculs Péremption conso'!$CB47, 'Calculs Péremption conso'!$CB47, Q167)))</f>
        <v/>
      </c>
      <c r="X167" s="2180" t="str">
        <f>IF(ISERROR(Q167),"", IF(Q167=0, "", IF(Q167&gt;'Calculs Péremption conso'!$CB47, 'Calculs Péremption conso'!$CB47-Paramétrage!$D$29, R167)))</f>
        <v/>
      </c>
      <c r="Y167" s="2181" t="str">
        <f t="shared" si="29"/>
        <v/>
      </c>
      <c r="Z167" s="2164" t="str">
        <f>IF(ISERROR(Q167),"", IF(Q167=0, "", IF(Q167&gt;'Calculs Péremption conso'!$CB47, 'Calculs Péremption conso'!$BX47-Paramétrage!$D$29*(365/12), T167)))</f>
        <v/>
      </c>
      <c r="AA167" s="2165" t="str">
        <f>IF(ISERROR(Q167),AW167,IF(Q167=0,IF(AND(M167=0,OR(N167&gt;0,O167&gt;0)),AX167,""),IF('Saisie données stocks'!$O$10='TRAD-Saisie données stocks'!$B$51,IF('Calculs Péremption conso'!P47="OK",IF('Calculs Péremption conso'!BV47&gt;0,CONCATENATE('TRAD-Calculs dispo Données FA'!$B$88, " - ",'Calculs Péremption conso'!$BY47,"/",'Calculs Péremption conso'!$BZ47,"/",'Calculs Péremption conso'!$CA47),U167),IF(Q167&gt;'Saisie données stocks'!$N$14,'Calculs Péremption conso'!CC47,U167)),IF(Q167&gt;'Saisie données stocks'!$N$14,'Calculs Péremption conso'!CC47,U167))))</f>
        <v/>
      </c>
      <c r="AB167" s="2051"/>
      <c r="AC167" s="2161" t="e">
        <f>(Calculs!O302)/Calculs!L357</f>
        <v>#DIV/0!</v>
      </c>
      <c r="AD167" s="2161" t="e">
        <f t="shared" si="30"/>
        <v>#DIV/0!</v>
      </c>
      <c r="AE167" s="2162" t="e">
        <f>AC167-Paramétrage!D$29</f>
        <v>#DIV/0!</v>
      </c>
      <c r="AF167" s="2163" t="e">
        <f>IF(AC167&lt;Paramétrage!D$29, AC167, Paramétrage!D$29)</f>
        <v>#DIV/0!</v>
      </c>
      <c r="AG167" s="2164" t="e">
        <f>Paramétrage!H$19+AE167*(365/12)</f>
        <v>#DIV/0!</v>
      </c>
      <c r="AH167" s="2165" t="e">
        <f>IF(AC167&lt;Paramétrage!D$29, Paramétrage!H$19+AF167*(365/12), Paramétrage!H$19+AC167*(365/12))</f>
        <v>#DIV/0!</v>
      </c>
      <c r="AI167" s="2051"/>
      <c r="AJ167" s="2175" t="str">
        <f>IF(ISERROR(AC167),"", IF(AC167=0, "", IF(AC167&gt;'Calculs Péremption FA'!$CB47, 'Calculs Péremption FA'!$CB47, AC167)))</f>
        <v/>
      </c>
      <c r="AK167" s="2180" t="str">
        <f t="shared" si="31"/>
        <v/>
      </c>
      <c r="AL167" s="2181" t="str">
        <f>IF(ISERROR(AC167),"", IF(AC167=0, "", IF(AC167&gt;'Calculs Péremption conso'!$CB47, 'Calculs Péremption conso'!$CB47-Paramétrage!$D$29, AE167)))</f>
        <v/>
      </c>
      <c r="AM167" s="2182" t="str">
        <f>IF(ISERROR(AC167),"", IF(AC167=0, "", IF(AC167&gt;'Calculs Péremption conso'!$CB47, Paramétrage!$D$29, AF167)))</f>
        <v/>
      </c>
      <c r="AN167" s="2164" t="str">
        <f>IF(ISERROR(AC167),"", IF(AC167=0, "", IF(AC167&gt;'Calculs Péremption conso'!$CB47, 'Calculs Péremption conso'!$BX47-Paramétrage!$D$29*(365/12), AG167)))</f>
        <v/>
      </c>
      <c r="AO167" s="2165" t="str">
        <f>IF(ISERROR(AC167),"", IF(AC167=0, "", IF(AC167&gt;'Calculs Péremption conso'!$CB47, CONCATENATE('TRAD-Calculs dispo Données FA'!$B$88, " - ", 'Calculs Péremption conso'!$BY47, "/", 'Calculs Péremption conso'!$BZ47, "/", 'Calculs Péremption conso'!$CA47), AH167)))</f>
        <v/>
      </c>
      <c r="AP167" s="2206"/>
      <c r="AQ167" s="2207"/>
      <c r="AR167" s="2051"/>
      <c r="AS167" s="2061">
        <f>Calculs!$O302</f>
        <v>0</v>
      </c>
      <c r="AT167" s="2062">
        <f>Calculs!$L357</f>
        <v>0</v>
      </c>
      <c r="AU167" s="2068">
        <f>Calculs!$N357</f>
        <v>0</v>
      </c>
      <c r="AV167" s="2070" t="str">
        <f>IF(AND(AU167=0, AS167=0, AT167=0), 'TRAD-Calculs dispo Données FA'!$B$82, "")</f>
        <v>Stock et besoin nul</v>
      </c>
      <c r="AW167" s="2062" t="str">
        <f>IF(AND(AU167=0, AS167&gt;0, AT167=0), CONCATENATE(AS167, 'TRAD-Calculs dispo Données FA'!$B$80," =0"), "")</f>
        <v/>
      </c>
      <c r="AX167" s="2063" t="str">
        <f>IF(AND(AS167=0, OR(AT167&gt;=1, AU167&gt;=1)), 'TRAD-Calculs dispo Données FA'!$B$81, "")</f>
        <v/>
      </c>
      <c r="AY167" s="2051"/>
      <c r="AZ167" s="2051"/>
      <c r="BA167" s="2051"/>
      <c r="BB167" s="2051"/>
      <c r="BC167" s="2051"/>
      <c r="BD167" s="2051"/>
      <c r="BE167" s="2051"/>
      <c r="BF167" s="2051"/>
      <c r="BG167" s="2051"/>
      <c r="BH167" s="2051"/>
      <c r="BI167" s="2051"/>
      <c r="BJ167" s="2051"/>
      <c r="BK167" s="2051"/>
      <c r="BL167" s="2051"/>
      <c r="BM167" s="2051"/>
      <c r="BN167" s="2051"/>
      <c r="BO167" s="2051"/>
      <c r="BP167" s="2051"/>
      <c r="BQ167" s="2051"/>
      <c r="BR167" s="2051"/>
      <c r="BS167" s="2051"/>
      <c r="BT167" s="2051"/>
    </row>
    <row r="168" spans="3:72" s="358" customFormat="1" ht="77.25" thickBot="1" x14ac:dyDescent="0.25">
      <c r="C168" s="577" t="str">
        <f>'TRAD-Calculs dispo Données FA'!B9</f>
        <v>Classe forme galénique</v>
      </c>
      <c r="D168" s="576" t="str">
        <f>'TRAD-Calculs dispo Données FA'!B10</f>
        <v>Classe thérapeutique</v>
      </c>
      <c r="E168" s="364" t="str">
        <f>'TRAD-Calculs dispo Données FA'!B11</f>
        <v>Composition</v>
      </c>
      <c r="F168" s="365" t="str">
        <f>'TRAD-Calculs dispo Données FA'!B12</f>
        <v>Forme galénique</v>
      </c>
      <c r="G168" s="365" t="str">
        <f>'TRAD-Calculs dispo Données FA'!B13</f>
        <v>Dosage</v>
      </c>
      <c r="H168" s="365" t="str">
        <f>'TRAD-Calculs dispo Données FA'!B14</f>
        <v>Nom pour représentation graphique</v>
      </c>
      <c r="I168" s="365"/>
      <c r="J168" s="365"/>
      <c r="K168" s="365" t="str">
        <f>'TRAD-Calculs dispo Données FA'!B18</f>
        <v>Volume conditionnement primaire (mL)</v>
      </c>
      <c r="L168" s="327" t="str">
        <f>'TRAD-Calculs dispo Données FA'!B19</f>
        <v>Conditionement secondaire</v>
      </c>
      <c r="M168" s="346" t="str">
        <f>'TRAD-Calculs dispo Données FA'!B21</f>
        <v>Stock disponible UTILISABLE au niveau considéré (nb de boites)</v>
      </c>
      <c r="N168" s="2057" t="str">
        <f>'TRAD-Calculs dispo Données FA'!B33</f>
        <v>Besoin mensuel patients suivis selon méthode</v>
      </c>
      <c r="O168" s="2057" t="str">
        <f>'TRAD-Calculs dispo Données FA'!B34</f>
        <v>Besoin mensuel patients initiés selon méthode</v>
      </c>
      <c r="P168"/>
      <c r="Q168" s="346" t="str">
        <f>'TRAD-Calculs dispo Données FA'!B35</f>
        <v>Nombre de mois de disponibilité de produits</v>
      </c>
      <c r="R168" s="346" t="str">
        <f>'TRAD-Calculs dispo Données FA'!B37</f>
        <v>Nombre de mois de disponibilité de produits hors ST</v>
      </c>
      <c r="S168" s="347" t="str">
        <f>'TRAD-Calculs dispo Données FA'!B38</f>
        <v>Nombre de mois de stock tampon (ST)</v>
      </c>
      <c r="T168" s="348" t="str">
        <f>'TRAD-Calculs dispo Données FA'!B39</f>
        <v>Date d'entrée en stock tampon</v>
      </c>
      <c r="U168" s="349" t="str">
        <f>'TRAD-Calculs dispo Données FA'!B40</f>
        <v>Date de rupture attendue</v>
      </c>
      <c r="V168" s="2051"/>
      <c r="W168" s="346" t="str">
        <f>'TRAD-Calculs dispo Données FA'!B35</f>
        <v>Nombre de mois de disponibilité de produits</v>
      </c>
      <c r="X168" s="346" t="str">
        <f>'TRAD-Calculs dispo Données FA'!B37</f>
        <v>Nombre de mois de disponibilité de produits hors ST</v>
      </c>
      <c r="Y168" s="347" t="str">
        <f>CONCATENATE('TRAD-Calculs dispo Données FA'!$B$85, " (max", " ",  Calculs!$D$486, ")")</f>
        <v>Nombre de mois de stock tampon (max 3 mois)</v>
      </c>
      <c r="Z168" s="348" t="str">
        <f>'TRAD-Calculs dispo Données FA'!B39</f>
        <v>Date d'entrée en stock tampon</v>
      </c>
      <c r="AA168" s="349" t="str">
        <f>'TRAD-Calculs dispo Données FA'!B40</f>
        <v>Date de rupture attendue</v>
      </c>
      <c r="AB168" s="2051"/>
      <c r="AC168" s="346" t="str">
        <f>'TRAD-Calculs dispo Données FA'!B35</f>
        <v>Nombre de mois de disponibilité de produits</v>
      </c>
      <c r="AD168" s="580" t="str">
        <f>'TRAD-Calculs dispo Données FA'!B46</f>
        <v>Gain Nb de mois de disponibilité si arrêt des initiations &amp; switch</v>
      </c>
      <c r="AE168" s="347" t="str">
        <f>'TRAD-Calculs dispo Données FA'!B37</f>
        <v>Nombre de mois de disponibilité de produits hors ST</v>
      </c>
      <c r="AF168" s="424" t="str">
        <f>'TRAD-Calculs dispo Données FA'!B38</f>
        <v>Nombre de mois de stock tampon (ST)</v>
      </c>
      <c r="AG168" s="348" t="str">
        <f>'TRAD-Calculs dispo Données FA'!B39</f>
        <v>Date d'entrée en stock tampon</v>
      </c>
      <c r="AH168" s="349" t="str">
        <f>'TRAD-Calculs dispo Données FA'!B40</f>
        <v>Date de rupture attendue</v>
      </c>
      <c r="AI168" s="2051"/>
      <c r="AJ168" s="346" t="str">
        <f>'TRAD-Calculs dispo Données FA'!B35</f>
        <v>Nombre de mois de disponibilité de produits</v>
      </c>
      <c r="AK168" s="580" t="str">
        <f>'TRAD-Calculs dispo Données FA'!B46</f>
        <v>Gain Nb de mois de disponibilité si arrêt des initiations &amp; switch</v>
      </c>
      <c r="AL168" s="347" t="str">
        <f>'TRAD-Calculs dispo Données FA'!B37</f>
        <v>Nombre de mois de disponibilité de produits hors ST</v>
      </c>
      <c r="AM168" s="424" t="str">
        <f>'TRAD-Calculs dispo Données FA'!B38</f>
        <v>Nombre de mois de stock tampon (ST)</v>
      </c>
      <c r="AN168" s="424" t="str">
        <f>'TRAD-Calculs dispo Données FA'!B39</f>
        <v>Date d'entrée en stock tampon</v>
      </c>
      <c r="AO168" s="349" t="str">
        <f>'TRAD-Calculs dispo Données FA'!B40</f>
        <v>Date de rupture attendue</v>
      </c>
      <c r="AP168" s="2138"/>
      <c r="AQ168" s="2139"/>
      <c r="AR168" s="2051"/>
      <c r="AS168" s="2077" t="str">
        <f>'TRAD-Calculs dispo Données FA'!B48</f>
        <v>Stock</v>
      </c>
      <c r="AT168" s="2078" t="str">
        <f>'TRAD-Calculs dispo Données FA'!B49</f>
        <v>besoin actuel</v>
      </c>
      <c r="AU168" s="2079" t="str">
        <f>'TRAD-Calculs dispo Données FA'!B50</f>
        <v>Progression besoin</v>
      </c>
      <c r="AV168" s="2077" t="str">
        <f>'TRAD-Calculs dispo Données FA'!B51</f>
        <v>Eval</v>
      </c>
      <c r="AW168" s="2078" t="str">
        <f>'TRAD-Calculs dispo Données FA'!B51</f>
        <v>Eval</v>
      </c>
      <c r="AX168" s="2080" t="str">
        <f>'TRAD-Calculs dispo Données FA'!B51</f>
        <v>Eval</v>
      </c>
      <c r="AY168" s="2051"/>
      <c r="AZ168" s="2051"/>
      <c r="BA168" s="2051"/>
      <c r="BB168" s="2051"/>
      <c r="BC168" s="2051"/>
      <c r="BD168" s="2051"/>
      <c r="BE168" s="2051"/>
      <c r="BF168" s="2051"/>
      <c r="BG168" s="2051"/>
      <c r="BH168" s="2051"/>
      <c r="BI168" s="2051"/>
      <c r="BJ168" s="2051"/>
      <c r="BK168" s="2051"/>
      <c r="BL168" s="2051"/>
      <c r="BM168" s="2051"/>
      <c r="BN168" s="2051"/>
      <c r="BO168" s="2051"/>
      <c r="BP168" s="2051"/>
      <c r="BQ168" s="2051"/>
      <c r="BR168" s="2051"/>
      <c r="BS168" s="2051"/>
      <c r="BT168" s="2051"/>
    </row>
    <row r="169" spans="3:72" s="358" customFormat="1" ht="38.25" x14ac:dyDescent="0.2">
      <c r="C169" s="366" t="str">
        <f>'TRAD-Calculs dispo Données FA'!B67</f>
        <v>Solutions Buvables</v>
      </c>
      <c r="D169" s="367" t="s">
        <v>31</v>
      </c>
      <c r="E169" s="376" t="str">
        <f>'Saisie données stocks'!F61</f>
        <v>AZT</v>
      </c>
      <c r="F169" s="377" t="str">
        <f>'Saisie données stocks'!G61</f>
        <v>Sol buv</v>
      </c>
      <c r="G169" s="377" t="str">
        <f>'Saisie données stocks'!H61</f>
        <v>10 mg/mL</v>
      </c>
      <c r="H169" s="87" t="str">
        <f>CONCATENATE(E169, " - ", G169," - ", 'TRAD-Calculs dispo Données FA'!$B$83,"/", K169, "mL")</f>
        <v>AZT - 10 mg/mL - Fl/240mL</v>
      </c>
      <c r="I169" s="370"/>
      <c r="J169" s="370"/>
      <c r="K169" s="113">
        <f>'Saisie données stocks'!L61</f>
        <v>240</v>
      </c>
      <c r="L169" s="300">
        <f>'Saisie données stocks'!M61</f>
        <v>1</v>
      </c>
      <c r="M169" s="1819">
        <f>IF('Saisie données stocks'!$O$10='TRAD-Saisie données stocks'!$B$51, 'Calculs Péremption conso'!BU49, Calculs!M304)+IF('Saisie données stocks'!$M$76='TRAD-Saisie données stocks'!$B$51, Calculs!N304, "0")</f>
        <v>0</v>
      </c>
      <c r="N169" s="1819">
        <f>Calculs!$L$359</f>
        <v>0</v>
      </c>
      <c r="O169" s="1819">
        <f>Calculs!$N$359</f>
        <v>0</v>
      </c>
      <c r="P169"/>
      <c r="Q169" s="2154" t="e">
        <f>IF(Calculs!N359&gt;0, (-(Calculs!N359+2*Calculs!L359)+SQRT((Calculs!N359+2*Calculs!L359)*(Calculs!N359+2*Calculs!L359)+8*Calculs!N359*(M169)))/(2*Calculs!N359), ((M169)/Calculs!L359))</f>
        <v>#DIV/0!</v>
      </c>
      <c r="R169" s="2154" t="e">
        <f>Q169-Paramétrage!D$29</f>
        <v>#DIV/0!</v>
      </c>
      <c r="S169" s="2155" t="e">
        <f>IF(Q169&lt;Paramétrage!D$29, Q169, Paramétrage!D$29)</f>
        <v>#DIV/0!</v>
      </c>
      <c r="T169" s="2157" t="e">
        <f>IF(Q169&lt;Paramétrage!D$29, Paramétrage!H$19+R169*(365/12), Paramétrage!H$19+R169*(365/12))</f>
        <v>#DIV/0!</v>
      </c>
      <c r="U169" s="2158" t="e">
        <f>IF(Q169&lt;Paramétrage!D$29, Paramétrage!H$19+S169*(365/12), Paramétrage!H$19+Q169*(365/12))</f>
        <v>#DIV/0!</v>
      </c>
      <c r="V169" s="2051"/>
      <c r="W169" s="2154" t="str">
        <f>IF(ISERROR(Q169),"", IF(Q169=0, "", IF(Q169&gt;'Calculs Péremption conso'!$CB49, 'Calculs Péremption conso'!$CB49, Q169)))</f>
        <v/>
      </c>
      <c r="X169" s="2159" t="str">
        <f>IF(ISERROR(Q169),"", IF(Q169=0, "", IF(Q169&gt;'Calculs Péremption conso'!$CB49, 'Calculs Péremption conso'!$CB49-Paramétrage!$D$29, R169)))</f>
        <v/>
      </c>
      <c r="Y169" s="2155" t="str">
        <f t="shared" si="29"/>
        <v/>
      </c>
      <c r="Z169" s="2157" t="str">
        <f>IF(ISERROR(Q169),"", IF(Q169=0, "", IF(Q169&gt;'Calculs Péremption conso'!$CB49, 'Calculs Péremption conso'!$BX49-Paramétrage!$D$29*(365/12), T169)))</f>
        <v/>
      </c>
      <c r="AA169" s="2158" t="str">
        <f>IF(ISERROR(Q169),AW169,IF(Q169=0,IF(AND(M169=0,OR(N169&gt;0,O169&gt;0)),AX169,""),IF('Saisie données stocks'!$O$10='TRAD-Saisie données stocks'!$B$51,IF('Calculs Péremption conso'!P49="OK",IF('Calculs Péremption conso'!BV49&gt;0,CONCATENATE('TRAD-Calculs dispo Données FA'!$B$88, " - ",'Calculs Péremption conso'!$BY49,"/",'Calculs Péremption conso'!$BZ49,"/",'Calculs Péremption conso'!$CA49),U169),IF(Q169&gt;'Saisie données stocks'!$N$14,'Calculs Péremption conso'!CC49,U169)),IF(Q169&gt;'Saisie données stocks'!$N$14,'Calculs Péremption conso'!CC49,U169))))</f>
        <v/>
      </c>
      <c r="AB169" s="2051"/>
      <c r="AC169" s="2154" t="e">
        <f>(Calculs!O304)/Calculs!L359</f>
        <v>#DIV/0!</v>
      </c>
      <c r="AD169" s="2154" t="e">
        <f t="shared" ref="AD169" si="32">AC169-Q169</f>
        <v>#DIV/0!</v>
      </c>
      <c r="AE169" s="2155" t="e">
        <f>AC169-Paramétrage!D$29</f>
        <v>#DIV/0!</v>
      </c>
      <c r="AF169" s="2156" t="e">
        <f>IF(AC169&lt;Paramétrage!D$29, AC169, Paramétrage!D$29)</f>
        <v>#DIV/0!</v>
      </c>
      <c r="AG169" s="2157" t="e">
        <f>Paramétrage!H$19+AE169*(365/12)</f>
        <v>#DIV/0!</v>
      </c>
      <c r="AH169" s="2158" t="e">
        <f>IF(AC169&lt;Paramétrage!D$29, Paramétrage!H$19+AF169*(365/12), Paramétrage!H$19+AC169*(365/12))</f>
        <v>#DIV/0!</v>
      </c>
      <c r="AI169" s="2051"/>
      <c r="AJ169" s="2154" t="str">
        <f>IF(ISERROR(AC169),"", IF(AC169=0, "", IF(AC169&gt;'Calculs Péremption FA'!$CB49, 'Calculs Péremption FA'!$CB49, AC169)))</f>
        <v/>
      </c>
      <c r="AK169" s="2159" t="str">
        <f t="shared" ref="AK169" si="33">IF(ISERROR(AD169),"", IF(AD169=0, "", IF(AJ169-W169=0, "0", AJ169-W169)))</f>
        <v/>
      </c>
      <c r="AL169" s="2155" t="str">
        <f>IF(ISERROR(AC169),"", IF(AC169=0, "", IF(AC169&gt;'Calculs Péremption conso'!$CB49, 'Calculs Péremption conso'!$CB49-Paramétrage!$D$29, AE169)))</f>
        <v/>
      </c>
      <c r="AM169" s="2160" t="str">
        <f>IF(ISERROR(AC169),"", IF(AC169=0, "", IF(AC169&gt;'Calculs Péremption conso'!$CB49, Paramétrage!$D$29, AF169)))</f>
        <v/>
      </c>
      <c r="AN169" s="2157" t="str">
        <f>IF(ISERROR(AC169),"", IF(AC169=0, "", IF(AC169&gt;'Calculs Péremption conso'!$CB49, 'Calculs Péremption conso'!$BX49-Paramétrage!$D$29*(365/12), AG169)))</f>
        <v/>
      </c>
      <c r="AO169" s="2158" t="str">
        <f>IF(ISERROR(AC169),"", IF(AC169=0, "", IF(AC169&gt;'Calculs Péremption conso'!$CB49, CONCATENATE('TRAD-Calculs dispo Données FA'!$B$88, " - ", 'Calculs Péremption conso'!$BY49, "/", 'Calculs Péremption conso'!$BZ49, "/", 'Calculs Péremption conso'!$CA49), AH169)))</f>
        <v/>
      </c>
      <c r="AP169" s="2206"/>
      <c r="AQ169" s="2207"/>
      <c r="AR169" s="2051"/>
      <c r="AS169" s="2072">
        <f>Calculs!$O304</f>
        <v>0</v>
      </c>
      <c r="AT169" s="2073">
        <f>Calculs!$L359</f>
        <v>0</v>
      </c>
      <c r="AU169" s="2074">
        <f>Calculs!$N359</f>
        <v>0</v>
      </c>
      <c r="AV169" s="2075" t="str">
        <f>IF(AND(AU169=0, AS169=0, AT169=0), 'TRAD-Calculs dispo Données FA'!$B$82, "")</f>
        <v>Stock et besoin nul</v>
      </c>
      <c r="AW169" s="2073" t="str">
        <f>IF(AND(AU169=0, AS169&gt;0, AT169=0), CONCATENATE(AS169, 'TRAD-Calculs dispo Données FA'!$B$80," =0"), "")</f>
        <v/>
      </c>
      <c r="AX169" s="2076"/>
      <c r="AY169" s="2051"/>
      <c r="AZ169" s="2051"/>
      <c r="BA169" s="2051"/>
      <c r="BB169" s="2051"/>
      <c r="BC169" s="2051"/>
      <c r="BD169" s="2051"/>
      <c r="BE169" s="2051"/>
      <c r="BF169" s="2051"/>
      <c r="BG169" s="2051"/>
      <c r="BH169" s="2051"/>
      <c r="BI169" s="2051"/>
      <c r="BJ169" s="2051"/>
      <c r="BK169" s="2051"/>
      <c r="BL169" s="2051"/>
      <c r="BM169" s="2051"/>
      <c r="BN169" s="2051"/>
      <c r="BO169" s="2051"/>
      <c r="BP169" s="2051"/>
      <c r="BQ169" s="2051"/>
      <c r="BR169" s="2051"/>
      <c r="BS169" s="2051"/>
      <c r="BT169" s="2051"/>
    </row>
    <row r="170" spans="3:72" s="358" customFormat="1" ht="38.25" x14ac:dyDescent="0.2">
      <c r="C170" s="374"/>
      <c r="D170" s="375"/>
      <c r="E170" s="376" t="str">
        <f>'Saisie données stocks'!F62</f>
        <v>D4T</v>
      </c>
      <c r="F170" s="377" t="str">
        <f>'Saisie données stocks'!G62</f>
        <v>Sol buv</v>
      </c>
      <c r="G170" s="377" t="str">
        <f>'Saisie données stocks'!H62</f>
        <v>10 mg/mL</v>
      </c>
      <c r="H170" s="89" t="str">
        <f>CONCATENATE(E170, " - ", G170," - ", 'TRAD-Calculs dispo Données FA'!$B$83,"/", K170, "mL")</f>
        <v>D4T - 10 mg/mL - Fl/240mL</v>
      </c>
      <c r="I170" s="378"/>
      <c r="J170" s="378"/>
      <c r="K170" s="114">
        <f>'Saisie données stocks'!L62</f>
        <v>240</v>
      </c>
      <c r="L170" s="308">
        <f>'Saisie données stocks'!M62</f>
        <v>1</v>
      </c>
      <c r="M170" s="1820">
        <f>IF('Saisie données stocks'!$O$10='TRAD-Saisie données stocks'!$B$51, 'Calculs Péremption conso'!BU50, Calculs!M305)+IF('Saisie données stocks'!$M$76='TRAD-Saisie données stocks'!$B$51, Calculs!N305, "0")</f>
        <v>0</v>
      </c>
      <c r="N170" s="1820">
        <f>Calculs!$L$360</f>
        <v>0</v>
      </c>
      <c r="O170" s="1820">
        <f>Calculs!$N$360</f>
        <v>0</v>
      </c>
      <c r="P170"/>
      <c r="Q170" s="2161" t="e">
        <f>IF(Calculs!N360&gt;0, (-(Calculs!N360+2*Calculs!L360)+SQRT((Calculs!N360+2*Calculs!L360)*(Calculs!N360+2*Calculs!L360)+8*Calculs!N360*(M170)))/(2*Calculs!N360), ((M170)/Calculs!L360))</f>
        <v>#DIV/0!</v>
      </c>
      <c r="R170" s="2161" t="e">
        <f>Q170-Paramétrage!D$29</f>
        <v>#DIV/0!</v>
      </c>
      <c r="S170" s="2162" t="e">
        <f>IF(Q170&lt;Paramétrage!D$29, Q170, Paramétrage!D$29)</f>
        <v>#DIV/0!</v>
      </c>
      <c r="T170" s="2164" t="e">
        <f>IF(Q170&lt;Paramétrage!D$29, Paramétrage!H$19+R170*(365/12), Paramétrage!H$19+R170*(365/12))</f>
        <v>#DIV/0!</v>
      </c>
      <c r="U170" s="2165" t="e">
        <f>IF(Q170&lt;Paramétrage!D$29, Paramétrage!H$19+S170*(365/12), Paramétrage!H$19+Q170*(365/12))</f>
        <v>#DIV/0!</v>
      </c>
      <c r="V170" s="2051"/>
      <c r="W170" s="2161" t="str">
        <f>IF(ISERROR(Q170),"", IF(Q170=0, "", IF(Q170&gt;'Calculs Péremption conso'!$CB50, 'Calculs Péremption conso'!$CB50, Q170)))</f>
        <v/>
      </c>
      <c r="X170" s="2166" t="str">
        <f>IF(ISERROR(Q170),"", IF(Q170=0, "", IF(Q170&gt;'Calculs Péremption conso'!$CB50, 'Calculs Péremption conso'!$CB50-Paramétrage!$D$29, R170)))</f>
        <v/>
      </c>
      <c r="Y170" s="2162" t="str">
        <f t="shared" si="29"/>
        <v/>
      </c>
      <c r="Z170" s="2164" t="str">
        <f>IF(ISERROR(Q170),"", IF(Q170=0, "", IF(Q170&gt;'Calculs Péremption conso'!$CB50, 'Calculs Péremption conso'!$BX50-Paramétrage!$D$29*(365/12), T170)))</f>
        <v/>
      </c>
      <c r="AA170" s="2165" t="str">
        <f>IF(ISERROR(Q170),AW170,IF(Q170=0,IF(AND(M170=0,OR(N170&gt;0,O170&gt;0)),AX170,""),IF('Saisie données stocks'!$O$10='TRAD-Saisie données stocks'!$B$51,IF('Calculs Péremption conso'!P50="OK",IF('Calculs Péremption conso'!BV50&gt;0,CONCATENATE('TRAD-Calculs dispo Données FA'!$B$88, " - ",'Calculs Péremption conso'!$BY50,"/",'Calculs Péremption conso'!$BZ50,"/",'Calculs Péremption conso'!$CA50),U170),IF(Q170&gt;'Saisie données stocks'!$N$14,'Calculs Péremption conso'!CC50,U170)),IF(Q170&gt;'Saisie données stocks'!$N$14,'Calculs Péremption conso'!CC50,U170))))</f>
        <v/>
      </c>
      <c r="AB170" s="2051"/>
      <c r="AC170" s="2161" t="e">
        <f>(Calculs!O305)/Calculs!L360</f>
        <v>#DIV/0!</v>
      </c>
      <c r="AD170" s="2161" t="e">
        <f t="shared" ref="AD170:AD176" si="34">AC170-Q170</f>
        <v>#DIV/0!</v>
      </c>
      <c r="AE170" s="2162" t="e">
        <f>AC170-Paramétrage!D$29</f>
        <v>#DIV/0!</v>
      </c>
      <c r="AF170" s="2163" t="e">
        <f>IF(AC170&lt;Paramétrage!D$29, AC170, Paramétrage!D$29)</f>
        <v>#DIV/0!</v>
      </c>
      <c r="AG170" s="2164" t="e">
        <f>Paramétrage!H$19+AE170*(365/12)</f>
        <v>#DIV/0!</v>
      </c>
      <c r="AH170" s="2165" t="e">
        <f>IF(AC170&lt;Paramétrage!D$29, Paramétrage!H$19+AF170*(365/12), Paramétrage!H$19+AC170*(365/12))</f>
        <v>#DIV/0!</v>
      </c>
      <c r="AI170" s="2051"/>
      <c r="AJ170" s="2161" t="str">
        <f>IF(ISERROR(AC170),"", IF(AC170=0, "", IF(AC170&gt;'Calculs Péremption FA'!$CB50, 'Calculs Péremption FA'!$CB50, AC170)))</f>
        <v/>
      </c>
      <c r="AK170" s="2166" t="str">
        <f t="shared" ref="AK170:AK176" si="35">IF(ISERROR(AD170),"", IF(AD170=0, "", IF(AJ170-W170=0, "0", AJ170-W170)))</f>
        <v/>
      </c>
      <c r="AL170" s="2162" t="str">
        <f>IF(ISERROR(AC170),"", IF(AC170=0, "", IF(AC170&gt;'Calculs Péremption conso'!$CB50, 'Calculs Péremption conso'!$CB50-Paramétrage!$D$29, AE170)))</f>
        <v/>
      </c>
      <c r="AM170" s="2167" t="str">
        <f>IF(ISERROR(AC170),"", IF(AC170=0, "", IF(AC170&gt;'Calculs Péremption conso'!$CB50, Paramétrage!$D$29, AF170)))</f>
        <v/>
      </c>
      <c r="AN170" s="2164" t="str">
        <f>IF(ISERROR(AC170),"", IF(AC170=0, "", IF(AC170&gt;'Calculs Péremption conso'!$CB50, 'Calculs Péremption conso'!$BX50-Paramétrage!$D$29*(365/12), AG170)))</f>
        <v/>
      </c>
      <c r="AO170" s="2165" t="str">
        <f>IF(ISERROR(AC170),"", IF(AC170=0, "", IF(AC170&gt;'Calculs Péremption conso'!$CB50, CONCATENATE('TRAD-Calculs dispo Données FA'!$B$88, " - ", 'Calculs Péremption conso'!$BY50, "/", 'Calculs Péremption conso'!$BZ50, "/", 'Calculs Péremption conso'!$CA50), AH170)))</f>
        <v/>
      </c>
      <c r="AP170" s="2206"/>
      <c r="AQ170" s="2207"/>
      <c r="AR170" s="2051"/>
      <c r="AS170" s="2061">
        <f>Calculs!$O305</f>
        <v>0</v>
      </c>
      <c r="AT170" s="2062">
        <f>Calculs!$L360</f>
        <v>0</v>
      </c>
      <c r="AU170" s="2068">
        <f>Calculs!$N360</f>
        <v>0</v>
      </c>
      <c r="AV170" s="2070" t="str">
        <f>IF(AND(AU170=0, AS170=0, AT170=0), 'TRAD-Calculs dispo Données FA'!$B$82, "")</f>
        <v>Stock et besoin nul</v>
      </c>
      <c r="AW170" s="2062" t="str">
        <f>IF(AND(AU170=0, AS170&gt;0, AT170=0), CONCATENATE(AS170, 'TRAD-Calculs dispo Données FA'!$B$80," =0"), "")</f>
        <v/>
      </c>
      <c r="AX170" s="2063" t="str">
        <f>IF(AND(AS170=0, OR(AT170&gt;=1, AU170&gt;=1)), 'TRAD-Calculs dispo Données FA'!$B$81, "")</f>
        <v/>
      </c>
      <c r="AY170" s="2051"/>
      <c r="AZ170" s="2051"/>
      <c r="BA170" s="2051"/>
      <c r="BB170" s="2051"/>
      <c r="BC170" s="2051"/>
      <c r="BD170" s="2051"/>
      <c r="BE170" s="2051"/>
      <c r="BF170" s="2051"/>
      <c r="BG170" s="2051"/>
      <c r="BH170" s="2051"/>
      <c r="BI170" s="2051"/>
      <c r="BJ170" s="2051"/>
      <c r="BK170" s="2051"/>
      <c r="BL170" s="2051"/>
      <c r="BM170" s="2051"/>
      <c r="BN170" s="2051"/>
      <c r="BO170" s="2051"/>
      <c r="BP170" s="2051"/>
      <c r="BQ170" s="2051"/>
      <c r="BR170" s="2051"/>
      <c r="BS170" s="2051"/>
      <c r="BT170" s="2051"/>
    </row>
    <row r="171" spans="3:72" s="358" customFormat="1" ht="38.25" x14ac:dyDescent="0.2">
      <c r="C171" s="374"/>
      <c r="D171" s="375"/>
      <c r="E171" s="382" t="str">
        <f>'Saisie données stocks'!F63</f>
        <v>3TC</v>
      </c>
      <c r="F171" s="383" t="str">
        <f>'Saisie données stocks'!G63</f>
        <v>Sol buv</v>
      </c>
      <c r="G171" s="383" t="str">
        <f>'Saisie données stocks'!H63</f>
        <v>10 mg/mL</v>
      </c>
      <c r="H171" s="1207" t="str">
        <f>CONCATENATE(E171, " - ", G171," - ", 'TRAD-Calculs dispo Données FA'!$B$83,"/", K171, "mL")</f>
        <v>3TC - 10 mg/mL - Fl/240mL</v>
      </c>
      <c r="I171" s="384"/>
      <c r="J171" s="384"/>
      <c r="K171" s="115">
        <f>'Saisie données stocks'!L63</f>
        <v>240</v>
      </c>
      <c r="L171" s="304">
        <f>'Saisie données stocks'!M63</f>
        <v>1</v>
      </c>
      <c r="M171" s="1821">
        <f>IF('Saisie données stocks'!$O$10='TRAD-Saisie données stocks'!$B$51, 'Calculs Péremption conso'!BU51, Calculs!M306)+IF('Saisie données stocks'!$M$76='TRAD-Saisie données stocks'!$B$51, Calculs!N306, "0")</f>
        <v>0</v>
      </c>
      <c r="N171" s="1870">
        <f>Calculs!$L$361</f>
        <v>0</v>
      </c>
      <c r="O171" s="1870">
        <f>Calculs!$N$361</f>
        <v>0</v>
      </c>
      <c r="P171"/>
      <c r="Q171" s="2168" t="e">
        <f>IF(Calculs!N361&gt;0, (-(Calculs!N361+2*Calculs!L361)+SQRT((Calculs!N361+2*Calculs!L361)*(Calculs!N361+2*Calculs!L361)+8*Calculs!N361*(M171)))/(2*Calculs!N361), ((M171)/Calculs!L361))</f>
        <v>#DIV/0!</v>
      </c>
      <c r="R171" s="2168" t="e">
        <f>Q171-Paramétrage!D$29</f>
        <v>#DIV/0!</v>
      </c>
      <c r="S171" s="2173" t="e">
        <f>IF(Q171&lt;Paramétrage!D$29, Q171, Paramétrage!D$29)</f>
        <v>#DIV/0!</v>
      </c>
      <c r="T171" s="2170" t="e">
        <f>IF(Q171&lt;Paramétrage!D$29, Paramétrage!H$19+R171*(365/12), Paramétrage!H$19+R171*(365/12))</f>
        <v>#DIV/0!</v>
      </c>
      <c r="U171" s="2171" t="e">
        <f>IF(Q171&lt;Paramétrage!D$29, Paramétrage!H$19+S171*(365/12), Paramétrage!H$19+Q171*(365/12))</f>
        <v>#DIV/0!</v>
      </c>
      <c r="V171" s="2051"/>
      <c r="W171" s="2168" t="str">
        <f>IF(ISERROR(Q171),"", IF(Q171=0, "", IF(Q171&gt;'Calculs Péremption conso'!$CB51, 'Calculs Péremption conso'!$CB51, Q171)))</f>
        <v/>
      </c>
      <c r="X171" s="2172" t="str">
        <f>IF(ISERROR(Q171),"", IF(Q171=0, "", IF(Q171&gt;'Calculs Péremption conso'!$CB51, 'Calculs Péremption conso'!$CB51-Paramétrage!$D$29, R171)))</f>
        <v/>
      </c>
      <c r="Y171" s="2173" t="str">
        <f t="shared" si="29"/>
        <v/>
      </c>
      <c r="Z171" s="2170" t="str">
        <f>IF(ISERROR(Q171),"", IF(Q171=0, "", IF(Q171&gt;'Calculs Péremption conso'!$CB51, 'Calculs Péremption conso'!$BX51-Paramétrage!$D$29*(365/12), T171)))</f>
        <v/>
      </c>
      <c r="AA171" s="2171" t="str">
        <f>IF(ISERROR(Q171),AW171,IF(Q171=0,IF(AND(M171=0,OR(N171&gt;0,O171&gt;0)),AX171,""),IF('Saisie données stocks'!$O$10='TRAD-Saisie données stocks'!$B$51,IF('Calculs Péremption conso'!P51="OK",IF('Calculs Péremption conso'!BV51&gt;0,CONCATENATE('TRAD-Calculs dispo Données FA'!$B$88, " - ",'Calculs Péremption conso'!$BY51,"/",'Calculs Péremption conso'!$BZ51,"/",'Calculs Péremption conso'!$CA51),U171),IF(Q171&gt;'Saisie données stocks'!$N$14,'Calculs Péremption conso'!CC51,U171)),IF(Q171&gt;'Saisie données stocks'!$N$14,'Calculs Péremption conso'!CC51,U171))))</f>
        <v/>
      </c>
      <c r="AB171" s="2051"/>
      <c r="AC171" s="2168" t="e">
        <f>(Calculs!O306)/Calculs!L361</f>
        <v>#DIV/0!</v>
      </c>
      <c r="AD171" s="2168" t="e">
        <f t="shared" si="34"/>
        <v>#DIV/0!</v>
      </c>
      <c r="AE171" s="2173" t="e">
        <f>AC171-Paramétrage!D$29</f>
        <v>#DIV/0!</v>
      </c>
      <c r="AF171" s="2169" t="e">
        <f>IF(AC171&lt;Paramétrage!D$29, AC171, Paramétrage!D$29)</f>
        <v>#DIV/0!</v>
      </c>
      <c r="AG171" s="2170" t="e">
        <f>Paramétrage!H$19+AE171*(365/12)</f>
        <v>#DIV/0!</v>
      </c>
      <c r="AH171" s="2171" t="e">
        <f>IF(AC171&lt;Paramétrage!D$29, Paramétrage!H$19+AF171*(365/12), Paramétrage!H$19+AC171*(365/12))</f>
        <v>#DIV/0!</v>
      </c>
      <c r="AI171" s="2051"/>
      <c r="AJ171" s="2168" t="str">
        <f>IF(ISERROR(AC171),"", IF(AC171=0, "", IF(AC171&gt;'Calculs Péremption FA'!$CB51, 'Calculs Péremption FA'!$CB51, AC171)))</f>
        <v/>
      </c>
      <c r="AK171" s="2172" t="str">
        <f t="shared" si="35"/>
        <v/>
      </c>
      <c r="AL171" s="2173" t="str">
        <f>IF(ISERROR(AC171),"", IF(AC171=0, "", IF(AC171&gt;'Calculs Péremption conso'!$CB51, 'Calculs Péremption conso'!$CB51-Paramétrage!$D$29, AE171)))</f>
        <v/>
      </c>
      <c r="AM171" s="2174" t="str">
        <f>IF(ISERROR(AC171),"", IF(AC171=0, "", IF(AC171&gt;'Calculs Péremption conso'!$CB51, Paramétrage!$D$29, AF171)))</f>
        <v/>
      </c>
      <c r="AN171" s="2170" t="str">
        <f>IF(ISERROR(AC171),"", IF(AC171=0, "", IF(AC171&gt;'Calculs Péremption conso'!$CB51, 'Calculs Péremption conso'!$BX51-Paramétrage!$D$29*(365/12), AG171)))</f>
        <v/>
      </c>
      <c r="AO171" s="2171" t="str">
        <f>IF(ISERROR(AC171),"", IF(AC171=0, "", IF(AC171&gt;'Calculs Péremption conso'!$CB51, CONCATENATE('TRAD-Calculs dispo Données FA'!$B$88, " - ", 'Calculs Péremption conso'!$BY51, "/", 'Calculs Péremption conso'!$BZ51, "/", 'Calculs Péremption conso'!$CA51), AH171)))</f>
        <v/>
      </c>
      <c r="AP171" s="2206"/>
      <c r="AQ171" s="2207"/>
      <c r="AR171" s="2051"/>
      <c r="AS171" s="2061">
        <f>Calculs!$O306</f>
        <v>0</v>
      </c>
      <c r="AT171" s="2062">
        <f>Calculs!$L361</f>
        <v>0</v>
      </c>
      <c r="AU171" s="2068">
        <f>Calculs!$N361</f>
        <v>0</v>
      </c>
      <c r="AV171" s="2070" t="str">
        <f>IF(AND(AU171=0, AS171=0, AT171=0), 'TRAD-Calculs dispo Données FA'!$B$82, "")</f>
        <v>Stock et besoin nul</v>
      </c>
      <c r="AW171" s="2062" t="str">
        <f>IF(AND(AU171=0, AS171&gt;0, AT171=0), CONCATENATE(AS171, 'TRAD-Calculs dispo Données FA'!$B$80," =0"), "")</f>
        <v/>
      </c>
      <c r="AX171" s="2063" t="str">
        <f>IF(AND(AS171=0, OR(AT171&gt;=1, AU171&gt;=1)), 'TRAD-Calculs dispo Données FA'!$B$81, "")</f>
        <v/>
      </c>
      <c r="AY171" s="2051"/>
      <c r="AZ171" s="2051"/>
      <c r="BA171" s="2051"/>
      <c r="BB171" s="2051"/>
      <c r="BC171" s="2051"/>
      <c r="BD171" s="2051"/>
      <c r="BE171" s="2051"/>
      <c r="BF171" s="2051"/>
      <c r="BG171" s="2051"/>
      <c r="BH171" s="2051"/>
      <c r="BI171" s="2051"/>
      <c r="BJ171" s="2051"/>
      <c r="BK171" s="2051"/>
      <c r="BL171" s="2051"/>
      <c r="BM171" s="2051"/>
      <c r="BN171" s="2051"/>
      <c r="BO171" s="2051"/>
      <c r="BP171" s="2051"/>
      <c r="BQ171" s="2051"/>
      <c r="BR171" s="2051"/>
      <c r="BS171" s="2051"/>
      <c r="BT171" s="2051"/>
    </row>
    <row r="172" spans="3:72" s="358" customFormat="1" ht="38.25" x14ac:dyDescent="0.2">
      <c r="C172" s="374"/>
      <c r="D172" s="407"/>
      <c r="E172" s="376" t="str">
        <f>'Saisie données stocks'!F64</f>
        <v>ABC</v>
      </c>
      <c r="F172" s="377" t="str">
        <f>'Saisie données stocks'!G64</f>
        <v>Sol buv</v>
      </c>
      <c r="G172" s="377" t="str">
        <f>'Saisie données stocks'!H64</f>
        <v>20 mg/mL</v>
      </c>
      <c r="H172" s="89" t="str">
        <f>CONCATENATE(E172, " - ", G172," - ", 'TRAD-Calculs dispo Données FA'!$B$83,"/", K172, "mL")</f>
        <v>ABC - 20 mg/mL - Fl/240mL</v>
      </c>
      <c r="I172" s="378"/>
      <c r="J172" s="378"/>
      <c r="K172" s="114">
        <f>'Saisie données stocks'!L64</f>
        <v>240</v>
      </c>
      <c r="L172" s="308">
        <f>'Saisie données stocks'!M64</f>
        <v>1</v>
      </c>
      <c r="M172" s="1820">
        <f>IF('Saisie données stocks'!$O$10='TRAD-Saisie données stocks'!$B$51, 'Calculs Péremption conso'!BU52, Calculs!M307)+IF('Saisie données stocks'!$M$76='TRAD-Saisie données stocks'!$B$51, Calculs!N307, "0")</f>
        <v>0</v>
      </c>
      <c r="N172" s="1820">
        <f>Calculs!$L$362</f>
        <v>0</v>
      </c>
      <c r="O172" s="1820">
        <f>Calculs!$N$362</f>
        <v>0</v>
      </c>
      <c r="P172"/>
      <c r="Q172" s="2161" t="e">
        <f>IF(Calculs!N362&gt;0, (-(Calculs!N362+2*Calculs!L362)+SQRT((Calculs!N362+2*Calculs!L362)*(Calculs!N362+2*Calculs!L362)+8*Calculs!N362*(M172)))/(2*Calculs!N362), ((M172)/Calculs!L362))</f>
        <v>#DIV/0!</v>
      </c>
      <c r="R172" s="2161" t="e">
        <f>Q172-Paramétrage!D$29</f>
        <v>#DIV/0!</v>
      </c>
      <c r="S172" s="2162" t="e">
        <f>IF(Q172&lt;Paramétrage!D$29, Q172, Paramétrage!D$29)</f>
        <v>#DIV/0!</v>
      </c>
      <c r="T172" s="2164" t="e">
        <f>IF(Q172&lt;Paramétrage!D$29, Paramétrage!H$19+R172*(365/12), Paramétrage!H$19+R172*(365/12))</f>
        <v>#DIV/0!</v>
      </c>
      <c r="U172" s="2165" t="e">
        <f>IF(Q172&lt;Paramétrage!D$29, Paramétrage!H$19+S172*(365/12), Paramétrage!H$19+Q172*(365/12))</f>
        <v>#DIV/0!</v>
      </c>
      <c r="V172" s="2051"/>
      <c r="W172" s="2161" t="str">
        <f>IF(ISERROR(Q172),"", IF(Q172=0, "", IF(Q172&gt;'Calculs Péremption conso'!$CB52, 'Calculs Péremption conso'!$CB52, Q172)))</f>
        <v/>
      </c>
      <c r="X172" s="2166" t="str">
        <f>IF(ISERROR(Q172),"", IF(Q172=0, "", IF(Q172&gt;'Calculs Péremption conso'!$CB52, 'Calculs Péremption conso'!$CB52-Paramétrage!$D$29, R172)))</f>
        <v/>
      </c>
      <c r="Y172" s="2162" t="str">
        <f t="shared" si="29"/>
        <v/>
      </c>
      <c r="Z172" s="2164" t="str">
        <f>IF(ISERROR(Q172),"", IF(Q172=0, "", IF(Q172&gt;'Calculs Péremption conso'!$CB52, 'Calculs Péremption conso'!$BX52-Paramétrage!$D$29*(365/12), T172)))</f>
        <v/>
      </c>
      <c r="AA172" s="2165" t="str">
        <f>IF(ISERROR(Q172),AW172,IF(Q172=0,IF(AND(M172=0,OR(N172&gt;0,O172&gt;0)),AX172,""),IF('Saisie données stocks'!$O$10='TRAD-Saisie données stocks'!$B$51,IF('Calculs Péremption conso'!P52="OK",IF('Calculs Péremption conso'!BV52&gt;0,CONCATENATE('TRAD-Calculs dispo Données FA'!$B$88, " - ",'Calculs Péremption conso'!$BY52,"/",'Calculs Péremption conso'!$BZ52,"/",'Calculs Péremption conso'!$CA52),U172),IF(Q172&gt;'Saisie données stocks'!$N$14,'Calculs Péremption conso'!CC52,U172)),IF(Q172&gt;'Saisie données stocks'!$N$14,'Calculs Péremption conso'!CC52,U172))))</f>
        <v/>
      </c>
      <c r="AB172" s="2051"/>
      <c r="AC172" s="2161" t="e">
        <f>(Calculs!O307)/Calculs!L362</f>
        <v>#DIV/0!</v>
      </c>
      <c r="AD172" s="2161" t="e">
        <f t="shared" si="34"/>
        <v>#DIV/0!</v>
      </c>
      <c r="AE172" s="2162" t="e">
        <f>AC172-Paramétrage!D$29</f>
        <v>#DIV/0!</v>
      </c>
      <c r="AF172" s="2163" t="e">
        <f>IF(AC172&lt;Paramétrage!D$29, AC172, Paramétrage!D$29)</f>
        <v>#DIV/0!</v>
      </c>
      <c r="AG172" s="2164" t="e">
        <f>Paramétrage!H$19+AE172*(365/12)</f>
        <v>#DIV/0!</v>
      </c>
      <c r="AH172" s="2165" t="e">
        <f>IF(AC172&lt;Paramétrage!D$29, Paramétrage!H$19+AF172*(365/12), Paramétrage!H$19+AC172*(365/12))</f>
        <v>#DIV/0!</v>
      </c>
      <c r="AI172" s="2051"/>
      <c r="AJ172" s="2161" t="str">
        <f>IF(ISERROR(AC172),"", IF(AC172=0, "", IF(AC172&gt;'Calculs Péremption FA'!$CB52, 'Calculs Péremption FA'!$CB52, AC172)))</f>
        <v/>
      </c>
      <c r="AK172" s="2166" t="str">
        <f t="shared" si="35"/>
        <v/>
      </c>
      <c r="AL172" s="2162" t="str">
        <f>IF(ISERROR(AC172),"", IF(AC172=0, "", IF(AC172&gt;'Calculs Péremption conso'!$CB52, 'Calculs Péremption conso'!$CB52-Paramétrage!$D$29, AE172)))</f>
        <v/>
      </c>
      <c r="AM172" s="2167" t="str">
        <f>IF(ISERROR(AC172),"", IF(AC172=0, "", IF(AC172&gt;'Calculs Péremption conso'!$CB52, Paramétrage!$D$29, AF172)))</f>
        <v/>
      </c>
      <c r="AN172" s="2164" t="str">
        <f>IF(ISERROR(AC172),"", IF(AC172=0, "", IF(AC172&gt;'Calculs Péremption conso'!$CB52, 'Calculs Péremption conso'!$BX52-Paramétrage!$D$29*(365/12), AG172)))</f>
        <v/>
      </c>
      <c r="AO172" s="2165" t="str">
        <f>IF(ISERROR(AC172),"", IF(AC172=0, "", IF(AC172&gt;'Calculs Péremption conso'!$CB52, CONCATENATE('TRAD-Calculs dispo Données FA'!$B$88, " - ", 'Calculs Péremption conso'!$BY52, "/", 'Calculs Péremption conso'!$BZ52, "/", 'Calculs Péremption conso'!$CA52), AH172)))</f>
        <v/>
      </c>
      <c r="AP172" s="2206"/>
      <c r="AQ172" s="2207"/>
      <c r="AR172" s="2051"/>
      <c r="AS172" s="2061">
        <f>Calculs!$O307</f>
        <v>0</v>
      </c>
      <c r="AT172" s="2062">
        <f>Calculs!$L362</f>
        <v>0</v>
      </c>
      <c r="AU172" s="2068">
        <f>Calculs!$N362</f>
        <v>0</v>
      </c>
      <c r="AV172" s="2070" t="str">
        <f>IF(AND(AU172=0, AS172=0, AT172=0), 'TRAD-Calculs dispo Données FA'!$B$82, "")</f>
        <v>Stock et besoin nul</v>
      </c>
      <c r="AW172" s="2062" t="str">
        <f>IF(AND(AU172=0, AS172&gt;0, AT172=0), CONCATENATE(AS172, 'TRAD-Calculs dispo Données FA'!$B$80," =0"), "")</f>
        <v/>
      </c>
      <c r="AX172" s="2063" t="str">
        <f>IF(AND(AS172=0, OR(AT172&gt;=1, AU172&gt;=1)), 'TRAD-Calculs dispo Données FA'!$B$81, "")</f>
        <v/>
      </c>
      <c r="AY172" s="2051"/>
      <c r="AZ172" s="2051"/>
      <c r="BA172" s="2051"/>
      <c r="BB172" s="2051"/>
      <c r="BC172" s="2051"/>
      <c r="BD172" s="2051"/>
      <c r="BE172" s="2051"/>
      <c r="BF172" s="2051"/>
      <c r="BG172" s="2051"/>
      <c r="BH172" s="2051"/>
      <c r="BI172" s="2051"/>
      <c r="BJ172" s="2051"/>
      <c r="BK172" s="2051"/>
      <c r="BL172" s="2051"/>
      <c r="BM172" s="2051"/>
      <c r="BN172" s="2051"/>
      <c r="BO172" s="2051"/>
      <c r="BP172" s="2051"/>
      <c r="BQ172" s="2051"/>
      <c r="BR172" s="2051"/>
      <c r="BS172" s="2051"/>
      <c r="BT172" s="2051"/>
    </row>
    <row r="173" spans="3:72" s="358" customFormat="1" ht="25.5" x14ac:dyDescent="0.2">
      <c r="C173" s="374"/>
      <c r="D173" s="389"/>
      <c r="E173" s="390" t="str">
        <f>'Saisie données stocks'!F65</f>
        <v>DDI</v>
      </c>
      <c r="F173" s="391" t="str">
        <f>'Saisie données stocks'!G65</f>
        <v>Poudre buvable</v>
      </c>
      <c r="G173" s="391" t="str">
        <f>'Saisie données stocks'!H65</f>
        <v>2 g</v>
      </c>
      <c r="H173" s="1643" t="str">
        <f>CONCATENATE(E173, " - ", G173," - ", 'TRAD-Calculs dispo Données FA'!$B$83,"/", K173, "mL")</f>
        <v>DDI - 2 g - Fl/200mL</v>
      </c>
      <c r="I173" s="401"/>
      <c r="J173" s="401"/>
      <c r="K173" s="116">
        <f>'Saisie données stocks'!L65</f>
        <v>200</v>
      </c>
      <c r="L173" s="311">
        <f>'Saisie données stocks'!M65</f>
        <v>1</v>
      </c>
      <c r="M173" s="1822">
        <f>IF('Saisie données stocks'!$O$10='TRAD-Saisie données stocks'!$B$51, 'Calculs Péremption conso'!BU53, Calculs!M308)+IF('Saisie données stocks'!$M$76='TRAD-Saisie données stocks'!$B$51, Calculs!N308, "0")</f>
        <v>0</v>
      </c>
      <c r="N173" s="1822">
        <f>Calculs!$L$363</f>
        <v>0</v>
      </c>
      <c r="O173" s="1822">
        <f>Calculs!$N$363</f>
        <v>0</v>
      </c>
      <c r="P173"/>
      <c r="Q173" s="2175" t="e">
        <f>IF(Calculs!N363&gt;0, (-(Calculs!N363+2*Calculs!L363)+SQRT((Calculs!N363+2*Calculs!L363)*(Calculs!N363+2*Calculs!L363)+8*Calculs!N363*(M173)))/(2*Calculs!N363), ((M173)/Calculs!L363))</f>
        <v>#DIV/0!</v>
      </c>
      <c r="R173" s="2175" t="e">
        <f>Q173-Paramétrage!D$29</f>
        <v>#DIV/0!</v>
      </c>
      <c r="S173" s="2181" t="e">
        <f>IF(Q173&lt;Paramétrage!D$29, Q173, Paramétrage!D$29)</f>
        <v>#DIV/0!</v>
      </c>
      <c r="T173" s="2178" t="e">
        <f>IF(Q173&lt;Paramétrage!D$29, Paramétrage!H$19+R173*(365/12), Paramétrage!H$19+R173*(365/12))</f>
        <v>#DIV/0!</v>
      </c>
      <c r="U173" s="2179" t="e">
        <f>IF(Q173&lt;Paramétrage!D$29, Paramétrage!H$19+S173*(365/12), Paramétrage!H$19+Q173*(365/12))</f>
        <v>#DIV/0!</v>
      </c>
      <c r="V173" s="2051"/>
      <c r="W173" s="2175" t="str">
        <f>IF(ISERROR(Q173),"", IF(Q173=0, "", IF(Q173&gt;'Calculs Péremption conso'!$CB53, 'Calculs Péremption conso'!$CB53, Q173)))</f>
        <v/>
      </c>
      <c r="X173" s="2180" t="str">
        <f>IF(ISERROR(Q173),"", IF(Q173=0, "", IF(Q173&gt;'Calculs Péremption conso'!$CB53, 'Calculs Péremption conso'!$CB53-Paramétrage!$D$29, R173)))</f>
        <v/>
      </c>
      <c r="Y173" s="2181" t="str">
        <f t="shared" si="29"/>
        <v/>
      </c>
      <c r="Z173" s="2178" t="str">
        <f>IF(ISERROR(Q173),"", IF(Q173=0, "", IF(Q173&gt;'Calculs Péremption conso'!$CB53, 'Calculs Péremption conso'!$BX53-Paramétrage!$D$29*(365/12), T173)))</f>
        <v/>
      </c>
      <c r="AA173" s="2179" t="str">
        <f>IF(ISERROR(Q173),AW173,IF(Q173=0,IF(AND(M173=0,OR(N173&gt;0,O173&gt;0)),AX173,""),IF('Saisie données stocks'!$O$10='TRAD-Saisie données stocks'!$B$51,IF('Calculs Péremption conso'!P53="OK",IF('Calculs Péremption conso'!BV53&gt;0,CONCATENATE('TRAD-Calculs dispo Données FA'!$B$88, " - ",'Calculs Péremption conso'!$BY53,"/",'Calculs Péremption conso'!$BZ53,"/",'Calculs Péremption conso'!$CA53),U173),IF(Q173&gt;'Saisie données stocks'!$N$14,'Calculs Péremption conso'!CC53,U173)),IF(Q173&gt;'Saisie données stocks'!$N$14,'Calculs Péremption conso'!CC53,U173))))</f>
        <v/>
      </c>
      <c r="AB173" s="2051"/>
      <c r="AC173" s="2175" t="e">
        <f>(Calculs!O308)/Calculs!L363</f>
        <v>#DIV/0!</v>
      </c>
      <c r="AD173" s="2175" t="e">
        <f t="shared" si="34"/>
        <v>#DIV/0!</v>
      </c>
      <c r="AE173" s="2181" t="e">
        <f>AC173-Paramétrage!D$29</f>
        <v>#DIV/0!</v>
      </c>
      <c r="AF173" s="2177" t="e">
        <f>IF(AC173&lt;Paramétrage!D$29, AC173, Paramétrage!D$29)</f>
        <v>#DIV/0!</v>
      </c>
      <c r="AG173" s="2178" t="e">
        <f>Paramétrage!H$19+AE173*(365/12)</f>
        <v>#DIV/0!</v>
      </c>
      <c r="AH173" s="2179" t="e">
        <f>IF(AC173&lt;Paramétrage!D$29, Paramétrage!H$19+AF173*(365/12), Paramétrage!H$19+AC173*(365/12))</f>
        <v>#DIV/0!</v>
      </c>
      <c r="AI173" s="2051"/>
      <c r="AJ173" s="2175" t="str">
        <f>IF(ISERROR(AC173),"", IF(AC173=0, "", IF(AC173&gt;'Calculs Péremption FA'!$CB53, 'Calculs Péremption FA'!$CB53, AC173)))</f>
        <v/>
      </c>
      <c r="AK173" s="2180" t="str">
        <f t="shared" si="35"/>
        <v/>
      </c>
      <c r="AL173" s="2181" t="str">
        <f>IF(ISERROR(AC173),"", IF(AC173=0, "", IF(AC173&gt;'Calculs Péremption conso'!$CB53, 'Calculs Péremption conso'!$CB53-Paramétrage!$D$29, AE173)))</f>
        <v/>
      </c>
      <c r="AM173" s="2182" t="str">
        <f>IF(ISERROR(AC173),"", IF(AC173=0, "", IF(AC173&gt;'Calculs Péremption conso'!$CB53, Paramétrage!$D$29, AF173)))</f>
        <v/>
      </c>
      <c r="AN173" s="2178" t="str">
        <f>IF(ISERROR(AC173),"", IF(AC173=0, "", IF(AC173&gt;'Calculs Péremption conso'!$CB53, 'Calculs Péremption conso'!$BX53-Paramétrage!$D$29*(365/12), AG173)))</f>
        <v/>
      </c>
      <c r="AO173" s="2179" t="str">
        <f>IF(ISERROR(AC173),"", IF(AC173=0, "", IF(AC173&gt;'Calculs Péremption conso'!$CB53, CONCATENATE('TRAD-Calculs dispo Données FA'!$B$88, " - ", 'Calculs Péremption conso'!$BY53, "/", 'Calculs Péremption conso'!$BZ53, "/", 'Calculs Péremption conso'!$CA53), AH173)))</f>
        <v/>
      </c>
      <c r="AP173" s="2206"/>
      <c r="AQ173" s="2207"/>
      <c r="AR173" s="2051"/>
      <c r="AS173" s="2061">
        <f>Calculs!$O308</f>
        <v>0</v>
      </c>
      <c r="AT173" s="2062">
        <f>Calculs!$L363</f>
        <v>0</v>
      </c>
      <c r="AU173" s="2068">
        <f>Calculs!$N363</f>
        <v>0</v>
      </c>
      <c r="AV173" s="2070" t="str">
        <f>IF(AND(AU173=0, AS173=0, AT173=0), 'TRAD-Calculs dispo Données FA'!$B$82, "")</f>
        <v>Stock et besoin nul</v>
      </c>
      <c r="AW173" s="2062" t="str">
        <f>IF(AND(AU173=0, AS173&gt;0, AT173=0), CONCATENATE(AS173, 'TRAD-Calculs dispo Données FA'!$B$80," =0"), "")</f>
        <v/>
      </c>
      <c r="AX173" s="2063" t="str">
        <f>IF(AND(AS173=0, OR(AT173&gt;=1, AU173&gt;=1)), 'TRAD-Calculs dispo Données FA'!$B$81, "")</f>
        <v/>
      </c>
      <c r="AY173" s="2051"/>
      <c r="AZ173" s="2051"/>
      <c r="BA173" s="2051"/>
      <c r="BB173" s="2051"/>
      <c r="BC173" s="2051"/>
      <c r="BD173" s="2051"/>
      <c r="BE173" s="2051"/>
      <c r="BF173" s="2051"/>
      <c r="BG173" s="2051"/>
      <c r="BH173" s="2051"/>
      <c r="BI173" s="2051"/>
      <c r="BJ173" s="2051"/>
      <c r="BK173" s="2051"/>
      <c r="BL173" s="2051"/>
      <c r="BM173" s="2051"/>
      <c r="BN173" s="2051"/>
      <c r="BO173" s="2051"/>
      <c r="BP173" s="2051"/>
      <c r="BQ173" s="2051"/>
      <c r="BR173" s="2051"/>
      <c r="BS173" s="2051"/>
      <c r="BT173" s="2051"/>
    </row>
    <row r="174" spans="3:72" s="358" customFormat="1" ht="38.25" x14ac:dyDescent="0.2">
      <c r="C174" s="374"/>
      <c r="D174" s="375" t="s">
        <v>26</v>
      </c>
      <c r="E174" s="376" t="str">
        <f>'Saisie données stocks'!F66</f>
        <v>NVP</v>
      </c>
      <c r="F174" s="377" t="str">
        <f>'Saisie données stocks'!G66</f>
        <v>Sol buv</v>
      </c>
      <c r="G174" s="377" t="str">
        <f>'Saisie données stocks'!H66</f>
        <v>10 mg/mL</v>
      </c>
      <c r="H174" s="89" t="str">
        <f>CONCATENATE(E174, " - ", G174," - ", 'TRAD-Calculs dispo Données FA'!$B$83,"/", K174, "mL")</f>
        <v>NVP - 10 mg/mL - Fl/240mL</v>
      </c>
      <c r="I174" s="378"/>
      <c r="J174" s="378"/>
      <c r="K174" s="114">
        <f>'Saisie données stocks'!L66</f>
        <v>240</v>
      </c>
      <c r="L174" s="308">
        <f>'Saisie données stocks'!M66</f>
        <v>1</v>
      </c>
      <c r="M174" s="1820">
        <f>IF('Saisie données stocks'!$O$10='TRAD-Saisie données stocks'!$B$51, 'Calculs Péremption conso'!BU54, Calculs!M309)+IF('Saisie données stocks'!$M$76='TRAD-Saisie données stocks'!$B$51, Calculs!N309, "0")</f>
        <v>3990</v>
      </c>
      <c r="N174" s="1820">
        <f>Calculs!$L$364</f>
        <v>830</v>
      </c>
      <c r="O174" s="1820">
        <f>Calculs!$N$364</f>
        <v>0</v>
      </c>
      <c r="P174"/>
      <c r="Q174" s="2161">
        <f>IF(Calculs!N364&gt;0, (-(Calculs!N364+2*Calculs!L364)+SQRT((Calculs!N364+2*Calculs!L364)*(Calculs!N364+2*Calculs!L364)+8*Calculs!N364*(M174)))/(2*Calculs!N364), ((M174)/Calculs!L364))</f>
        <v>4.8072289156626509</v>
      </c>
      <c r="R174" s="2161">
        <f>Q174-Paramétrage!D$29</f>
        <v>1.8072289156626509</v>
      </c>
      <c r="S174" s="2162">
        <f>IF(Q174&lt;Paramétrage!D$29, Q174, Paramétrage!D$29)</f>
        <v>3</v>
      </c>
      <c r="T174" s="2164">
        <f>IF(Q174&lt;Paramétrage!D$29, Paramétrage!H$19+R174*(365/12), Paramétrage!H$19+R174*(365/12))</f>
        <v>41973.969879518074</v>
      </c>
      <c r="U174" s="2165">
        <f>IF(Q174&lt;Paramétrage!D$29, Paramétrage!H$19+S174*(365/12), Paramétrage!H$19+Q174*(365/12))</f>
        <v>42065.219879518074</v>
      </c>
      <c r="V174" s="2051"/>
      <c r="W174" s="2161">
        <f>IF(ISERROR(Q174),"", IF(Q174=0, "", IF(Q174&gt;'Calculs Péremption conso'!$CB54, 'Calculs Péremption conso'!$CB54, Q174)))</f>
        <v>4.8072289156626509</v>
      </c>
      <c r="X174" s="2166">
        <f>IF(ISERROR(Q174),"", IF(Q174=0, "", IF(Q174&gt;'Calculs Péremption conso'!$CB54, 'Calculs Péremption conso'!$CB54-Paramétrage!$D$29, R174)))</f>
        <v>1.8072289156626509</v>
      </c>
      <c r="Y174" s="2162">
        <f t="shared" si="29"/>
        <v>3</v>
      </c>
      <c r="Z174" s="2164">
        <f>IF(ISERROR(Q174),"", IF(Q174=0, "", IF(Q174&gt;'Calculs Péremption conso'!$CB54, 'Calculs Péremption conso'!$BX54-Paramétrage!$D$29*(365/12), T174)))</f>
        <v>41973.969879518074</v>
      </c>
      <c r="AA174" s="2165">
        <f>IF(ISERROR(Q174),AW174,IF(Q174=0,IF(AND(M174=0,OR(N174&gt;0,O174&gt;0)),AX174,""),IF('Saisie données stocks'!$O$10='TRAD-Saisie données stocks'!$B$51,IF('Calculs Péremption conso'!P54="OK",IF('Calculs Péremption conso'!BV54&gt;0,CONCATENATE('TRAD-Calculs dispo Données FA'!$B$88, " - ",'Calculs Péremption conso'!$BY54,"/",'Calculs Péremption conso'!$BZ54,"/",'Calculs Péremption conso'!$CA54),U174),IF(Q174&gt;'Saisie données stocks'!$N$14,'Calculs Péremption conso'!CC54,U174)),IF(Q174&gt;'Saisie données stocks'!$N$14,'Calculs Péremption conso'!CC54,U174))))</f>
        <v>42065.219879518074</v>
      </c>
      <c r="AB174" s="2051"/>
      <c r="AC174" s="2161">
        <f>(Calculs!O309)/Calculs!L364</f>
        <v>4.8072289156626509</v>
      </c>
      <c r="AD174" s="2161">
        <f t="shared" si="34"/>
        <v>0</v>
      </c>
      <c r="AE174" s="2162">
        <f>AC174-Paramétrage!D$29</f>
        <v>1.8072289156626509</v>
      </c>
      <c r="AF174" s="2163">
        <f>IF(AC174&lt;Paramétrage!D$29, AC174, Paramétrage!D$29)</f>
        <v>3</v>
      </c>
      <c r="AG174" s="2164">
        <f>Paramétrage!H$19+AE174*(365/12)</f>
        <v>41973.969879518074</v>
      </c>
      <c r="AH174" s="2165">
        <f>IF(AC174&lt;Paramétrage!D$29, Paramétrage!H$19+AF174*(365/12), Paramétrage!H$19+AC174*(365/12))</f>
        <v>42065.219879518074</v>
      </c>
      <c r="AI174" s="2051"/>
      <c r="AJ174" s="2161">
        <f>IF(ISERROR(AC174),"", IF(AC174=0, "", IF(AC174&gt;'Calculs Péremption FA'!$CB54, 'Calculs Péremption FA'!$CB54, AC174)))</f>
        <v>4.8072289156626509</v>
      </c>
      <c r="AK174" s="2166" t="str">
        <f t="shared" si="35"/>
        <v/>
      </c>
      <c r="AL174" s="2162">
        <f>IF(ISERROR(AC174),"", IF(AC174=0, "", IF(AC174&gt;'Calculs Péremption conso'!$CB54, 'Calculs Péremption conso'!$CB54-Paramétrage!$D$29, AE174)))</f>
        <v>1.8072289156626509</v>
      </c>
      <c r="AM174" s="2167">
        <f>IF(ISERROR(AC174),"", IF(AC174=0, "", IF(AC174&gt;'Calculs Péremption conso'!$CB54, Paramétrage!$D$29, AF174)))</f>
        <v>3</v>
      </c>
      <c r="AN174" s="2164">
        <f>IF(ISERROR(AC174),"", IF(AC174=0, "", IF(AC174&gt;'Calculs Péremption conso'!$CB54, 'Calculs Péremption conso'!$BX54-Paramétrage!$D$29*(365/12), AG174)))</f>
        <v>41973.969879518074</v>
      </c>
      <c r="AO174" s="2165">
        <f>IF(ISERROR(AC174),"", IF(AC174=0, "", IF(AC174&gt;'Calculs Péremption conso'!$CB54, CONCATENATE('TRAD-Calculs dispo Données FA'!$B$88, " - ", 'Calculs Péremption conso'!$BY54, "/", 'Calculs Péremption conso'!$BZ54, "/", 'Calculs Péremption conso'!$CA54), AH174)))</f>
        <v>42065.219879518074</v>
      </c>
      <c r="AP174" s="2206"/>
      <c r="AQ174" s="2207"/>
      <c r="AR174" s="2051"/>
      <c r="AS174" s="2061">
        <f>Calculs!$O309</f>
        <v>3990</v>
      </c>
      <c r="AT174" s="2062">
        <f>Calculs!$L364</f>
        <v>830</v>
      </c>
      <c r="AU174" s="2068">
        <f>Calculs!$N364</f>
        <v>0</v>
      </c>
      <c r="AV174" s="2070" t="str">
        <f>IF(AND(AU174=0, AS174=0, AT174=0), 'TRAD-Calculs dispo Données FA'!$B$82, "")</f>
        <v/>
      </c>
      <c r="AW174" s="2062" t="str">
        <f>IF(AND(AU174=0, AS174&gt;0, AT174=0), CONCATENATE(AS174, 'TRAD-Calculs dispo Données FA'!$B$80," =0"), "")</f>
        <v/>
      </c>
      <c r="AX174" s="2063" t="str">
        <f>IF(AND(AS174=0, OR(AT174&gt;=1, AU174&gt;=1)), 'TRAD-Calculs dispo Données FA'!$B$81, "")</f>
        <v/>
      </c>
      <c r="AY174" s="2051"/>
      <c r="AZ174" s="2051"/>
      <c r="BA174" s="2051"/>
      <c r="BB174" s="2051"/>
      <c r="BC174" s="2051"/>
      <c r="BD174" s="2051"/>
      <c r="BE174" s="2051"/>
      <c r="BF174" s="2051"/>
      <c r="BG174" s="2051"/>
      <c r="BH174" s="2051"/>
      <c r="BI174" s="2051"/>
      <c r="BJ174" s="2051"/>
      <c r="BK174" s="2051"/>
      <c r="BL174" s="2051"/>
      <c r="BM174" s="2051"/>
      <c r="BN174" s="2051"/>
      <c r="BO174" s="2051"/>
      <c r="BP174" s="2051"/>
      <c r="BQ174" s="2051"/>
      <c r="BR174" s="2051"/>
      <c r="BS174" s="2051"/>
      <c r="BT174" s="2051"/>
    </row>
    <row r="175" spans="3:72" s="358" customFormat="1" ht="38.25" x14ac:dyDescent="0.2">
      <c r="C175" s="374"/>
      <c r="D175" s="389"/>
      <c r="E175" s="390" t="str">
        <f>'Saisie données stocks'!F67</f>
        <v>EFV</v>
      </c>
      <c r="F175" s="391" t="str">
        <f>'Saisie données stocks'!G67</f>
        <v>Sol buv</v>
      </c>
      <c r="G175" s="391" t="str">
        <f>'Saisie données stocks'!H67</f>
        <v>30 mg/mL</v>
      </c>
      <c r="H175" s="1643" t="str">
        <f>CONCATENATE(E175, " - ", G175," - ", 'TRAD-Calculs dispo Données FA'!$B$83,"/", K175, "mL")</f>
        <v>EFV - 30 mg/mL - Fl/180mL</v>
      </c>
      <c r="I175" s="401"/>
      <c r="J175" s="401"/>
      <c r="K175" s="116">
        <f>'Saisie données stocks'!L67</f>
        <v>180</v>
      </c>
      <c r="L175" s="311">
        <f>'Saisie données stocks'!M67</f>
        <v>1</v>
      </c>
      <c r="M175" s="1822">
        <f>IF('Saisie données stocks'!$O$10='TRAD-Saisie données stocks'!$B$51, 'Calculs Péremption conso'!BU55, Calculs!M310)+IF('Saisie données stocks'!$M$76='TRAD-Saisie données stocks'!$B$51, Calculs!N310, "0")</f>
        <v>0</v>
      </c>
      <c r="N175" s="1822">
        <f>Calculs!$L$365</f>
        <v>0</v>
      </c>
      <c r="O175" s="1822">
        <f>Calculs!$N$365</f>
        <v>0</v>
      </c>
      <c r="P175"/>
      <c r="Q175" s="2175" t="e">
        <f>IF(Calculs!N365&gt;0, (-(Calculs!N365+2*Calculs!L365)+SQRT((Calculs!N365+2*Calculs!L365)*(Calculs!N365+2*Calculs!L365)+8*Calculs!N365*(M175)))/(2*Calculs!N365), ((M175)/Calculs!L365))</f>
        <v>#DIV/0!</v>
      </c>
      <c r="R175" s="2175" t="e">
        <f>Q175-Paramétrage!D$29</f>
        <v>#DIV/0!</v>
      </c>
      <c r="S175" s="2181" t="e">
        <f>IF(Q175&lt;Paramétrage!D$29, Q175, Paramétrage!D$29)</f>
        <v>#DIV/0!</v>
      </c>
      <c r="T175" s="2178" t="e">
        <f>IF(Q175&lt;Paramétrage!D$29, Paramétrage!H$19+R175*(365/12), Paramétrage!H$19+R175*(365/12))</f>
        <v>#DIV/0!</v>
      </c>
      <c r="U175" s="2179" t="e">
        <f>IF(Q175&lt;Paramétrage!D$29, Paramétrage!H$19+S175*(365/12), Paramétrage!H$19+Q175*(365/12))</f>
        <v>#DIV/0!</v>
      </c>
      <c r="V175" s="2051"/>
      <c r="W175" s="2175" t="str">
        <f>IF(ISERROR(Q175),"", IF(Q175=0, "", IF(Q175&gt;'Calculs Péremption conso'!$CB55, 'Calculs Péremption conso'!$CB55, Q175)))</f>
        <v/>
      </c>
      <c r="X175" s="2180" t="str">
        <f>IF(ISERROR(Q175),"", IF(Q175=0, "", IF(Q175&gt;'Calculs Péremption conso'!$CB55, 'Calculs Péremption conso'!$CB55-Paramétrage!$D$29, R175)))</f>
        <v/>
      </c>
      <c r="Y175" s="2181" t="str">
        <f t="shared" si="29"/>
        <v/>
      </c>
      <c r="Z175" s="2178" t="str">
        <f>IF(ISERROR(Q175),"", IF(Q175=0, "", IF(Q175&gt;'Calculs Péremption conso'!$CB55, 'Calculs Péremption conso'!$BX55-Paramétrage!$D$29*(365/12), T175)))</f>
        <v/>
      </c>
      <c r="AA175" s="2179" t="str">
        <f>IF(ISERROR(Q175),AW175,IF(Q175=0,IF(AND(M175=0,OR(N175&gt;0,O175&gt;0)),AX175,""),IF('Saisie données stocks'!$O$10='TRAD-Saisie données stocks'!$B$51,IF('Calculs Péremption conso'!P55="OK",IF('Calculs Péremption conso'!BV55&gt;0,CONCATENATE('TRAD-Calculs dispo Données FA'!$B$88, " - ",'Calculs Péremption conso'!$BY55,"/",'Calculs Péremption conso'!$BZ55,"/",'Calculs Péremption conso'!$CA55),U175),IF(Q175&gt;'Saisie données stocks'!$N$14,'Calculs Péremption conso'!CC55,U175)),IF(Q175&gt;'Saisie données stocks'!$N$14,'Calculs Péremption conso'!CC55,U175))))</f>
        <v/>
      </c>
      <c r="AB175" s="2051"/>
      <c r="AC175" s="2175" t="e">
        <f>(Calculs!O310)/Calculs!L365</f>
        <v>#DIV/0!</v>
      </c>
      <c r="AD175" s="2175" t="e">
        <f t="shared" si="34"/>
        <v>#DIV/0!</v>
      </c>
      <c r="AE175" s="2181" t="e">
        <f>AC175-Paramétrage!D$29</f>
        <v>#DIV/0!</v>
      </c>
      <c r="AF175" s="2177" t="e">
        <f>IF(AC175&lt;Paramétrage!D$29, AC175, Paramétrage!D$29)</f>
        <v>#DIV/0!</v>
      </c>
      <c r="AG175" s="2178" t="e">
        <f>Paramétrage!H$19+AE175*(365/12)</f>
        <v>#DIV/0!</v>
      </c>
      <c r="AH175" s="2179" t="e">
        <f>IF(AC175&lt;Paramétrage!D$29, Paramétrage!H$19+AF175*(365/12), Paramétrage!H$19+AC175*(365/12))</f>
        <v>#DIV/0!</v>
      </c>
      <c r="AI175" s="2051"/>
      <c r="AJ175" s="2175" t="str">
        <f>IF(ISERROR(AC175),"", IF(AC175=0, "", IF(AC175&gt;'Calculs Péremption FA'!$CB55, 'Calculs Péremption FA'!$CB55, AC175)))</f>
        <v/>
      </c>
      <c r="AK175" s="2180" t="str">
        <f t="shared" si="35"/>
        <v/>
      </c>
      <c r="AL175" s="2181" t="str">
        <f>IF(ISERROR(AC175),"", IF(AC175=0, "", IF(AC175&gt;'Calculs Péremption conso'!$CB55, 'Calculs Péremption conso'!$CB55-Paramétrage!$D$29, AE175)))</f>
        <v/>
      </c>
      <c r="AM175" s="2182" t="str">
        <f>IF(ISERROR(AC175),"", IF(AC175=0, "", IF(AC175&gt;'Calculs Péremption conso'!$CB55, Paramétrage!$D$29, AF175)))</f>
        <v/>
      </c>
      <c r="AN175" s="2178" t="str">
        <f>IF(ISERROR(AC175),"", IF(AC175=0, "", IF(AC175&gt;'Calculs Péremption conso'!$CB55, 'Calculs Péremption conso'!$BX55-Paramétrage!$D$29*(365/12), AG175)))</f>
        <v/>
      </c>
      <c r="AO175" s="2179" t="str">
        <f>IF(ISERROR(AC175),"", IF(AC175=0, "", IF(AC175&gt;'Calculs Péremption conso'!$CB55, CONCATENATE('TRAD-Calculs dispo Données FA'!$B$88, " - ", 'Calculs Péremption conso'!$BY55, "/", 'Calculs Péremption conso'!$BZ55, "/", 'Calculs Péremption conso'!$CA55), AH175)))</f>
        <v/>
      </c>
      <c r="AP175" s="2206"/>
      <c r="AQ175" s="2207"/>
      <c r="AR175" s="2051"/>
      <c r="AS175" s="2061">
        <f>Calculs!$O310</f>
        <v>0</v>
      </c>
      <c r="AT175" s="2062">
        <f>Calculs!$L365</f>
        <v>0</v>
      </c>
      <c r="AU175" s="2068">
        <f>Calculs!$N365</f>
        <v>0</v>
      </c>
      <c r="AV175" s="2070" t="str">
        <f>IF(AND(AU175=0, AS175=0, AT175=0), 'TRAD-Calculs dispo Données FA'!$B$82, "")</f>
        <v>Stock et besoin nul</v>
      </c>
      <c r="AW175" s="2062" t="str">
        <f>IF(AND(AU175=0, AS175&gt;0, AT175=0), CONCATENATE(AS175, 'TRAD-Calculs dispo Données FA'!$B$80," =0"), "")</f>
        <v/>
      </c>
      <c r="AX175" s="2063" t="str">
        <f>IF(AND(AS175=0, OR(AT175&gt;=1, AU175&gt;=1)), 'TRAD-Calculs dispo Données FA'!$B$81, "")</f>
        <v/>
      </c>
      <c r="AY175" s="2051"/>
      <c r="AZ175" s="2051"/>
      <c r="BA175" s="2051"/>
      <c r="BB175" s="2051"/>
      <c r="BC175" s="2051"/>
      <c r="BD175" s="2051"/>
      <c r="BE175" s="2051"/>
      <c r="BF175" s="2051"/>
      <c r="BG175" s="2051"/>
      <c r="BH175" s="2051"/>
      <c r="BI175" s="2051"/>
      <c r="BJ175" s="2051"/>
      <c r="BK175" s="2051"/>
      <c r="BL175" s="2051"/>
      <c r="BM175" s="2051"/>
      <c r="BN175" s="2051"/>
      <c r="BO175" s="2051"/>
      <c r="BP175" s="2051"/>
      <c r="BQ175" s="2051"/>
      <c r="BR175" s="2051"/>
      <c r="BS175" s="2051"/>
      <c r="BT175" s="2051"/>
    </row>
    <row r="176" spans="3:72" s="358" customFormat="1" ht="51.75" thickBot="1" x14ac:dyDescent="0.25">
      <c r="C176" s="404"/>
      <c r="D176" s="408" t="s">
        <v>41</v>
      </c>
      <c r="E176" s="409" t="str">
        <f>'Saisie données stocks'!F68</f>
        <v>LPV/r</v>
      </c>
      <c r="F176" s="410" t="str">
        <f>'Saisie données stocks'!G68</f>
        <v>Sol buv</v>
      </c>
      <c r="G176" s="410" t="str">
        <f>'Saisie données stocks'!H68</f>
        <v>80/20 mg/mL</v>
      </c>
      <c r="H176" s="107" t="str">
        <f>CONCATENATE(E176, " - ", G176," - ", 'TRAD-Calculs dispo Données FA'!$B$83,"/", K176, "mL")</f>
        <v>LPV/r - 80/20 mg/mL - Fl/60mL</v>
      </c>
      <c r="I176" s="411"/>
      <c r="J176" s="411"/>
      <c r="K176" s="312">
        <f>'Saisie données stocks'!L68</f>
        <v>60</v>
      </c>
      <c r="L176" s="313">
        <f>'Saisie données stocks'!M68</f>
        <v>4</v>
      </c>
      <c r="M176" s="1825">
        <f>IF('Saisie données stocks'!$O$10='TRAD-Saisie données stocks'!$B$51, 'Calculs Péremption conso'!BU56, Calculs!M311)+IF('Saisie données stocks'!$M$76='TRAD-Saisie données stocks'!$B$51, Calculs!N311, "0")</f>
        <v>0</v>
      </c>
      <c r="N176" s="1825">
        <f>Calculs!$L$366</f>
        <v>61</v>
      </c>
      <c r="O176" s="1825">
        <f>Calculs!$N$366</f>
        <v>0</v>
      </c>
      <c r="P176"/>
      <c r="Q176" s="2198">
        <f>IF(Calculs!N366&gt;0, (-(Calculs!N366+2*Calculs!L366)+SQRT((Calculs!N366+2*Calculs!L366)*(Calculs!N366+2*Calculs!L366)+8*Calculs!N366*(M176)))/(2*Calculs!N366), ((M176)/Calculs!L366))</f>
        <v>0</v>
      </c>
      <c r="R176" s="2198">
        <f>Q176-Paramétrage!D$29</f>
        <v>-3</v>
      </c>
      <c r="S176" s="2199">
        <f>IF(Q176&lt;Paramétrage!D$29, Q176, Paramétrage!D$29)</f>
        <v>0</v>
      </c>
      <c r="T176" s="2201">
        <f>IF(Q176&lt;Paramétrage!D$29, Paramétrage!H$19+R176*(365/12), Paramétrage!H$19+R176*(365/12))</f>
        <v>41827.75</v>
      </c>
      <c r="U176" s="2202">
        <f>IF(Q176&lt;Paramétrage!D$29, Paramétrage!H$19+S176*(365/12), Paramétrage!H$19+Q176*(365/12))</f>
        <v>41919</v>
      </c>
      <c r="V176" s="2051"/>
      <c r="W176" s="2198" t="str">
        <f>IF(ISERROR(Q176),"", IF(Q176=0, "", IF(Q176&gt;'Calculs Péremption conso'!$CB56, 'Calculs Péremption conso'!$CB56, Q176)))</f>
        <v/>
      </c>
      <c r="X176" s="2203" t="str">
        <f>IF(ISERROR(Q176),"", IF(Q176=0, "", IF(Q176&gt;'Calculs Péremption conso'!$CB56, 'Calculs Péremption conso'!$CB56-Paramétrage!$D$29, R176)))</f>
        <v/>
      </c>
      <c r="Y176" s="2199" t="str">
        <f t="shared" si="29"/>
        <v/>
      </c>
      <c r="Z176" s="2201" t="str">
        <f>IF(ISERROR(Q176),"", IF(Q176=0, "", IF(Q176&gt;'Calculs Péremption conso'!$CB56, 'Calculs Péremption conso'!$BX56-Paramétrage!$D$29*(365/12), T176)))</f>
        <v/>
      </c>
      <c r="AA176" s="2202" t="str">
        <f>IF(ISERROR(Q176),AW176,IF(Q176=0,IF(AND(M176=0,OR(N176&gt;0,O176&gt;0)),AX176,""),IF('Saisie données stocks'!$O$10='TRAD-Saisie données stocks'!$B$51,IF('Calculs Péremption conso'!P56="OK",IF('Calculs Péremption conso'!BV56&gt;0,CONCATENATE('TRAD-Calculs dispo Données FA'!$B$88, " - ",'Calculs Péremption conso'!$BY56,"/",'Calculs Péremption conso'!$BZ56,"/",'Calculs Péremption conso'!$CA56),U176),IF(Q176&gt;'Saisie données stocks'!$N$14,'Calculs Péremption conso'!CC56,U176)),IF(Q176&gt;'Saisie données stocks'!$N$14,'Calculs Péremption conso'!CC56,U176))))</f>
        <v>RUPTURE</v>
      </c>
      <c r="AB176" s="2051"/>
      <c r="AC176" s="2198">
        <f>(Calculs!O311)/Calculs!L366</f>
        <v>0</v>
      </c>
      <c r="AD176" s="2198">
        <f t="shared" si="34"/>
        <v>0</v>
      </c>
      <c r="AE176" s="2199">
        <f>AC176-Paramétrage!D$29</f>
        <v>-3</v>
      </c>
      <c r="AF176" s="2200">
        <f>IF(AC176&lt;Paramétrage!D$29, AC176, Paramétrage!D$29)</f>
        <v>0</v>
      </c>
      <c r="AG176" s="2201">
        <f>Paramétrage!H$19+AE176*(365/12)</f>
        <v>41827.75</v>
      </c>
      <c r="AH176" s="2202">
        <f>IF(AC176&lt;Paramétrage!D$29, Paramétrage!H$19+AF176*(365/12), Paramétrage!H$19+AC176*(365/12))</f>
        <v>41919</v>
      </c>
      <c r="AI176" s="2051"/>
      <c r="AJ176" s="2198" t="str">
        <f>IF(ISERROR(AC176),"", IF(AC176=0, "", IF(AC176&gt;'Calculs Péremption FA'!$CB56, 'Calculs Péremption FA'!$CB56, AC176)))</f>
        <v/>
      </c>
      <c r="AK176" s="2203" t="str">
        <f t="shared" si="35"/>
        <v/>
      </c>
      <c r="AL176" s="2199" t="str">
        <f>IF(ISERROR(AC176),"", IF(AC176=0, "", IF(AC176&gt;'Calculs Péremption conso'!$CB56, 'Calculs Péremption conso'!$CB56-Paramétrage!$D$29, AE176)))</f>
        <v/>
      </c>
      <c r="AM176" s="2204" t="str">
        <f>IF(ISERROR(AC176),"", IF(AC176=0, "", IF(AC176&gt;'Calculs Péremption conso'!$CB56, Paramétrage!$D$29, AF176)))</f>
        <v/>
      </c>
      <c r="AN176" s="2201" t="str">
        <f>IF(ISERROR(AC176),"", IF(AC176=0, "", IF(AC176&gt;'Calculs Péremption conso'!$CB56, 'Calculs Péremption conso'!$BX56-Paramétrage!$D$29*(365/12), AG176)))</f>
        <v/>
      </c>
      <c r="AO176" s="2202" t="str">
        <f>IF(ISERROR(AC176),"", IF(AC176=0, "", IF(AC176&gt;'Calculs Péremption conso'!$CB56, CONCATENATE('TRAD-Calculs dispo Données FA'!$B$88, " - ", 'Calculs Péremption conso'!$BY56, "/", 'Calculs Péremption conso'!$BZ56, "/", 'Calculs Péremption conso'!$CA56), AH176)))</f>
        <v/>
      </c>
      <c r="AP176" s="2206"/>
      <c r="AQ176" s="2207"/>
      <c r="AR176" s="2051"/>
      <c r="AS176" s="2064">
        <f>Calculs!$O311</f>
        <v>0</v>
      </c>
      <c r="AT176" s="2065">
        <f>Calculs!$L366</f>
        <v>61</v>
      </c>
      <c r="AU176" s="2069">
        <f>Calculs!$N366</f>
        <v>0</v>
      </c>
      <c r="AV176" s="2071" t="str">
        <f>IF(AND(AU176=0, AS176=0, AT176=0), 'TRAD-Calculs dispo Données FA'!$B$82, "")</f>
        <v/>
      </c>
      <c r="AW176" s="2065" t="str">
        <f>IF(AND(AU176=0, AS176&gt;0, AT176=0), CONCATENATE(AS176, 'TRAD-Calculs dispo Données FA'!$B$80," =0"), "")</f>
        <v/>
      </c>
      <c r="AX176" s="2066" t="str">
        <f>IF(AND(AS176=0, OR(AT176&gt;=1, AU176&gt;=1)), 'TRAD-Calculs dispo Données FA'!$B$81, "")</f>
        <v>RUPTURE</v>
      </c>
      <c r="AY176" s="2051"/>
      <c r="AZ176" s="2051"/>
      <c r="BA176" s="2051"/>
      <c r="BB176" s="2051"/>
      <c r="BC176" s="2051"/>
      <c r="BD176" s="2051"/>
      <c r="BE176" s="2051"/>
      <c r="BF176" s="2051"/>
      <c r="BG176" s="2051"/>
      <c r="BH176" s="2051"/>
      <c r="BI176" s="2051"/>
      <c r="BJ176" s="2051"/>
      <c r="BK176" s="2051"/>
      <c r="BL176" s="2051"/>
      <c r="BM176" s="2051"/>
      <c r="BN176" s="2051"/>
      <c r="BO176" s="2051"/>
      <c r="BP176" s="2051"/>
      <c r="BQ176" s="2051"/>
      <c r="BR176" s="2051"/>
      <c r="BS176" s="2051"/>
      <c r="BT176" s="2051"/>
    </row>
    <row r="177" spans="2:79" s="356" customFormat="1" x14ac:dyDescent="0.2">
      <c r="M177" s="355"/>
      <c r="N177" s="355"/>
      <c r="O177" s="355"/>
      <c r="P177"/>
      <c r="Q177" s="2142"/>
      <c r="R177" s="578"/>
      <c r="S177" s="578"/>
      <c r="T177" s="2143"/>
      <c r="U177" s="2150"/>
      <c r="V177" s="578"/>
      <c r="W177" s="578"/>
      <c r="X177" s="578"/>
      <c r="Y177" s="578"/>
      <c r="Z177" s="578"/>
      <c r="AA177" s="578"/>
      <c r="AB177" s="578"/>
      <c r="AC177" s="578"/>
      <c r="AD177" s="578"/>
      <c r="AE177" s="578"/>
      <c r="AF177" s="2143"/>
      <c r="AG177" s="2150"/>
      <c r="AH177" s="578"/>
      <c r="AI177" s="578"/>
      <c r="AJ177" s="578"/>
      <c r="AK177" s="2144"/>
      <c r="AL177" s="578"/>
      <c r="AM177" s="578"/>
      <c r="AN177" s="578"/>
      <c r="AO177" s="578"/>
      <c r="AP177" s="2205"/>
      <c r="AQ177" s="2205"/>
      <c r="AR177" s="578"/>
      <c r="AS177" s="578"/>
      <c r="AT177" s="578"/>
      <c r="AU177" s="578"/>
      <c r="AV177" s="578"/>
      <c r="AW177" s="578"/>
      <c r="AX177" s="578"/>
      <c r="AY177" s="578"/>
      <c r="AZ177" s="578"/>
      <c r="BA177" s="578"/>
      <c r="BB177" s="578"/>
      <c r="BC177" s="578"/>
      <c r="BD177" s="578"/>
      <c r="BE177" s="578"/>
      <c r="BF177" s="578"/>
      <c r="BG177" s="578"/>
      <c r="BH177" s="578"/>
      <c r="BI177" s="578"/>
      <c r="BJ177" s="578"/>
      <c r="BK177" s="578"/>
      <c r="BL177" s="578"/>
      <c r="BM177" s="578"/>
      <c r="BN177" s="578"/>
      <c r="BO177" s="578"/>
      <c r="BP177" s="578"/>
      <c r="BQ177" s="578"/>
      <c r="BR177" s="578"/>
      <c r="BS177" s="578"/>
      <c r="BT177" s="578"/>
    </row>
    <row r="178" spans="2:79" s="358" customFormat="1" x14ac:dyDescent="0.2">
      <c r="C178" s="412"/>
      <c r="D178" s="413"/>
      <c r="E178" s="414"/>
      <c r="F178" s="415"/>
      <c r="G178" s="415"/>
      <c r="H178" s="416"/>
      <c r="I178" s="416"/>
      <c r="J178" s="416"/>
      <c r="K178" s="417"/>
      <c r="L178" s="418"/>
      <c r="P178"/>
      <c r="Q178" s="2051"/>
      <c r="R178" s="2051"/>
      <c r="S178" s="2051"/>
      <c r="T178" s="2150"/>
      <c r="U178" s="2150"/>
      <c r="V178" s="2051"/>
      <c r="W178" s="2051"/>
      <c r="X178" s="2051"/>
      <c r="Y178" s="2051"/>
      <c r="Z178" s="2051"/>
      <c r="AA178" s="2051"/>
      <c r="AB178" s="2051"/>
      <c r="AC178" s="2051"/>
      <c r="AD178" s="2051"/>
      <c r="AE178" s="2051"/>
      <c r="AF178" s="2150"/>
      <c r="AG178" s="2150"/>
      <c r="AH178" s="2051"/>
      <c r="AI178" s="2051"/>
      <c r="AJ178" s="2051"/>
      <c r="AK178" s="2151"/>
      <c r="AL178" s="2051"/>
      <c r="AM178" s="2051"/>
      <c r="AN178" s="2051"/>
      <c r="AO178" s="2051"/>
      <c r="AP178" s="2051"/>
      <c r="AQ178" s="2051"/>
      <c r="AR178" s="2051"/>
      <c r="AS178" s="2051"/>
      <c r="AT178" s="2051"/>
      <c r="AU178" s="2051"/>
      <c r="AV178" s="2051"/>
      <c r="AW178" s="2051"/>
      <c r="AX178" s="2051"/>
      <c r="AY178" s="2051"/>
      <c r="AZ178" s="2051"/>
      <c r="BA178" s="2051"/>
      <c r="BB178" s="2051"/>
      <c r="BC178" s="2051"/>
      <c r="BD178" s="2051"/>
      <c r="BE178" s="2051"/>
      <c r="BF178" s="2051"/>
      <c r="BG178" s="2051"/>
      <c r="BH178" s="2051"/>
      <c r="BI178" s="2051"/>
      <c r="BJ178" s="2051"/>
      <c r="BK178" s="2051"/>
      <c r="BL178" s="2051"/>
      <c r="BM178" s="2051"/>
      <c r="BN178" s="2051"/>
      <c r="BO178" s="2051"/>
      <c r="BP178" s="2051"/>
      <c r="BQ178" s="2051"/>
      <c r="BR178" s="2051"/>
      <c r="BS178" s="2051"/>
      <c r="BT178" s="2051"/>
    </row>
    <row r="179" spans="2:79" s="358" customFormat="1" ht="14.25" x14ac:dyDescent="0.2">
      <c r="B179" s="359" t="str">
        <f>'TRAD-Calculs dispo Données FA'!B78</f>
        <v>2.D. Avec les stocks actuellement disponibles (niveau central &amp; périphériques) &amp; les commandes attendues à cours termes.</v>
      </c>
      <c r="C179" s="359"/>
      <c r="D179" s="359"/>
      <c r="E179" s="359"/>
      <c r="F179" s="359"/>
      <c r="G179" s="359"/>
      <c r="H179" s="359"/>
      <c r="I179" s="359"/>
      <c r="J179" s="359"/>
      <c r="K179" s="359"/>
      <c r="L179" s="359"/>
      <c r="M179" s="360"/>
      <c r="N179" s="360"/>
      <c r="O179" s="360"/>
      <c r="P179"/>
      <c r="Q179" s="2149"/>
      <c r="R179" s="2051"/>
      <c r="S179" s="2051"/>
      <c r="T179" s="2150"/>
      <c r="U179" s="2150"/>
      <c r="V179" s="2051"/>
      <c r="W179" s="2051"/>
      <c r="X179" s="2051"/>
      <c r="Y179" s="2051"/>
      <c r="Z179" s="2051"/>
      <c r="AA179" s="2051"/>
      <c r="AB179" s="2051"/>
      <c r="AC179" s="2051"/>
      <c r="AD179" s="2051"/>
      <c r="AE179" s="2051"/>
      <c r="AF179" s="2150"/>
      <c r="AG179" s="2150"/>
      <c r="AH179" s="2051"/>
      <c r="AI179" s="2051"/>
      <c r="AJ179" s="2051"/>
      <c r="AK179" s="2151"/>
      <c r="AL179" s="2051"/>
      <c r="AM179" s="2051"/>
      <c r="AN179" s="2051"/>
      <c r="AO179" s="2051"/>
      <c r="AP179" s="2051"/>
      <c r="AQ179" s="2051"/>
      <c r="AR179" s="2051"/>
      <c r="AS179" s="2051"/>
      <c r="AT179" s="2051"/>
      <c r="AU179" s="2051"/>
      <c r="AV179" s="2051"/>
      <c r="AW179" s="2051"/>
      <c r="AX179" s="2051"/>
      <c r="AY179" s="2051"/>
      <c r="AZ179" s="2051"/>
      <c r="BA179" s="2051"/>
      <c r="BB179" s="2051"/>
      <c r="BC179" s="2051"/>
      <c r="BD179" s="2051"/>
      <c r="BE179" s="2051"/>
      <c r="BF179" s="2051"/>
      <c r="BG179" s="2051"/>
      <c r="BH179" s="2051"/>
      <c r="BI179" s="2051"/>
      <c r="BJ179" s="2051"/>
      <c r="BK179" s="2051"/>
      <c r="BL179" s="2051"/>
      <c r="BM179" s="2051"/>
      <c r="BN179" s="2051"/>
      <c r="BO179" s="2051"/>
      <c r="BP179" s="2051"/>
      <c r="BQ179" s="2051"/>
      <c r="BR179" s="2051"/>
      <c r="BS179" s="2051"/>
      <c r="BT179" s="2051"/>
    </row>
    <row r="180" spans="2:79" s="356" customFormat="1" ht="13.5" thickBot="1" x14ac:dyDescent="0.25">
      <c r="M180" s="355"/>
      <c r="N180" s="355"/>
      <c r="O180" s="355"/>
      <c r="P180"/>
      <c r="Q180" s="2142"/>
      <c r="R180" s="578"/>
      <c r="S180" s="578"/>
      <c r="T180" s="2143"/>
      <c r="U180" s="2143"/>
      <c r="V180" s="578"/>
      <c r="W180" s="578"/>
      <c r="X180" s="578"/>
      <c r="Y180" s="578"/>
      <c r="Z180" s="578"/>
      <c r="AA180" s="578"/>
      <c r="AB180" s="578"/>
      <c r="AC180" s="578"/>
      <c r="AD180" s="578"/>
      <c r="AE180" s="578"/>
      <c r="AF180" s="2143"/>
      <c r="AG180" s="2143"/>
      <c r="AH180" s="578"/>
      <c r="AI180" s="578"/>
      <c r="AJ180" s="578"/>
      <c r="AK180" s="2144"/>
      <c r="AL180" s="578"/>
      <c r="AM180" s="578"/>
      <c r="AN180" s="578"/>
      <c r="AO180" s="578"/>
      <c r="AP180" s="578"/>
      <c r="AQ180" s="578"/>
      <c r="AR180" s="578"/>
      <c r="AS180" s="578"/>
      <c r="AT180" s="578"/>
      <c r="AU180" s="578"/>
      <c r="AV180" s="578"/>
      <c r="AW180" s="578"/>
      <c r="AX180" s="2143"/>
      <c r="AY180" s="2143"/>
      <c r="AZ180" s="578"/>
      <c r="BA180" s="578"/>
      <c r="BB180" s="578"/>
      <c r="BC180" s="578"/>
      <c r="BD180" s="578"/>
      <c r="BE180" s="578"/>
      <c r="BF180" s="578"/>
      <c r="BG180" s="578"/>
      <c r="BH180" s="578"/>
      <c r="BI180" s="578"/>
      <c r="BJ180" s="578"/>
      <c r="BK180" s="578"/>
      <c r="BL180" s="578"/>
      <c r="BM180" s="578"/>
      <c r="BN180" s="578"/>
      <c r="BO180" s="578"/>
      <c r="BP180" s="578"/>
      <c r="BQ180" s="578"/>
      <c r="BR180" s="578"/>
      <c r="BS180" s="578"/>
      <c r="BT180" s="578"/>
    </row>
    <row r="181" spans="2:79" s="356" customFormat="1" ht="13.5" thickBot="1" x14ac:dyDescent="0.25">
      <c r="P181"/>
      <c r="Q181" s="3293" t="str">
        <f>'TRAD-Calculs dispo Données FA'!B24</f>
        <v>CALCULS avec croissance des besoins / Stocks dispo centraux et périph &amp; commandes</v>
      </c>
      <c r="R181" s="3294"/>
      <c r="S181" s="3294"/>
      <c r="T181" s="3294"/>
      <c r="U181" s="3294"/>
      <c r="V181" s="3294"/>
      <c r="W181" s="3294"/>
      <c r="X181" s="3294"/>
      <c r="Y181" s="3294"/>
      <c r="Z181" s="3294"/>
      <c r="AA181" s="3295"/>
      <c r="AB181" s="578"/>
      <c r="AC181" s="3293" t="str">
        <f>'TRAD-Calculs dispo Données FA'!B31</f>
        <v>CALCULS de la période couverte par les commandes seules avec croissance des besoins</v>
      </c>
      <c r="AD181" s="3294"/>
      <c r="AE181" s="3294"/>
      <c r="AF181" s="3294"/>
      <c r="AG181" s="3294"/>
      <c r="AH181" s="3294"/>
      <c r="AI181" s="3294"/>
      <c r="AJ181" s="3294"/>
      <c r="AK181" s="3294"/>
      <c r="AL181" s="3294"/>
      <c r="AM181" s="3294"/>
      <c r="AN181" s="3294"/>
      <c r="AO181" s="3294"/>
      <c r="AP181" s="3294"/>
      <c r="AQ181" s="3294"/>
      <c r="AR181" s="3294"/>
      <c r="AS181" s="3294"/>
      <c r="AT181" s="3295"/>
      <c r="AU181" s="578"/>
      <c r="AV181" s="3293" t="str">
        <f>'TRAD-Calculs dispo Données FA'!B30</f>
        <v>CALCULS Marge extrême arrêt d'initiations / Stocks dispo centraux et périph &amp; commandes</v>
      </c>
      <c r="AW181" s="3294"/>
      <c r="AX181" s="3294"/>
      <c r="AY181" s="3294"/>
      <c r="AZ181" s="3294"/>
      <c r="BA181" s="3294"/>
      <c r="BB181" s="3294"/>
      <c r="BC181" s="3294"/>
      <c r="BD181" s="3294"/>
      <c r="BE181" s="3294"/>
      <c r="BF181" s="3295"/>
      <c r="BG181" s="578"/>
      <c r="BH181" s="3293" t="str">
        <f>'TRAD-Calculs dispo Données FA'!B32</f>
        <v>CALCULS Marge extrême arrêt d'initiations par les commandes seules / Stocks dispo centraux et périph &amp; commandes</v>
      </c>
      <c r="BI181" s="3294"/>
      <c r="BJ181" s="3294"/>
      <c r="BK181" s="3294"/>
      <c r="BL181" s="3294"/>
      <c r="BM181" s="3294"/>
      <c r="BN181" s="3294"/>
      <c r="BO181" s="3294"/>
      <c r="BP181" s="3294"/>
      <c r="BQ181" s="3294"/>
      <c r="BR181" s="3294"/>
      <c r="BS181" s="3294"/>
      <c r="BT181" s="3295"/>
    </row>
    <row r="182" spans="2:79" s="356" customFormat="1" ht="39" thickBot="1" x14ac:dyDescent="0.25">
      <c r="M182" s="355"/>
      <c r="P182"/>
      <c r="Q182" s="2142"/>
      <c r="R182" s="3289"/>
      <c r="S182" s="3289"/>
      <c r="T182" s="2152"/>
      <c r="U182" s="2143"/>
      <c r="V182" s="1551" t="str">
        <f>'TRAD-Calculs dispo Données FA'!B75</f>
        <v>Stocks centraux, périphériques et commandes</v>
      </c>
      <c r="W182" s="3291" t="str">
        <f>'TRAD-Calculs dispo Données FA'!B27</f>
        <v>Données nettoyées pour représentation graphique</v>
      </c>
      <c r="X182" s="3289"/>
      <c r="Y182" s="3289"/>
      <c r="Z182" s="3289"/>
      <c r="AA182" s="3292"/>
      <c r="AB182" s="578"/>
      <c r="AC182" s="476"/>
      <c r="AD182" s="578"/>
      <c r="AE182" s="578"/>
      <c r="AF182" s="2144"/>
      <c r="AG182" s="2143"/>
      <c r="AH182" s="578"/>
      <c r="AI182" s="578"/>
      <c r="AJ182" s="578"/>
      <c r="AK182" s="578"/>
      <c r="AL182" s="578"/>
      <c r="AM182" s="578"/>
      <c r="AN182" s="579" t="str">
        <f>'TRAD-Calculs dispo Données FA'!B75</f>
        <v>Stocks centraux, périphériques et commandes</v>
      </c>
      <c r="AO182" s="3283" t="str">
        <f>'TRAD-Calculs dispo Données FA'!B27</f>
        <v>Données nettoyées pour représentation graphique</v>
      </c>
      <c r="AP182" s="3284"/>
      <c r="AQ182" s="3284"/>
      <c r="AR182" s="3284"/>
      <c r="AS182" s="3284"/>
      <c r="AT182" s="3285"/>
      <c r="AU182" s="578"/>
      <c r="AV182" s="2142"/>
      <c r="AW182" s="3289"/>
      <c r="AX182" s="3289"/>
      <c r="AY182" s="2152"/>
      <c r="AZ182" s="2143"/>
      <c r="BA182" s="579" t="str">
        <f>'TRAD-Calculs dispo Données FA'!B75</f>
        <v>Stocks centraux, périphériques et commandes</v>
      </c>
      <c r="BB182" s="3291" t="str">
        <f>'TRAD-Calculs dispo Données FA'!B27</f>
        <v>Données nettoyées pour représentation graphique</v>
      </c>
      <c r="BC182" s="3289"/>
      <c r="BD182" s="3289"/>
      <c r="BE182" s="3289"/>
      <c r="BF182" s="3292"/>
      <c r="BG182" s="578"/>
      <c r="BH182" s="476"/>
      <c r="BI182" s="578"/>
      <c r="BJ182" s="578"/>
      <c r="BK182" s="2144"/>
      <c r="BL182" s="2143"/>
      <c r="BM182" s="578"/>
      <c r="BN182" s="579" t="str">
        <f>'TRAD-Calculs dispo Données FA'!B75</f>
        <v>Stocks centraux, périphériques et commandes</v>
      </c>
      <c r="BO182" s="3283" t="str">
        <f>'TRAD-Calculs dispo Données FA'!B27</f>
        <v>Données nettoyées pour représentation graphique</v>
      </c>
      <c r="BP182" s="3284"/>
      <c r="BQ182" s="3284"/>
      <c r="BR182" s="3284"/>
      <c r="BS182" s="3284"/>
      <c r="BT182" s="3285"/>
      <c r="BV182" s="2077" t="str">
        <f>'TRAD-Calculs dispo Données FA'!B48</f>
        <v>Stock</v>
      </c>
      <c r="BW182" s="2078" t="str">
        <f>'TRAD-Calculs dispo Données FA'!B49</f>
        <v>besoin actuel</v>
      </c>
      <c r="BX182" s="2079" t="str">
        <f>'TRAD-Calculs dispo Données FA'!B50</f>
        <v>Progression besoin</v>
      </c>
      <c r="BY182" s="2077" t="str">
        <f>'TRAD-Calculs dispo Données FA'!B51</f>
        <v>Eval</v>
      </c>
      <c r="BZ182" s="2078" t="str">
        <f>'TRAD-Calculs dispo Données FA'!B51</f>
        <v>Eval</v>
      </c>
      <c r="CA182" s="2080" t="str">
        <f>'TRAD-Calculs dispo Données FA'!B51</f>
        <v>Eval</v>
      </c>
    </row>
    <row r="183" spans="2:79" s="358" customFormat="1" ht="77.25" thickBot="1" x14ac:dyDescent="0.25">
      <c r="C183" s="577" t="str">
        <f>'TRAD-Calculs dispo Données FA'!B9</f>
        <v>Classe forme galénique</v>
      </c>
      <c r="D183" s="1826" t="str">
        <f>'TRAD-Calculs dispo Données FA'!B10</f>
        <v>Classe thérapeutique</v>
      </c>
      <c r="E183" s="364" t="str">
        <f>'TRAD-Calculs dispo Données FA'!B11</f>
        <v>Composition</v>
      </c>
      <c r="F183" s="365" t="str">
        <f>'TRAD-Calculs dispo Données FA'!B12</f>
        <v>Forme galénique</v>
      </c>
      <c r="G183" s="365" t="str">
        <f>'TRAD-Calculs dispo Données FA'!B13</f>
        <v>Dosage</v>
      </c>
      <c r="H183" s="365" t="str">
        <f>'TRAD-Calculs dispo Données FA'!B14</f>
        <v>Nom pour représentation graphique</v>
      </c>
      <c r="I183" s="365" t="str">
        <f>'TRAD-Calculs dispo Données FA'!B15</f>
        <v>Nb de prise / jour</v>
      </c>
      <c r="J183" s="365" t="str">
        <f>'TRAD-Calculs dispo Données FA'!B16</f>
        <v>Nb de prise / mois</v>
      </c>
      <c r="K183" s="365" t="str">
        <f>'TRAD-Calculs dispo Données FA'!B17</f>
        <v>Conditionnement</v>
      </c>
      <c r="L183" s="327" t="str">
        <f>'TRAD-Calculs dispo Données FA'!B20</f>
        <v>Nb de boites nécessaire pour 1 mois pour 1 patient</v>
      </c>
      <c r="M183" s="346" t="str">
        <f>'TRAD-Calculs dispo Données FA'!B21</f>
        <v>Stock disponible UTILISABLE au niveau considéré (nb de boites)</v>
      </c>
      <c r="N183" s="2057" t="str">
        <f>'TRAD-Calculs dispo Données FA'!B33</f>
        <v>Besoin mensuel patients suivis selon méthode</v>
      </c>
      <c r="O183" s="2057" t="str">
        <f>'TRAD-Calculs dispo Données FA'!B34</f>
        <v>Besoin mensuel patients initiés selon méthode</v>
      </c>
      <c r="P183"/>
      <c r="Q183" s="346" t="str">
        <f>'TRAD-Calculs dispo Données FA'!B35</f>
        <v>Nombre de mois de disponibilité de produits</v>
      </c>
      <c r="R183" s="347" t="str">
        <f>'TRAD-Calculs dispo Données FA'!B37</f>
        <v>Nombre de mois de disponibilité de produits hors ST</v>
      </c>
      <c r="S183" s="347" t="str">
        <f>CONCATENATE('TRAD-Calculs dispo Données FA'!$B$85, " (max", " ", Calculs!$D$486, ")")</f>
        <v>Nombre de mois de stock tampon (max 3 mois)</v>
      </c>
      <c r="T183" s="348" t="str">
        <f>'TRAD-Calculs dispo Données FA'!B39</f>
        <v>Date d'entrée en stock tampon</v>
      </c>
      <c r="U183" s="349" t="str">
        <f>'TRAD-Calculs dispo Données FA'!B40</f>
        <v>Date de rupture attendue</v>
      </c>
      <c r="V183" s="2051"/>
      <c r="W183" s="346" t="str">
        <f>'TRAD-Calculs dispo Données FA'!B35</f>
        <v>Nombre de mois de disponibilité de produits</v>
      </c>
      <c r="X183" s="347" t="str">
        <f>'TRAD-Calculs dispo Données FA'!B37</f>
        <v>Nombre de mois de disponibilité de produits hors ST</v>
      </c>
      <c r="Y183" s="347" t="str">
        <f>CONCATENATE('TRAD-Calculs dispo Données FA'!$B$85, " (max"," ",  Calculs!$D$486, ")")</f>
        <v>Nombre de mois de stock tampon (max 3 mois)</v>
      </c>
      <c r="Z183" s="348" t="str">
        <f>'TRAD-Calculs dispo Données FA'!B39</f>
        <v>Date d'entrée en stock tampon</v>
      </c>
      <c r="AA183" s="349" t="str">
        <f>'TRAD-Calculs dispo Données FA'!B40</f>
        <v>Date de rupture attendue</v>
      </c>
      <c r="AB183" s="2051"/>
      <c r="AC183" s="346" t="str">
        <f>'TRAD-Calculs dispo Données FA'!B70</f>
        <v>Différence nb de mois / commande</v>
      </c>
      <c r="AD183" s="347" t="str">
        <f>'TRAD-Calculs dispo Données FA'!B37</f>
        <v>Nombre de mois de disponibilité de produits hors ST</v>
      </c>
      <c r="AE183" s="424" t="str">
        <f>'TRAD-Calculs dispo Données FA'!B38</f>
        <v>Nombre de mois de stock tampon (ST)</v>
      </c>
      <c r="AF183" s="347" t="str">
        <f>'TRAD-Calculs dispo Données FA'!B47</f>
        <v>Delta sur commande / ST</v>
      </c>
      <c r="AG183" s="348" t="str">
        <f>'TRAD-Calculs dispo Données FA'!B39</f>
        <v>Date d'entrée en stock tampon</v>
      </c>
      <c r="AH183" s="349" t="str">
        <f>'TRAD-Calculs dispo Données FA'!B40</f>
        <v>Date de rupture attendue</v>
      </c>
      <c r="AI183" s="348" t="str">
        <f>'TRAD-Calculs dispo Données FA'!B41</f>
        <v>Date de réception attendue</v>
      </c>
      <c r="AJ183" s="349" t="str">
        <f>'TRAD-Calculs dispo Données FA'!B42</f>
        <v>Delta Dispo/date de réception attendue</v>
      </c>
      <c r="AK183" s="347" t="str">
        <f>'TRAD-Calculs dispo Données FA'!B43</f>
        <v>Réajustement stock (si &gt;DLU max)</v>
      </c>
      <c r="AL183" s="424" t="str">
        <f>'TRAD-Calculs dispo Données FA'!B44</f>
        <v>Réajustement  / commande Si &gt; DLU</v>
      </c>
      <c r="AM183" s="349" t="str">
        <f>'TRAD-Calculs dispo Données FA'!B45</f>
        <v>Date de rupture finale attendue</v>
      </c>
      <c r="AN183" s="2051"/>
      <c r="AO183" s="346" t="str">
        <f>'TRAD-Calculs dispo Données FA'!B71</f>
        <v>Nb de mois de stock / commande attendue</v>
      </c>
      <c r="AP183" s="347" t="str">
        <f>'TRAD-Calculs dispo Données FA'!B37</f>
        <v>Nombre de mois de disponibilité de produits hors ST</v>
      </c>
      <c r="AQ183" s="424" t="str">
        <f>'TRAD-Calculs dispo Données FA'!B38</f>
        <v>Nombre de mois de stock tampon (ST)</v>
      </c>
      <c r="AR183" s="347" t="str">
        <f>'TRAD-Calculs dispo Données FA'!B47</f>
        <v>Delta sur commande / ST</v>
      </c>
      <c r="AS183" s="348" t="str">
        <f>'TRAD-Calculs dispo Données FA'!B39</f>
        <v>Date d'entrée en stock tampon</v>
      </c>
      <c r="AT183" s="349" t="str">
        <f>'TRAD-Calculs dispo Données FA'!B40</f>
        <v>Date de rupture attendue</v>
      </c>
      <c r="AU183" s="2051"/>
      <c r="AV183" s="346" t="str">
        <f>'TRAD-Calculs dispo Données FA'!B35</f>
        <v>Nombre de mois de disponibilité de produits</v>
      </c>
      <c r="AW183" s="347" t="str">
        <f>'TRAD-Calculs dispo Données FA'!B37</f>
        <v>Nombre de mois de disponibilité de produits hors ST</v>
      </c>
      <c r="AX183" s="424" t="str">
        <f>'TRAD-Calculs dispo Données FA'!B38</f>
        <v>Nombre de mois de stock tampon (ST)</v>
      </c>
      <c r="AY183" s="348" t="str">
        <f>'TRAD-Calculs dispo Données FA'!B39</f>
        <v>Date d'entrée en stock tampon</v>
      </c>
      <c r="AZ183" s="349" t="str">
        <f>'TRAD-Calculs dispo Données FA'!B40</f>
        <v>Date de rupture attendue</v>
      </c>
      <c r="BA183" s="2051"/>
      <c r="BB183" s="346" t="str">
        <f>'TRAD-Calculs dispo Données FA'!B35</f>
        <v>Nombre de mois de disponibilité de produits</v>
      </c>
      <c r="BC183" s="347" t="str">
        <f>'TRAD-Calculs dispo Données FA'!B37</f>
        <v>Nombre de mois de disponibilité de produits hors ST</v>
      </c>
      <c r="BD183" s="424" t="str">
        <f>'TRAD-Calculs dispo Données FA'!B38</f>
        <v>Nombre de mois de stock tampon (ST)</v>
      </c>
      <c r="BE183" s="348" t="str">
        <f>'TRAD-Calculs dispo Données FA'!B39</f>
        <v>Date d'entrée en stock tampon</v>
      </c>
      <c r="BF183" s="349" t="str">
        <f>'TRAD-Calculs dispo Données FA'!B40</f>
        <v>Date de rupture attendue</v>
      </c>
      <c r="BG183" s="2051"/>
      <c r="BH183" s="346" t="str">
        <f>'TRAD-Calculs dispo Données FA'!B70</f>
        <v>Différence nb de mois / commande</v>
      </c>
      <c r="BI183" s="347" t="str">
        <f>'TRAD-Calculs dispo Données FA'!B37</f>
        <v>Nombre de mois de disponibilité de produits hors ST</v>
      </c>
      <c r="BJ183" s="424" t="str">
        <f>'TRAD-Calculs dispo Données FA'!B38</f>
        <v>Nombre de mois de stock tampon (ST)</v>
      </c>
      <c r="BK183" s="347" t="str">
        <f>'TRAD-Calculs dispo Données FA'!B47</f>
        <v>Delta sur commande / ST</v>
      </c>
      <c r="BL183" s="348" t="str">
        <f>'TRAD-Calculs dispo Données FA'!B39</f>
        <v>Date d'entrée en stock tampon</v>
      </c>
      <c r="BM183" s="349" t="str">
        <f>'TRAD-Calculs dispo Données FA'!B40</f>
        <v>Date de rupture attendue</v>
      </c>
      <c r="BN183" s="2051"/>
      <c r="BO183" s="346" t="str">
        <f>'TRAD-Calculs dispo Données FA'!B71</f>
        <v>Nb de mois de stock / commande attendue</v>
      </c>
      <c r="BP183" s="347" t="str">
        <f>'TRAD-Calculs dispo Données FA'!B37</f>
        <v>Nombre de mois de disponibilité de produits hors ST</v>
      </c>
      <c r="BQ183" s="424" t="str">
        <f>'TRAD-Calculs dispo Données FA'!B38</f>
        <v>Nombre de mois de stock tampon (ST)</v>
      </c>
      <c r="BR183" s="347" t="str">
        <f>'TRAD-Calculs dispo Données FA'!B47</f>
        <v>Delta sur commande / ST</v>
      </c>
      <c r="BS183" s="348" t="str">
        <f>'TRAD-Calculs dispo Données FA'!B39</f>
        <v>Date d'entrée en stock tampon</v>
      </c>
      <c r="BT183" s="349" t="str">
        <f>'TRAD-Calculs dispo Données FA'!B40</f>
        <v>Date de rupture attendue</v>
      </c>
      <c r="BV183" s="2058" t="str">
        <f>'TRAD-Calculs dispo Données FA'!B52</f>
        <v>Calculs!P228</v>
      </c>
      <c r="BW183" s="2059" t="str">
        <f>'TRAD-Calculs dispo Données FA'!B56</f>
        <v>Calculs!L317</v>
      </c>
      <c r="BX183" s="2067" t="str">
        <f>'TRAD-Calculs dispo Données FA'!B57</f>
        <v>Calculs!N317</v>
      </c>
      <c r="BY183" s="2058" t="str">
        <f>'TRAD-Calculs dispo Données FA'!B60</f>
        <v>Stock et besoin actuel et futur =0</v>
      </c>
      <c r="BZ183" s="2059" t="str">
        <f>'TRAD-Calculs dispo Données FA'!B61</f>
        <v>Stock &gt;0 et besoin actuel et futur =0</v>
      </c>
      <c r="CA183" s="2549" t="str">
        <f>'TRAD-Calculs dispo Données FA'!B63</f>
        <v>Stock=0; Besoin  ≥ 1</v>
      </c>
    </row>
    <row r="184" spans="2:79" s="358" customFormat="1" ht="25.5" x14ac:dyDescent="0.2">
      <c r="C184" s="1828" t="str">
        <f>'TRAD-Calculs dispo Données FA'!B66</f>
        <v>Comprimés</v>
      </c>
      <c r="D184" s="1829" t="s">
        <v>15</v>
      </c>
      <c r="E184" s="368" t="str">
        <f>'Saisie données stocks'!F19</f>
        <v>AZT+3TC+NVP</v>
      </c>
      <c r="F184" s="369" t="str">
        <f>'Saisie données stocks'!G19</f>
        <v>Cp</v>
      </c>
      <c r="G184" s="369" t="str">
        <f>'Saisie données stocks'!H19</f>
        <v>300/150/200 mg</v>
      </c>
      <c r="H184" s="370" t="str">
        <f>CONCATENATE(E184, " - ", G184, " - ", 'TRAD-Calculs dispo Données FA'!$B$79,"/", K184)</f>
        <v>AZT+3TC+NVP - 300/150/200 mg - B/60</v>
      </c>
      <c r="I184" s="370">
        <f>Calculs!K102</f>
        <v>2</v>
      </c>
      <c r="J184" s="371">
        <f t="shared" ref="J184:J224" si="36">I184*30</f>
        <v>60</v>
      </c>
      <c r="K184" s="113">
        <f>Calculs!J102</f>
        <v>60</v>
      </c>
      <c r="L184" s="373">
        <f t="shared" ref="L184:L224" si="37">J184/K184</f>
        <v>1</v>
      </c>
      <c r="M184" s="1819">
        <f>IF('Saisie données stocks'!$O$10='TRAD-Saisie données stocks'!$B$51, 'Calculs Péremption conso'!BU7, Calculs!M262)+IF('Saisie données stocks'!$M$76='TRAD-Saisie données stocks'!$B$51, Calculs!N262, "0")+Calculs!P262</f>
        <v>71892</v>
      </c>
      <c r="N184" s="1819">
        <f>Calculs!$L$317</f>
        <v>6338</v>
      </c>
      <c r="O184" s="1819">
        <f>Calculs!$N$317</f>
        <v>0</v>
      </c>
      <c r="P184"/>
      <c r="Q184" s="2154">
        <f>IF(Calculs!N317&gt;0, (-(Calculs!N317+2*Calculs!L317)+SQRT((Calculs!N317+2*Calculs!L317)*(Calculs!N317+2*Calculs!L317)+8*Calculs!N317*(M184)))/(2*Calculs!N317), ((M184)/Calculs!L317))</f>
        <v>11.343010413379615</v>
      </c>
      <c r="R184" s="2155">
        <f>Q184-Paramétrage!D$29</f>
        <v>8.3430104133796146</v>
      </c>
      <c r="S184" s="2156">
        <f>IF(Q184&lt;Paramétrage!D$29, Q184, Paramétrage!D$29)</f>
        <v>3</v>
      </c>
      <c r="T184" s="2157">
        <f>Paramétrage!H$19+R184*(365/12)</f>
        <v>42172.766566740298</v>
      </c>
      <c r="U184" s="2158">
        <f>IF(Q184&lt;Paramétrage!D$29, Paramétrage!H$19+S184*(365/12), Paramétrage!H$19+Q184*(365/12))</f>
        <v>42264.016566740298</v>
      </c>
      <c r="V184" s="2051"/>
      <c r="W184" s="2154">
        <f t="shared" ref="W184:W224" si="38">IF(ISERROR(Q184),"", IF(Q184=0, "", Q184))</f>
        <v>11.343010413379615</v>
      </c>
      <c r="X184" s="2155">
        <f t="shared" ref="X184:X224" si="39">IF(ISERROR(Q184),"", IF(Q184=0, "", R184))</f>
        <v>8.3430104133796146</v>
      </c>
      <c r="Y184" s="2160">
        <f t="shared" ref="Y184:Y224" si="40">IF(ISERROR(Q184),"", IF(Q184=0, "", S184))</f>
        <v>3</v>
      </c>
      <c r="Z184" s="2157">
        <f t="shared" ref="Z184:Z224" si="41">IF(ISERROR(Q184),"", IF(Q184=0, "", T184))</f>
        <v>42172.766566740298</v>
      </c>
      <c r="AA184" s="2158">
        <f t="shared" ref="AA184:AA224" si="42">IF(ISERROR(Q184), BZ184, IF(Q184=0, IF(AND(M184=0, OR(N184&gt;0, O184&gt;0)), CA184, U184), U184))</f>
        <v>42264.016566740298</v>
      </c>
      <c r="AB184" s="2051"/>
      <c r="AC184" s="2154">
        <f t="shared" ref="AC184:AC224" si="43">Q184-Q127</f>
        <v>0</v>
      </c>
      <c r="AD184" s="2155">
        <f>AC184-Paramétrage!D$29</f>
        <v>-3</v>
      </c>
      <c r="AE184" s="2156">
        <f>IF(AC184&lt;Paramétrage!D$29, AC184, Paramétrage!D$29)</f>
        <v>0</v>
      </c>
      <c r="AF184" s="2156">
        <f t="shared" ref="AF184:AF224" si="44">IF((R184-Q127)&gt;0, (R184-Q127), 0)</f>
        <v>0</v>
      </c>
      <c r="AG184" s="2157">
        <f>Paramétrage!H$19+AD184*(365/12)</f>
        <v>41827.75</v>
      </c>
      <c r="AH184" s="2158">
        <f>IF(AC184&lt;Paramétrage!D$29, Paramétrage!H$19+AE184*(365/12), Paramétrage!H$19+AC184*(365/12))</f>
        <v>41919</v>
      </c>
      <c r="AI184" s="2158">
        <f>'Saisie données stocks'!O140</f>
        <v>0</v>
      </c>
      <c r="AJ184" s="2208" t="str">
        <f>IF(ISERROR(Q184), "0", IF('Saisie données stocks'!O140="", "0", IF(U127&gt;'Saisie données stocks'!$N$14, IF(AI184&gt;(Paramétrage!$H$19+'Saisie données stocks'!$N$14*(365/12)), (AI184-(Paramétrage!$H$19+'Saisie données stocks'!$N$14*(365/12)))/(365/12), IF(AI184&gt;U127, (AI184-U127)/(365/12), "0")))))</f>
        <v>0</v>
      </c>
      <c r="AK184" s="2155">
        <f>IF(ISERROR(Q127),"0", IF(Q127=0, "0", IF(Q127&gt;'Calculs Péremption FA'!$CB7, 'Calculs Péremption FA'!$CB7, Q127)))</f>
        <v>11.343010413379615</v>
      </c>
      <c r="AL184" s="2156" t="str">
        <f>IF(ISERROR(AC184),"0", IF(AC184=0, "0", IF(AC184&gt;'Saisie données stocks'!$N$14, 'Saisie données stocks'!$N$14, AC184)))</f>
        <v>0</v>
      </c>
      <c r="AM184" s="2158">
        <f>IF(ISERROR(Q184),AA184,IF(Calculs!P262=0,AA127,(Paramétrage!$H$19+((AJ184+AK184+AL184)*(365/12)))))</f>
        <v>42264.016566740298</v>
      </c>
      <c r="AN184" s="2051"/>
      <c r="AO184" s="2154" t="str">
        <f>IF(ISERROR(AC184),"", IF(AC184=0, "", IF(AC184&gt;'Saisie données stocks'!$N$14, 'Saisie données stocks'!$N$14, AC184)))</f>
        <v/>
      </c>
      <c r="AP184" s="2155" t="str">
        <f>IF(ISERROR(AC184),"", IF(AC184=0, "", IF(AC184&gt;'Calculs Péremption conso'!$CB7, 'Calculs Péremption conso'!$CB7-Paramétrage!$D$29, AD184)))</f>
        <v/>
      </c>
      <c r="AQ184" s="2160" t="str">
        <f>IF(ISERROR(AC184),"", IF(AC184=0, "", IF(AC184&gt;'Calculs Péremption conso'!$CB7, Paramétrage!$D$29, AE184)))</f>
        <v/>
      </c>
      <c r="AR184" s="2209" t="str">
        <f t="shared" ref="AR184:AR224" si="45">IF(ISERROR(AF184),"", IF(AF184=0, "", AF184))</f>
        <v/>
      </c>
      <c r="AS184" s="2157" t="str">
        <f>IF(ISERROR(AC184),"", IF(AC184=0, "", IF(AC184&gt;'Calculs Péremption conso'!$CB7, 'Calculs Péremption conso'!$BX7-Paramétrage!$D$29*(365/12), AG184)))</f>
        <v/>
      </c>
      <c r="AT184" s="2158" t="str">
        <f>IF(ISERROR(AC184),"", IF(AC184=0, "", IF(AC184&gt;'Calculs Péremption conso'!$CB7, CONCATENATE('TRAD-Calculs dispo Données FA'!$B$88, " - ", 'Calculs Péremption conso'!$BY7, "/", 'Calculs Péremption conso'!$BZ7, "/", 'Calculs Péremption conso'!$CA7), AH184)))</f>
        <v/>
      </c>
      <c r="AU184" s="2051"/>
      <c r="AV184" s="2154">
        <f>(Calculs!Q262)/Calculs!L317</f>
        <v>11.343010413379615</v>
      </c>
      <c r="AW184" s="2155">
        <f>AV184-Paramétrage!D$29</f>
        <v>8.3430104133796146</v>
      </c>
      <c r="AX184" s="2156">
        <f>IF(AV184&lt;Paramétrage!D$29, AV184, Paramétrage!D$29)</f>
        <v>3</v>
      </c>
      <c r="AY184" s="2157">
        <f>Paramétrage!H$19+AW184*(365/12)</f>
        <v>42172.766566740298</v>
      </c>
      <c r="AZ184" s="2158">
        <f>IF(AV184&lt;Paramétrage!D$29, Paramétrage!H$19+AX184*(365/12), Paramétrage!H$19+AV184*(365/12))</f>
        <v>42264.016566740298</v>
      </c>
      <c r="BA184" s="2051"/>
      <c r="BB184" s="2154">
        <f>IF(ISERROR(AV184),"", IF(AV184=0, "", IF(AV184&gt;'Calculs Péremption conso'!$CB7, 'Calculs Péremption conso'!$CB7, AV184)))</f>
        <v>11.343010413379615</v>
      </c>
      <c r="BC184" s="2155">
        <f>IF(ISERROR(AV184),"", IF(AV184=0, "", IF(AV184&gt;'Calculs Péremption conso'!$CB7, 'Calculs Péremption conso'!$CB7-Paramétrage!$D$29, AW184)))</f>
        <v>8.3430104133796146</v>
      </c>
      <c r="BD184" s="2160">
        <f>IF(ISERROR(AV184),"", IF(AV184=0, "", IF(AV184&gt;'Calculs Péremption conso'!$CB7, Paramétrage!$D$29, AX184)))</f>
        <v>3</v>
      </c>
      <c r="BE184" s="2157">
        <f>IF(ISERROR(AV184),"", IF(AV184=0, "", IF(AV184&gt;'Calculs Péremption conso'!$CB7, 'Calculs Péremption conso'!$BX7-Paramétrage!$D$29*(365/12), AY184)))</f>
        <v>42172.766566740298</v>
      </c>
      <c r="BF184" s="2158">
        <f>IF(ISERROR(AV184),"", IF(AV184=0, "", IF(AV184&gt;'Calculs Péremption conso'!$CB7, CONCATENATE('TRAD-Calculs dispo Données FA'!$B$88, " - ", 'Calculs Péremption conso'!$BY7, "/", 'Calculs Péremption conso'!$BZ7, "/", 'Calculs Péremption conso'!$CA7), AZ184)))</f>
        <v>42264.016566740298</v>
      </c>
      <c r="BG184" s="2051"/>
      <c r="BH184" s="2154">
        <f t="shared" ref="BH184:BH224" si="46">AV184-AC127</f>
        <v>0</v>
      </c>
      <c r="BI184" s="2155">
        <f>BH184-Paramétrage!D$29</f>
        <v>-3</v>
      </c>
      <c r="BJ184" s="2156">
        <f>IF(BH184&lt;Paramétrage!D$29, BH184, Paramétrage!D$29)</f>
        <v>0</v>
      </c>
      <c r="BK184" s="2156">
        <f t="shared" ref="BK184:BK224" si="47">IF((AW184-AC127)&gt;0, (AW184-AC127), 0)</f>
        <v>0</v>
      </c>
      <c r="BL184" s="2157">
        <f>Paramétrage!$H$19+BI184*(365/12)</f>
        <v>41827.75</v>
      </c>
      <c r="BM184" s="2158">
        <f>IF(BH184&lt;Paramétrage!$D$29, Paramétrage!$H$19+BJ184*(365/12), Paramétrage!$H$19+BH184*(365/12))</f>
        <v>41919</v>
      </c>
      <c r="BN184" s="2051"/>
      <c r="BO184" s="2154" t="str">
        <f>IF(ISERROR(BH184),"", IF(BH184=0, "", IF(BH184&gt;'Calculs Péremption conso'!$CB7, 'Calculs Péremption conso'!$CB7, BH184)))</f>
        <v/>
      </c>
      <c r="BP184" s="2155" t="str">
        <f>IF(ISERROR(BH184),"", IF(BH184=0, "", IF(BH184&gt;'Calculs Péremption conso'!$CB7, 'Calculs Péremption conso'!$CB7-Paramétrage!$D$29, BI184)))</f>
        <v/>
      </c>
      <c r="BQ184" s="2160" t="str">
        <f>IF(ISERROR(BH184),"", IF(BH184=0, "", IF(BH184&gt;'Calculs Péremption conso'!$CB7, Paramétrage!$D$29, BJ184)))</f>
        <v/>
      </c>
      <c r="BR184" s="2209" t="str">
        <f t="shared" ref="BR184:BR224" si="48">IF(ISERROR(BK184),"", IF(BK184=0, "", BK184))</f>
        <v/>
      </c>
      <c r="BS184" s="2157" t="str">
        <f>IF(ISERROR(BH184),"", IF(BH184=0, "", IF(BH184&gt;'Calculs Péremption conso'!$CB7, 'Calculs Péremption conso'!$BX7-Paramétrage!$D$29*(365/12), BL184)))</f>
        <v/>
      </c>
      <c r="BT184" s="2158" t="str">
        <f>IF(ISERROR(BH184),"", IF(BH184=0, "", IF(BH184&gt;'Calculs Péremption conso'!$CB7, CONCATENATE('TRAD-Calculs dispo Données FA'!$B$88, " - ", 'Calculs Péremption conso'!$BY7, "/", 'Calculs Péremption conso'!$BZ7, "/", 'Calculs Péremption conso'!$CA7), BM184)))</f>
        <v/>
      </c>
      <c r="BV184" s="2061">
        <f>Calculs!$Q262</f>
        <v>71892</v>
      </c>
      <c r="BW184" s="2241">
        <f>Calculs!L317</f>
        <v>6338</v>
      </c>
      <c r="BX184" s="2068">
        <f>Calculs!N317</f>
        <v>0</v>
      </c>
      <c r="BY184" s="2070" t="str">
        <f>IF(AND(BX184=0, BV184=0, BW184=0), 'TRAD-Calculs dispo Données FA'!$B$82, "")</f>
        <v/>
      </c>
      <c r="BZ184" s="2062" t="str">
        <f>IF(AND(BX184=0, BV184&gt;0, BW184=0), CONCATENATE(BV184, 'TRAD-Calculs dispo Données FA'!$B$80," =0"), "")</f>
        <v/>
      </c>
      <c r="CA184" s="2063" t="str">
        <f>IF(AND(BV184=0, OR(BW184&gt;=1, BX184&gt;=1)), 'TRAD-Calculs dispo Données FA'!$B$81, "")</f>
        <v/>
      </c>
    </row>
    <row r="185" spans="2:79" s="358" customFormat="1" ht="38.25" x14ac:dyDescent="0.2">
      <c r="C185" s="374"/>
      <c r="D185" s="375"/>
      <c r="E185" s="501" t="str">
        <f>'Saisie données stocks'!F20</f>
        <v>AZT+3TC+NVP</v>
      </c>
      <c r="F185" s="502" t="str">
        <f>'Saisie données stocks'!G20</f>
        <v>Cp</v>
      </c>
      <c r="G185" s="502" t="str">
        <f>'Saisie données stocks'!H20</f>
        <v>60/30/50 mg</v>
      </c>
      <c r="H185" s="504" t="str">
        <f>CONCATENATE(E185, " - ", G185, " - ", 'TRAD-Calculs dispo Données FA'!$B$79,"/", K185)</f>
        <v>AZT+3TC+NVP - 60/30/50 mg - B/60</v>
      </c>
      <c r="I185" s="504">
        <f>Calculs!K103</f>
        <v>2</v>
      </c>
      <c r="J185" s="504">
        <f t="shared" si="36"/>
        <v>60</v>
      </c>
      <c r="K185" s="114">
        <f>Calculs!J103</f>
        <v>60</v>
      </c>
      <c r="L185" s="381">
        <f t="shared" si="37"/>
        <v>1</v>
      </c>
      <c r="M185" s="1820">
        <f>IF('Saisie données stocks'!$O$10='TRAD-Saisie données stocks'!$B$51, 'Calculs Péremption conso'!BU8, Calculs!M263)+IF('Saisie données stocks'!$M$76='TRAD-Saisie données stocks'!$B$51, Calculs!N263, "0")+Calculs!P263</f>
        <v>1522</v>
      </c>
      <c r="N185" s="1820">
        <f>Calculs!$L$318</f>
        <v>546</v>
      </c>
      <c r="O185" s="1820">
        <f>Calculs!$N$318</f>
        <v>0</v>
      </c>
      <c r="P185"/>
      <c r="Q185" s="2161">
        <f>IF(Calculs!N318&gt;0, (-(Calculs!N318+2*Calculs!L318)+SQRT((Calculs!N318+2*Calculs!L318)*(Calculs!N318+2*Calculs!L318)+8*Calculs!N318*(M185)))/(2*Calculs!N318), ((M185)/Calculs!L318))</f>
        <v>2.7875457875457874</v>
      </c>
      <c r="R185" s="2162">
        <f>Q185-Paramétrage!D$29</f>
        <v>-0.21245421245421259</v>
      </c>
      <c r="S185" s="2163">
        <f>IF(Q185&lt;Paramétrage!D$29, Q185, Paramétrage!D$29)</f>
        <v>2.7875457875457874</v>
      </c>
      <c r="T185" s="2164">
        <f>Paramétrage!H$19+R185*30</f>
        <v>41912.626373626372</v>
      </c>
      <c r="U185" s="2165">
        <f>IF(Q185&lt;Paramétrage!D$29, Paramétrage!H$19+S185*30, Paramétrage!H$19+Q185*30)</f>
        <v>42002.626373626372</v>
      </c>
      <c r="V185" s="2051"/>
      <c r="W185" s="2161">
        <f t="shared" si="38"/>
        <v>2.7875457875457874</v>
      </c>
      <c r="X185" s="2162">
        <f t="shared" si="39"/>
        <v>-0.21245421245421259</v>
      </c>
      <c r="Y185" s="2167">
        <f t="shared" si="40"/>
        <v>2.7875457875457874</v>
      </c>
      <c r="Z185" s="2164">
        <f t="shared" si="41"/>
        <v>41912.626373626372</v>
      </c>
      <c r="AA185" s="2165">
        <f t="shared" si="42"/>
        <v>42002.626373626372</v>
      </c>
      <c r="AB185" s="2051"/>
      <c r="AC185" s="2161">
        <f t="shared" si="43"/>
        <v>0</v>
      </c>
      <c r="AD185" s="2162">
        <f>AC185-Paramétrage!D$29</f>
        <v>-3</v>
      </c>
      <c r="AE185" s="2163">
        <f>IF(AC185&lt;Paramétrage!D$29, AC185, Paramétrage!D$29)</f>
        <v>0</v>
      </c>
      <c r="AF185" s="2163">
        <f t="shared" si="44"/>
        <v>0</v>
      </c>
      <c r="AG185" s="2164">
        <f>Paramétrage!H$19+AD185*30</f>
        <v>41829</v>
      </c>
      <c r="AH185" s="2165">
        <f>IF(AC185&lt;Paramétrage!D$29, Paramétrage!H$19+AE185*30, Paramétrage!H$19+AC185*30)</f>
        <v>41919</v>
      </c>
      <c r="AI185" s="2165">
        <f>'Saisie données stocks'!O141</f>
        <v>0</v>
      </c>
      <c r="AJ185" s="2210" t="str">
        <f>IF(ISERROR(Q185), "0", IF('Saisie données stocks'!O141="", "0", IF(U128&gt;'Saisie données stocks'!$N$14, IF(AI185&gt;(Paramétrage!$H$19+'Saisie données stocks'!$N$14*30), (AI185-(Paramétrage!$H$19+'Saisie données stocks'!$N$14*30))/30, IF(AI185&gt;U128, (AI185-U128)/30, "0")))))</f>
        <v>0</v>
      </c>
      <c r="AK185" s="2162">
        <f>IF(ISERROR(Q128),"0", IF(Q128=0, "0", IF(Q128&gt;'Calculs Péremption FA'!$CB8, 'Calculs Péremption FA'!$CB8, Q128)))</f>
        <v>2.7875457875457874</v>
      </c>
      <c r="AL185" s="2163" t="str">
        <f>IF(ISERROR(AC185),"0", IF(AC185=0, "0", IF(AC185&gt;'Saisie données stocks'!$N$14, 'Saisie données stocks'!$N$14, AC185)))</f>
        <v>0</v>
      </c>
      <c r="AM185" s="2165">
        <f>IF(ISERROR(Q185),AA185,IF(Calculs!P263=0,AA128,(Paramétrage!$H$19+((AJ185+AK185+AL185)*(365/12)))))</f>
        <v>42003.78785103785</v>
      </c>
      <c r="AN185" s="2051"/>
      <c r="AO185" s="2161" t="str">
        <f>IF(ISERROR(AC185),"", IF(AC185=0, "", IF(AC185&gt;'Saisie données stocks'!$N$14, 'Saisie données stocks'!$N$14, AC185)))</f>
        <v/>
      </c>
      <c r="AP185" s="2162" t="str">
        <f>IF(ISERROR(AC185),"", IF(AC185=0, "", IF(AC185&gt;'Calculs Péremption conso'!$CB8, 'Calculs Péremption conso'!$CB8-Paramétrage!$D$29, AD185)))</f>
        <v/>
      </c>
      <c r="AQ185" s="2167" t="str">
        <f>IF(ISERROR(AC185),"", IF(AC185=0, "", IF(AC185&gt;'Calculs Péremption conso'!$CB8, Paramétrage!$D$29, AE185)))</f>
        <v/>
      </c>
      <c r="AR185" s="2211" t="str">
        <f t="shared" si="45"/>
        <v/>
      </c>
      <c r="AS185" s="2164" t="str">
        <f>IF(ISERROR(AC185),"", IF(AC185=0, "", IF(AC185&gt;'Calculs Péremption conso'!$CB8, 'Calculs Péremption conso'!$BX8-Paramétrage!$D$29*(365/12), AG185)))</f>
        <v/>
      </c>
      <c r="AT185" s="2165" t="str">
        <f>IF(ISERROR(AC185),"", IF(AC185=0, "", IF(AC185&gt;'Calculs Péremption conso'!$CB8, CONCATENATE('TRAD-Calculs dispo Données FA'!$B$88, " - ", 'Calculs Péremption conso'!$BY8, "/", 'Calculs Péremption conso'!$BZ8, "/", 'Calculs Péremption conso'!$CA8), AH185)))</f>
        <v/>
      </c>
      <c r="AU185" s="2051"/>
      <c r="AV185" s="2161">
        <f>(Calculs!Q263)/Calculs!L318</f>
        <v>2.7875457875457874</v>
      </c>
      <c r="AW185" s="2162">
        <f>AV185-Paramétrage!D$29</f>
        <v>-0.21245421245421259</v>
      </c>
      <c r="AX185" s="2163">
        <f>IF(AV185&lt;Paramétrage!D$29, AV185, Paramétrage!D$29)</f>
        <v>2.7875457875457874</v>
      </c>
      <c r="AY185" s="2164">
        <f>Paramétrage!H$19+AW185*(365/12)</f>
        <v>41912.53785103785</v>
      </c>
      <c r="AZ185" s="2165">
        <f>IF(AV185&lt;Paramétrage!D$29, Paramétrage!H$19+AX185*(365/12), Paramétrage!H$19+AV185*(365/12))</f>
        <v>42003.78785103785</v>
      </c>
      <c r="BA185" s="2051"/>
      <c r="BB185" s="2161">
        <f>IF(ISERROR(AV185),"", IF(AV185=0, "", IF(AV185&gt;'Calculs Péremption conso'!$CB8, 'Calculs Péremption conso'!$CB8, AV185)))</f>
        <v>2.7875457875457874</v>
      </c>
      <c r="BC185" s="2162">
        <f>IF(ISERROR(AV185),"", IF(AV185=0, "", IF(AV185&gt;'Calculs Péremption conso'!$CB8, 'Calculs Péremption conso'!$CB8-Paramétrage!$D$29, AW185)))</f>
        <v>-0.21245421245421259</v>
      </c>
      <c r="BD185" s="2167">
        <f>IF(ISERROR(AV185),"", IF(AV185=0, "", IF(AV185&gt;'Calculs Péremption conso'!$CB8, Paramétrage!$D$29, AX185)))</f>
        <v>2.7875457875457874</v>
      </c>
      <c r="BE185" s="2164">
        <f>IF(ISERROR(AV185),"", IF(AV185=0, "", IF(AV185&gt;'Calculs Péremption conso'!$CB8, 'Calculs Péremption conso'!$BX8-Paramétrage!$D$29*(365/12), AY185)))</f>
        <v>41912.53785103785</v>
      </c>
      <c r="BF185" s="2165">
        <f>IF(ISERROR(AV185),"", IF(AV185=0, "", IF(AV185&gt;'Calculs Péremption conso'!$CB8, CONCATENATE('TRAD-Calculs dispo Données FA'!$B$88, " - ", 'Calculs Péremption conso'!$BY8, "/", 'Calculs Péremption conso'!$BZ8, "/", 'Calculs Péremption conso'!$CA8), AZ185)))</f>
        <v>42003.78785103785</v>
      </c>
      <c r="BG185" s="2051"/>
      <c r="BH185" s="2161">
        <f t="shared" si="46"/>
        <v>0</v>
      </c>
      <c r="BI185" s="2162">
        <f>BH185-Paramétrage!D$29</f>
        <v>-3</v>
      </c>
      <c r="BJ185" s="2163">
        <f>IF(BH185&lt;Paramétrage!D$29, BH185, Paramétrage!D$29)</f>
        <v>0</v>
      </c>
      <c r="BK185" s="2163">
        <f t="shared" si="47"/>
        <v>0</v>
      </c>
      <c r="BL185" s="2164">
        <f>Paramétrage!$H$19+BI185*30</f>
        <v>41829</v>
      </c>
      <c r="BM185" s="2165">
        <f>IF(BH185&lt;Paramétrage!$D$29, Paramétrage!$H$19+BJ185*30, Paramétrage!$H$19+BH185*30)</f>
        <v>41919</v>
      </c>
      <c r="BN185" s="2051"/>
      <c r="BO185" s="2161" t="str">
        <f>IF(ISERROR(BH185),"", IF(BH185=0, "", IF(BH185&gt;'Calculs Péremption conso'!$CB8, 'Calculs Péremption conso'!$CB8, BH185)))</f>
        <v/>
      </c>
      <c r="BP185" s="2162" t="str">
        <f>IF(ISERROR(BH185),"", IF(BH185=0, "", IF(BH185&gt;'Calculs Péremption conso'!$CB8, 'Calculs Péremption conso'!$CB8-Paramétrage!$D$29, BI185)))</f>
        <v/>
      </c>
      <c r="BQ185" s="2167" t="str">
        <f>IF(ISERROR(BH185),"", IF(BH185=0, "", IF(BH185&gt;'Calculs Péremption conso'!$CB8, Paramétrage!$D$29, BJ185)))</f>
        <v/>
      </c>
      <c r="BR185" s="2211" t="str">
        <f t="shared" si="48"/>
        <v/>
      </c>
      <c r="BS185" s="2164" t="str">
        <f>IF(ISERROR(BH185),"", IF(BH185=0, "", IF(BH185&gt;'Calculs Péremption conso'!$CB8, 'Calculs Péremption conso'!$BX8-Paramétrage!$D$29*(365/12), BL185)))</f>
        <v/>
      </c>
      <c r="BT185" s="2165" t="str">
        <f>IF(ISERROR(BH185),"", IF(BH185=0, "", IF(BH185&gt;'Calculs Péremption conso'!$CB8, CONCATENATE('TRAD-Calculs dispo Données FA'!$B$88, " - ", 'Calculs Péremption conso'!$BY8, "/", 'Calculs Péremption conso'!$BZ8, "/", 'Calculs Péremption conso'!$CA8), BM185)))</f>
        <v/>
      </c>
      <c r="BV185" s="2061">
        <f>Calculs!$Q263</f>
        <v>1522</v>
      </c>
      <c r="BW185" s="2062">
        <f>Calculs!L318</f>
        <v>546</v>
      </c>
      <c r="BX185" s="2068">
        <f>Calculs!N318</f>
        <v>0</v>
      </c>
      <c r="BY185" s="2070" t="str">
        <f>IF(AND(BX185=0, BV185=0, BW185=0), 'TRAD-Calculs dispo Données FA'!$B$82, "")</f>
        <v/>
      </c>
      <c r="BZ185" s="2062" t="str">
        <f>IF(AND(BX185=0, BV185&gt;0, BW185=0), CONCATENATE(BV185, 'TRAD-Calculs dispo Données FA'!$B$80," =0"), "")</f>
        <v/>
      </c>
      <c r="CA185" s="2063" t="str">
        <f>IF(AND(BV185=0, OR(BW185&gt;=1, BX185&gt;=1)), 'TRAD-Calculs dispo Données FA'!$B$81, "")</f>
        <v/>
      </c>
    </row>
    <row r="186" spans="2:79" s="358" customFormat="1" ht="25.5" x14ac:dyDescent="0.2">
      <c r="C186" s="374"/>
      <c r="D186" s="375"/>
      <c r="E186" s="376" t="str">
        <f>'Saisie données stocks'!F21</f>
        <v>AZT+3TC+ABC</v>
      </c>
      <c r="F186" s="377" t="str">
        <f>'Saisie données stocks'!G21</f>
        <v>Cp</v>
      </c>
      <c r="G186" s="377" t="str">
        <f>'Saisie données stocks'!H21</f>
        <v>300/150/300 mg</v>
      </c>
      <c r="H186" s="378" t="str">
        <f>CONCATENATE(E186, " - ", G186, " - ", 'TRAD-Calculs dispo Données FA'!$B$79,"/", K186)</f>
        <v>AZT+3TC+ABC - 300/150/300 mg - B/60</v>
      </c>
      <c r="I186" s="378">
        <f>Calculs!K104</f>
        <v>2</v>
      </c>
      <c r="J186" s="379">
        <f t="shared" si="36"/>
        <v>60</v>
      </c>
      <c r="K186" s="114">
        <f>Calculs!J104</f>
        <v>60</v>
      </c>
      <c r="L186" s="381">
        <f t="shared" si="37"/>
        <v>1</v>
      </c>
      <c r="M186" s="1820">
        <f>IF('Saisie données stocks'!$O$10='TRAD-Saisie données stocks'!$B$51, 'Calculs Péremption conso'!BU9, Calculs!M264)+IF('Saisie données stocks'!$M$76='TRAD-Saisie données stocks'!$B$51, Calculs!N264, "0")+Calculs!P264</f>
        <v>237.00821917808219</v>
      </c>
      <c r="N186" s="1820">
        <f>Calculs!$L$319</f>
        <v>27</v>
      </c>
      <c r="O186" s="1820">
        <f>Calculs!$N$319</f>
        <v>0</v>
      </c>
      <c r="P186"/>
      <c r="Q186" s="2161">
        <f>IF(Calculs!N319&gt;0, (-(Calculs!N319+2*Calculs!L319)+SQRT((Calculs!N319+2*Calculs!L319)*(Calculs!N319+2*Calculs!L319)+8*Calculs!N319*(M186)))/(2*Calculs!N319), ((M186)/Calculs!L319))</f>
        <v>8.7780821917808218</v>
      </c>
      <c r="R186" s="2162">
        <f>Q186-Paramétrage!D$29</f>
        <v>5.7780821917808218</v>
      </c>
      <c r="S186" s="2163">
        <f>IF(Q186&lt;Paramétrage!D$29, Q186, Paramétrage!D$29)</f>
        <v>3</v>
      </c>
      <c r="T186" s="2164">
        <f>Paramétrage!H$19+R186*30</f>
        <v>42092.342465753427</v>
      </c>
      <c r="U186" s="2165">
        <f>IF(Q186&lt;Paramétrage!D$29, Paramétrage!H$19+S186*30, Paramétrage!H$19+Q186*30)</f>
        <v>42182.342465753427</v>
      </c>
      <c r="V186" s="2051"/>
      <c r="W186" s="2161">
        <f t="shared" si="38"/>
        <v>8.7780821917808218</v>
      </c>
      <c r="X186" s="2162">
        <f t="shared" si="39"/>
        <v>5.7780821917808218</v>
      </c>
      <c r="Y186" s="2167">
        <f t="shared" si="40"/>
        <v>3</v>
      </c>
      <c r="Z186" s="2164">
        <f t="shared" si="41"/>
        <v>42092.342465753427</v>
      </c>
      <c r="AA186" s="2165">
        <f t="shared" si="42"/>
        <v>42182.342465753427</v>
      </c>
      <c r="AB186" s="2051"/>
      <c r="AC186" s="2161">
        <f t="shared" si="43"/>
        <v>0</v>
      </c>
      <c r="AD186" s="2162">
        <f>AC186-Paramétrage!D$29</f>
        <v>-3</v>
      </c>
      <c r="AE186" s="2163">
        <f>IF(AC186&lt;Paramétrage!D$29, AC186, Paramétrage!D$29)</f>
        <v>0</v>
      </c>
      <c r="AF186" s="2163">
        <f t="shared" si="44"/>
        <v>0</v>
      </c>
      <c r="AG186" s="2164">
        <f>Paramétrage!H$19+AD186*30</f>
        <v>41829</v>
      </c>
      <c r="AH186" s="2165">
        <f>IF(AC186&lt;Paramétrage!D$29, Paramétrage!H$19+AE186*30, Paramétrage!H$19+AC186*30)</f>
        <v>41919</v>
      </c>
      <c r="AI186" s="2165">
        <f>'Saisie données stocks'!O142</f>
        <v>0</v>
      </c>
      <c r="AJ186" s="2210" t="str">
        <f>IF(ISERROR(Q186), "0", IF('Saisie données stocks'!O142="", "0", IF(U129&gt;'Saisie données stocks'!$N$14, IF(AI186&gt;(Paramétrage!$H$19+'Saisie données stocks'!$N$14*30), (AI186-(Paramétrage!$H$19+'Saisie données stocks'!$N$14*30))/30, IF(AI186&gt;U129, (AI186-U129)/30, "0")))))</f>
        <v>0</v>
      </c>
      <c r="AK186" s="2162">
        <f>IF(ISERROR(Q129),"0", IF(Q129=0, "0", IF(Q129&gt;'Calculs Péremption FA'!$CB9, 'Calculs Péremption FA'!$CB9, Q129)))</f>
        <v>8.7780821917808218</v>
      </c>
      <c r="AL186" s="2163" t="str">
        <f>IF(ISERROR(AC186),"0", IF(AC186=0, "0", IF(AC186&gt;'Saisie données stocks'!$N$14, 'Saisie données stocks'!$N$14, AC186)))</f>
        <v>0</v>
      </c>
      <c r="AM186" s="2165" t="str">
        <f>IF(ISERROR(Q186),AA186,IF(Calculs!P264=0,AA129,(Paramétrage!$H$19+((AJ186+AK186+AL186)*(365/12)))))</f>
        <v>DLU - 1/7/2015</v>
      </c>
      <c r="AN186" s="2051"/>
      <c r="AO186" s="2161" t="str">
        <f>IF(ISERROR(AC186),"", IF(AC186=0, "", IF(AC186&gt;'Saisie données stocks'!$N$14, 'Saisie données stocks'!$N$14, AC186)))</f>
        <v/>
      </c>
      <c r="AP186" s="2162" t="str">
        <f>IF(ISERROR(AC186),"", IF(AC186=0, "", IF(AC186&gt;'Calculs Péremption conso'!$CB9, 'Calculs Péremption conso'!$CB9-Paramétrage!$D$29, AD186)))</f>
        <v/>
      </c>
      <c r="AQ186" s="2167" t="str">
        <f>IF(ISERROR(AC186),"", IF(AC186=0, "", IF(AC186&gt;'Calculs Péremption conso'!$CB9, Paramétrage!$D$29, AE186)))</f>
        <v/>
      </c>
      <c r="AR186" s="2211" t="str">
        <f t="shared" si="45"/>
        <v/>
      </c>
      <c r="AS186" s="2164" t="str">
        <f>IF(ISERROR(AC186),"", IF(AC186=0, "", IF(AC186&gt;'Calculs Péremption conso'!$CB9, 'Calculs Péremption conso'!$BX9-Paramétrage!$D$29*(365/12), AG186)))</f>
        <v/>
      </c>
      <c r="AT186" s="2165" t="str">
        <f>IF(ISERROR(AC186),"", IF(AC186=0, "", IF(AC186&gt;'Calculs Péremption conso'!$CB9, CONCATENATE('TRAD-Calculs dispo Données FA'!$B$88, " - ", 'Calculs Péremption conso'!$BY9, "/", 'Calculs Péremption conso'!$BZ9, "/", 'Calculs Péremption conso'!$CA9), AH186)))</f>
        <v/>
      </c>
      <c r="AU186" s="2051"/>
      <c r="AV186" s="2161">
        <f>(Calculs!Q264)/Calculs!L319</f>
        <v>24.666666666666668</v>
      </c>
      <c r="AW186" s="2162">
        <f>AV186-Paramétrage!D$29</f>
        <v>21.666666666666668</v>
      </c>
      <c r="AX186" s="2163">
        <f>IF(AV186&lt;Paramétrage!D$29, AV186, Paramétrage!D$29)</f>
        <v>3</v>
      </c>
      <c r="AY186" s="2164">
        <f>Paramétrage!H$19+AW186*(365/12)</f>
        <v>42578.027777777781</v>
      </c>
      <c r="AZ186" s="2165">
        <f>IF(AV186&lt;Paramétrage!D$29, Paramétrage!H$19+AX186*(365/12), Paramétrage!H$19+AV186*(365/12))</f>
        <v>42669.277777777781</v>
      </c>
      <c r="BA186" s="2051"/>
      <c r="BB186" s="2161">
        <f>IF(ISERROR(AV186),"", IF(AV186=0, "", IF(AV186&gt;'Calculs Péremption conso'!$CB9, 'Calculs Péremption conso'!$CB9, AV186)))</f>
        <v>8.7780821917808218</v>
      </c>
      <c r="BC186" s="2162">
        <f>IF(ISERROR(AV186),"", IF(AV186=0, "", IF(AV186&gt;'Calculs Péremption conso'!$CB9, 'Calculs Péremption conso'!$CB9-Paramétrage!$D$29, AW186)))</f>
        <v>5.7780821917808218</v>
      </c>
      <c r="BD186" s="2167">
        <f>IF(ISERROR(AV186),"", IF(AV186=0, "", IF(AV186&gt;'Calculs Péremption conso'!$CB9, Paramétrage!$D$29, AX186)))</f>
        <v>3</v>
      </c>
      <c r="BE186" s="2164">
        <f>IF(ISERROR(AV186),"", IF(AV186=0, "", IF(AV186&gt;'Calculs Péremption conso'!$CB9, 'Calculs Péremption conso'!$BX9-Paramétrage!$D$29*(365/12), AY186)))</f>
        <v>42094.75</v>
      </c>
      <c r="BF186" s="2165" t="str">
        <f>IF(ISERROR(AV186),"", IF(AV186=0, "", IF(AV186&gt;'Calculs Péremption conso'!$CB9, CONCATENATE('TRAD-Calculs dispo Données FA'!$B$88, " - ", 'Calculs Péremption conso'!$BY9, "/", 'Calculs Péremption conso'!$BZ9, "/", 'Calculs Péremption conso'!$CA9), AZ186)))</f>
        <v>DLU - 1/7/2015</v>
      </c>
      <c r="BG186" s="2051"/>
      <c r="BH186" s="2161">
        <f t="shared" si="46"/>
        <v>0</v>
      </c>
      <c r="BI186" s="2162">
        <f>BH186-Paramétrage!D$29</f>
        <v>-3</v>
      </c>
      <c r="BJ186" s="2163">
        <f>IF(BH186&lt;Paramétrage!D$29, BH186, Paramétrage!D$29)</f>
        <v>0</v>
      </c>
      <c r="BK186" s="2163">
        <f t="shared" si="47"/>
        <v>0</v>
      </c>
      <c r="BL186" s="2164">
        <f>Paramétrage!$H$19+BI186*30</f>
        <v>41829</v>
      </c>
      <c r="BM186" s="2165">
        <f>IF(BH186&lt;Paramétrage!$D$29, Paramétrage!$H$19+BJ186*30, Paramétrage!$H$19+BH186*30)</f>
        <v>41919</v>
      </c>
      <c r="BN186" s="2051"/>
      <c r="BO186" s="2161" t="str">
        <f>IF(ISERROR(BH186),"", IF(BH186=0, "", IF(BH186&gt;'Calculs Péremption conso'!$CB9, 'Calculs Péremption conso'!$CB9, BH186)))</f>
        <v/>
      </c>
      <c r="BP186" s="2162" t="str">
        <f>IF(ISERROR(BH186),"", IF(BH186=0, "", IF(BH186&gt;'Calculs Péremption conso'!$CB9, 'Calculs Péremption conso'!$CB9-Paramétrage!$D$29, BI186)))</f>
        <v/>
      </c>
      <c r="BQ186" s="2167" t="str">
        <f>IF(ISERROR(BH186),"", IF(BH186=0, "", IF(BH186&gt;'Calculs Péremption conso'!$CB9, Paramétrage!$D$29, BJ186)))</f>
        <v/>
      </c>
      <c r="BR186" s="2211" t="str">
        <f t="shared" si="48"/>
        <v/>
      </c>
      <c r="BS186" s="2164" t="str">
        <f>IF(ISERROR(BH186),"", IF(BH186=0, "", IF(BH186&gt;'Calculs Péremption conso'!$CB9, 'Calculs Péremption conso'!$BX9-Paramétrage!$D$29*(365/12), BL186)))</f>
        <v/>
      </c>
      <c r="BT186" s="2165" t="str">
        <f>IF(ISERROR(BH186),"", IF(BH186=0, "", IF(BH186&gt;'Calculs Péremption conso'!$CB9, CONCATENATE('TRAD-Calculs dispo Données FA'!$B$88, " - ", 'Calculs Péremption conso'!$BY9, "/", 'Calculs Péremption conso'!$BZ9, "/", 'Calculs Péremption conso'!$CA9), BM186)))</f>
        <v/>
      </c>
      <c r="BV186" s="2061">
        <f>Calculs!$Q264</f>
        <v>666</v>
      </c>
      <c r="BW186" s="2062">
        <f>Calculs!L319</f>
        <v>27</v>
      </c>
      <c r="BX186" s="2068">
        <f>Calculs!N319</f>
        <v>0</v>
      </c>
      <c r="BY186" s="2070" t="str">
        <f>IF(AND(BX186=0, BV186=0, BW186=0), 'TRAD-Calculs dispo Données FA'!$B$82, "")</f>
        <v/>
      </c>
      <c r="BZ186" s="2062" t="str">
        <f>IF(AND(BX186=0, BV186&gt;0, BW186=0), CONCATENATE(BV186, 'TRAD-Calculs dispo Données FA'!$B$80," =0"), "")</f>
        <v/>
      </c>
      <c r="CA186" s="2063" t="str">
        <f>IF(AND(BV186=0, OR(BW186&gt;=1, BX186&gt;=1)), 'TRAD-Calculs dispo Données FA'!$B$81, "")</f>
        <v/>
      </c>
    </row>
    <row r="187" spans="2:79" s="358" customFormat="1" ht="25.5" x14ac:dyDescent="0.2">
      <c r="C187" s="374"/>
      <c r="D187" s="375"/>
      <c r="E187" s="376" t="str">
        <f>'Saisie données stocks'!F22</f>
        <v>AZT+3TC</v>
      </c>
      <c r="F187" s="377" t="str">
        <f>'Saisie données stocks'!G22</f>
        <v>Cp</v>
      </c>
      <c r="G187" s="377" t="str">
        <f>'Saisie données stocks'!H22</f>
        <v>300/150 mg</v>
      </c>
      <c r="H187" s="378" t="str">
        <f>CONCATENATE(E187, " - ", G187, " - ", 'TRAD-Calculs dispo Données FA'!$B$79,"/", K187)</f>
        <v>AZT+3TC - 300/150 mg - B/60</v>
      </c>
      <c r="I187" s="378">
        <f>Calculs!K105</f>
        <v>2</v>
      </c>
      <c r="J187" s="379">
        <f t="shared" si="36"/>
        <v>60</v>
      </c>
      <c r="K187" s="114">
        <f>Calculs!J105</f>
        <v>60</v>
      </c>
      <c r="L187" s="381">
        <f t="shared" si="37"/>
        <v>1</v>
      </c>
      <c r="M187" s="1820">
        <f>IF('Saisie données stocks'!$O$10='TRAD-Saisie données stocks'!$B$51, 'Calculs Péremption conso'!BU10, Calculs!M265)+IF('Saisie données stocks'!$M$76='TRAD-Saisie données stocks'!$B$51, Calculs!N265, "0")+Calculs!P265</f>
        <v>12350</v>
      </c>
      <c r="N187" s="1820">
        <f>Calculs!$L$320</f>
        <v>1267</v>
      </c>
      <c r="O187" s="1820">
        <f>Calculs!$N$320</f>
        <v>0</v>
      </c>
      <c r="P187"/>
      <c r="Q187" s="2161">
        <f>IF(Calculs!N320&gt;0, (-(Calculs!N320+2*Calculs!L320)+SQRT((Calculs!N320+2*Calculs!L320)*(Calculs!N320+2*Calculs!L320)+8*Calculs!N320*(M187)))/(2*Calculs!N320), ((M187)/Calculs!L320))</f>
        <v>9.7474348855564319</v>
      </c>
      <c r="R187" s="2162">
        <f>Q187-Paramétrage!D$29</f>
        <v>6.7474348855564319</v>
      </c>
      <c r="S187" s="2163">
        <f>IF(Q187&lt;Paramétrage!D$29, Q187, Paramétrage!D$29)</f>
        <v>3</v>
      </c>
      <c r="T187" s="2164">
        <f>Paramétrage!H$19+R187*30</f>
        <v>42121.423046566691</v>
      </c>
      <c r="U187" s="2165">
        <f>IF(Q187&lt;Paramétrage!D$29, Paramétrage!H$19+S187*30, Paramétrage!H$19+Q187*30)</f>
        <v>42211.423046566691</v>
      </c>
      <c r="V187" s="2051"/>
      <c r="W187" s="2161">
        <f t="shared" si="38"/>
        <v>9.7474348855564319</v>
      </c>
      <c r="X187" s="2162">
        <f t="shared" si="39"/>
        <v>6.7474348855564319</v>
      </c>
      <c r="Y187" s="2167">
        <f t="shared" si="40"/>
        <v>3</v>
      </c>
      <c r="Z187" s="2164">
        <f t="shared" si="41"/>
        <v>42121.423046566691</v>
      </c>
      <c r="AA187" s="2165">
        <f t="shared" si="42"/>
        <v>42211.423046566691</v>
      </c>
      <c r="AB187" s="2051"/>
      <c r="AC187" s="2161">
        <f t="shared" si="43"/>
        <v>0</v>
      </c>
      <c r="AD187" s="2162">
        <f>AC187-Paramétrage!D$29</f>
        <v>-3</v>
      </c>
      <c r="AE187" s="2163">
        <f>IF(AC187&lt;Paramétrage!D$29, AC187, Paramétrage!D$29)</f>
        <v>0</v>
      </c>
      <c r="AF187" s="2163">
        <f t="shared" si="44"/>
        <v>0</v>
      </c>
      <c r="AG187" s="2164">
        <f>Paramétrage!H$19+AD187*30</f>
        <v>41829</v>
      </c>
      <c r="AH187" s="2165">
        <f>IF(AC187&lt;Paramétrage!D$29, Paramétrage!H$19+AE187*30, Paramétrage!H$19+AC187*30)</f>
        <v>41919</v>
      </c>
      <c r="AI187" s="2165">
        <f>'Saisie données stocks'!O143</f>
        <v>0</v>
      </c>
      <c r="AJ187" s="2210" t="str">
        <f>IF(ISERROR(Q187), "0", IF('Saisie données stocks'!O143="", "0", IF(U130&gt;'Saisie données stocks'!$N$14, IF(AI187&gt;(Paramétrage!$H$19+'Saisie données stocks'!$N$14*30), (AI187-(Paramétrage!$H$19+'Saisie données stocks'!$N$14*30))/30, IF(AI187&gt;U130, (AI187-U130)/30, "0")))))</f>
        <v>0</v>
      </c>
      <c r="AK187" s="2162">
        <f>IF(ISERROR(Q130),"0", IF(Q130=0, "0", IF(Q130&gt;'Calculs Péremption FA'!$CB10, 'Calculs Péremption FA'!$CB10, Q130)))</f>
        <v>9.7474348855564319</v>
      </c>
      <c r="AL187" s="2163" t="str">
        <f>IF(ISERROR(AC187),"0", IF(AC187=0, "0", IF(AC187&gt;'Saisie données stocks'!$N$14, 'Saisie données stocks'!$N$14, AC187)))</f>
        <v>0</v>
      </c>
      <c r="AM187" s="2165">
        <f>IF(ISERROR(Q187),AA187,IF(Calculs!P265=0,AA130,(Paramétrage!$H$19+((AJ187+AK187+AL187)*(365/12)))))</f>
        <v>42215.484477769009</v>
      </c>
      <c r="AN187" s="2051"/>
      <c r="AO187" s="2161" t="str">
        <f>IF(ISERROR(AC187),"", IF(AC187=0, "", IF(AC187&gt;'Saisie données stocks'!$N$14, 'Saisie données stocks'!$N$14, AC187)))</f>
        <v/>
      </c>
      <c r="AP187" s="2162" t="str">
        <f>IF(ISERROR(AC187),"", IF(AC187=0, "", IF(AC187&gt;'Calculs Péremption conso'!$CB10, 'Calculs Péremption conso'!$CB10-Paramétrage!$D$29, AD187)))</f>
        <v/>
      </c>
      <c r="AQ187" s="2167" t="str">
        <f>IF(ISERROR(AC187),"", IF(AC187=0, "", IF(AC187&gt;'Calculs Péremption conso'!$CB10, Paramétrage!$D$29, AE187)))</f>
        <v/>
      </c>
      <c r="AR187" s="2211" t="str">
        <f t="shared" si="45"/>
        <v/>
      </c>
      <c r="AS187" s="2164" t="str">
        <f>IF(ISERROR(AC187),"", IF(AC187=0, "", IF(AC187&gt;'Calculs Péremption conso'!$CB10, 'Calculs Péremption conso'!$BX10-Paramétrage!$D$29*(365/12), AG187)))</f>
        <v/>
      </c>
      <c r="AT187" s="2165" t="str">
        <f>IF(ISERROR(AC187),"", IF(AC187=0, "", IF(AC187&gt;'Calculs Péremption conso'!$CB10, CONCATENATE('TRAD-Calculs dispo Données FA'!$B$88, " - ", 'Calculs Péremption conso'!$BY10, "/", 'Calculs Péremption conso'!$BZ10, "/", 'Calculs Péremption conso'!$CA10), AH187)))</f>
        <v/>
      </c>
      <c r="AU187" s="2051"/>
      <c r="AV187" s="2161">
        <f>(Calculs!Q265)/Calculs!L320</f>
        <v>9.7474348855564319</v>
      </c>
      <c r="AW187" s="2162">
        <f>AV187-Paramétrage!D$29</f>
        <v>6.7474348855564319</v>
      </c>
      <c r="AX187" s="2163">
        <f>IF(AV187&lt;Paramétrage!D$29, AV187, Paramétrage!D$29)</f>
        <v>3</v>
      </c>
      <c r="AY187" s="2164">
        <f>Paramétrage!H$19+AW187*(365/12)</f>
        <v>42124.234477769009</v>
      </c>
      <c r="AZ187" s="2165">
        <f>IF(AV187&lt;Paramétrage!D$29, Paramétrage!H$19+AX187*(365/12), Paramétrage!H$19+AV187*(365/12))</f>
        <v>42215.484477769009</v>
      </c>
      <c r="BA187" s="2051"/>
      <c r="BB187" s="2161">
        <f>IF(ISERROR(AV187),"", IF(AV187=0, "", IF(AV187&gt;'Calculs Péremption conso'!$CB10, 'Calculs Péremption conso'!$CB10, AV187)))</f>
        <v>9.7474348855564319</v>
      </c>
      <c r="BC187" s="2162">
        <f>IF(ISERROR(AV187),"", IF(AV187=0, "", IF(AV187&gt;'Calculs Péremption conso'!$CB10, 'Calculs Péremption conso'!$CB10-Paramétrage!$D$29, AW187)))</f>
        <v>6.7474348855564319</v>
      </c>
      <c r="BD187" s="2167">
        <f>IF(ISERROR(AV187),"", IF(AV187=0, "", IF(AV187&gt;'Calculs Péremption conso'!$CB10, Paramétrage!$D$29, AX187)))</f>
        <v>3</v>
      </c>
      <c r="BE187" s="2164">
        <f>IF(ISERROR(AV187),"", IF(AV187=0, "", IF(AV187&gt;'Calculs Péremption conso'!$CB10, 'Calculs Péremption conso'!$BX10-Paramétrage!$D$29*(365/12), AY187)))</f>
        <v>42124.234477769009</v>
      </c>
      <c r="BF187" s="2165">
        <f>IF(ISERROR(AV187),"", IF(AV187=0, "", IF(AV187&gt;'Calculs Péremption conso'!$CB10, CONCATENATE('TRAD-Calculs dispo Données FA'!$B$88, " - ", 'Calculs Péremption conso'!$BY10, "/", 'Calculs Péremption conso'!$BZ10, "/", 'Calculs Péremption conso'!$CA10), AZ187)))</f>
        <v>42215.484477769009</v>
      </c>
      <c r="BG187" s="2051"/>
      <c r="BH187" s="2161">
        <f t="shared" si="46"/>
        <v>0</v>
      </c>
      <c r="BI187" s="2162">
        <f>BH187-Paramétrage!D$29</f>
        <v>-3</v>
      </c>
      <c r="BJ187" s="2163">
        <f>IF(BH187&lt;Paramétrage!D$29, BH187, Paramétrage!D$29)</f>
        <v>0</v>
      </c>
      <c r="BK187" s="2163">
        <f t="shared" si="47"/>
        <v>0</v>
      </c>
      <c r="BL187" s="2164">
        <f>Paramétrage!$H$19+BI187*30</f>
        <v>41829</v>
      </c>
      <c r="BM187" s="2165">
        <f>IF(BH187&lt;Paramétrage!$D$29, Paramétrage!$H$19+BJ187*30, Paramétrage!$H$19+BH187*30)</f>
        <v>41919</v>
      </c>
      <c r="BN187" s="2051"/>
      <c r="BO187" s="2161" t="str">
        <f>IF(ISERROR(BH187),"", IF(BH187=0, "", IF(BH187&gt;'Calculs Péremption conso'!$CB10, 'Calculs Péremption conso'!$CB10, BH187)))</f>
        <v/>
      </c>
      <c r="BP187" s="2162" t="str">
        <f>IF(ISERROR(BH187),"", IF(BH187=0, "", IF(BH187&gt;'Calculs Péremption conso'!$CB10, 'Calculs Péremption conso'!$CB10-Paramétrage!$D$29, BI187)))</f>
        <v/>
      </c>
      <c r="BQ187" s="2167" t="str">
        <f>IF(ISERROR(BH187),"", IF(BH187=0, "", IF(BH187&gt;'Calculs Péremption conso'!$CB10, Paramétrage!$D$29, BJ187)))</f>
        <v/>
      </c>
      <c r="BR187" s="2211" t="str">
        <f t="shared" si="48"/>
        <v/>
      </c>
      <c r="BS187" s="2164" t="str">
        <f>IF(ISERROR(BH187),"", IF(BH187=0, "", IF(BH187&gt;'Calculs Péremption conso'!$CB10, 'Calculs Péremption conso'!$BX10-Paramétrage!$D$29*(365/12), BL187)))</f>
        <v/>
      </c>
      <c r="BT187" s="2165" t="str">
        <f>IF(ISERROR(BH187),"", IF(BH187=0, "", IF(BH187&gt;'Calculs Péremption conso'!$CB10, CONCATENATE('TRAD-Calculs dispo Données FA'!$B$88, " - ", 'Calculs Péremption conso'!$BY10, "/", 'Calculs Péremption conso'!$BZ10, "/", 'Calculs Péremption conso'!$CA10), BM187)))</f>
        <v/>
      </c>
      <c r="BV187" s="2061">
        <f>Calculs!$Q265</f>
        <v>12350</v>
      </c>
      <c r="BW187" s="2062">
        <f>Calculs!L320</f>
        <v>1267</v>
      </c>
      <c r="BX187" s="2068">
        <f>Calculs!N320</f>
        <v>0</v>
      </c>
      <c r="BY187" s="2070" t="str">
        <f>IF(AND(BX187=0, BV187=0, BW187=0), 'TRAD-Calculs dispo Données FA'!$B$82, "")</f>
        <v/>
      </c>
      <c r="BZ187" s="2062" t="str">
        <f>IF(AND(BX187=0, BV187&gt;0, BW187=0), CONCATENATE(BV187, 'TRAD-Calculs dispo Données FA'!$B$80," =0"), "")</f>
        <v/>
      </c>
      <c r="CA187" s="2063" t="str">
        <f>IF(AND(BV187=0, OR(BW187&gt;=1, BX187&gt;=1)), 'TRAD-Calculs dispo Données FA'!$B$81, "")</f>
        <v/>
      </c>
    </row>
    <row r="188" spans="2:79" s="358" customFormat="1" x14ac:dyDescent="0.2">
      <c r="C188" s="374"/>
      <c r="D188" s="375"/>
      <c r="E188" s="376" t="str">
        <f>'Saisie données stocks'!F23</f>
        <v>AZT+3TC</v>
      </c>
      <c r="F188" s="377" t="str">
        <f>'Saisie données stocks'!G23</f>
        <v>Cp</v>
      </c>
      <c r="G188" s="377" t="str">
        <f>'Saisie données stocks'!H23</f>
        <v>60/30 mg</v>
      </c>
      <c r="H188" s="378" t="str">
        <f>CONCATENATE(E188, " - ", G188, " - ", 'TRAD-Calculs dispo Données FA'!$B$79,"/", K188)</f>
        <v>AZT+3TC - 60/30 mg - B/60</v>
      </c>
      <c r="I188" s="378">
        <f>Calculs!K106</f>
        <v>2</v>
      </c>
      <c r="J188" s="379">
        <f t="shared" si="36"/>
        <v>60</v>
      </c>
      <c r="K188" s="114">
        <f>Calculs!J106</f>
        <v>60</v>
      </c>
      <c r="L188" s="381">
        <f t="shared" si="37"/>
        <v>1</v>
      </c>
      <c r="M188" s="1820">
        <f>IF('Saisie données stocks'!$O$10='TRAD-Saisie données stocks'!$B$51, 'Calculs Péremption conso'!BU11, Calculs!M266)+IF('Saisie données stocks'!$M$76='TRAD-Saisie données stocks'!$B$51, Calculs!N266, "0")+Calculs!P266</f>
        <v>903</v>
      </c>
      <c r="N188" s="1820">
        <f>Calculs!$L$321</f>
        <v>146</v>
      </c>
      <c r="O188" s="1820">
        <f>Calculs!$N$321</f>
        <v>0</v>
      </c>
      <c r="P188"/>
      <c r="Q188" s="2161">
        <f>IF(Calculs!N321&gt;0, (-(Calculs!N321+2*Calculs!L321)+SQRT((Calculs!N321+2*Calculs!L321)*(Calculs!N321+2*Calculs!L321)+8*Calculs!N321*(M188)))/(2*Calculs!N321), ((M188)/Calculs!L321))</f>
        <v>6.1849315068493151</v>
      </c>
      <c r="R188" s="2162">
        <f>Q188-Paramétrage!D$29</f>
        <v>3.1849315068493151</v>
      </c>
      <c r="S188" s="2163">
        <f>IF(Q188&lt;Paramétrage!D$29, Q188, Paramétrage!D$29)</f>
        <v>3</v>
      </c>
      <c r="T188" s="2164">
        <f>Paramétrage!H$19+R188*30</f>
        <v>42014.547945205479</v>
      </c>
      <c r="U188" s="2165">
        <f>IF(Q188&lt;Paramétrage!D$29, Paramétrage!H$19+S188*30, Paramétrage!H$19+Q188*30)</f>
        <v>42104.547945205479</v>
      </c>
      <c r="V188" s="2051"/>
      <c r="W188" s="2161">
        <f t="shared" si="38"/>
        <v>6.1849315068493151</v>
      </c>
      <c r="X188" s="2162">
        <f t="shared" si="39"/>
        <v>3.1849315068493151</v>
      </c>
      <c r="Y188" s="2167">
        <f t="shared" si="40"/>
        <v>3</v>
      </c>
      <c r="Z188" s="2164">
        <f t="shared" si="41"/>
        <v>42014.547945205479</v>
      </c>
      <c r="AA188" s="2165">
        <f t="shared" si="42"/>
        <v>42104.547945205479</v>
      </c>
      <c r="AB188" s="2051"/>
      <c r="AC188" s="2161">
        <f t="shared" si="43"/>
        <v>0</v>
      </c>
      <c r="AD188" s="2162">
        <f>AC188-Paramétrage!D$29</f>
        <v>-3</v>
      </c>
      <c r="AE188" s="2163">
        <f>IF(AC188&lt;Paramétrage!D$29, AC188, Paramétrage!D$29)</f>
        <v>0</v>
      </c>
      <c r="AF188" s="2163">
        <f t="shared" si="44"/>
        <v>0</v>
      </c>
      <c r="AG188" s="2164">
        <f>Paramétrage!H$19+AD188*30</f>
        <v>41829</v>
      </c>
      <c r="AH188" s="2165">
        <f>IF(AC188&lt;Paramétrage!D$29, Paramétrage!H$19+AE188*30, Paramétrage!H$19+AC188*30)</f>
        <v>41919</v>
      </c>
      <c r="AI188" s="2165">
        <f>'Saisie données stocks'!O144</f>
        <v>0</v>
      </c>
      <c r="AJ188" s="2210" t="str">
        <f>IF(ISERROR(Q188), "0", IF('Saisie données stocks'!O144="", "0", IF(U131&gt;'Saisie données stocks'!$N$14, IF(AI188&gt;(Paramétrage!$H$19+'Saisie données stocks'!$N$14*30), (AI188-(Paramétrage!$H$19+'Saisie données stocks'!$N$14*30))/30, IF(AI188&gt;U131, (AI188-U131)/30, "0")))))</f>
        <v>0</v>
      </c>
      <c r="AK188" s="2162">
        <f>IF(ISERROR(Q131),"0", IF(Q131=0, "0", IF(Q131&gt;'Calculs Péremption FA'!$CB11, 'Calculs Péremption FA'!$CB11, Q131)))</f>
        <v>6.1849315068493151</v>
      </c>
      <c r="AL188" s="2163" t="str">
        <f>IF(ISERROR(AC188),"0", IF(AC188=0, "0", IF(AC188&gt;'Saisie données stocks'!$N$14, 'Saisie données stocks'!$N$14, AC188)))</f>
        <v>0</v>
      </c>
      <c r="AM188" s="2165">
        <f>IF(ISERROR(Q188),AA188,IF(Calculs!P266=0,AA131,(Paramétrage!$H$19+((AJ188+AK188+AL188)*(365/12)))))</f>
        <v>42107.125</v>
      </c>
      <c r="AN188" s="2051"/>
      <c r="AO188" s="2161" t="str">
        <f>IF(ISERROR(AC188),"", IF(AC188=0, "", IF(AC188&gt;'Saisie données stocks'!$N$14, 'Saisie données stocks'!$N$14, AC188)))</f>
        <v/>
      </c>
      <c r="AP188" s="2162" t="str">
        <f>IF(ISERROR(AC188),"", IF(AC188=0, "", IF(AC188&gt;'Calculs Péremption conso'!$CB11, 'Calculs Péremption conso'!$CB11-Paramétrage!$D$29, AD188)))</f>
        <v/>
      </c>
      <c r="AQ188" s="2167" t="str">
        <f>IF(ISERROR(AC188),"", IF(AC188=0, "", IF(AC188&gt;'Calculs Péremption conso'!$CB11, Paramétrage!$D$29, AE188)))</f>
        <v/>
      </c>
      <c r="AR188" s="2211" t="str">
        <f t="shared" si="45"/>
        <v/>
      </c>
      <c r="AS188" s="2164" t="str">
        <f>IF(ISERROR(AC188),"", IF(AC188=0, "", IF(AC188&gt;'Calculs Péremption conso'!$CB11, 'Calculs Péremption conso'!$BX11-Paramétrage!$D$29*(365/12), AG188)))</f>
        <v/>
      </c>
      <c r="AT188" s="2165" t="str">
        <f>IF(ISERROR(AC188),"", IF(AC188=0, "", IF(AC188&gt;'Calculs Péremption conso'!$CB11, CONCATENATE('TRAD-Calculs dispo Données FA'!$B$88, " - ", 'Calculs Péremption conso'!$BY11, "/", 'Calculs Péremption conso'!$BZ11, "/", 'Calculs Péremption conso'!$CA11), AH188)))</f>
        <v/>
      </c>
      <c r="AU188" s="2051"/>
      <c r="AV188" s="2161">
        <f>(Calculs!Q266)/Calculs!L321</f>
        <v>6.1849315068493151</v>
      </c>
      <c r="AW188" s="2162">
        <f>AV188-Paramétrage!D$29</f>
        <v>3.1849315068493151</v>
      </c>
      <c r="AX188" s="2163">
        <f>IF(AV188&lt;Paramétrage!D$29, AV188, Paramétrage!D$29)</f>
        <v>3</v>
      </c>
      <c r="AY188" s="2164">
        <f>Paramétrage!H$19+AW188*(365/12)</f>
        <v>42015.875</v>
      </c>
      <c r="AZ188" s="2165">
        <f>IF(AV188&lt;Paramétrage!D$29, Paramétrage!H$19+AX188*(365/12), Paramétrage!H$19+AV188*(365/12))</f>
        <v>42107.125</v>
      </c>
      <c r="BA188" s="2051"/>
      <c r="BB188" s="2161">
        <f>IF(ISERROR(AV188),"", IF(AV188=0, "", IF(AV188&gt;'Calculs Péremption conso'!$CB11, 'Calculs Péremption conso'!$CB11, AV188)))</f>
        <v>6.1849315068493151</v>
      </c>
      <c r="BC188" s="2162">
        <f>IF(ISERROR(AV188),"", IF(AV188=0, "", IF(AV188&gt;'Calculs Péremption conso'!$CB11, 'Calculs Péremption conso'!$CB11-Paramétrage!$D$29, AW188)))</f>
        <v>3.1849315068493151</v>
      </c>
      <c r="BD188" s="2167">
        <f>IF(ISERROR(AV188),"", IF(AV188=0, "", IF(AV188&gt;'Calculs Péremption conso'!$CB11, Paramétrage!$D$29, AX188)))</f>
        <v>3</v>
      </c>
      <c r="BE188" s="2164">
        <f>IF(ISERROR(AV188),"", IF(AV188=0, "", IF(AV188&gt;'Calculs Péremption conso'!$CB11, 'Calculs Péremption conso'!$BX11-Paramétrage!$D$29*(365/12), AY188)))</f>
        <v>42015.875</v>
      </c>
      <c r="BF188" s="2165">
        <f>IF(ISERROR(AV188),"", IF(AV188=0, "", IF(AV188&gt;'Calculs Péremption conso'!$CB11, CONCATENATE('TRAD-Calculs dispo Données FA'!$B$88, " - ", 'Calculs Péremption conso'!$BY11, "/", 'Calculs Péremption conso'!$BZ11, "/", 'Calculs Péremption conso'!$CA11), AZ188)))</f>
        <v>42107.125</v>
      </c>
      <c r="BG188" s="2051"/>
      <c r="BH188" s="2161">
        <f t="shared" si="46"/>
        <v>0</v>
      </c>
      <c r="BI188" s="2162">
        <f>BH188-Paramétrage!D$29</f>
        <v>-3</v>
      </c>
      <c r="BJ188" s="2163">
        <f>IF(BH188&lt;Paramétrage!D$29, BH188, Paramétrage!D$29)</f>
        <v>0</v>
      </c>
      <c r="BK188" s="2163">
        <f t="shared" si="47"/>
        <v>0</v>
      </c>
      <c r="BL188" s="2164">
        <f>Paramétrage!$H$19+BI188*30</f>
        <v>41829</v>
      </c>
      <c r="BM188" s="2165">
        <f>IF(BH188&lt;Paramétrage!$D$29, Paramétrage!$H$19+BJ188*30, Paramétrage!$H$19+BH188*30)</f>
        <v>41919</v>
      </c>
      <c r="BN188" s="2051"/>
      <c r="BO188" s="2161" t="str">
        <f>IF(ISERROR(BH188),"", IF(BH188=0, "", IF(BH188&gt;'Calculs Péremption conso'!$CB11, 'Calculs Péremption conso'!$CB11, BH188)))</f>
        <v/>
      </c>
      <c r="BP188" s="2162" t="str">
        <f>IF(ISERROR(BH188),"", IF(BH188=0, "", IF(BH188&gt;'Calculs Péremption conso'!$CB11, 'Calculs Péremption conso'!$CB11-Paramétrage!$D$29, BI188)))</f>
        <v/>
      </c>
      <c r="BQ188" s="2167" t="str">
        <f>IF(ISERROR(BH188),"", IF(BH188=0, "", IF(BH188&gt;'Calculs Péremption conso'!$CB11, Paramétrage!$D$29, BJ188)))</f>
        <v/>
      </c>
      <c r="BR188" s="2211" t="str">
        <f t="shared" si="48"/>
        <v/>
      </c>
      <c r="BS188" s="2164" t="str">
        <f>IF(ISERROR(BH188),"", IF(BH188=0, "", IF(BH188&gt;'Calculs Péremption conso'!$CB11, 'Calculs Péremption conso'!$BX11-Paramétrage!$D$29*(365/12), BL188)))</f>
        <v/>
      </c>
      <c r="BT188" s="2165" t="str">
        <f>IF(ISERROR(BH188),"", IF(BH188=0, "", IF(BH188&gt;'Calculs Péremption conso'!$CB11, CONCATENATE('TRAD-Calculs dispo Données FA'!$B$88, " - ", 'Calculs Péremption conso'!$BY11, "/", 'Calculs Péremption conso'!$BZ11, "/", 'Calculs Péremption conso'!$CA11), BM188)))</f>
        <v/>
      </c>
      <c r="BV188" s="2061">
        <f>Calculs!$Q266</f>
        <v>903</v>
      </c>
      <c r="BW188" s="2062">
        <f>Calculs!L321</f>
        <v>146</v>
      </c>
      <c r="BX188" s="2068">
        <f>Calculs!N321</f>
        <v>0</v>
      </c>
      <c r="BY188" s="2070" t="str">
        <f>IF(AND(BX188=0, BV188=0, BW188=0), 'TRAD-Calculs dispo Données FA'!$B$82, "")</f>
        <v/>
      </c>
      <c r="BZ188" s="2062" t="str">
        <f>IF(AND(BX188=0, BV188&gt;0, BW188=0), CONCATENATE(BV188, 'TRAD-Calculs dispo Données FA'!$B$80," =0"), "")</f>
        <v/>
      </c>
      <c r="CA188" s="2063" t="str">
        <f>IF(AND(BV188=0, OR(BW188&gt;=1, BX188&gt;=1)), 'TRAD-Calculs dispo Données FA'!$B$81, "")</f>
        <v/>
      </c>
    </row>
    <row r="189" spans="2:79" s="358" customFormat="1" ht="25.5" x14ac:dyDescent="0.2">
      <c r="C189" s="374"/>
      <c r="D189" s="375"/>
      <c r="E189" s="376" t="str">
        <f>'Saisie données stocks'!F24</f>
        <v>3TC+ABC</v>
      </c>
      <c r="F189" s="377" t="str">
        <f>'Saisie données stocks'!G24</f>
        <v>Cp</v>
      </c>
      <c r="G189" s="377" t="str">
        <f>'Saisie données stocks'!H24</f>
        <v>300/600 mg</v>
      </c>
      <c r="H189" s="378" t="str">
        <f>CONCATENATE(E189, " - ", G189, " - ", 'TRAD-Calculs dispo Données FA'!$B$79,"/", K189)</f>
        <v>3TC+ABC - 300/600 mg - B/30</v>
      </c>
      <c r="I189" s="378">
        <f>Calculs!K107</f>
        <v>1</v>
      </c>
      <c r="J189" s="378">
        <f t="shared" si="36"/>
        <v>30</v>
      </c>
      <c r="K189" s="114">
        <f>Calculs!J107</f>
        <v>30</v>
      </c>
      <c r="L189" s="381">
        <f t="shared" si="37"/>
        <v>1</v>
      </c>
      <c r="M189" s="1820">
        <f>IF('Saisie données stocks'!$O$10='TRAD-Saisie données stocks'!$B$51, 'Calculs Péremption conso'!BU12, Calculs!M267)+IF('Saisie données stocks'!$M$76='TRAD-Saisie données stocks'!$B$51, Calculs!N267, "0")+Calculs!P267</f>
        <v>492</v>
      </c>
      <c r="N189" s="1820">
        <f>Calculs!$L$322</f>
        <v>56</v>
      </c>
      <c r="O189" s="1820">
        <f>Calculs!$N$322</f>
        <v>0</v>
      </c>
      <c r="P189"/>
      <c r="Q189" s="2161">
        <f>IF(Calculs!N322&gt;0, (-(Calculs!N322+2*Calculs!L322)+SQRT((Calculs!N322+2*Calculs!L322)*(Calculs!N322+2*Calculs!L322)+8*Calculs!N322*(M189)))/(2*Calculs!N322), ((M189)/Calculs!L322))</f>
        <v>8.7857142857142865</v>
      </c>
      <c r="R189" s="2162">
        <f>Q189-Paramétrage!D$29</f>
        <v>5.7857142857142865</v>
      </c>
      <c r="S189" s="2163">
        <f>IF(Q189&lt;Paramétrage!D$29, Q189, Paramétrage!D$29)</f>
        <v>3</v>
      </c>
      <c r="T189" s="2164">
        <f>Paramétrage!H$19+R189*30</f>
        <v>42092.571428571428</v>
      </c>
      <c r="U189" s="2165">
        <f>IF(Q189&lt;Paramétrage!D$29, Paramétrage!H$19+S189*30, Paramétrage!H$19+Q189*30)</f>
        <v>42182.571428571428</v>
      </c>
      <c r="V189" s="2051"/>
      <c r="W189" s="2161">
        <f t="shared" si="38"/>
        <v>8.7857142857142865</v>
      </c>
      <c r="X189" s="2162">
        <f t="shared" si="39"/>
        <v>5.7857142857142865</v>
      </c>
      <c r="Y189" s="2167">
        <f t="shared" si="40"/>
        <v>3</v>
      </c>
      <c r="Z189" s="2164">
        <f t="shared" si="41"/>
        <v>42092.571428571428</v>
      </c>
      <c r="AA189" s="2165">
        <f t="shared" si="42"/>
        <v>42182.571428571428</v>
      </c>
      <c r="AB189" s="2051"/>
      <c r="AC189" s="2161">
        <f t="shared" si="43"/>
        <v>5.4464285714285721</v>
      </c>
      <c r="AD189" s="2162">
        <f>AC189-Paramétrage!D$29</f>
        <v>2.4464285714285721</v>
      </c>
      <c r="AE189" s="2163">
        <f>IF(AC189&lt;Paramétrage!D$29, AC189, Paramétrage!D$29)</f>
        <v>3</v>
      </c>
      <c r="AF189" s="2163">
        <f t="shared" si="44"/>
        <v>2.4464285714285721</v>
      </c>
      <c r="AG189" s="2164">
        <f>Paramétrage!H$19+AD189*30</f>
        <v>41992.392857142855</v>
      </c>
      <c r="AH189" s="2165">
        <f>IF(AC189&lt;Paramétrage!D$29, Paramétrage!H$19+AE189*30, Paramétrage!H$19+AC189*30)</f>
        <v>42082.392857142855</v>
      </c>
      <c r="AI189" s="2165">
        <f>'Saisie données stocks'!O145</f>
        <v>41944</v>
      </c>
      <c r="AJ189" s="2210" t="str">
        <f>IF(ISERROR(Q189), "0", IF('Saisie données stocks'!O145="", "0", IF(U132&gt;'Saisie données stocks'!$N$14, IF(AI189&gt;(Paramétrage!$H$19+'Saisie données stocks'!$N$14*30), (AI189-(Paramétrage!$H$19+'Saisie données stocks'!$N$14*30))/30, IF(AI189&gt;U132, (AI189-U132)/30, "0")))))</f>
        <v>0</v>
      </c>
      <c r="AK189" s="2162">
        <f>IF(ISERROR(Q132),"0", IF(Q132=0, "0", IF(Q132&gt;'Calculs Péremption FA'!$CB12, 'Calculs Péremption FA'!$CB12, Q132)))</f>
        <v>3.3392857142857144</v>
      </c>
      <c r="AL189" s="2163">
        <f>IF(ISERROR(AC189),"0", IF(AC189=0, "0", IF(AC189&gt;'Saisie données stocks'!$N$14, 'Saisie données stocks'!$N$14, AC189)))</f>
        <v>5.4464285714285721</v>
      </c>
      <c r="AM189" s="2165">
        <f>IF(ISERROR(Q189),AA189,IF(Calculs!P267=0,AA132,(Paramétrage!$H$19+((AJ189+AK189+AL189)*(365/12)))))</f>
        <v>42186.232142857145</v>
      </c>
      <c r="AN189" s="2051"/>
      <c r="AO189" s="2161">
        <f>IF(ISERROR(AC189),"", IF(AC189=0, "", IF(AC189&gt;'Saisie données stocks'!$N$14, 'Saisie données stocks'!$N$14, AC189)))</f>
        <v>5.4464285714285721</v>
      </c>
      <c r="AP189" s="2162">
        <f>IF(ISERROR(AC189),"", IF(AC189=0, "", IF(AC189&gt;'Calculs Péremption conso'!$CB12, 'Calculs Péremption conso'!$CB12-Paramétrage!$D$29, AD189)))</f>
        <v>2.4464285714285721</v>
      </c>
      <c r="AQ189" s="2167">
        <f>IF(ISERROR(AC189),"", IF(AC189=0, "", IF(AC189&gt;'Calculs Péremption conso'!$CB12, Paramétrage!$D$29, AE189)))</f>
        <v>3</v>
      </c>
      <c r="AR189" s="2211">
        <f t="shared" si="45"/>
        <v>2.4464285714285721</v>
      </c>
      <c r="AS189" s="2164">
        <f>IF(ISERROR(AC189),"", IF(AC189=0, "", IF(AC189&gt;'Calculs Péremption conso'!$CB12, 'Calculs Péremption conso'!$BX12-Paramétrage!$D$29*(365/12), AG189)))</f>
        <v>41992.392857142855</v>
      </c>
      <c r="AT189" s="2165">
        <f>IF(ISERROR(AC189),"", IF(AC189=0, "", IF(AC189&gt;'Calculs Péremption conso'!$CB12, CONCATENATE('TRAD-Calculs dispo Données FA'!$B$88, " - ", 'Calculs Péremption conso'!$BY12, "/", 'Calculs Péremption conso'!$BZ12, "/", 'Calculs Péremption conso'!$CA12), AH189)))</f>
        <v>42082.392857142855</v>
      </c>
      <c r="AU189" s="2051"/>
      <c r="AV189" s="2161">
        <f>(Calculs!Q267)/Calculs!L322</f>
        <v>8.7857142857142865</v>
      </c>
      <c r="AW189" s="2162">
        <f>AV189-Paramétrage!D$29</f>
        <v>5.7857142857142865</v>
      </c>
      <c r="AX189" s="2163">
        <f>IF(AV189&lt;Paramétrage!D$29, AV189, Paramétrage!D$29)</f>
        <v>3</v>
      </c>
      <c r="AY189" s="2164">
        <f>Paramétrage!H$19+AW189*(365/12)</f>
        <v>42094.982142857145</v>
      </c>
      <c r="AZ189" s="2165">
        <f>IF(AV189&lt;Paramétrage!D$29, Paramétrage!H$19+AX189*(365/12), Paramétrage!H$19+AV189*(365/12))</f>
        <v>42186.232142857145</v>
      </c>
      <c r="BA189" s="2051"/>
      <c r="BB189" s="2161">
        <f>IF(ISERROR(AV189),"", IF(AV189=0, "", IF(AV189&gt;'Calculs Péremption conso'!$CB12, 'Calculs Péremption conso'!$CB12, AV189)))</f>
        <v>8.7857142857142865</v>
      </c>
      <c r="BC189" s="2162">
        <f>IF(ISERROR(AV189),"", IF(AV189=0, "", IF(AV189&gt;'Calculs Péremption conso'!$CB12, 'Calculs Péremption conso'!$CB12-Paramétrage!$D$29, AW189)))</f>
        <v>5.7857142857142865</v>
      </c>
      <c r="BD189" s="2167">
        <f>IF(ISERROR(AV189),"", IF(AV189=0, "", IF(AV189&gt;'Calculs Péremption conso'!$CB12, Paramétrage!$D$29, AX189)))</f>
        <v>3</v>
      </c>
      <c r="BE189" s="2164">
        <f>IF(ISERROR(AV189),"", IF(AV189=0, "", IF(AV189&gt;'Calculs Péremption conso'!$CB12, 'Calculs Péremption conso'!$BX12-Paramétrage!$D$29*(365/12), AY189)))</f>
        <v>42094.982142857145</v>
      </c>
      <c r="BF189" s="2165">
        <f>IF(ISERROR(AV189),"", IF(AV189=0, "", IF(AV189&gt;'Calculs Péremption conso'!$CB12, CONCATENATE('TRAD-Calculs dispo Données FA'!$B$88, " - ", 'Calculs Péremption conso'!$BY12, "/", 'Calculs Péremption conso'!$BZ12, "/", 'Calculs Péremption conso'!$CA12), AZ189)))</f>
        <v>42186.232142857145</v>
      </c>
      <c r="BG189" s="2051"/>
      <c r="BH189" s="2161">
        <f t="shared" si="46"/>
        <v>5.4464285714285721</v>
      </c>
      <c r="BI189" s="2162">
        <f>BH189-Paramétrage!D$29</f>
        <v>2.4464285714285721</v>
      </c>
      <c r="BJ189" s="2163">
        <f>IF(BH189&lt;Paramétrage!D$29, BH189, Paramétrage!D$29)</f>
        <v>3</v>
      </c>
      <c r="BK189" s="2163">
        <f t="shared" si="47"/>
        <v>2.4464285714285721</v>
      </c>
      <c r="BL189" s="2164">
        <f>Paramétrage!$H$19+BI189*30</f>
        <v>41992.392857142855</v>
      </c>
      <c r="BM189" s="2165">
        <f>IF(BH189&lt;Paramétrage!$D$29, Paramétrage!$H$19+BJ189*30, Paramétrage!$H$19+BH189*30)</f>
        <v>42082.392857142855</v>
      </c>
      <c r="BN189" s="2051"/>
      <c r="BO189" s="2161">
        <f>IF(ISERROR(BH189),"", IF(BH189=0, "", IF(BH189&gt;'Calculs Péremption conso'!$CB12, 'Calculs Péremption conso'!$CB12, BH189)))</f>
        <v>5.4464285714285721</v>
      </c>
      <c r="BP189" s="2162">
        <f>IF(ISERROR(BH189),"", IF(BH189=0, "", IF(BH189&gt;'Calculs Péremption conso'!$CB12, 'Calculs Péremption conso'!$CB12-Paramétrage!$D$29, BI189)))</f>
        <v>2.4464285714285721</v>
      </c>
      <c r="BQ189" s="2167">
        <f>IF(ISERROR(BH189),"", IF(BH189=0, "", IF(BH189&gt;'Calculs Péremption conso'!$CB12, Paramétrage!$D$29, BJ189)))</f>
        <v>3</v>
      </c>
      <c r="BR189" s="2211">
        <f t="shared" si="48"/>
        <v>2.4464285714285721</v>
      </c>
      <c r="BS189" s="2164">
        <f>IF(ISERROR(BH189),"", IF(BH189=0, "", IF(BH189&gt;'Calculs Péremption conso'!$CB12, 'Calculs Péremption conso'!$BX12-Paramétrage!$D$29*(365/12), BL189)))</f>
        <v>41992.392857142855</v>
      </c>
      <c r="BT189" s="2165">
        <f>IF(ISERROR(BH189),"", IF(BH189=0, "", IF(BH189&gt;'Calculs Péremption conso'!$CB12, CONCATENATE('TRAD-Calculs dispo Données FA'!$B$88, " - ", 'Calculs Péremption conso'!$BY12, "/", 'Calculs Péremption conso'!$BZ12, "/", 'Calculs Péremption conso'!$CA12), BM189)))</f>
        <v>42082.392857142855</v>
      </c>
      <c r="BV189" s="2061">
        <f>Calculs!$Q267</f>
        <v>492</v>
      </c>
      <c r="BW189" s="2062">
        <f>Calculs!L322</f>
        <v>56</v>
      </c>
      <c r="BX189" s="2068">
        <f>Calculs!N322</f>
        <v>0</v>
      </c>
      <c r="BY189" s="2070" t="str">
        <f>IF(AND(BX189=0, BV189=0, BW189=0), 'TRAD-Calculs dispo Données FA'!$B$82, "")</f>
        <v/>
      </c>
      <c r="BZ189" s="2062" t="str">
        <f>IF(AND(BX189=0, BV189&gt;0, BW189=0), CONCATENATE(BV189, 'TRAD-Calculs dispo Données FA'!$B$80," =0"), "")</f>
        <v/>
      </c>
      <c r="CA189" s="2063" t="str">
        <f>IF(AND(BV189=0, OR(BW189&gt;=1, BX189&gt;=1)), 'TRAD-Calculs dispo Données FA'!$B$81, "")</f>
        <v/>
      </c>
    </row>
    <row r="190" spans="2:79" s="358" customFormat="1" x14ac:dyDescent="0.2">
      <c r="C190" s="374"/>
      <c r="D190" s="375"/>
      <c r="E190" s="376" t="str">
        <f>'Saisie données stocks'!F25</f>
        <v>3TC+ABC</v>
      </c>
      <c r="F190" s="377" t="str">
        <f>'Saisie données stocks'!G25</f>
        <v>Cp</v>
      </c>
      <c r="G190" s="377" t="str">
        <f>'Saisie données stocks'!H25</f>
        <v>30/60 mg</v>
      </c>
      <c r="H190" s="378" t="str">
        <f>CONCATENATE(E190, " - ", G190, " - ", 'TRAD-Calculs dispo Données FA'!$B$79,"/", K190)</f>
        <v>3TC+ABC - 30/60 mg - B/60</v>
      </c>
      <c r="I190" s="378">
        <f>Calculs!K108</f>
        <v>2</v>
      </c>
      <c r="J190" s="378">
        <f t="shared" si="36"/>
        <v>60</v>
      </c>
      <c r="K190" s="114">
        <f>Calculs!J108</f>
        <v>60</v>
      </c>
      <c r="L190" s="381">
        <f t="shared" si="37"/>
        <v>1</v>
      </c>
      <c r="M190" s="1820">
        <f>IF('Saisie données stocks'!$O$10='TRAD-Saisie données stocks'!$B$51, 'Calculs Péremption conso'!BU13, Calculs!M268)+IF('Saisie données stocks'!$M$76='TRAD-Saisie données stocks'!$B$51, Calculs!N268, "0")+Calculs!P268</f>
        <v>84.62465753424658</v>
      </c>
      <c r="N190" s="1820">
        <f>Calculs!$L$323</f>
        <v>22</v>
      </c>
      <c r="O190" s="1820">
        <f>Calculs!$N$323</f>
        <v>0</v>
      </c>
      <c r="P190"/>
      <c r="Q190" s="2161">
        <f>IF(Calculs!N323&gt;0, (-(Calculs!N323+2*Calculs!L323)+SQRT((Calculs!N323+2*Calculs!L323)*(Calculs!N323+2*Calculs!L323)+8*Calculs!N323*(M190)))/(2*Calculs!N323), ((M190)/Calculs!L323))</f>
        <v>3.8465753424657536</v>
      </c>
      <c r="R190" s="2162">
        <f>Q190-Paramétrage!D$29</f>
        <v>0.84657534246575361</v>
      </c>
      <c r="S190" s="2163">
        <f>IF(Q190&lt;Paramétrage!D$29, Q190, Paramétrage!D$29)</f>
        <v>3</v>
      </c>
      <c r="T190" s="2164">
        <f>Paramétrage!H$19+R190*30</f>
        <v>41944.397260273974</v>
      </c>
      <c r="U190" s="2165">
        <f>IF(Q190&lt;Paramétrage!D$29, Paramétrage!H$19+S190*30, Paramétrage!H$19+Q190*30)</f>
        <v>42034.397260273974</v>
      </c>
      <c r="V190" s="2051"/>
      <c r="W190" s="2161">
        <f t="shared" si="38"/>
        <v>3.8465753424657536</v>
      </c>
      <c r="X190" s="2162">
        <f t="shared" si="39"/>
        <v>0.84657534246575361</v>
      </c>
      <c r="Y190" s="2167">
        <f t="shared" si="40"/>
        <v>3</v>
      </c>
      <c r="Z190" s="2164">
        <f t="shared" si="41"/>
        <v>41944.397260273974</v>
      </c>
      <c r="AA190" s="2165">
        <f t="shared" si="42"/>
        <v>42034.397260273974</v>
      </c>
      <c r="AB190" s="2051"/>
      <c r="AC190" s="2161">
        <f t="shared" si="43"/>
        <v>0</v>
      </c>
      <c r="AD190" s="2162">
        <f>AC190-Paramétrage!D$29</f>
        <v>-3</v>
      </c>
      <c r="AE190" s="2163">
        <f>IF(AC190&lt;Paramétrage!D$29, AC190, Paramétrage!D$29)</f>
        <v>0</v>
      </c>
      <c r="AF190" s="2163">
        <f t="shared" si="44"/>
        <v>0</v>
      </c>
      <c r="AG190" s="2164">
        <f>Paramétrage!H$19+AD190*30</f>
        <v>41829</v>
      </c>
      <c r="AH190" s="2165">
        <f>IF(AC190&lt;Paramétrage!D$29, Paramétrage!H$19+AE190*30, Paramétrage!H$19+AC190*30)</f>
        <v>41919</v>
      </c>
      <c r="AI190" s="2165">
        <f>'Saisie données stocks'!O146</f>
        <v>0</v>
      </c>
      <c r="AJ190" s="2210" t="str">
        <f>IF(ISERROR(Q190), "0", IF('Saisie données stocks'!O146="", "0", IF(U133&gt;'Saisie données stocks'!$N$14, IF(AI190&gt;(Paramétrage!$H$19+'Saisie données stocks'!$N$14*30), (AI190-(Paramétrage!$H$19+'Saisie données stocks'!$N$14*30))/30, IF(AI190&gt;U133, (AI190-U133)/30, "0")))))</f>
        <v>0</v>
      </c>
      <c r="AK190" s="2162">
        <f>IF(ISERROR(Q133),"0", IF(Q133=0, "0", IF(Q133&gt;'Calculs Péremption FA'!$CB13, 'Calculs Péremption FA'!$CB13, Q133)))</f>
        <v>3.8465753424657536</v>
      </c>
      <c r="AL190" s="2163" t="str">
        <f>IF(ISERROR(AC190),"0", IF(AC190=0, "0", IF(AC190&gt;'Saisie données stocks'!$N$14, 'Saisie données stocks'!$N$14, AC190)))</f>
        <v>0</v>
      </c>
      <c r="AM190" s="2165" t="str">
        <f>IF(ISERROR(Q190),AA190,IF(Calculs!P268=0,AA133,(Paramétrage!$H$19+((AJ190+AK190+AL190)*(365/12)))))</f>
        <v>DLU - 1/2/2015</v>
      </c>
      <c r="AN190" s="2051"/>
      <c r="AO190" s="2161" t="str">
        <f>IF(ISERROR(AC190),"", IF(AC190=0, "", IF(AC190&gt;'Saisie données stocks'!$N$14, 'Saisie données stocks'!$N$14, AC190)))</f>
        <v/>
      </c>
      <c r="AP190" s="2162" t="str">
        <f>IF(ISERROR(AC190),"", IF(AC190=0, "", IF(AC190&gt;'Calculs Péremption conso'!$CB13, 'Calculs Péremption conso'!$CB13-Paramétrage!$D$29, AD190)))</f>
        <v/>
      </c>
      <c r="AQ190" s="2167" t="str">
        <f>IF(ISERROR(AC190),"", IF(AC190=0, "", IF(AC190&gt;'Calculs Péremption conso'!$CB13, Paramétrage!$D$29, AE190)))</f>
        <v/>
      </c>
      <c r="AR190" s="2211" t="str">
        <f t="shared" si="45"/>
        <v/>
      </c>
      <c r="AS190" s="2164" t="str">
        <f>IF(ISERROR(AC190),"", IF(AC190=0, "", IF(AC190&gt;'Calculs Péremption conso'!$CB13, 'Calculs Péremption conso'!$BX13-Paramétrage!$D$29*(365/12), AG190)))</f>
        <v/>
      </c>
      <c r="AT190" s="2165" t="str">
        <f>IF(ISERROR(AC190),"", IF(AC190=0, "", IF(AC190&gt;'Calculs Péremption conso'!$CB13, CONCATENATE('TRAD-Calculs dispo Données FA'!$B$88, " - ", 'Calculs Péremption conso'!$BY13, "/", 'Calculs Péremption conso'!$BZ13, "/", 'Calculs Péremption conso'!$CA13), AH190)))</f>
        <v/>
      </c>
      <c r="AU190" s="2051"/>
      <c r="AV190" s="2161">
        <f>(Calculs!Q268)/Calculs!L323</f>
        <v>10.5</v>
      </c>
      <c r="AW190" s="2162">
        <f>AV190-Paramétrage!D$29</f>
        <v>7.5</v>
      </c>
      <c r="AX190" s="2163">
        <f>IF(AV190&lt;Paramétrage!D$29, AV190, Paramétrage!D$29)</f>
        <v>3</v>
      </c>
      <c r="AY190" s="2164">
        <f>Paramétrage!H$19+AW190*(365/12)</f>
        <v>42147.125</v>
      </c>
      <c r="AZ190" s="2165">
        <f>IF(AV190&lt;Paramétrage!D$29, Paramétrage!H$19+AX190*(365/12), Paramétrage!H$19+AV190*(365/12))</f>
        <v>42238.375</v>
      </c>
      <c r="BA190" s="2051"/>
      <c r="BB190" s="2161">
        <f>IF(ISERROR(AV190),"", IF(AV190=0, "", IF(AV190&gt;'Calculs Péremption conso'!$CB13, 'Calculs Péremption conso'!$CB13, AV190)))</f>
        <v>3.8465753424657532</v>
      </c>
      <c r="BC190" s="2162">
        <f>IF(ISERROR(AV190),"", IF(AV190=0, "", IF(AV190&gt;'Calculs Péremption conso'!$CB13, 'Calculs Péremption conso'!$CB13-Paramétrage!$D$29, AW190)))</f>
        <v>0.84657534246575317</v>
      </c>
      <c r="BD190" s="2167">
        <f>IF(ISERROR(AV190),"", IF(AV190=0, "", IF(AV190&gt;'Calculs Péremption conso'!$CB13, Paramétrage!$D$29, AX190)))</f>
        <v>3</v>
      </c>
      <c r="BE190" s="2164">
        <f>IF(ISERROR(AV190),"", IF(AV190=0, "", IF(AV190&gt;'Calculs Péremption conso'!$CB13, 'Calculs Péremption conso'!$BX13-Paramétrage!$D$29*(365/12), AY190)))</f>
        <v>41944.75</v>
      </c>
      <c r="BF190" s="2165" t="str">
        <f>IF(ISERROR(AV190),"", IF(AV190=0, "", IF(AV190&gt;'Calculs Péremption conso'!$CB13, CONCATENATE('TRAD-Calculs dispo Données FA'!$B$88, " - ", 'Calculs Péremption conso'!$BY13, "/", 'Calculs Péremption conso'!$BZ13, "/", 'Calculs Péremption conso'!$CA13), AZ190)))</f>
        <v>DLU - 1/2/2015</v>
      </c>
      <c r="BG190" s="2051"/>
      <c r="BH190" s="2161">
        <f t="shared" si="46"/>
        <v>0</v>
      </c>
      <c r="BI190" s="2162">
        <f>BH190-Paramétrage!D$29</f>
        <v>-3</v>
      </c>
      <c r="BJ190" s="2163">
        <f>IF(BH190&lt;Paramétrage!D$29, BH190, Paramétrage!D$29)</f>
        <v>0</v>
      </c>
      <c r="BK190" s="2163">
        <f t="shared" si="47"/>
        <v>0</v>
      </c>
      <c r="BL190" s="2164">
        <f>Paramétrage!$H$19+BI190*30</f>
        <v>41829</v>
      </c>
      <c r="BM190" s="2165">
        <f>IF(BH190&lt;Paramétrage!$D$29, Paramétrage!$H$19+BJ190*30, Paramétrage!$H$19+BH190*30)</f>
        <v>41919</v>
      </c>
      <c r="BN190" s="2051"/>
      <c r="BO190" s="2161" t="str">
        <f>IF(ISERROR(BH190),"", IF(BH190=0, "", IF(BH190&gt;'Calculs Péremption conso'!$CB13, 'Calculs Péremption conso'!$CB13, BH190)))</f>
        <v/>
      </c>
      <c r="BP190" s="2162" t="str">
        <f>IF(ISERROR(BH190),"", IF(BH190=0, "", IF(BH190&gt;'Calculs Péremption conso'!$CB13, 'Calculs Péremption conso'!$CB13-Paramétrage!$D$29, BI190)))</f>
        <v/>
      </c>
      <c r="BQ190" s="2167" t="str">
        <f>IF(ISERROR(BH190),"", IF(BH190=0, "", IF(BH190&gt;'Calculs Péremption conso'!$CB13, Paramétrage!$D$29, BJ190)))</f>
        <v/>
      </c>
      <c r="BR190" s="2211" t="str">
        <f t="shared" si="48"/>
        <v/>
      </c>
      <c r="BS190" s="2164" t="str">
        <f>IF(ISERROR(BH190),"", IF(BH190=0, "", IF(BH190&gt;'Calculs Péremption conso'!$CB13, 'Calculs Péremption conso'!$BX13-Paramétrage!$D$29*(365/12), BL190)))</f>
        <v/>
      </c>
      <c r="BT190" s="2165" t="str">
        <f>IF(ISERROR(BH190),"", IF(BH190=0, "", IF(BH190&gt;'Calculs Péremption conso'!$CB13, CONCATENATE('TRAD-Calculs dispo Données FA'!$B$88, " - ", 'Calculs Péremption conso'!$BY13, "/", 'Calculs Péremption conso'!$BZ13, "/", 'Calculs Péremption conso'!$CA13), BM190)))</f>
        <v/>
      </c>
      <c r="BV190" s="2061">
        <f>Calculs!$Q268</f>
        <v>231</v>
      </c>
      <c r="BW190" s="2062">
        <f>Calculs!L323</f>
        <v>22</v>
      </c>
      <c r="BX190" s="2068">
        <f>Calculs!N323</f>
        <v>0</v>
      </c>
      <c r="BY190" s="2070" t="str">
        <f>IF(AND(BX190=0, BV190=0, BW190=0), 'TRAD-Calculs dispo Données FA'!$B$82, "")</f>
        <v/>
      </c>
      <c r="BZ190" s="2062" t="str">
        <f>IF(AND(BX190=0, BV190&gt;0, BW190=0), CONCATENATE(BV190, 'TRAD-Calculs dispo Données FA'!$B$80," =0"), "")</f>
        <v/>
      </c>
      <c r="CA190" s="2063" t="str">
        <f>IF(AND(BV190=0, OR(BW190&gt;=1, BX190&gt;=1)), 'TRAD-Calculs dispo Données FA'!$B$81, "")</f>
        <v/>
      </c>
    </row>
    <row r="191" spans="2:79" s="358" customFormat="1" ht="25.5" x14ac:dyDescent="0.2">
      <c r="C191" s="374"/>
      <c r="D191" s="375"/>
      <c r="E191" s="1516" t="str">
        <f>'Saisie données stocks'!F26</f>
        <v>D4T+3TC+NVP</v>
      </c>
      <c r="F191" s="1208" t="str">
        <f>'Saisie données stocks'!G26</f>
        <v>Cp</v>
      </c>
      <c r="G191" s="1208" t="str">
        <f>'Saisie données stocks'!H26</f>
        <v>30/150/200 mg</v>
      </c>
      <c r="H191" s="384" t="str">
        <f>CONCATENATE(E191, " - ", G191, " - ", 'TRAD-Calculs dispo Données FA'!$B$79,"/", K191)</f>
        <v>D4T+3TC+NVP - 30/150/200 mg - B/60</v>
      </c>
      <c r="I191" s="1517">
        <f>Calculs!K109</f>
        <v>2</v>
      </c>
      <c r="J191" s="1720">
        <f t="shared" si="36"/>
        <v>60</v>
      </c>
      <c r="K191" s="1385">
        <f>Calculs!J109</f>
        <v>60</v>
      </c>
      <c r="L191" s="1835">
        <f t="shared" si="37"/>
        <v>1</v>
      </c>
      <c r="M191" s="1870">
        <f>IF('Saisie données stocks'!$O$10='TRAD-Saisie données stocks'!$B$51, 'Calculs Péremption conso'!BU14, Calculs!M269)+IF('Saisie données stocks'!$M$76='TRAD-Saisie données stocks'!$B$51, Calculs!N269, "0")+Calculs!P269</f>
        <v>0</v>
      </c>
      <c r="N191" s="1870">
        <f>Calculs!$L$324</f>
        <v>0</v>
      </c>
      <c r="O191" s="1870">
        <f>Calculs!$N$324</f>
        <v>0</v>
      </c>
      <c r="P191"/>
      <c r="Q191" s="2212" t="e">
        <f>IF(Calculs!N324&gt;0, (-(Calculs!N324+2*Calculs!L324)+SQRT((Calculs!N324+2*Calculs!L324)*(Calculs!N324+2*Calculs!L324)+8*Calculs!N324*(M191)))/(2*Calculs!N324), ((M191)/Calculs!L324))</f>
        <v>#DIV/0!</v>
      </c>
      <c r="R191" s="2162" t="e">
        <f>Q191-Paramétrage!D$29</f>
        <v>#DIV/0!</v>
      </c>
      <c r="S191" s="2213" t="e">
        <f>IF(Q191&lt;Paramétrage!D$29, Q191, Paramétrage!D$29)</f>
        <v>#DIV/0!</v>
      </c>
      <c r="T191" s="2214" t="e">
        <f>Paramétrage!H$19+R191*30</f>
        <v>#DIV/0!</v>
      </c>
      <c r="U191" s="2215" t="e">
        <f>IF(Q191&lt;Paramétrage!D$29, Paramétrage!H$19+S191*30, Paramétrage!H$19+Q191*30)</f>
        <v>#DIV/0!</v>
      </c>
      <c r="V191" s="2051"/>
      <c r="W191" s="2212" t="str">
        <f t="shared" si="38"/>
        <v/>
      </c>
      <c r="X191" s="2197" t="str">
        <f t="shared" si="39"/>
        <v/>
      </c>
      <c r="Y191" s="2216" t="str">
        <f t="shared" si="40"/>
        <v/>
      </c>
      <c r="Z191" s="2170" t="str">
        <f t="shared" si="41"/>
        <v/>
      </c>
      <c r="AA191" s="2171" t="str">
        <f t="shared" si="42"/>
        <v/>
      </c>
      <c r="AB191" s="2051"/>
      <c r="AC191" s="2212" t="e">
        <f t="shared" si="43"/>
        <v>#DIV/0!</v>
      </c>
      <c r="AD191" s="2197" t="e">
        <f>AC191-Paramétrage!D$29</f>
        <v>#DIV/0!</v>
      </c>
      <c r="AE191" s="2213" t="e">
        <f>IF(AC191&lt;Paramétrage!D$29, AC191, Paramétrage!D$29)</f>
        <v>#DIV/0!</v>
      </c>
      <c r="AF191" s="2213" t="e">
        <f t="shared" si="44"/>
        <v>#DIV/0!</v>
      </c>
      <c r="AG191" s="2170" t="e">
        <f>Paramétrage!H$19+AD191*30</f>
        <v>#DIV/0!</v>
      </c>
      <c r="AH191" s="2171" t="e">
        <f>IF(AC191&lt;Paramétrage!D$29, Paramétrage!H$19+AE191*30, Paramétrage!H$19+AC191*30)</f>
        <v>#DIV/0!</v>
      </c>
      <c r="AI191" s="2171">
        <f>'Saisie données stocks'!O147</f>
        <v>0</v>
      </c>
      <c r="AJ191" s="2217" t="str">
        <f>IF(ISERROR(Q191), "0", IF('Saisie données stocks'!O147="", "0", IF(U134&gt;'Saisie données stocks'!$N$14, IF(AI191&gt;(Paramétrage!$H$19+'Saisie données stocks'!$N$14*30), (AI191-(Paramétrage!$H$19+'Saisie données stocks'!$N$14*30))/30, IF(AI191&gt;U134, (AI191-U134)/30, "0")))))</f>
        <v>0</v>
      </c>
      <c r="AK191" s="2197" t="str">
        <f>IF(ISERROR(Q134),"0", IF(Q134=0, "0", IF(Q134&gt;'Calculs Péremption FA'!$CB14, 'Calculs Péremption FA'!$CB14, Q134)))</f>
        <v>0</v>
      </c>
      <c r="AL191" s="2213" t="str">
        <f>IF(ISERROR(AC191),"0", IF(AC191=0, "0", IF(AC191&gt;'Saisie données stocks'!$N$14, 'Saisie données stocks'!$N$14, AC191)))</f>
        <v>0</v>
      </c>
      <c r="AM191" s="2171" t="str">
        <f>IF(ISERROR(Q191),AA191,IF(Calculs!P269=0,AA134,(Paramétrage!$H$19+((AJ191+AK191+AL191)*(365/12)))))</f>
        <v/>
      </c>
      <c r="AN191" s="2051"/>
      <c r="AO191" s="2212" t="str">
        <f>IF(ISERROR(AC191),"", IF(AC191=0, "", IF(AC191&gt;'Saisie données stocks'!$N$14, 'Saisie données stocks'!$N$14, AC191)))</f>
        <v/>
      </c>
      <c r="AP191" s="2197" t="str">
        <f>IF(ISERROR(AC191),"", IF(AC191=0, "", IF(AC191&gt;'Calculs Péremption conso'!$CB14, 'Calculs Péremption conso'!$CB14-Paramétrage!$D$29, AD191)))</f>
        <v/>
      </c>
      <c r="AQ191" s="2216" t="str">
        <f>IF(ISERROR(AC191),"", IF(AC191=0, "", IF(AC191&gt;'Calculs Péremption conso'!$CB14, Paramétrage!$D$29, AE191)))</f>
        <v/>
      </c>
      <c r="AR191" s="2218" t="str">
        <f t="shared" si="45"/>
        <v/>
      </c>
      <c r="AS191" s="2170" t="str">
        <f>IF(ISERROR(AC191),"", IF(AC191=0, "", IF(AC191&gt;'Calculs Péremption conso'!$CB14, 'Calculs Péremption conso'!$BX14-Paramétrage!$D$29*(365/12), AG191)))</f>
        <v/>
      </c>
      <c r="AT191" s="2171" t="str">
        <f>IF(ISERROR(AC191),"", IF(AC191=0, "", IF(AC191&gt;'Calculs Péremption conso'!$CB14, CONCATENATE('TRAD-Calculs dispo Données FA'!$B$88, " - ", 'Calculs Péremption conso'!$BY14, "/", 'Calculs Péremption conso'!$BZ14, "/", 'Calculs Péremption conso'!$CA14), AH191)))</f>
        <v/>
      </c>
      <c r="AU191" s="2051"/>
      <c r="AV191" s="2212" t="e">
        <f>(Calculs!Q269)/Calculs!L324</f>
        <v>#DIV/0!</v>
      </c>
      <c r="AW191" s="2162" t="e">
        <f>AV191-Paramétrage!D$29</f>
        <v>#DIV/0!</v>
      </c>
      <c r="AX191" s="2213" t="e">
        <f>IF(AV191&lt;Paramétrage!D$29, AV191, Paramétrage!D$29)</f>
        <v>#DIV/0!</v>
      </c>
      <c r="AY191" s="2170" t="e">
        <f>Paramétrage!H$19+AW191*(365/12)</f>
        <v>#DIV/0!</v>
      </c>
      <c r="AZ191" s="2171" t="e">
        <f>IF(AV191&lt;Paramétrage!D$29, Paramétrage!H$19+AX191*(365/12), Paramétrage!H$19+AV191*(365/12))</f>
        <v>#DIV/0!</v>
      </c>
      <c r="BA191" s="2051"/>
      <c r="BB191" s="2212" t="str">
        <f>IF(ISERROR(AV191),"", IF(AV191=0, "", IF(AV191&gt;'Calculs Péremption conso'!$CB14, 'Calculs Péremption conso'!$CB14, AV191)))</f>
        <v/>
      </c>
      <c r="BC191" s="2197" t="str">
        <f>IF(ISERROR(AV191),"", IF(AV191=0, "", IF(AV191&gt;'Calculs Péremption conso'!$CB14, 'Calculs Péremption conso'!$CB14-Paramétrage!$D$29, AW191)))</f>
        <v/>
      </c>
      <c r="BD191" s="2216" t="str">
        <f>IF(ISERROR(AV191),"", IF(AV191=0, "", IF(AV191&gt;'Calculs Péremption conso'!$CB14, Paramétrage!$D$29, AX191)))</f>
        <v/>
      </c>
      <c r="BE191" s="2170" t="str">
        <f>IF(ISERROR(AV191),"", IF(AV191=0, "", IF(AV191&gt;'Calculs Péremption conso'!$CB14, 'Calculs Péremption conso'!$BX14-Paramétrage!$D$29*(365/12), AY191)))</f>
        <v/>
      </c>
      <c r="BF191" s="2171" t="str">
        <f>IF(ISERROR(AV191),"", IF(AV191=0, "", IF(AV191&gt;'Calculs Péremption conso'!$CB14, CONCATENATE('TRAD-Calculs dispo Données FA'!$B$88, " - ", 'Calculs Péremption conso'!$BY14, "/", 'Calculs Péremption conso'!$BZ14, "/", 'Calculs Péremption conso'!$CA14), AZ191)))</f>
        <v/>
      </c>
      <c r="BG191" s="2051"/>
      <c r="BH191" s="2212" t="e">
        <f t="shared" si="46"/>
        <v>#DIV/0!</v>
      </c>
      <c r="BI191" s="2197" t="e">
        <f>BH191-Paramétrage!D$29</f>
        <v>#DIV/0!</v>
      </c>
      <c r="BJ191" s="2213" t="e">
        <f>IF(BH191&lt;Paramétrage!D$29, BH191, Paramétrage!D$29)</f>
        <v>#DIV/0!</v>
      </c>
      <c r="BK191" s="2213" t="e">
        <f t="shared" si="47"/>
        <v>#DIV/0!</v>
      </c>
      <c r="BL191" s="2170" t="e">
        <f>Paramétrage!$H$19+BI191*30</f>
        <v>#DIV/0!</v>
      </c>
      <c r="BM191" s="2171" t="e">
        <f>IF(BH191&lt;Paramétrage!$D$29, Paramétrage!$H$19+BJ191*30, Paramétrage!$H$19+BH191*30)</f>
        <v>#DIV/0!</v>
      </c>
      <c r="BN191" s="2051"/>
      <c r="BO191" s="2212" t="str">
        <f>IF(ISERROR(BH191),"", IF(BH191=0, "", IF(BH191&gt;'Calculs Péremption conso'!$CB14, 'Calculs Péremption conso'!$CB14, BH191)))</f>
        <v/>
      </c>
      <c r="BP191" s="2197" t="str">
        <f>IF(ISERROR(BH191),"", IF(BH191=0, "", IF(BH191&gt;'Calculs Péremption conso'!$CB14, 'Calculs Péremption conso'!$CB14-Paramétrage!$D$29, BI191)))</f>
        <v/>
      </c>
      <c r="BQ191" s="2216" t="str">
        <f>IF(ISERROR(BH191),"", IF(BH191=0, "", IF(BH191&gt;'Calculs Péremption conso'!$CB14, Paramétrage!$D$29, BJ191)))</f>
        <v/>
      </c>
      <c r="BR191" s="2218" t="str">
        <f t="shared" si="48"/>
        <v/>
      </c>
      <c r="BS191" s="2170" t="str">
        <f>IF(ISERROR(BH191),"", IF(BH191=0, "", IF(BH191&gt;'Calculs Péremption conso'!$CB14, 'Calculs Péremption conso'!$BX14-Paramétrage!$D$29*(365/12), BL191)))</f>
        <v/>
      </c>
      <c r="BT191" s="2171" t="str">
        <f>IF(ISERROR(BH191),"", IF(BH191=0, "", IF(BH191&gt;'Calculs Péremption conso'!$CB14, CONCATENATE('TRAD-Calculs dispo Données FA'!$B$88, " - ", 'Calculs Péremption conso'!$BY14, "/", 'Calculs Péremption conso'!$BZ14, "/", 'Calculs Péremption conso'!$CA14), BM191)))</f>
        <v/>
      </c>
      <c r="BV191" s="2061">
        <f>Calculs!$Q269</f>
        <v>0</v>
      </c>
      <c r="BW191" s="2062">
        <f>Calculs!L324</f>
        <v>0</v>
      </c>
      <c r="BX191" s="2068">
        <f>Calculs!N324</f>
        <v>0</v>
      </c>
      <c r="BY191" s="2070" t="str">
        <f>IF(AND(BX191=0, BV191=0, BW191=0), 'TRAD-Calculs dispo Données FA'!$B$82, "")</f>
        <v>Stock et besoin nul</v>
      </c>
      <c r="BZ191" s="2062" t="str">
        <f>IF(AND(BX191=0, BV191&gt;0, BW191=0), CONCATENATE(BV191, 'TRAD-Calculs dispo Données FA'!$B$80," =0"), "")</f>
        <v/>
      </c>
      <c r="CA191" s="2063" t="str">
        <f>IF(AND(BV191=0, OR(BW191&gt;=1, BX191&gt;=1)), 'TRAD-Calculs dispo Données FA'!$B$81, "")</f>
        <v/>
      </c>
    </row>
    <row r="192" spans="2:79" s="358" customFormat="1" ht="38.25" x14ac:dyDescent="0.2">
      <c r="C192" s="374"/>
      <c r="D192" s="375"/>
      <c r="E192" s="1516" t="str">
        <f>'Saisie données stocks'!F27</f>
        <v>D4T+3TC+NVP</v>
      </c>
      <c r="F192" s="1208" t="str">
        <f>'Saisie données stocks'!G27</f>
        <v>Cp</v>
      </c>
      <c r="G192" s="1208" t="str">
        <f>'Saisie données stocks'!H27</f>
        <v>6/30/50 mg</v>
      </c>
      <c r="H192" s="385" t="str">
        <f>CONCATENATE(E192, " - ", G192, " - ", 'TRAD-Calculs dispo Données FA'!$B$79,"/", K192)</f>
        <v>D4T+3TC+NVP - 6/30/50 mg - B/60</v>
      </c>
      <c r="I192" s="1720">
        <f>Calculs!K110</f>
        <v>2</v>
      </c>
      <c r="J192" s="1720">
        <f t="shared" si="36"/>
        <v>60</v>
      </c>
      <c r="K192" s="1385">
        <f>Calculs!J110</f>
        <v>60</v>
      </c>
      <c r="L192" s="1835">
        <f t="shared" si="37"/>
        <v>1</v>
      </c>
      <c r="M192" s="1870">
        <f>IF('Saisie données stocks'!$O$10='TRAD-Saisie données stocks'!$B$51, 'Calculs Péremption conso'!BU15, Calculs!M270)+IF('Saisie données stocks'!$M$76='TRAD-Saisie données stocks'!$B$51, Calculs!N270, "0")+Calculs!P270</f>
        <v>112.1917808219178</v>
      </c>
      <c r="N192" s="1870">
        <f>Calculs!$L$325</f>
        <v>100</v>
      </c>
      <c r="O192" s="1870">
        <f>Calculs!$N$325</f>
        <v>0</v>
      </c>
      <c r="P192"/>
      <c r="Q192" s="2212">
        <f>IF(Calculs!N325&gt;0, (-(Calculs!N325+2*Calculs!L325)+SQRT((Calculs!N325+2*Calculs!L325)*(Calculs!N325+2*Calculs!L325)+8*Calculs!N325*(M192)))/(2*Calculs!N325), ((M192)/Calculs!L325))</f>
        <v>1.1219178082191781</v>
      </c>
      <c r="R192" s="2197">
        <f>Q192-Paramétrage!D$29</f>
        <v>-1.8780821917808219</v>
      </c>
      <c r="S192" s="2213">
        <f>IF(Q192&lt;Paramétrage!D$29, Q192, Paramétrage!D$29)</f>
        <v>1.1219178082191781</v>
      </c>
      <c r="T192" s="2214">
        <f>Paramétrage!H$19+R192*30</f>
        <v>41862.657534246573</v>
      </c>
      <c r="U192" s="2215">
        <f>IF(Q192&lt;Paramétrage!D$29, Paramétrage!H$19+S192*30, Paramétrage!H$19+Q192*30)</f>
        <v>41952.657534246573</v>
      </c>
      <c r="V192" s="2051"/>
      <c r="W192" s="2212">
        <f t="shared" si="38"/>
        <v>1.1219178082191781</v>
      </c>
      <c r="X192" s="2197">
        <f t="shared" si="39"/>
        <v>-1.8780821917808219</v>
      </c>
      <c r="Y192" s="2216">
        <f t="shared" si="40"/>
        <v>1.1219178082191781</v>
      </c>
      <c r="Z192" s="2170">
        <f t="shared" si="41"/>
        <v>41862.657534246573</v>
      </c>
      <c r="AA192" s="2171">
        <f t="shared" si="42"/>
        <v>41952.657534246573</v>
      </c>
      <c r="AB192" s="2051"/>
      <c r="AC192" s="2212">
        <f t="shared" si="43"/>
        <v>0</v>
      </c>
      <c r="AD192" s="2197">
        <f>AC192-Paramétrage!D$29</f>
        <v>-3</v>
      </c>
      <c r="AE192" s="2213">
        <f>IF(AC192&lt;Paramétrage!D$29, AC192, Paramétrage!D$29)</f>
        <v>0</v>
      </c>
      <c r="AF192" s="2213">
        <f t="shared" si="44"/>
        <v>0</v>
      </c>
      <c r="AG192" s="2170">
        <f>Paramétrage!H$19+AD192*30</f>
        <v>41829</v>
      </c>
      <c r="AH192" s="2171">
        <f>IF(AC192&lt;Paramétrage!D$29, Paramétrage!H$19+AE192*30, Paramétrage!H$19+AC192*30)</f>
        <v>41919</v>
      </c>
      <c r="AI192" s="2171">
        <f>'Saisie données stocks'!O148</f>
        <v>0</v>
      </c>
      <c r="AJ192" s="2217" t="str">
        <f>IF(ISERROR(Q192), "0", IF('Saisie données stocks'!O148="", "0", IF(U135&gt;'Saisie données stocks'!$N$14, IF(AI192&gt;(Paramétrage!$H$19+'Saisie données stocks'!$N$14*30), (AI192-(Paramétrage!$H$19+'Saisie données stocks'!$N$14*30))/30, IF(AI192&gt;U135, (AI192-U135)/30, "0")))))</f>
        <v>0</v>
      </c>
      <c r="AK192" s="2197">
        <f>IF(ISERROR(Q135),"0", IF(Q135=0, "0", IF(Q135&gt;'Calculs Péremption FA'!$CB15, 'Calculs Péremption FA'!$CB15, Q135)))</f>
        <v>0.82191780821917804</v>
      </c>
      <c r="AL192" s="2213" t="str">
        <f>IF(ISERROR(AC192),"0", IF(AC192=0, "0", IF(AC192&gt;'Saisie données stocks'!$N$14, 'Saisie données stocks'!$N$14, AC192)))</f>
        <v>0</v>
      </c>
      <c r="AM192" s="2171" t="str">
        <f>IF(ISERROR(Q192),AA192,IF(Calculs!P270=0,AA135,(Paramétrage!$H$19+((AJ192+AK192+AL192)*(365/12)))))</f>
        <v>DLU - 1/11/2014</v>
      </c>
      <c r="AN192" s="2051"/>
      <c r="AO192" s="2212" t="str">
        <f>IF(ISERROR(AC192),"", IF(AC192=0, "", IF(AC192&gt;'Saisie données stocks'!$N$14, 'Saisie données stocks'!$N$14, AC192)))</f>
        <v/>
      </c>
      <c r="AP192" s="2197" t="str">
        <f>IF(ISERROR(AC192),"", IF(AC192=0, "", IF(AC192&gt;'Calculs Péremption conso'!$CB15, 'Calculs Péremption conso'!$CB15-Paramétrage!$D$29, AD192)))</f>
        <v/>
      </c>
      <c r="AQ192" s="2216" t="str">
        <f>IF(ISERROR(AC192),"", IF(AC192=0, "", IF(AC192&gt;'Calculs Péremption conso'!$CB15, Paramétrage!$D$29, AE192)))</f>
        <v/>
      </c>
      <c r="AR192" s="2218" t="str">
        <f t="shared" si="45"/>
        <v/>
      </c>
      <c r="AS192" s="2170" t="str">
        <f>IF(ISERROR(AC192),"", IF(AC192=0, "", IF(AC192&gt;'Calculs Péremption conso'!$CB15, 'Calculs Péremption conso'!$BX15-Paramétrage!$D$29*(365/12), AG192)))</f>
        <v/>
      </c>
      <c r="AT192" s="2171" t="str">
        <f>IF(ISERROR(AC192),"", IF(AC192=0, "", IF(AC192&gt;'Calculs Péremption conso'!$CB15, CONCATENATE('TRAD-Calculs dispo Données FA'!$B$88, " - ", 'Calculs Péremption conso'!$BY15, "/", 'Calculs Péremption conso'!$BZ15, "/", 'Calculs Péremption conso'!$CA15), AH192)))</f>
        <v/>
      </c>
      <c r="AU192" s="2051"/>
      <c r="AV192" s="2212">
        <f>(Calculs!Q270)/Calculs!L325</f>
        <v>1.21</v>
      </c>
      <c r="AW192" s="2197">
        <f>AV192-Paramétrage!D$29</f>
        <v>-1.79</v>
      </c>
      <c r="AX192" s="2213">
        <f>IF(AV192&lt;Paramétrage!D$29, AV192, Paramétrage!D$29)</f>
        <v>1.21</v>
      </c>
      <c r="AY192" s="2170">
        <f>Paramétrage!H$19+AW192*(365/12)</f>
        <v>41864.554166666669</v>
      </c>
      <c r="AZ192" s="2171">
        <f>IF(AV192&lt;Paramétrage!D$29, Paramétrage!H$19+AX192*(365/12), Paramétrage!H$19+AV192*(365/12))</f>
        <v>41955.804166666669</v>
      </c>
      <c r="BA192" s="2051"/>
      <c r="BB192" s="2212">
        <f>IF(ISERROR(AV192),"", IF(AV192=0, "", IF(AV192&gt;'Calculs Péremption conso'!$CB15, 'Calculs Péremption conso'!$CB15, AV192)))</f>
        <v>0.82191780821917804</v>
      </c>
      <c r="BC192" s="2197">
        <f>IF(ISERROR(AV192),"", IF(AV192=0, "", IF(AV192&gt;'Calculs Péremption conso'!$CB15, 'Calculs Péremption conso'!$CB15-Paramétrage!$D$29, AW192)))</f>
        <v>-2.1780821917808222</v>
      </c>
      <c r="BD192" s="2216">
        <f>IF(ISERROR(AV192),"", IF(AV192=0, "", IF(AV192&gt;'Calculs Péremption conso'!$CB15, Paramétrage!$D$29, AX192)))</f>
        <v>3</v>
      </c>
      <c r="BE192" s="2170">
        <f>IF(ISERROR(AV192),"", IF(AV192=0, "", IF(AV192&gt;'Calculs Péremption conso'!$CB15, 'Calculs Péremption conso'!$BX15-Paramétrage!$D$29*(365/12), AY192)))</f>
        <v>41852.75</v>
      </c>
      <c r="BF192" s="2171" t="str">
        <f>IF(ISERROR(AV192),"", IF(AV192=0, "", IF(AV192&gt;'Calculs Péremption conso'!$CB15, CONCATENATE('TRAD-Calculs dispo Données FA'!$B$88, " - ", 'Calculs Péremption conso'!$BY15, "/", 'Calculs Péremption conso'!$BZ15, "/", 'Calculs Péremption conso'!$CA15), AZ192)))</f>
        <v>DLU - 1/11/2014</v>
      </c>
      <c r="BG192" s="2051"/>
      <c r="BH192" s="2212">
        <f t="shared" si="46"/>
        <v>0</v>
      </c>
      <c r="BI192" s="2197">
        <f>BH192-Paramétrage!D$29</f>
        <v>-3</v>
      </c>
      <c r="BJ192" s="2213">
        <f>IF(BH192&lt;Paramétrage!D$29, BH192, Paramétrage!D$29)</f>
        <v>0</v>
      </c>
      <c r="BK192" s="2213">
        <f t="shared" si="47"/>
        <v>0</v>
      </c>
      <c r="BL192" s="2170">
        <f>Paramétrage!$H$19+BI192*30</f>
        <v>41829</v>
      </c>
      <c r="BM192" s="2171">
        <f>IF(BH192&lt;Paramétrage!$D$29, Paramétrage!$H$19+BJ192*30, Paramétrage!$H$19+BH192*30)</f>
        <v>41919</v>
      </c>
      <c r="BN192" s="2051"/>
      <c r="BO192" s="2212" t="str">
        <f>IF(ISERROR(BH192),"", IF(BH192=0, "", IF(BH192&gt;'Calculs Péremption conso'!$CB15, 'Calculs Péremption conso'!$CB15, BH192)))</f>
        <v/>
      </c>
      <c r="BP192" s="2197" t="str">
        <f>IF(ISERROR(BH192),"", IF(BH192=0, "", IF(BH192&gt;'Calculs Péremption conso'!$CB15, 'Calculs Péremption conso'!$CB15-Paramétrage!$D$29, BI192)))</f>
        <v/>
      </c>
      <c r="BQ192" s="2216" t="str">
        <f>IF(ISERROR(BH192),"", IF(BH192=0, "", IF(BH192&gt;'Calculs Péremption conso'!$CB15, Paramétrage!$D$29, BJ192)))</f>
        <v/>
      </c>
      <c r="BR192" s="2218" t="str">
        <f t="shared" si="48"/>
        <v/>
      </c>
      <c r="BS192" s="2170" t="str">
        <f>IF(ISERROR(BH192),"", IF(BH192=0, "", IF(BH192&gt;'Calculs Péremption conso'!$CB15, 'Calculs Péremption conso'!$BX15-Paramétrage!$D$29*(365/12), BL192)))</f>
        <v/>
      </c>
      <c r="BT192" s="2171" t="str">
        <f>IF(ISERROR(BH192),"", IF(BH192=0, "", IF(BH192&gt;'Calculs Péremption conso'!$CB15, CONCATENATE('TRAD-Calculs dispo Données FA'!$B$88, " - ", 'Calculs Péremption conso'!$BY15, "/", 'Calculs Péremption conso'!$BZ15, "/", 'Calculs Péremption conso'!$CA15), BM192)))</f>
        <v/>
      </c>
      <c r="BV192" s="2061">
        <f>Calculs!$Q270</f>
        <v>121</v>
      </c>
      <c r="BW192" s="2062">
        <f>Calculs!L325</f>
        <v>100</v>
      </c>
      <c r="BX192" s="2068">
        <f>Calculs!N325</f>
        <v>0</v>
      </c>
      <c r="BY192" s="2070" t="str">
        <f>IF(AND(BX192=0, BV192=0, BW192=0), 'TRAD-Calculs dispo Données FA'!$B$82, "")</f>
        <v/>
      </c>
      <c r="BZ192" s="2062" t="str">
        <f>IF(AND(BX192=0, BV192&gt;0, BW192=0), CONCATENATE(BV192, 'TRAD-Calculs dispo Données FA'!$B$80," =0"), "")</f>
        <v/>
      </c>
      <c r="CA192" s="2063" t="str">
        <f>IF(AND(BV192=0, OR(BW192&gt;=1, BX192&gt;=1)), 'TRAD-Calculs dispo Données FA'!$B$81, "")</f>
        <v/>
      </c>
    </row>
    <row r="193" spans="3:79" s="358" customFormat="1" ht="38.25" x14ac:dyDescent="0.2">
      <c r="C193" s="374"/>
      <c r="D193" s="375"/>
      <c r="E193" s="1516" t="str">
        <f>'Saisie données stocks'!F28</f>
        <v>D4T+3TC</v>
      </c>
      <c r="F193" s="1208" t="str">
        <f>'Saisie données stocks'!G28</f>
        <v>Cp</v>
      </c>
      <c r="G193" s="1208" t="str">
        <f>'Saisie données stocks'!H28</f>
        <v>30/150 mg</v>
      </c>
      <c r="H193" s="379" t="str">
        <f>CONCATENATE(E193, " - ", G193, " - ", 'TRAD-Calculs dispo Données FA'!$B$79,"/", K193)</f>
        <v>D4T+3TC - 30/150 mg - B/60</v>
      </c>
      <c r="I193" s="379">
        <f>Calculs!K111</f>
        <v>2</v>
      </c>
      <c r="J193" s="1720">
        <f t="shared" si="36"/>
        <v>60</v>
      </c>
      <c r="K193" s="1385">
        <f>Calculs!J111</f>
        <v>60</v>
      </c>
      <c r="L193" s="1835">
        <f t="shared" si="37"/>
        <v>1</v>
      </c>
      <c r="M193" s="1870">
        <f>IF('Saisie données stocks'!$O$10='TRAD-Saisie données stocks'!$B$51, 'Calculs Péremption conso'!BU16, Calculs!M271)+IF('Saisie données stocks'!$M$76='TRAD-Saisie données stocks'!$B$51, Calculs!N271, "0")+Calculs!P271</f>
        <v>16</v>
      </c>
      <c r="N193" s="1870">
        <f>Calculs!$L$326</f>
        <v>45</v>
      </c>
      <c r="O193" s="1870">
        <f>Calculs!$N$326</f>
        <v>0</v>
      </c>
      <c r="P193"/>
      <c r="Q193" s="2212">
        <f>IF(Calculs!N326&gt;0, (-(Calculs!N326+2*Calculs!L326)+SQRT((Calculs!N326+2*Calculs!L326)*(Calculs!N326+2*Calculs!L326)+8*Calculs!N326*(M193)))/(2*Calculs!N326), ((M193)/Calculs!L326))</f>
        <v>0.35555555555555557</v>
      </c>
      <c r="R193" s="2197">
        <f>Q193-Paramétrage!D$29</f>
        <v>-2.6444444444444444</v>
      </c>
      <c r="S193" s="2213">
        <f>IF(Q193&lt;Paramétrage!D$29, Q193, Paramétrage!D$29)</f>
        <v>0.35555555555555557</v>
      </c>
      <c r="T193" s="2214">
        <f>Paramétrage!H$19+R193*30</f>
        <v>41839.666666666664</v>
      </c>
      <c r="U193" s="2215">
        <f>IF(Q193&lt;Paramétrage!D$29, Paramétrage!H$19+S193*30, Paramétrage!H$19+Q193*30)</f>
        <v>41929.666666666664</v>
      </c>
      <c r="V193" s="2051"/>
      <c r="W193" s="2212">
        <f t="shared" si="38"/>
        <v>0.35555555555555557</v>
      </c>
      <c r="X193" s="2197">
        <f t="shared" si="39"/>
        <v>-2.6444444444444444</v>
      </c>
      <c r="Y193" s="2216">
        <f t="shared" si="40"/>
        <v>0.35555555555555557</v>
      </c>
      <c r="Z193" s="2170">
        <f t="shared" si="41"/>
        <v>41839.666666666664</v>
      </c>
      <c r="AA193" s="2171">
        <f t="shared" si="42"/>
        <v>41929.666666666664</v>
      </c>
      <c r="AB193" s="2051"/>
      <c r="AC193" s="2212">
        <f t="shared" si="43"/>
        <v>0</v>
      </c>
      <c r="AD193" s="2197">
        <f>AC193-Paramétrage!D$29</f>
        <v>-3</v>
      </c>
      <c r="AE193" s="2213">
        <f>IF(AC193&lt;Paramétrage!D$29, AC193, Paramétrage!D$29)</f>
        <v>0</v>
      </c>
      <c r="AF193" s="2213">
        <f t="shared" si="44"/>
        <v>0</v>
      </c>
      <c r="AG193" s="2170">
        <f>Paramétrage!H$19+AD193*30</f>
        <v>41829</v>
      </c>
      <c r="AH193" s="2171">
        <f>IF(AC193&lt;Paramétrage!D$29, Paramétrage!H$19+AE193*30, Paramétrage!H$19+AC193*30)</f>
        <v>41919</v>
      </c>
      <c r="AI193" s="2171">
        <f>'Saisie données stocks'!O149</f>
        <v>0</v>
      </c>
      <c r="AJ193" s="2217" t="str">
        <f>IF(ISERROR(Q193), "0", IF('Saisie données stocks'!O149="", "0", IF(U136&gt;'Saisie données stocks'!$N$14, IF(AI193&gt;(Paramétrage!$H$19+'Saisie données stocks'!$N$14*30), (AI193-(Paramétrage!$H$19+'Saisie données stocks'!$N$14*30))/30, IF(AI193&gt;U136, (AI193-U136)/30, "0")))))</f>
        <v>0</v>
      </c>
      <c r="AK193" s="2197">
        <f>IF(ISERROR(Q136),"0", IF(Q136=0, "0", IF(Q136&gt;'Calculs Péremption FA'!$CB16, 'Calculs Péremption FA'!$CB16, Q136)))</f>
        <v>0.35555555555555557</v>
      </c>
      <c r="AL193" s="2213" t="str">
        <f>IF(ISERROR(AC193),"0", IF(AC193=0, "0", IF(AC193&gt;'Saisie données stocks'!$N$14, 'Saisie données stocks'!$N$14, AC193)))</f>
        <v>0</v>
      </c>
      <c r="AM193" s="2171">
        <f>IF(ISERROR(Q193),AA193,IF(Calculs!P271=0,AA136,(Paramétrage!$H$19+((AJ193+AK193+AL193)*(365/12)))))</f>
        <v>41929.814814814818</v>
      </c>
      <c r="AN193" s="2051"/>
      <c r="AO193" s="2212" t="str">
        <f>IF(ISERROR(AC193),"", IF(AC193=0, "", IF(AC193&gt;'Saisie données stocks'!$N$14, 'Saisie données stocks'!$N$14, AC193)))</f>
        <v/>
      </c>
      <c r="AP193" s="2197" t="str">
        <f>IF(ISERROR(AC193),"", IF(AC193=0, "", IF(AC193&gt;'Calculs Péremption conso'!$CB16, 'Calculs Péremption conso'!$CB16-Paramétrage!$D$29, AD193)))</f>
        <v/>
      </c>
      <c r="AQ193" s="2216" t="str">
        <f>IF(ISERROR(AC193),"", IF(AC193=0, "", IF(AC193&gt;'Calculs Péremption conso'!$CB16, Paramétrage!$D$29, AE193)))</f>
        <v/>
      </c>
      <c r="AR193" s="2218" t="str">
        <f t="shared" si="45"/>
        <v/>
      </c>
      <c r="AS193" s="2170" t="str">
        <f>IF(ISERROR(AC193),"", IF(AC193=0, "", IF(AC193&gt;'Calculs Péremption conso'!$CB16, 'Calculs Péremption conso'!$BX16-Paramétrage!$D$29*(365/12), AG193)))</f>
        <v/>
      </c>
      <c r="AT193" s="2171" t="str">
        <f>IF(ISERROR(AC193),"", IF(AC193=0, "", IF(AC193&gt;'Calculs Péremption conso'!$CB16, CONCATENATE('TRAD-Calculs dispo Données FA'!$B$88, " - ", 'Calculs Péremption conso'!$BY16, "/", 'Calculs Péremption conso'!$BZ16, "/", 'Calculs Péremption conso'!$CA16), AH193)))</f>
        <v/>
      </c>
      <c r="AU193" s="2051"/>
      <c r="AV193" s="2212">
        <f>(Calculs!Q271)/Calculs!L326</f>
        <v>0.35555555555555557</v>
      </c>
      <c r="AW193" s="2197">
        <f>AV193-Paramétrage!D$29</f>
        <v>-2.6444444444444444</v>
      </c>
      <c r="AX193" s="2213">
        <f>IF(AV193&lt;Paramétrage!D$29, AV193, Paramétrage!D$29)</f>
        <v>0.35555555555555557</v>
      </c>
      <c r="AY193" s="2170">
        <f>Paramétrage!H$19+AW193*(365/12)</f>
        <v>41838.564814814818</v>
      </c>
      <c r="AZ193" s="2171">
        <f>IF(AV193&lt;Paramétrage!D$29, Paramétrage!H$19+AX193*(365/12), Paramétrage!H$19+AV193*(365/12))</f>
        <v>41929.814814814818</v>
      </c>
      <c r="BA193" s="2051"/>
      <c r="BB193" s="2212">
        <f>IF(ISERROR(AV193),"", IF(AV193=0, "", IF(AV193&gt;'Calculs Péremption conso'!$CB16, 'Calculs Péremption conso'!$CB16, AV193)))</f>
        <v>0.35555555555555557</v>
      </c>
      <c r="BC193" s="2197">
        <f>IF(ISERROR(AV193),"", IF(AV193=0, "", IF(AV193&gt;'Calculs Péremption conso'!$CB16, 'Calculs Péremption conso'!$CB16-Paramétrage!$D$29, AW193)))</f>
        <v>-2.6444444444444444</v>
      </c>
      <c r="BD193" s="2216">
        <f>IF(ISERROR(AV193),"", IF(AV193=0, "", IF(AV193&gt;'Calculs Péremption conso'!$CB16, Paramétrage!$D$29, AX193)))</f>
        <v>0.35555555555555557</v>
      </c>
      <c r="BE193" s="2170">
        <f>IF(ISERROR(AV193),"", IF(AV193=0, "", IF(AV193&gt;'Calculs Péremption conso'!$CB16, 'Calculs Péremption conso'!$BX16-Paramétrage!$D$29*(365/12), AY193)))</f>
        <v>41838.564814814818</v>
      </c>
      <c r="BF193" s="2171">
        <f>IF(ISERROR(AV193),"", IF(AV193=0, "", IF(AV193&gt;'Calculs Péremption conso'!$CB16, CONCATENATE('TRAD-Calculs dispo Données FA'!$B$88, " - ", 'Calculs Péremption conso'!$BY16, "/", 'Calculs Péremption conso'!$BZ16, "/", 'Calculs Péremption conso'!$CA16), AZ193)))</f>
        <v>41929.814814814818</v>
      </c>
      <c r="BG193" s="2051"/>
      <c r="BH193" s="2212">
        <f t="shared" si="46"/>
        <v>0</v>
      </c>
      <c r="BI193" s="2197">
        <f>BH193-Paramétrage!D$29</f>
        <v>-3</v>
      </c>
      <c r="BJ193" s="2213">
        <f>IF(BH193&lt;Paramétrage!D$29, BH193, Paramétrage!D$29)</f>
        <v>0</v>
      </c>
      <c r="BK193" s="2213">
        <f t="shared" si="47"/>
        <v>0</v>
      </c>
      <c r="BL193" s="2170">
        <f>Paramétrage!$H$19+BI193*30</f>
        <v>41829</v>
      </c>
      <c r="BM193" s="2171">
        <f>IF(BH193&lt;Paramétrage!$D$29, Paramétrage!$H$19+BJ193*30, Paramétrage!$H$19+BH193*30)</f>
        <v>41919</v>
      </c>
      <c r="BN193" s="2051"/>
      <c r="BO193" s="2212" t="str">
        <f>IF(ISERROR(BH193),"", IF(BH193=0, "", IF(BH193&gt;'Calculs Péremption conso'!$CB16, 'Calculs Péremption conso'!$CB16, BH193)))</f>
        <v/>
      </c>
      <c r="BP193" s="2197" t="str">
        <f>IF(ISERROR(BH193),"", IF(BH193=0, "", IF(BH193&gt;'Calculs Péremption conso'!$CB16, 'Calculs Péremption conso'!$CB16-Paramétrage!$D$29, BI193)))</f>
        <v/>
      </c>
      <c r="BQ193" s="2216" t="str">
        <f>IF(ISERROR(BH193),"", IF(BH193=0, "", IF(BH193&gt;'Calculs Péremption conso'!$CB16, Paramétrage!$D$29, BJ193)))</f>
        <v/>
      </c>
      <c r="BR193" s="2218" t="str">
        <f t="shared" si="48"/>
        <v/>
      </c>
      <c r="BS193" s="2170" t="str">
        <f>IF(ISERROR(BH193),"", IF(BH193=0, "", IF(BH193&gt;'Calculs Péremption conso'!$CB16, 'Calculs Péremption conso'!$BX16-Paramétrage!$D$29*(365/12), BL193)))</f>
        <v/>
      </c>
      <c r="BT193" s="2171" t="str">
        <f>IF(ISERROR(BH193),"", IF(BH193=0, "", IF(BH193&gt;'Calculs Péremption conso'!$CB16, CONCATENATE('TRAD-Calculs dispo Données FA'!$B$88, " - ", 'Calculs Péremption conso'!$BY16, "/", 'Calculs Péremption conso'!$BZ16, "/", 'Calculs Péremption conso'!$CA16), BM193)))</f>
        <v/>
      </c>
      <c r="BV193" s="2061">
        <f>Calculs!$Q271</f>
        <v>16</v>
      </c>
      <c r="BW193" s="2062">
        <f>Calculs!L326</f>
        <v>45</v>
      </c>
      <c r="BX193" s="2068">
        <f>Calculs!N326</f>
        <v>0</v>
      </c>
      <c r="BY193" s="2070" t="str">
        <f>IF(AND(BX193=0, BV193=0, BW193=0), 'TRAD-Calculs dispo Données FA'!$B$82, "")</f>
        <v/>
      </c>
      <c r="BZ193" s="2062" t="str">
        <f>IF(AND(BX193=0, BV193&gt;0, BW193=0), CONCATENATE(BV193, 'TRAD-Calculs dispo Données FA'!$B$80," =0"), "")</f>
        <v/>
      </c>
      <c r="CA193" s="2063" t="str">
        <f>IF(AND(BV193=0, OR(BW193&gt;=1, BX193&gt;=1)), 'TRAD-Calculs dispo Données FA'!$B$81, "")</f>
        <v/>
      </c>
    </row>
    <row r="194" spans="3:79" s="358" customFormat="1" ht="38.25" x14ac:dyDescent="0.2">
      <c r="C194" s="374"/>
      <c r="D194" s="375"/>
      <c r="E194" s="1516" t="str">
        <f>'Saisie données stocks'!F29</f>
        <v>TDF+FTC+EFV</v>
      </c>
      <c r="F194" s="1208" t="str">
        <f>'Saisie données stocks'!G29</f>
        <v>Cp</v>
      </c>
      <c r="G194" s="1208" t="str">
        <f>'Saisie données stocks'!H29</f>
        <v>300/200/600 mg</v>
      </c>
      <c r="H194" s="379" t="str">
        <f>CONCATENATE(E194, " - ", G194, " - ", 'TRAD-Calculs dispo Données FA'!$B$79,"/", K194)</f>
        <v>TDF+FTC+EFV - 300/200/600 mg - B/30</v>
      </c>
      <c r="I194" s="379">
        <f>Calculs!K112</f>
        <v>1</v>
      </c>
      <c r="J194" s="1720">
        <f t="shared" si="36"/>
        <v>30</v>
      </c>
      <c r="K194" s="1385">
        <f>Calculs!J112</f>
        <v>30</v>
      </c>
      <c r="L194" s="1835">
        <f t="shared" si="37"/>
        <v>1</v>
      </c>
      <c r="M194" s="1870">
        <f>IF('Saisie données stocks'!$O$10='TRAD-Saisie données stocks'!$B$51, 'Calculs Péremption conso'!BU17, Calculs!M272)+IF('Saisie données stocks'!$M$76='TRAD-Saisie données stocks'!$B$51, Calculs!N272, "0")+Calculs!P272</f>
        <v>0</v>
      </c>
      <c r="N194" s="1870">
        <f>Calculs!$L$327</f>
        <v>0</v>
      </c>
      <c r="O194" s="1870">
        <f>Calculs!$N$327</f>
        <v>0</v>
      </c>
      <c r="P194"/>
      <c r="Q194" s="2212" t="e">
        <f>IF(Calculs!N327&gt;0, (-(Calculs!N327+2*Calculs!L327)+SQRT((Calculs!N327+2*Calculs!L327)*(Calculs!N327+2*Calculs!L327)+8*Calculs!N327*(M194)))/(2*Calculs!N327), ((M194)/Calculs!L327))</f>
        <v>#DIV/0!</v>
      </c>
      <c r="R194" s="2197" t="e">
        <f>Q194-Paramétrage!D$29</f>
        <v>#DIV/0!</v>
      </c>
      <c r="S194" s="2213" t="e">
        <f>IF(Q194&lt;Paramétrage!D$29, Q194, Paramétrage!D$29)</f>
        <v>#DIV/0!</v>
      </c>
      <c r="T194" s="2214" t="e">
        <f>Paramétrage!H$19+R194*30</f>
        <v>#DIV/0!</v>
      </c>
      <c r="U194" s="2215" t="e">
        <f>IF(Q194&lt;Paramétrage!D$29, Paramétrage!H$19+S194*30, Paramétrage!H$19+Q194*30)</f>
        <v>#DIV/0!</v>
      </c>
      <c r="V194" s="2051"/>
      <c r="W194" s="2212" t="str">
        <f t="shared" si="38"/>
        <v/>
      </c>
      <c r="X194" s="2197" t="str">
        <f t="shared" si="39"/>
        <v/>
      </c>
      <c r="Y194" s="2216" t="str">
        <f t="shared" si="40"/>
        <v/>
      </c>
      <c r="Z194" s="2170" t="str">
        <f t="shared" si="41"/>
        <v/>
      </c>
      <c r="AA194" s="2171" t="str">
        <f t="shared" si="42"/>
        <v/>
      </c>
      <c r="AB194" s="2051"/>
      <c r="AC194" s="2212" t="e">
        <f t="shared" si="43"/>
        <v>#DIV/0!</v>
      </c>
      <c r="AD194" s="2197" t="e">
        <f>AC194-Paramétrage!D$29</f>
        <v>#DIV/0!</v>
      </c>
      <c r="AE194" s="2213" t="e">
        <f>IF(AC194&lt;Paramétrage!D$29, AC194, Paramétrage!D$29)</f>
        <v>#DIV/0!</v>
      </c>
      <c r="AF194" s="2213" t="e">
        <f t="shared" si="44"/>
        <v>#DIV/0!</v>
      </c>
      <c r="AG194" s="2170" t="e">
        <f>Paramétrage!H$19+AD194*30</f>
        <v>#DIV/0!</v>
      </c>
      <c r="AH194" s="2171" t="e">
        <f>IF(AC194&lt;Paramétrage!D$29, Paramétrage!H$19+AE194*30, Paramétrage!H$19+AC194*30)</f>
        <v>#DIV/0!</v>
      </c>
      <c r="AI194" s="2171">
        <f>'Saisie données stocks'!O150</f>
        <v>0</v>
      </c>
      <c r="AJ194" s="2217" t="str">
        <f>IF(ISERROR(Q194), "0", IF('Saisie données stocks'!O150="", "0", IF(U137&gt;'Saisie données stocks'!$N$14, IF(AI194&gt;(Paramétrage!$H$19+'Saisie données stocks'!$N$14*30), (AI194-(Paramétrage!$H$19+'Saisie données stocks'!$N$14*30))/30, IF(AI194&gt;U137, (AI194-U137)/30, "0")))))</f>
        <v>0</v>
      </c>
      <c r="AK194" s="2197" t="str">
        <f>IF(ISERROR(Q137),"0", IF(Q137=0, "0", IF(Q137&gt;'Calculs Péremption FA'!$CB17, 'Calculs Péremption FA'!$CB17, Q137)))</f>
        <v>0</v>
      </c>
      <c r="AL194" s="2213" t="str">
        <f>IF(ISERROR(AC194),"0", IF(AC194=0, "0", IF(AC194&gt;'Saisie données stocks'!$N$14, 'Saisie données stocks'!$N$14, AC194)))</f>
        <v>0</v>
      </c>
      <c r="AM194" s="2171" t="str">
        <f>IF(ISERROR(Q194),AA194,IF(Calculs!P272=0,AA137,(Paramétrage!$H$19+((AJ194+AK194+AL194)*(365/12)))))</f>
        <v/>
      </c>
      <c r="AN194" s="2051"/>
      <c r="AO194" s="2212" t="str">
        <f>IF(ISERROR(AC194),"", IF(AC194=0, "", IF(AC194&gt;'Saisie données stocks'!$N$14, 'Saisie données stocks'!$N$14, AC194)))</f>
        <v/>
      </c>
      <c r="AP194" s="2197" t="str">
        <f>IF(ISERROR(AC194),"", IF(AC194=0, "", IF(AC194&gt;'Calculs Péremption conso'!$CB17, 'Calculs Péremption conso'!$CB17-Paramétrage!$D$29, AD194)))</f>
        <v/>
      </c>
      <c r="AQ194" s="2216" t="str">
        <f>IF(ISERROR(AC194),"", IF(AC194=0, "", IF(AC194&gt;'Calculs Péremption conso'!$CB17, Paramétrage!$D$29, AE194)))</f>
        <v/>
      </c>
      <c r="AR194" s="2218" t="str">
        <f t="shared" si="45"/>
        <v/>
      </c>
      <c r="AS194" s="2170" t="str">
        <f>IF(ISERROR(AC194),"", IF(AC194=0, "", IF(AC194&gt;'Calculs Péremption conso'!$CB17, 'Calculs Péremption conso'!$BX17-Paramétrage!$D$29*(365/12), AG194)))</f>
        <v/>
      </c>
      <c r="AT194" s="2171" t="str">
        <f>IF(ISERROR(AC194),"", IF(AC194=0, "", IF(AC194&gt;'Calculs Péremption conso'!$CB17, CONCATENATE('TRAD-Calculs dispo Données FA'!$B$88, " - ", 'Calculs Péremption conso'!$BY17, "/", 'Calculs Péremption conso'!$BZ17, "/", 'Calculs Péremption conso'!$CA17), AH194)))</f>
        <v/>
      </c>
      <c r="AU194" s="2051"/>
      <c r="AV194" s="2212" t="e">
        <f>(Calculs!Q272)/Calculs!L327</f>
        <v>#DIV/0!</v>
      </c>
      <c r="AW194" s="2197" t="e">
        <f>AV194-Paramétrage!D$29</f>
        <v>#DIV/0!</v>
      </c>
      <c r="AX194" s="2213" t="e">
        <f>IF(AV194&lt;Paramétrage!D$29, AV194, Paramétrage!D$29)</f>
        <v>#DIV/0!</v>
      </c>
      <c r="AY194" s="2170" t="e">
        <f>Paramétrage!H$19+AW194*(365/12)</f>
        <v>#DIV/0!</v>
      </c>
      <c r="AZ194" s="2171" t="e">
        <f>IF(AV194&lt;Paramétrage!D$29, Paramétrage!H$19+AX194*(365/12), Paramétrage!H$19+AV194*(365/12))</f>
        <v>#DIV/0!</v>
      </c>
      <c r="BA194" s="2051"/>
      <c r="BB194" s="2212" t="str">
        <f>IF(ISERROR(AV194),"", IF(AV194=0, "", IF(AV194&gt;'Calculs Péremption conso'!$CB17, 'Calculs Péremption conso'!$CB17, AV194)))</f>
        <v/>
      </c>
      <c r="BC194" s="2197" t="str">
        <f>IF(ISERROR(AV194),"", IF(AV194=0, "", IF(AV194&gt;'Calculs Péremption conso'!$CB17, 'Calculs Péremption conso'!$CB17-Paramétrage!$D$29, AW194)))</f>
        <v/>
      </c>
      <c r="BD194" s="2216" t="str">
        <f>IF(ISERROR(AV194),"", IF(AV194=0, "", IF(AV194&gt;'Calculs Péremption conso'!$CB17, Paramétrage!$D$29, AX194)))</f>
        <v/>
      </c>
      <c r="BE194" s="2170" t="str">
        <f>IF(ISERROR(AV194),"", IF(AV194=0, "", IF(AV194&gt;'Calculs Péremption conso'!$CB17, 'Calculs Péremption conso'!$BX17-Paramétrage!$D$29*(365/12), AY194)))</f>
        <v/>
      </c>
      <c r="BF194" s="2171" t="str">
        <f>IF(ISERROR(AV194),"", IF(AV194=0, "", IF(AV194&gt;'Calculs Péremption conso'!$CB17, CONCATENATE('TRAD-Calculs dispo Données FA'!$B$88, " - ", 'Calculs Péremption conso'!$BY17, "/", 'Calculs Péremption conso'!$BZ17, "/", 'Calculs Péremption conso'!$CA17), AZ194)))</f>
        <v/>
      </c>
      <c r="BG194" s="2051"/>
      <c r="BH194" s="2212" t="e">
        <f t="shared" si="46"/>
        <v>#DIV/0!</v>
      </c>
      <c r="BI194" s="2197" t="e">
        <f>BH194-Paramétrage!D$29</f>
        <v>#DIV/0!</v>
      </c>
      <c r="BJ194" s="2213" t="e">
        <f>IF(BH194&lt;Paramétrage!D$29, BH194, Paramétrage!D$29)</f>
        <v>#DIV/0!</v>
      </c>
      <c r="BK194" s="2213" t="e">
        <f t="shared" si="47"/>
        <v>#DIV/0!</v>
      </c>
      <c r="BL194" s="2170" t="e">
        <f>Paramétrage!$H$19+BI194*30</f>
        <v>#DIV/0!</v>
      </c>
      <c r="BM194" s="2171" t="e">
        <f>IF(BH194&lt;Paramétrage!$D$29, Paramétrage!$H$19+BJ194*30, Paramétrage!$H$19+BH194*30)</f>
        <v>#DIV/0!</v>
      </c>
      <c r="BN194" s="2051"/>
      <c r="BO194" s="2212" t="str">
        <f>IF(ISERROR(BH194),"", IF(BH194=0, "", IF(BH194&gt;'Calculs Péremption conso'!$CB17, 'Calculs Péremption conso'!$CB17, BH194)))</f>
        <v/>
      </c>
      <c r="BP194" s="2197" t="str">
        <f>IF(ISERROR(BH194),"", IF(BH194=0, "", IF(BH194&gt;'Calculs Péremption conso'!$CB17, 'Calculs Péremption conso'!$CB17-Paramétrage!$D$29, BI194)))</f>
        <v/>
      </c>
      <c r="BQ194" s="2216" t="str">
        <f>IF(ISERROR(BH194),"", IF(BH194=0, "", IF(BH194&gt;'Calculs Péremption conso'!$CB17, Paramétrage!$D$29, BJ194)))</f>
        <v/>
      </c>
      <c r="BR194" s="2218" t="str">
        <f t="shared" si="48"/>
        <v/>
      </c>
      <c r="BS194" s="2170" t="str">
        <f>IF(ISERROR(BH194),"", IF(BH194=0, "", IF(BH194&gt;'Calculs Péremption conso'!$CB17, 'Calculs Péremption conso'!$BX17-Paramétrage!$D$29*(365/12), BL194)))</f>
        <v/>
      </c>
      <c r="BT194" s="2171" t="str">
        <f>IF(ISERROR(BH194),"", IF(BH194=0, "", IF(BH194&gt;'Calculs Péremption conso'!$CB17, CONCATENATE('TRAD-Calculs dispo Données FA'!$B$88, " - ", 'Calculs Péremption conso'!$BY17, "/", 'Calculs Péremption conso'!$BZ17, "/", 'Calculs Péremption conso'!$CA17), BM194)))</f>
        <v/>
      </c>
      <c r="BV194" s="2061">
        <f>Calculs!$Q272</f>
        <v>0</v>
      </c>
      <c r="BW194" s="2062">
        <f>Calculs!L327</f>
        <v>0</v>
      </c>
      <c r="BX194" s="2068">
        <f>Calculs!N327</f>
        <v>0</v>
      </c>
      <c r="BY194" s="2070" t="str">
        <f>IF(AND(BX194=0, BV194=0, BW194=0), 'TRAD-Calculs dispo Données FA'!$B$82, "")</f>
        <v>Stock et besoin nul</v>
      </c>
      <c r="BZ194" s="2062" t="str">
        <f>IF(AND(BX194=0, BV194&gt;0, BW194=0), CONCATENATE(BV194, 'TRAD-Calculs dispo Données FA'!$B$80," =0"), "")</f>
        <v/>
      </c>
      <c r="CA194" s="2063" t="str">
        <f>IF(AND(BV194=0, OR(BW194&gt;=1, BX194&gt;=1)), 'TRAD-Calculs dispo Données FA'!$B$81, "")</f>
        <v/>
      </c>
    </row>
    <row r="195" spans="3:79" s="358" customFormat="1" ht="38.25" x14ac:dyDescent="0.2">
      <c r="C195" s="374"/>
      <c r="D195" s="375"/>
      <c r="E195" s="1516" t="str">
        <f>'Saisie données stocks'!F30</f>
        <v>TDF+FTC</v>
      </c>
      <c r="F195" s="1208" t="str">
        <f>'Saisie données stocks'!G30</f>
        <v>Cp</v>
      </c>
      <c r="G195" s="1208" t="str">
        <f>'Saisie données stocks'!H30</f>
        <v>300/200 mg</v>
      </c>
      <c r="H195" s="379" t="str">
        <f>CONCATENATE(E195, " - ", G195, " - ", 'TRAD-Calculs dispo Données FA'!$B$79,"/", K195)</f>
        <v>TDF+FTC - 300/200 mg - B/30</v>
      </c>
      <c r="I195" s="379">
        <f>Calculs!K113</f>
        <v>1</v>
      </c>
      <c r="J195" s="1720">
        <f t="shared" si="36"/>
        <v>30</v>
      </c>
      <c r="K195" s="1385">
        <f>Calculs!J113</f>
        <v>30</v>
      </c>
      <c r="L195" s="1835">
        <f t="shared" si="37"/>
        <v>1</v>
      </c>
      <c r="M195" s="1870">
        <f>IF('Saisie données stocks'!$O$10='TRAD-Saisie données stocks'!$B$51, 'Calculs Péremption conso'!BU18, Calculs!M273)+IF('Saisie données stocks'!$M$76='TRAD-Saisie données stocks'!$B$51, Calculs!N273, "0")+Calculs!P273</f>
        <v>0</v>
      </c>
      <c r="N195" s="1870">
        <f>Calculs!$L$328</f>
        <v>0</v>
      </c>
      <c r="O195" s="1870">
        <f>Calculs!$N$328</f>
        <v>0</v>
      </c>
      <c r="P195"/>
      <c r="Q195" s="2212" t="e">
        <f>IF(Calculs!N328&gt;0, (-(Calculs!N328+2*Calculs!L328)+SQRT((Calculs!N328+2*Calculs!L328)*(Calculs!N328+2*Calculs!L328)+8*Calculs!N328*(M195)))/(2*Calculs!N328), ((M195)/Calculs!L328))</f>
        <v>#DIV/0!</v>
      </c>
      <c r="R195" s="2197" t="e">
        <f>Q195-Paramétrage!D$29</f>
        <v>#DIV/0!</v>
      </c>
      <c r="S195" s="2213" t="e">
        <f>IF(Q195&lt;Paramétrage!D$29, Q195, Paramétrage!D$29)</f>
        <v>#DIV/0!</v>
      </c>
      <c r="T195" s="2214" t="e">
        <f>Paramétrage!H$19+R195*30</f>
        <v>#DIV/0!</v>
      </c>
      <c r="U195" s="2215" t="e">
        <f>IF(Q195&lt;Paramétrage!D$29, Paramétrage!H$19+S195*30, Paramétrage!H$19+Q195*30)</f>
        <v>#DIV/0!</v>
      </c>
      <c r="V195" s="2051"/>
      <c r="W195" s="2212" t="str">
        <f t="shared" si="38"/>
        <v/>
      </c>
      <c r="X195" s="2197" t="str">
        <f t="shared" si="39"/>
        <v/>
      </c>
      <c r="Y195" s="2216" t="str">
        <f t="shared" si="40"/>
        <v/>
      </c>
      <c r="Z195" s="2170" t="str">
        <f t="shared" si="41"/>
        <v/>
      </c>
      <c r="AA195" s="2171" t="str">
        <f t="shared" si="42"/>
        <v/>
      </c>
      <c r="AB195" s="2051"/>
      <c r="AC195" s="2212" t="e">
        <f t="shared" si="43"/>
        <v>#DIV/0!</v>
      </c>
      <c r="AD195" s="2197" t="e">
        <f>AC195-Paramétrage!D$29</f>
        <v>#DIV/0!</v>
      </c>
      <c r="AE195" s="2213" t="e">
        <f>IF(AC195&lt;Paramétrage!D$29, AC195, Paramétrage!D$29)</f>
        <v>#DIV/0!</v>
      </c>
      <c r="AF195" s="2213" t="e">
        <f t="shared" si="44"/>
        <v>#DIV/0!</v>
      </c>
      <c r="AG195" s="2170" t="e">
        <f>Paramétrage!H$19+AD195*30</f>
        <v>#DIV/0!</v>
      </c>
      <c r="AH195" s="2171" t="e">
        <f>IF(AC195&lt;Paramétrage!D$29, Paramétrage!H$19+AE195*30, Paramétrage!H$19+AC195*30)</f>
        <v>#DIV/0!</v>
      </c>
      <c r="AI195" s="2171">
        <f>'Saisie données stocks'!O151</f>
        <v>0</v>
      </c>
      <c r="AJ195" s="2217" t="str">
        <f>IF(ISERROR(Q195), "0", IF('Saisie données stocks'!O151="", "0", IF(U138&gt;'Saisie données stocks'!$N$14, IF(AI195&gt;(Paramétrage!$H$19+'Saisie données stocks'!$N$14*30), (AI195-(Paramétrage!$H$19+'Saisie données stocks'!$N$14*30))/30, IF(AI195&gt;U138, (AI195-U138)/30, "0")))))</f>
        <v>0</v>
      </c>
      <c r="AK195" s="2197" t="str">
        <f>IF(ISERROR(Q138),"0", IF(Q138=0, "0", IF(Q138&gt;'Calculs Péremption FA'!$CB18, 'Calculs Péremption FA'!$CB18, Q138)))</f>
        <v>0</v>
      </c>
      <c r="AL195" s="2213" t="str">
        <f>IF(ISERROR(AC195),"0", IF(AC195=0, "0", IF(AC195&gt;'Saisie données stocks'!$N$14, 'Saisie données stocks'!$N$14, AC195)))</f>
        <v>0</v>
      </c>
      <c r="AM195" s="2171" t="str">
        <f>IF(ISERROR(Q195),AA195,IF(Calculs!P273=0,AA138,(Paramétrage!$H$19+((AJ195+AK195+AL195)*(365/12)))))</f>
        <v/>
      </c>
      <c r="AN195" s="2051"/>
      <c r="AO195" s="2212" t="str">
        <f>IF(ISERROR(AC195),"", IF(AC195=0, "", IF(AC195&gt;'Saisie données stocks'!$N$14, 'Saisie données stocks'!$N$14, AC195)))</f>
        <v/>
      </c>
      <c r="AP195" s="2197" t="str">
        <f>IF(ISERROR(AC195),"", IF(AC195=0, "", IF(AC195&gt;'Calculs Péremption conso'!$CB18, 'Calculs Péremption conso'!$CB18-Paramétrage!$D$29, AD195)))</f>
        <v/>
      </c>
      <c r="AQ195" s="2216" t="str">
        <f>IF(ISERROR(AC195),"", IF(AC195=0, "", IF(AC195&gt;'Calculs Péremption conso'!$CB18, Paramétrage!$D$29, AE195)))</f>
        <v/>
      </c>
      <c r="AR195" s="2218" t="str">
        <f t="shared" si="45"/>
        <v/>
      </c>
      <c r="AS195" s="2170" t="str">
        <f>IF(ISERROR(AC195),"", IF(AC195=0, "", IF(AC195&gt;'Calculs Péremption conso'!$CB18, 'Calculs Péremption conso'!$BX18-Paramétrage!$D$29*(365/12), AG195)))</f>
        <v/>
      </c>
      <c r="AT195" s="2171" t="str">
        <f>IF(ISERROR(AC195),"", IF(AC195=0, "", IF(AC195&gt;'Calculs Péremption conso'!$CB18, CONCATENATE('TRAD-Calculs dispo Données FA'!$B$88, " - ", 'Calculs Péremption conso'!$BY18, "/", 'Calculs Péremption conso'!$BZ18, "/", 'Calculs Péremption conso'!$CA18), AH195)))</f>
        <v/>
      </c>
      <c r="AU195" s="2051"/>
      <c r="AV195" s="2212" t="e">
        <f>(Calculs!Q273)/Calculs!L328</f>
        <v>#DIV/0!</v>
      </c>
      <c r="AW195" s="2197" t="e">
        <f>AV195-Paramétrage!D$29</f>
        <v>#DIV/0!</v>
      </c>
      <c r="AX195" s="2213" t="e">
        <f>IF(AV195&lt;Paramétrage!D$29, AV195, Paramétrage!D$29)</f>
        <v>#DIV/0!</v>
      </c>
      <c r="AY195" s="2170" t="e">
        <f>Paramétrage!H$19+AW195*(365/12)</f>
        <v>#DIV/0!</v>
      </c>
      <c r="AZ195" s="2171" t="e">
        <f>IF(AV195&lt;Paramétrage!D$29, Paramétrage!H$19+AX195*(365/12), Paramétrage!H$19+AV195*(365/12))</f>
        <v>#DIV/0!</v>
      </c>
      <c r="BA195" s="2051"/>
      <c r="BB195" s="2212" t="str">
        <f>IF(ISERROR(AV195),"", IF(AV195=0, "", IF(AV195&gt;'Calculs Péremption conso'!$CB18, 'Calculs Péremption conso'!$CB18, AV195)))</f>
        <v/>
      </c>
      <c r="BC195" s="2197" t="str">
        <f>IF(ISERROR(AV195),"", IF(AV195=0, "", IF(AV195&gt;'Calculs Péremption conso'!$CB18, 'Calculs Péremption conso'!$CB18-Paramétrage!$D$29, AW195)))</f>
        <v/>
      </c>
      <c r="BD195" s="2216" t="str">
        <f>IF(ISERROR(AV195),"", IF(AV195=0, "", IF(AV195&gt;'Calculs Péremption conso'!$CB18, Paramétrage!$D$29, AX195)))</f>
        <v/>
      </c>
      <c r="BE195" s="2170" t="str">
        <f>IF(ISERROR(AV195),"", IF(AV195=0, "", IF(AV195&gt;'Calculs Péremption conso'!$CB18, 'Calculs Péremption conso'!$BX18-Paramétrage!$D$29*(365/12), AY195)))</f>
        <v/>
      </c>
      <c r="BF195" s="2171" t="str">
        <f>IF(ISERROR(AV195),"", IF(AV195=0, "", IF(AV195&gt;'Calculs Péremption conso'!$CB18, CONCATENATE('TRAD-Calculs dispo Données FA'!$B$88, " - ", 'Calculs Péremption conso'!$BY18, "/", 'Calculs Péremption conso'!$BZ18, "/", 'Calculs Péremption conso'!$CA18), AZ195)))</f>
        <v/>
      </c>
      <c r="BG195" s="2051"/>
      <c r="BH195" s="2212" t="e">
        <f t="shared" si="46"/>
        <v>#DIV/0!</v>
      </c>
      <c r="BI195" s="2197" t="e">
        <f>BH195-Paramétrage!D$29</f>
        <v>#DIV/0!</v>
      </c>
      <c r="BJ195" s="2213" t="e">
        <f>IF(BH195&lt;Paramétrage!D$29, BH195, Paramétrage!D$29)</f>
        <v>#DIV/0!</v>
      </c>
      <c r="BK195" s="2213" t="e">
        <f t="shared" si="47"/>
        <v>#DIV/0!</v>
      </c>
      <c r="BL195" s="2170" t="e">
        <f>Paramétrage!$H$19+BI195*30</f>
        <v>#DIV/0!</v>
      </c>
      <c r="BM195" s="2171" t="e">
        <f>IF(BH195&lt;Paramétrage!$D$29, Paramétrage!$H$19+BJ195*30, Paramétrage!$H$19+BH195*30)</f>
        <v>#DIV/0!</v>
      </c>
      <c r="BN195" s="2051"/>
      <c r="BO195" s="2212" t="str">
        <f>IF(ISERROR(BH195),"", IF(BH195=0, "", IF(BH195&gt;'Calculs Péremption conso'!$CB18, 'Calculs Péremption conso'!$CB18, BH195)))</f>
        <v/>
      </c>
      <c r="BP195" s="2197" t="str">
        <f>IF(ISERROR(BH195),"", IF(BH195=0, "", IF(BH195&gt;'Calculs Péremption conso'!$CB18, 'Calculs Péremption conso'!$CB18-Paramétrage!$D$29, BI195)))</f>
        <v/>
      </c>
      <c r="BQ195" s="2216" t="str">
        <f>IF(ISERROR(BH195),"", IF(BH195=0, "", IF(BH195&gt;'Calculs Péremption conso'!$CB18, Paramétrage!$D$29, BJ195)))</f>
        <v/>
      </c>
      <c r="BR195" s="2218" t="str">
        <f t="shared" si="48"/>
        <v/>
      </c>
      <c r="BS195" s="2170" t="str">
        <f>IF(ISERROR(BH195),"", IF(BH195=0, "", IF(BH195&gt;'Calculs Péremption conso'!$CB18, 'Calculs Péremption conso'!$BX18-Paramétrage!$D$29*(365/12), BL195)))</f>
        <v/>
      </c>
      <c r="BT195" s="2171" t="str">
        <f>IF(ISERROR(BH195),"", IF(BH195=0, "", IF(BH195&gt;'Calculs Péremption conso'!$CB18, CONCATENATE('TRAD-Calculs dispo Données FA'!$B$88, " - ", 'Calculs Péremption conso'!$BY18, "/", 'Calculs Péremption conso'!$BZ18, "/", 'Calculs Péremption conso'!$CA18), BM195)))</f>
        <v/>
      </c>
      <c r="BV195" s="2061">
        <f>Calculs!$Q273</f>
        <v>0</v>
      </c>
      <c r="BW195" s="2062">
        <f>Calculs!L328</f>
        <v>0</v>
      </c>
      <c r="BX195" s="2068">
        <f>Calculs!N328</f>
        <v>0</v>
      </c>
      <c r="BY195" s="2070" t="str">
        <f>IF(AND(BX195=0, BV195=0, BW195=0), 'TRAD-Calculs dispo Données FA'!$B$82, "")</f>
        <v>Stock et besoin nul</v>
      </c>
      <c r="BZ195" s="2062" t="str">
        <f>IF(AND(BX195=0, BV195&gt;0, BW195=0), CONCATENATE(BV195, 'TRAD-Calculs dispo Données FA'!$B$80," =0"), "")</f>
        <v/>
      </c>
      <c r="CA195" s="2063" t="str">
        <f>IF(AND(BV195=0, OR(BW195&gt;=1, BX195&gt;=1)), 'TRAD-Calculs dispo Données FA'!$B$81, "")</f>
        <v/>
      </c>
    </row>
    <row r="196" spans="3:79" s="358" customFormat="1" ht="51" x14ac:dyDescent="0.2">
      <c r="C196" s="374"/>
      <c r="D196" s="375"/>
      <c r="E196" s="1516" t="str">
        <f>'Saisie données stocks'!F31</f>
        <v>TDF+3TC+EFV</v>
      </c>
      <c r="F196" s="1208" t="str">
        <f>'Saisie données stocks'!G31</f>
        <v>Cp</v>
      </c>
      <c r="G196" s="1208" t="str">
        <f>'Saisie données stocks'!H31</f>
        <v>300/200/600 mg</v>
      </c>
      <c r="H196" s="385" t="str">
        <f>CONCATENATE(E196, " - ", G196, " - ", 'TRAD-Calculs dispo Données FA'!$B$79,"/", K196)</f>
        <v>TDF+3TC+EFV - 300/200/600 mg - B/30</v>
      </c>
      <c r="I196" s="1720">
        <f>Calculs!K114</f>
        <v>1</v>
      </c>
      <c r="J196" s="1834">
        <f t="shared" si="36"/>
        <v>30</v>
      </c>
      <c r="K196" s="1385">
        <f>Calculs!J114</f>
        <v>30</v>
      </c>
      <c r="L196" s="1835">
        <f t="shared" si="37"/>
        <v>1</v>
      </c>
      <c r="M196" s="1870">
        <f>IF('Saisie données stocks'!$O$10='TRAD-Saisie données stocks'!$B$51, 'Calculs Péremption conso'!BU19, Calculs!M274)+IF('Saisie données stocks'!$M$76='TRAD-Saisie données stocks'!$B$51, Calculs!N274, "0")+Calculs!P274</f>
        <v>23203.397260273974</v>
      </c>
      <c r="N196" s="1870">
        <f>Calculs!$L$329</f>
        <v>1484</v>
      </c>
      <c r="O196" s="1870">
        <f>Calculs!$N$329</f>
        <v>0</v>
      </c>
      <c r="P196"/>
      <c r="Q196" s="2212">
        <f>IF(Calculs!N329&gt;0, (-(Calculs!N329+2*Calculs!L329)+SQRT((Calculs!N329+2*Calculs!L329)*(Calculs!N329+2*Calculs!L329)+8*Calculs!N329*(M196)))/(2*Calculs!N329), ((M196)/Calculs!L329))</f>
        <v>15.635712439537718</v>
      </c>
      <c r="R196" s="2197">
        <f>Q196-Paramétrage!D$29</f>
        <v>12.635712439537718</v>
      </c>
      <c r="S196" s="2213">
        <f>IF(Q196&lt;Paramétrage!D$29, Q196, Paramétrage!D$29)</f>
        <v>3</v>
      </c>
      <c r="T196" s="2214">
        <f>Paramétrage!H$19+R196*30</f>
        <v>42298.071373186132</v>
      </c>
      <c r="U196" s="2215">
        <f>IF(Q196&lt;Paramétrage!D$29, Paramétrage!H$19+S196*30, Paramétrage!H$19+Q196*30)</f>
        <v>42388.071373186132</v>
      </c>
      <c r="V196" s="2051"/>
      <c r="W196" s="2212">
        <f t="shared" si="38"/>
        <v>15.635712439537718</v>
      </c>
      <c r="X196" s="2197">
        <f t="shared" si="39"/>
        <v>12.635712439537718</v>
      </c>
      <c r="Y196" s="2216">
        <f t="shared" si="40"/>
        <v>3</v>
      </c>
      <c r="Z196" s="2170">
        <f t="shared" si="41"/>
        <v>42298.071373186132</v>
      </c>
      <c r="AA196" s="2171">
        <f t="shared" si="42"/>
        <v>42388.071373186132</v>
      </c>
      <c r="AB196" s="2051"/>
      <c r="AC196" s="2212">
        <f t="shared" si="43"/>
        <v>0</v>
      </c>
      <c r="AD196" s="2197">
        <f>AC196-Paramétrage!D$29</f>
        <v>-3</v>
      </c>
      <c r="AE196" s="2213">
        <f>IF(AC196&lt;Paramétrage!D$29, AC196, Paramétrage!D$29)</f>
        <v>0</v>
      </c>
      <c r="AF196" s="2213">
        <f t="shared" si="44"/>
        <v>0</v>
      </c>
      <c r="AG196" s="2170">
        <f>Paramétrage!H$19+AD196*30</f>
        <v>41829</v>
      </c>
      <c r="AH196" s="2171">
        <f>IF(AC196&lt;Paramétrage!D$29, Paramétrage!H$19+AE196*30, Paramétrage!H$19+AC196*30)</f>
        <v>41919</v>
      </c>
      <c r="AI196" s="2171">
        <f>'Saisie données stocks'!O152</f>
        <v>0</v>
      </c>
      <c r="AJ196" s="2217" t="str">
        <f>IF(ISERROR(Q196), "0", IF('Saisie données stocks'!O152="", "0", IF(U139&gt;'Saisie données stocks'!$N$14, IF(AI196&gt;(Paramétrage!$H$19+'Saisie données stocks'!$N$14*30), (AI196-(Paramétrage!$H$19+'Saisie données stocks'!$N$14*30))/30, IF(AI196&gt;U139, (AI196-U139)/30, "0")))))</f>
        <v>0</v>
      </c>
      <c r="AK196" s="2197">
        <f>IF(ISERROR(Q139),"0", IF(Q139=0, "0", IF(Q139&gt;'Calculs Péremption FA'!$CB19, 'Calculs Péremption FA'!$CB19, Q139)))</f>
        <v>13.808219178082192</v>
      </c>
      <c r="AL196" s="2213" t="str">
        <f>IF(ISERROR(AC196),"0", IF(AC196=0, "0", IF(AC196&gt;'Saisie données stocks'!$N$14, 'Saisie données stocks'!$N$14, AC196)))</f>
        <v>0</v>
      </c>
      <c r="AM196" s="2171" t="str">
        <f>IF(ISERROR(Q196),AA196,IF(Calculs!P274=0,AA139,(Paramétrage!$H$19+((AJ196+AK196+AL196)*(365/12)))))</f>
        <v>DLU - 1/12/2015</v>
      </c>
      <c r="AN196" s="2051"/>
      <c r="AO196" s="2212" t="str">
        <f>IF(ISERROR(AC196),"", IF(AC196=0, "", IF(AC196&gt;'Saisie données stocks'!$N$14, 'Saisie données stocks'!$N$14, AC196)))</f>
        <v/>
      </c>
      <c r="AP196" s="2197" t="str">
        <f>IF(ISERROR(AC196),"", IF(AC196=0, "", IF(AC196&gt;'Calculs Péremption conso'!$CB19, 'Calculs Péremption conso'!$CB19-Paramétrage!$D$29, AD196)))</f>
        <v/>
      </c>
      <c r="AQ196" s="2216" t="str">
        <f>IF(ISERROR(AC196),"", IF(AC196=0, "", IF(AC196&gt;'Calculs Péremption conso'!$CB19, Paramétrage!$D$29, AE196)))</f>
        <v/>
      </c>
      <c r="AR196" s="2218" t="str">
        <f t="shared" si="45"/>
        <v/>
      </c>
      <c r="AS196" s="2170" t="str">
        <f>IF(ISERROR(AC196),"", IF(AC196=0, "", IF(AC196&gt;'Calculs Péremption conso'!$CB19, 'Calculs Péremption conso'!$BX19-Paramétrage!$D$29*(365/12), AG196)))</f>
        <v/>
      </c>
      <c r="AT196" s="2171" t="str">
        <f>IF(ISERROR(AC196),"", IF(AC196=0, "", IF(AC196&gt;'Calculs Péremption conso'!$CB19, CONCATENATE('TRAD-Calculs dispo Données FA'!$B$88, " - ", 'Calculs Péremption conso'!$BY19, "/", 'Calculs Péremption conso'!$BZ19, "/", 'Calculs Péremption conso'!$CA19), AH196)))</f>
        <v/>
      </c>
      <c r="AU196" s="2051"/>
      <c r="AV196" s="2212">
        <f>(Calculs!Q274)/Calculs!L329</f>
        <v>26.109164420485175</v>
      </c>
      <c r="AW196" s="2197">
        <f>AV196-Paramétrage!D$29</f>
        <v>23.109164420485175</v>
      </c>
      <c r="AX196" s="2213">
        <f>IF(AV196&lt;Paramétrage!D$29, AV196, Paramétrage!D$29)</f>
        <v>3</v>
      </c>
      <c r="AY196" s="2170">
        <f>Paramétrage!H$19+AW196*(365/12)</f>
        <v>42621.903751123093</v>
      </c>
      <c r="AZ196" s="2171">
        <f>IF(AV196&lt;Paramétrage!D$29, Paramétrage!H$19+AX196*(365/12), Paramétrage!H$19+AV196*(365/12))</f>
        <v>42713.153751123093</v>
      </c>
      <c r="BA196" s="2051"/>
      <c r="BB196" s="2212">
        <f>IF(ISERROR(AV196),"", IF(AV196=0, "", IF(AV196&gt;'Calculs Péremption conso'!$CB19, 'Calculs Péremption conso'!$CB19, AV196)))</f>
        <v>13.808219178082192</v>
      </c>
      <c r="BC196" s="2197">
        <f>IF(ISERROR(AV196),"", IF(AV196=0, "", IF(AV196&gt;'Calculs Péremption conso'!$CB19, 'Calculs Péremption conso'!$CB19-Paramétrage!$D$29, AW196)))</f>
        <v>10.808219178082192</v>
      </c>
      <c r="BD196" s="2216">
        <f>IF(ISERROR(AV196),"", IF(AV196=0, "", IF(AV196&gt;'Calculs Péremption conso'!$CB19, Paramétrage!$D$29, AX196)))</f>
        <v>3</v>
      </c>
      <c r="BE196" s="2170">
        <f>IF(ISERROR(AV196),"", IF(AV196=0, "", IF(AV196&gt;'Calculs Péremption conso'!$CB19, 'Calculs Péremption conso'!$BX19-Paramétrage!$D$29*(365/12), AY196)))</f>
        <v>42247.75</v>
      </c>
      <c r="BF196" s="2171" t="str">
        <f>IF(ISERROR(AV196),"", IF(AV196=0, "", IF(AV196&gt;'Calculs Péremption conso'!$CB19, CONCATENATE('TRAD-Calculs dispo Données FA'!$B$88, " - ", 'Calculs Péremption conso'!$BY19, "/", 'Calculs Péremption conso'!$BZ19, "/", 'Calculs Péremption conso'!$CA19), AZ196)))</f>
        <v>DLU - 1/12/2015</v>
      </c>
      <c r="BG196" s="2051"/>
      <c r="BH196" s="2212">
        <f t="shared" si="46"/>
        <v>0</v>
      </c>
      <c r="BI196" s="2197">
        <f>BH196-Paramétrage!D$29</f>
        <v>-3</v>
      </c>
      <c r="BJ196" s="2213">
        <f>IF(BH196&lt;Paramétrage!D$29, BH196, Paramétrage!D$29)</f>
        <v>0</v>
      </c>
      <c r="BK196" s="2213">
        <f t="shared" si="47"/>
        <v>0</v>
      </c>
      <c r="BL196" s="2170">
        <f>Paramétrage!$H$19+BI196*30</f>
        <v>41829</v>
      </c>
      <c r="BM196" s="2171">
        <f>IF(BH196&lt;Paramétrage!$D$29, Paramétrage!$H$19+BJ196*30, Paramétrage!$H$19+BH196*30)</f>
        <v>41919</v>
      </c>
      <c r="BN196" s="2051"/>
      <c r="BO196" s="2212" t="str">
        <f>IF(ISERROR(BH196),"", IF(BH196=0, "", IF(BH196&gt;'Calculs Péremption conso'!$CB19, 'Calculs Péremption conso'!$CB19, BH196)))</f>
        <v/>
      </c>
      <c r="BP196" s="2197" t="str">
        <f>IF(ISERROR(BH196),"", IF(BH196=0, "", IF(BH196&gt;'Calculs Péremption conso'!$CB19, 'Calculs Péremption conso'!$CB19-Paramétrage!$D$29, BI196)))</f>
        <v/>
      </c>
      <c r="BQ196" s="2216" t="str">
        <f>IF(ISERROR(BH196),"", IF(BH196=0, "", IF(BH196&gt;'Calculs Péremption conso'!$CB19, Paramétrage!$D$29, BJ196)))</f>
        <v/>
      </c>
      <c r="BR196" s="2218" t="str">
        <f t="shared" si="48"/>
        <v/>
      </c>
      <c r="BS196" s="2170" t="str">
        <f>IF(ISERROR(BH196),"", IF(BH196=0, "", IF(BH196&gt;'Calculs Péremption conso'!$CB19, 'Calculs Péremption conso'!$BX19-Paramétrage!$D$29*(365/12), BL196)))</f>
        <v/>
      </c>
      <c r="BT196" s="2171" t="str">
        <f>IF(ISERROR(BH196),"", IF(BH196=0, "", IF(BH196&gt;'Calculs Péremption conso'!$CB19, CONCATENATE('TRAD-Calculs dispo Données FA'!$B$88, " - ", 'Calculs Péremption conso'!$BY19, "/", 'Calculs Péremption conso'!$BZ19, "/", 'Calculs Péremption conso'!$CA19), BM196)))</f>
        <v/>
      </c>
      <c r="BV196" s="2061">
        <f>Calculs!$Q274</f>
        <v>38746</v>
      </c>
      <c r="BW196" s="2062">
        <f>Calculs!L329</f>
        <v>1484</v>
      </c>
      <c r="BX196" s="2068">
        <f>Calculs!N329</f>
        <v>0</v>
      </c>
      <c r="BY196" s="2070" t="str">
        <f>IF(AND(BX196=0, BV196=0, BW196=0), 'TRAD-Calculs dispo Données FA'!$B$82, "")</f>
        <v/>
      </c>
      <c r="BZ196" s="2062" t="str">
        <f>IF(AND(BX196=0, BV196&gt;0, BW196=0), CONCATENATE(BV196, 'TRAD-Calculs dispo Données FA'!$B$80," =0"), "")</f>
        <v/>
      </c>
      <c r="CA196" s="2063" t="str">
        <f>IF(AND(BV196=0, OR(BW196&gt;=1, BX196&gt;=1)), 'TRAD-Calculs dispo Données FA'!$B$81, "")</f>
        <v/>
      </c>
    </row>
    <row r="197" spans="3:79" s="358" customFormat="1" ht="38.25" x14ac:dyDescent="0.2">
      <c r="C197" s="374"/>
      <c r="D197" s="375"/>
      <c r="E197" s="1843" t="str">
        <f>'Saisie données stocks'!F32</f>
        <v>TDF+3TC</v>
      </c>
      <c r="F197" s="1844" t="str">
        <f>'Saisie données stocks'!G32</f>
        <v>Cp</v>
      </c>
      <c r="G197" s="1844" t="str">
        <f>'Saisie données stocks'!H32</f>
        <v>300/200 mg</v>
      </c>
      <c r="H197" s="385" t="str">
        <f>CONCATENATE(E197, " - ", G197, " - ", 'TRAD-Calculs dispo Données FA'!$B$79,"/", K197)</f>
        <v>TDF+3TC - 300/200 mg - B/30</v>
      </c>
      <c r="I197" s="1807">
        <f>Calculs!K115</f>
        <v>1</v>
      </c>
      <c r="J197" s="1845">
        <f t="shared" si="36"/>
        <v>30</v>
      </c>
      <c r="K197" s="1386">
        <f>Calculs!J115</f>
        <v>30</v>
      </c>
      <c r="L197" s="1846">
        <f t="shared" si="37"/>
        <v>1</v>
      </c>
      <c r="M197" s="1870">
        <f>IF('Saisie données stocks'!$O$10='TRAD-Saisie données stocks'!$B$51, 'Calculs Péremption conso'!BU20, Calculs!M275)+IF('Saisie données stocks'!$M$76='TRAD-Saisie données stocks'!$B$51, Calculs!N275, "0")+Calculs!P275</f>
        <v>495.78082191780817</v>
      </c>
      <c r="N197" s="1870">
        <f>Calculs!$L$330</f>
        <v>104</v>
      </c>
      <c r="O197" s="1870">
        <f>Calculs!$N$330</f>
        <v>0</v>
      </c>
      <c r="P197"/>
      <c r="Q197" s="2219">
        <f>IF(Calculs!N330&gt;0, (-(Calculs!N330+2*Calculs!L330)+SQRT((Calculs!N330+2*Calculs!L330)*(Calculs!N330+2*Calculs!L330)+8*Calculs!N330*(M197)))/(2*Calculs!N330), ((M197)/Calculs!L330))</f>
        <v>4.7671232876712324</v>
      </c>
      <c r="R197" s="2220">
        <f>Q197-Paramétrage!D$29</f>
        <v>1.7671232876712324</v>
      </c>
      <c r="S197" s="2221">
        <f>IF(Q197&lt;Paramétrage!D$29, Q197, Paramétrage!D$29)</f>
        <v>3</v>
      </c>
      <c r="T197" s="2222">
        <f>Paramétrage!H$19+R197*30</f>
        <v>41972.013698630137</v>
      </c>
      <c r="U197" s="2187">
        <f>IF(Q197&lt;Paramétrage!D$29, Paramétrage!H$19+S197*30, Paramétrage!H$19+Q197*30)</f>
        <v>42062.013698630137</v>
      </c>
      <c r="V197" s="2051"/>
      <c r="W197" s="2219">
        <f t="shared" si="38"/>
        <v>4.7671232876712324</v>
      </c>
      <c r="X197" s="2220">
        <f t="shared" si="39"/>
        <v>1.7671232876712324</v>
      </c>
      <c r="Y197" s="2189">
        <f t="shared" si="40"/>
        <v>3</v>
      </c>
      <c r="Z197" s="2170">
        <f t="shared" si="41"/>
        <v>41972.013698630137</v>
      </c>
      <c r="AA197" s="2171">
        <f t="shared" si="42"/>
        <v>42062.013698630137</v>
      </c>
      <c r="AB197" s="2051"/>
      <c r="AC197" s="2219">
        <f t="shared" si="43"/>
        <v>0</v>
      </c>
      <c r="AD197" s="2220">
        <f>AC197-Paramétrage!D$29</f>
        <v>-3</v>
      </c>
      <c r="AE197" s="2221">
        <f>IF(AC197&lt;Paramétrage!D$29, AC197, Paramétrage!D$29)</f>
        <v>0</v>
      </c>
      <c r="AF197" s="2221">
        <f t="shared" si="44"/>
        <v>0</v>
      </c>
      <c r="AG197" s="2170">
        <f>Paramétrage!H$19+AD197*30</f>
        <v>41829</v>
      </c>
      <c r="AH197" s="2171">
        <f>IF(AC197&lt;Paramétrage!D$29, Paramétrage!H$19+AE197*30, Paramétrage!H$19+AC197*30)</f>
        <v>41919</v>
      </c>
      <c r="AI197" s="2171">
        <f>'Saisie données stocks'!O153</f>
        <v>0</v>
      </c>
      <c r="AJ197" s="2223" t="str">
        <f>IF(ISERROR(Q197), "0", IF('Saisie données stocks'!O153="", "0", IF(U140&gt;'Saisie données stocks'!$N$14, IF(AI197&gt;(Paramétrage!$H$19+'Saisie données stocks'!$N$14*30), (AI197-(Paramétrage!$H$19+'Saisie données stocks'!$N$14*30))/30, IF(AI197&gt;U140, (AI197-U140)/30, "0")))))</f>
        <v>0</v>
      </c>
      <c r="AK197" s="2220">
        <f>IF(ISERROR(Q140),"0", IF(Q140=0, "0", IF(Q140&gt;'Calculs Péremption FA'!$CB20, 'Calculs Péremption FA'!$CB20, Q140)))</f>
        <v>4.7671232876712324</v>
      </c>
      <c r="AL197" s="2221" t="str">
        <f>IF(ISERROR(AC197),"0", IF(AC197=0, "0", IF(AC197&gt;'Saisie données stocks'!$N$14, 'Saisie données stocks'!$N$14, AC197)))</f>
        <v>0</v>
      </c>
      <c r="AM197" s="2171" t="str">
        <f>IF(ISERROR(Q197),AA197,IF(Calculs!P275=0,AA140,(Paramétrage!$H$19+((AJ197+AK197+AL197)*(365/12)))))</f>
        <v>DLU - 1/3/2015</v>
      </c>
      <c r="AN197" s="2051"/>
      <c r="AO197" s="2219" t="str">
        <f>IF(ISERROR(AC197),"", IF(AC197=0, "", IF(AC197&gt;'Saisie données stocks'!$N$14, 'Saisie données stocks'!$N$14, AC197)))</f>
        <v/>
      </c>
      <c r="AP197" s="2220" t="str">
        <f>IF(ISERROR(AC197),"", IF(AC197=0, "", IF(AC197&gt;'Calculs Péremption conso'!$CB20, 'Calculs Péremption conso'!$CB20-Paramétrage!$D$29, AD197)))</f>
        <v/>
      </c>
      <c r="AQ197" s="2189" t="str">
        <f>IF(ISERROR(AC197),"", IF(AC197=0, "", IF(AC197&gt;'Calculs Péremption conso'!$CB20, Paramétrage!$D$29, AE197)))</f>
        <v/>
      </c>
      <c r="AR197" s="2224" t="str">
        <f t="shared" si="45"/>
        <v/>
      </c>
      <c r="AS197" s="2170" t="str">
        <f>IF(ISERROR(AC197),"", IF(AC197=0, "", IF(AC197&gt;'Calculs Péremption conso'!$CB20, 'Calculs Péremption conso'!$BX20-Paramétrage!$D$29*(365/12), AG197)))</f>
        <v/>
      </c>
      <c r="AT197" s="2171" t="str">
        <f>IF(ISERROR(AC197),"", IF(AC197=0, "", IF(AC197&gt;'Calculs Péremption conso'!$CB20, CONCATENATE('TRAD-Calculs dispo Données FA'!$B$88, " - ", 'Calculs Péremption conso'!$BY20, "/", 'Calculs Péremption conso'!$BZ20, "/", 'Calculs Péremption conso'!$CA20), AH197)))</f>
        <v/>
      </c>
      <c r="AU197" s="2051"/>
      <c r="AV197" s="2219">
        <f>(Calculs!Q275)/Calculs!L330</f>
        <v>4.8557692307692308</v>
      </c>
      <c r="AW197" s="2220">
        <f>AV197-Paramétrage!D$29</f>
        <v>1.8557692307692308</v>
      </c>
      <c r="AX197" s="2221">
        <f>IF(AV197&lt;Paramétrage!D$29, AV197, Paramétrage!D$29)</f>
        <v>3</v>
      </c>
      <c r="AY197" s="2170">
        <f>Paramétrage!H$19+AW197*(365/12)</f>
        <v>41975.446314102563</v>
      </c>
      <c r="AZ197" s="2171">
        <f>IF(AV197&lt;Paramétrage!D$29, Paramétrage!H$19+AX197*(365/12), Paramétrage!H$19+AV197*(365/12))</f>
        <v>42066.696314102563</v>
      </c>
      <c r="BA197" s="2051"/>
      <c r="BB197" s="2219">
        <f>IF(ISERROR(AV197),"", IF(AV197=0, "", IF(AV197&gt;'Calculs Péremption conso'!$CB20, 'Calculs Péremption conso'!$CB20, AV197)))</f>
        <v>4.7671232876712324</v>
      </c>
      <c r="BC197" s="2220">
        <f>IF(ISERROR(AV197),"", IF(AV197=0, "", IF(AV197&gt;'Calculs Péremption conso'!$CB20, 'Calculs Péremption conso'!$CB20-Paramétrage!$D$29, AW197)))</f>
        <v>1.7671232876712324</v>
      </c>
      <c r="BD197" s="2189">
        <f>IF(ISERROR(AV197),"", IF(AV197=0, "", IF(AV197&gt;'Calculs Péremption conso'!$CB20, Paramétrage!$D$29, AX197)))</f>
        <v>3</v>
      </c>
      <c r="BE197" s="2170">
        <f>IF(ISERROR(AV197),"", IF(AV197=0, "", IF(AV197&gt;'Calculs Péremption conso'!$CB20, 'Calculs Péremption conso'!$BX20-Paramétrage!$D$29*(365/12), AY197)))</f>
        <v>41972.75</v>
      </c>
      <c r="BF197" s="2171" t="str">
        <f>IF(ISERROR(AV197),"", IF(AV197=0, "", IF(AV197&gt;'Calculs Péremption conso'!$CB20, CONCATENATE('TRAD-Calculs dispo Données FA'!$B$88, " - ", 'Calculs Péremption conso'!$BY20, "/", 'Calculs Péremption conso'!$BZ20, "/", 'Calculs Péremption conso'!$CA20), AZ197)))</f>
        <v>DLU - 1/3/2015</v>
      </c>
      <c r="BG197" s="2051"/>
      <c r="BH197" s="2219">
        <f t="shared" si="46"/>
        <v>0</v>
      </c>
      <c r="BI197" s="2220">
        <f>BH197-Paramétrage!D$29</f>
        <v>-3</v>
      </c>
      <c r="BJ197" s="2221">
        <f>IF(BH197&lt;Paramétrage!D$29, BH197, Paramétrage!D$29)</f>
        <v>0</v>
      </c>
      <c r="BK197" s="2221">
        <f t="shared" si="47"/>
        <v>0</v>
      </c>
      <c r="BL197" s="2170">
        <f>Paramétrage!$H$19+BI197*30</f>
        <v>41829</v>
      </c>
      <c r="BM197" s="2171">
        <f>IF(BH197&lt;Paramétrage!$D$29, Paramétrage!$H$19+BJ197*30, Paramétrage!$H$19+BH197*30)</f>
        <v>41919</v>
      </c>
      <c r="BN197" s="2051"/>
      <c r="BO197" s="2219" t="str">
        <f>IF(ISERROR(BH197),"", IF(BH197=0, "", IF(BH197&gt;'Calculs Péremption conso'!$CB20, 'Calculs Péremption conso'!$CB20, BH197)))</f>
        <v/>
      </c>
      <c r="BP197" s="2220" t="str">
        <f>IF(ISERROR(BH197),"", IF(BH197=0, "", IF(BH197&gt;'Calculs Péremption conso'!$CB20, 'Calculs Péremption conso'!$CB20-Paramétrage!$D$29, BI197)))</f>
        <v/>
      </c>
      <c r="BQ197" s="2189" t="str">
        <f>IF(ISERROR(BH197),"", IF(BH197=0, "", IF(BH197&gt;'Calculs Péremption conso'!$CB20, Paramétrage!$D$29, BJ197)))</f>
        <v/>
      </c>
      <c r="BR197" s="2224" t="str">
        <f t="shared" si="48"/>
        <v/>
      </c>
      <c r="BS197" s="2170" t="str">
        <f>IF(ISERROR(BH197),"", IF(BH197=0, "", IF(BH197&gt;'Calculs Péremption conso'!$CB20, 'Calculs Péremption conso'!$BX20-Paramétrage!$D$29*(365/12), BL197)))</f>
        <v/>
      </c>
      <c r="BT197" s="2171" t="str">
        <f>IF(ISERROR(BH197),"", IF(BH197=0, "", IF(BH197&gt;'Calculs Péremption conso'!$CB20, CONCATENATE('TRAD-Calculs dispo Données FA'!$B$88, " - ", 'Calculs Péremption conso'!$BY20, "/", 'Calculs Péremption conso'!$BZ20, "/", 'Calculs Péremption conso'!$CA20), BM197)))</f>
        <v/>
      </c>
      <c r="BV197" s="2061">
        <f>Calculs!$Q275</f>
        <v>505</v>
      </c>
      <c r="BW197" s="2062">
        <f>Calculs!L330</f>
        <v>104</v>
      </c>
      <c r="BX197" s="2068">
        <f>Calculs!N330</f>
        <v>0</v>
      </c>
      <c r="BY197" s="2070" t="str">
        <f>IF(AND(BX197=0, BV197=0, BW197=0), 'TRAD-Calculs dispo Données FA'!$B$82, "")</f>
        <v/>
      </c>
      <c r="BZ197" s="2062" t="str">
        <f>IF(AND(BX197=0, BV197&gt;0, BW197=0), CONCATENATE(BV197, 'TRAD-Calculs dispo Données FA'!$B$80," =0"), "")</f>
        <v/>
      </c>
      <c r="CA197" s="2063" t="str">
        <f>IF(AND(BV197=0, OR(BW197&gt;=1, BX197&gt;=1)), 'TRAD-Calculs dispo Données FA'!$B$81, "")</f>
        <v/>
      </c>
    </row>
    <row r="198" spans="3:79" s="358" customFormat="1" ht="63.75" x14ac:dyDescent="0.2">
      <c r="C198" s="388"/>
      <c r="D198" s="389"/>
      <c r="E198" s="1518" t="str">
        <f>'Saisie données stocks'!F33</f>
        <v>[TDF+3TC]+ATV/r</v>
      </c>
      <c r="F198" s="1519" t="str">
        <f>'Saisie données stocks'!G33</f>
        <v>Cp coblister</v>
      </c>
      <c r="G198" s="1519" t="str">
        <f>'Saisie données stocks'!H33</f>
        <v>[300/300]+300/100 mg</v>
      </c>
      <c r="H198" s="393" t="str">
        <f>CONCATENATE(E198, " - ", G198, " - ", 'TRAD-Calculs dispo Données FA'!$B$79,"/", K198)</f>
        <v>[TDF+3TC]+ATV/r - [300/300]+300/100 mg - B/30</v>
      </c>
      <c r="I198" s="1795">
        <f>Calculs!K116</f>
        <v>1</v>
      </c>
      <c r="J198" s="1853">
        <f t="shared" si="36"/>
        <v>30</v>
      </c>
      <c r="K198" s="1854">
        <f>Calculs!J116</f>
        <v>30</v>
      </c>
      <c r="L198" s="1855">
        <f t="shared" si="37"/>
        <v>1</v>
      </c>
      <c r="M198" s="1822">
        <f>IF('Saisie données stocks'!$O$10='TRAD-Saisie données stocks'!$B$51, 'Calculs Péremption conso'!BU21, Calculs!M276)+IF('Saisie données stocks'!$M$76='TRAD-Saisie données stocks'!$B$51, Calculs!N276, "0")+Calculs!P276</f>
        <v>0</v>
      </c>
      <c r="N198" s="1822">
        <f>Calculs!$L$331</f>
        <v>0</v>
      </c>
      <c r="O198" s="1822">
        <f>Calculs!$N$331</f>
        <v>0</v>
      </c>
      <c r="P198"/>
      <c r="Q198" s="2175" t="e">
        <f>IF(Calculs!N331&gt;0, (-(Calculs!N331+2*Calculs!L331)+SQRT((Calculs!N331+2*Calculs!L331)*(Calculs!N331+2*Calculs!L331)+8*Calculs!N331*(M198)))/(2*Calculs!N331), ((M198)/Calculs!L331))</f>
        <v>#DIV/0!</v>
      </c>
      <c r="R198" s="2220" t="e">
        <f>Q198-Paramétrage!D$29</f>
        <v>#DIV/0!</v>
      </c>
      <c r="S198" s="2225" t="e">
        <f>IF(Q198&lt;Paramétrage!D$29, Q198, Paramétrage!D$29)</f>
        <v>#DIV/0!</v>
      </c>
      <c r="T198" s="2226" t="e">
        <f>Paramétrage!H$19+R198*30</f>
        <v>#DIV/0!</v>
      </c>
      <c r="U198" s="2179" t="e">
        <f>IF(Q198&lt;Paramétrage!D$29, Paramétrage!H$19+S198*30, Paramétrage!H$19+Q198*30)</f>
        <v>#DIV/0!</v>
      </c>
      <c r="V198" s="2051"/>
      <c r="W198" s="2175" t="str">
        <f t="shared" si="38"/>
        <v/>
      </c>
      <c r="X198" s="2227" t="str">
        <f t="shared" si="39"/>
        <v/>
      </c>
      <c r="Y198" s="2182" t="str">
        <f t="shared" si="40"/>
        <v/>
      </c>
      <c r="Z198" s="2178" t="str">
        <f t="shared" si="41"/>
        <v/>
      </c>
      <c r="AA198" s="2179" t="str">
        <f t="shared" si="42"/>
        <v/>
      </c>
      <c r="AB198" s="2051"/>
      <c r="AC198" s="2175" t="e">
        <f t="shared" si="43"/>
        <v>#DIV/0!</v>
      </c>
      <c r="AD198" s="2227" t="e">
        <f>AC198-Paramétrage!D$29</f>
        <v>#DIV/0!</v>
      </c>
      <c r="AE198" s="2225" t="e">
        <f>IF(AC198&lt;Paramétrage!D$29, AC198, Paramétrage!D$29)</f>
        <v>#DIV/0!</v>
      </c>
      <c r="AF198" s="2225" t="e">
        <f t="shared" si="44"/>
        <v>#DIV/0!</v>
      </c>
      <c r="AG198" s="2178" t="e">
        <f>Paramétrage!H$19+AD198*30</f>
        <v>#DIV/0!</v>
      </c>
      <c r="AH198" s="2179" t="e">
        <f>IF(AC198&lt;Paramétrage!D$29, Paramétrage!H$19+AE198*30, Paramétrage!H$19+AC198*30)</f>
        <v>#DIV/0!</v>
      </c>
      <c r="AI198" s="2179">
        <f>'Saisie données stocks'!O154</f>
        <v>0</v>
      </c>
      <c r="AJ198" s="2228" t="str">
        <f>IF(ISERROR(Q198), "0", IF('Saisie données stocks'!O154="", "0", IF(U141&gt;'Saisie données stocks'!$N$14, IF(AI198&gt;(Paramétrage!$H$19+'Saisie données stocks'!$N$14*30), (AI198-(Paramétrage!$H$19+'Saisie données stocks'!$N$14*30))/30, IF(AI198&gt;U141, (AI198-U141)/30, "0")))))</f>
        <v>0</v>
      </c>
      <c r="AK198" s="2227" t="str">
        <f>IF(ISERROR(Q141),"0", IF(Q141=0, "0", IF(Q141&gt;'Calculs Péremption FA'!$CB21, 'Calculs Péremption FA'!$CB21, Q141)))</f>
        <v>0</v>
      </c>
      <c r="AL198" s="2225" t="str">
        <f>IF(ISERROR(AC198),"0", IF(AC198=0, "0", IF(AC198&gt;'Saisie données stocks'!$N$14, 'Saisie données stocks'!$N$14, AC198)))</f>
        <v>0</v>
      </c>
      <c r="AM198" s="2179" t="str">
        <f>IF(ISERROR(Q198),AA198,IF(Calculs!P276=0,AA141,(Paramétrage!$H$19+((AJ198+AK198+AL198)*(365/12)))))</f>
        <v/>
      </c>
      <c r="AN198" s="2051"/>
      <c r="AO198" s="2175" t="str">
        <f>IF(ISERROR(AC198),"", IF(AC198=0, "", IF(AC198&gt;'Saisie données stocks'!$N$14, 'Saisie données stocks'!$N$14, AC198)))</f>
        <v/>
      </c>
      <c r="AP198" s="2227" t="str">
        <f>IF(ISERROR(AC198),"", IF(AC198=0, "", IF(AC198&gt;'Calculs Péremption conso'!$CB21, 'Calculs Péremption conso'!$CB21-Paramétrage!$D$29, AD198)))</f>
        <v/>
      </c>
      <c r="AQ198" s="2182" t="str">
        <f>IF(ISERROR(AC198),"", IF(AC198=0, "", IF(AC198&gt;'Calculs Péremption conso'!$CB21, Paramétrage!$D$29, AE198)))</f>
        <v/>
      </c>
      <c r="AR198" s="2229" t="str">
        <f t="shared" si="45"/>
        <v/>
      </c>
      <c r="AS198" s="2178" t="str">
        <f>IF(ISERROR(AC198),"", IF(AC198=0, "", IF(AC198&gt;'Calculs Péremption conso'!$CB21, 'Calculs Péremption conso'!$BX21-Paramétrage!$D$29*(365/12), AG198)))</f>
        <v/>
      </c>
      <c r="AT198" s="2179" t="str">
        <f>IF(ISERROR(AC198),"", IF(AC198=0, "", IF(AC198&gt;'Calculs Péremption conso'!$CB21, CONCATENATE('TRAD-Calculs dispo Données FA'!$B$88, " - ", 'Calculs Péremption conso'!$BY21, "/", 'Calculs Péremption conso'!$BZ21, "/", 'Calculs Péremption conso'!$CA21), AH198)))</f>
        <v/>
      </c>
      <c r="AU198" s="2051"/>
      <c r="AV198" s="2175" t="e">
        <f>(Calculs!Q276)/Calculs!L331</f>
        <v>#DIV/0!</v>
      </c>
      <c r="AW198" s="2220" t="e">
        <f>AV198-Paramétrage!D$29</f>
        <v>#DIV/0!</v>
      </c>
      <c r="AX198" s="2225" t="e">
        <f>IF(AV198&lt;Paramétrage!D$29, AV198, Paramétrage!D$29)</f>
        <v>#DIV/0!</v>
      </c>
      <c r="AY198" s="2178" t="e">
        <f>Paramétrage!H$19+AW198*(365/12)</f>
        <v>#DIV/0!</v>
      </c>
      <c r="AZ198" s="2179" t="e">
        <f>IF(AV198&lt;Paramétrage!D$29, Paramétrage!H$19+AX198*(365/12), Paramétrage!H$19+AV198*(365/12))</f>
        <v>#DIV/0!</v>
      </c>
      <c r="BA198" s="2051"/>
      <c r="BB198" s="2175" t="str">
        <f>IF(ISERROR(AV198),"", IF(AV198=0, "", IF(AV198&gt;'Calculs Péremption conso'!$CB21, 'Calculs Péremption conso'!$CB21, AV198)))</f>
        <v/>
      </c>
      <c r="BC198" s="2227" t="str">
        <f>IF(ISERROR(AV198),"", IF(AV198=0, "", IF(AV198&gt;'Calculs Péremption conso'!$CB21, 'Calculs Péremption conso'!$CB21-Paramétrage!$D$29, AW198)))</f>
        <v/>
      </c>
      <c r="BD198" s="2182" t="str">
        <f>IF(ISERROR(AV198),"", IF(AV198=0, "", IF(AV198&gt;'Calculs Péremption conso'!$CB21, Paramétrage!$D$29, AX198)))</f>
        <v/>
      </c>
      <c r="BE198" s="2178" t="str">
        <f>IF(ISERROR(AV198),"", IF(AV198=0, "", IF(AV198&gt;'Calculs Péremption conso'!$CB21, 'Calculs Péremption conso'!$BX21-Paramétrage!$D$29*(365/12), AY198)))</f>
        <v/>
      </c>
      <c r="BF198" s="2179" t="str">
        <f>IF(ISERROR(AV198),"", IF(AV198=0, "", IF(AV198&gt;'Calculs Péremption conso'!$CB21, CONCATENATE('TRAD-Calculs dispo Données FA'!$B$88, " - ", 'Calculs Péremption conso'!$BY21, "/", 'Calculs Péremption conso'!$BZ21, "/", 'Calculs Péremption conso'!$CA21), AZ198)))</f>
        <v/>
      </c>
      <c r="BG198" s="2051"/>
      <c r="BH198" s="2175" t="e">
        <f t="shared" si="46"/>
        <v>#DIV/0!</v>
      </c>
      <c r="BI198" s="2227" t="e">
        <f>BH198-Paramétrage!D$29</f>
        <v>#DIV/0!</v>
      </c>
      <c r="BJ198" s="2225" t="e">
        <f>IF(BH198&lt;Paramétrage!D$29, BH198, Paramétrage!D$29)</f>
        <v>#DIV/0!</v>
      </c>
      <c r="BK198" s="2225" t="e">
        <f t="shared" si="47"/>
        <v>#DIV/0!</v>
      </c>
      <c r="BL198" s="2178" t="e">
        <f>Paramétrage!$H$19+BI198*30</f>
        <v>#DIV/0!</v>
      </c>
      <c r="BM198" s="2179" t="e">
        <f>IF(BH198&lt;Paramétrage!$D$29, Paramétrage!$H$19+BJ198*30, Paramétrage!$H$19+BH198*30)</f>
        <v>#DIV/0!</v>
      </c>
      <c r="BN198" s="2051"/>
      <c r="BO198" s="2175" t="str">
        <f>IF(ISERROR(BH198),"", IF(BH198=0, "", IF(BH198&gt;'Calculs Péremption conso'!$CB21, 'Calculs Péremption conso'!$CB21, BH198)))</f>
        <v/>
      </c>
      <c r="BP198" s="2227" t="str">
        <f>IF(ISERROR(BH198),"", IF(BH198=0, "", IF(BH198&gt;'Calculs Péremption conso'!$CB21, 'Calculs Péremption conso'!$CB21-Paramétrage!$D$29, BI198)))</f>
        <v/>
      </c>
      <c r="BQ198" s="2182" t="str">
        <f>IF(ISERROR(BH198),"", IF(BH198=0, "", IF(BH198&gt;'Calculs Péremption conso'!$CB21, Paramétrage!$D$29, BJ198)))</f>
        <v/>
      </c>
      <c r="BR198" s="2229" t="str">
        <f t="shared" si="48"/>
        <v/>
      </c>
      <c r="BS198" s="2178" t="str">
        <f>IF(ISERROR(BH198),"", IF(BH198=0, "", IF(BH198&gt;'Calculs Péremption conso'!$CB21, 'Calculs Péremption conso'!$BX21-Paramétrage!$D$29*(365/12), BL198)))</f>
        <v/>
      </c>
      <c r="BT198" s="2179" t="str">
        <f>IF(ISERROR(BH198),"", IF(BH198=0, "", IF(BH198&gt;'Calculs Péremption conso'!$CB21, CONCATENATE('TRAD-Calculs dispo Données FA'!$B$88, " - ", 'Calculs Péremption conso'!$BY21, "/", 'Calculs Péremption conso'!$BZ21, "/", 'Calculs Péremption conso'!$CA21), BM198)))</f>
        <v/>
      </c>
      <c r="BV198" s="2061">
        <f>Calculs!$Q276</f>
        <v>0</v>
      </c>
      <c r="BW198" s="2062">
        <f>Calculs!L331</f>
        <v>0</v>
      </c>
      <c r="BX198" s="2068">
        <f>Calculs!N331</f>
        <v>0</v>
      </c>
      <c r="BY198" s="2070" t="str">
        <f>IF(AND(BX198=0, BV198=0, BW198=0), 'TRAD-Calculs dispo Données FA'!$B$82, "")</f>
        <v>Stock et besoin nul</v>
      </c>
      <c r="BZ198" s="2062" t="str">
        <f>IF(AND(BX198=0, BV198&gt;0, BW198=0), CONCATENATE(BV198, 'TRAD-Calculs dispo Données FA'!$B$80," =0"), "")</f>
        <v/>
      </c>
      <c r="CA198" s="2063" t="str">
        <f>IF(AND(BV198=0, OR(BW198&gt;=1, BX198&gt;=1)), 'TRAD-Calculs dispo Données FA'!$B$81, "")</f>
        <v/>
      </c>
    </row>
    <row r="199" spans="3:79" s="358" customFormat="1" ht="25.5" x14ac:dyDescent="0.2">
      <c r="C199" s="374"/>
      <c r="D199" s="375" t="s">
        <v>26</v>
      </c>
      <c r="E199" s="376" t="str">
        <f>'Saisie données stocks'!F34</f>
        <v>EFV</v>
      </c>
      <c r="F199" s="377" t="str">
        <f>'Saisie données stocks'!G34</f>
        <v>Gél</v>
      </c>
      <c r="G199" s="377" t="str">
        <f>'Saisie données stocks'!H34</f>
        <v>50 mg</v>
      </c>
      <c r="H199" s="379" t="str">
        <f>CONCATENATE(E199, " - ", G199, " - ", 'TRAD-Calculs dispo Données FA'!$B$79,"/", K199)</f>
        <v>EFV - 50 mg - B/30</v>
      </c>
      <c r="I199" s="379">
        <f>Calculs!K117</f>
        <v>0</v>
      </c>
      <c r="J199" s="379">
        <f t="shared" si="36"/>
        <v>0</v>
      </c>
      <c r="K199" s="114">
        <f>Calculs!J117</f>
        <v>30</v>
      </c>
      <c r="L199" s="381">
        <f t="shared" si="37"/>
        <v>0</v>
      </c>
      <c r="M199" s="1820">
        <f>IF('Saisie données stocks'!$O$10='TRAD-Saisie données stocks'!$B$51, 'Calculs Péremption conso'!BU22, Calculs!M277)+IF('Saisie données stocks'!$M$76='TRAD-Saisie données stocks'!$B$51, Calculs!N277, "0")+Calculs!P277</f>
        <v>0</v>
      </c>
      <c r="N199" s="1820">
        <f>Calculs!$L$332</f>
        <v>0</v>
      </c>
      <c r="O199" s="1820">
        <f>Calculs!$N$332</f>
        <v>0</v>
      </c>
      <c r="P199"/>
      <c r="Q199" s="2161" t="e">
        <f>IF(Calculs!N332&gt;0, (-(Calculs!N332+2*Calculs!L332)+SQRT((Calculs!N332+2*Calculs!L332)*(Calculs!N332+2*Calculs!L332)+8*Calculs!N332*(M199)))/(2*Calculs!N332), ((M199)/Calculs!L332))</f>
        <v>#DIV/0!</v>
      </c>
      <c r="R199" s="2183" t="e">
        <f>Q199-Paramétrage!D$29</f>
        <v>#DIV/0!</v>
      </c>
      <c r="S199" s="2163" t="e">
        <f>IF(Q199&lt;Paramétrage!D$29, Q199, Paramétrage!D$29)</f>
        <v>#DIV/0!</v>
      </c>
      <c r="T199" s="2164" t="e">
        <f>Paramétrage!H$19+R199*30</f>
        <v>#DIV/0!</v>
      </c>
      <c r="U199" s="2165" t="e">
        <f>IF(Q199&lt;Paramétrage!D$29, Paramétrage!H$19+S199*30, Paramétrage!H$19+Q199*30)</f>
        <v>#DIV/0!</v>
      </c>
      <c r="V199" s="2051"/>
      <c r="W199" s="2161" t="str">
        <f t="shared" si="38"/>
        <v/>
      </c>
      <c r="X199" s="2162" t="str">
        <f t="shared" si="39"/>
        <v/>
      </c>
      <c r="Y199" s="2167" t="str">
        <f t="shared" si="40"/>
        <v/>
      </c>
      <c r="Z199" s="2164" t="str">
        <f t="shared" si="41"/>
        <v/>
      </c>
      <c r="AA199" s="2165" t="str">
        <f t="shared" si="42"/>
        <v/>
      </c>
      <c r="AB199" s="2051"/>
      <c r="AC199" s="2161" t="e">
        <f t="shared" si="43"/>
        <v>#DIV/0!</v>
      </c>
      <c r="AD199" s="2162" t="e">
        <f>AC199-Paramétrage!D$29</f>
        <v>#DIV/0!</v>
      </c>
      <c r="AE199" s="2163" t="e">
        <f>IF(AC199&lt;Paramétrage!D$29, AC199, Paramétrage!D$29)</f>
        <v>#DIV/0!</v>
      </c>
      <c r="AF199" s="2163" t="e">
        <f t="shared" si="44"/>
        <v>#DIV/0!</v>
      </c>
      <c r="AG199" s="2164" t="e">
        <f>Paramétrage!H$19+AD199*30</f>
        <v>#DIV/0!</v>
      </c>
      <c r="AH199" s="2165" t="e">
        <f>IF(AC199&lt;Paramétrage!D$29, Paramétrage!H$19+AE199*30, Paramétrage!H$19+AC199*30)</f>
        <v>#DIV/0!</v>
      </c>
      <c r="AI199" s="2165">
        <f>'Saisie données stocks'!O155</f>
        <v>0</v>
      </c>
      <c r="AJ199" s="2210" t="str">
        <f>IF(ISERROR(Q199), "0", IF('Saisie données stocks'!O155="", "0", IF(U142&gt;'Saisie données stocks'!$N$14, IF(AI199&gt;(Paramétrage!$H$19+'Saisie données stocks'!$N$14*30), (AI199-(Paramétrage!$H$19+'Saisie données stocks'!$N$14*30))/30, IF(AI199&gt;U142, (AI199-U142)/30, "0")))))</f>
        <v>0</v>
      </c>
      <c r="AK199" s="2162" t="str">
        <f>IF(ISERROR(Q142),"0", IF(Q142=0, "0", IF(Q142&gt;'Calculs Péremption FA'!$CB22, 'Calculs Péremption FA'!$CB22, Q142)))</f>
        <v>0</v>
      </c>
      <c r="AL199" s="2163" t="str">
        <f>IF(ISERROR(AC199),"0", IF(AC199=0, "0", IF(AC199&gt;'Saisie données stocks'!$N$14, 'Saisie données stocks'!$N$14, AC199)))</f>
        <v>0</v>
      </c>
      <c r="AM199" s="2165" t="str">
        <f>IF(ISERROR(Q199),AA199,IF(Calculs!P277=0,AA142,(Paramétrage!$H$19+((AJ199+AK199+AL199)*(365/12)))))</f>
        <v/>
      </c>
      <c r="AN199" s="2051"/>
      <c r="AO199" s="2161" t="str">
        <f>IF(ISERROR(AC199),"", IF(AC199=0, "", IF(AC199&gt;'Saisie données stocks'!$N$14, 'Saisie données stocks'!$N$14, AC199)))</f>
        <v/>
      </c>
      <c r="AP199" s="2162" t="str">
        <f>IF(ISERROR(AC199),"", IF(AC199=0, "", IF(AC199&gt;'Calculs Péremption conso'!$CB22, 'Calculs Péremption conso'!$CB22-Paramétrage!$D$29, AD199)))</f>
        <v/>
      </c>
      <c r="AQ199" s="2167" t="str">
        <f>IF(ISERROR(AC199),"", IF(AC199=0, "", IF(AC199&gt;'Calculs Péremption conso'!$CB22, Paramétrage!$D$29, AE199)))</f>
        <v/>
      </c>
      <c r="AR199" s="2211" t="str">
        <f t="shared" si="45"/>
        <v/>
      </c>
      <c r="AS199" s="2164" t="str">
        <f>IF(ISERROR(AC199),"", IF(AC199=0, "", IF(AC199&gt;'Calculs Péremption conso'!$CB22, 'Calculs Péremption conso'!$BX22-Paramétrage!$D$29*(365/12), AG199)))</f>
        <v/>
      </c>
      <c r="AT199" s="2165" t="str">
        <f>IF(ISERROR(AC199),"", IF(AC199=0, "", IF(AC199&gt;'Calculs Péremption conso'!$CB22, CONCATENATE('TRAD-Calculs dispo Données FA'!$B$88, " - ", 'Calculs Péremption conso'!$BY22, "/", 'Calculs Péremption conso'!$BZ22, "/", 'Calculs Péremption conso'!$CA22), AH199)))</f>
        <v/>
      </c>
      <c r="AU199" s="2051"/>
      <c r="AV199" s="2161" t="e">
        <f>(Calculs!Q277)/Calculs!L332</f>
        <v>#DIV/0!</v>
      </c>
      <c r="AW199" s="2183" t="e">
        <f>AV199-Paramétrage!D$29</f>
        <v>#DIV/0!</v>
      </c>
      <c r="AX199" s="2163" t="e">
        <f>IF(AV199&lt;Paramétrage!D$29, AV199, Paramétrage!D$29)</f>
        <v>#DIV/0!</v>
      </c>
      <c r="AY199" s="2164" t="e">
        <f>Paramétrage!H$19+AW199*(365/12)</f>
        <v>#DIV/0!</v>
      </c>
      <c r="AZ199" s="2165" t="e">
        <f>IF(AV199&lt;Paramétrage!D$29, Paramétrage!H$19+AX199*(365/12), Paramétrage!H$19+AV199*(365/12))</f>
        <v>#DIV/0!</v>
      </c>
      <c r="BA199" s="2051"/>
      <c r="BB199" s="2161" t="str">
        <f>IF(ISERROR(AV199),"", IF(AV199=0, "", IF(AV199&gt;'Calculs Péremption conso'!$CB22, 'Calculs Péremption conso'!$CB22, AV199)))</f>
        <v/>
      </c>
      <c r="BC199" s="2162" t="str">
        <f>IF(ISERROR(AV199),"", IF(AV199=0, "", IF(AV199&gt;'Calculs Péremption conso'!$CB22, 'Calculs Péremption conso'!$CB22-Paramétrage!$D$29, AW199)))</f>
        <v/>
      </c>
      <c r="BD199" s="2167" t="str">
        <f>IF(ISERROR(AV199),"", IF(AV199=0, "", IF(AV199&gt;'Calculs Péremption conso'!$CB22, Paramétrage!$D$29, AX199)))</f>
        <v/>
      </c>
      <c r="BE199" s="2164" t="str">
        <f>IF(ISERROR(AV199),"", IF(AV199=0, "", IF(AV199&gt;'Calculs Péremption conso'!$CB22, 'Calculs Péremption conso'!$BX22-Paramétrage!$D$29*(365/12), AY199)))</f>
        <v/>
      </c>
      <c r="BF199" s="2165" t="str">
        <f>IF(ISERROR(AV199),"", IF(AV199=0, "", IF(AV199&gt;'Calculs Péremption conso'!$CB22, CONCATENATE('TRAD-Calculs dispo Données FA'!$B$88, " - ", 'Calculs Péremption conso'!$BY22, "/", 'Calculs Péremption conso'!$BZ22, "/", 'Calculs Péremption conso'!$CA22), AZ199)))</f>
        <v/>
      </c>
      <c r="BG199" s="2051"/>
      <c r="BH199" s="2161" t="e">
        <f t="shared" si="46"/>
        <v>#DIV/0!</v>
      </c>
      <c r="BI199" s="2162" t="e">
        <f>BH199-Paramétrage!D$29</f>
        <v>#DIV/0!</v>
      </c>
      <c r="BJ199" s="2163" t="e">
        <f>IF(BH199&lt;Paramétrage!D$29, BH199, Paramétrage!D$29)</f>
        <v>#DIV/0!</v>
      </c>
      <c r="BK199" s="2163" t="e">
        <f t="shared" si="47"/>
        <v>#DIV/0!</v>
      </c>
      <c r="BL199" s="2164" t="e">
        <f>Paramétrage!$H$19+BI199*30</f>
        <v>#DIV/0!</v>
      </c>
      <c r="BM199" s="2165" t="e">
        <f>IF(BH199&lt;Paramétrage!$D$29, Paramétrage!$H$19+BJ199*30, Paramétrage!$H$19+BH199*30)</f>
        <v>#DIV/0!</v>
      </c>
      <c r="BN199" s="2051"/>
      <c r="BO199" s="2161" t="str">
        <f>IF(ISERROR(BH199),"", IF(BH199=0, "", IF(BH199&gt;'Calculs Péremption conso'!$CB22, 'Calculs Péremption conso'!$CB22, BH199)))</f>
        <v/>
      </c>
      <c r="BP199" s="2162" t="str">
        <f>IF(ISERROR(BH199),"", IF(BH199=0, "", IF(BH199&gt;'Calculs Péremption conso'!$CB22, 'Calculs Péremption conso'!$CB22-Paramétrage!$D$29, BI199)))</f>
        <v/>
      </c>
      <c r="BQ199" s="2167" t="str">
        <f>IF(ISERROR(BH199),"", IF(BH199=0, "", IF(BH199&gt;'Calculs Péremption conso'!$CB22, Paramétrage!$D$29, BJ199)))</f>
        <v/>
      </c>
      <c r="BR199" s="2211" t="str">
        <f t="shared" si="48"/>
        <v/>
      </c>
      <c r="BS199" s="2164" t="str">
        <f>IF(ISERROR(BH199),"", IF(BH199=0, "", IF(BH199&gt;'Calculs Péremption conso'!$CB22, 'Calculs Péremption conso'!$BX22-Paramétrage!$D$29*(365/12), BL199)))</f>
        <v/>
      </c>
      <c r="BT199" s="2165" t="str">
        <f>IF(ISERROR(BH199),"", IF(BH199=0, "", IF(BH199&gt;'Calculs Péremption conso'!$CB22, CONCATENATE('TRAD-Calculs dispo Données FA'!$B$88, " - ", 'Calculs Péremption conso'!$BY22, "/", 'Calculs Péremption conso'!$BZ22, "/", 'Calculs Péremption conso'!$CA22), BM199)))</f>
        <v/>
      </c>
      <c r="BV199" s="2061">
        <f>Calculs!$Q277</f>
        <v>0</v>
      </c>
      <c r="BW199" s="2062">
        <f>Calculs!L332</f>
        <v>0</v>
      </c>
      <c r="BX199" s="2068">
        <f>Calculs!N332</f>
        <v>0</v>
      </c>
      <c r="BY199" s="2070" t="str">
        <f>IF(AND(BX199=0, BV199=0, BW199=0), 'TRAD-Calculs dispo Données FA'!$B$82, "")</f>
        <v>Stock et besoin nul</v>
      </c>
      <c r="BZ199" s="2062" t="str">
        <f>IF(AND(BX199=0, BV199&gt;0, BW199=0), CONCATENATE(BV199, 'TRAD-Calculs dispo Données FA'!$B$80," =0"), "")</f>
        <v/>
      </c>
      <c r="CA199" s="2063" t="str">
        <f>IF(AND(BV199=0, OR(BW199&gt;=1, BX199&gt;=1)), 'TRAD-Calculs dispo Données FA'!$B$81, "")</f>
        <v/>
      </c>
    </row>
    <row r="200" spans="3:79" s="358" customFormat="1" ht="26.25" customHeight="1" x14ac:dyDescent="0.2">
      <c r="C200" s="374"/>
      <c r="D200" s="375"/>
      <c r="E200" s="1516" t="str">
        <f>'Saisie données stocks'!F35</f>
        <v>EFV</v>
      </c>
      <c r="F200" s="1208" t="str">
        <f>'Saisie données stocks'!G35</f>
        <v>Gél</v>
      </c>
      <c r="G200" s="1208" t="str">
        <f>'Saisie données stocks'!H35</f>
        <v>200 mg</v>
      </c>
      <c r="H200" s="379" t="str">
        <f>CONCATENATE(E200, " - ", G200, " - ", 'TRAD-Calculs dispo Données FA'!$B$79,"/", K200)</f>
        <v>EFV - 200 mg - B/90</v>
      </c>
      <c r="I200" s="379">
        <f>Calculs!K118</f>
        <v>0</v>
      </c>
      <c r="J200" s="1720">
        <f t="shared" si="36"/>
        <v>0</v>
      </c>
      <c r="K200" s="1385">
        <f>Calculs!J118</f>
        <v>90</v>
      </c>
      <c r="L200" s="1835">
        <f t="shared" si="37"/>
        <v>0</v>
      </c>
      <c r="M200" s="1870">
        <f>IF('Saisie données stocks'!$O$10='TRAD-Saisie données stocks'!$B$51, 'Calculs Péremption conso'!BU23, Calculs!M278)+IF('Saisie données stocks'!$M$76='TRAD-Saisie données stocks'!$B$51, Calculs!N278, "0")+Calculs!P278</f>
        <v>110</v>
      </c>
      <c r="N200" s="1870">
        <f>Calculs!$L$333</f>
        <v>21</v>
      </c>
      <c r="O200" s="1870">
        <f>Calculs!$N$333</f>
        <v>0</v>
      </c>
      <c r="P200"/>
      <c r="Q200" s="2212">
        <f>IF(Calculs!N333&gt;0, (-(Calculs!N333+2*Calculs!L333)+SQRT((Calculs!N333+2*Calculs!L333)*(Calculs!N333+2*Calculs!L333)+8*Calculs!N333*(M200)))/(2*Calculs!N333), ((M200)/Calculs!L333))</f>
        <v>5.2380952380952381</v>
      </c>
      <c r="R200" s="2197">
        <f>Q200-Paramétrage!D$29</f>
        <v>2.2380952380952381</v>
      </c>
      <c r="S200" s="2213">
        <f>IF(Q200&lt;Paramétrage!D$29, Q200, Paramétrage!D$29)</f>
        <v>3</v>
      </c>
      <c r="T200" s="2214">
        <f>Paramétrage!H$19+R200*30</f>
        <v>41986.142857142855</v>
      </c>
      <c r="U200" s="2215">
        <f>IF(Q200&lt;Paramétrage!D$29, Paramétrage!H$19+S200*30, Paramétrage!H$19+Q200*30)</f>
        <v>42076.142857142855</v>
      </c>
      <c r="V200" s="2051"/>
      <c r="W200" s="2212">
        <f t="shared" si="38"/>
        <v>5.2380952380952381</v>
      </c>
      <c r="X200" s="2197">
        <f t="shared" si="39"/>
        <v>2.2380952380952381</v>
      </c>
      <c r="Y200" s="2216">
        <f t="shared" si="40"/>
        <v>3</v>
      </c>
      <c r="Z200" s="2170">
        <f t="shared" si="41"/>
        <v>41986.142857142855</v>
      </c>
      <c r="AA200" s="2171">
        <f t="shared" si="42"/>
        <v>42076.142857142855</v>
      </c>
      <c r="AB200" s="2051"/>
      <c r="AC200" s="2212">
        <f t="shared" si="43"/>
        <v>5.1428571428571432</v>
      </c>
      <c r="AD200" s="2197">
        <f>AC200-Paramétrage!D$29</f>
        <v>2.1428571428571432</v>
      </c>
      <c r="AE200" s="2213">
        <f>IF(AC200&lt;Paramétrage!D$29, AC200, Paramétrage!D$29)</f>
        <v>3</v>
      </c>
      <c r="AF200" s="2213">
        <f t="shared" si="44"/>
        <v>2.1428571428571428</v>
      </c>
      <c r="AG200" s="2170">
        <f>Paramétrage!H$19+AD200*30</f>
        <v>41983.285714285717</v>
      </c>
      <c r="AH200" s="2171">
        <f>IF(AC200&lt;Paramétrage!D$29, Paramétrage!H$19+AE200*30, Paramétrage!H$19+AC200*30)</f>
        <v>42073.285714285717</v>
      </c>
      <c r="AI200" s="2171">
        <f>'Saisie données stocks'!O156</f>
        <v>41944</v>
      </c>
      <c r="AJ200" s="2217">
        <f>IF(ISERROR(Q200), "0", IF('Saisie données stocks'!O156="", "0", IF(U143&gt;'Saisie données stocks'!$N$14, IF(AI200&gt;(Paramétrage!$H$19+'Saisie données stocks'!$N$14*30), (AI200-(Paramétrage!$H$19+'Saisie données stocks'!$N$14*30))/30, IF(AI200&gt;U143, (AI200-U143)/30, "0")))))</f>
        <v>0.73677248677243667</v>
      </c>
      <c r="AK200" s="2197">
        <f>IF(ISERROR(Q143),"0", IF(Q143=0, "0", IF(Q143&gt;'Calculs Péremption FA'!$CB23, 'Calculs Péremption FA'!$CB23, Q143)))</f>
        <v>9.5238095238095233E-2</v>
      </c>
      <c r="AL200" s="2213">
        <f>IF(ISERROR(AC200),"0", IF(AC200=0, "0", IF(AC200&gt;'Saisie données stocks'!$N$14, 'Saisie données stocks'!$N$14, AC200)))</f>
        <v>5.1428571428571432</v>
      </c>
      <c r="AM200" s="2171">
        <f>IF(ISERROR(Q200),AA200,IF(Calculs!P278=0,AA143,(Paramétrage!$H$19+((AJ200+AK200+AL200)*(365/12)))))</f>
        <v>42100.735559964727</v>
      </c>
      <c r="AN200" s="2051"/>
      <c r="AO200" s="2212">
        <f>IF(ISERROR(AC200),"", IF(AC200=0, "", IF(AC200&gt;'Saisie données stocks'!$N$14, 'Saisie données stocks'!$N$14, AC200)))</f>
        <v>5.1428571428571432</v>
      </c>
      <c r="AP200" s="2197">
        <f>IF(ISERROR(AC200),"", IF(AC200=0, "", IF(AC200&gt;'Calculs Péremption conso'!$CB23, 'Calculs Péremption conso'!$CB23-Paramétrage!$D$29, AD200)))</f>
        <v>2.1428571428571432</v>
      </c>
      <c r="AQ200" s="2216">
        <f>IF(ISERROR(AC200),"", IF(AC200=0, "", IF(AC200&gt;'Calculs Péremption conso'!$CB23, Paramétrage!$D$29, AE200)))</f>
        <v>3</v>
      </c>
      <c r="AR200" s="2218">
        <f t="shared" si="45"/>
        <v>2.1428571428571428</v>
      </c>
      <c r="AS200" s="2170">
        <f>IF(ISERROR(AC200),"", IF(AC200=0, "", IF(AC200&gt;'Calculs Péremption conso'!$CB23, 'Calculs Péremption conso'!$BX23-Paramétrage!$D$29*(365/12), AG200)))</f>
        <v>41983.285714285717</v>
      </c>
      <c r="AT200" s="2171">
        <f>IF(ISERROR(AC200),"", IF(AC200=0, "", IF(AC200&gt;'Calculs Péremption conso'!$CB23, CONCATENATE('TRAD-Calculs dispo Données FA'!$B$88, " - ", 'Calculs Péremption conso'!$BY23, "/", 'Calculs Péremption conso'!$BZ23, "/", 'Calculs Péremption conso'!$CA23), AH200)))</f>
        <v>42073.285714285717</v>
      </c>
      <c r="AU200" s="2051"/>
      <c r="AV200" s="2212">
        <f>(Calculs!Q278)/Calculs!L333</f>
        <v>5.2380952380952381</v>
      </c>
      <c r="AW200" s="2197">
        <f>AV200-Paramétrage!D$29</f>
        <v>2.2380952380952381</v>
      </c>
      <c r="AX200" s="2213">
        <f>IF(AV200&lt;Paramétrage!D$29, AV200, Paramétrage!D$29)</f>
        <v>3</v>
      </c>
      <c r="AY200" s="2170">
        <f>Paramétrage!H$19+AW200*(365/12)</f>
        <v>41987.075396825399</v>
      </c>
      <c r="AZ200" s="2171">
        <f>IF(AV200&lt;Paramétrage!D$29, Paramétrage!H$19+AX200*(365/12), Paramétrage!H$19+AV200*(365/12))</f>
        <v>42078.325396825399</v>
      </c>
      <c r="BA200" s="2051"/>
      <c r="BB200" s="2212">
        <f>IF(ISERROR(AV200),"", IF(AV200=0, "", IF(AV200&gt;'Calculs Péremption conso'!$CB23, 'Calculs Péremption conso'!$CB23, AV200)))</f>
        <v>5.2380952380952381</v>
      </c>
      <c r="BC200" s="2197">
        <f>IF(ISERROR(AV200),"", IF(AV200=0, "", IF(AV200&gt;'Calculs Péremption conso'!$CB23, 'Calculs Péremption conso'!$CB23-Paramétrage!$D$29, AW200)))</f>
        <v>2.2380952380952381</v>
      </c>
      <c r="BD200" s="2216">
        <f>IF(ISERROR(AV200),"", IF(AV200=0, "", IF(AV200&gt;'Calculs Péremption conso'!$CB23, Paramétrage!$D$29, AX200)))</f>
        <v>3</v>
      </c>
      <c r="BE200" s="2170">
        <f>IF(ISERROR(AV200),"", IF(AV200=0, "", IF(AV200&gt;'Calculs Péremption conso'!$CB23, 'Calculs Péremption conso'!$BX23-Paramétrage!$D$29*(365/12), AY200)))</f>
        <v>41987.075396825399</v>
      </c>
      <c r="BF200" s="2171">
        <f>IF(ISERROR(AV200),"", IF(AV200=0, "", IF(AV200&gt;'Calculs Péremption conso'!$CB23, CONCATENATE('TRAD-Calculs dispo Données FA'!$B$88, " - ", 'Calculs Péremption conso'!$BY23, "/", 'Calculs Péremption conso'!$BZ23, "/", 'Calculs Péremption conso'!$CA23), AZ200)))</f>
        <v>42078.325396825399</v>
      </c>
      <c r="BG200" s="2051"/>
      <c r="BH200" s="2212">
        <f t="shared" si="46"/>
        <v>5.1428571428571432</v>
      </c>
      <c r="BI200" s="2197">
        <f>BH200-Paramétrage!D$29</f>
        <v>2.1428571428571432</v>
      </c>
      <c r="BJ200" s="2213">
        <f>IF(BH200&lt;Paramétrage!D$29, BH200, Paramétrage!D$29)</f>
        <v>3</v>
      </c>
      <c r="BK200" s="2213">
        <f t="shared" si="47"/>
        <v>2.1428571428571428</v>
      </c>
      <c r="BL200" s="2170">
        <f>Paramétrage!$H$19+BI200*30</f>
        <v>41983.285714285717</v>
      </c>
      <c r="BM200" s="2171">
        <f>IF(BH200&lt;Paramétrage!$D$29, Paramétrage!$H$19+BJ200*30, Paramétrage!$H$19+BH200*30)</f>
        <v>42073.285714285717</v>
      </c>
      <c r="BN200" s="2051"/>
      <c r="BO200" s="2212">
        <f>IF(ISERROR(BH200),"", IF(BH200=0, "", IF(BH200&gt;'Calculs Péremption conso'!$CB23, 'Calculs Péremption conso'!$CB23, BH200)))</f>
        <v>5.1428571428571432</v>
      </c>
      <c r="BP200" s="2197">
        <f>IF(ISERROR(BH200),"", IF(BH200=0, "", IF(BH200&gt;'Calculs Péremption conso'!$CB23, 'Calculs Péremption conso'!$CB23-Paramétrage!$D$29, BI200)))</f>
        <v>2.1428571428571432</v>
      </c>
      <c r="BQ200" s="2216">
        <f>IF(ISERROR(BH200),"", IF(BH200=0, "", IF(BH200&gt;'Calculs Péremption conso'!$CB23, Paramétrage!$D$29, BJ200)))</f>
        <v>3</v>
      </c>
      <c r="BR200" s="2218">
        <f t="shared" si="48"/>
        <v>2.1428571428571428</v>
      </c>
      <c r="BS200" s="2170">
        <f>IF(ISERROR(BH200),"", IF(BH200=0, "", IF(BH200&gt;'Calculs Péremption conso'!$CB23, 'Calculs Péremption conso'!$BX23-Paramétrage!$D$29*(365/12), BL200)))</f>
        <v>41983.285714285717</v>
      </c>
      <c r="BT200" s="2171">
        <f>IF(ISERROR(BH200),"", IF(BH200=0, "", IF(BH200&gt;'Calculs Péremption conso'!$CB23, CONCATENATE('TRAD-Calculs dispo Données FA'!$B$88, " - ", 'Calculs Péremption conso'!$BY23, "/", 'Calculs Péremption conso'!$BZ23, "/", 'Calculs Péremption conso'!$CA23), BM200)))</f>
        <v>42073.285714285717</v>
      </c>
      <c r="BV200" s="2061">
        <f>Calculs!$Q278</f>
        <v>110</v>
      </c>
      <c r="BW200" s="2062">
        <f>Calculs!L333</f>
        <v>21</v>
      </c>
      <c r="BX200" s="2068">
        <f>Calculs!N333</f>
        <v>0</v>
      </c>
      <c r="BY200" s="2070" t="str">
        <f>IF(AND(BX200=0, BV200=0, BW200=0), 'TRAD-Calculs dispo Données FA'!$B$82, "")</f>
        <v/>
      </c>
      <c r="BZ200" s="2062" t="str">
        <f>IF(AND(BX200=0, BV200&gt;0, BW200=0), CONCATENATE(BV200, 'TRAD-Calculs dispo Données FA'!$B$80," =0"), "")</f>
        <v/>
      </c>
      <c r="CA200" s="2063" t="str">
        <f>IF(AND(BV200=0, OR(BW200&gt;=1, BX200&gt;=1)), 'TRAD-Calculs dispo Données FA'!$B$81, "")</f>
        <v/>
      </c>
    </row>
    <row r="201" spans="3:79" s="358" customFormat="1" ht="25.5" x14ac:dyDescent="0.2">
      <c r="C201" s="374"/>
      <c r="D201" s="375"/>
      <c r="E201" s="1843" t="str">
        <f>'Saisie données stocks'!F36</f>
        <v>EFV</v>
      </c>
      <c r="F201" s="1844" t="str">
        <f>'Saisie données stocks'!G36</f>
        <v>Cp</v>
      </c>
      <c r="G201" s="1844" t="str">
        <f>'Saisie données stocks'!H36</f>
        <v>600 mg</v>
      </c>
      <c r="H201" s="379" t="str">
        <f>CONCATENATE(E201, " - ", G201, " - ", 'TRAD-Calculs dispo Données FA'!$B$79,"/", K201)</f>
        <v>EFV - 600 mg - B/30</v>
      </c>
      <c r="I201" s="379">
        <f>Calculs!K119</f>
        <v>1</v>
      </c>
      <c r="J201" s="1807">
        <f t="shared" si="36"/>
        <v>30</v>
      </c>
      <c r="K201" s="1386">
        <f>Calculs!J119</f>
        <v>30</v>
      </c>
      <c r="L201" s="1846">
        <f t="shared" si="37"/>
        <v>1</v>
      </c>
      <c r="M201" s="1871">
        <f>IF('Saisie données stocks'!$O$10='TRAD-Saisie données stocks'!$B$51, 'Calculs Péremption conso'!BU24, Calculs!M279)+IF('Saisie données stocks'!$M$76='TRAD-Saisie données stocks'!$B$51, Calculs!N279, "0")+Calculs!P279</f>
        <v>11566</v>
      </c>
      <c r="N201" s="1871">
        <f>Calculs!$L$334</f>
        <v>1485</v>
      </c>
      <c r="O201" s="1871">
        <f>Calculs!$N$334</f>
        <v>0</v>
      </c>
      <c r="P201"/>
      <c r="Q201" s="2219">
        <f>IF(Calculs!N334&gt;0, (-(Calculs!N334+2*Calculs!L334)+SQRT((Calculs!N334+2*Calculs!L334)*(Calculs!N334+2*Calculs!L334)+8*Calculs!N334*(M201)))/(2*Calculs!N334), ((M201)/Calculs!L334))</f>
        <v>7.7885521885521882</v>
      </c>
      <c r="R201" s="2197">
        <f>Q201-Paramétrage!D$29</f>
        <v>4.7885521885521882</v>
      </c>
      <c r="S201" s="2221">
        <f>IF(Q201&lt;Paramétrage!D$29, Q201, Paramétrage!D$29)</f>
        <v>3</v>
      </c>
      <c r="T201" s="2222">
        <f>Paramétrage!H$19+R201*30</f>
        <v>42062.656565656565</v>
      </c>
      <c r="U201" s="2187">
        <f>IF(Q201&lt;Paramétrage!D$29, Paramétrage!H$19+S201*30, Paramétrage!H$19+Q201*30)</f>
        <v>42152.656565656565</v>
      </c>
      <c r="V201" s="2051"/>
      <c r="W201" s="2219">
        <f t="shared" si="38"/>
        <v>7.7885521885521882</v>
      </c>
      <c r="X201" s="2220">
        <f t="shared" si="39"/>
        <v>4.7885521885521882</v>
      </c>
      <c r="Y201" s="2189">
        <f t="shared" si="40"/>
        <v>3</v>
      </c>
      <c r="Z201" s="2186">
        <f t="shared" si="41"/>
        <v>42062.656565656565</v>
      </c>
      <c r="AA201" s="2187">
        <f t="shared" si="42"/>
        <v>42152.656565656565</v>
      </c>
      <c r="AB201" s="2051"/>
      <c r="AC201" s="2219">
        <f t="shared" si="43"/>
        <v>0</v>
      </c>
      <c r="AD201" s="2220">
        <f>AC201-Paramétrage!D$29</f>
        <v>-3</v>
      </c>
      <c r="AE201" s="2221">
        <f>IF(AC201&lt;Paramétrage!D$29, AC201, Paramétrage!D$29)</f>
        <v>0</v>
      </c>
      <c r="AF201" s="2221">
        <f t="shared" si="44"/>
        <v>0</v>
      </c>
      <c r="AG201" s="2186">
        <f>Paramétrage!H$19+AD201*30</f>
        <v>41829</v>
      </c>
      <c r="AH201" s="2187">
        <f>IF(AC201&lt;Paramétrage!D$29, Paramétrage!H$19+AE201*30, Paramétrage!H$19+AC201*30)</f>
        <v>41919</v>
      </c>
      <c r="AI201" s="2187">
        <f>'Saisie données stocks'!O157</f>
        <v>0</v>
      </c>
      <c r="AJ201" s="2223" t="str">
        <f>IF(ISERROR(Q201), "0", IF('Saisie données stocks'!O157="", "0", IF(U144&gt;'Saisie données stocks'!$N$14, IF(AI201&gt;(Paramétrage!$H$19+'Saisie données stocks'!$N$14*30), (AI201-(Paramétrage!$H$19+'Saisie données stocks'!$N$14*30))/30, IF(AI201&gt;U144, (AI201-U144)/30, "0")))))</f>
        <v>0</v>
      </c>
      <c r="AK201" s="2220">
        <f>IF(ISERROR(Q144),"0", IF(Q144=0, "0", IF(Q144&gt;'Calculs Péremption FA'!$CB24, 'Calculs Péremption FA'!$CB24, Q144)))</f>
        <v>7.7885521885521882</v>
      </c>
      <c r="AL201" s="2221" t="str">
        <f>IF(ISERROR(AC201),"0", IF(AC201=0, "0", IF(AC201&gt;'Saisie données stocks'!$N$14, 'Saisie données stocks'!$N$14, AC201)))</f>
        <v>0</v>
      </c>
      <c r="AM201" s="2187">
        <f>IF(ISERROR(Q201),AA201,IF(Calculs!P279=0,AA144,(Paramétrage!$H$19+((AJ201+AK201+AL201)*(365/12)))))</f>
        <v>42155.901795735132</v>
      </c>
      <c r="AN201" s="2051"/>
      <c r="AO201" s="2219" t="str">
        <f>IF(ISERROR(AC201),"", IF(AC201=0, "", IF(AC201&gt;'Saisie données stocks'!$N$14, 'Saisie données stocks'!$N$14, AC201)))</f>
        <v/>
      </c>
      <c r="AP201" s="2220" t="str">
        <f>IF(ISERROR(AC201),"", IF(AC201=0, "", IF(AC201&gt;'Calculs Péremption conso'!$CB24, 'Calculs Péremption conso'!$CB24-Paramétrage!$D$29, AD201)))</f>
        <v/>
      </c>
      <c r="AQ201" s="2189" t="str">
        <f>IF(ISERROR(AC201),"", IF(AC201=0, "", IF(AC201&gt;'Calculs Péremption conso'!$CB24, Paramétrage!$D$29, AE201)))</f>
        <v/>
      </c>
      <c r="AR201" s="2224" t="str">
        <f t="shared" si="45"/>
        <v/>
      </c>
      <c r="AS201" s="2186" t="str">
        <f>IF(ISERROR(AC201),"", IF(AC201=0, "", IF(AC201&gt;'Calculs Péremption conso'!$CB24, 'Calculs Péremption conso'!$BX24-Paramétrage!$D$29*(365/12), AG201)))</f>
        <v/>
      </c>
      <c r="AT201" s="2187" t="str">
        <f>IF(ISERROR(AC201),"", IF(AC201=0, "", IF(AC201&gt;'Calculs Péremption conso'!$CB24, CONCATENATE('TRAD-Calculs dispo Données FA'!$B$88, " - ", 'Calculs Péremption conso'!$BY24, "/", 'Calculs Péremption conso'!$BZ24, "/", 'Calculs Péremption conso'!$CA24), AH201)))</f>
        <v/>
      </c>
      <c r="AU201" s="2051"/>
      <c r="AV201" s="2219">
        <f>(Calculs!Q279)/Calculs!L334</f>
        <v>7.7885521885521882</v>
      </c>
      <c r="AW201" s="2197">
        <f>AV201-Paramétrage!D$29</f>
        <v>4.7885521885521882</v>
      </c>
      <c r="AX201" s="2221">
        <f>IF(AV201&lt;Paramétrage!D$29, AV201, Paramétrage!D$29)</f>
        <v>3</v>
      </c>
      <c r="AY201" s="2186">
        <f>Paramétrage!H$19+AW201*(365/12)</f>
        <v>42064.651795735132</v>
      </c>
      <c r="AZ201" s="2187">
        <f>IF(AV201&lt;Paramétrage!D$29, Paramétrage!H$19+AX201*(365/12), Paramétrage!H$19+AV201*(365/12))</f>
        <v>42155.901795735132</v>
      </c>
      <c r="BA201" s="2051"/>
      <c r="BB201" s="2219">
        <f>IF(ISERROR(AV201),"", IF(AV201=0, "", IF(AV201&gt;'Calculs Péremption conso'!$CB24, 'Calculs Péremption conso'!$CB24, AV201)))</f>
        <v>7.7885521885521882</v>
      </c>
      <c r="BC201" s="2220">
        <f>IF(ISERROR(AV201),"", IF(AV201=0, "", IF(AV201&gt;'Calculs Péremption conso'!$CB24, 'Calculs Péremption conso'!$CB24-Paramétrage!$D$29, AW201)))</f>
        <v>4.7885521885521882</v>
      </c>
      <c r="BD201" s="2189">
        <f>IF(ISERROR(AV201),"", IF(AV201=0, "", IF(AV201&gt;'Calculs Péremption conso'!$CB24, Paramétrage!$D$29, AX201)))</f>
        <v>3</v>
      </c>
      <c r="BE201" s="2186">
        <f>IF(ISERROR(AV201),"", IF(AV201=0, "", IF(AV201&gt;'Calculs Péremption conso'!$CB24, 'Calculs Péremption conso'!$BX24-Paramétrage!$D$29*(365/12), AY201)))</f>
        <v>42064.651795735132</v>
      </c>
      <c r="BF201" s="2187">
        <f>IF(ISERROR(AV201),"", IF(AV201=0, "", IF(AV201&gt;'Calculs Péremption conso'!$CB24, CONCATENATE('TRAD-Calculs dispo Données FA'!$B$88, " - ", 'Calculs Péremption conso'!$BY24, "/", 'Calculs Péremption conso'!$BZ24, "/", 'Calculs Péremption conso'!$CA24), AZ201)))</f>
        <v>42155.901795735132</v>
      </c>
      <c r="BG201" s="2051"/>
      <c r="BH201" s="2219">
        <f t="shared" si="46"/>
        <v>0</v>
      </c>
      <c r="BI201" s="2220">
        <f>BH201-Paramétrage!D$29</f>
        <v>-3</v>
      </c>
      <c r="BJ201" s="2221">
        <f>IF(BH201&lt;Paramétrage!D$29, BH201, Paramétrage!D$29)</f>
        <v>0</v>
      </c>
      <c r="BK201" s="2221">
        <f t="shared" si="47"/>
        <v>0</v>
      </c>
      <c r="BL201" s="2186">
        <f>Paramétrage!$H$19+BI201*30</f>
        <v>41829</v>
      </c>
      <c r="BM201" s="2187">
        <f>IF(BH201&lt;Paramétrage!$D$29, Paramétrage!$H$19+BJ201*30, Paramétrage!$H$19+BH201*30)</f>
        <v>41919</v>
      </c>
      <c r="BN201" s="2051"/>
      <c r="BO201" s="2219" t="str">
        <f>IF(ISERROR(BH201),"", IF(BH201=0, "", IF(BH201&gt;'Calculs Péremption conso'!$CB24, 'Calculs Péremption conso'!$CB24, BH201)))</f>
        <v/>
      </c>
      <c r="BP201" s="2220" t="str">
        <f>IF(ISERROR(BH201),"", IF(BH201=0, "", IF(BH201&gt;'Calculs Péremption conso'!$CB24, 'Calculs Péremption conso'!$CB24-Paramétrage!$D$29, BI201)))</f>
        <v/>
      </c>
      <c r="BQ201" s="2189" t="str">
        <f>IF(ISERROR(BH201),"", IF(BH201=0, "", IF(BH201&gt;'Calculs Péremption conso'!$CB24, Paramétrage!$D$29, BJ201)))</f>
        <v/>
      </c>
      <c r="BR201" s="2224" t="str">
        <f t="shared" si="48"/>
        <v/>
      </c>
      <c r="BS201" s="2186" t="str">
        <f>IF(ISERROR(BH201),"", IF(BH201=0, "", IF(BH201&gt;'Calculs Péremption conso'!$CB24, 'Calculs Péremption conso'!$BX24-Paramétrage!$D$29*(365/12), BL201)))</f>
        <v/>
      </c>
      <c r="BT201" s="2187" t="str">
        <f>IF(ISERROR(BH201),"", IF(BH201=0, "", IF(BH201&gt;'Calculs Péremption conso'!$CB24, CONCATENATE('TRAD-Calculs dispo Données FA'!$B$88, " - ", 'Calculs Péremption conso'!$BY24, "/", 'Calculs Péremption conso'!$BZ24, "/", 'Calculs Péremption conso'!$CA24), BM201)))</f>
        <v/>
      </c>
      <c r="BV201" s="2061">
        <f>Calculs!$Q279</f>
        <v>11566</v>
      </c>
      <c r="BW201" s="2062">
        <f>Calculs!L334</f>
        <v>1485</v>
      </c>
      <c r="BX201" s="2068">
        <f>Calculs!N334</f>
        <v>0</v>
      </c>
      <c r="BY201" s="2070" t="str">
        <f>IF(AND(BX201=0, BV201=0, BW201=0), 'TRAD-Calculs dispo Données FA'!$B$82, "")</f>
        <v/>
      </c>
      <c r="BZ201" s="2062" t="str">
        <f>IF(AND(BX201=0, BV201&gt;0, BW201=0), CONCATENATE(BV201, 'TRAD-Calculs dispo Données FA'!$B$80," =0"), "")</f>
        <v/>
      </c>
      <c r="CA201" s="2063" t="str">
        <f>IF(AND(BV201=0, OR(BW201&gt;=1, BX201&gt;=1)), 'TRAD-Calculs dispo Données FA'!$B$81, "")</f>
        <v/>
      </c>
    </row>
    <row r="202" spans="3:79" s="358" customFormat="1" ht="25.5" x14ac:dyDescent="0.2">
      <c r="C202" s="374"/>
      <c r="D202" s="375"/>
      <c r="E202" s="1843" t="str">
        <f>'Saisie données stocks'!F37</f>
        <v>ETV</v>
      </c>
      <c r="F202" s="1844" t="str">
        <f>'Saisie données stocks'!G37</f>
        <v>Cp</v>
      </c>
      <c r="G202" s="1844" t="str">
        <f>'Saisie données stocks'!H37</f>
        <v>200 mg</v>
      </c>
      <c r="H202" s="533" t="str">
        <f>CONCATENATE(E202, " - ", G202, " - ", 'TRAD-Calculs dispo Données FA'!$B$79,"/", K202)</f>
        <v>ETV - 200 mg - B/60</v>
      </c>
      <c r="I202" s="533">
        <f>Calculs!K120</f>
        <v>2</v>
      </c>
      <c r="J202" s="1807">
        <f t="shared" si="36"/>
        <v>60</v>
      </c>
      <c r="K202" s="1386">
        <f>Calculs!J120</f>
        <v>60</v>
      </c>
      <c r="L202" s="1846">
        <f t="shared" si="37"/>
        <v>1</v>
      </c>
      <c r="M202" s="1871">
        <f>IF('Saisie données stocks'!$O$10='TRAD-Saisie données stocks'!$B$51, 'Calculs Péremption conso'!BU25, Calculs!M280)+IF('Saisie données stocks'!$M$76='TRAD-Saisie données stocks'!$B$51, Calculs!N280, "0")+Calculs!P280</f>
        <v>0</v>
      </c>
      <c r="N202" s="1871">
        <f>Calculs!$L$335</f>
        <v>0</v>
      </c>
      <c r="O202" s="1871">
        <f>Calculs!$N$335</f>
        <v>0</v>
      </c>
      <c r="P202"/>
      <c r="Q202" s="2219" t="e">
        <f>IF(Calculs!N335&gt;0, (-(Calculs!N335+2*Calculs!L335)+SQRT((Calculs!N335+2*Calculs!L335)*(Calculs!N335+2*Calculs!L335)+8*Calculs!N335*(M202)))/(2*Calculs!N335), ((M202)/Calculs!L335))</f>
        <v>#DIV/0!</v>
      </c>
      <c r="R202" s="2220" t="e">
        <f>Q202-Paramétrage!D$29</f>
        <v>#DIV/0!</v>
      </c>
      <c r="S202" s="2221" t="e">
        <f>IF(Q202&lt;Paramétrage!D$29, Q202, Paramétrage!D$29)</f>
        <v>#DIV/0!</v>
      </c>
      <c r="T202" s="2222" t="e">
        <f>Paramétrage!H$19+R202*30</f>
        <v>#DIV/0!</v>
      </c>
      <c r="U202" s="2187" t="e">
        <f>IF(Q202&lt;Paramétrage!D$29, Paramétrage!H$19+S202*30, Paramétrage!H$19+Q202*30)</f>
        <v>#DIV/0!</v>
      </c>
      <c r="V202" s="2051"/>
      <c r="W202" s="2219" t="str">
        <f t="shared" si="38"/>
        <v/>
      </c>
      <c r="X202" s="2220" t="str">
        <f t="shared" si="39"/>
        <v/>
      </c>
      <c r="Y202" s="2189" t="str">
        <f t="shared" si="40"/>
        <v/>
      </c>
      <c r="Z202" s="2193" t="str">
        <f t="shared" si="41"/>
        <v/>
      </c>
      <c r="AA202" s="2194" t="str">
        <f t="shared" si="42"/>
        <v/>
      </c>
      <c r="AB202" s="2051"/>
      <c r="AC202" s="2219" t="e">
        <f t="shared" si="43"/>
        <v>#DIV/0!</v>
      </c>
      <c r="AD202" s="2220" t="e">
        <f>AC202-Paramétrage!D$29</f>
        <v>#DIV/0!</v>
      </c>
      <c r="AE202" s="2221" t="e">
        <f>IF(AC202&lt;Paramétrage!D$29, AC202, Paramétrage!D$29)</f>
        <v>#DIV/0!</v>
      </c>
      <c r="AF202" s="2221" t="e">
        <f t="shared" si="44"/>
        <v>#DIV/0!</v>
      </c>
      <c r="AG202" s="2193" t="e">
        <f>Paramétrage!H$19+AD202*30</f>
        <v>#DIV/0!</v>
      </c>
      <c r="AH202" s="2194" t="e">
        <f>IF(AC202&lt;Paramétrage!D$29, Paramétrage!H$19+AE202*30, Paramétrage!H$19+AC202*30)</f>
        <v>#DIV/0!</v>
      </c>
      <c r="AI202" s="2194">
        <f>'Saisie données stocks'!O158</f>
        <v>0</v>
      </c>
      <c r="AJ202" s="2223" t="str">
        <f>IF(ISERROR(Q202), "0", IF('Saisie données stocks'!O158="", "0", IF(U145&gt;'Saisie données stocks'!$N$14, IF(AI202&gt;(Paramétrage!$H$19+'Saisie données stocks'!$N$14*30), (AI202-(Paramétrage!$H$19+'Saisie données stocks'!$N$14*30))/30, IF(AI202&gt;U145, (AI202-U145)/30, "0")))))</f>
        <v>0</v>
      </c>
      <c r="AK202" s="2220" t="str">
        <f>IF(ISERROR(Q145),"0", IF(Q145=0, "0", IF(Q145&gt;'Calculs Péremption FA'!$CB25, 'Calculs Péremption FA'!$CB25, Q145)))</f>
        <v>0</v>
      </c>
      <c r="AL202" s="2221" t="str">
        <f>IF(ISERROR(AC202),"0", IF(AC202=0, "0", IF(AC202&gt;'Saisie données stocks'!$N$14, 'Saisie données stocks'!$N$14, AC202)))</f>
        <v>0</v>
      </c>
      <c r="AM202" s="2194" t="str">
        <f>IF(ISERROR(Q202),AA202,IF(Calculs!P280=0,AA145,(Paramétrage!$H$19+((AJ202+AK202+AL202)*(365/12)))))</f>
        <v/>
      </c>
      <c r="AN202" s="2051"/>
      <c r="AO202" s="2219" t="str">
        <f>IF(ISERROR(AC202),"", IF(AC202=0, "", IF(AC202&gt;'Saisie données stocks'!$N$14, 'Saisie données stocks'!$N$14, AC202)))</f>
        <v/>
      </c>
      <c r="AP202" s="2220" t="str">
        <f>IF(ISERROR(AC202),"", IF(AC202=0, "", IF(AC202&gt;'Calculs Péremption conso'!$CB25, 'Calculs Péremption conso'!$CB25-Paramétrage!$D$29, AD202)))</f>
        <v/>
      </c>
      <c r="AQ202" s="2189" t="str">
        <f>IF(ISERROR(AC202),"", IF(AC202=0, "", IF(AC202&gt;'Calculs Péremption conso'!$CB25, Paramétrage!$D$29, AE202)))</f>
        <v/>
      </c>
      <c r="AR202" s="2224" t="str">
        <f t="shared" si="45"/>
        <v/>
      </c>
      <c r="AS202" s="2193" t="str">
        <f>IF(ISERROR(AC202),"", IF(AC202=0, "", IF(AC202&gt;'Calculs Péremption conso'!$CB25, 'Calculs Péremption conso'!$BX25-Paramétrage!$D$29*(365/12), AG202)))</f>
        <v/>
      </c>
      <c r="AT202" s="2194" t="str">
        <f>IF(ISERROR(AC202),"", IF(AC202=0, "", IF(AC202&gt;'Calculs Péremption conso'!$CB25, CONCATENATE('TRAD-Calculs dispo Données FA'!$B$88, " - ", 'Calculs Péremption conso'!$BY25, "/", 'Calculs Péremption conso'!$BZ25, "/", 'Calculs Péremption conso'!$CA25), AH202)))</f>
        <v/>
      </c>
      <c r="AU202" s="2051"/>
      <c r="AV202" s="2219" t="e">
        <f>(Calculs!Q280)/Calculs!L335</f>
        <v>#DIV/0!</v>
      </c>
      <c r="AW202" s="2220" t="e">
        <f>AV202-Paramétrage!D$29</f>
        <v>#DIV/0!</v>
      </c>
      <c r="AX202" s="2221" t="e">
        <f>IF(AV202&lt;Paramétrage!D$29, AV202, Paramétrage!D$29)</f>
        <v>#DIV/0!</v>
      </c>
      <c r="AY202" s="2193" t="e">
        <f>Paramétrage!H$19+AW202*(365/12)</f>
        <v>#DIV/0!</v>
      </c>
      <c r="AZ202" s="2194" t="e">
        <f>IF(AV202&lt;Paramétrage!D$29, Paramétrage!H$19+AX202*(365/12), Paramétrage!H$19+AV202*(365/12))</f>
        <v>#DIV/0!</v>
      </c>
      <c r="BA202" s="2051"/>
      <c r="BB202" s="2219" t="str">
        <f>IF(ISERROR(AV202),"", IF(AV202=0, "", IF(AV202&gt;'Calculs Péremption conso'!$CB25, 'Calculs Péremption conso'!$CB25, AV202)))</f>
        <v/>
      </c>
      <c r="BC202" s="2220" t="str">
        <f>IF(ISERROR(AV202),"", IF(AV202=0, "", IF(AV202&gt;'Calculs Péremption conso'!$CB25, 'Calculs Péremption conso'!$CB25-Paramétrage!$D$29, AW202)))</f>
        <v/>
      </c>
      <c r="BD202" s="2189" t="str">
        <f>IF(ISERROR(AV202),"", IF(AV202=0, "", IF(AV202&gt;'Calculs Péremption conso'!$CB25, Paramétrage!$D$29, AX202)))</f>
        <v/>
      </c>
      <c r="BE202" s="2193" t="str">
        <f>IF(ISERROR(AV202),"", IF(AV202=0, "", IF(AV202&gt;'Calculs Péremption conso'!$CB25, 'Calculs Péremption conso'!$BX25-Paramétrage!$D$29*(365/12), AY202)))</f>
        <v/>
      </c>
      <c r="BF202" s="2194" t="str">
        <f>IF(ISERROR(AV202),"", IF(AV202=0, "", IF(AV202&gt;'Calculs Péremption conso'!$CB25, CONCATENATE('TRAD-Calculs dispo Données FA'!$B$88, " - ", 'Calculs Péremption conso'!$BY25, "/", 'Calculs Péremption conso'!$BZ25, "/", 'Calculs Péremption conso'!$CA25), AZ202)))</f>
        <v/>
      </c>
      <c r="BG202" s="2051"/>
      <c r="BH202" s="2219" t="e">
        <f t="shared" si="46"/>
        <v>#DIV/0!</v>
      </c>
      <c r="BI202" s="2220" t="e">
        <f>BH202-Paramétrage!D$29</f>
        <v>#DIV/0!</v>
      </c>
      <c r="BJ202" s="2221" t="e">
        <f>IF(BH202&lt;Paramétrage!D$29, BH202, Paramétrage!D$29)</f>
        <v>#DIV/0!</v>
      </c>
      <c r="BK202" s="2221" t="e">
        <f t="shared" si="47"/>
        <v>#DIV/0!</v>
      </c>
      <c r="BL202" s="2193" t="e">
        <f>Paramétrage!$H$19+BI202*30</f>
        <v>#DIV/0!</v>
      </c>
      <c r="BM202" s="2194" t="e">
        <f>IF(BH202&lt;Paramétrage!$D$29, Paramétrage!$H$19+BJ202*30, Paramétrage!$H$19+BH202*30)</f>
        <v>#DIV/0!</v>
      </c>
      <c r="BN202" s="2051"/>
      <c r="BO202" s="2219" t="str">
        <f>IF(ISERROR(BH202),"", IF(BH202=0, "", IF(BH202&gt;'Calculs Péremption conso'!$CB25, 'Calculs Péremption conso'!$CB25, BH202)))</f>
        <v/>
      </c>
      <c r="BP202" s="2220" t="str">
        <f>IF(ISERROR(BH202),"", IF(BH202=0, "", IF(BH202&gt;'Calculs Péremption conso'!$CB25, 'Calculs Péremption conso'!$CB25-Paramétrage!$D$29, BI202)))</f>
        <v/>
      </c>
      <c r="BQ202" s="2189" t="str">
        <f>IF(ISERROR(BH202),"", IF(BH202=0, "", IF(BH202&gt;'Calculs Péremption conso'!$CB25, Paramétrage!$D$29, BJ202)))</f>
        <v/>
      </c>
      <c r="BR202" s="2224" t="str">
        <f t="shared" si="48"/>
        <v/>
      </c>
      <c r="BS202" s="2193" t="str">
        <f>IF(ISERROR(BH202),"", IF(BH202=0, "", IF(BH202&gt;'Calculs Péremption conso'!$CB25, 'Calculs Péremption conso'!$BX25-Paramétrage!$D$29*(365/12), BL202)))</f>
        <v/>
      </c>
      <c r="BT202" s="2194" t="str">
        <f>IF(ISERROR(BH202),"", IF(BH202=0, "", IF(BH202&gt;'Calculs Péremption conso'!$CB25, CONCATENATE('TRAD-Calculs dispo Données FA'!$B$88, " - ", 'Calculs Péremption conso'!$BY25, "/", 'Calculs Péremption conso'!$BZ25, "/", 'Calculs Péremption conso'!$CA25), BM202)))</f>
        <v/>
      </c>
      <c r="BV202" s="2061">
        <f>Calculs!$Q280</f>
        <v>0</v>
      </c>
      <c r="BW202" s="2062">
        <f>Calculs!L335</f>
        <v>0</v>
      </c>
      <c r="BX202" s="2068">
        <f>Calculs!N335</f>
        <v>0</v>
      </c>
      <c r="BY202" s="2070" t="str">
        <f>IF(AND(BX202=0, BV202=0, BW202=0), 'TRAD-Calculs dispo Données FA'!$B$82, "")</f>
        <v>Stock et besoin nul</v>
      </c>
      <c r="BZ202" s="2062" t="str">
        <f>IF(AND(BX202=0, BV202&gt;0, BW202=0), CONCATENATE(BV202, 'TRAD-Calculs dispo Données FA'!$B$80," =0"), "")</f>
        <v/>
      </c>
      <c r="CA202" s="2063" t="str">
        <f>IF(AND(BV202=0, OR(BW202&gt;=1, BX202&gt;=1)), 'TRAD-Calculs dispo Données FA'!$B$81, "")</f>
        <v/>
      </c>
    </row>
    <row r="203" spans="3:79" s="358" customFormat="1" ht="25.5" x14ac:dyDescent="0.2">
      <c r="C203" s="374"/>
      <c r="D203" s="375"/>
      <c r="E203" s="1843" t="str">
        <f>'Saisie données stocks'!F38</f>
        <v>NVP</v>
      </c>
      <c r="F203" s="1844" t="str">
        <f>'Saisie données stocks'!G38</f>
        <v>Cp</v>
      </c>
      <c r="G203" s="1844" t="str">
        <f>'Saisie données stocks'!H38</f>
        <v>200 mg</v>
      </c>
      <c r="H203" s="385" t="str">
        <f>CONCATENATE(E203, " - ", G203, " - ", 'TRAD-Calculs dispo Données FA'!$B$79,"/", K203)</f>
        <v>NVP - 200 mg - B/60</v>
      </c>
      <c r="I203" s="533">
        <f>Calculs!K121</f>
        <v>2</v>
      </c>
      <c r="J203" s="1807">
        <f t="shared" si="36"/>
        <v>60</v>
      </c>
      <c r="K203" s="1386">
        <f>Calculs!J121</f>
        <v>60</v>
      </c>
      <c r="L203" s="1846">
        <f t="shared" si="37"/>
        <v>1</v>
      </c>
      <c r="M203" s="1870">
        <f>IF('Saisie données stocks'!$O$10='TRAD-Saisie données stocks'!$B$51, 'Calculs Péremption conso'!BU26, Calculs!M281)+IF('Saisie données stocks'!$M$76='TRAD-Saisie données stocks'!$B$51, Calculs!N281, "0")+Calculs!P281</f>
        <v>0</v>
      </c>
      <c r="N203" s="1870">
        <f>Calculs!$L$336</f>
        <v>0</v>
      </c>
      <c r="O203" s="1870">
        <f>Calculs!$N$336</f>
        <v>0</v>
      </c>
      <c r="P203"/>
      <c r="Q203" s="2219" t="e">
        <f>IF(Calculs!N336&gt;0, (-(Calculs!N336+2*Calculs!L336)+SQRT((Calculs!N336+2*Calculs!L336)*(Calculs!N336+2*Calculs!L336)+8*Calculs!N336*(M203)))/(2*Calculs!N336), ((M203)/Calculs!L336))</f>
        <v>#DIV/0!</v>
      </c>
      <c r="R203" s="2220" t="e">
        <f>Q203-Paramétrage!D$29</f>
        <v>#DIV/0!</v>
      </c>
      <c r="S203" s="2221" t="e">
        <f>IF(Q203&lt;Paramétrage!D$29, Q203, Paramétrage!D$29)</f>
        <v>#DIV/0!</v>
      </c>
      <c r="T203" s="2222" t="e">
        <f>Paramétrage!H$19+R203*30</f>
        <v>#DIV/0!</v>
      </c>
      <c r="U203" s="2187" t="e">
        <f>IF(Q203&lt;Paramétrage!D$29, Paramétrage!H$19+S203*30, Paramétrage!H$19+Q203*30)</f>
        <v>#DIV/0!</v>
      </c>
      <c r="V203" s="2051"/>
      <c r="W203" s="2219" t="str">
        <f t="shared" si="38"/>
        <v/>
      </c>
      <c r="X203" s="2220" t="str">
        <f t="shared" si="39"/>
        <v/>
      </c>
      <c r="Y203" s="2189" t="str">
        <f t="shared" si="40"/>
        <v/>
      </c>
      <c r="Z203" s="2170" t="str">
        <f t="shared" si="41"/>
        <v/>
      </c>
      <c r="AA203" s="2171" t="str">
        <f t="shared" si="42"/>
        <v/>
      </c>
      <c r="AB203" s="2051"/>
      <c r="AC203" s="2219" t="e">
        <f t="shared" si="43"/>
        <v>#DIV/0!</v>
      </c>
      <c r="AD203" s="2220" t="e">
        <f>AC203-Paramétrage!D$29</f>
        <v>#DIV/0!</v>
      </c>
      <c r="AE203" s="2221" t="e">
        <f>IF(AC203&lt;Paramétrage!D$29, AC203, Paramétrage!D$29)</f>
        <v>#DIV/0!</v>
      </c>
      <c r="AF203" s="2221" t="e">
        <f t="shared" si="44"/>
        <v>#DIV/0!</v>
      </c>
      <c r="AG203" s="2170" t="e">
        <f>Paramétrage!H$19+AD203*30</f>
        <v>#DIV/0!</v>
      </c>
      <c r="AH203" s="2171" t="e">
        <f>IF(AC203&lt;Paramétrage!D$29, Paramétrage!H$19+AE203*30, Paramétrage!H$19+AC203*30)</f>
        <v>#DIV/0!</v>
      </c>
      <c r="AI203" s="2171">
        <f>'Saisie données stocks'!O159</f>
        <v>0</v>
      </c>
      <c r="AJ203" s="2223" t="str">
        <f>IF(ISERROR(Q203), "0", IF('Saisie données stocks'!O159="", "0", IF(U146&gt;'Saisie données stocks'!$N$14, IF(AI203&gt;(Paramétrage!$H$19+'Saisie données stocks'!$N$14*30), (AI203-(Paramétrage!$H$19+'Saisie données stocks'!$N$14*30))/30, IF(AI203&gt;U146, (AI203-U146)/30, "0")))))</f>
        <v>0</v>
      </c>
      <c r="AK203" s="2220" t="str">
        <f>IF(ISERROR(Q146),"0", IF(Q146=0, "0", IF(Q146&gt;'Calculs Péremption FA'!$CB26, 'Calculs Péremption FA'!$CB26, Q146)))</f>
        <v>0</v>
      </c>
      <c r="AL203" s="2221" t="str">
        <f>IF(ISERROR(AC203),"0", IF(AC203=0, "0", IF(AC203&gt;'Saisie données stocks'!$N$14, 'Saisie données stocks'!$N$14, AC203)))</f>
        <v>0</v>
      </c>
      <c r="AM203" s="2171" t="str">
        <f>IF(ISERROR(Q203),AA203,IF(Calculs!P281=0,AA146,(Paramétrage!$H$19+((AJ203+AK203+AL203)*(365/12)))))</f>
        <v/>
      </c>
      <c r="AN203" s="2051"/>
      <c r="AO203" s="2219" t="str">
        <f>IF(ISERROR(AC203),"", IF(AC203=0, "", IF(AC203&gt;'Saisie données stocks'!$N$14, 'Saisie données stocks'!$N$14, AC203)))</f>
        <v/>
      </c>
      <c r="AP203" s="2220" t="str">
        <f>IF(ISERROR(AC203),"", IF(AC203=0, "", IF(AC203&gt;'Calculs Péremption conso'!$CB26, 'Calculs Péremption conso'!$CB26-Paramétrage!$D$29, AD203)))</f>
        <v/>
      </c>
      <c r="AQ203" s="2189" t="str">
        <f>IF(ISERROR(AC203),"", IF(AC203=0, "", IF(AC203&gt;'Calculs Péremption conso'!$CB26, Paramétrage!$D$29, AE203)))</f>
        <v/>
      </c>
      <c r="AR203" s="2224" t="str">
        <f t="shared" si="45"/>
        <v/>
      </c>
      <c r="AS203" s="2170" t="str">
        <f>IF(ISERROR(AC203),"", IF(AC203=0, "", IF(AC203&gt;'Calculs Péremption conso'!$CB26, 'Calculs Péremption conso'!$BX26-Paramétrage!$D$29*(365/12), AG203)))</f>
        <v/>
      </c>
      <c r="AT203" s="2171" t="str">
        <f>IF(ISERROR(AC203),"", IF(AC203=0, "", IF(AC203&gt;'Calculs Péremption conso'!$CB26, CONCATENATE('TRAD-Calculs dispo Données FA'!$B$88, " - ", 'Calculs Péremption conso'!$BY26, "/", 'Calculs Péremption conso'!$BZ26, "/", 'Calculs Péremption conso'!$CA26), AH203)))</f>
        <v/>
      </c>
      <c r="AU203" s="2051"/>
      <c r="AV203" s="2219" t="e">
        <f>(Calculs!Q281)/Calculs!L336</f>
        <v>#DIV/0!</v>
      </c>
      <c r="AW203" s="2220" t="e">
        <f>AV203-Paramétrage!D$29</f>
        <v>#DIV/0!</v>
      </c>
      <c r="AX203" s="2221" t="e">
        <f>IF(AV203&lt;Paramétrage!D$29, AV203, Paramétrage!D$29)</f>
        <v>#DIV/0!</v>
      </c>
      <c r="AY203" s="2170" t="e">
        <f>Paramétrage!H$19+AW203*(365/12)</f>
        <v>#DIV/0!</v>
      </c>
      <c r="AZ203" s="2171" t="e">
        <f>IF(AV203&lt;Paramétrage!D$29, Paramétrage!H$19+AX203*(365/12), Paramétrage!H$19+AV203*(365/12))</f>
        <v>#DIV/0!</v>
      </c>
      <c r="BA203" s="2051"/>
      <c r="BB203" s="2219" t="str">
        <f>IF(ISERROR(AV203),"", IF(AV203=0, "", IF(AV203&gt;'Calculs Péremption conso'!$CB26, 'Calculs Péremption conso'!$CB26, AV203)))</f>
        <v/>
      </c>
      <c r="BC203" s="2220" t="str">
        <f>IF(ISERROR(AV203),"", IF(AV203=0, "", IF(AV203&gt;'Calculs Péremption conso'!$CB26, 'Calculs Péremption conso'!$CB26-Paramétrage!$D$29, AW203)))</f>
        <v/>
      </c>
      <c r="BD203" s="2189" t="str">
        <f>IF(ISERROR(AV203),"", IF(AV203=0, "", IF(AV203&gt;'Calculs Péremption conso'!$CB26, Paramétrage!$D$29, AX203)))</f>
        <v/>
      </c>
      <c r="BE203" s="2170" t="str">
        <f>IF(ISERROR(AV203),"", IF(AV203=0, "", IF(AV203&gt;'Calculs Péremption conso'!$CB26, 'Calculs Péremption conso'!$BX26-Paramétrage!$D$29*(365/12), AY203)))</f>
        <v/>
      </c>
      <c r="BF203" s="2171" t="str">
        <f>IF(ISERROR(AV203),"", IF(AV203=0, "", IF(AV203&gt;'Calculs Péremption conso'!$CB26, CONCATENATE('TRAD-Calculs dispo Données FA'!$B$88, " - ", 'Calculs Péremption conso'!$BY26, "/", 'Calculs Péremption conso'!$BZ26, "/", 'Calculs Péremption conso'!$CA26), AZ203)))</f>
        <v/>
      </c>
      <c r="BG203" s="2051"/>
      <c r="BH203" s="2219" t="e">
        <f t="shared" si="46"/>
        <v>#DIV/0!</v>
      </c>
      <c r="BI203" s="2220" t="e">
        <f>BH203-Paramétrage!D$29</f>
        <v>#DIV/0!</v>
      </c>
      <c r="BJ203" s="2221" t="e">
        <f>IF(BH203&lt;Paramétrage!D$29, BH203, Paramétrage!D$29)</f>
        <v>#DIV/0!</v>
      </c>
      <c r="BK203" s="2221" t="e">
        <f t="shared" si="47"/>
        <v>#DIV/0!</v>
      </c>
      <c r="BL203" s="2170" t="e">
        <f>Paramétrage!$H$19+BI203*30</f>
        <v>#DIV/0!</v>
      </c>
      <c r="BM203" s="2171" t="e">
        <f>IF(BH203&lt;Paramétrage!$D$29, Paramétrage!$H$19+BJ203*30, Paramétrage!$H$19+BH203*30)</f>
        <v>#DIV/0!</v>
      </c>
      <c r="BN203" s="2051"/>
      <c r="BO203" s="2219" t="str">
        <f>IF(ISERROR(BH203),"", IF(BH203=0, "", IF(BH203&gt;'Calculs Péremption conso'!$CB26, 'Calculs Péremption conso'!$CB26, BH203)))</f>
        <v/>
      </c>
      <c r="BP203" s="2220" t="str">
        <f>IF(ISERROR(BH203),"", IF(BH203=0, "", IF(BH203&gt;'Calculs Péremption conso'!$CB26, 'Calculs Péremption conso'!$CB26-Paramétrage!$D$29, BI203)))</f>
        <v/>
      </c>
      <c r="BQ203" s="2189" t="str">
        <f>IF(ISERROR(BH203),"", IF(BH203=0, "", IF(BH203&gt;'Calculs Péremption conso'!$CB26, Paramétrage!$D$29, BJ203)))</f>
        <v/>
      </c>
      <c r="BR203" s="2224" t="str">
        <f t="shared" si="48"/>
        <v/>
      </c>
      <c r="BS203" s="2170" t="str">
        <f>IF(ISERROR(BH203),"", IF(BH203=0, "", IF(BH203&gt;'Calculs Péremption conso'!$CB26, 'Calculs Péremption conso'!$BX26-Paramétrage!$D$29*(365/12), BL203)))</f>
        <v/>
      </c>
      <c r="BT203" s="2171" t="str">
        <f>IF(ISERROR(BH203),"", IF(BH203=0, "", IF(BH203&gt;'Calculs Péremption conso'!$CB26, CONCATENATE('TRAD-Calculs dispo Données FA'!$B$88, " - ", 'Calculs Péremption conso'!$BY26, "/", 'Calculs Péremption conso'!$BZ26, "/", 'Calculs Péremption conso'!$CA26), BM203)))</f>
        <v/>
      </c>
      <c r="BV203" s="2061">
        <f>Calculs!$Q281</f>
        <v>0</v>
      </c>
      <c r="BW203" s="2062">
        <f>Calculs!L336</f>
        <v>0</v>
      </c>
      <c r="BX203" s="2068">
        <f>Calculs!N336</f>
        <v>0</v>
      </c>
      <c r="BY203" s="2070" t="str">
        <f>IF(AND(BX203=0, BV203=0, BW203=0), 'TRAD-Calculs dispo Données FA'!$B$82, "")</f>
        <v>Stock et besoin nul</v>
      </c>
      <c r="BZ203" s="2062" t="str">
        <f>IF(AND(BX203=0, BV203&gt;0, BW203=0), CONCATENATE(BV203, 'TRAD-Calculs dispo Données FA'!$B$80," =0"), "")</f>
        <v/>
      </c>
      <c r="CA203" s="2063" t="str">
        <f>IF(AND(BV203=0, OR(BW203&gt;=1, BX203&gt;=1)), 'TRAD-Calculs dispo Données FA'!$B$81, "")</f>
        <v/>
      </c>
    </row>
    <row r="204" spans="3:79" s="358" customFormat="1" ht="25.5" x14ac:dyDescent="0.2">
      <c r="C204" s="388"/>
      <c r="D204" s="389"/>
      <c r="E204" s="1518" t="str">
        <f>'Saisie données stocks'!F39</f>
        <v>RPV</v>
      </c>
      <c r="F204" s="1519" t="str">
        <f>'Saisie données stocks'!G39</f>
        <v>Cp</v>
      </c>
      <c r="G204" s="1519" t="str">
        <f>'Saisie données stocks'!H39</f>
        <v>25 mg</v>
      </c>
      <c r="H204" s="393" t="str">
        <f>CONCATENATE(E204, " - ", G204, " - ", 'TRAD-Calculs dispo Données FA'!$B$79,"/", K204)</f>
        <v>RPV - 25 mg - B/30</v>
      </c>
      <c r="I204" s="392">
        <f>Calculs!K122</f>
        <v>1</v>
      </c>
      <c r="J204" s="1795">
        <f t="shared" si="36"/>
        <v>30</v>
      </c>
      <c r="K204" s="1854">
        <f>Calculs!J122</f>
        <v>30</v>
      </c>
      <c r="L204" s="1855">
        <f t="shared" si="37"/>
        <v>1</v>
      </c>
      <c r="M204" s="1822">
        <f>IF('Saisie données stocks'!$O$10='TRAD-Saisie données stocks'!$B$51, 'Calculs Péremption conso'!BU27, Calculs!M282)+IF('Saisie données stocks'!$M$76='TRAD-Saisie données stocks'!$B$51, Calculs!N282, "0")+Calculs!P282</f>
        <v>0</v>
      </c>
      <c r="N204" s="1822">
        <f>Calculs!$L$337</f>
        <v>0</v>
      </c>
      <c r="O204" s="1822">
        <f>Calculs!$N$337</f>
        <v>0</v>
      </c>
      <c r="P204"/>
      <c r="Q204" s="2175" t="e">
        <f>IF(Calculs!N337&gt;0, (-(Calculs!N337+2*Calculs!L337)+SQRT((Calculs!N337+2*Calculs!L337)*(Calculs!N337+2*Calculs!L337)+8*Calculs!N337*(M204)))/(2*Calculs!N337), ((M204)/Calculs!L337))</f>
        <v>#DIV/0!</v>
      </c>
      <c r="R204" s="2220" t="e">
        <f>Q204-Paramétrage!D$29</f>
        <v>#DIV/0!</v>
      </c>
      <c r="S204" s="2225" t="e">
        <f>IF(Q204&lt;Paramétrage!D$29, Q204, Paramétrage!D$29)</f>
        <v>#DIV/0!</v>
      </c>
      <c r="T204" s="2226" t="e">
        <f>Paramétrage!H$19+R204*30</f>
        <v>#DIV/0!</v>
      </c>
      <c r="U204" s="2179" t="e">
        <f>IF(Q204&lt;Paramétrage!D$29, Paramétrage!H$19+S204*30, Paramétrage!H$19+Q204*30)</f>
        <v>#DIV/0!</v>
      </c>
      <c r="V204" s="2051"/>
      <c r="W204" s="2175" t="str">
        <f t="shared" si="38"/>
        <v/>
      </c>
      <c r="X204" s="2227" t="str">
        <f t="shared" si="39"/>
        <v/>
      </c>
      <c r="Y204" s="2182" t="str">
        <f t="shared" si="40"/>
        <v/>
      </c>
      <c r="Z204" s="2178" t="str">
        <f t="shared" si="41"/>
        <v/>
      </c>
      <c r="AA204" s="2179" t="str">
        <f t="shared" si="42"/>
        <v/>
      </c>
      <c r="AB204" s="2051"/>
      <c r="AC204" s="2175" t="e">
        <f t="shared" si="43"/>
        <v>#DIV/0!</v>
      </c>
      <c r="AD204" s="2227" t="e">
        <f>AC204-Paramétrage!D$29</f>
        <v>#DIV/0!</v>
      </c>
      <c r="AE204" s="2225" t="e">
        <f>IF(AC204&lt;Paramétrage!D$29, AC204, Paramétrage!D$29)</f>
        <v>#DIV/0!</v>
      </c>
      <c r="AF204" s="2225" t="e">
        <f t="shared" si="44"/>
        <v>#DIV/0!</v>
      </c>
      <c r="AG204" s="2178" t="e">
        <f>Paramétrage!H$19+AD204*30</f>
        <v>#DIV/0!</v>
      </c>
      <c r="AH204" s="2179" t="e">
        <f>IF(AC204&lt;Paramétrage!D$29, Paramétrage!H$19+AE204*30, Paramétrage!H$19+AC204*30)</f>
        <v>#DIV/0!</v>
      </c>
      <c r="AI204" s="2179">
        <f>'Saisie données stocks'!O160</f>
        <v>0</v>
      </c>
      <c r="AJ204" s="2228" t="str">
        <f>IF(ISERROR(Q204), "0", IF('Saisie données stocks'!O160="", "0", IF(U147&gt;'Saisie données stocks'!$N$14, IF(AI204&gt;(Paramétrage!$H$19+'Saisie données stocks'!$N$14*30), (AI204-(Paramétrage!$H$19+'Saisie données stocks'!$N$14*30))/30, IF(AI204&gt;U147, (AI204-U147)/30, "0")))))</f>
        <v>0</v>
      </c>
      <c r="AK204" s="2227" t="str">
        <f>IF(ISERROR(Q147),"0", IF(Q147=0, "0", IF(Q147&gt;'Calculs Péremption FA'!$CB27, 'Calculs Péremption FA'!$CB27, Q147)))</f>
        <v>0</v>
      </c>
      <c r="AL204" s="2225" t="str">
        <f>IF(ISERROR(AC204),"0", IF(AC204=0, "0", IF(AC204&gt;'Saisie données stocks'!$N$14, 'Saisie données stocks'!$N$14, AC204)))</f>
        <v>0</v>
      </c>
      <c r="AM204" s="2179" t="str">
        <f>IF(ISERROR(Q204),AA204,IF(Calculs!P282=0,AA147,(Paramétrage!$H$19+((AJ204+AK204+AL204)*(365/12)))))</f>
        <v/>
      </c>
      <c r="AN204" s="2051"/>
      <c r="AO204" s="2175" t="str">
        <f>IF(ISERROR(AC204),"", IF(AC204=0, "", IF(AC204&gt;'Saisie données stocks'!$N$14, 'Saisie données stocks'!$N$14, AC204)))</f>
        <v/>
      </c>
      <c r="AP204" s="2227" t="str">
        <f>IF(ISERROR(AC204),"", IF(AC204=0, "", IF(AC204&gt;'Calculs Péremption conso'!$CB27, 'Calculs Péremption conso'!$CB27-Paramétrage!$D$29, AD204)))</f>
        <v/>
      </c>
      <c r="AQ204" s="2182" t="str">
        <f>IF(ISERROR(AC204),"", IF(AC204=0, "", IF(AC204&gt;'Calculs Péremption conso'!$CB27, Paramétrage!$D$29, AE204)))</f>
        <v/>
      </c>
      <c r="AR204" s="2229" t="str">
        <f t="shared" si="45"/>
        <v/>
      </c>
      <c r="AS204" s="2178" t="str">
        <f>IF(ISERROR(AC204),"", IF(AC204=0, "", IF(AC204&gt;'Calculs Péremption conso'!$CB27, 'Calculs Péremption conso'!$BX27-Paramétrage!$D$29*(365/12), AG204)))</f>
        <v/>
      </c>
      <c r="AT204" s="2179" t="str">
        <f>IF(ISERROR(AC204),"", IF(AC204=0, "", IF(AC204&gt;'Calculs Péremption conso'!$CB27, CONCATENATE('TRAD-Calculs dispo Données FA'!$B$88, " - ", 'Calculs Péremption conso'!$BY27, "/", 'Calculs Péremption conso'!$BZ27, "/", 'Calculs Péremption conso'!$CA27), AH204)))</f>
        <v/>
      </c>
      <c r="AU204" s="2051"/>
      <c r="AV204" s="2175" t="e">
        <f>(Calculs!Q282)/Calculs!L337</f>
        <v>#DIV/0!</v>
      </c>
      <c r="AW204" s="2220" t="e">
        <f>AV204-Paramétrage!D$29</f>
        <v>#DIV/0!</v>
      </c>
      <c r="AX204" s="2225" t="e">
        <f>IF(AV204&lt;Paramétrage!D$29, AV204, Paramétrage!D$29)</f>
        <v>#DIV/0!</v>
      </c>
      <c r="AY204" s="2178" t="e">
        <f>Paramétrage!H$19+AW204*(365/12)</f>
        <v>#DIV/0!</v>
      </c>
      <c r="AZ204" s="2179" t="e">
        <f>IF(AV204&lt;Paramétrage!D$29, Paramétrage!H$19+AX204*(365/12), Paramétrage!H$19+AV204*(365/12))</f>
        <v>#DIV/0!</v>
      </c>
      <c r="BA204" s="2051"/>
      <c r="BB204" s="2175" t="str">
        <f>IF(ISERROR(AV204),"", IF(AV204=0, "", IF(AV204&gt;'Calculs Péremption conso'!$CB27, 'Calculs Péremption conso'!$CB27, AV204)))</f>
        <v/>
      </c>
      <c r="BC204" s="2227" t="str">
        <f>IF(ISERROR(AV204),"", IF(AV204=0, "", IF(AV204&gt;'Calculs Péremption conso'!$CB27, 'Calculs Péremption conso'!$CB27-Paramétrage!$D$29, AW204)))</f>
        <v/>
      </c>
      <c r="BD204" s="2182" t="str">
        <f>IF(ISERROR(AV204),"", IF(AV204=0, "", IF(AV204&gt;'Calculs Péremption conso'!$CB27, Paramétrage!$D$29, AX204)))</f>
        <v/>
      </c>
      <c r="BE204" s="2178" t="str">
        <f>IF(ISERROR(AV204),"", IF(AV204=0, "", IF(AV204&gt;'Calculs Péremption conso'!$CB27, 'Calculs Péremption conso'!$BX27-Paramétrage!$D$29*(365/12), AY204)))</f>
        <v/>
      </c>
      <c r="BF204" s="2179" t="str">
        <f>IF(ISERROR(AV204),"", IF(AV204=0, "", IF(AV204&gt;'Calculs Péremption conso'!$CB27, CONCATENATE('TRAD-Calculs dispo Données FA'!$B$88, " - ", 'Calculs Péremption conso'!$BY27, "/", 'Calculs Péremption conso'!$BZ27, "/", 'Calculs Péremption conso'!$CA27), AZ204)))</f>
        <v/>
      </c>
      <c r="BG204" s="2051"/>
      <c r="BH204" s="2175" t="e">
        <f t="shared" si="46"/>
        <v>#DIV/0!</v>
      </c>
      <c r="BI204" s="2227" t="e">
        <f>BH204-Paramétrage!D$29</f>
        <v>#DIV/0!</v>
      </c>
      <c r="BJ204" s="2225" t="e">
        <f>IF(BH204&lt;Paramétrage!D$29, BH204, Paramétrage!D$29)</f>
        <v>#DIV/0!</v>
      </c>
      <c r="BK204" s="2225" t="e">
        <f t="shared" si="47"/>
        <v>#DIV/0!</v>
      </c>
      <c r="BL204" s="2178" t="e">
        <f>Paramétrage!$H$19+BI204*30</f>
        <v>#DIV/0!</v>
      </c>
      <c r="BM204" s="2179" t="e">
        <f>IF(BH204&lt;Paramétrage!$D$29, Paramétrage!$H$19+BJ204*30, Paramétrage!$H$19+BH204*30)</f>
        <v>#DIV/0!</v>
      </c>
      <c r="BN204" s="2051"/>
      <c r="BO204" s="2175" t="str">
        <f>IF(ISERROR(BH204),"", IF(BH204=0, "", IF(BH204&gt;'Calculs Péremption conso'!$CB27, 'Calculs Péremption conso'!$CB27, BH204)))</f>
        <v/>
      </c>
      <c r="BP204" s="2227" t="str">
        <f>IF(ISERROR(BH204),"", IF(BH204=0, "", IF(BH204&gt;'Calculs Péremption conso'!$CB27, 'Calculs Péremption conso'!$CB27-Paramétrage!$D$29, BI204)))</f>
        <v/>
      </c>
      <c r="BQ204" s="2182" t="str">
        <f>IF(ISERROR(BH204),"", IF(BH204=0, "", IF(BH204&gt;'Calculs Péremption conso'!$CB27, Paramétrage!$D$29, BJ204)))</f>
        <v/>
      </c>
      <c r="BR204" s="2229" t="str">
        <f t="shared" si="48"/>
        <v/>
      </c>
      <c r="BS204" s="2178" t="str">
        <f>IF(ISERROR(BH204),"", IF(BH204=0, "", IF(BH204&gt;'Calculs Péremption conso'!$CB27, 'Calculs Péremption conso'!$BX27-Paramétrage!$D$29*(365/12), BL204)))</f>
        <v/>
      </c>
      <c r="BT204" s="2179" t="str">
        <f>IF(ISERROR(BH204),"", IF(BH204=0, "", IF(BH204&gt;'Calculs Péremption conso'!$CB27, CONCATENATE('TRAD-Calculs dispo Données FA'!$B$88, " - ", 'Calculs Péremption conso'!$BY27, "/", 'Calculs Péremption conso'!$BZ27, "/", 'Calculs Péremption conso'!$CA27), BM204)))</f>
        <v/>
      </c>
      <c r="BV204" s="2061">
        <f>Calculs!$Q282</f>
        <v>0</v>
      </c>
      <c r="BW204" s="2062">
        <f>Calculs!L337</f>
        <v>0</v>
      </c>
      <c r="BX204" s="2068">
        <f>Calculs!N337</f>
        <v>0</v>
      </c>
      <c r="BY204" s="2070" t="str">
        <f>IF(AND(BX204=0, BV204=0, BW204=0), 'TRAD-Calculs dispo Données FA'!$B$82, "")</f>
        <v>Stock et besoin nul</v>
      </c>
      <c r="BZ204" s="2062" t="str">
        <f>IF(AND(BX204=0, BV204&gt;0, BW204=0), CONCATENATE(BV204, 'TRAD-Calculs dispo Données FA'!$B$80," =0"), "")</f>
        <v/>
      </c>
      <c r="CA204" s="2063" t="str">
        <f>IF(AND(BV204=0, OR(BW204&gt;=1, BX204&gt;=1)), 'TRAD-Calculs dispo Données FA'!$B$81, "")</f>
        <v/>
      </c>
    </row>
    <row r="205" spans="3:79" s="358" customFormat="1" x14ac:dyDescent="0.2">
      <c r="C205" s="374"/>
      <c r="D205" s="375" t="s">
        <v>31</v>
      </c>
      <c r="E205" s="376" t="str">
        <f>'Saisie données stocks'!F40</f>
        <v>ABC</v>
      </c>
      <c r="F205" s="377" t="str">
        <f>'Saisie données stocks'!G40</f>
        <v>Cp</v>
      </c>
      <c r="G205" s="377" t="str">
        <f>'Saisie données stocks'!H40</f>
        <v>300 mg</v>
      </c>
      <c r="H205" s="378" t="str">
        <f>CONCATENATE(E205, " - ", G205, " - ", 'TRAD-Calculs dispo Données FA'!$B$79,"/", K205)</f>
        <v>ABC - 300 mg - B/60</v>
      </c>
      <c r="I205" s="378">
        <f>Calculs!K123</f>
        <v>2</v>
      </c>
      <c r="J205" s="379">
        <f t="shared" si="36"/>
        <v>60</v>
      </c>
      <c r="K205" s="114">
        <f>Calculs!J123</f>
        <v>60</v>
      </c>
      <c r="L205" s="381">
        <f t="shared" si="37"/>
        <v>1</v>
      </c>
      <c r="M205" s="1820">
        <f>IF('Saisie données stocks'!$O$10='TRAD-Saisie données stocks'!$B$51, 'Calculs Péremption conso'!BU28, Calculs!M283)+IF('Saisie données stocks'!$M$76='TRAD-Saisie données stocks'!$B$51, Calculs!N283, "0")+Calculs!P283</f>
        <v>7.6931506849314246</v>
      </c>
      <c r="N205" s="1820">
        <f>Calculs!$L$338</f>
        <v>2</v>
      </c>
      <c r="O205" s="1820">
        <f>Calculs!$N$338</f>
        <v>0</v>
      </c>
      <c r="P205"/>
      <c r="Q205" s="2161">
        <f>IF(Calculs!N338&gt;0, (-(Calculs!N338+2*Calculs!L338)+SQRT((Calculs!N338+2*Calculs!L338)*(Calculs!N338+2*Calculs!L338)+8*Calculs!N338*(M205)))/(2*Calculs!N338), ((M205)/Calculs!L338))</f>
        <v>3.8465753424657123</v>
      </c>
      <c r="R205" s="2183">
        <f>Q205-Paramétrage!D$29</f>
        <v>0.84657534246571231</v>
      </c>
      <c r="S205" s="2163">
        <f>IF(Q205&lt;Paramétrage!D$29, Q205, Paramétrage!D$29)</f>
        <v>3</v>
      </c>
      <c r="T205" s="2164">
        <f>Paramétrage!H$19+R205*30</f>
        <v>41944.397260273974</v>
      </c>
      <c r="U205" s="2165">
        <f>IF(Q205&lt;Paramétrage!D$29, Paramétrage!H$19+S205*30, Paramétrage!H$19+Q205*30)</f>
        <v>42034.397260273974</v>
      </c>
      <c r="V205" s="2051"/>
      <c r="W205" s="2161">
        <f t="shared" si="38"/>
        <v>3.8465753424657123</v>
      </c>
      <c r="X205" s="2162">
        <f t="shared" si="39"/>
        <v>0.84657534246571231</v>
      </c>
      <c r="Y205" s="2167">
        <f t="shared" si="40"/>
        <v>3</v>
      </c>
      <c r="Z205" s="2164">
        <f t="shared" si="41"/>
        <v>41944.397260273974</v>
      </c>
      <c r="AA205" s="2165">
        <f t="shared" si="42"/>
        <v>42034.397260273974</v>
      </c>
      <c r="AB205" s="2051"/>
      <c r="AC205" s="2161">
        <f t="shared" si="43"/>
        <v>0</v>
      </c>
      <c r="AD205" s="2162">
        <f>AC205-Paramétrage!D$29</f>
        <v>-3</v>
      </c>
      <c r="AE205" s="2163">
        <f>IF(AC205&lt;Paramétrage!D$29, AC205, Paramétrage!D$29)</f>
        <v>0</v>
      </c>
      <c r="AF205" s="2163">
        <f t="shared" si="44"/>
        <v>0</v>
      </c>
      <c r="AG205" s="2164">
        <f>Paramétrage!H$19+AD205*30</f>
        <v>41829</v>
      </c>
      <c r="AH205" s="2165">
        <f>IF(AC205&lt;Paramétrage!D$29, Paramétrage!H$19+AE205*30, Paramétrage!H$19+AC205*30)</f>
        <v>41919</v>
      </c>
      <c r="AI205" s="2165">
        <f>'Saisie données stocks'!O161</f>
        <v>0</v>
      </c>
      <c r="AJ205" s="2210" t="str">
        <f>IF(ISERROR(Q205), "0", IF('Saisie données stocks'!O161="", "0", IF(U148&gt;'Saisie données stocks'!$N$14, IF(AI205&gt;(Paramétrage!$H$19+'Saisie données stocks'!$N$14*30), (AI205-(Paramétrage!$H$19+'Saisie données stocks'!$N$14*30))/30, IF(AI205&gt;U148, (AI205-U148)/30, "0")))))</f>
        <v>0</v>
      </c>
      <c r="AK205" s="2162">
        <f>IF(ISERROR(Q148),"0", IF(Q148=0, "0", IF(Q148&gt;'Calculs Péremption FA'!$CB28, 'Calculs Péremption FA'!$CB28, Q148)))</f>
        <v>3.8465753424657123</v>
      </c>
      <c r="AL205" s="2163" t="str">
        <f>IF(ISERROR(AC205),"0", IF(AC205=0, "0", IF(AC205&gt;'Saisie données stocks'!$N$14, 'Saisie données stocks'!$N$14, AC205)))</f>
        <v>0</v>
      </c>
      <c r="AM205" s="2165" t="str">
        <f>IF(ISERROR(Q205),AA205,IF(Calculs!P283=0,AA148,(Paramétrage!$H$19+((AJ205+AK205+AL205)*(365/12)))))</f>
        <v>DLU - 1/2/2015</v>
      </c>
      <c r="AN205" s="2051"/>
      <c r="AO205" s="2161" t="str">
        <f>IF(ISERROR(AC205),"", IF(AC205=0, "", IF(AC205&gt;'Saisie données stocks'!$N$14, 'Saisie données stocks'!$N$14, AC205)))</f>
        <v/>
      </c>
      <c r="AP205" s="2162" t="str">
        <f>IF(ISERROR(AC205),"", IF(AC205=0, "", IF(AC205&gt;'Calculs Péremption conso'!$CB28, 'Calculs Péremption conso'!$CB28-Paramétrage!$D$29, AD205)))</f>
        <v/>
      </c>
      <c r="AQ205" s="2167" t="str">
        <f>IF(ISERROR(AC205),"", IF(AC205=0, "", IF(AC205&gt;'Calculs Péremption conso'!$CB28, Paramétrage!$D$29, AE205)))</f>
        <v/>
      </c>
      <c r="AR205" s="2211" t="str">
        <f t="shared" si="45"/>
        <v/>
      </c>
      <c r="AS205" s="2164" t="str">
        <f>IF(ISERROR(AC205),"", IF(AC205=0, "", IF(AC205&gt;'Calculs Péremption conso'!$CB28, 'Calculs Péremption conso'!$BX28-Paramétrage!$D$29*(365/12), AG205)))</f>
        <v/>
      </c>
      <c r="AT205" s="2165" t="str">
        <f>IF(ISERROR(AC205),"", IF(AC205=0, "", IF(AC205&gt;'Calculs Péremption conso'!$CB28, CONCATENATE('TRAD-Calculs dispo Données FA'!$B$88, " - ", 'Calculs Péremption conso'!$BY28, "/", 'Calculs Péremption conso'!$BZ28, "/", 'Calculs Péremption conso'!$CA28), AH205)))</f>
        <v/>
      </c>
      <c r="AU205" s="2051"/>
      <c r="AV205" s="2161">
        <f>(Calculs!Q283)/Calculs!L338</f>
        <v>546.5</v>
      </c>
      <c r="AW205" s="2183">
        <f>AV205-Paramétrage!D$29</f>
        <v>543.5</v>
      </c>
      <c r="AX205" s="2163">
        <f>IF(AV205&lt;Paramétrage!D$29, AV205, Paramétrage!D$29)</f>
        <v>3</v>
      </c>
      <c r="AY205" s="2164">
        <f>Paramétrage!H$19+AW205*(365/12)</f>
        <v>58450.458333333336</v>
      </c>
      <c r="AZ205" s="2165">
        <f>IF(AV205&lt;Paramétrage!D$29, Paramétrage!H$19+AX205*(365/12), Paramétrage!H$19+AV205*(365/12))</f>
        <v>58541.708333333336</v>
      </c>
      <c r="BA205" s="2051"/>
      <c r="BB205" s="2161">
        <f>IF(ISERROR(AV205),"", IF(AV205=0, "", IF(AV205&gt;'Calculs Péremption conso'!$CB28, 'Calculs Péremption conso'!$CB28, AV205)))</f>
        <v>3.8465753424657532</v>
      </c>
      <c r="BC205" s="2162">
        <f>IF(ISERROR(AV205),"", IF(AV205=0, "", IF(AV205&gt;'Calculs Péremption conso'!$CB28, 'Calculs Péremption conso'!$CB28-Paramétrage!$D$29, AW205)))</f>
        <v>0.84657534246575317</v>
      </c>
      <c r="BD205" s="2167">
        <f>IF(ISERROR(AV205),"", IF(AV205=0, "", IF(AV205&gt;'Calculs Péremption conso'!$CB28, Paramétrage!$D$29, AX205)))</f>
        <v>3</v>
      </c>
      <c r="BE205" s="2164">
        <f>IF(ISERROR(AV205),"", IF(AV205=0, "", IF(AV205&gt;'Calculs Péremption conso'!$CB28, 'Calculs Péremption conso'!$BX28-Paramétrage!$D$29*(365/12), AY205)))</f>
        <v>41944.75</v>
      </c>
      <c r="BF205" s="2165" t="str">
        <f>IF(ISERROR(AV205),"", IF(AV205=0, "", IF(AV205&gt;'Calculs Péremption conso'!$CB28, CONCATENATE('TRAD-Calculs dispo Données FA'!$B$88, " - ", 'Calculs Péremption conso'!$BY28, "/", 'Calculs Péremption conso'!$BZ28, "/", 'Calculs Péremption conso'!$CA28), AZ205)))</f>
        <v>DLU - 1/2/2015</v>
      </c>
      <c r="BG205" s="2051"/>
      <c r="BH205" s="2161">
        <f t="shared" si="46"/>
        <v>0</v>
      </c>
      <c r="BI205" s="2162">
        <f>BH205-Paramétrage!D$29</f>
        <v>-3</v>
      </c>
      <c r="BJ205" s="2163">
        <f>IF(BH205&lt;Paramétrage!D$29, BH205, Paramétrage!D$29)</f>
        <v>0</v>
      </c>
      <c r="BK205" s="2163">
        <f t="shared" si="47"/>
        <v>0</v>
      </c>
      <c r="BL205" s="2164">
        <f>Paramétrage!$H$19+BI205*30</f>
        <v>41829</v>
      </c>
      <c r="BM205" s="2165">
        <f>IF(BH205&lt;Paramétrage!$D$29, Paramétrage!$H$19+BJ205*30, Paramétrage!$H$19+BH205*30)</f>
        <v>41919</v>
      </c>
      <c r="BN205" s="2051"/>
      <c r="BO205" s="2161" t="str">
        <f>IF(ISERROR(BH205),"", IF(BH205=0, "", IF(BH205&gt;'Calculs Péremption conso'!$CB28, 'Calculs Péremption conso'!$CB28, BH205)))</f>
        <v/>
      </c>
      <c r="BP205" s="2162" t="str">
        <f>IF(ISERROR(BH205),"", IF(BH205=0, "", IF(BH205&gt;'Calculs Péremption conso'!$CB28, 'Calculs Péremption conso'!$CB28-Paramétrage!$D$29, BI205)))</f>
        <v/>
      </c>
      <c r="BQ205" s="2167" t="str">
        <f>IF(ISERROR(BH205),"", IF(BH205=0, "", IF(BH205&gt;'Calculs Péremption conso'!$CB28, Paramétrage!$D$29, BJ205)))</f>
        <v/>
      </c>
      <c r="BR205" s="2211" t="str">
        <f t="shared" si="48"/>
        <v/>
      </c>
      <c r="BS205" s="2164" t="str">
        <f>IF(ISERROR(BH205),"", IF(BH205=0, "", IF(BH205&gt;'Calculs Péremption conso'!$CB28, 'Calculs Péremption conso'!$BX28-Paramétrage!$D$29*(365/12), BL205)))</f>
        <v/>
      </c>
      <c r="BT205" s="2165" t="str">
        <f>IF(ISERROR(BH205),"", IF(BH205=0, "", IF(BH205&gt;'Calculs Péremption conso'!$CB28, CONCATENATE('TRAD-Calculs dispo Données FA'!$B$88, " - ", 'Calculs Péremption conso'!$BY28, "/", 'Calculs Péremption conso'!$BZ28, "/", 'Calculs Péremption conso'!$CA28), BM205)))</f>
        <v/>
      </c>
      <c r="BV205" s="2061">
        <f>Calculs!$Q283</f>
        <v>1093</v>
      </c>
      <c r="BW205" s="2062">
        <f>Calculs!L338</f>
        <v>2</v>
      </c>
      <c r="BX205" s="2068">
        <f>Calculs!N338</f>
        <v>0</v>
      </c>
      <c r="BY205" s="2070" t="str">
        <f>IF(AND(BX205=0, BV205=0, BW205=0), 'TRAD-Calculs dispo Données FA'!$B$82, "")</f>
        <v/>
      </c>
      <c r="BZ205" s="2062" t="str">
        <f>IF(AND(BX205=0, BV205&gt;0, BW205=0), CONCATENATE(BV205, 'TRAD-Calculs dispo Données FA'!$B$80," =0"), "")</f>
        <v/>
      </c>
      <c r="CA205" s="2063" t="str">
        <f>IF(AND(BV205=0, OR(BW205&gt;=1, BX205&gt;=1)), 'TRAD-Calculs dispo Données FA'!$B$81, "")</f>
        <v/>
      </c>
    </row>
    <row r="206" spans="3:79" s="358" customFormat="1" ht="25.5" x14ac:dyDescent="0.2">
      <c r="C206" s="374"/>
      <c r="D206" s="375"/>
      <c r="E206" s="376" t="str">
        <f>'Saisie données stocks'!F41</f>
        <v>ABC</v>
      </c>
      <c r="F206" s="377" t="str">
        <f>'Saisie données stocks'!G41</f>
        <v>Cp</v>
      </c>
      <c r="G206" s="377" t="str">
        <f>'Saisie données stocks'!H41</f>
        <v>60 mg</v>
      </c>
      <c r="H206" s="378" t="str">
        <f>CONCATENATE(E206, " - ", G206, " - ", 'TRAD-Calculs dispo Données FA'!$B$79,"/", K206)</f>
        <v>ABC - 60 mg - B/60</v>
      </c>
      <c r="I206" s="378">
        <f>Calculs!K124</f>
        <v>2</v>
      </c>
      <c r="J206" s="379">
        <f t="shared" si="36"/>
        <v>60</v>
      </c>
      <c r="K206" s="114">
        <f>Calculs!J124</f>
        <v>60</v>
      </c>
      <c r="L206" s="381">
        <f t="shared" si="37"/>
        <v>1</v>
      </c>
      <c r="M206" s="1820">
        <f>IF('Saisie données stocks'!$O$10='TRAD-Saisie données stocks'!$B$51, 'Calculs Péremption conso'!BU29, Calculs!M284)+IF('Saisie données stocks'!$M$76='TRAD-Saisie données stocks'!$B$51, Calculs!N284, "0")+Calculs!P284</f>
        <v>0</v>
      </c>
      <c r="N206" s="1820">
        <f>Calculs!$L$339</f>
        <v>0</v>
      </c>
      <c r="O206" s="1820">
        <f>Calculs!$N$339</f>
        <v>0</v>
      </c>
      <c r="P206"/>
      <c r="Q206" s="2161" t="e">
        <f>IF(Calculs!N339&gt;0, (-(Calculs!N339+2*Calculs!L339)+SQRT((Calculs!N339+2*Calculs!L339)*(Calculs!N339+2*Calculs!L339)+8*Calculs!N339*(M206)))/(2*Calculs!N339), ((M206)/Calculs!L339))</f>
        <v>#DIV/0!</v>
      </c>
      <c r="R206" s="2162" t="e">
        <f>Q206-Paramétrage!D$29</f>
        <v>#DIV/0!</v>
      </c>
      <c r="S206" s="2163" t="e">
        <f>IF(Q206&lt;Paramétrage!D$29, Q206, Paramétrage!D$29)</f>
        <v>#DIV/0!</v>
      </c>
      <c r="T206" s="2164" t="e">
        <f>Paramétrage!H$19+R206*30</f>
        <v>#DIV/0!</v>
      </c>
      <c r="U206" s="2165" t="e">
        <f>IF(Q206&lt;Paramétrage!D$29, Paramétrage!H$19+S206*30, Paramétrage!H$19+Q206*30)</f>
        <v>#DIV/0!</v>
      </c>
      <c r="V206" s="2051"/>
      <c r="W206" s="2161" t="str">
        <f t="shared" si="38"/>
        <v/>
      </c>
      <c r="X206" s="2162" t="str">
        <f t="shared" si="39"/>
        <v/>
      </c>
      <c r="Y206" s="2167" t="str">
        <f t="shared" si="40"/>
        <v/>
      </c>
      <c r="Z206" s="2164" t="str">
        <f t="shared" si="41"/>
        <v/>
      </c>
      <c r="AA206" s="2165" t="str">
        <f t="shared" si="42"/>
        <v/>
      </c>
      <c r="AB206" s="2051"/>
      <c r="AC206" s="2161" t="e">
        <f t="shared" si="43"/>
        <v>#DIV/0!</v>
      </c>
      <c r="AD206" s="2162" t="e">
        <f>AC206-Paramétrage!D$29</f>
        <v>#DIV/0!</v>
      </c>
      <c r="AE206" s="2163" t="e">
        <f>IF(AC206&lt;Paramétrage!D$29, AC206, Paramétrage!D$29)</f>
        <v>#DIV/0!</v>
      </c>
      <c r="AF206" s="2163" t="e">
        <f t="shared" si="44"/>
        <v>#DIV/0!</v>
      </c>
      <c r="AG206" s="2164" t="e">
        <f>Paramétrage!H$19+AD206*30</f>
        <v>#DIV/0!</v>
      </c>
      <c r="AH206" s="2165" t="e">
        <f>IF(AC206&lt;Paramétrage!D$29, Paramétrage!H$19+AE206*30, Paramétrage!H$19+AC206*30)</f>
        <v>#DIV/0!</v>
      </c>
      <c r="AI206" s="2165">
        <f>'Saisie données stocks'!O162</f>
        <v>0</v>
      </c>
      <c r="AJ206" s="2210" t="str">
        <f>IF(ISERROR(Q206), "0", IF('Saisie données stocks'!O162="", "0", IF(U149&gt;'Saisie données stocks'!$N$14, IF(AI206&gt;(Paramétrage!$H$19+'Saisie données stocks'!$N$14*30), (AI206-(Paramétrage!$H$19+'Saisie données stocks'!$N$14*30))/30, IF(AI206&gt;U149, (AI206-U149)/30, "0")))))</f>
        <v>0</v>
      </c>
      <c r="AK206" s="2162" t="str">
        <f>IF(ISERROR(Q149),"0", IF(Q149=0, "0", IF(Q149&gt;'Calculs Péremption FA'!$CB29, 'Calculs Péremption FA'!$CB29, Q149)))</f>
        <v>0</v>
      </c>
      <c r="AL206" s="2163" t="str">
        <f>IF(ISERROR(AC206),"0", IF(AC206=0, "0", IF(AC206&gt;'Saisie données stocks'!$N$14, 'Saisie données stocks'!$N$14, AC206)))</f>
        <v>0</v>
      </c>
      <c r="AM206" s="2165" t="str">
        <f>IF(ISERROR(Q206),AA206,IF(Calculs!P284=0,AA149,(Paramétrage!$H$19+((AJ206+AK206+AL206)*(365/12)))))</f>
        <v/>
      </c>
      <c r="AN206" s="2051"/>
      <c r="AO206" s="2161" t="str">
        <f>IF(ISERROR(AC206),"", IF(AC206=0, "", IF(AC206&gt;'Saisie données stocks'!$N$14, 'Saisie données stocks'!$N$14, AC206)))</f>
        <v/>
      </c>
      <c r="AP206" s="2162" t="str">
        <f>IF(ISERROR(AC206),"", IF(AC206=0, "", IF(AC206&gt;'Calculs Péremption conso'!$CB29, 'Calculs Péremption conso'!$CB29-Paramétrage!$D$29, AD206)))</f>
        <v/>
      </c>
      <c r="AQ206" s="2167" t="str">
        <f>IF(ISERROR(AC206),"", IF(AC206=0, "", IF(AC206&gt;'Calculs Péremption conso'!$CB29, Paramétrage!$D$29, AE206)))</f>
        <v/>
      </c>
      <c r="AR206" s="2211" t="str">
        <f t="shared" si="45"/>
        <v/>
      </c>
      <c r="AS206" s="2164" t="str">
        <f>IF(ISERROR(AC206),"", IF(AC206=0, "", IF(AC206&gt;'Calculs Péremption conso'!$CB29, 'Calculs Péremption conso'!$BX29-Paramétrage!$D$29*(365/12), AG206)))</f>
        <v/>
      </c>
      <c r="AT206" s="2165" t="str">
        <f>IF(ISERROR(AC206),"", IF(AC206=0, "", IF(AC206&gt;'Calculs Péremption conso'!$CB29, CONCATENATE('TRAD-Calculs dispo Données FA'!$B$88, " - ", 'Calculs Péremption conso'!$BY29, "/", 'Calculs Péremption conso'!$BZ29, "/", 'Calculs Péremption conso'!$CA29), AH206)))</f>
        <v/>
      </c>
      <c r="AU206" s="2051"/>
      <c r="AV206" s="2161" t="e">
        <f>(Calculs!Q284)/Calculs!L339</f>
        <v>#DIV/0!</v>
      </c>
      <c r="AW206" s="2162" t="e">
        <f>AV206-Paramétrage!D$29</f>
        <v>#DIV/0!</v>
      </c>
      <c r="AX206" s="2163" t="e">
        <f>IF(AV206&lt;Paramétrage!D$29, AV206, Paramétrage!D$29)</f>
        <v>#DIV/0!</v>
      </c>
      <c r="AY206" s="2164" t="e">
        <f>Paramétrage!H$19+AW206*(365/12)</f>
        <v>#DIV/0!</v>
      </c>
      <c r="AZ206" s="2165" t="e">
        <f>IF(AV206&lt;Paramétrage!D$29, Paramétrage!H$19+AX206*(365/12), Paramétrage!H$19+AV206*(365/12))</f>
        <v>#DIV/0!</v>
      </c>
      <c r="BA206" s="2051"/>
      <c r="BB206" s="2161" t="str">
        <f>IF(ISERROR(AV206),"", IF(AV206=0, "", IF(AV206&gt;'Calculs Péremption conso'!$CB29, 'Calculs Péremption conso'!$CB29, AV206)))</f>
        <v/>
      </c>
      <c r="BC206" s="2162" t="str">
        <f>IF(ISERROR(AV206),"", IF(AV206=0, "", IF(AV206&gt;'Calculs Péremption conso'!$CB29, 'Calculs Péremption conso'!$CB29-Paramétrage!$D$29, AW206)))</f>
        <v/>
      </c>
      <c r="BD206" s="2167" t="str">
        <f>IF(ISERROR(AV206),"", IF(AV206=0, "", IF(AV206&gt;'Calculs Péremption conso'!$CB29, Paramétrage!$D$29, AX206)))</f>
        <v/>
      </c>
      <c r="BE206" s="2164" t="str">
        <f>IF(ISERROR(AV206),"", IF(AV206=0, "", IF(AV206&gt;'Calculs Péremption conso'!$CB29, 'Calculs Péremption conso'!$BX29-Paramétrage!$D$29*(365/12), AY206)))</f>
        <v/>
      </c>
      <c r="BF206" s="2165" t="str">
        <f>IF(ISERROR(AV206),"", IF(AV206=0, "", IF(AV206&gt;'Calculs Péremption conso'!$CB29, CONCATENATE('TRAD-Calculs dispo Données FA'!$B$88, " - ", 'Calculs Péremption conso'!$BY29, "/", 'Calculs Péremption conso'!$BZ29, "/", 'Calculs Péremption conso'!$CA29), AZ206)))</f>
        <v/>
      </c>
      <c r="BG206" s="2051"/>
      <c r="BH206" s="2161" t="e">
        <f t="shared" si="46"/>
        <v>#DIV/0!</v>
      </c>
      <c r="BI206" s="2162" t="e">
        <f>BH206-Paramétrage!D$29</f>
        <v>#DIV/0!</v>
      </c>
      <c r="BJ206" s="2163" t="e">
        <f>IF(BH206&lt;Paramétrage!D$29, BH206, Paramétrage!D$29)</f>
        <v>#DIV/0!</v>
      </c>
      <c r="BK206" s="2163" t="e">
        <f t="shared" si="47"/>
        <v>#DIV/0!</v>
      </c>
      <c r="BL206" s="2164" t="e">
        <f>Paramétrage!$H$19+BI206*30</f>
        <v>#DIV/0!</v>
      </c>
      <c r="BM206" s="2165" t="e">
        <f>IF(BH206&lt;Paramétrage!$D$29, Paramétrage!$H$19+BJ206*30, Paramétrage!$H$19+BH206*30)</f>
        <v>#DIV/0!</v>
      </c>
      <c r="BN206" s="2051"/>
      <c r="BO206" s="2161" t="str">
        <f>IF(ISERROR(BH206),"", IF(BH206=0, "", IF(BH206&gt;'Calculs Péremption conso'!$CB29, 'Calculs Péremption conso'!$CB29, BH206)))</f>
        <v/>
      </c>
      <c r="BP206" s="2162" t="str">
        <f>IF(ISERROR(BH206),"", IF(BH206=0, "", IF(BH206&gt;'Calculs Péremption conso'!$CB29, 'Calculs Péremption conso'!$CB29-Paramétrage!$D$29, BI206)))</f>
        <v/>
      </c>
      <c r="BQ206" s="2167" t="str">
        <f>IF(ISERROR(BH206),"", IF(BH206=0, "", IF(BH206&gt;'Calculs Péremption conso'!$CB29, Paramétrage!$D$29, BJ206)))</f>
        <v/>
      </c>
      <c r="BR206" s="2211" t="str">
        <f t="shared" si="48"/>
        <v/>
      </c>
      <c r="BS206" s="2164" t="str">
        <f>IF(ISERROR(BH206),"", IF(BH206=0, "", IF(BH206&gt;'Calculs Péremption conso'!$CB29, 'Calculs Péremption conso'!$BX29-Paramétrage!$D$29*(365/12), BL206)))</f>
        <v/>
      </c>
      <c r="BT206" s="2165" t="str">
        <f>IF(ISERROR(BH206),"", IF(BH206=0, "", IF(BH206&gt;'Calculs Péremption conso'!$CB29, CONCATENATE('TRAD-Calculs dispo Données FA'!$B$88, " - ", 'Calculs Péremption conso'!$BY29, "/", 'Calculs Péremption conso'!$BZ29, "/", 'Calculs Péremption conso'!$CA29), BM206)))</f>
        <v/>
      </c>
      <c r="BV206" s="2061">
        <f>Calculs!$Q284</f>
        <v>0</v>
      </c>
      <c r="BW206" s="2062">
        <f>Calculs!L339</f>
        <v>0</v>
      </c>
      <c r="BX206" s="2068">
        <f>Calculs!N339</f>
        <v>0</v>
      </c>
      <c r="BY206" s="2070" t="str">
        <f>IF(AND(BX206=0, BV206=0, BW206=0), 'TRAD-Calculs dispo Données FA'!$B$82, "")</f>
        <v>Stock et besoin nul</v>
      </c>
      <c r="BZ206" s="2062" t="str">
        <f>IF(AND(BX206=0, BV206&gt;0, BW206=0), CONCATENATE(BV206, 'TRAD-Calculs dispo Données FA'!$B$80," =0"), "")</f>
        <v/>
      </c>
      <c r="CA206" s="2063" t="str">
        <f>IF(AND(BV206=0, OR(BW206&gt;=1, BX206&gt;=1)), 'TRAD-Calculs dispo Données FA'!$B$81, "")</f>
        <v/>
      </c>
    </row>
    <row r="207" spans="3:79" s="358" customFormat="1" ht="25.5" x14ac:dyDescent="0.2">
      <c r="C207" s="374"/>
      <c r="D207" s="375"/>
      <c r="E207" s="376" t="str">
        <f>'Saisie données stocks'!F42</f>
        <v>AZT</v>
      </c>
      <c r="F207" s="377" t="str">
        <f>'Saisie données stocks'!G42</f>
        <v>Cp</v>
      </c>
      <c r="G207" s="1208" t="str">
        <f>'Saisie données stocks'!H42</f>
        <v>300 mg</v>
      </c>
      <c r="H207" s="378" t="str">
        <f>CONCATENATE(E207, " - ", G207, " - ", 'TRAD-Calculs dispo Données FA'!$B$79,"/", K207)</f>
        <v>AZT - 300 mg - B/60</v>
      </c>
      <c r="I207" s="378">
        <f>Calculs!K125</f>
        <v>2</v>
      </c>
      <c r="J207" s="379">
        <f t="shared" si="36"/>
        <v>60</v>
      </c>
      <c r="K207" s="114">
        <f>Calculs!J125</f>
        <v>60</v>
      </c>
      <c r="L207" s="381">
        <f t="shared" si="37"/>
        <v>1</v>
      </c>
      <c r="M207" s="1820">
        <f>IF('Saisie données stocks'!$O$10='TRAD-Saisie données stocks'!$B$51, 'Calculs Péremption conso'!BU30, Calculs!M285)+IF('Saisie données stocks'!$M$76='TRAD-Saisie données stocks'!$B$51, Calculs!N285, "0")+Calculs!P285</f>
        <v>0</v>
      </c>
      <c r="N207" s="1820">
        <f>Calculs!$L$340</f>
        <v>0</v>
      </c>
      <c r="O207" s="1820">
        <f>Calculs!$N$340</f>
        <v>0</v>
      </c>
      <c r="P207"/>
      <c r="Q207" s="2161" t="e">
        <f>IF(Calculs!N340&gt;0, (-(Calculs!N340+2*Calculs!L340)+SQRT((Calculs!N340+2*Calculs!L340)*(Calculs!N340+2*Calculs!L340)+8*Calculs!N340*(M207)))/(2*Calculs!N340), ((M207)/Calculs!L340))</f>
        <v>#DIV/0!</v>
      </c>
      <c r="R207" s="2162" t="e">
        <f>Q207-Paramétrage!D$29</f>
        <v>#DIV/0!</v>
      </c>
      <c r="S207" s="2163" t="e">
        <f>IF(Q207&lt;Paramétrage!D$29, Q207, Paramétrage!D$29)</f>
        <v>#DIV/0!</v>
      </c>
      <c r="T207" s="2164" t="e">
        <f>Paramétrage!H$19+R207*30</f>
        <v>#DIV/0!</v>
      </c>
      <c r="U207" s="2165" t="e">
        <f>IF(Q207&lt;Paramétrage!D$29, Paramétrage!H$19+S207*30, Paramétrage!H$19+Q207*30)</f>
        <v>#DIV/0!</v>
      </c>
      <c r="V207" s="2051"/>
      <c r="W207" s="2161" t="str">
        <f t="shared" si="38"/>
        <v/>
      </c>
      <c r="X207" s="2162" t="str">
        <f t="shared" si="39"/>
        <v/>
      </c>
      <c r="Y207" s="2167" t="str">
        <f t="shared" si="40"/>
        <v/>
      </c>
      <c r="Z207" s="2164" t="str">
        <f t="shared" si="41"/>
        <v/>
      </c>
      <c r="AA207" s="2165" t="str">
        <f t="shared" si="42"/>
        <v/>
      </c>
      <c r="AB207" s="2051"/>
      <c r="AC207" s="2161" t="e">
        <f t="shared" si="43"/>
        <v>#DIV/0!</v>
      </c>
      <c r="AD207" s="2162" t="e">
        <f>AC207-Paramétrage!D$29</f>
        <v>#DIV/0!</v>
      </c>
      <c r="AE207" s="2163" t="e">
        <f>IF(AC207&lt;Paramétrage!D$29, AC207, Paramétrage!D$29)</f>
        <v>#DIV/0!</v>
      </c>
      <c r="AF207" s="2163" t="e">
        <f t="shared" si="44"/>
        <v>#DIV/0!</v>
      </c>
      <c r="AG207" s="2164" t="e">
        <f>Paramétrage!H$19+AD207*30</f>
        <v>#DIV/0!</v>
      </c>
      <c r="AH207" s="2165" t="e">
        <f>IF(AC207&lt;Paramétrage!D$29, Paramétrage!H$19+AE207*30, Paramétrage!H$19+AC207*30)</f>
        <v>#DIV/0!</v>
      </c>
      <c r="AI207" s="2165">
        <f>'Saisie données stocks'!O163</f>
        <v>0</v>
      </c>
      <c r="AJ207" s="2210" t="str">
        <f>IF(ISERROR(Q207), "0", IF('Saisie données stocks'!O163="", "0", IF(U150&gt;'Saisie données stocks'!$N$14, IF(AI207&gt;(Paramétrage!$H$19+'Saisie données stocks'!$N$14*30), (AI207-(Paramétrage!$H$19+'Saisie données stocks'!$N$14*30))/30, IF(AI207&gt;U150, (AI207-U150)/30, "0")))))</f>
        <v>0</v>
      </c>
      <c r="AK207" s="2162" t="str">
        <f>IF(ISERROR(Q150),"0", IF(Q150=0, "0", IF(Q150&gt;'Calculs Péremption FA'!$CB30, 'Calculs Péremption FA'!$CB30, Q150)))</f>
        <v>0</v>
      </c>
      <c r="AL207" s="2163" t="str">
        <f>IF(ISERROR(AC207),"0", IF(AC207=0, "0", IF(AC207&gt;'Saisie données stocks'!$N$14, 'Saisie données stocks'!$N$14, AC207)))</f>
        <v>0</v>
      </c>
      <c r="AM207" s="2165" t="str">
        <f>IF(ISERROR(Q207),AA207,IF(Calculs!P285=0,AA150,(Paramétrage!$H$19+((AJ207+AK207+AL207)*(365/12)))))</f>
        <v/>
      </c>
      <c r="AN207" s="2051"/>
      <c r="AO207" s="2161" t="str">
        <f>IF(ISERROR(AC207),"", IF(AC207=0, "", IF(AC207&gt;'Saisie données stocks'!$N$14, 'Saisie données stocks'!$N$14, AC207)))</f>
        <v/>
      </c>
      <c r="AP207" s="2162" t="str">
        <f>IF(ISERROR(AC207),"", IF(AC207=0, "", IF(AC207&gt;'Calculs Péremption conso'!$CB30, 'Calculs Péremption conso'!$CB30-Paramétrage!$D$29, AD207)))</f>
        <v/>
      </c>
      <c r="AQ207" s="2167" t="str">
        <f>IF(ISERROR(AC207),"", IF(AC207=0, "", IF(AC207&gt;'Calculs Péremption conso'!$CB30, Paramétrage!$D$29, AE207)))</f>
        <v/>
      </c>
      <c r="AR207" s="2211" t="str">
        <f t="shared" si="45"/>
        <v/>
      </c>
      <c r="AS207" s="2164" t="str">
        <f>IF(ISERROR(AC207),"", IF(AC207=0, "", IF(AC207&gt;'Calculs Péremption conso'!$CB30, 'Calculs Péremption conso'!$BX30-Paramétrage!$D$29*(365/12), AG207)))</f>
        <v/>
      </c>
      <c r="AT207" s="2165" t="str">
        <f>IF(ISERROR(AC207),"", IF(AC207=0, "", IF(AC207&gt;'Calculs Péremption conso'!$CB30, CONCATENATE('TRAD-Calculs dispo Données FA'!$B$88, " - ", 'Calculs Péremption conso'!$BY30, "/", 'Calculs Péremption conso'!$BZ30, "/", 'Calculs Péremption conso'!$CA30), AH207)))</f>
        <v/>
      </c>
      <c r="AU207" s="2051"/>
      <c r="AV207" s="2161" t="e">
        <f>(Calculs!Q285)/Calculs!L340</f>
        <v>#DIV/0!</v>
      </c>
      <c r="AW207" s="2162" t="e">
        <f>AV207-Paramétrage!D$29</f>
        <v>#DIV/0!</v>
      </c>
      <c r="AX207" s="2163" t="e">
        <f>IF(AV207&lt;Paramétrage!D$29, AV207, Paramétrage!D$29)</f>
        <v>#DIV/0!</v>
      </c>
      <c r="AY207" s="2164" t="e">
        <f>Paramétrage!H$19+AW207*(365/12)</f>
        <v>#DIV/0!</v>
      </c>
      <c r="AZ207" s="2165" t="e">
        <f>IF(AV207&lt;Paramétrage!D$29, Paramétrage!H$19+AX207*(365/12), Paramétrage!H$19+AV207*(365/12))</f>
        <v>#DIV/0!</v>
      </c>
      <c r="BA207" s="2051"/>
      <c r="BB207" s="2161" t="str">
        <f>IF(ISERROR(AV207),"", IF(AV207=0, "", IF(AV207&gt;'Calculs Péremption conso'!$CB30, 'Calculs Péremption conso'!$CB30, AV207)))</f>
        <v/>
      </c>
      <c r="BC207" s="2162" t="str">
        <f>IF(ISERROR(AV207),"", IF(AV207=0, "", IF(AV207&gt;'Calculs Péremption conso'!$CB30, 'Calculs Péremption conso'!$CB30-Paramétrage!$D$29, AW207)))</f>
        <v/>
      </c>
      <c r="BD207" s="2167" t="str">
        <f>IF(ISERROR(AV207),"", IF(AV207=0, "", IF(AV207&gt;'Calculs Péremption conso'!$CB30, Paramétrage!$D$29, AX207)))</f>
        <v/>
      </c>
      <c r="BE207" s="2164" t="str">
        <f>IF(ISERROR(AV207),"", IF(AV207=0, "", IF(AV207&gt;'Calculs Péremption conso'!$CB30, 'Calculs Péremption conso'!$BX30-Paramétrage!$D$29*(365/12), AY207)))</f>
        <v/>
      </c>
      <c r="BF207" s="2165" t="str">
        <f>IF(ISERROR(AV207),"", IF(AV207=0, "", IF(AV207&gt;'Calculs Péremption conso'!$CB30, CONCATENATE('TRAD-Calculs dispo Données FA'!$B$88, " - ", 'Calculs Péremption conso'!$BY30, "/", 'Calculs Péremption conso'!$BZ30, "/", 'Calculs Péremption conso'!$CA30), AZ207)))</f>
        <v/>
      </c>
      <c r="BG207" s="2051"/>
      <c r="BH207" s="2161" t="e">
        <f t="shared" si="46"/>
        <v>#DIV/0!</v>
      </c>
      <c r="BI207" s="2162" t="e">
        <f>BH207-Paramétrage!D$29</f>
        <v>#DIV/0!</v>
      </c>
      <c r="BJ207" s="2163" t="e">
        <f>IF(BH207&lt;Paramétrage!D$29, BH207, Paramétrage!D$29)</f>
        <v>#DIV/0!</v>
      </c>
      <c r="BK207" s="2163" t="e">
        <f t="shared" si="47"/>
        <v>#DIV/0!</v>
      </c>
      <c r="BL207" s="2164" t="e">
        <f>Paramétrage!$H$19+BI207*30</f>
        <v>#DIV/0!</v>
      </c>
      <c r="BM207" s="2165" t="e">
        <f>IF(BH207&lt;Paramétrage!$D$29, Paramétrage!$H$19+BJ207*30, Paramétrage!$H$19+BH207*30)</f>
        <v>#DIV/0!</v>
      </c>
      <c r="BN207" s="2051"/>
      <c r="BO207" s="2161" t="str">
        <f>IF(ISERROR(BH207),"", IF(BH207=0, "", IF(BH207&gt;'Calculs Péremption conso'!$CB30, 'Calculs Péremption conso'!$CB30, BH207)))</f>
        <v/>
      </c>
      <c r="BP207" s="2162" t="str">
        <f>IF(ISERROR(BH207),"", IF(BH207=0, "", IF(BH207&gt;'Calculs Péremption conso'!$CB30, 'Calculs Péremption conso'!$CB30-Paramétrage!$D$29, BI207)))</f>
        <v/>
      </c>
      <c r="BQ207" s="2167" t="str">
        <f>IF(ISERROR(BH207),"", IF(BH207=0, "", IF(BH207&gt;'Calculs Péremption conso'!$CB30, Paramétrage!$D$29, BJ207)))</f>
        <v/>
      </c>
      <c r="BR207" s="2211" t="str">
        <f t="shared" si="48"/>
        <v/>
      </c>
      <c r="BS207" s="2164" t="str">
        <f>IF(ISERROR(BH207),"", IF(BH207=0, "", IF(BH207&gt;'Calculs Péremption conso'!$CB30, 'Calculs Péremption conso'!$BX30-Paramétrage!$D$29*(365/12), BL207)))</f>
        <v/>
      </c>
      <c r="BT207" s="2165" t="str">
        <f>IF(ISERROR(BH207),"", IF(BH207=0, "", IF(BH207&gt;'Calculs Péremption conso'!$CB30, CONCATENATE('TRAD-Calculs dispo Données FA'!$B$88, " - ", 'Calculs Péremption conso'!$BY30, "/", 'Calculs Péremption conso'!$BZ30, "/", 'Calculs Péremption conso'!$CA30), BM207)))</f>
        <v/>
      </c>
      <c r="BV207" s="2061">
        <f>Calculs!$Q285</f>
        <v>0</v>
      </c>
      <c r="BW207" s="2062">
        <f>Calculs!L340</f>
        <v>0</v>
      </c>
      <c r="BX207" s="2068">
        <f>Calculs!N340</f>
        <v>0</v>
      </c>
      <c r="BY207" s="2070" t="str">
        <f>IF(AND(BX207=0, BV207=0, BW207=0), 'TRAD-Calculs dispo Données FA'!$B$82, "")</f>
        <v>Stock et besoin nul</v>
      </c>
      <c r="BZ207" s="2062" t="str">
        <f>IF(AND(BX207=0, BV207&gt;0, BW207=0), CONCATENATE(BV207, 'TRAD-Calculs dispo Données FA'!$B$80," =0"), "")</f>
        <v/>
      </c>
      <c r="CA207" s="2063" t="str">
        <f>IF(AND(BV207=0, OR(BW207&gt;=1, BX207&gt;=1)), 'TRAD-Calculs dispo Données FA'!$B$81, "")</f>
        <v/>
      </c>
    </row>
    <row r="208" spans="3:79" s="358" customFormat="1" ht="25.5" x14ac:dyDescent="0.2">
      <c r="C208" s="374"/>
      <c r="D208" s="375"/>
      <c r="E208" s="376" t="str">
        <f>'Saisie données stocks'!F43</f>
        <v>AZT</v>
      </c>
      <c r="F208" s="377" t="str">
        <f>'Saisie données stocks'!G43</f>
        <v>Cp</v>
      </c>
      <c r="G208" s="1208" t="str">
        <f>'Saisie données stocks'!H43</f>
        <v>100 mg</v>
      </c>
      <c r="H208" s="378" t="str">
        <f>CONCATENATE(E208, " - ", G208, " - ", 'TRAD-Calculs dispo Données FA'!$B$79,"/", K208)</f>
        <v>AZT - 100 mg - B/100</v>
      </c>
      <c r="I208" s="378">
        <f>Calculs!K126</f>
        <v>0</v>
      </c>
      <c r="J208" s="379">
        <f t="shared" si="36"/>
        <v>0</v>
      </c>
      <c r="K208" s="114">
        <f>Calculs!J126</f>
        <v>100</v>
      </c>
      <c r="L208" s="381">
        <f t="shared" si="37"/>
        <v>0</v>
      </c>
      <c r="M208" s="1820">
        <f>IF('Saisie données stocks'!$O$10='TRAD-Saisie données stocks'!$B$51, 'Calculs Péremption conso'!BU31, Calculs!M286)+IF('Saisie données stocks'!$M$76='TRAD-Saisie données stocks'!$B$51, Calculs!N286, "0")+Calculs!P286</f>
        <v>0</v>
      </c>
      <c r="N208" s="1820">
        <f>Calculs!$L$341</f>
        <v>0</v>
      </c>
      <c r="O208" s="1820">
        <f>Calculs!$N$341</f>
        <v>0</v>
      </c>
      <c r="P208"/>
      <c r="Q208" s="2161" t="e">
        <f>IF(Calculs!N341&gt;0, (-(Calculs!N341+2*Calculs!L341)+SQRT((Calculs!N341+2*Calculs!L341)*(Calculs!N341+2*Calculs!L341)+8*Calculs!N341*(M208)))/(2*Calculs!N341), ((M208)/Calculs!L341))</f>
        <v>#DIV/0!</v>
      </c>
      <c r="R208" s="2162" t="e">
        <f>Q208-Paramétrage!D$29</f>
        <v>#DIV/0!</v>
      </c>
      <c r="S208" s="2163" t="e">
        <f>IF(Q208&lt;Paramétrage!D$29, Q208, Paramétrage!D$29)</f>
        <v>#DIV/0!</v>
      </c>
      <c r="T208" s="2164" t="e">
        <f>Paramétrage!H$19+R208*30</f>
        <v>#DIV/0!</v>
      </c>
      <c r="U208" s="2165" t="e">
        <f>IF(Q208&lt;Paramétrage!D$29, Paramétrage!H$19+S208*30, Paramétrage!H$19+Q208*30)</f>
        <v>#DIV/0!</v>
      </c>
      <c r="V208" s="2051"/>
      <c r="W208" s="2161" t="str">
        <f t="shared" si="38"/>
        <v/>
      </c>
      <c r="X208" s="2162" t="str">
        <f t="shared" si="39"/>
        <v/>
      </c>
      <c r="Y208" s="2167" t="str">
        <f t="shared" si="40"/>
        <v/>
      </c>
      <c r="Z208" s="2164" t="str">
        <f t="shared" si="41"/>
        <v/>
      </c>
      <c r="AA208" s="2165" t="str">
        <f t="shared" si="42"/>
        <v/>
      </c>
      <c r="AB208" s="2051"/>
      <c r="AC208" s="2161" t="e">
        <f t="shared" si="43"/>
        <v>#DIV/0!</v>
      </c>
      <c r="AD208" s="2162" t="e">
        <f>AC208-Paramétrage!D$29</f>
        <v>#DIV/0!</v>
      </c>
      <c r="AE208" s="2163" t="e">
        <f>IF(AC208&lt;Paramétrage!D$29, AC208, Paramétrage!D$29)</f>
        <v>#DIV/0!</v>
      </c>
      <c r="AF208" s="2163" t="e">
        <f t="shared" si="44"/>
        <v>#DIV/0!</v>
      </c>
      <c r="AG208" s="2164" t="e">
        <f>Paramétrage!H$19+AD208*30</f>
        <v>#DIV/0!</v>
      </c>
      <c r="AH208" s="2165" t="e">
        <f>IF(AC208&lt;Paramétrage!D$29, Paramétrage!H$19+AE208*30, Paramétrage!H$19+AC208*30)</f>
        <v>#DIV/0!</v>
      </c>
      <c r="AI208" s="2165">
        <f>'Saisie données stocks'!O164</f>
        <v>0</v>
      </c>
      <c r="AJ208" s="2210" t="str">
        <f>IF(ISERROR(Q208), "0", IF('Saisie données stocks'!O164="", "0", IF(U151&gt;'Saisie données stocks'!$N$14, IF(AI208&gt;(Paramétrage!$H$19+'Saisie données stocks'!$N$14*30), (AI208-(Paramétrage!$H$19+'Saisie données stocks'!$N$14*30))/30, IF(AI208&gt;U151, (AI208-U151)/30, "0")))))</f>
        <v>0</v>
      </c>
      <c r="AK208" s="2162" t="str">
        <f>IF(ISERROR(Q151),"0", IF(Q151=0, "0", IF(Q151&gt;'Calculs Péremption FA'!$CB31, 'Calculs Péremption FA'!$CB31, Q151)))</f>
        <v>0</v>
      </c>
      <c r="AL208" s="2163" t="str">
        <f>IF(ISERROR(AC208),"0", IF(AC208=0, "0", IF(AC208&gt;'Saisie données stocks'!$N$14, 'Saisie données stocks'!$N$14, AC208)))</f>
        <v>0</v>
      </c>
      <c r="AM208" s="2165" t="str">
        <f>IF(ISERROR(Q208),AA208,IF(Calculs!P286=0,AA151,(Paramétrage!$H$19+((AJ208+AK208+AL208)*(365/12)))))</f>
        <v/>
      </c>
      <c r="AN208" s="2051"/>
      <c r="AO208" s="2161" t="str">
        <f>IF(ISERROR(AC208),"", IF(AC208=0, "", IF(AC208&gt;'Saisie données stocks'!$N$14, 'Saisie données stocks'!$N$14, AC208)))</f>
        <v/>
      </c>
      <c r="AP208" s="2162" t="str">
        <f>IF(ISERROR(AC208),"", IF(AC208=0, "", IF(AC208&gt;'Calculs Péremption conso'!$CB31, 'Calculs Péremption conso'!$CB31-Paramétrage!$D$29, AD208)))</f>
        <v/>
      </c>
      <c r="AQ208" s="2167" t="str">
        <f>IF(ISERROR(AC208),"", IF(AC208=0, "", IF(AC208&gt;'Calculs Péremption conso'!$CB31, Paramétrage!$D$29, AE208)))</f>
        <v/>
      </c>
      <c r="AR208" s="2211" t="str">
        <f t="shared" si="45"/>
        <v/>
      </c>
      <c r="AS208" s="2164" t="str">
        <f>IF(ISERROR(AC208),"", IF(AC208=0, "", IF(AC208&gt;'Calculs Péremption conso'!$CB31, 'Calculs Péremption conso'!$BX31-Paramétrage!$D$29*(365/12), AG208)))</f>
        <v/>
      </c>
      <c r="AT208" s="2165" t="str">
        <f>IF(ISERROR(AC208),"", IF(AC208=0, "", IF(AC208&gt;'Calculs Péremption conso'!$CB31, CONCATENATE('TRAD-Calculs dispo Données FA'!$B$88, " - ", 'Calculs Péremption conso'!$BY31, "/", 'Calculs Péremption conso'!$BZ31, "/", 'Calculs Péremption conso'!$CA31), AH208)))</f>
        <v/>
      </c>
      <c r="AU208" s="2051"/>
      <c r="AV208" s="2161" t="e">
        <f>(Calculs!Q286)/Calculs!L341</f>
        <v>#DIV/0!</v>
      </c>
      <c r="AW208" s="2162" t="e">
        <f>AV208-Paramétrage!D$29</f>
        <v>#DIV/0!</v>
      </c>
      <c r="AX208" s="2163" t="e">
        <f>IF(AV208&lt;Paramétrage!D$29, AV208, Paramétrage!D$29)</f>
        <v>#DIV/0!</v>
      </c>
      <c r="AY208" s="2164" t="e">
        <f>Paramétrage!H$19+AW208*(365/12)</f>
        <v>#DIV/0!</v>
      </c>
      <c r="AZ208" s="2165" t="e">
        <f>IF(AV208&lt;Paramétrage!D$29, Paramétrage!H$19+AX208*(365/12), Paramétrage!H$19+AV208*(365/12))</f>
        <v>#DIV/0!</v>
      </c>
      <c r="BA208" s="2051"/>
      <c r="BB208" s="2161" t="str">
        <f>IF(ISERROR(AV208),"", IF(AV208=0, "", IF(AV208&gt;'Calculs Péremption conso'!$CB31, 'Calculs Péremption conso'!$CB31, AV208)))</f>
        <v/>
      </c>
      <c r="BC208" s="2162" t="str">
        <f>IF(ISERROR(AV208),"", IF(AV208=0, "", IF(AV208&gt;'Calculs Péremption conso'!$CB31, 'Calculs Péremption conso'!$CB31-Paramétrage!$D$29, AW208)))</f>
        <v/>
      </c>
      <c r="BD208" s="2167" t="str">
        <f>IF(ISERROR(AV208),"", IF(AV208=0, "", IF(AV208&gt;'Calculs Péremption conso'!$CB31, Paramétrage!$D$29, AX208)))</f>
        <v/>
      </c>
      <c r="BE208" s="2164" t="str">
        <f>IF(ISERROR(AV208),"", IF(AV208=0, "", IF(AV208&gt;'Calculs Péremption conso'!$CB31, 'Calculs Péremption conso'!$BX31-Paramétrage!$D$29*(365/12), AY208)))</f>
        <v/>
      </c>
      <c r="BF208" s="2165" t="str">
        <f>IF(ISERROR(AV208),"", IF(AV208=0, "", IF(AV208&gt;'Calculs Péremption conso'!$CB31, CONCATENATE('TRAD-Calculs dispo Données FA'!$B$88, " - ", 'Calculs Péremption conso'!$BY31, "/", 'Calculs Péremption conso'!$BZ31, "/", 'Calculs Péremption conso'!$CA31), AZ208)))</f>
        <v/>
      </c>
      <c r="BG208" s="2051"/>
      <c r="BH208" s="2161" t="e">
        <f t="shared" si="46"/>
        <v>#DIV/0!</v>
      </c>
      <c r="BI208" s="2162" t="e">
        <f>BH208-Paramétrage!D$29</f>
        <v>#DIV/0!</v>
      </c>
      <c r="BJ208" s="2163" t="e">
        <f>IF(BH208&lt;Paramétrage!D$29, BH208, Paramétrage!D$29)</f>
        <v>#DIV/0!</v>
      </c>
      <c r="BK208" s="2163" t="e">
        <f t="shared" si="47"/>
        <v>#DIV/0!</v>
      </c>
      <c r="BL208" s="2164" t="e">
        <f>Paramétrage!$H$19+BI208*30</f>
        <v>#DIV/0!</v>
      </c>
      <c r="BM208" s="2165" t="e">
        <f>IF(BH208&lt;Paramétrage!$D$29, Paramétrage!$H$19+BJ208*30, Paramétrage!$H$19+BH208*30)</f>
        <v>#DIV/0!</v>
      </c>
      <c r="BN208" s="2051"/>
      <c r="BO208" s="2161" t="str">
        <f>IF(ISERROR(BH208),"", IF(BH208=0, "", IF(BH208&gt;'Calculs Péremption conso'!$CB31, 'Calculs Péremption conso'!$CB31, BH208)))</f>
        <v/>
      </c>
      <c r="BP208" s="2162" t="str">
        <f>IF(ISERROR(BH208),"", IF(BH208=0, "", IF(BH208&gt;'Calculs Péremption conso'!$CB31, 'Calculs Péremption conso'!$CB31-Paramétrage!$D$29, BI208)))</f>
        <v/>
      </c>
      <c r="BQ208" s="2167" t="str">
        <f>IF(ISERROR(BH208),"", IF(BH208=0, "", IF(BH208&gt;'Calculs Péremption conso'!$CB31, Paramétrage!$D$29, BJ208)))</f>
        <v/>
      </c>
      <c r="BR208" s="2211" t="str">
        <f t="shared" si="48"/>
        <v/>
      </c>
      <c r="BS208" s="2164" t="str">
        <f>IF(ISERROR(BH208),"", IF(BH208=0, "", IF(BH208&gt;'Calculs Péremption conso'!$CB31, 'Calculs Péremption conso'!$BX31-Paramétrage!$D$29*(365/12), BL208)))</f>
        <v/>
      </c>
      <c r="BT208" s="2165" t="str">
        <f>IF(ISERROR(BH208),"", IF(BH208=0, "", IF(BH208&gt;'Calculs Péremption conso'!$CB31, CONCATENATE('TRAD-Calculs dispo Données FA'!$B$88, " - ", 'Calculs Péremption conso'!$BY31, "/", 'Calculs Péremption conso'!$BZ31, "/", 'Calculs Péremption conso'!$CA31), BM208)))</f>
        <v/>
      </c>
      <c r="BV208" s="2061">
        <f>Calculs!$Q286</f>
        <v>0</v>
      </c>
      <c r="BW208" s="2062">
        <f>Calculs!L341</f>
        <v>0</v>
      </c>
      <c r="BX208" s="2068">
        <f>Calculs!N341</f>
        <v>0</v>
      </c>
      <c r="BY208" s="2070" t="str">
        <f>IF(AND(BX208=0, BV208=0, BW208=0), 'TRAD-Calculs dispo Données FA'!$B$82, "")</f>
        <v>Stock et besoin nul</v>
      </c>
      <c r="BZ208" s="2062" t="str">
        <f>IF(AND(BX208=0, BV208&gt;0, BW208=0), CONCATENATE(BV208, 'TRAD-Calculs dispo Données FA'!$B$80," =0"), "")</f>
        <v/>
      </c>
      <c r="CA208" s="2063" t="str">
        <f>IF(AND(BV208=0, OR(BW208&gt;=1, BX208&gt;=1)), 'TRAD-Calculs dispo Données FA'!$B$81, "")</f>
        <v/>
      </c>
    </row>
    <row r="209" spans="3:79" s="358" customFormat="1" ht="25.5" x14ac:dyDescent="0.2">
      <c r="C209" s="374"/>
      <c r="D209" s="375"/>
      <c r="E209" s="376" t="str">
        <f>'Saisie données stocks'!F44</f>
        <v>AZT</v>
      </c>
      <c r="F209" s="377" t="str">
        <f>'Saisie données stocks'!G44</f>
        <v>Cp</v>
      </c>
      <c r="G209" s="1208" t="str">
        <f>'Saisie données stocks'!H44</f>
        <v>60 mg</v>
      </c>
      <c r="H209" s="378" t="str">
        <f>CONCATENATE(E209, " - ", G209, " - ", 'TRAD-Calculs dispo Données FA'!$B$79,"/", K209)</f>
        <v>AZT - 60 mg - B/60</v>
      </c>
      <c r="I209" s="378">
        <f>Calculs!K127</f>
        <v>2</v>
      </c>
      <c r="J209" s="379">
        <f t="shared" si="36"/>
        <v>60</v>
      </c>
      <c r="K209" s="114">
        <f>Calculs!J127</f>
        <v>60</v>
      </c>
      <c r="L209" s="381">
        <f t="shared" si="37"/>
        <v>1</v>
      </c>
      <c r="M209" s="1820">
        <f>IF('Saisie données stocks'!$O$10='TRAD-Saisie données stocks'!$B$51, 'Calculs Péremption conso'!BU32, Calculs!M287)+IF('Saisie données stocks'!$M$76='TRAD-Saisie données stocks'!$B$51, Calculs!N287, "0")+Calculs!P287</f>
        <v>0</v>
      </c>
      <c r="N209" s="1820">
        <f>Calculs!$L$342</f>
        <v>0</v>
      </c>
      <c r="O209" s="1820">
        <f>Calculs!$N$342</f>
        <v>0</v>
      </c>
      <c r="P209"/>
      <c r="Q209" s="2161" t="e">
        <f>IF(Calculs!N342&gt;0, (-(Calculs!N342+2*Calculs!L342)+SQRT((Calculs!N342+2*Calculs!L342)*(Calculs!N342+2*Calculs!L342)+8*Calculs!N342*(M209)))/(2*Calculs!N342), ((M209)/Calculs!L342))</f>
        <v>#DIV/0!</v>
      </c>
      <c r="R209" s="2162" t="e">
        <f>Q209-Paramétrage!D$29</f>
        <v>#DIV/0!</v>
      </c>
      <c r="S209" s="2163" t="e">
        <f>IF(Q209&lt;Paramétrage!D$29, Q209, Paramétrage!D$29)</f>
        <v>#DIV/0!</v>
      </c>
      <c r="T209" s="2164" t="e">
        <f>Paramétrage!H$19+R209*30</f>
        <v>#DIV/0!</v>
      </c>
      <c r="U209" s="2165" t="e">
        <f>IF(Q209&lt;Paramétrage!D$29, Paramétrage!H$19+S209*30, Paramétrage!H$19+Q209*30)</f>
        <v>#DIV/0!</v>
      </c>
      <c r="V209" s="2051"/>
      <c r="W209" s="2161" t="str">
        <f t="shared" si="38"/>
        <v/>
      </c>
      <c r="X209" s="2162" t="str">
        <f t="shared" si="39"/>
        <v/>
      </c>
      <c r="Y209" s="2167" t="str">
        <f t="shared" si="40"/>
        <v/>
      </c>
      <c r="Z209" s="2164" t="str">
        <f t="shared" si="41"/>
        <v/>
      </c>
      <c r="AA209" s="2165" t="str">
        <f t="shared" si="42"/>
        <v/>
      </c>
      <c r="AB209" s="2051"/>
      <c r="AC209" s="2161" t="e">
        <f t="shared" si="43"/>
        <v>#DIV/0!</v>
      </c>
      <c r="AD209" s="2162" t="e">
        <f>AC209-Paramétrage!D$29</f>
        <v>#DIV/0!</v>
      </c>
      <c r="AE209" s="2163" t="e">
        <f>IF(AC209&lt;Paramétrage!D$29, AC209, Paramétrage!D$29)</f>
        <v>#DIV/0!</v>
      </c>
      <c r="AF209" s="2163" t="e">
        <f t="shared" si="44"/>
        <v>#DIV/0!</v>
      </c>
      <c r="AG209" s="2164" t="e">
        <f>Paramétrage!H$19+AD209*30</f>
        <v>#DIV/0!</v>
      </c>
      <c r="AH209" s="2165" t="e">
        <f>IF(AC209&lt;Paramétrage!D$29, Paramétrage!H$19+AE209*30, Paramétrage!H$19+AC209*30)</f>
        <v>#DIV/0!</v>
      </c>
      <c r="AI209" s="2165">
        <f>'Saisie données stocks'!O165</f>
        <v>0</v>
      </c>
      <c r="AJ209" s="2210" t="str">
        <f>IF(ISERROR(Q209), "0", IF('Saisie données stocks'!O165="", "0", IF(U152&gt;'Saisie données stocks'!$N$14, IF(AI209&gt;(Paramétrage!$H$19+'Saisie données stocks'!$N$14*30), (AI209-(Paramétrage!$H$19+'Saisie données stocks'!$N$14*30))/30, IF(AI209&gt;U152, (AI209-U152)/30, "0")))))</f>
        <v>0</v>
      </c>
      <c r="AK209" s="2162" t="str">
        <f>IF(ISERROR(Q152),"0", IF(Q152=0, "0", IF(Q152&gt;'Calculs Péremption FA'!$CB32, 'Calculs Péremption FA'!$CB32, Q152)))</f>
        <v>0</v>
      </c>
      <c r="AL209" s="2163" t="str">
        <f>IF(ISERROR(AC209),"0", IF(AC209=0, "0", IF(AC209&gt;'Saisie données stocks'!$N$14, 'Saisie données stocks'!$N$14, AC209)))</f>
        <v>0</v>
      </c>
      <c r="AM209" s="2165" t="str">
        <f>IF(ISERROR(Q209),AA209,IF(Calculs!P287=0,AA152,(Paramétrage!$H$19+((AJ209+AK209+AL209)*(365/12)))))</f>
        <v/>
      </c>
      <c r="AN209" s="2051"/>
      <c r="AO209" s="2161" t="str">
        <f>IF(ISERROR(AC209),"", IF(AC209=0, "", IF(AC209&gt;'Saisie données stocks'!$N$14, 'Saisie données stocks'!$N$14, AC209)))</f>
        <v/>
      </c>
      <c r="AP209" s="2162" t="str">
        <f>IF(ISERROR(AC209),"", IF(AC209=0, "", IF(AC209&gt;'Calculs Péremption conso'!$CB32, 'Calculs Péremption conso'!$CB32-Paramétrage!$D$29, AD209)))</f>
        <v/>
      </c>
      <c r="AQ209" s="2167" t="str">
        <f>IF(ISERROR(AC209),"", IF(AC209=0, "", IF(AC209&gt;'Calculs Péremption conso'!$CB32, Paramétrage!$D$29, AE209)))</f>
        <v/>
      </c>
      <c r="AR209" s="2211" t="str">
        <f t="shared" si="45"/>
        <v/>
      </c>
      <c r="AS209" s="2164" t="str">
        <f>IF(ISERROR(AC209),"", IF(AC209=0, "", IF(AC209&gt;'Calculs Péremption conso'!$CB32, 'Calculs Péremption conso'!$BX32-Paramétrage!$D$29*(365/12), AG209)))</f>
        <v/>
      </c>
      <c r="AT209" s="2165" t="str">
        <f>IF(ISERROR(AC209),"", IF(AC209=0, "", IF(AC209&gt;'Calculs Péremption conso'!$CB32, CONCATENATE('TRAD-Calculs dispo Données FA'!$B$88, " - ", 'Calculs Péremption conso'!$BY32, "/", 'Calculs Péremption conso'!$BZ32, "/", 'Calculs Péremption conso'!$CA32), AH209)))</f>
        <v/>
      </c>
      <c r="AU209" s="2051"/>
      <c r="AV209" s="2161" t="e">
        <f>(Calculs!Q287)/Calculs!L342</f>
        <v>#DIV/0!</v>
      </c>
      <c r="AW209" s="2162" t="e">
        <f>AV209-Paramétrage!D$29</f>
        <v>#DIV/0!</v>
      </c>
      <c r="AX209" s="2163" t="e">
        <f>IF(AV209&lt;Paramétrage!D$29, AV209, Paramétrage!D$29)</f>
        <v>#DIV/0!</v>
      </c>
      <c r="AY209" s="2164" t="e">
        <f>Paramétrage!H$19+AW209*(365/12)</f>
        <v>#DIV/0!</v>
      </c>
      <c r="AZ209" s="2165" t="e">
        <f>IF(AV209&lt;Paramétrage!D$29, Paramétrage!H$19+AX209*(365/12), Paramétrage!H$19+AV209*(365/12))</f>
        <v>#DIV/0!</v>
      </c>
      <c r="BA209" s="2051"/>
      <c r="BB209" s="2161" t="str">
        <f>IF(ISERROR(AV209),"", IF(AV209=0, "", IF(AV209&gt;'Calculs Péremption conso'!$CB32, 'Calculs Péremption conso'!$CB32, AV209)))</f>
        <v/>
      </c>
      <c r="BC209" s="2162" t="str">
        <f>IF(ISERROR(AV209),"", IF(AV209=0, "", IF(AV209&gt;'Calculs Péremption conso'!$CB32, 'Calculs Péremption conso'!$CB32-Paramétrage!$D$29, AW209)))</f>
        <v/>
      </c>
      <c r="BD209" s="2167" t="str">
        <f>IF(ISERROR(AV209),"", IF(AV209=0, "", IF(AV209&gt;'Calculs Péremption conso'!$CB32, Paramétrage!$D$29, AX209)))</f>
        <v/>
      </c>
      <c r="BE209" s="2164" t="str">
        <f>IF(ISERROR(AV209),"", IF(AV209=0, "", IF(AV209&gt;'Calculs Péremption conso'!$CB32, 'Calculs Péremption conso'!$BX32-Paramétrage!$D$29*(365/12), AY209)))</f>
        <v/>
      </c>
      <c r="BF209" s="2165" t="str">
        <f>IF(ISERROR(AV209),"", IF(AV209=0, "", IF(AV209&gt;'Calculs Péremption conso'!$CB32, CONCATENATE('TRAD-Calculs dispo Données FA'!$B$88, " - ", 'Calculs Péremption conso'!$BY32, "/", 'Calculs Péremption conso'!$BZ32, "/", 'Calculs Péremption conso'!$CA32), AZ209)))</f>
        <v/>
      </c>
      <c r="BG209" s="2051"/>
      <c r="BH209" s="2161" t="e">
        <f t="shared" si="46"/>
        <v>#DIV/0!</v>
      </c>
      <c r="BI209" s="2162" t="e">
        <f>BH209-Paramétrage!D$29</f>
        <v>#DIV/0!</v>
      </c>
      <c r="BJ209" s="2163" t="e">
        <f>IF(BH209&lt;Paramétrage!D$29, BH209, Paramétrage!D$29)</f>
        <v>#DIV/0!</v>
      </c>
      <c r="BK209" s="2163" t="e">
        <f t="shared" si="47"/>
        <v>#DIV/0!</v>
      </c>
      <c r="BL209" s="2164" t="e">
        <f>Paramétrage!$H$19+BI209*30</f>
        <v>#DIV/0!</v>
      </c>
      <c r="BM209" s="2165" t="e">
        <f>IF(BH209&lt;Paramétrage!$D$29, Paramétrage!$H$19+BJ209*30, Paramétrage!$H$19+BH209*30)</f>
        <v>#DIV/0!</v>
      </c>
      <c r="BN209" s="2051"/>
      <c r="BO209" s="2161" t="str">
        <f>IF(ISERROR(BH209),"", IF(BH209=0, "", IF(BH209&gt;'Calculs Péremption conso'!$CB32, 'Calculs Péremption conso'!$CB32, BH209)))</f>
        <v/>
      </c>
      <c r="BP209" s="2162" t="str">
        <f>IF(ISERROR(BH209),"", IF(BH209=0, "", IF(BH209&gt;'Calculs Péremption conso'!$CB32, 'Calculs Péremption conso'!$CB32-Paramétrage!$D$29, BI209)))</f>
        <v/>
      </c>
      <c r="BQ209" s="2167" t="str">
        <f>IF(ISERROR(BH209),"", IF(BH209=0, "", IF(BH209&gt;'Calculs Péremption conso'!$CB32, Paramétrage!$D$29, BJ209)))</f>
        <v/>
      </c>
      <c r="BR209" s="2211" t="str">
        <f t="shared" si="48"/>
        <v/>
      </c>
      <c r="BS209" s="2164" t="str">
        <f>IF(ISERROR(BH209),"", IF(BH209=0, "", IF(BH209&gt;'Calculs Péremption conso'!$CB32, 'Calculs Péremption conso'!$BX32-Paramétrage!$D$29*(365/12), BL209)))</f>
        <v/>
      </c>
      <c r="BT209" s="2165" t="str">
        <f>IF(ISERROR(BH209),"", IF(BH209=0, "", IF(BH209&gt;'Calculs Péremption conso'!$CB32, CONCATENATE('TRAD-Calculs dispo Données FA'!$B$88, " - ", 'Calculs Péremption conso'!$BY32, "/", 'Calculs Péremption conso'!$BZ32, "/", 'Calculs Péremption conso'!$CA32), BM209)))</f>
        <v/>
      </c>
      <c r="BV209" s="2061">
        <f>Calculs!$Q287</f>
        <v>0</v>
      </c>
      <c r="BW209" s="2062">
        <f>Calculs!L342</f>
        <v>0</v>
      </c>
      <c r="BX209" s="2068">
        <f>Calculs!N342</f>
        <v>0</v>
      </c>
      <c r="BY209" s="2070" t="str">
        <f>IF(AND(BX209=0, BV209=0, BW209=0), 'TRAD-Calculs dispo Données FA'!$B$82, "")</f>
        <v>Stock et besoin nul</v>
      </c>
      <c r="BZ209" s="2062" t="str">
        <f>IF(AND(BX209=0, BV209&gt;0, BW209=0), CONCATENATE(BV209, 'TRAD-Calculs dispo Données FA'!$B$80," =0"), "")</f>
        <v/>
      </c>
      <c r="CA209" s="2063" t="str">
        <f>IF(AND(BV209=0, OR(BW209&gt;=1, BX209&gt;=1)), 'TRAD-Calculs dispo Données FA'!$B$81, "")</f>
        <v/>
      </c>
    </row>
    <row r="210" spans="3:79" s="358" customFormat="1" ht="25.5" x14ac:dyDescent="0.2">
      <c r="C210" s="374"/>
      <c r="D210" s="375"/>
      <c r="E210" s="376" t="str">
        <f>'Saisie données stocks'!F45</f>
        <v>D4T</v>
      </c>
      <c r="F210" s="377" t="str">
        <f>'Saisie données stocks'!G45</f>
        <v>Cp</v>
      </c>
      <c r="G210" s="1208" t="str">
        <f>'Saisie données stocks'!H45</f>
        <v>30 mg</v>
      </c>
      <c r="H210" s="378" t="str">
        <f>CONCATENATE(E210, " - ", G210, " - ", 'TRAD-Calculs dispo Données FA'!$B$79,"/", K210)</f>
        <v>D4T - 30 mg - B/60</v>
      </c>
      <c r="I210" s="378">
        <f>Calculs!K128</f>
        <v>2</v>
      </c>
      <c r="J210" s="379">
        <f t="shared" si="36"/>
        <v>60</v>
      </c>
      <c r="K210" s="114">
        <f>Calculs!J128</f>
        <v>60</v>
      </c>
      <c r="L210" s="381">
        <f t="shared" si="37"/>
        <v>1</v>
      </c>
      <c r="M210" s="1820">
        <f>IF('Saisie données stocks'!$O$10='TRAD-Saisie données stocks'!$B$51, 'Calculs Péremption conso'!BU33, Calculs!M288)+IF('Saisie données stocks'!$M$76='TRAD-Saisie données stocks'!$B$51, Calculs!N288, "0")+Calculs!P288</f>
        <v>0</v>
      </c>
      <c r="N210" s="1820">
        <f>Calculs!$L$343</f>
        <v>0</v>
      </c>
      <c r="O210" s="1820">
        <f>Calculs!$N$343</f>
        <v>0</v>
      </c>
      <c r="P210"/>
      <c r="Q210" s="2161" t="e">
        <f>IF(Calculs!N343&gt;0, (-(Calculs!N343+2*Calculs!L343)+SQRT((Calculs!N343+2*Calculs!L343)*(Calculs!N343+2*Calculs!L343)+8*Calculs!N343*(M210)))/(2*Calculs!N343), ((M210)/Calculs!L343))</f>
        <v>#DIV/0!</v>
      </c>
      <c r="R210" s="2162" t="e">
        <f>Q210-Paramétrage!D$29</f>
        <v>#DIV/0!</v>
      </c>
      <c r="S210" s="2163" t="e">
        <f>IF(Q210&lt;Paramétrage!D$29, Q210, Paramétrage!D$29)</f>
        <v>#DIV/0!</v>
      </c>
      <c r="T210" s="2164" t="e">
        <f>Paramétrage!H$19+R210*30</f>
        <v>#DIV/0!</v>
      </c>
      <c r="U210" s="2165" t="e">
        <f>IF(Q210&lt;Paramétrage!D$29, Paramétrage!H$19+S210*30, Paramétrage!H$19+Q210*30)</f>
        <v>#DIV/0!</v>
      </c>
      <c r="V210" s="2051"/>
      <c r="W210" s="2161" t="str">
        <f t="shared" si="38"/>
        <v/>
      </c>
      <c r="X210" s="2162" t="str">
        <f t="shared" si="39"/>
        <v/>
      </c>
      <c r="Y210" s="2167" t="str">
        <f t="shared" si="40"/>
        <v/>
      </c>
      <c r="Z210" s="2164" t="str">
        <f t="shared" si="41"/>
        <v/>
      </c>
      <c r="AA210" s="2165" t="str">
        <f t="shared" si="42"/>
        <v/>
      </c>
      <c r="AB210" s="2051"/>
      <c r="AC210" s="2161" t="e">
        <f t="shared" si="43"/>
        <v>#DIV/0!</v>
      </c>
      <c r="AD210" s="2162" t="e">
        <f>AC210-Paramétrage!D$29</f>
        <v>#DIV/0!</v>
      </c>
      <c r="AE210" s="2163" t="e">
        <f>IF(AC210&lt;Paramétrage!D$29, AC210, Paramétrage!D$29)</f>
        <v>#DIV/0!</v>
      </c>
      <c r="AF210" s="2163" t="e">
        <f t="shared" si="44"/>
        <v>#DIV/0!</v>
      </c>
      <c r="AG210" s="2164" t="e">
        <f>Paramétrage!H$19+AD210*30</f>
        <v>#DIV/0!</v>
      </c>
      <c r="AH210" s="2165" t="e">
        <f>IF(AC210&lt;Paramétrage!D$29, Paramétrage!H$19+AE210*30, Paramétrage!H$19+AC210*30)</f>
        <v>#DIV/0!</v>
      </c>
      <c r="AI210" s="2165">
        <f>'Saisie données stocks'!O166</f>
        <v>0</v>
      </c>
      <c r="AJ210" s="2210" t="str">
        <f>IF(ISERROR(Q210), "0", IF('Saisie données stocks'!O166="", "0", IF(U153&gt;'Saisie données stocks'!$N$14, IF(AI210&gt;(Paramétrage!$H$19+'Saisie données stocks'!$N$14*30), (AI210-(Paramétrage!$H$19+'Saisie données stocks'!$N$14*30))/30, IF(AI210&gt;U153, (AI210-U153)/30, "0")))))</f>
        <v>0</v>
      </c>
      <c r="AK210" s="2162" t="str">
        <f>IF(ISERROR(Q153),"0", IF(Q153=0, "0", IF(Q153&gt;'Calculs Péremption FA'!$CB33, 'Calculs Péremption FA'!$CB33, Q153)))</f>
        <v>0</v>
      </c>
      <c r="AL210" s="2163" t="str">
        <f>IF(ISERROR(AC210),"0", IF(AC210=0, "0", IF(AC210&gt;'Saisie données stocks'!$N$14, 'Saisie données stocks'!$N$14, AC210)))</f>
        <v>0</v>
      </c>
      <c r="AM210" s="2165" t="str">
        <f>IF(ISERROR(Q210),AA210,IF(Calculs!P288=0,AA153,(Paramétrage!$H$19+((AJ210+AK210+AL210)*(365/12)))))</f>
        <v/>
      </c>
      <c r="AN210" s="2051"/>
      <c r="AO210" s="2161" t="str">
        <f>IF(ISERROR(AC210),"", IF(AC210=0, "", IF(AC210&gt;'Saisie données stocks'!$N$14, 'Saisie données stocks'!$N$14, AC210)))</f>
        <v/>
      </c>
      <c r="AP210" s="2162" t="str">
        <f>IF(ISERROR(AC210),"", IF(AC210=0, "", IF(AC210&gt;'Calculs Péremption conso'!$CB33, 'Calculs Péremption conso'!$CB33-Paramétrage!$D$29, AD210)))</f>
        <v/>
      </c>
      <c r="AQ210" s="2167" t="str">
        <f>IF(ISERROR(AC210),"", IF(AC210=0, "", IF(AC210&gt;'Calculs Péremption conso'!$CB33, Paramétrage!$D$29, AE210)))</f>
        <v/>
      </c>
      <c r="AR210" s="2211" t="str">
        <f t="shared" si="45"/>
        <v/>
      </c>
      <c r="AS210" s="2164" t="str">
        <f>IF(ISERROR(AC210),"", IF(AC210=0, "", IF(AC210&gt;'Calculs Péremption conso'!$CB33, 'Calculs Péremption conso'!$BX33-Paramétrage!$D$29*(365/12), AG210)))</f>
        <v/>
      </c>
      <c r="AT210" s="2165" t="str">
        <f>IF(ISERROR(AC210),"", IF(AC210=0, "", IF(AC210&gt;'Calculs Péremption conso'!$CB33, CONCATENATE('TRAD-Calculs dispo Données FA'!$B$88, " - ", 'Calculs Péremption conso'!$BY33, "/", 'Calculs Péremption conso'!$BZ33, "/", 'Calculs Péremption conso'!$CA33), AH210)))</f>
        <v/>
      </c>
      <c r="AU210" s="2051"/>
      <c r="AV210" s="2161" t="e">
        <f>(Calculs!Q288)/Calculs!L343</f>
        <v>#DIV/0!</v>
      </c>
      <c r="AW210" s="2162" t="e">
        <f>AV210-Paramétrage!D$29</f>
        <v>#DIV/0!</v>
      </c>
      <c r="AX210" s="2163" t="e">
        <f>IF(AV210&lt;Paramétrage!D$29, AV210, Paramétrage!D$29)</f>
        <v>#DIV/0!</v>
      </c>
      <c r="AY210" s="2164" t="e">
        <f>Paramétrage!H$19+AW210*(365/12)</f>
        <v>#DIV/0!</v>
      </c>
      <c r="AZ210" s="2165" t="e">
        <f>IF(AV210&lt;Paramétrage!D$29, Paramétrage!H$19+AX210*(365/12), Paramétrage!H$19+AV210*(365/12))</f>
        <v>#DIV/0!</v>
      </c>
      <c r="BA210" s="2051"/>
      <c r="BB210" s="2161" t="str">
        <f>IF(ISERROR(AV210),"", IF(AV210=0, "", IF(AV210&gt;'Calculs Péremption conso'!$CB33, 'Calculs Péremption conso'!$CB33, AV210)))</f>
        <v/>
      </c>
      <c r="BC210" s="2162" t="str">
        <f>IF(ISERROR(AV210),"", IF(AV210=0, "", IF(AV210&gt;'Calculs Péremption conso'!$CB33, 'Calculs Péremption conso'!$CB33-Paramétrage!$D$29, AW210)))</f>
        <v/>
      </c>
      <c r="BD210" s="2167" t="str">
        <f>IF(ISERROR(AV210),"", IF(AV210=0, "", IF(AV210&gt;'Calculs Péremption conso'!$CB33, Paramétrage!$D$29, AX210)))</f>
        <v/>
      </c>
      <c r="BE210" s="2164" t="str">
        <f>IF(ISERROR(AV210),"", IF(AV210=0, "", IF(AV210&gt;'Calculs Péremption conso'!$CB33, 'Calculs Péremption conso'!$BX33-Paramétrage!$D$29*(365/12), AY210)))</f>
        <v/>
      </c>
      <c r="BF210" s="2165" t="str">
        <f>IF(ISERROR(AV210),"", IF(AV210=0, "", IF(AV210&gt;'Calculs Péremption conso'!$CB33, CONCATENATE('TRAD-Calculs dispo Données FA'!$B$88, " - ", 'Calculs Péremption conso'!$BY33, "/", 'Calculs Péremption conso'!$BZ33, "/", 'Calculs Péremption conso'!$CA33), AZ210)))</f>
        <v/>
      </c>
      <c r="BG210" s="2051"/>
      <c r="BH210" s="2161" t="e">
        <f t="shared" si="46"/>
        <v>#DIV/0!</v>
      </c>
      <c r="BI210" s="2162" t="e">
        <f>BH210-Paramétrage!D$29</f>
        <v>#DIV/0!</v>
      </c>
      <c r="BJ210" s="2163" t="e">
        <f>IF(BH210&lt;Paramétrage!D$29, BH210, Paramétrage!D$29)</f>
        <v>#DIV/0!</v>
      </c>
      <c r="BK210" s="2163" t="e">
        <f t="shared" si="47"/>
        <v>#DIV/0!</v>
      </c>
      <c r="BL210" s="2164" t="e">
        <f>Paramétrage!$H$19+BI210*30</f>
        <v>#DIV/0!</v>
      </c>
      <c r="BM210" s="2165" t="e">
        <f>IF(BH210&lt;Paramétrage!$D$29, Paramétrage!$H$19+BJ210*30, Paramétrage!$H$19+BH210*30)</f>
        <v>#DIV/0!</v>
      </c>
      <c r="BN210" s="2051"/>
      <c r="BO210" s="2161" t="str">
        <f>IF(ISERROR(BH210),"", IF(BH210=0, "", IF(BH210&gt;'Calculs Péremption conso'!$CB33, 'Calculs Péremption conso'!$CB33, BH210)))</f>
        <v/>
      </c>
      <c r="BP210" s="2162" t="str">
        <f>IF(ISERROR(BH210),"", IF(BH210=0, "", IF(BH210&gt;'Calculs Péremption conso'!$CB33, 'Calculs Péremption conso'!$CB33-Paramétrage!$D$29, BI210)))</f>
        <v/>
      </c>
      <c r="BQ210" s="2167" t="str">
        <f>IF(ISERROR(BH210),"", IF(BH210=0, "", IF(BH210&gt;'Calculs Péremption conso'!$CB33, Paramétrage!$D$29, BJ210)))</f>
        <v/>
      </c>
      <c r="BR210" s="2211" t="str">
        <f t="shared" si="48"/>
        <v/>
      </c>
      <c r="BS210" s="2164" t="str">
        <f>IF(ISERROR(BH210),"", IF(BH210=0, "", IF(BH210&gt;'Calculs Péremption conso'!$CB33, 'Calculs Péremption conso'!$BX33-Paramétrage!$D$29*(365/12), BL210)))</f>
        <v/>
      </c>
      <c r="BT210" s="2165" t="str">
        <f>IF(ISERROR(BH210),"", IF(BH210=0, "", IF(BH210&gt;'Calculs Péremption conso'!$CB33, CONCATENATE('TRAD-Calculs dispo Données FA'!$B$88, " - ", 'Calculs Péremption conso'!$BY33, "/", 'Calculs Péremption conso'!$BZ33, "/", 'Calculs Péremption conso'!$CA33), BM210)))</f>
        <v/>
      </c>
      <c r="BV210" s="2061">
        <f>Calculs!$Q288</f>
        <v>0</v>
      </c>
      <c r="BW210" s="2062">
        <f>Calculs!L343</f>
        <v>0</v>
      </c>
      <c r="BX210" s="2068">
        <f>Calculs!N343</f>
        <v>0</v>
      </c>
      <c r="BY210" s="2070" t="str">
        <f>IF(AND(BX210=0, BV210=0, BW210=0), 'TRAD-Calculs dispo Données FA'!$B$82, "")</f>
        <v>Stock et besoin nul</v>
      </c>
      <c r="BZ210" s="2062" t="str">
        <f>IF(AND(BX210=0, BV210&gt;0, BW210=0), CONCATENATE(BV210, 'TRAD-Calculs dispo Données FA'!$B$80," =0"), "")</f>
        <v/>
      </c>
      <c r="CA210" s="2063" t="str">
        <f>IF(AND(BV210=0, OR(BW210&gt;=1, BX210&gt;=1)), 'TRAD-Calculs dispo Données FA'!$B$81, "")</f>
        <v/>
      </c>
    </row>
    <row r="211" spans="3:79" s="358" customFormat="1" ht="25.5" x14ac:dyDescent="0.2">
      <c r="C211" s="374"/>
      <c r="D211" s="375"/>
      <c r="E211" s="376" t="str">
        <f>'Saisie données stocks'!F46</f>
        <v>3TC</v>
      </c>
      <c r="F211" s="377" t="str">
        <f>'Saisie données stocks'!G46</f>
        <v>Cp</v>
      </c>
      <c r="G211" s="1208" t="str">
        <f>'Saisie données stocks'!H46</f>
        <v>150 mg</v>
      </c>
      <c r="H211" s="378" t="str">
        <f>CONCATENATE(E211, " - ", G211, " - ", 'TRAD-Calculs dispo Données FA'!$B$79,"/", K211)</f>
        <v>3TC - 150 mg - B/60</v>
      </c>
      <c r="I211" s="378">
        <f>Calculs!K129</f>
        <v>2</v>
      </c>
      <c r="J211" s="379">
        <f t="shared" si="36"/>
        <v>60</v>
      </c>
      <c r="K211" s="114">
        <f>Calculs!J129</f>
        <v>60</v>
      </c>
      <c r="L211" s="381">
        <f t="shared" si="37"/>
        <v>1</v>
      </c>
      <c r="M211" s="1820">
        <f>IF('Saisie données stocks'!$O$10='TRAD-Saisie données stocks'!$B$51, 'Calculs Péremption conso'!BU34, Calculs!M289)+IF('Saisie données stocks'!$M$76='TRAD-Saisie données stocks'!$B$51, Calculs!N289, "0")+Calculs!P289</f>
        <v>0</v>
      </c>
      <c r="N211" s="1820">
        <f>Calculs!$L$344</f>
        <v>0</v>
      </c>
      <c r="O211" s="1820">
        <f>Calculs!$N$344</f>
        <v>0</v>
      </c>
      <c r="P211"/>
      <c r="Q211" s="2161" t="e">
        <f>IF(Calculs!N344&gt;0, (-(Calculs!N344+2*Calculs!L344)+SQRT((Calculs!N344+2*Calculs!L344)*(Calculs!N344+2*Calculs!L344)+8*Calculs!N344*(M211)))/(2*Calculs!N344), ((M211)/Calculs!L344))</f>
        <v>#DIV/0!</v>
      </c>
      <c r="R211" s="2162" t="e">
        <f>Q211-Paramétrage!D$29</f>
        <v>#DIV/0!</v>
      </c>
      <c r="S211" s="2163" t="e">
        <f>IF(Q211&lt;Paramétrage!D$29, Q211, Paramétrage!D$29)</f>
        <v>#DIV/0!</v>
      </c>
      <c r="T211" s="2164" t="e">
        <f>Paramétrage!H$19+R211*30</f>
        <v>#DIV/0!</v>
      </c>
      <c r="U211" s="2165" t="e">
        <f>IF(Q211&lt;Paramétrage!D$29, Paramétrage!H$19+S211*30, Paramétrage!H$19+Q211*30)</f>
        <v>#DIV/0!</v>
      </c>
      <c r="V211" s="2051"/>
      <c r="W211" s="2161" t="str">
        <f t="shared" si="38"/>
        <v/>
      </c>
      <c r="X211" s="2162" t="str">
        <f t="shared" si="39"/>
        <v/>
      </c>
      <c r="Y211" s="2167" t="str">
        <f t="shared" si="40"/>
        <v/>
      </c>
      <c r="Z211" s="2164" t="str">
        <f t="shared" si="41"/>
        <v/>
      </c>
      <c r="AA211" s="2165" t="str">
        <f t="shared" si="42"/>
        <v/>
      </c>
      <c r="AB211" s="2051"/>
      <c r="AC211" s="2161" t="e">
        <f t="shared" si="43"/>
        <v>#DIV/0!</v>
      </c>
      <c r="AD211" s="2162" t="e">
        <f>AC211-Paramétrage!D$29</f>
        <v>#DIV/0!</v>
      </c>
      <c r="AE211" s="2163" t="e">
        <f>IF(AC211&lt;Paramétrage!D$29, AC211, Paramétrage!D$29)</f>
        <v>#DIV/0!</v>
      </c>
      <c r="AF211" s="2163" t="e">
        <f t="shared" si="44"/>
        <v>#DIV/0!</v>
      </c>
      <c r="AG211" s="2164" t="e">
        <f>Paramétrage!H$19+AD211*30</f>
        <v>#DIV/0!</v>
      </c>
      <c r="AH211" s="2165" t="e">
        <f>IF(AC211&lt;Paramétrage!D$29, Paramétrage!H$19+AE211*30, Paramétrage!H$19+AC211*30)</f>
        <v>#DIV/0!</v>
      </c>
      <c r="AI211" s="2165">
        <f>'Saisie données stocks'!O167</f>
        <v>0</v>
      </c>
      <c r="AJ211" s="2210" t="str">
        <f>IF(ISERROR(Q211), "0", IF('Saisie données stocks'!O167="", "0", IF(U154&gt;'Saisie données stocks'!$N$14, IF(AI211&gt;(Paramétrage!$H$19+'Saisie données stocks'!$N$14*30), (AI211-(Paramétrage!$H$19+'Saisie données stocks'!$N$14*30))/30, IF(AI211&gt;U154, (AI211-U154)/30, "0")))))</f>
        <v>0</v>
      </c>
      <c r="AK211" s="2162" t="str">
        <f>IF(ISERROR(Q154),"0", IF(Q154=0, "0", IF(Q154&gt;'Calculs Péremption FA'!$CB34, 'Calculs Péremption FA'!$CB34, Q154)))</f>
        <v>0</v>
      </c>
      <c r="AL211" s="2163" t="str">
        <f>IF(ISERROR(AC211),"0", IF(AC211=0, "0", IF(AC211&gt;'Saisie données stocks'!$N$14, 'Saisie données stocks'!$N$14, AC211)))</f>
        <v>0</v>
      </c>
      <c r="AM211" s="2165" t="str">
        <f>IF(ISERROR(Q211),AA211,IF(Calculs!P289=0,AA154,(Paramétrage!$H$19+((AJ211+AK211+AL211)*(365/12)))))</f>
        <v/>
      </c>
      <c r="AN211" s="2051"/>
      <c r="AO211" s="2161" t="str">
        <f>IF(ISERROR(AC211),"", IF(AC211=0, "", IF(AC211&gt;'Saisie données stocks'!$N$14, 'Saisie données stocks'!$N$14, AC211)))</f>
        <v/>
      </c>
      <c r="AP211" s="2162" t="str">
        <f>IF(ISERROR(AC211),"", IF(AC211=0, "", IF(AC211&gt;'Calculs Péremption conso'!$CB34, 'Calculs Péremption conso'!$CB34-Paramétrage!$D$29, AD211)))</f>
        <v/>
      </c>
      <c r="AQ211" s="2167" t="str">
        <f>IF(ISERROR(AC211),"", IF(AC211=0, "", IF(AC211&gt;'Calculs Péremption conso'!$CB34, Paramétrage!$D$29, AE211)))</f>
        <v/>
      </c>
      <c r="AR211" s="2211" t="str">
        <f t="shared" si="45"/>
        <v/>
      </c>
      <c r="AS211" s="2164" t="str">
        <f>IF(ISERROR(AC211),"", IF(AC211=0, "", IF(AC211&gt;'Calculs Péremption conso'!$CB34, 'Calculs Péremption conso'!$BX34-Paramétrage!$D$29*(365/12), AG211)))</f>
        <v/>
      </c>
      <c r="AT211" s="2165" t="str">
        <f>IF(ISERROR(AC211),"", IF(AC211=0, "", IF(AC211&gt;'Calculs Péremption conso'!$CB34, CONCATENATE('TRAD-Calculs dispo Données FA'!$B$88, " - ", 'Calculs Péremption conso'!$BY34, "/", 'Calculs Péremption conso'!$BZ34, "/", 'Calculs Péremption conso'!$CA34), AH211)))</f>
        <v/>
      </c>
      <c r="AU211" s="2051"/>
      <c r="AV211" s="2161" t="e">
        <f>(Calculs!Q289)/Calculs!L344</f>
        <v>#DIV/0!</v>
      </c>
      <c r="AW211" s="2162" t="e">
        <f>AV211-Paramétrage!D$29</f>
        <v>#DIV/0!</v>
      </c>
      <c r="AX211" s="2163" t="e">
        <f>IF(AV211&lt;Paramétrage!D$29, AV211, Paramétrage!D$29)</f>
        <v>#DIV/0!</v>
      </c>
      <c r="AY211" s="2164" t="e">
        <f>Paramétrage!H$19+AW211*(365/12)</f>
        <v>#DIV/0!</v>
      </c>
      <c r="AZ211" s="2165" t="e">
        <f>IF(AV211&lt;Paramétrage!D$29, Paramétrage!H$19+AX211*(365/12), Paramétrage!H$19+AV211*(365/12))</f>
        <v>#DIV/0!</v>
      </c>
      <c r="BA211" s="2051"/>
      <c r="BB211" s="2161" t="str">
        <f>IF(ISERROR(AV211),"", IF(AV211=0, "", IF(AV211&gt;'Calculs Péremption conso'!$CB34, 'Calculs Péremption conso'!$CB34, AV211)))</f>
        <v/>
      </c>
      <c r="BC211" s="2162" t="str">
        <f>IF(ISERROR(AV211),"", IF(AV211=0, "", IF(AV211&gt;'Calculs Péremption conso'!$CB34, 'Calculs Péremption conso'!$CB34-Paramétrage!$D$29, AW211)))</f>
        <v/>
      </c>
      <c r="BD211" s="2167" t="str">
        <f>IF(ISERROR(AV211),"", IF(AV211=0, "", IF(AV211&gt;'Calculs Péremption conso'!$CB34, Paramétrage!$D$29, AX211)))</f>
        <v/>
      </c>
      <c r="BE211" s="2164" t="str">
        <f>IF(ISERROR(AV211),"", IF(AV211=0, "", IF(AV211&gt;'Calculs Péremption conso'!$CB34, 'Calculs Péremption conso'!$BX34-Paramétrage!$D$29*(365/12), AY211)))</f>
        <v/>
      </c>
      <c r="BF211" s="2165" t="str">
        <f>IF(ISERROR(AV211),"", IF(AV211=0, "", IF(AV211&gt;'Calculs Péremption conso'!$CB34, CONCATENATE('TRAD-Calculs dispo Données FA'!$B$88, " - ", 'Calculs Péremption conso'!$BY34, "/", 'Calculs Péremption conso'!$BZ34, "/", 'Calculs Péremption conso'!$CA34), AZ211)))</f>
        <v/>
      </c>
      <c r="BG211" s="2051"/>
      <c r="BH211" s="2161" t="e">
        <f t="shared" si="46"/>
        <v>#DIV/0!</v>
      </c>
      <c r="BI211" s="2162" t="e">
        <f>BH211-Paramétrage!D$29</f>
        <v>#DIV/0!</v>
      </c>
      <c r="BJ211" s="2163" t="e">
        <f>IF(BH211&lt;Paramétrage!D$29, BH211, Paramétrage!D$29)</f>
        <v>#DIV/0!</v>
      </c>
      <c r="BK211" s="2163" t="e">
        <f t="shared" si="47"/>
        <v>#DIV/0!</v>
      </c>
      <c r="BL211" s="2164" t="e">
        <f>Paramétrage!$H$19+BI211*30</f>
        <v>#DIV/0!</v>
      </c>
      <c r="BM211" s="2165" t="e">
        <f>IF(BH211&lt;Paramétrage!$D$29, Paramétrage!$H$19+BJ211*30, Paramétrage!$H$19+BH211*30)</f>
        <v>#DIV/0!</v>
      </c>
      <c r="BN211" s="2051"/>
      <c r="BO211" s="2161" t="str">
        <f>IF(ISERROR(BH211),"", IF(BH211=0, "", IF(BH211&gt;'Calculs Péremption conso'!$CB34, 'Calculs Péremption conso'!$CB34, BH211)))</f>
        <v/>
      </c>
      <c r="BP211" s="2162" t="str">
        <f>IF(ISERROR(BH211),"", IF(BH211=0, "", IF(BH211&gt;'Calculs Péremption conso'!$CB34, 'Calculs Péremption conso'!$CB34-Paramétrage!$D$29, BI211)))</f>
        <v/>
      </c>
      <c r="BQ211" s="2167" t="str">
        <f>IF(ISERROR(BH211),"", IF(BH211=0, "", IF(BH211&gt;'Calculs Péremption conso'!$CB34, Paramétrage!$D$29, BJ211)))</f>
        <v/>
      </c>
      <c r="BR211" s="2211" t="str">
        <f t="shared" si="48"/>
        <v/>
      </c>
      <c r="BS211" s="2164" t="str">
        <f>IF(ISERROR(BH211),"", IF(BH211=0, "", IF(BH211&gt;'Calculs Péremption conso'!$CB34, 'Calculs Péremption conso'!$BX34-Paramétrage!$D$29*(365/12), BL211)))</f>
        <v/>
      </c>
      <c r="BT211" s="2165" t="str">
        <f>IF(ISERROR(BH211),"", IF(BH211=0, "", IF(BH211&gt;'Calculs Péremption conso'!$CB34, CONCATENATE('TRAD-Calculs dispo Données FA'!$B$88, " - ", 'Calculs Péremption conso'!$BY34, "/", 'Calculs Péremption conso'!$BZ34, "/", 'Calculs Péremption conso'!$CA34), BM211)))</f>
        <v/>
      </c>
      <c r="BV211" s="2061">
        <f>Calculs!$Q289</f>
        <v>0</v>
      </c>
      <c r="BW211" s="2062">
        <f>Calculs!L344</f>
        <v>0</v>
      </c>
      <c r="BX211" s="2068">
        <f>Calculs!N344</f>
        <v>0</v>
      </c>
      <c r="BY211" s="2070" t="str">
        <f>IF(AND(BX211=0, BV211=0, BW211=0), 'TRAD-Calculs dispo Données FA'!$B$82, "")</f>
        <v>Stock et besoin nul</v>
      </c>
      <c r="BZ211" s="2062" t="str">
        <f>IF(AND(BX211=0, BV211&gt;0, BW211=0), CONCATENATE(BV211, 'TRAD-Calculs dispo Données FA'!$B$80," =0"), "")</f>
        <v/>
      </c>
      <c r="CA211" s="2063" t="str">
        <f>IF(AND(BV211=0, OR(BW211&gt;=1, BX211&gt;=1)), 'TRAD-Calculs dispo Données FA'!$B$81, "")</f>
        <v/>
      </c>
    </row>
    <row r="212" spans="3:79" s="358" customFormat="1" ht="25.5" x14ac:dyDescent="0.2">
      <c r="C212" s="374"/>
      <c r="D212" s="375"/>
      <c r="E212" s="376" t="str">
        <f>'Saisie données stocks'!F47</f>
        <v>3TC</v>
      </c>
      <c r="F212" s="377" t="str">
        <f>'Saisie données stocks'!G47</f>
        <v>Cp</v>
      </c>
      <c r="G212" s="1208" t="str">
        <f>'Saisie données stocks'!H47</f>
        <v>30 mg</v>
      </c>
      <c r="H212" s="378" t="str">
        <f>CONCATENATE(E212, " - ", G212, " - ", 'TRAD-Calculs dispo Données FA'!$B$79,"/", K212)</f>
        <v>3TC - 30 mg - B/60</v>
      </c>
      <c r="I212" s="378">
        <f>Calculs!K130</f>
        <v>2</v>
      </c>
      <c r="J212" s="379">
        <f t="shared" si="36"/>
        <v>60</v>
      </c>
      <c r="K212" s="114">
        <f>Calculs!J130</f>
        <v>60</v>
      </c>
      <c r="L212" s="381">
        <f t="shared" si="37"/>
        <v>1</v>
      </c>
      <c r="M212" s="1820">
        <f>IF('Saisie données stocks'!$O$10='TRAD-Saisie données stocks'!$B$51, 'Calculs Péremption conso'!BU35, Calculs!M290)+IF('Saisie données stocks'!$M$76='TRAD-Saisie données stocks'!$B$51, Calculs!N290, "0")+Calculs!P290</f>
        <v>0</v>
      </c>
      <c r="N212" s="1820">
        <f>Calculs!$L$345</f>
        <v>0</v>
      </c>
      <c r="O212" s="1820">
        <f>Calculs!$N$345</f>
        <v>0</v>
      </c>
      <c r="P212"/>
      <c r="Q212" s="2161" t="e">
        <f>IF(Calculs!N345&gt;0, (-(Calculs!N345+2*Calculs!L345)+SQRT((Calculs!N345+2*Calculs!L345)*(Calculs!N345+2*Calculs!L345)+8*Calculs!N345*(M212)))/(2*Calculs!N345), ((M212)/Calculs!L345))</f>
        <v>#DIV/0!</v>
      </c>
      <c r="R212" s="2162" t="e">
        <f>Q212-Paramétrage!D$29</f>
        <v>#DIV/0!</v>
      </c>
      <c r="S212" s="2163" t="e">
        <f>IF(Q212&lt;Paramétrage!D$29, Q212, Paramétrage!D$29)</f>
        <v>#DIV/0!</v>
      </c>
      <c r="T212" s="2164" t="e">
        <f>Paramétrage!H$19+R212*30</f>
        <v>#DIV/0!</v>
      </c>
      <c r="U212" s="2165" t="e">
        <f>IF(Q212&lt;Paramétrage!D$29, Paramétrage!H$19+S212*30, Paramétrage!H$19+Q212*30)</f>
        <v>#DIV/0!</v>
      </c>
      <c r="V212" s="2051"/>
      <c r="W212" s="2161" t="str">
        <f t="shared" si="38"/>
        <v/>
      </c>
      <c r="X212" s="2162" t="str">
        <f t="shared" si="39"/>
        <v/>
      </c>
      <c r="Y212" s="2167" t="str">
        <f t="shared" si="40"/>
        <v/>
      </c>
      <c r="Z212" s="2164" t="str">
        <f t="shared" si="41"/>
        <v/>
      </c>
      <c r="AA212" s="2165" t="str">
        <f t="shared" si="42"/>
        <v/>
      </c>
      <c r="AB212" s="2051"/>
      <c r="AC212" s="2161" t="e">
        <f t="shared" si="43"/>
        <v>#DIV/0!</v>
      </c>
      <c r="AD212" s="2162" t="e">
        <f>AC212-Paramétrage!D$29</f>
        <v>#DIV/0!</v>
      </c>
      <c r="AE212" s="2163" t="e">
        <f>IF(AC212&lt;Paramétrage!D$29, AC212, Paramétrage!D$29)</f>
        <v>#DIV/0!</v>
      </c>
      <c r="AF212" s="2163" t="e">
        <f t="shared" si="44"/>
        <v>#DIV/0!</v>
      </c>
      <c r="AG212" s="2164" t="e">
        <f>Paramétrage!H$19+AD212*30</f>
        <v>#DIV/0!</v>
      </c>
      <c r="AH212" s="2165" t="e">
        <f>IF(AC212&lt;Paramétrage!D$29, Paramétrage!H$19+AE212*30, Paramétrage!H$19+AC212*30)</f>
        <v>#DIV/0!</v>
      </c>
      <c r="AI212" s="2165">
        <f>'Saisie données stocks'!O168</f>
        <v>0</v>
      </c>
      <c r="AJ212" s="2210" t="str">
        <f>IF(ISERROR(Q212), "0", IF('Saisie données stocks'!O168="", "0", IF(U155&gt;'Saisie données stocks'!$N$14, IF(AI212&gt;(Paramétrage!$H$19+'Saisie données stocks'!$N$14*30), (AI212-(Paramétrage!$H$19+'Saisie données stocks'!$N$14*30))/30, IF(AI212&gt;U155, (AI212-U155)/30, "0")))))</f>
        <v>0</v>
      </c>
      <c r="AK212" s="2162" t="str">
        <f>IF(ISERROR(Q155),"0", IF(Q155=0, "0", IF(Q155&gt;'Calculs Péremption FA'!$CB35, 'Calculs Péremption FA'!$CB35, Q155)))</f>
        <v>0</v>
      </c>
      <c r="AL212" s="2163" t="str">
        <f>IF(ISERROR(AC212),"0", IF(AC212=0, "0", IF(AC212&gt;'Saisie données stocks'!$N$14, 'Saisie données stocks'!$N$14, AC212)))</f>
        <v>0</v>
      </c>
      <c r="AM212" s="2165" t="str">
        <f>IF(ISERROR(Q212),AA212,IF(Calculs!P290=0,AA155,(Paramétrage!$H$19+((AJ212+AK212+AL212)*(365/12)))))</f>
        <v/>
      </c>
      <c r="AN212" s="2051"/>
      <c r="AO212" s="2161" t="str">
        <f>IF(ISERROR(AC212),"", IF(AC212=0, "", IF(AC212&gt;'Saisie données stocks'!$N$14, 'Saisie données stocks'!$N$14, AC212)))</f>
        <v/>
      </c>
      <c r="AP212" s="2162" t="str">
        <f>IF(ISERROR(AC212),"", IF(AC212=0, "", IF(AC212&gt;'Calculs Péremption conso'!$CB35, 'Calculs Péremption conso'!$CB35-Paramétrage!$D$29, AD212)))</f>
        <v/>
      </c>
      <c r="AQ212" s="2167" t="str">
        <f>IF(ISERROR(AC212),"", IF(AC212=0, "", IF(AC212&gt;'Calculs Péremption conso'!$CB35, Paramétrage!$D$29, AE212)))</f>
        <v/>
      </c>
      <c r="AR212" s="2211" t="str">
        <f t="shared" si="45"/>
        <v/>
      </c>
      <c r="AS212" s="2164" t="str">
        <f>IF(ISERROR(AC212),"", IF(AC212=0, "", IF(AC212&gt;'Calculs Péremption conso'!$CB35, 'Calculs Péremption conso'!$BX35-Paramétrage!$D$29*(365/12), AG212)))</f>
        <v/>
      </c>
      <c r="AT212" s="2165" t="str">
        <f>IF(ISERROR(AC212),"", IF(AC212=0, "", IF(AC212&gt;'Calculs Péremption conso'!$CB35, CONCATENATE('TRAD-Calculs dispo Données FA'!$B$88, " - ", 'Calculs Péremption conso'!$BY35, "/", 'Calculs Péremption conso'!$BZ35, "/", 'Calculs Péremption conso'!$CA35), AH212)))</f>
        <v/>
      </c>
      <c r="AU212" s="2051"/>
      <c r="AV212" s="2161" t="e">
        <f>(Calculs!Q290)/Calculs!L345</f>
        <v>#DIV/0!</v>
      </c>
      <c r="AW212" s="2162" t="e">
        <f>AV212-Paramétrage!D$29</f>
        <v>#DIV/0!</v>
      </c>
      <c r="AX212" s="2163" t="e">
        <f>IF(AV212&lt;Paramétrage!D$29, AV212, Paramétrage!D$29)</f>
        <v>#DIV/0!</v>
      </c>
      <c r="AY212" s="2164" t="e">
        <f>Paramétrage!H$19+AW212*(365/12)</f>
        <v>#DIV/0!</v>
      </c>
      <c r="AZ212" s="2165" t="e">
        <f>IF(AV212&lt;Paramétrage!D$29, Paramétrage!H$19+AX212*(365/12), Paramétrage!H$19+AV212*(365/12))</f>
        <v>#DIV/0!</v>
      </c>
      <c r="BA212" s="2051"/>
      <c r="BB212" s="2161" t="str">
        <f>IF(ISERROR(AV212),"", IF(AV212=0, "", IF(AV212&gt;'Calculs Péremption conso'!$CB35, 'Calculs Péremption conso'!$CB35, AV212)))</f>
        <v/>
      </c>
      <c r="BC212" s="2162" t="str">
        <f>IF(ISERROR(AV212),"", IF(AV212=0, "", IF(AV212&gt;'Calculs Péremption conso'!$CB35, 'Calculs Péremption conso'!$CB35-Paramétrage!$D$29, AW212)))</f>
        <v/>
      </c>
      <c r="BD212" s="2167" t="str">
        <f>IF(ISERROR(AV212),"", IF(AV212=0, "", IF(AV212&gt;'Calculs Péremption conso'!$CB35, Paramétrage!$D$29, AX212)))</f>
        <v/>
      </c>
      <c r="BE212" s="2164" t="str">
        <f>IF(ISERROR(AV212),"", IF(AV212=0, "", IF(AV212&gt;'Calculs Péremption conso'!$CB35, 'Calculs Péremption conso'!$BX35-Paramétrage!$D$29*(365/12), AY212)))</f>
        <v/>
      </c>
      <c r="BF212" s="2165" t="str">
        <f>IF(ISERROR(AV212),"", IF(AV212=0, "", IF(AV212&gt;'Calculs Péremption conso'!$CB35, CONCATENATE('TRAD-Calculs dispo Données FA'!$B$88, " - ", 'Calculs Péremption conso'!$BY35, "/", 'Calculs Péremption conso'!$BZ35, "/", 'Calculs Péremption conso'!$CA35), AZ212)))</f>
        <v/>
      </c>
      <c r="BG212" s="2051"/>
      <c r="BH212" s="2161" t="e">
        <f t="shared" si="46"/>
        <v>#DIV/0!</v>
      </c>
      <c r="BI212" s="2162" t="e">
        <f>BH212-Paramétrage!D$29</f>
        <v>#DIV/0!</v>
      </c>
      <c r="BJ212" s="2163" t="e">
        <f>IF(BH212&lt;Paramétrage!D$29, BH212, Paramétrage!D$29)</f>
        <v>#DIV/0!</v>
      </c>
      <c r="BK212" s="2163" t="e">
        <f t="shared" si="47"/>
        <v>#DIV/0!</v>
      </c>
      <c r="BL212" s="2164" t="e">
        <f>Paramétrage!$H$19+BI212*30</f>
        <v>#DIV/0!</v>
      </c>
      <c r="BM212" s="2165" t="e">
        <f>IF(BH212&lt;Paramétrage!$D$29, Paramétrage!$H$19+BJ212*30, Paramétrage!$H$19+BH212*30)</f>
        <v>#DIV/0!</v>
      </c>
      <c r="BN212" s="2051"/>
      <c r="BO212" s="2161" t="str">
        <f>IF(ISERROR(BH212),"", IF(BH212=0, "", IF(BH212&gt;'Calculs Péremption conso'!$CB35, 'Calculs Péremption conso'!$CB35, BH212)))</f>
        <v/>
      </c>
      <c r="BP212" s="2162" t="str">
        <f>IF(ISERROR(BH212),"", IF(BH212=0, "", IF(BH212&gt;'Calculs Péremption conso'!$CB35, 'Calculs Péremption conso'!$CB35-Paramétrage!$D$29, BI212)))</f>
        <v/>
      </c>
      <c r="BQ212" s="2167" t="str">
        <f>IF(ISERROR(BH212),"", IF(BH212=0, "", IF(BH212&gt;'Calculs Péremption conso'!$CB35, Paramétrage!$D$29, BJ212)))</f>
        <v/>
      </c>
      <c r="BR212" s="2211" t="str">
        <f t="shared" si="48"/>
        <v/>
      </c>
      <c r="BS212" s="2164" t="str">
        <f>IF(ISERROR(BH212),"", IF(BH212=0, "", IF(BH212&gt;'Calculs Péremption conso'!$CB35, 'Calculs Péremption conso'!$BX35-Paramétrage!$D$29*(365/12), BL212)))</f>
        <v/>
      </c>
      <c r="BT212" s="2165" t="str">
        <f>IF(ISERROR(BH212),"", IF(BH212=0, "", IF(BH212&gt;'Calculs Péremption conso'!$CB35, CONCATENATE('TRAD-Calculs dispo Données FA'!$B$88, " - ", 'Calculs Péremption conso'!$BY35, "/", 'Calculs Péremption conso'!$BZ35, "/", 'Calculs Péremption conso'!$CA35), BM212)))</f>
        <v/>
      </c>
      <c r="BV212" s="2061">
        <f>Calculs!$Q290</f>
        <v>0</v>
      </c>
      <c r="BW212" s="2062">
        <f>Calculs!L345</f>
        <v>0</v>
      </c>
      <c r="BX212" s="2068">
        <f>Calculs!N345</f>
        <v>0</v>
      </c>
      <c r="BY212" s="2070" t="str">
        <f>IF(AND(BX212=0, BV212=0, BW212=0), 'TRAD-Calculs dispo Données FA'!$B$82, "")</f>
        <v>Stock et besoin nul</v>
      </c>
      <c r="BZ212" s="2062" t="str">
        <f>IF(AND(BX212=0, BV212&gt;0, BW212=0), CONCATENATE(BV212, 'TRAD-Calculs dispo Données FA'!$B$80," =0"), "")</f>
        <v/>
      </c>
      <c r="CA212" s="2063" t="str">
        <f>IF(AND(BV212=0, OR(BW212&gt;=1, BX212&gt;=1)), 'TRAD-Calculs dispo Données FA'!$B$81, "")</f>
        <v/>
      </c>
    </row>
    <row r="213" spans="3:79" s="358" customFormat="1" ht="25.5" x14ac:dyDescent="0.2">
      <c r="C213" s="374"/>
      <c r="D213" s="375"/>
      <c r="E213" s="1516" t="str">
        <f>'Saisie données stocks'!F48</f>
        <v>DDI</v>
      </c>
      <c r="F213" s="1208" t="str">
        <f>'Saisie données stocks'!G48</f>
        <v>Cp</v>
      </c>
      <c r="G213" s="1208" t="str">
        <f>'Saisie données stocks'!H48</f>
        <v>250 mg</v>
      </c>
      <c r="H213" s="384" t="str">
        <f>CONCATENATE(E213, " - ", G213, " - ", 'TRAD-Calculs dispo Données FA'!$B$79,"/", K213)</f>
        <v>DDI - 250 mg - B/30</v>
      </c>
      <c r="I213" s="1517">
        <f>Calculs!K131</f>
        <v>1</v>
      </c>
      <c r="J213" s="1720">
        <f t="shared" si="36"/>
        <v>30</v>
      </c>
      <c r="K213" s="1385">
        <f>Calculs!J131</f>
        <v>30</v>
      </c>
      <c r="L213" s="1835">
        <f t="shared" si="37"/>
        <v>1</v>
      </c>
      <c r="M213" s="1820">
        <f>IF('Saisie données stocks'!$O$10='TRAD-Saisie données stocks'!$B$51, 'Calculs Péremption conso'!BU36, Calculs!M291)+IF('Saisie données stocks'!$M$76='TRAD-Saisie données stocks'!$B$51, Calculs!N291, "0")+Calculs!P291</f>
        <v>0</v>
      </c>
      <c r="N213" s="1820">
        <f>Calculs!$L$346</f>
        <v>0</v>
      </c>
      <c r="O213" s="1820">
        <f>Calculs!$N$346</f>
        <v>0</v>
      </c>
      <c r="P213"/>
      <c r="Q213" s="2161" t="e">
        <f>IF(Calculs!N346&gt;0, (-(Calculs!N346+2*Calculs!L346)+SQRT((Calculs!N346+2*Calculs!L346)*(Calculs!N346+2*Calculs!L346)+8*Calculs!N346*(M213)))/(2*Calculs!N346), ((M213)/Calculs!L346))</f>
        <v>#DIV/0!</v>
      </c>
      <c r="R213" s="2197" t="e">
        <f>Q213-Paramétrage!D$29</f>
        <v>#DIV/0!</v>
      </c>
      <c r="S213" s="2213" t="e">
        <f>IF(Q213&lt;Paramétrage!D$29, Q213, Paramétrage!D$29)</f>
        <v>#DIV/0!</v>
      </c>
      <c r="T213" s="2214" t="e">
        <f>Paramétrage!H$19+R213*30</f>
        <v>#DIV/0!</v>
      </c>
      <c r="U213" s="2215" t="e">
        <f>IF(Q213&lt;Paramétrage!D$29, Paramétrage!H$19+S213*30, Paramétrage!H$19+Q213*30)</f>
        <v>#DIV/0!</v>
      </c>
      <c r="V213" s="2051"/>
      <c r="W213" s="2161" t="str">
        <f t="shared" si="38"/>
        <v/>
      </c>
      <c r="X213" s="2197" t="str">
        <f t="shared" si="39"/>
        <v/>
      </c>
      <c r="Y213" s="2216" t="str">
        <f t="shared" si="40"/>
        <v/>
      </c>
      <c r="Z213" s="2170" t="str">
        <f t="shared" si="41"/>
        <v/>
      </c>
      <c r="AA213" s="2171" t="str">
        <f t="shared" si="42"/>
        <v/>
      </c>
      <c r="AB213" s="2051"/>
      <c r="AC213" s="2161" t="e">
        <f t="shared" si="43"/>
        <v>#DIV/0!</v>
      </c>
      <c r="AD213" s="2197" t="e">
        <f>AC213-Paramétrage!D$29</f>
        <v>#DIV/0!</v>
      </c>
      <c r="AE213" s="2213" t="e">
        <f>IF(AC213&lt;Paramétrage!D$29, AC213, Paramétrage!D$29)</f>
        <v>#DIV/0!</v>
      </c>
      <c r="AF213" s="2213" t="e">
        <f t="shared" si="44"/>
        <v>#DIV/0!</v>
      </c>
      <c r="AG213" s="2170" t="e">
        <f>Paramétrage!H$19+AD213*30</f>
        <v>#DIV/0!</v>
      </c>
      <c r="AH213" s="2171" t="e">
        <f>IF(AC213&lt;Paramétrage!D$29, Paramétrage!H$19+AE213*30, Paramétrage!H$19+AC213*30)</f>
        <v>#DIV/0!</v>
      </c>
      <c r="AI213" s="2171">
        <f>'Saisie données stocks'!O169</f>
        <v>0</v>
      </c>
      <c r="AJ213" s="2217" t="str">
        <f>IF(ISERROR(Q213), "0", IF('Saisie données stocks'!O169="", "0", IF(U156&gt;'Saisie données stocks'!$N$14, IF(AI213&gt;(Paramétrage!$H$19+'Saisie données stocks'!$N$14*30), (AI213-(Paramétrage!$H$19+'Saisie données stocks'!$N$14*30))/30, IF(AI213&gt;U156, (AI213-U156)/30, "0")))))</f>
        <v>0</v>
      </c>
      <c r="AK213" s="2197" t="str">
        <f>IF(ISERROR(Q156),"0", IF(Q156=0, "0", IF(Q156&gt;'Calculs Péremption FA'!$CB36, 'Calculs Péremption FA'!$CB36, Q156)))</f>
        <v>0</v>
      </c>
      <c r="AL213" s="2213" t="str">
        <f>IF(ISERROR(AC213),"0", IF(AC213=0, "0", IF(AC213&gt;'Saisie données stocks'!$N$14, 'Saisie données stocks'!$N$14, AC213)))</f>
        <v>0</v>
      </c>
      <c r="AM213" s="2171" t="str">
        <f>IF(ISERROR(Q213),AA213,IF(Calculs!P291=0,AA156,(Paramétrage!$H$19+((AJ213+AK213+AL213)*(365/12)))))</f>
        <v/>
      </c>
      <c r="AN213" s="2051"/>
      <c r="AO213" s="2161" t="str">
        <f>IF(ISERROR(AC213),"", IF(AC213=0, "", IF(AC213&gt;'Saisie données stocks'!$N$14, 'Saisie données stocks'!$N$14, AC213)))</f>
        <v/>
      </c>
      <c r="AP213" s="2197" t="str">
        <f>IF(ISERROR(AC213),"", IF(AC213=0, "", IF(AC213&gt;'Calculs Péremption conso'!$CB36, 'Calculs Péremption conso'!$CB36-Paramétrage!$D$29, AD213)))</f>
        <v/>
      </c>
      <c r="AQ213" s="2216" t="str">
        <f>IF(ISERROR(AC213),"", IF(AC213=0, "", IF(AC213&gt;'Calculs Péremption conso'!$CB36, Paramétrage!$D$29, AE213)))</f>
        <v/>
      </c>
      <c r="AR213" s="2218" t="str">
        <f t="shared" si="45"/>
        <v/>
      </c>
      <c r="AS213" s="2170" t="str">
        <f>IF(ISERROR(AC213),"", IF(AC213=0, "", IF(AC213&gt;'Calculs Péremption conso'!$CB36, 'Calculs Péremption conso'!$BX36-Paramétrage!$D$29*(365/12), AG213)))</f>
        <v/>
      </c>
      <c r="AT213" s="2171" t="str">
        <f>IF(ISERROR(AC213),"", IF(AC213=0, "", IF(AC213&gt;'Calculs Péremption conso'!$CB36, CONCATENATE('TRAD-Calculs dispo Données FA'!$B$88, " - ", 'Calculs Péremption conso'!$BY36, "/", 'Calculs Péremption conso'!$BZ36, "/", 'Calculs Péremption conso'!$CA36), AH213)))</f>
        <v/>
      </c>
      <c r="AU213" s="2051"/>
      <c r="AV213" s="2161" t="e">
        <f>(Calculs!Q291)/Calculs!L346</f>
        <v>#DIV/0!</v>
      </c>
      <c r="AW213" s="2197" t="e">
        <f>AV213-Paramétrage!D$29</f>
        <v>#DIV/0!</v>
      </c>
      <c r="AX213" s="2213" t="e">
        <f>IF(AV213&lt;Paramétrage!D$29, AV213, Paramétrage!D$29)</f>
        <v>#DIV/0!</v>
      </c>
      <c r="AY213" s="2170" t="e">
        <f>Paramétrage!H$19+AW213*(365/12)</f>
        <v>#DIV/0!</v>
      </c>
      <c r="AZ213" s="2171" t="e">
        <f>IF(AV213&lt;Paramétrage!D$29, Paramétrage!H$19+AX213*(365/12), Paramétrage!H$19+AV213*(365/12))</f>
        <v>#DIV/0!</v>
      </c>
      <c r="BA213" s="2051"/>
      <c r="BB213" s="2161" t="str">
        <f>IF(ISERROR(AV213),"", IF(AV213=0, "", IF(AV213&gt;'Calculs Péremption conso'!$CB36, 'Calculs Péremption conso'!$CB36, AV213)))</f>
        <v/>
      </c>
      <c r="BC213" s="2197" t="str">
        <f>IF(ISERROR(AV213),"", IF(AV213=0, "", IF(AV213&gt;'Calculs Péremption conso'!$CB36, 'Calculs Péremption conso'!$CB36-Paramétrage!$D$29, AW213)))</f>
        <v/>
      </c>
      <c r="BD213" s="2216" t="str">
        <f>IF(ISERROR(AV213),"", IF(AV213=0, "", IF(AV213&gt;'Calculs Péremption conso'!$CB36, Paramétrage!$D$29, AX213)))</f>
        <v/>
      </c>
      <c r="BE213" s="2170" t="str">
        <f>IF(ISERROR(AV213),"", IF(AV213=0, "", IF(AV213&gt;'Calculs Péremption conso'!$CB36, 'Calculs Péremption conso'!$BX36-Paramétrage!$D$29*(365/12), AY213)))</f>
        <v/>
      </c>
      <c r="BF213" s="2171" t="str">
        <f>IF(ISERROR(AV213),"", IF(AV213=0, "", IF(AV213&gt;'Calculs Péremption conso'!$CB36, CONCATENATE('TRAD-Calculs dispo Données FA'!$B$88, " - ", 'Calculs Péremption conso'!$BY36, "/", 'Calculs Péremption conso'!$BZ36, "/", 'Calculs Péremption conso'!$CA36), AZ213)))</f>
        <v/>
      </c>
      <c r="BG213" s="2051"/>
      <c r="BH213" s="2161" t="e">
        <f t="shared" si="46"/>
        <v>#DIV/0!</v>
      </c>
      <c r="BI213" s="2197" t="e">
        <f>BH213-Paramétrage!D$29</f>
        <v>#DIV/0!</v>
      </c>
      <c r="BJ213" s="2213" t="e">
        <f>IF(BH213&lt;Paramétrage!D$29, BH213, Paramétrage!D$29)</f>
        <v>#DIV/0!</v>
      </c>
      <c r="BK213" s="2213" t="e">
        <f t="shared" si="47"/>
        <v>#DIV/0!</v>
      </c>
      <c r="BL213" s="2170" t="e">
        <f>Paramétrage!$H$19+BI213*30</f>
        <v>#DIV/0!</v>
      </c>
      <c r="BM213" s="2171" t="e">
        <f>IF(BH213&lt;Paramétrage!$D$29, Paramétrage!$H$19+BJ213*30, Paramétrage!$H$19+BH213*30)</f>
        <v>#DIV/0!</v>
      </c>
      <c r="BN213" s="2051"/>
      <c r="BO213" s="2161" t="str">
        <f>IF(ISERROR(BH213),"", IF(BH213=0, "", IF(BH213&gt;'Calculs Péremption conso'!$CB36, 'Calculs Péremption conso'!$CB36, BH213)))</f>
        <v/>
      </c>
      <c r="BP213" s="2197" t="str">
        <f>IF(ISERROR(BH213),"", IF(BH213=0, "", IF(BH213&gt;'Calculs Péremption conso'!$CB36, 'Calculs Péremption conso'!$CB36-Paramétrage!$D$29, BI213)))</f>
        <v/>
      </c>
      <c r="BQ213" s="2216" t="str">
        <f>IF(ISERROR(BH213),"", IF(BH213=0, "", IF(BH213&gt;'Calculs Péremption conso'!$CB36, Paramétrage!$D$29, BJ213)))</f>
        <v/>
      </c>
      <c r="BR213" s="2218" t="str">
        <f t="shared" si="48"/>
        <v/>
      </c>
      <c r="BS213" s="2170" t="str">
        <f>IF(ISERROR(BH213),"", IF(BH213=0, "", IF(BH213&gt;'Calculs Péremption conso'!$CB36, 'Calculs Péremption conso'!$BX36-Paramétrage!$D$29*(365/12), BL213)))</f>
        <v/>
      </c>
      <c r="BT213" s="2171" t="str">
        <f>IF(ISERROR(BH213),"", IF(BH213=0, "", IF(BH213&gt;'Calculs Péremption conso'!$CB36, CONCATENATE('TRAD-Calculs dispo Données FA'!$B$88, " - ", 'Calculs Péremption conso'!$BY36, "/", 'Calculs Péremption conso'!$BZ36, "/", 'Calculs Péremption conso'!$CA36), BM213)))</f>
        <v/>
      </c>
      <c r="BV213" s="2061">
        <f>Calculs!$Q291</f>
        <v>0</v>
      </c>
      <c r="BW213" s="2062">
        <f>Calculs!L346</f>
        <v>0</v>
      </c>
      <c r="BX213" s="2068">
        <f>Calculs!N346</f>
        <v>0</v>
      </c>
      <c r="BY213" s="2070" t="str">
        <f>IF(AND(BX213=0, BV213=0, BW213=0), 'TRAD-Calculs dispo Données FA'!$B$82, "")</f>
        <v>Stock et besoin nul</v>
      </c>
      <c r="BZ213" s="2062" t="str">
        <f>IF(AND(BX213=0, BV213&gt;0, BW213=0), CONCATENATE(BV213, 'TRAD-Calculs dispo Données FA'!$B$80," =0"), "")</f>
        <v/>
      </c>
      <c r="CA213" s="2063" t="str">
        <f>IF(AND(BV213=0, OR(BW213&gt;=1, BX213&gt;=1)), 'TRAD-Calculs dispo Données FA'!$B$81, "")</f>
        <v/>
      </c>
    </row>
    <row r="214" spans="3:79" s="358" customFormat="1" x14ac:dyDescent="0.2">
      <c r="C214" s="374"/>
      <c r="D214" s="375"/>
      <c r="E214" s="1516" t="str">
        <f>'Saisie données stocks'!F49</f>
        <v>DDI</v>
      </c>
      <c r="F214" s="1208" t="str">
        <f>'Saisie données stocks'!G49</f>
        <v>Cp</v>
      </c>
      <c r="G214" s="1844" t="str">
        <f>'Saisie données stocks'!H49</f>
        <v>400 mg</v>
      </c>
      <c r="H214" s="384" t="str">
        <f>CONCATENATE(E214, " - ", G214, " - ", 'TRAD-Calculs dispo Données FA'!$B$79,"/", K214)</f>
        <v>DDI - 400 mg - B/30</v>
      </c>
      <c r="I214" s="1517">
        <f>Calculs!K132</f>
        <v>1</v>
      </c>
      <c r="J214" s="1720">
        <f t="shared" si="36"/>
        <v>30</v>
      </c>
      <c r="K214" s="1386">
        <f>Calculs!J132</f>
        <v>30</v>
      </c>
      <c r="L214" s="1846">
        <f t="shared" si="37"/>
        <v>1</v>
      </c>
      <c r="M214" s="1871">
        <f>IF('Saisie données stocks'!$O$10='TRAD-Saisie données stocks'!$B$51, 'Calculs Péremption conso'!BU37, Calculs!M292)+IF('Saisie données stocks'!$M$76='TRAD-Saisie données stocks'!$B$51, Calculs!N292, "0")+Calculs!P292</f>
        <v>19.594520547945208</v>
      </c>
      <c r="N214" s="1871">
        <f>Calculs!$L$347</f>
        <v>2</v>
      </c>
      <c r="O214" s="1871">
        <f>Calculs!$N$347</f>
        <v>0</v>
      </c>
      <c r="P214"/>
      <c r="Q214" s="2219">
        <f>IF(Calculs!N347&gt;0, (-(Calculs!N347+2*Calculs!L347)+SQRT((Calculs!N347+2*Calculs!L347)*(Calculs!N347+2*Calculs!L347)+8*Calculs!N347*(M214)))/(2*Calculs!N347), ((M214)/Calculs!L347))</f>
        <v>9.7972602739726042</v>
      </c>
      <c r="R214" s="2197">
        <f>Q214-Paramétrage!D$29</f>
        <v>6.7972602739726042</v>
      </c>
      <c r="S214" s="2213">
        <f>IF(Q214&lt;Paramétrage!D$29, Q214, Paramétrage!D$29)</f>
        <v>3</v>
      </c>
      <c r="T214" s="2222">
        <f>Paramétrage!H$19+R214*30</f>
        <v>42122.917808219179</v>
      </c>
      <c r="U214" s="2187">
        <f>IF(Q214&lt;Paramétrage!D$29, Paramétrage!H$19+S214*30, Paramétrage!H$19+Q214*30)</f>
        <v>42212.917808219179</v>
      </c>
      <c r="V214" s="2051"/>
      <c r="W214" s="2219">
        <f t="shared" si="38"/>
        <v>9.7972602739726042</v>
      </c>
      <c r="X214" s="2197">
        <f t="shared" si="39"/>
        <v>6.7972602739726042</v>
      </c>
      <c r="Y214" s="2216">
        <f t="shared" si="40"/>
        <v>3</v>
      </c>
      <c r="Z214" s="2186">
        <f t="shared" si="41"/>
        <v>42122.917808219179</v>
      </c>
      <c r="AA214" s="2187">
        <f t="shared" si="42"/>
        <v>42212.917808219179</v>
      </c>
      <c r="AB214" s="2051"/>
      <c r="AC214" s="2219">
        <f t="shared" si="43"/>
        <v>0</v>
      </c>
      <c r="AD214" s="2197">
        <f>AC214-Paramétrage!D$29</f>
        <v>-3</v>
      </c>
      <c r="AE214" s="2213">
        <f>IF(AC214&lt;Paramétrage!D$29, AC214, Paramétrage!D$29)</f>
        <v>0</v>
      </c>
      <c r="AF214" s="2213">
        <f t="shared" si="44"/>
        <v>0</v>
      </c>
      <c r="AG214" s="2186">
        <f>Paramétrage!H$19+AD214*30</f>
        <v>41829</v>
      </c>
      <c r="AH214" s="2187">
        <f>IF(AC214&lt;Paramétrage!D$29, Paramétrage!H$19+AE214*30, Paramétrage!H$19+AC214*30)</f>
        <v>41919</v>
      </c>
      <c r="AI214" s="2187">
        <f>'Saisie données stocks'!O170</f>
        <v>0</v>
      </c>
      <c r="AJ214" s="2223" t="str">
        <f>IF(ISERROR(Q214), "0", IF('Saisie données stocks'!O170="", "0", IF(U157&gt;'Saisie données stocks'!$N$14, IF(AI214&gt;(Paramétrage!$H$19+'Saisie données stocks'!$N$14*30), (AI214-(Paramétrage!$H$19+'Saisie données stocks'!$N$14*30))/30, IF(AI214&gt;U157, (AI214-U157)/30, "0")))))</f>
        <v>0</v>
      </c>
      <c r="AK214" s="2197">
        <f>IF(ISERROR(Q157),"0", IF(Q157=0, "0", IF(Q157&gt;'Calculs Péremption FA'!$CB37, 'Calculs Péremption FA'!$CB37, Q157)))</f>
        <v>9.7972602739726042</v>
      </c>
      <c r="AL214" s="2213" t="str">
        <f>IF(ISERROR(AC214),"0", IF(AC214=0, "0", IF(AC214&gt;'Saisie données stocks'!$N$14, 'Saisie données stocks'!$N$14, AC214)))</f>
        <v>0</v>
      </c>
      <c r="AM214" s="2187" t="str">
        <f>IF(ISERROR(Q214),AA214,IF(Calculs!P292=0,AA157,(Paramétrage!$H$19+((AJ214+AK214+AL214)*(365/12)))))</f>
        <v>DLU - 1/8/2015</v>
      </c>
      <c r="AN214" s="2051"/>
      <c r="AO214" s="2219" t="str">
        <f>IF(ISERROR(AC214),"", IF(AC214=0, "", IF(AC214&gt;'Saisie données stocks'!$N$14, 'Saisie données stocks'!$N$14, AC214)))</f>
        <v/>
      </c>
      <c r="AP214" s="2197" t="str">
        <f>IF(ISERROR(AC214),"", IF(AC214=0, "", IF(AC214&gt;'Calculs Péremption conso'!$CB37, 'Calculs Péremption conso'!$CB37-Paramétrage!$D$29, AD214)))</f>
        <v/>
      </c>
      <c r="AQ214" s="2216" t="str">
        <f>IF(ISERROR(AC214),"", IF(AC214=0, "", IF(AC214&gt;'Calculs Péremption conso'!$CB37, Paramétrage!$D$29, AE214)))</f>
        <v/>
      </c>
      <c r="AR214" s="2224" t="str">
        <f t="shared" si="45"/>
        <v/>
      </c>
      <c r="AS214" s="2186" t="str">
        <f>IF(ISERROR(AC214),"", IF(AC214=0, "", IF(AC214&gt;'Calculs Péremption conso'!$CB37, 'Calculs Péremption conso'!$BX37-Paramétrage!$D$29*(365/12), AG214)))</f>
        <v/>
      </c>
      <c r="AT214" s="2187" t="str">
        <f>IF(ISERROR(AC214),"", IF(AC214=0, "", IF(AC214&gt;'Calculs Péremption conso'!$CB37, CONCATENATE('TRAD-Calculs dispo Données FA'!$B$88, " - ", 'Calculs Péremption conso'!$BY37, "/", 'Calculs Péremption conso'!$BZ37, "/", 'Calculs Péremption conso'!$CA37), AH214)))</f>
        <v/>
      </c>
      <c r="AU214" s="2051"/>
      <c r="AV214" s="2219">
        <f>(Calculs!Q292)/Calculs!L347</f>
        <v>478</v>
      </c>
      <c r="AW214" s="2197">
        <f>AV214-Paramétrage!D$29</f>
        <v>475</v>
      </c>
      <c r="AX214" s="2213">
        <f>IF(AV214&lt;Paramétrage!D$29, AV214, Paramétrage!D$29)</f>
        <v>3</v>
      </c>
      <c r="AY214" s="2186">
        <f>Paramétrage!H$19+AW214*(365/12)</f>
        <v>56366.916666666672</v>
      </c>
      <c r="AZ214" s="2187">
        <f>IF(AV214&lt;Paramétrage!D$29, Paramétrage!H$19+AX214*(365/12), Paramétrage!H$19+AV214*(365/12))</f>
        <v>56458.166666666672</v>
      </c>
      <c r="BA214" s="2051"/>
      <c r="BB214" s="2219">
        <f>IF(ISERROR(AV214),"", IF(AV214=0, "", IF(AV214&gt;'Calculs Péremption conso'!$CB37, 'Calculs Péremption conso'!$CB37, AV214)))</f>
        <v>9.7972602739726025</v>
      </c>
      <c r="BC214" s="2197">
        <f>IF(ISERROR(AV214),"", IF(AV214=0, "", IF(AV214&gt;'Calculs Péremption conso'!$CB37, 'Calculs Péremption conso'!$CB37-Paramétrage!$D$29, AW214)))</f>
        <v>6.7972602739726025</v>
      </c>
      <c r="BD214" s="2216">
        <f>IF(ISERROR(AV214),"", IF(AV214=0, "", IF(AV214&gt;'Calculs Péremption conso'!$CB37, Paramétrage!$D$29, AX214)))</f>
        <v>3</v>
      </c>
      <c r="BE214" s="2186">
        <f>IF(ISERROR(AV214),"", IF(AV214=0, "", IF(AV214&gt;'Calculs Péremption conso'!$CB37, 'Calculs Péremption conso'!$BX37-Paramétrage!$D$29*(365/12), AY214)))</f>
        <v>42125.75</v>
      </c>
      <c r="BF214" s="2187" t="str">
        <f>IF(ISERROR(AV214),"", IF(AV214=0, "", IF(AV214&gt;'Calculs Péremption conso'!$CB37, CONCATENATE('TRAD-Calculs dispo Données FA'!$B$88, " - ", 'Calculs Péremption conso'!$BY37, "/", 'Calculs Péremption conso'!$BZ37, "/", 'Calculs Péremption conso'!$CA37), AZ214)))</f>
        <v>DLU - 1/8/2015</v>
      </c>
      <c r="BG214" s="2051"/>
      <c r="BH214" s="2219">
        <f t="shared" si="46"/>
        <v>0</v>
      </c>
      <c r="BI214" s="2197">
        <f>BH214-Paramétrage!D$29</f>
        <v>-3</v>
      </c>
      <c r="BJ214" s="2213">
        <f>IF(BH214&lt;Paramétrage!D$29, BH214, Paramétrage!D$29)</f>
        <v>0</v>
      </c>
      <c r="BK214" s="2213">
        <f t="shared" si="47"/>
        <v>0</v>
      </c>
      <c r="BL214" s="2186">
        <f>Paramétrage!$H$19+BI214*30</f>
        <v>41829</v>
      </c>
      <c r="BM214" s="2187">
        <f>IF(BH214&lt;Paramétrage!$D$29, Paramétrage!$H$19+BJ214*30, Paramétrage!$H$19+BH214*30)</f>
        <v>41919</v>
      </c>
      <c r="BN214" s="2051"/>
      <c r="BO214" s="2219" t="str">
        <f>IF(ISERROR(BH214),"", IF(BH214=0, "", IF(BH214&gt;'Calculs Péremption conso'!$CB37, 'Calculs Péremption conso'!$CB37, BH214)))</f>
        <v/>
      </c>
      <c r="BP214" s="2197" t="str">
        <f>IF(ISERROR(BH214),"", IF(BH214=0, "", IF(BH214&gt;'Calculs Péremption conso'!$CB37, 'Calculs Péremption conso'!$CB37-Paramétrage!$D$29, BI214)))</f>
        <v/>
      </c>
      <c r="BQ214" s="2216" t="str">
        <f>IF(ISERROR(BH214),"", IF(BH214=0, "", IF(BH214&gt;'Calculs Péremption conso'!$CB37, Paramétrage!$D$29, BJ214)))</f>
        <v/>
      </c>
      <c r="BR214" s="2224" t="str">
        <f t="shared" si="48"/>
        <v/>
      </c>
      <c r="BS214" s="2186" t="str">
        <f>IF(ISERROR(BH214),"", IF(BH214=0, "", IF(BH214&gt;'Calculs Péremption conso'!$CB37, 'Calculs Péremption conso'!$BX37-Paramétrage!$D$29*(365/12), BL214)))</f>
        <v/>
      </c>
      <c r="BT214" s="2187" t="str">
        <f>IF(ISERROR(BH214),"", IF(BH214=0, "", IF(BH214&gt;'Calculs Péremption conso'!$CB37, CONCATENATE('TRAD-Calculs dispo Données FA'!$B$88, " - ", 'Calculs Péremption conso'!$BY37, "/", 'Calculs Péremption conso'!$BZ37, "/", 'Calculs Péremption conso'!$CA37), BM214)))</f>
        <v/>
      </c>
      <c r="BV214" s="2061">
        <f>Calculs!$Q292</f>
        <v>956</v>
      </c>
      <c r="BW214" s="2062">
        <f>Calculs!L347</f>
        <v>2</v>
      </c>
      <c r="BX214" s="2068">
        <f>Calculs!N347</f>
        <v>0</v>
      </c>
      <c r="BY214" s="2070" t="str">
        <f>IF(AND(BX214=0, BV214=0, BW214=0), 'TRAD-Calculs dispo Données FA'!$B$82, "")</f>
        <v/>
      </c>
      <c r="BZ214" s="2062" t="str">
        <f>IF(AND(BX214=0, BV214&gt;0, BW214=0), CONCATENATE(BV214, 'TRAD-Calculs dispo Données FA'!$B$80," =0"), "")</f>
        <v/>
      </c>
      <c r="CA214" s="2063" t="str">
        <f>IF(AND(BV214=0, OR(BW214&gt;=1, BX214&gt;=1)), 'TRAD-Calculs dispo Données FA'!$B$81, "")</f>
        <v/>
      </c>
    </row>
    <row r="215" spans="3:79" s="358" customFormat="1" ht="25.5" x14ac:dyDescent="0.2">
      <c r="C215" s="388"/>
      <c r="D215" s="389"/>
      <c r="E215" s="1518" t="str">
        <f>'Saisie données stocks'!F50</f>
        <v>TDF</v>
      </c>
      <c r="F215" s="1519" t="str">
        <f>'Saisie données stocks'!G50</f>
        <v>Cp</v>
      </c>
      <c r="G215" s="1519" t="str">
        <f>'Saisie données stocks'!H50</f>
        <v>300 mg</v>
      </c>
      <c r="H215" s="401" t="str">
        <f>CONCATENATE(E215, " - ", G215, " - ", 'TRAD-Calculs dispo Données FA'!$B$79,"/", K215)</f>
        <v>TDF - 300 mg - B/30</v>
      </c>
      <c r="I215" s="1520">
        <f>Calculs!K133</f>
        <v>1</v>
      </c>
      <c r="J215" s="1795">
        <f t="shared" si="36"/>
        <v>30</v>
      </c>
      <c r="K215" s="1854">
        <f>Calculs!J133</f>
        <v>30</v>
      </c>
      <c r="L215" s="1855">
        <f t="shared" si="37"/>
        <v>1</v>
      </c>
      <c r="M215" s="1822">
        <f>IF('Saisie données stocks'!$O$10='TRAD-Saisie données stocks'!$B$51, 'Calculs Péremption conso'!BU38, Calculs!M293)+IF('Saisie données stocks'!$M$76='TRAD-Saisie données stocks'!$B$51, Calculs!N293, "0")+Calculs!P293</f>
        <v>0</v>
      </c>
      <c r="N215" s="1822">
        <f>Calculs!$L$348</f>
        <v>0</v>
      </c>
      <c r="O215" s="1822">
        <f>Calculs!$N$348</f>
        <v>0</v>
      </c>
      <c r="P215"/>
      <c r="Q215" s="2175" t="e">
        <f>IF(Calculs!N348&gt;0, (-(Calculs!N348+2*Calculs!L348)+SQRT((Calculs!N348+2*Calculs!L348)*(Calculs!N348+2*Calculs!L348)+8*Calculs!N348*(M215)))/(2*Calculs!N348), ((M215)/Calculs!L348))</f>
        <v>#DIV/0!</v>
      </c>
      <c r="R215" s="2220" t="e">
        <f>Q215-Paramétrage!D$29</f>
        <v>#DIV/0!</v>
      </c>
      <c r="S215" s="2182" t="e">
        <f>IF(Q215&lt;Paramétrage!D$29, Q215, Paramétrage!D$29)</f>
        <v>#DIV/0!</v>
      </c>
      <c r="T215" s="2226" t="e">
        <f>Paramétrage!H$19+R215*30</f>
        <v>#DIV/0!</v>
      </c>
      <c r="U215" s="2179" t="e">
        <f>IF(Q215&lt;Paramétrage!D$29, Paramétrage!H$19+S215*30, Paramétrage!H$19+Q215*30)</f>
        <v>#DIV/0!</v>
      </c>
      <c r="V215" s="2051"/>
      <c r="W215" s="2175" t="str">
        <f t="shared" si="38"/>
        <v/>
      </c>
      <c r="X215" s="2227" t="str">
        <f t="shared" si="39"/>
        <v/>
      </c>
      <c r="Y215" s="2182" t="str">
        <f t="shared" si="40"/>
        <v/>
      </c>
      <c r="Z215" s="2178" t="str">
        <f t="shared" si="41"/>
        <v/>
      </c>
      <c r="AA215" s="2179" t="str">
        <f t="shared" si="42"/>
        <v/>
      </c>
      <c r="AB215" s="2051"/>
      <c r="AC215" s="2175" t="e">
        <f t="shared" si="43"/>
        <v>#DIV/0!</v>
      </c>
      <c r="AD215" s="2227" t="e">
        <f>AC215-Paramétrage!D$29</f>
        <v>#DIV/0!</v>
      </c>
      <c r="AE215" s="2225" t="e">
        <f>IF(AC215&lt;Paramétrage!D$29, AC215, Paramétrage!D$29)</f>
        <v>#DIV/0!</v>
      </c>
      <c r="AF215" s="2182" t="e">
        <f t="shared" si="44"/>
        <v>#DIV/0!</v>
      </c>
      <c r="AG215" s="2178" t="e">
        <f>Paramétrage!H$19+AD215*30</f>
        <v>#DIV/0!</v>
      </c>
      <c r="AH215" s="2179" t="e">
        <f>IF(AC215&lt;Paramétrage!D$29, Paramétrage!H$19+AE215*30, Paramétrage!H$19+AC215*30)</f>
        <v>#DIV/0!</v>
      </c>
      <c r="AI215" s="2179">
        <f>'Saisie données stocks'!O171</f>
        <v>0</v>
      </c>
      <c r="AJ215" s="2228" t="str">
        <f>IF(ISERROR(Q215), "0", IF('Saisie données stocks'!O171="", "0", IF(U158&gt;'Saisie données stocks'!$N$14, IF(AI215&gt;(Paramétrage!$H$19+'Saisie données stocks'!$N$14*30), (AI215-(Paramétrage!$H$19+'Saisie données stocks'!$N$14*30))/30, IF(AI215&gt;U158, (AI215-U158)/30, "0")))))</f>
        <v>0</v>
      </c>
      <c r="AK215" s="2227" t="str">
        <f>IF(ISERROR(Q158),"0", IF(Q158=0, "0", IF(Q158&gt;'Calculs Péremption FA'!$CB38, 'Calculs Péremption FA'!$CB38, Q158)))</f>
        <v>0</v>
      </c>
      <c r="AL215" s="2225" t="str">
        <f>IF(ISERROR(AC215),"0", IF(AC215=0, "0", IF(AC215&gt;'Saisie données stocks'!$N$14, 'Saisie données stocks'!$N$14, AC215)))</f>
        <v>0</v>
      </c>
      <c r="AM215" s="2179" t="str">
        <f>IF(ISERROR(Q215),AA215,IF(Calculs!P293=0,AA158,(Paramétrage!$H$19+((AJ215+AK215+AL215)*(365/12)))))</f>
        <v/>
      </c>
      <c r="AN215" s="2051"/>
      <c r="AO215" s="2175" t="str">
        <f>IF(ISERROR(AC215),"", IF(AC215=0, "", IF(AC215&gt;'Saisie données stocks'!$N$14, 'Saisie données stocks'!$N$14, AC215)))</f>
        <v/>
      </c>
      <c r="AP215" s="2227" t="str">
        <f>IF(ISERROR(AC215),"", IF(AC215=0, "", IF(AC215&gt;'Calculs Péremption conso'!$CB38, 'Calculs Péremption conso'!$CB38-Paramétrage!$D$29, AD215)))</f>
        <v/>
      </c>
      <c r="AQ215" s="2182" t="str">
        <f>IF(ISERROR(AC215),"", IF(AC215=0, "", IF(AC215&gt;'Calculs Péremption conso'!$CB38, Paramétrage!$D$29, AE215)))</f>
        <v/>
      </c>
      <c r="AR215" s="2229" t="str">
        <f t="shared" si="45"/>
        <v/>
      </c>
      <c r="AS215" s="2178" t="str">
        <f>IF(ISERROR(AC215),"", IF(AC215=0, "", IF(AC215&gt;'Calculs Péremption conso'!$CB38, 'Calculs Péremption conso'!$BX38-Paramétrage!$D$29*(365/12), AG215)))</f>
        <v/>
      </c>
      <c r="AT215" s="2179" t="str">
        <f>IF(ISERROR(AC215),"", IF(AC215=0, "", IF(AC215&gt;'Calculs Péremption conso'!$CB38, CONCATENATE('TRAD-Calculs dispo Données FA'!$B$88, " - ", 'Calculs Péremption conso'!$BY38, "/", 'Calculs Péremption conso'!$BZ38, "/", 'Calculs Péremption conso'!$CA38), AH215)))</f>
        <v/>
      </c>
      <c r="AU215" s="2051"/>
      <c r="AV215" s="2175" t="e">
        <f>(Calculs!Q293)/Calculs!L348</f>
        <v>#DIV/0!</v>
      </c>
      <c r="AW215" s="2227" t="e">
        <f>AV215-Paramétrage!D$29</f>
        <v>#DIV/0!</v>
      </c>
      <c r="AX215" s="2182" t="e">
        <f>IF(AV215&lt;Paramétrage!D$29, AV215, Paramétrage!D$29)</f>
        <v>#DIV/0!</v>
      </c>
      <c r="AY215" s="2178" t="e">
        <f>Paramétrage!H$19+AW215*(365/12)</f>
        <v>#DIV/0!</v>
      </c>
      <c r="AZ215" s="2179" t="e">
        <f>IF(AV215&lt;Paramétrage!D$29, Paramétrage!H$19+AX215*(365/12), Paramétrage!H$19+AV215*(365/12))</f>
        <v>#DIV/0!</v>
      </c>
      <c r="BA215" s="2051"/>
      <c r="BB215" s="2175" t="str">
        <f>IF(ISERROR(AV215),"", IF(AV215=0, "", IF(AV215&gt;'Calculs Péremption conso'!$CB38, 'Calculs Péremption conso'!$CB38, AV215)))</f>
        <v/>
      </c>
      <c r="BC215" s="2227" t="str">
        <f>IF(ISERROR(AV215),"", IF(AV215=0, "", IF(AV215&gt;'Calculs Péremption conso'!$CB38, 'Calculs Péremption conso'!$CB38-Paramétrage!$D$29, AW215)))</f>
        <v/>
      </c>
      <c r="BD215" s="2182" t="str">
        <f>IF(ISERROR(AV215),"", IF(AV215=0, "", IF(AV215&gt;'Calculs Péremption conso'!$CB38, Paramétrage!$D$29, AX215)))</f>
        <v/>
      </c>
      <c r="BE215" s="2178" t="str">
        <f>IF(ISERROR(AV215),"", IF(AV215=0, "", IF(AV215&gt;'Calculs Péremption conso'!$CB38, 'Calculs Péremption conso'!$BX38-Paramétrage!$D$29*(365/12), AY215)))</f>
        <v/>
      </c>
      <c r="BF215" s="2179" t="str">
        <f>IF(ISERROR(AV215),"", IF(AV215=0, "", IF(AV215&gt;'Calculs Péremption conso'!$CB38, CONCATENATE('TRAD-Calculs dispo Données FA'!$B$88, " - ", 'Calculs Péremption conso'!$BY38, "/", 'Calculs Péremption conso'!$BZ38, "/", 'Calculs Péremption conso'!$CA38), AZ215)))</f>
        <v/>
      </c>
      <c r="BG215" s="2051"/>
      <c r="BH215" s="2175" t="e">
        <f t="shared" si="46"/>
        <v>#DIV/0!</v>
      </c>
      <c r="BI215" s="2227" t="e">
        <f>BH215-Paramétrage!D$29</f>
        <v>#DIV/0!</v>
      </c>
      <c r="BJ215" s="2225" t="e">
        <f>IF(BH215&lt;Paramétrage!D$29, BH215, Paramétrage!D$29)</f>
        <v>#DIV/0!</v>
      </c>
      <c r="BK215" s="2182" t="e">
        <f t="shared" si="47"/>
        <v>#DIV/0!</v>
      </c>
      <c r="BL215" s="2178" t="e">
        <f>Paramétrage!$H$19+BI215*30</f>
        <v>#DIV/0!</v>
      </c>
      <c r="BM215" s="2179" t="e">
        <f>IF(BH215&lt;Paramétrage!$D$29, Paramétrage!$H$19+BJ215*30, Paramétrage!$H$19+BH215*30)</f>
        <v>#DIV/0!</v>
      </c>
      <c r="BN215" s="2051"/>
      <c r="BO215" s="2175" t="str">
        <f>IF(ISERROR(BH215),"", IF(BH215=0, "", IF(BH215&gt;'Calculs Péremption conso'!$CB38, 'Calculs Péremption conso'!$CB38, BH215)))</f>
        <v/>
      </c>
      <c r="BP215" s="2227" t="str">
        <f>IF(ISERROR(BH215),"", IF(BH215=0, "", IF(BH215&gt;'Calculs Péremption conso'!$CB38, 'Calculs Péremption conso'!$CB38-Paramétrage!$D$29, BI215)))</f>
        <v/>
      </c>
      <c r="BQ215" s="2182" t="str">
        <f>IF(ISERROR(BH215),"", IF(BH215=0, "", IF(BH215&gt;'Calculs Péremption conso'!$CB38, Paramétrage!$D$29, BJ215)))</f>
        <v/>
      </c>
      <c r="BR215" s="2229" t="str">
        <f t="shared" si="48"/>
        <v/>
      </c>
      <c r="BS215" s="2178" t="str">
        <f>IF(ISERROR(BH215),"", IF(BH215=0, "", IF(BH215&gt;'Calculs Péremption conso'!$CB38, 'Calculs Péremption conso'!$BX38-Paramétrage!$D$29*(365/12), BL215)))</f>
        <v/>
      </c>
      <c r="BT215" s="2179" t="str">
        <f>IF(ISERROR(BH215),"", IF(BH215=0, "", IF(BH215&gt;'Calculs Péremption conso'!$CB38, CONCATENATE('TRAD-Calculs dispo Données FA'!$B$88, " - ", 'Calculs Péremption conso'!$BY38, "/", 'Calculs Péremption conso'!$BZ38, "/", 'Calculs Péremption conso'!$CA38), BM215)))</f>
        <v/>
      </c>
      <c r="BV215" s="2061">
        <f>Calculs!$Q293</f>
        <v>0</v>
      </c>
      <c r="BW215" s="2062">
        <f>Calculs!L348</f>
        <v>0</v>
      </c>
      <c r="BX215" s="2068">
        <f>Calculs!N348</f>
        <v>0</v>
      </c>
      <c r="BY215" s="2070" t="str">
        <f>IF(AND(BX215=0, BV215=0, BW215=0), 'TRAD-Calculs dispo Données FA'!$B$82, "")</f>
        <v>Stock et besoin nul</v>
      </c>
      <c r="BZ215" s="2062" t="str">
        <f>IF(AND(BX215=0, BV215&gt;0, BW215=0), CONCATENATE(BV215, 'TRAD-Calculs dispo Données FA'!$B$80," =0"), "")</f>
        <v/>
      </c>
      <c r="CA215" s="2063" t="str">
        <f>IF(AND(BV215=0, OR(BW215&gt;=1, BX215&gt;=1)), 'TRAD-Calculs dispo Données FA'!$B$81, "")</f>
        <v/>
      </c>
    </row>
    <row r="216" spans="3:79" s="358" customFormat="1" x14ac:dyDescent="0.2">
      <c r="C216" s="374"/>
      <c r="D216" s="375" t="s">
        <v>41</v>
      </c>
      <c r="E216" s="376" t="str">
        <f>'Saisie données stocks'!F51</f>
        <v>LPV/r</v>
      </c>
      <c r="F216" s="377" t="str">
        <f>'Saisie données stocks'!G51</f>
        <v>Cp</v>
      </c>
      <c r="G216" s="377" t="str">
        <f>'Saisie données stocks'!H51</f>
        <v>200/50 mg</v>
      </c>
      <c r="H216" s="378" t="str">
        <f>CONCATENATE(E216, " - ", G216, " - ", 'TRAD-Calculs dispo Données FA'!$B$79,"/", K216)</f>
        <v>LPV/r - 200/50 mg - B/120</v>
      </c>
      <c r="I216" s="378">
        <f>Calculs!K134</f>
        <v>4</v>
      </c>
      <c r="J216" s="379">
        <f t="shared" si="36"/>
        <v>120</v>
      </c>
      <c r="K216" s="114">
        <f>Calculs!J134</f>
        <v>120</v>
      </c>
      <c r="L216" s="381">
        <f t="shared" si="37"/>
        <v>1</v>
      </c>
      <c r="M216" s="1820">
        <f>IF('Saisie données stocks'!$O$10='TRAD-Saisie données stocks'!$B$51, 'Calculs Péremption conso'!BU39, Calculs!M294)+IF('Saisie données stocks'!$M$76='TRAD-Saisie données stocks'!$B$51, Calculs!N294, "0")+Calculs!P294</f>
        <v>750</v>
      </c>
      <c r="N216" s="1820">
        <f>Calculs!$L$349</f>
        <v>106</v>
      </c>
      <c r="O216" s="1820">
        <f>Calculs!$N$349</f>
        <v>0</v>
      </c>
      <c r="P216"/>
      <c r="Q216" s="2161">
        <f>IF(Calculs!N349&gt;0, (-(Calculs!N349+2*Calculs!L349)+SQRT((Calculs!N349+2*Calculs!L349)*(Calculs!N349+2*Calculs!L349)+8*Calculs!N349*(M216)))/(2*Calculs!N349), ((M216)/Calculs!L349))</f>
        <v>7.0754716981132075</v>
      </c>
      <c r="R216" s="2183">
        <f>Q216-Paramétrage!D$29</f>
        <v>4.0754716981132075</v>
      </c>
      <c r="S216" s="2163">
        <f>IF(Q216&lt;Paramétrage!D$29, Q216, Paramétrage!D$29)</f>
        <v>3</v>
      </c>
      <c r="T216" s="2164">
        <f>Paramétrage!H$19+R216*30</f>
        <v>42041.264150943396</v>
      </c>
      <c r="U216" s="2165">
        <f>IF(Q216&lt;Paramétrage!D$29, Paramétrage!H$19+S216*30, Paramétrage!H$19+Q216*30)</f>
        <v>42131.264150943396</v>
      </c>
      <c r="V216" s="2051"/>
      <c r="W216" s="2161">
        <f t="shared" si="38"/>
        <v>7.0754716981132075</v>
      </c>
      <c r="X216" s="2162">
        <f t="shared" si="39"/>
        <v>4.0754716981132075</v>
      </c>
      <c r="Y216" s="2167">
        <f t="shared" si="40"/>
        <v>3</v>
      </c>
      <c r="Z216" s="2164">
        <f t="shared" si="41"/>
        <v>42041.264150943396</v>
      </c>
      <c r="AA216" s="2165">
        <f t="shared" si="42"/>
        <v>42131.264150943396</v>
      </c>
      <c r="AB216" s="2051"/>
      <c r="AC216" s="2161">
        <f t="shared" si="43"/>
        <v>0</v>
      </c>
      <c r="AD216" s="2162">
        <f>AC216-Paramétrage!D$29</f>
        <v>-3</v>
      </c>
      <c r="AE216" s="2163">
        <f>IF(AC216&lt;Paramétrage!D$29, AC216, Paramétrage!D$29)</f>
        <v>0</v>
      </c>
      <c r="AF216" s="2163">
        <f t="shared" si="44"/>
        <v>0</v>
      </c>
      <c r="AG216" s="2164">
        <f>Paramétrage!H$19+AD216*30</f>
        <v>41829</v>
      </c>
      <c r="AH216" s="2165">
        <f>IF(AC216&lt;Paramétrage!D$29, Paramétrage!H$19+AE216*30, Paramétrage!H$19+AC216*30)</f>
        <v>41919</v>
      </c>
      <c r="AI216" s="2165">
        <f>'Saisie données stocks'!O172</f>
        <v>0</v>
      </c>
      <c r="AJ216" s="2210" t="str">
        <f>IF(ISERROR(Q216), "0", IF('Saisie données stocks'!O172="", "0", IF(U159&gt;'Saisie données stocks'!$N$14, IF(AI216&gt;(Paramétrage!$H$19+'Saisie données stocks'!$N$14*30), (AI216-(Paramétrage!$H$19+'Saisie données stocks'!$N$14*30))/30, IF(AI216&gt;U159, (AI216-U159)/30, "0")))))</f>
        <v>0</v>
      </c>
      <c r="AK216" s="2162">
        <f>IF(ISERROR(Q159),"0", IF(Q159=0, "0", IF(Q159&gt;'Calculs Péremption FA'!$CB39, 'Calculs Péremption FA'!$CB39, Q159)))</f>
        <v>7.0754716981132075</v>
      </c>
      <c r="AL216" s="2163" t="str">
        <f>IF(ISERROR(AC216),"0", IF(AC216=0, "0", IF(AC216&gt;'Saisie données stocks'!$N$14, 'Saisie données stocks'!$N$14, AC216)))</f>
        <v>0</v>
      </c>
      <c r="AM216" s="2165">
        <f>IF(ISERROR(Q216),AA216,IF(Calculs!P294=0,AA159,(Paramétrage!$H$19+((AJ216+AK216+AL216)*(365/12)))))</f>
        <v>42134.212264150941</v>
      </c>
      <c r="AN216" s="2051"/>
      <c r="AO216" s="2161" t="str">
        <f>IF(ISERROR(AC216),"", IF(AC216=0, "", IF(AC216&gt;'Saisie données stocks'!$N$14, 'Saisie données stocks'!$N$14, AC216)))</f>
        <v/>
      </c>
      <c r="AP216" s="2162" t="str">
        <f>IF(ISERROR(AC216),"", IF(AC216=0, "", IF(AC216&gt;'Calculs Péremption conso'!$CB39, 'Calculs Péremption conso'!$CB39-Paramétrage!$D$29, AD216)))</f>
        <v/>
      </c>
      <c r="AQ216" s="2167" t="str">
        <f>IF(ISERROR(AC216),"", IF(AC216=0, "", IF(AC216&gt;'Calculs Péremption conso'!$CB39, Paramétrage!$D$29, AE216)))</f>
        <v/>
      </c>
      <c r="AR216" s="2211" t="str">
        <f t="shared" si="45"/>
        <v/>
      </c>
      <c r="AS216" s="2164" t="str">
        <f>IF(ISERROR(AC216),"", IF(AC216=0, "", IF(AC216&gt;'Calculs Péremption conso'!$CB39, 'Calculs Péremption conso'!$BX39-Paramétrage!$D$29*(365/12), AG216)))</f>
        <v/>
      </c>
      <c r="AT216" s="2165" t="str">
        <f>IF(ISERROR(AC216),"", IF(AC216=0, "", IF(AC216&gt;'Calculs Péremption conso'!$CB39, CONCATENATE('TRAD-Calculs dispo Données FA'!$B$88, " - ", 'Calculs Péremption conso'!$BY39, "/", 'Calculs Péremption conso'!$BZ39, "/", 'Calculs Péremption conso'!$CA39), AH216)))</f>
        <v/>
      </c>
      <c r="AU216" s="2051"/>
      <c r="AV216" s="2161">
        <f>(Calculs!Q294)/Calculs!L349</f>
        <v>7.0754716981132075</v>
      </c>
      <c r="AW216" s="2162">
        <f>AV216-Paramétrage!D$29</f>
        <v>4.0754716981132075</v>
      </c>
      <c r="AX216" s="2163">
        <f>IF(AV216&lt;Paramétrage!D$29, AV216, Paramétrage!D$29)</f>
        <v>3</v>
      </c>
      <c r="AY216" s="2164">
        <f>Paramétrage!H$19+AW216*(365/12)</f>
        <v>42042.962264150941</v>
      </c>
      <c r="AZ216" s="2165">
        <f>IF(AV216&lt;Paramétrage!D$29, Paramétrage!H$19+AX216*(365/12), Paramétrage!H$19+AV216*(365/12))</f>
        <v>42134.212264150941</v>
      </c>
      <c r="BA216" s="2051"/>
      <c r="BB216" s="2161">
        <f>IF(ISERROR(AV216),"", IF(AV216=0, "", IF(AV216&gt;'Calculs Péremption conso'!$CB39, 'Calculs Péremption conso'!$CB39, AV216)))</f>
        <v>7.0754716981132075</v>
      </c>
      <c r="BC216" s="2162">
        <f>IF(ISERROR(AV216),"", IF(AV216=0, "", IF(AV216&gt;'Calculs Péremption conso'!$CB39, 'Calculs Péremption conso'!$CB39-Paramétrage!$D$29, AW216)))</f>
        <v>4.0754716981132075</v>
      </c>
      <c r="BD216" s="2167">
        <f>IF(ISERROR(AV216),"", IF(AV216=0, "", IF(AV216&gt;'Calculs Péremption conso'!$CB39, Paramétrage!$D$29, AX216)))</f>
        <v>3</v>
      </c>
      <c r="BE216" s="2164">
        <f>IF(ISERROR(AV216),"", IF(AV216=0, "", IF(AV216&gt;'Calculs Péremption conso'!$CB39, 'Calculs Péremption conso'!$BX39-Paramétrage!$D$29*(365/12), AY216)))</f>
        <v>42042.962264150941</v>
      </c>
      <c r="BF216" s="2165">
        <f>IF(ISERROR(AV216),"", IF(AV216=0, "", IF(AV216&gt;'Calculs Péremption conso'!$CB39, CONCATENATE('TRAD-Calculs dispo Données FA'!$B$88, " - ", 'Calculs Péremption conso'!$BY39, "/", 'Calculs Péremption conso'!$BZ39, "/", 'Calculs Péremption conso'!$CA39), AZ216)))</f>
        <v>42134.212264150941</v>
      </c>
      <c r="BG216" s="2051"/>
      <c r="BH216" s="2161">
        <f t="shared" si="46"/>
        <v>0</v>
      </c>
      <c r="BI216" s="2162">
        <f>BH216-Paramétrage!D$29</f>
        <v>-3</v>
      </c>
      <c r="BJ216" s="2163">
        <f>IF(BH216&lt;Paramétrage!D$29, BH216, Paramétrage!D$29)</f>
        <v>0</v>
      </c>
      <c r="BK216" s="2163">
        <f t="shared" si="47"/>
        <v>0</v>
      </c>
      <c r="BL216" s="2164">
        <f>Paramétrage!$H$19+BI216*30</f>
        <v>41829</v>
      </c>
      <c r="BM216" s="2165">
        <f>IF(BH216&lt;Paramétrage!$D$29, Paramétrage!$H$19+BJ216*30, Paramétrage!$H$19+BH216*30)</f>
        <v>41919</v>
      </c>
      <c r="BN216" s="2051"/>
      <c r="BO216" s="2161" t="str">
        <f>IF(ISERROR(BH216),"", IF(BH216=0, "", IF(BH216&gt;'Calculs Péremption conso'!$CB39, 'Calculs Péremption conso'!$CB39, BH216)))</f>
        <v/>
      </c>
      <c r="BP216" s="2162" t="str">
        <f>IF(ISERROR(BH216),"", IF(BH216=0, "", IF(BH216&gt;'Calculs Péremption conso'!$CB39, 'Calculs Péremption conso'!$CB39-Paramétrage!$D$29, BI216)))</f>
        <v/>
      </c>
      <c r="BQ216" s="2167" t="str">
        <f>IF(ISERROR(BH216),"", IF(BH216=0, "", IF(BH216&gt;'Calculs Péremption conso'!$CB39, Paramétrage!$D$29, BJ216)))</f>
        <v/>
      </c>
      <c r="BR216" s="2211" t="str">
        <f t="shared" si="48"/>
        <v/>
      </c>
      <c r="BS216" s="2164" t="str">
        <f>IF(ISERROR(BH216),"", IF(BH216=0, "", IF(BH216&gt;'Calculs Péremption conso'!$CB39, 'Calculs Péremption conso'!$BX39-Paramétrage!$D$29*(365/12), BL216)))</f>
        <v/>
      </c>
      <c r="BT216" s="2165" t="str">
        <f>IF(ISERROR(BH216),"", IF(BH216=0, "", IF(BH216&gt;'Calculs Péremption conso'!$CB39, CONCATENATE('TRAD-Calculs dispo Données FA'!$B$88, " - ", 'Calculs Péremption conso'!$BY39, "/", 'Calculs Péremption conso'!$BZ39, "/", 'Calculs Péremption conso'!$CA39), BM216)))</f>
        <v/>
      </c>
      <c r="BV216" s="2061">
        <f>Calculs!$Q294</f>
        <v>750</v>
      </c>
      <c r="BW216" s="2062">
        <f>Calculs!L349</f>
        <v>106</v>
      </c>
      <c r="BX216" s="2068">
        <f>Calculs!N349</f>
        <v>0</v>
      </c>
      <c r="BY216" s="2070" t="str">
        <f>IF(AND(BX216=0, BV216=0, BW216=0), 'TRAD-Calculs dispo Données FA'!$B$82, "")</f>
        <v/>
      </c>
      <c r="BZ216" s="2062" t="str">
        <f>IF(AND(BX216=0, BV216&gt;0, BW216=0), CONCATENATE(BV216, 'TRAD-Calculs dispo Données FA'!$B$80," =0"), "")</f>
        <v/>
      </c>
      <c r="CA216" s="2063" t="str">
        <f>IF(AND(BV216=0, OR(BW216&gt;=1, BX216&gt;=1)), 'TRAD-Calculs dispo Données FA'!$B$81, "")</f>
        <v/>
      </c>
    </row>
    <row r="217" spans="3:79" s="358" customFormat="1" ht="25.5" x14ac:dyDescent="0.2">
      <c r="C217" s="374"/>
      <c r="D217" s="375"/>
      <c r="E217" s="534" t="str">
        <f>'Saisie données stocks'!F52</f>
        <v>LPV/r</v>
      </c>
      <c r="F217" s="535" t="str">
        <f>'Saisie données stocks'!G52</f>
        <v>Cp coblister</v>
      </c>
      <c r="G217" s="535" t="str">
        <f>'Saisie données stocks'!H52</f>
        <v>100/25 mg</v>
      </c>
      <c r="H217" s="403" t="str">
        <f>CONCATENATE(E217, " - ", G217, " - ", 'TRAD-Calculs dispo Données FA'!$B$79,"/", K217)</f>
        <v>LPV/r - 100/25 mg - B/60</v>
      </c>
      <c r="I217" s="544">
        <f>Calculs!K135</f>
        <v>2</v>
      </c>
      <c r="J217" s="533">
        <f t="shared" si="36"/>
        <v>60</v>
      </c>
      <c r="K217" s="537">
        <f>Calculs!J135</f>
        <v>60</v>
      </c>
      <c r="L217" s="538">
        <f t="shared" si="37"/>
        <v>1</v>
      </c>
      <c r="M217" s="1871">
        <f>IF('Saisie données stocks'!$O$10='TRAD-Saisie données stocks'!$B$51, 'Calculs Péremption conso'!BU40, Calculs!M295)+IF('Saisie données stocks'!$M$76='TRAD-Saisie données stocks'!$B$51, Calculs!N295, "0")+Calculs!P295</f>
        <v>187.15342465753429</v>
      </c>
      <c r="N217" s="1871">
        <f>Calculs!$L$350</f>
        <v>18</v>
      </c>
      <c r="O217" s="1871">
        <f>Calculs!$N$350</f>
        <v>0</v>
      </c>
      <c r="P217"/>
      <c r="Q217" s="2230">
        <f>IF(Calculs!N350&gt;0, (-(Calculs!N350+2*Calculs!L350)+SQRT((Calculs!N350+2*Calculs!L350)*(Calculs!N350+2*Calculs!L350)+8*Calculs!N350*(M217)))/(2*Calculs!N350), ((M217)/Calculs!L350))</f>
        <v>10.397412480974127</v>
      </c>
      <c r="R217" s="2231">
        <f>Q217-Paramétrage!D$29</f>
        <v>7.3974124809741273</v>
      </c>
      <c r="S217" s="2163">
        <f>IF(Q217&lt;Paramétrage!D$29, Q217, Paramétrage!D$29)</f>
        <v>3</v>
      </c>
      <c r="T217" s="2232">
        <f>Paramétrage!H$19+R217*30</f>
        <v>42140.922374429225</v>
      </c>
      <c r="U217" s="2233">
        <f>IF(Q217&lt;Paramétrage!D$29, Paramétrage!H$19+S217*30, Paramétrage!H$19+Q217*30)</f>
        <v>42230.922374429225</v>
      </c>
      <c r="V217" s="2051"/>
      <c r="W217" s="2230">
        <f t="shared" si="38"/>
        <v>10.397412480974127</v>
      </c>
      <c r="X217" s="2231">
        <f t="shared" si="39"/>
        <v>7.3974124809741273</v>
      </c>
      <c r="Y217" s="2167">
        <f t="shared" si="40"/>
        <v>3</v>
      </c>
      <c r="Z217" s="2186">
        <f t="shared" si="41"/>
        <v>42140.922374429225</v>
      </c>
      <c r="AA217" s="2187">
        <f t="shared" si="42"/>
        <v>42230.922374429225</v>
      </c>
      <c r="AB217" s="2051"/>
      <c r="AC217" s="2230">
        <f t="shared" si="43"/>
        <v>0</v>
      </c>
      <c r="AD217" s="2231">
        <f>AC217-Paramétrage!D$29</f>
        <v>-3</v>
      </c>
      <c r="AE217" s="2163">
        <f>IF(AC217&lt;Paramétrage!D$29, AC217, Paramétrage!D$29)</f>
        <v>0</v>
      </c>
      <c r="AF217" s="2163">
        <f t="shared" si="44"/>
        <v>0</v>
      </c>
      <c r="AG217" s="2186">
        <f>Paramétrage!H$19+AD217*30</f>
        <v>41829</v>
      </c>
      <c r="AH217" s="2187">
        <f>IF(AC217&lt;Paramétrage!D$29, Paramétrage!H$19+AE217*30, Paramétrage!H$19+AC217*30)</f>
        <v>41919</v>
      </c>
      <c r="AI217" s="2187">
        <f>'Saisie données stocks'!O173</f>
        <v>0</v>
      </c>
      <c r="AJ217" s="2234" t="str">
        <f>IF(ISERROR(Q217), "0", IF('Saisie données stocks'!O173="", "0", IF(U160&gt;'Saisie données stocks'!$N$14, IF(AI217&gt;(Paramétrage!$H$19+'Saisie données stocks'!$N$14*30), (AI217-(Paramétrage!$H$19+'Saisie données stocks'!$N$14*30))/30, IF(AI217&gt;U160, (AI217-U160)/30, "0")))))</f>
        <v>0</v>
      </c>
      <c r="AK217" s="2231">
        <f>IF(ISERROR(Q160),"0", IF(Q160=0, "0", IF(Q160&gt;'Calculs Péremption FA'!$CB40, 'Calculs Péremption FA'!$CB40, Q160)))</f>
        <v>5.7863013698630139</v>
      </c>
      <c r="AL217" s="2163" t="str">
        <f>IF(ISERROR(AC217),"0", IF(AC217=0, "0", IF(AC217&gt;'Saisie données stocks'!$N$14, 'Saisie données stocks'!$N$14, AC217)))</f>
        <v>0</v>
      </c>
      <c r="AM217" s="2187" t="str">
        <f>IF(ISERROR(Q217),AA217,IF(Calculs!P295=0,AA160,(Paramétrage!$H$19+((AJ217+AK217+AL217)*(365/12)))))</f>
        <v>DLU - 1/4/2015</v>
      </c>
      <c r="AN217" s="2051"/>
      <c r="AO217" s="2230" t="str">
        <f>IF(ISERROR(AC217),"", IF(AC217=0, "", IF(AC217&gt;'Saisie données stocks'!$N$14, 'Saisie données stocks'!$N$14, AC217)))</f>
        <v/>
      </c>
      <c r="AP217" s="2231" t="str">
        <f>IF(ISERROR(AC217),"", IF(AC217=0, "", IF(AC217&gt;'Calculs Péremption conso'!$CB40, 'Calculs Péremption conso'!$CB40-Paramétrage!$D$29, AD217)))</f>
        <v/>
      </c>
      <c r="AQ217" s="2167" t="str">
        <f>IF(ISERROR(AC217),"", IF(AC217=0, "", IF(AC217&gt;'Calculs Péremption conso'!$CB40, Paramétrage!$D$29, AE217)))</f>
        <v/>
      </c>
      <c r="AR217" s="2235" t="str">
        <f t="shared" si="45"/>
        <v/>
      </c>
      <c r="AS217" s="2186" t="str">
        <f>IF(ISERROR(AC217),"", IF(AC217=0, "", IF(AC217&gt;'Calculs Péremption conso'!$CB40, 'Calculs Péremption conso'!$BX40-Paramétrage!$D$29*(365/12), AG217)))</f>
        <v/>
      </c>
      <c r="AT217" s="2187" t="str">
        <f>IF(ISERROR(AC217),"", IF(AC217=0, "", IF(AC217&gt;'Calculs Péremption conso'!$CB40, CONCATENATE('TRAD-Calculs dispo Données FA'!$B$88, " - ", 'Calculs Péremption conso'!$BY40, "/", 'Calculs Péremption conso'!$BZ40, "/", 'Calculs Péremption conso'!$CA40), AH217)))</f>
        <v/>
      </c>
      <c r="AU217" s="2051"/>
      <c r="AV217" s="2230">
        <f>(Calculs!Q295)/Calculs!L350</f>
        <v>42.777777777777779</v>
      </c>
      <c r="AW217" s="2231">
        <f>AV217-Paramétrage!D$29</f>
        <v>39.777777777777779</v>
      </c>
      <c r="AX217" s="2163">
        <f>IF(AV217&lt;Paramétrage!D$29, AV217, Paramétrage!D$29)</f>
        <v>3</v>
      </c>
      <c r="AY217" s="2186">
        <f>Paramétrage!H$19+AW217*(365/12)</f>
        <v>43128.907407407409</v>
      </c>
      <c r="AZ217" s="2187">
        <f>IF(AV217&lt;Paramétrage!D$29, Paramétrage!H$19+AX217*(365/12), Paramétrage!H$19+AV217*(365/12))</f>
        <v>43220.157407407409</v>
      </c>
      <c r="BA217" s="2051"/>
      <c r="BB217" s="2230">
        <f>IF(ISERROR(AV217),"", IF(AV217=0, "", IF(AV217&gt;'Calculs Péremption conso'!$CB40, 'Calculs Péremption conso'!$CB40, AV217)))</f>
        <v>5.7863013698630139</v>
      </c>
      <c r="BC217" s="2231">
        <f>IF(ISERROR(AV217),"", IF(AV217=0, "", IF(AV217&gt;'Calculs Péremption conso'!$CB40, 'Calculs Péremption conso'!$CB40-Paramétrage!$D$29, AW217)))</f>
        <v>2.7863013698630139</v>
      </c>
      <c r="BD217" s="2167">
        <f>IF(ISERROR(AV217),"", IF(AV217=0, "", IF(AV217&gt;'Calculs Péremption conso'!$CB40, Paramétrage!$D$29, AX217)))</f>
        <v>3</v>
      </c>
      <c r="BE217" s="2186">
        <f>IF(ISERROR(AV217),"", IF(AV217=0, "", IF(AV217&gt;'Calculs Péremption conso'!$CB40, 'Calculs Péremption conso'!$BX40-Paramétrage!$D$29*(365/12), AY217)))</f>
        <v>42003.75</v>
      </c>
      <c r="BF217" s="2187" t="str">
        <f>IF(ISERROR(AV217),"", IF(AV217=0, "", IF(AV217&gt;'Calculs Péremption conso'!$CB40, CONCATENATE('TRAD-Calculs dispo Données FA'!$B$88, " - ", 'Calculs Péremption conso'!$BY40, "/", 'Calculs Péremption conso'!$BZ40, "/", 'Calculs Péremption conso'!$CA40), AZ217)))</f>
        <v>DLU - 1/4/2015</v>
      </c>
      <c r="BG217" s="2051"/>
      <c r="BH217" s="2230">
        <f t="shared" si="46"/>
        <v>0</v>
      </c>
      <c r="BI217" s="2231">
        <f>BH217-Paramétrage!D$29</f>
        <v>-3</v>
      </c>
      <c r="BJ217" s="2163">
        <f>IF(BH217&lt;Paramétrage!D$29, BH217, Paramétrage!D$29)</f>
        <v>0</v>
      </c>
      <c r="BK217" s="2163">
        <f t="shared" si="47"/>
        <v>0</v>
      </c>
      <c r="BL217" s="2186">
        <f>Paramétrage!$H$19+BI217*30</f>
        <v>41829</v>
      </c>
      <c r="BM217" s="2187">
        <f>IF(BH217&lt;Paramétrage!$D$29, Paramétrage!$H$19+BJ217*30, Paramétrage!$H$19+BH217*30)</f>
        <v>41919</v>
      </c>
      <c r="BN217" s="2051"/>
      <c r="BO217" s="2230" t="str">
        <f>IF(ISERROR(BH217),"", IF(BH217=0, "", IF(BH217&gt;'Calculs Péremption conso'!$CB40, 'Calculs Péremption conso'!$CB40, BH217)))</f>
        <v/>
      </c>
      <c r="BP217" s="2231" t="str">
        <f>IF(ISERROR(BH217),"", IF(BH217=0, "", IF(BH217&gt;'Calculs Péremption conso'!$CB40, 'Calculs Péremption conso'!$CB40-Paramétrage!$D$29, BI217)))</f>
        <v/>
      </c>
      <c r="BQ217" s="2167" t="str">
        <f>IF(ISERROR(BH217),"", IF(BH217=0, "", IF(BH217&gt;'Calculs Péremption conso'!$CB40, Paramétrage!$D$29, BJ217)))</f>
        <v/>
      </c>
      <c r="BR217" s="2235" t="str">
        <f t="shared" si="48"/>
        <v/>
      </c>
      <c r="BS217" s="2186" t="str">
        <f>IF(ISERROR(BH217),"", IF(BH217=0, "", IF(BH217&gt;'Calculs Péremption conso'!$CB40, 'Calculs Péremption conso'!$BX40-Paramétrage!$D$29*(365/12), BL217)))</f>
        <v/>
      </c>
      <c r="BT217" s="2187" t="str">
        <f>IF(ISERROR(BH217),"", IF(BH217=0, "", IF(BH217&gt;'Calculs Péremption conso'!$CB40, CONCATENATE('TRAD-Calculs dispo Données FA'!$B$88, " - ", 'Calculs Péremption conso'!$BY40, "/", 'Calculs Péremption conso'!$BZ40, "/", 'Calculs Péremption conso'!$CA40), BM217)))</f>
        <v/>
      </c>
      <c r="BV217" s="2061">
        <f>Calculs!$Q295</f>
        <v>770</v>
      </c>
      <c r="BW217" s="2062">
        <f>Calculs!L350</f>
        <v>18</v>
      </c>
      <c r="BX217" s="2068">
        <f>Calculs!N350</f>
        <v>0</v>
      </c>
      <c r="BY217" s="2070" t="str">
        <f>IF(AND(BX217=0, BV217=0, BW217=0), 'TRAD-Calculs dispo Données FA'!$B$82, "")</f>
        <v/>
      </c>
      <c r="BZ217" s="2062" t="str">
        <f>IF(AND(BX217=0, BV217&gt;0, BW217=0), CONCATENATE(BV217, 'TRAD-Calculs dispo Données FA'!$B$80," =0"), "")</f>
        <v/>
      </c>
      <c r="CA217" s="2063" t="str">
        <f>IF(AND(BV217=0, OR(BW217&gt;=1, BX217&gt;=1)), 'TRAD-Calculs dispo Données FA'!$B$81, "")</f>
        <v/>
      </c>
    </row>
    <row r="218" spans="3:79" s="358" customFormat="1" ht="25.5" x14ac:dyDescent="0.2">
      <c r="C218" s="374"/>
      <c r="D218" s="402"/>
      <c r="E218" s="1843" t="str">
        <f>'Saisie données stocks'!F53</f>
        <v>ATV/r</v>
      </c>
      <c r="F218" s="1844" t="str">
        <f>'Saisie données stocks'!G53</f>
        <v>Cp</v>
      </c>
      <c r="G218" s="1844" t="str">
        <f>'Saisie données stocks'!H53</f>
        <v>300/100 mg</v>
      </c>
      <c r="H218" s="403" t="str">
        <f>CONCATENATE(E218, " - ", G218, " - ", 'TRAD-Calculs dispo Données FA'!$B$79,"/", K218)</f>
        <v>ATV/r - 300/100 mg - B/60</v>
      </c>
      <c r="I218" s="1862">
        <f>Calculs!K136</f>
        <v>2</v>
      </c>
      <c r="J218" s="1807">
        <f t="shared" si="36"/>
        <v>60</v>
      </c>
      <c r="K218" s="1386">
        <f>Calculs!J136</f>
        <v>60</v>
      </c>
      <c r="L218" s="1846">
        <f t="shared" si="37"/>
        <v>1</v>
      </c>
      <c r="M218" s="1871">
        <f>IF('Saisie données stocks'!$O$10='TRAD-Saisie données stocks'!$B$51, 'Calculs Péremption conso'!BU41, Calculs!M296)+IF('Saisie données stocks'!$M$76='TRAD-Saisie données stocks'!$B$51, Calculs!N296, "0")+Calculs!P296</f>
        <v>0</v>
      </c>
      <c r="N218" s="1871">
        <f>Calculs!$L$351</f>
        <v>0</v>
      </c>
      <c r="O218" s="1871">
        <f>Calculs!$N$351</f>
        <v>0</v>
      </c>
      <c r="P218"/>
      <c r="Q218" s="2219" t="e">
        <f>IF(Calculs!N351&gt;0, (-(Calculs!N351+2*Calculs!L351)+SQRT((Calculs!N351+2*Calculs!L351)*(Calculs!N351+2*Calculs!L351)+8*Calculs!N351*(M218)))/(2*Calculs!N351), ((M218)/Calculs!L351))</f>
        <v>#DIV/0!</v>
      </c>
      <c r="R218" s="2220" t="e">
        <f>Q218-Paramétrage!D$29</f>
        <v>#DIV/0!</v>
      </c>
      <c r="S218" s="2163" t="e">
        <f>IF(Q218&lt;Paramétrage!D$29, Q218, Paramétrage!D$29)</f>
        <v>#DIV/0!</v>
      </c>
      <c r="T218" s="2222" t="e">
        <f>Paramétrage!H$19+R218*30</f>
        <v>#DIV/0!</v>
      </c>
      <c r="U218" s="2187" t="e">
        <f>IF(Q218&lt;Paramétrage!D$29, Paramétrage!H$19+S218*30, Paramétrage!H$19+Q218*30)</f>
        <v>#DIV/0!</v>
      </c>
      <c r="V218" s="2051"/>
      <c r="W218" s="2219" t="str">
        <f t="shared" si="38"/>
        <v/>
      </c>
      <c r="X218" s="2220" t="str">
        <f t="shared" si="39"/>
        <v/>
      </c>
      <c r="Y218" s="2167" t="str">
        <f t="shared" si="40"/>
        <v/>
      </c>
      <c r="Z218" s="2186" t="str">
        <f t="shared" si="41"/>
        <v/>
      </c>
      <c r="AA218" s="2187" t="str">
        <f t="shared" si="42"/>
        <v>1705B &amp; conso =0</v>
      </c>
      <c r="AB218" s="2051"/>
      <c r="AC218" s="2219" t="e">
        <f t="shared" si="43"/>
        <v>#DIV/0!</v>
      </c>
      <c r="AD218" s="2220" t="e">
        <f>AC218-Paramétrage!D$29</f>
        <v>#DIV/0!</v>
      </c>
      <c r="AE218" s="2163" t="e">
        <f>IF(AC218&lt;Paramétrage!D$29, AC218, Paramétrage!D$29)</f>
        <v>#DIV/0!</v>
      </c>
      <c r="AF218" s="2163" t="e">
        <f t="shared" si="44"/>
        <v>#DIV/0!</v>
      </c>
      <c r="AG218" s="2186" t="e">
        <f>Paramétrage!H$19+AD218*30</f>
        <v>#DIV/0!</v>
      </c>
      <c r="AH218" s="2187" t="e">
        <f>IF(AC218&lt;Paramétrage!D$29, Paramétrage!H$19+AE218*30, Paramétrage!H$19+AC218*30)</f>
        <v>#DIV/0!</v>
      </c>
      <c r="AI218" s="2187">
        <f>'Saisie données stocks'!O174</f>
        <v>0</v>
      </c>
      <c r="AJ218" s="2223" t="str">
        <f>IF(ISERROR(Q218), "0", IF('Saisie données stocks'!O174="", "0", IF(U161&gt;'Saisie données stocks'!$N$14, IF(AI218&gt;(Paramétrage!$H$19+'Saisie données stocks'!$N$14*30), (AI218-(Paramétrage!$H$19+'Saisie données stocks'!$N$14*30))/30, IF(AI218&gt;U161, (AI218-U161)/30, "0")))))</f>
        <v>0</v>
      </c>
      <c r="AK218" s="2220" t="str">
        <f>IF(ISERROR(Q161),"0", IF(Q161=0, "0", IF(Q161&gt;'Calculs Péremption FA'!$CB41, 'Calculs Péremption FA'!$CB41, Q161)))</f>
        <v>0</v>
      </c>
      <c r="AL218" s="2163" t="str">
        <f>IF(ISERROR(AC218),"0", IF(AC218=0, "0", IF(AC218&gt;'Saisie données stocks'!$N$14, 'Saisie données stocks'!$N$14, AC218)))</f>
        <v>0</v>
      </c>
      <c r="AM218" s="2187" t="str">
        <f>IF(ISERROR(Q218),AA218,IF(Calculs!P296=0,AA161,(Paramétrage!$H$19+((AJ218+AK218+AL218)*(365/12)))))</f>
        <v>1705B &amp; conso =0</v>
      </c>
      <c r="AN218" s="2051"/>
      <c r="AO218" s="2219" t="str">
        <f>IF(ISERROR(AC218),"", IF(AC218=0, "", IF(AC218&gt;'Saisie données stocks'!$N$14, 'Saisie données stocks'!$N$14, AC218)))</f>
        <v/>
      </c>
      <c r="AP218" s="2220" t="str">
        <f>IF(ISERROR(AC218),"", IF(AC218=0, "", IF(AC218&gt;'Calculs Péremption conso'!$CB41, 'Calculs Péremption conso'!$CB41-Paramétrage!$D$29, AD218)))</f>
        <v/>
      </c>
      <c r="AQ218" s="2167" t="str">
        <f>IF(ISERROR(AC218),"", IF(AC218=0, "", IF(AC218&gt;'Calculs Péremption conso'!$CB41, Paramétrage!$D$29, AE218)))</f>
        <v/>
      </c>
      <c r="AR218" s="2235" t="str">
        <f t="shared" si="45"/>
        <v/>
      </c>
      <c r="AS218" s="2186" t="str">
        <f>IF(ISERROR(AC218),"", IF(AC218=0, "", IF(AC218&gt;'Calculs Péremption conso'!$CB41, 'Calculs Péremption conso'!$BX41-Paramétrage!$D$29*(365/12), AG218)))</f>
        <v/>
      </c>
      <c r="AT218" s="2187" t="str">
        <f>IF(ISERROR(AC218),"", IF(AC218=0, "", IF(AC218&gt;'Calculs Péremption conso'!$CB41, CONCATENATE('TRAD-Calculs dispo Données FA'!$B$88, " - ", 'Calculs Péremption conso'!$BY41, "/", 'Calculs Péremption conso'!$BZ41, "/", 'Calculs Péremption conso'!$CA41), AH218)))</f>
        <v/>
      </c>
      <c r="AU218" s="2051"/>
      <c r="AV218" s="2219" t="e">
        <f>(Calculs!Q296)/Calculs!L351</f>
        <v>#DIV/0!</v>
      </c>
      <c r="AW218" s="2220" t="e">
        <f>AV218-Paramétrage!D$29</f>
        <v>#DIV/0!</v>
      </c>
      <c r="AX218" s="2163" t="e">
        <f>IF(AV218&lt;Paramétrage!D$29, AV218, Paramétrage!D$29)</f>
        <v>#DIV/0!</v>
      </c>
      <c r="AY218" s="2186" t="e">
        <f>Paramétrage!H$19+AW218*(365/12)</f>
        <v>#DIV/0!</v>
      </c>
      <c r="AZ218" s="2187" t="e">
        <f>IF(AV218&lt;Paramétrage!D$29, Paramétrage!H$19+AX218*(365/12), Paramétrage!H$19+AV218*(365/12))</f>
        <v>#DIV/0!</v>
      </c>
      <c r="BA218" s="2051"/>
      <c r="BB218" s="2219" t="str">
        <f>IF(ISERROR(AV218),"", IF(AV218=0, "", IF(AV218&gt;'Calculs Péremption conso'!$CB41, 'Calculs Péremption conso'!$CB41, AV218)))</f>
        <v/>
      </c>
      <c r="BC218" s="2220" t="str">
        <f>IF(ISERROR(AV218),"", IF(AV218=0, "", IF(AV218&gt;'Calculs Péremption conso'!$CB41, 'Calculs Péremption conso'!$CB41-Paramétrage!$D$29, AW218)))</f>
        <v/>
      </c>
      <c r="BD218" s="2167" t="str">
        <f>IF(ISERROR(AV218),"", IF(AV218=0, "", IF(AV218&gt;'Calculs Péremption conso'!$CB41, Paramétrage!$D$29, AX218)))</f>
        <v/>
      </c>
      <c r="BE218" s="2186" t="str">
        <f>IF(ISERROR(AV218),"", IF(AV218=0, "", IF(AV218&gt;'Calculs Péremption conso'!$CB41, 'Calculs Péremption conso'!$BX41-Paramétrage!$D$29*(365/12), AY218)))</f>
        <v/>
      </c>
      <c r="BF218" s="2187" t="str">
        <f>IF(ISERROR(AV218),"", IF(AV218=0, "", IF(AV218&gt;'Calculs Péremption conso'!$CB41, CONCATENATE('TRAD-Calculs dispo Données FA'!$B$88, " - ", 'Calculs Péremption conso'!$BY41, "/", 'Calculs Péremption conso'!$BZ41, "/", 'Calculs Péremption conso'!$CA41), AZ218)))</f>
        <v/>
      </c>
      <c r="BG218" s="2051"/>
      <c r="BH218" s="2219" t="e">
        <f t="shared" si="46"/>
        <v>#DIV/0!</v>
      </c>
      <c r="BI218" s="2220" t="e">
        <f>BH218-Paramétrage!D$29</f>
        <v>#DIV/0!</v>
      </c>
      <c r="BJ218" s="2163" t="e">
        <f>IF(BH218&lt;Paramétrage!D$29, BH218, Paramétrage!D$29)</f>
        <v>#DIV/0!</v>
      </c>
      <c r="BK218" s="2163" t="e">
        <f t="shared" si="47"/>
        <v>#DIV/0!</v>
      </c>
      <c r="BL218" s="2186" t="e">
        <f>Paramétrage!$H$19+BI218*30</f>
        <v>#DIV/0!</v>
      </c>
      <c r="BM218" s="2187" t="e">
        <f>IF(BH218&lt;Paramétrage!$D$29, Paramétrage!$H$19+BJ218*30, Paramétrage!$H$19+BH218*30)</f>
        <v>#DIV/0!</v>
      </c>
      <c r="BN218" s="2051"/>
      <c r="BO218" s="2219" t="str">
        <f>IF(ISERROR(BH218),"", IF(BH218=0, "", IF(BH218&gt;'Calculs Péremption conso'!$CB41, 'Calculs Péremption conso'!$CB41, BH218)))</f>
        <v/>
      </c>
      <c r="BP218" s="2220" t="str">
        <f>IF(ISERROR(BH218),"", IF(BH218=0, "", IF(BH218&gt;'Calculs Péremption conso'!$CB41, 'Calculs Péremption conso'!$CB41-Paramétrage!$D$29, BI218)))</f>
        <v/>
      </c>
      <c r="BQ218" s="2167" t="str">
        <f>IF(ISERROR(BH218),"", IF(BH218=0, "", IF(BH218&gt;'Calculs Péremption conso'!$CB41, Paramétrage!$D$29, BJ218)))</f>
        <v/>
      </c>
      <c r="BR218" s="2235" t="str">
        <f t="shared" si="48"/>
        <v/>
      </c>
      <c r="BS218" s="2186" t="str">
        <f>IF(ISERROR(BH218),"", IF(BH218=0, "", IF(BH218&gt;'Calculs Péremption conso'!$CB41, 'Calculs Péremption conso'!$BX41-Paramétrage!$D$29*(365/12), BL218)))</f>
        <v/>
      </c>
      <c r="BT218" s="2187" t="str">
        <f>IF(ISERROR(BH218),"", IF(BH218=0, "", IF(BH218&gt;'Calculs Péremption conso'!$CB41, CONCATENATE('TRAD-Calculs dispo Données FA'!$B$88, " - ", 'Calculs Péremption conso'!$BY41, "/", 'Calculs Péremption conso'!$BZ41, "/", 'Calculs Péremption conso'!$CA41), BM218)))</f>
        <v/>
      </c>
      <c r="BV218" s="2061">
        <f>Calculs!$Q296</f>
        <v>1705</v>
      </c>
      <c r="BW218" s="2062">
        <f>Calculs!L351</f>
        <v>0</v>
      </c>
      <c r="BX218" s="2068">
        <f>Calculs!N351</f>
        <v>0</v>
      </c>
      <c r="BY218" s="2070" t="str">
        <f>IF(AND(BX218=0, BV218=0, BW218=0), 'TRAD-Calculs dispo Données FA'!$B$82, "")</f>
        <v/>
      </c>
      <c r="BZ218" s="2062" t="str">
        <f>IF(AND(BX218=0, BV218&gt;0, BW218=0), CONCATENATE(BV218, 'TRAD-Calculs dispo Données FA'!$B$80," =0"), "")</f>
        <v>1705B &amp; conso =0</v>
      </c>
      <c r="CA218" s="2063" t="str">
        <f>IF(AND(BV218=0, OR(BW218&gt;=1, BX218&gt;=1)), 'TRAD-Calculs dispo Données FA'!$B$81, "")</f>
        <v/>
      </c>
    </row>
    <row r="219" spans="3:79" s="358" customFormat="1" ht="25.5" x14ac:dyDescent="0.2">
      <c r="C219" s="374"/>
      <c r="D219" s="402"/>
      <c r="E219" s="1843" t="str">
        <f>'Saisie données stocks'!F54</f>
        <v>FPV</v>
      </c>
      <c r="F219" s="1844" t="str">
        <f>'Saisie données stocks'!G54</f>
        <v>Cp</v>
      </c>
      <c r="G219" s="1844" t="str">
        <f>'Saisie données stocks'!H54</f>
        <v>700 mg</v>
      </c>
      <c r="H219" s="403" t="str">
        <f>CONCATENATE(E219, " - ", G219, " - ", 'TRAD-Calculs dispo Données FA'!$B$79,"/", K219)</f>
        <v>FPV - 700 mg - B/60</v>
      </c>
      <c r="I219" s="1862">
        <f>Calculs!K137</f>
        <v>2</v>
      </c>
      <c r="J219" s="1807">
        <f t="shared" si="36"/>
        <v>60</v>
      </c>
      <c r="K219" s="1386">
        <f>Calculs!J137</f>
        <v>60</v>
      </c>
      <c r="L219" s="1846">
        <f t="shared" si="37"/>
        <v>1</v>
      </c>
      <c r="M219" s="1871">
        <f>IF('Saisie données stocks'!$O$10='TRAD-Saisie données stocks'!$B$51, 'Calculs Péremption conso'!BU42, Calculs!M297)+IF('Saisie données stocks'!$M$76='TRAD-Saisie données stocks'!$B$51, Calculs!N297, "0")+Calculs!P297</f>
        <v>0</v>
      </c>
      <c r="N219" s="1871">
        <f>Calculs!$L$352</f>
        <v>0</v>
      </c>
      <c r="O219" s="1871">
        <f>Calculs!$N$352</f>
        <v>0</v>
      </c>
      <c r="P219"/>
      <c r="Q219" s="2219" t="e">
        <f>IF(Calculs!N352&gt;0, (-(Calculs!N352+2*Calculs!L352)+SQRT((Calculs!N352+2*Calculs!L352)*(Calculs!N352+2*Calculs!L352)+8*Calculs!N352*(M219)))/(2*Calculs!N352), ((M219)/Calculs!L352))</f>
        <v>#DIV/0!</v>
      </c>
      <c r="R219" s="2220" t="e">
        <f>Q219-Paramétrage!D$29</f>
        <v>#DIV/0!</v>
      </c>
      <c r="S219" s="2221" t="e">
        <f>IF(Q219&lt;Paramétrage!D$29, Q219, Paramétrage!D$29)</f>
        <v>#DIV/0!</v>
      </c>
      <c r="T219" s="2222" t="e">
        <f>Paramétrage!H$19+R219*30</f>
        <v>#DIV/0!</v>
      </c>
      <c r="U219" s="2187" t="e">
        <f>IF(Q219&lt;Paramétrage!D$29, Paramétrage!H$19+S219*30, Paramétrage!H$19+Q219*30)</f>
        <v>#DIV/0!</v>
      </c>
      <c r="V219" s="2051"/>
      <c r="W219" s="2219" t="str">
        <f t="shared" si="38"/>
        <v/>
      </c>
      <c r="X219" s="2220" t="str">
        <f t="shared" si="39"/>
        <v/>
      </c>
      <c r="Y219" s="2189" t="str">
        <f t="shared" si="40"/>
        <v/>
      </c>
      <c r="Z219" s="2186" t="str">
        <f t="shared" si="41"/>
        <v/>
      </c>
      <c r="AA219" s="2187" t="str">
        <f t="shared" si="42"/>
        <v/>
      </c>
      <c r="AB219" s="2051"/>
      <c r="AC219" s="2219" t="e">
        <f t="shared" si="43"/>
        <v>#DIV/0!</v>
      </c>
      <c r="AD219" s="2220" t="e">
        <f>AC219-Paramétrage!D$29</f>
        <v>#DIV/0!</v>
      </c>
      <c r="AE219" s="2221" t="e">
        <f>IF(AC219&lt;Paramétrage!D$29, AC219, Paramétrage!D$29)</f>
        <v>#DIV/0!</v>
      </c>
      <c r="AF219" s="2221" t="e">
        <f t="shared" si="44"/>
        <v>#DIV/0!</v>
      </c>
      <c r="AG219" s="2186" t="e">
        <f>Paramétrage!H$19+AD219*30</f>
        <v>#DIV/0!</v>
      </c>
      <c r="AH219" s="2187" t="e">
        <f>IF(AC219&lt;Paramétrage!D$29, Paramétrage!H$19+AE219*30, Paramétrage!H$19+AC219*30)</f>
        <v>#DIV/0!</v>
      </c>
      <c r="AI219" s="2187">
        <f>'Saisie données stocks'!O175</f>
        <v>0</v>
      </c>
      <c r="AJ219" s="2223" t="str">
        <f>IF(ISERROR(Q219), "0", IF('Saisie données stocks'!O175="", "0", IF(U162&gt;'Saisie données stocks'!$N$14, IF(AI219&gt;(Paramétrage!$H$19+'Saisie données stocks'!$N$14*30), (AI219-(Paramétrage!$H$19+'Saisie données stocks'!$N$14*30))/30, IF(AI219&gt;U162, (AI219-U162)/30, "0")))))</f>
        <v>0</v>
      </c>
      <c r="AK219" s="2220" t="str">
        <f>IF(ISERROR(Q162),"0", IF(Q162=0, "0", IF(Q162&gt;'Calculs Péremption FA'!$CB42, 'Calculs Péremption FA'!$CB42, Q162)))</f>
        <v>0</v>
      </c>
      <c r="AL219" s="2221" t="str">
        <f>IF(ISERROR(AC219),"0", IF(AC219=0, "0", IF(AC219&gt;'Saisie données stocks'!$N$14, 'Saisie données stocks'!$N$14, AC219)))</f>
        <v>0</v>
      </c>
      <c r="AM219" s="2187" t="str">
        <f>IF(ISERROR(Q219),AA219,IF(Calculs!P297=0,AA162,(Paramétrage!$H$19+((AJ219+AK219+AL219)*(365/12)))))</f>
        <v/>
      </c>
      <c r="AN219" s="2051"/>
      <c r="AO219" s="2219" t="str">
        <f>IF(ISERROR(AC219),"", IF(AC219=0, "", IF(AC219&gt;'Saisie données stocks'!$N$14, 'Saisie données stocks'!$N$14, AC219)))</f>
        <v/>
      </c>
      <c r="AP219" s="2220" t="str">
        <f>IF(ISERROR(AC219),"", IF(AC219=0, "", IF(AC219&gt;'Calculs Péremption conso'!$CB42, 'Calculs Péremption conso'!$CB42-Paramétrage!$D$29, AD219)))</f>
        <v/>
      </c>
      <c r="AQ219" s="2189" t="str">
        <f>IF(ISERROR(AC219),"", IF(AC219=0, "", IF(AC219&gt;'Calculs Péremption conso'!$CB42, Paramétrage!$D$29, AE219)))</f>
        <v/>
      </c>
      <c r="AR219" s="2224" t="str">
        <f t="shared" si="45"/>
        <v/>
      </c>
      <c r="AS219" s="2186" t="str">
        <f>IF(ISERROR(AC219),"", IF(AC219=0, "", IF(AC219&gt;'Calculs Péremption conso'!$CB42, 'Calculs Péremption conso'!$BX42-Paramétrage!$D$29*(365/12), AG219)))</f>
        <v/>
      </c>
      <c r="AT219" s="2187" t="str">
        <f>IF(ISERROR(AC219),"", IF(AC219=0, "", IF(AC219&gt;'Calculs Péremption conso'!$CB42, CONCATENATE('TRAD-Calculs dispo Données FA'!$B$88, " - ", 'Calculs Péremption conso'!$BY42, "/", 'Calculs Péremption conso'!$BZ42, "/", 'Calculs Péremption conso'!$CA42), AH219)))</f>
        <v/>
      </c>
      <c r="AU219" s="2051"/>
      <c r="AV219" s="2219" t="e">
        <f>(Calculs!Q297)/Calculs!L352</f>
        <v>#DIV/0!</v>
      </c>
      <c r="AW219" s="2220" t="e">
        <f>AV219-Paramétrage!D$29</f>
        <v>#DIV/0!</v>
      </c>
      <c r="AX219" s="2221" t="e">
        <f>IF(AV219&lt;Paramétrage!D$29, AV219, Paramétrage!D$29)</f>
        <v>#DIV/0!</v>
      </c>
      <c r="AY219" s="2186" t="e">
        <f>Paramétrage!H$19+AW219*(365/12)</f>
        <v>#DIV/0!</v>
      </c>
      <c r="AZ219" s="2187" t="e">
        <f>IF(AV219&lt;Paramétrage!D$29, Paramétrage!H$19+AX219*(365/12), Paramétrage!H$19+AV219*(365/12))</f>
        <v>#DIV/0!</v>
      </c>
      <c r="BA219" s="2051"/>
      <c r="BB219" s="2219" t="str">
        <f>IF(ISERROR(AV219),"", IF(AV219=0, "", IF(AV219&gt;'Calculs Péremption conso'!$CB42, 'Calculs Péremption conso'!$CB42, AV219)))</f>
        <v/>
      </c>
      <c r="BC219" s="2220" t="str">
        <f>IF(ISERROR(AV219),"", IF(AV219=0, "", IF(AV219&gt;'Calculs Péremption conso'!$CB42, 'Calculs Péremption conso'!$CB42-Paramétrage!$D$29, AW219)))</f>
        <v/>
      </c>
      <c r="BD219" s="2189" t="str">
        <f>IF(ISERROR(AV219),"", IF(AV219=0, "", IF(AV219&gt;'Calculs Péremption conso'!$CB42, Paramétrage!$D$29, AX219)))</f>
        <v/>
      </c>
      <c r="BE219" s="2186" t="str">
        <f>IF(ISERROR(AV219),"", IF(AV219=0, "", IF(AV219&gt;'Calculs Péremption conso'!$CB42, 'Calculs Péremption conso'!$BX42-Paramétrage!$D$29*(365/12), AY219)))</f>
        <v/>
      </c>
      <c r="BF219" s="2187" t="str">
        <f>IF(ISERROR(AV219),"", IF(AV219=0, "", IF(AV219&gt;'Calculs Péremption conso'!$CB42, CONCATENATE('TRAD-Calculs dispo Données FA'!$B$88, " - ", 'Calculs Péremption conso'!$BY42, "/", 'Calculs Péremption conso'!$BZ42, "/", 'Calculs Péremption conso'!$CA42), AZ219)))</f>
        <v/>
      </c>
      <c r="BG219" s="2051"/>
      <c r="BH219" s="2219" t="e">
        <f t="shared" si="46"/>
        <v>#DIV/0!</v>
      </c>
      <c r="BI219" s="2220" t="e">
        <f>BH219-Paramétrage!D$29</f>
        <v>#DIV/0!</v>
      </c>
      <c r="BJ219" s="2221" t="e">
        <f>IF(BH219&lt;Paramétrage!D$29, BH219, Paramétrage!D$29)</f>
        <v>#DIV/0!</v>
      </c>
      <c r="BK219" s="2221" t="e">
        <f t="shared" si="47"/>
        <v>#DIV/0!</v>
      </c>
      <c r="BL219" s="2186" t="e">
        <f>Paramétrage!$H$19+BI219*30</f>
        <v>#DIV/0!</v>
      </c>
      <c r="BM219" s="2187" t="e">
        <f>IF(BH219&lt;Paramétrage!$D$29, Paramétrage!$H$19+BJ219*30, Paramétrage!$H$19+BH219*30)</f>
        <v>#DIV/0!</v>
      </c>
      <c r="BN219" s="2051"/>
      <c r="BO219" s="2219" t="str">
        <f>IF(ISERROR(BH219),"", IF(BH219=0, "", IF(BH219&gt;'Calculs Péremption conso'!$CB42, 'Calculs Péremption conso'!$CB42, BH219)))</f>
        <v/>
      </c>
      <c r="BP219" s="2220" t="str">
        <f>IF(ISERROR(BH219),"", IF(BH219=0, "", IF(BH219&gt;'Calculs Péremption conso'!$CB42, 'Calculs Péremption conso'!$CB42-Paramétrage!$D$29, BI219)))</f>
        <v/>
      </c>
      <c r="BQ219" s="2189" t="str">
        <f>IF(ISERROR(BH219),"", IF(BH219=0, "", IF(BH219&gt;'Calculs Péremption conso'!$CB42, Paramétrage!$D$29, BJ219)))</f>
        <v/>
      </c>
      <c r="BR219" s="2224" t="str">
        <f t="shared" si="48"/>
        <v/>
      </c>
      <c r="BS219" s="2186" t="str">
        <f>IF(ISERROR(BH219),"", IF(BH219=0, "", IF(BH219&gt;'Calculs Péremption conso'!$CB42, 'Calculs Péremption conso'!$BX42-Paramétrage!$D$29*(365/12), BL219)))</f>
        <v/>
      </c>
      <c r="BT219" s="2187" t="str">
        <f>IF(ISERROR(BH219),"", IF(BH219=0, "", IF(BH219&gt;'Calculs Péremption conso'!$CB42, CONCATENATE('TRAD-Calculs dispo Données FA'!$B$88, " - ", 'Calculs Péremption conso'!$BY42, "/", 'Calculs Péremption conso'!$BZ42, "/", 'Calculs Péremption conso'!$CA42), BM219)))</f>
        <v/>
      </c>
      <c r="BV219" s="2061">
        <f>Calculs!$Q297</f>
        <v>0</v>
      </c>
      <c r="BW219" s="2062">
        <f>Calculs!L352</f>
        <v>0</v>
      </c>
      <c r="BX219" s="2068">
        <f>Calculs!N352</f>
        <v>0</v>
      </c>
      <c r="BY219" s="2070" t="str">
        <f>IF(AND(BX219=0, BV219=0, BW219=0), 'TRAD-Calculs dispo Données FA'!$B$82, "")</f>
        <v>Stock et besoin nul</v>
      </c>
      <c r="BZ219" s="2062" t="str">
        <f>IF(AND(BX219=0, BV219&gt;0, BW219=0), CONCATENATE(BV219, 'TRAD-Calculs dispo Données FA'!$B$80," =0"), "")</f>
        <v/>
      </c>
      <c r="CA219" s="2063" t="str">
        <f>IF(AND(BV219=0, OR(BW219&gt;=1, BX219&gt;=1)), 'TRAD-Calculs dispo Données FA'!$B$81, "")</f>
        <v/>
      </c>
    </row>
    <row r="220" spans="3:79" s="358" customFormat="1" ht="25.5" x14ac:dyDescent="0.2">
      <c r="C220" s="374"/>
      <c r="D220" s="402"/>
      <c r="E220" s="1843" t="str">
        <f>'Saisie données stocks'!F55</f>
        <v>IDV</v>
      </c>
      <c r="F220" s="1844" t="str">
        <f>'Saisie données stocks'!G55</f>
        <v>Gel</v>
      </c>
      <c r="G220" s="1844" t="str">
        <f>'Saisie données stocks'!H55</f>
        <v>400 mg</v>
      </c>
      <c r="H220" s="403" t="str">
        <f>CONCATENATE(E220, " - ", G220, " - ", 'TRAD-Calculs dispo Données FA'!$B$79,"/", K220)</f>
        <v>IDV - 400 mg - B/180</v>
      </c>
      <c r="I220" s="1862">
        <f>Calculs!K138</f>
        <v>0</v>
      </c>
      <c r="J220" s="1807">
        <f t="shared" si="36"/>
        <v>0</v>
      </c>
      <c r="K220" s="1386">
        <f>Calculs!J138</f>
        <v>180</v>
      </c>
      <c r="L220" s="1846">
        <f t="shared" si="37"/>
        <v>0</v>
      </c>
      <c r="M220" s="1871">
        <f>IF('Saisie données stocks'!$O$10='TRAD-Saisie données stocks'!$B$51, 'Calculs Péremption conso'!BU43, Calculs!M298)+IF('Saisie données stocks'!$M$76='TRAD-Saisie données stocks'!$B$51, Calculs!N298, "0")+Calculs!P298</f>
        <v>0</v>
      </c>
      <c r="N220" s="1871">
        <f>Calculs!$L$353</f>
        <v>0</v>
      </c>
      <c r="O220" s="1871">
        <f>Calculs!$N$353</f>
        <v>0</v>
      </c>
      <c r="P220"/>
      <c r="Q220" s="2219" t="e">
        <f>IF(Calculs!N353&gt;0, (-(Calculs!N353+2*Calculs!L353)+SQRT((Calculs!N353+2*Calculs!L353)*(Calculs!N353+2*Calculs!L353)+8*Calculs!N353*(M220)))/(2*Calculs!N353), ((M220)/Calculs!L353))</f>
        <v>#DIV/0!</v>
      </c>
      <c r="R220" s="2220" t="e">
        <f>Q220-Paramétrage!D$29</f>
        <v>#DIV/0!</v>
      </c>
      <c r="S220" s="2221" t="e">
        <f>IF(Q220&lt;Paramétrage!D$29, Q220, Paramétrage!D$29)</f>
        <v>#DIV/0!</v>
      </c>
      <c r="T220" s="2222" t="e">
        <f>Paramétrage!H$19+R220*30</f>
        <v>#DIV/0!</v>
      </c>
      <c r="U220" s="2187" t="e">
        <f>IF(Q220&lt;Paramétrage!D$29, Paramétrage!H$19+S220*30, Paramétrage!H$19+Q220*30)</f>
        <v>#DIV/0!</v>
      </c>
      <c r="V220" s="2051"/>
      <c r="W220" s="2219" t="str">
        <f t="shared" si="38"/>
        <v/>
      </c>
      <c r="X220" s="2220" t="str">
        <f t="shared" si="39"/>
        <v/>
      </c>
      <c r="Y220" s="2189" t="str">
        <f t="shared" si="40"/>
        <v/>
      </c>
      <c r="Z220" s="2186" t="str">
        <f t="shared" si="41"/>
        <v/>
      </c>
      <c r="AA220" s="2187" t="str">
        <f t="shared" si="42"/>
        <v/>
      </c>
      <c r="AB220" s="2051"/>
      <c r="AC220" s="2219" t="e">
        <f t="shared" si="43"/>
        <v>#DIV/0!</v>
      </c>
      <c r="AD220" s="2220" t="e">
        <f>AC220-Paramétrage!D$29</f>
        <v>#DIV/0!</v>
      </c>
      <c r="AE220" s="2221" t="e">
        <f>IF(AC220&lt;Paramétrage!D$29, AC220, Paramétrage!D$29)</f>
        <v>#DIV/0!</v>
      </c>
      <c r="AF220" s="2221" t="e">
        <f t="shared" si="44"/>
        <v>#DIV/0!</v>
      </c>
      <c r="AG220" s="2186" t="e">
        <f>Paramétrage!H$19+AD220*30</f>
        <v>#DIV/0!</v>
      </c>
      <c r="AH220" s="2187" t="e">
        <f>IF(AC220&lt;Paramétrage!D$29, Paramétrage!H$19+AE220*30, Paramétrage!H$19+AC220*30)</f>
        <v>#DIV/0!</v>
      </c>
      <c r="AI220" s="2187">
        <f>'Saisie données stocks'!O176</f>
        <v>0</v>
      </c>
      <c r="AJ220" s="2223" t="str">
        <f>IF(ISERROR(Q220), "0", IF('Saisie données stocks'!O176="", "0", IF(U163&gt;'Saisie données stocks'!$N$14, IF(AI220&gt;(Paramétrage!$H$19+'Saisie données stocks'!$N$14*30), (AI220-(Paramétrage!$H$19+'Saisie données stocks'!$N$14*30))/30, IF(AI220&gt;U163, (AI220-U163)/30, "0")))))</f>
        <v>0</v>
      </c>
      <c r="AK220" s="2220" t="str">
        <f>IF(ISERROR(Q163),"0", IF(Q163=0, "0", IF(Q163&gt;'Calculs Péremption FA'!$CB43, 'Calculs Péremption FA'!$CB43, Q163)))</f>
        <v>0</v>
      </c>
      <c r="AL220" s="2221" t="str">
        <f>IF(ISERROR(AC220),"0", IF(AC220=0, "0", IF(AC220&gt;'Saisie données stocks'!$N$14, 'Saisie données stocks'!$N$14, AC220)))</f>
        <v>0</v>
      </c>
      <c r="AM220" s="2187" t="str">
        <f>IF(ISERROR(Q220),AA220,IF(Calculs!P298=0,AA163,(Paramétrage!$H$19+((AJ220+AK220+AL220)*(365/12)))))</f>
        <v/>
      </c>
      <c r="AN220" s="2051"/>
      <c r="AO220" s="2219" t="str">
        <f>IF(ISERROR(AC220),"", IF(AC220=0, "", IF(AC220&gt;'Saisie données stocks'!$N$14, 'Saisie données stocks'!$N$14, AC220)))</f>
        <v/>
      </c>
      <c r="AP220" s="2220" t="str">
        <f>IF(ISERROR(AC220),"", IF(AC220=0, "", IF(AC220&gt;'Calculs Péremption conso'!$CB43, 'Calculs Péremption conso'!$CB43-Paramétrage!$D$29, AD220)))</f>
        <v/>
      </c>
      <c r="AQ220" s="2189" t="str">
        <f>IF(ISERROR(AC220),"", IF(AC220=0, "", IF(AC220&gt;'Calculs Péremption conso'!$CB43, Paramétrage!$D$29, AE220)))</f>
        <v/>
      </c>
      <c r="AR220" s="2224" t="str">
        <f t="shared" si="45"/>
        <v/>
      </c>
      <c r="AS220" s="2186" t="str">
        <f>IF(ISERROR(AC220),"", IF(AC220=0, "", IF(AC220&gt;'Calculs Péremption conso'!$CB43, 'Calculs Péremption conso'!$BX43-Paramétrage!$D$29*(365/12), AG220)))</f>
        <v/>
      </c>
      <c r="AT220" s="2187" t="str">
        <f>IF(ISERROR(AC220),"", IF(AC220=0, "", IF(AC220&gt;'Calculs Péremption conso'!$CB43, CONCATENATE('TRAD-Calculs dispo Données FA'!$B$88, " - ", 'Calculs Péremption conso'!$BY43, "/", 'Calculs Péremption conso'!$BZ43, "/", 'Calculs Péremption conso'!$CA43), AH220)))</f>
        <v/>
      </c>
      <c r="AU220" s="2051"/>
      <c r="AV220" s="2219" t="e">
        <f>(Calculs!Q298)/Calculs!L353</f>
        <v>#DIV/0!</v>
      </c>
      <c r="AW220" s="2220" t="e">
        <f>AV220-Paramétrage!D$29</f>
        <v>#DIV/0!</v>
      </c>
      <c r="AX220" s="2221" t="e">
        <f>IF(AV220&lt;Paramétrage!D$29, AV220, Paramétrage!D$29)</f>
        <v>#DIV/0!</v>
      </c>
      <c r="AY220" s="2186" t="e">
        <f>Paramétrage!H$19+AW220*(365/12)</f>
        <v>#DIV/0!</v>
      </c>
      <c r="AZ220" s="2187" t="e">
        <f>IF(AV220&lt;Paramétrage!D$29, Paramétrage!H$19+AX220*(365/12), Paramétrage!H$19+AV220*(365/12))</f>
        <v>#DIV/0!</v>
      </c>
      <c r="BA220" s="2051"/>
      <c r="BB220" s="2219" t="str">
        <f>IF(ISERROR(AV220),"", IF(AV220=0, "", IF(AV220&gt;'Calculs Péremption conso'!$CB43, 'Calculs Péremption conso'!$CB43, AV220)))</f>
        <v/>
      </c>
      <c r="BC220" s="2220" t="str">
        <f>IF(ISERROR(AV220),"", IF(AV220=0, "", IF(AV220&gt;'Calculs Péremption conso'!$CB43, 'Calculs Péremption conso'!$CB43-Paramétrage!$D$29, AW220)))</f>
        <v/>
      </c>
      <c r="BD220" s="2189" t="str">
        <f>IF(ISERROR(AV220),"", IF(AV220=0, "", IF(AV220&gt;'Calculs Péremption conso'!$CB43, Paramétrage!$D$29, AX220)))</f>
        <v/>
      </c>
      <c r="BE220" s="2186" t="str">
        <f>IF(ISERROR(AV220),"", IF(AV220=0, "", IF(AV220&gt;'Calculs Péremption conso'!$CB43, 'Calculs Péremption conso'!$BX43-Paramétrage!$D$29*(365/12), AY220)))</f>
        <v/>
      </c>
      <c r="BF220" s="2187" t="str">
        <f>IF(ISERROR(AV220),"", IF(AV220=0, "", IF(AV220&gt;'Calculs Péremption conso'!$CB43, CONCATENATE('TRAD-Calculs dispo Données FA'!$B$88, " - ", 'Calculs Péremption conso'!$BY43, "/", 'Calculs Péremption conso'!$BZ43, "/", 'Calculs Péremption conso'!$CA43), AZ220)))</f>
        <v/>
      </c>
      <c r="BG220" s="2051"/>
      <c r="BH220" s="2219" t="e">
        <f t="shared" si="46"/>
        <v>#DIV/0!</v>
      </c>
      <c r="BI220" s="2220" t="e">
        <f>BH220-Paramétrage!D$29</f>
        <v>#DIV/0!</v>
      </c>
      <c r="BJ220" s="2221" t="e">
        <f>IF(BH220&lt;Paramétrage!D$29, BH220, Paramétrage!D$29)</f>
        <v>#DIV/0!</v>
      </c>
      <c r="BK220" s="2221" t="e">
        <f t="shared" si="47"/>
        <v>#DIV/0!</v>
      </c>
      <c r="BL220" s="2186" t="e">
        <f>Paramétrage!$H$19+BI220*30</f>
        <v>#DIV/0!</v>
      </c>
      <c r="BM220" s="2187" t="e">
        <f>IF(BH220&lt;Paramétrage!$D$29, Paramétrage!$H$19+BJ220*30, Paramétrage!$H$19+BH220*30)</f>
        <v>#DIV/0!</v>
      </c>
      <c r="BN220" s="2051"/>
      <c r="BO220" s="2219" t="str">
        <f>IF(ISERROR(BH220),"", IF(BH220=0, "", IF(BH220&gt;'Calculs Péremption conso'!$CB43, 'Calculs Péremption conso'!$CB43, BH220)))</f>
        <v/>
      </c>
      <c r="BP220" s="2220" t="str">
        <f>IF(ISERROR(BH220),"", IF(BH220=0, "", IF(BH220&gt;'Calculs Péremption conso'!$CB43, 'Calculs Péremption conso'!$CB43-Paramétrage!$D$29, BI220)))</f>
        <v/>
      </c>
      <c r="BQ220" s="2189" t="str">
        <f>IF(ISERROR(BH220),"", IF(BH220=0, "", IF(BH220&gt;'Calculs Péremption conso'!$CB43, Paramétrage!$D$29, BJ220)))</f>
        <v/>
      </c>
      <c r="BR220" s="2224" t="str">
        <f t="shared" si="48"/>
        <v/>
      </c>
      <c r="BS220" s="2186" t="str">
        <f>IF(ISERROR(BH220),"", IF(BH220=0, "", IF(BH220&gt;'Calculs Péremption conso'!$CB43, 'Calculs Péremption conso'!$BX43-Paramétrage!$D$29*(365/12), BL220)))</f>
        <v/>
      </c>
      <c r="BT220" s="2187" t="str">
        <f>IF(ISERROR(BH220),"", IF(BH220=0, "", IF(BH220&gt;'Calculs Péremption conso'!$CB43, CONCATENATE('TRAD-Calculs dispo Données FA'!$B$88, " - ", 'Calculs Péremption conso'!$BY43, "/", 'Calculs Péremption conso'!$BZ43, "/", 'Calculs Péremption conso'!$CA43), BM220)))</f>
        <v/>
      </c>
      <c r="BV220" s="2061">
        <f>Calculs!$Q298</f>
        <v>0</v>
      </c>
      <c r="BW220" s="2062">
        <f>Calculs!L353</f>
        <v>0</v>
      </c>
      <c r="BX220" s="2068">
        <f>Calculs!N353</f>
        <v>0</v>
      </c>
      <c r="BY220" s="2070" t="str">
        <f>IF(AND(BX220=0, BV220=0, BW220=0), 'TRAD-Calculs dispo Données FA'!$B$82, "")</f>
        <v>Stock et besoin nul</v>
      </c>
      <c r="BZ220" s="2062" t="str">
        <f>IF(AND(BX220=0, BV220&gt;0, BW220=0), CONCATENATE(BV220, 'TRAD-Calculs dispo Données FA'!$B$80," =0"), "")</f>
        <v/>
      </c>
      <c r="CA220" s="2063" t="str">
        <f>IF(AND(BV220=0, OR(BW220&gt;=1, BX220&gt;=1)), 'TRAD-Calculs dispo Données FA'!$B$81, "")</f>
        <v/>
      </c>
    </row>
    <row r="221" spans="3:79" s="358" customFormat="1" ht="25.5" x14ac:dyDescent="0.2">
      <c r="C221" s="374"/>
      <c r="D221" s="402"/>
      <c r="E221" s="1863" t="str">
        <f>'Saisie données stocks'!F56</f>
        <v>DRV</v>
      </c>
      <c r="F221" s="1864" t="str">
        <f>'Saisie données stocks'!G56</f>
        <v>Cp</v>
      </c>
      <c r="G221" s="1625" t="str">
        <f>'Saisie données stocks'!H56</f>
        <v>300 mg</v>
      </c>
      <c r="H221" s="403" t="str">
        <f>CONCATENATE(E221, " - ", G221, " - ", 'TRAD-Calculs dispo Données FA'!$B$79,"/", K221)</f>
        <v>DRV - 300 mg - B/120</v>
      </c>
      <c r="I221" s="1862">
        <f>Calculs!K139</f>
        <v>4</v>
      </c>
      <c r="J221" s="1807">
        <f t="shared" si="36"/>
        <v>120</v>
      </c>
      <c r="K221" s="1388">
        <f>Calculs!J139</f>
        <v>120</v>
      </c>
      <c r="L221" s="1846">
        <f t="shared" si="37"/>
        <v>1</v>
      </c>
      <c r="M221" s="1871">
        <f>IF('Saisie données stocks'!$O$10='TRAD-Saisie données stocks'!$B$51, 'Calculs Péremption conso'!BU44, Calculs!M299)+IF('Saisie données stocks'!$M$76='TRAD-Saisie données stocks'!$B$51, Calculs!N299, "0")+Calculs!P299</f>
        <v>0</v>
      </c>
      <c r="N221" s="1871">
        <f>Calculs!$L$354</f>
        <v>0</v>
      </c>
      <c r="O221" s="1871">
        <f>Calculs!$N$354</f>
        <v>0</v>
      </c>
      <c r="P221"/>
      <c r="Q221" s="2219" t="e">
        <f>IF(Calculs!N354&gt;0, (-(Calculs!N354+2*Calculs!L354)+SQRT((Calculs!N354+2*Calculs!L354)*(Calculs!N354+2*Calculs!L354)+8*Calculs!N354*(M221)))/(2*Calculs!N354), ((M221)/Calculs!L354))</f>
        <v>#DIV/0!</v>
      </c>
      <c r="R221" s="2220" t="e">
        <f>Q221-Paramétrage!D$29</f>
        <v>#DIV/0!</v>
      </c>
      <c r="S221" s="2221" t="e">
        <f>IF(Q221&lt;Paramétrage!D$29, Q221, Paramétrage!D$29)</f>
        <v>#DIV/0!</v>
      </c>
      <c r="T221" s="2222" t="e">
        <f>Paramétrage!H$19+R221*30</f>
        <v>#DIV/0!</v>
      </c>
      <c r="U221" s="2187" t="e">
        <f>IF(Q221&lt;Paramétrage!D$29, Paramétrage!H$19+S221*30, Paramétrage!H$19+Q221*30)</f>
        <v>#DIV/0!</v>
      </c>
      <c r="V221" s="2051"/>
      <c r="W221" s="2219" t="str">
        <f t="shared" si="38"/>
        <v/>
      </c>
      <c r="X221" s="2220" t="str">
        <f t="shared" si="39"/>
        <v/>
      </c>
      <c r="Y221" s="2189" t="str">
        <f t="shared" si="40"/>
        <v/>
      </c>
      <c r="Z221" s="2186" t="str">
        <f t="shared" si="41"/>
        <v/>
      </c>
      <c r="AA221" s="2187" t="str">
        <f t="shared" si="42"/>
        <v/>
      </c>
      <c r="AB221" s="2051"/>
      <c r="AC221" s="2219" t="e">
        <f t="shared" si="43"/>
        <v>#DIV/0!</v>
      </c>
      <c r="AD221" s="2220" t="e">
        <f>AC221-Paramétrage!D$29</f>
        <v>#DIV/0!</v>
      </c>
      <c r="AE221" s="2221" t="e">
        <f>IF(AC221&lt;Paramétrage!D$29, AC221, Paramétrage!D$29)</f>
        <v>#DIV/0!</v>
      </c>
      <c r="AF221" s="2221" t="e">
        <f t="shared" si="44"/>
        <v>#DIV/0!</v>
      </c>
      <c r="AG221" s="2186" t="e">
        <f>Paramétrage!H$19+AD221*30</f>
        <v>#DIV/0!</v>
      </c>
      <c r="AH221" s="2187" t="e">
        <f>IF(AC221&lt;Paramétrage!D$29, Paramétrage!H$19+AE221*30, Paramétrage!H$19+AC221*30)</f>
        <v>#DIV/0!</v>
      </c>
      <c r="AI221" s="2187">
        <f>'Saisie données stocks'!O177</f>
        <v>0</v>
      </c>
      <c r="AJ221" s="2223" t="str">
        <f>IF(ISERROR(Q221), "0", IF('Saisie données stocks'!O177="", "0", IF(U164&gt;'Saisie données stocks'!$N$14, IF(AI221&gt;(Paramétrage!$H$19+'Saisie données stocks'!$N$14*30), (AI221-(Paramétrage!$H$19+'Saisie données stocks'!$N$14*30))/30, IF(AI221&gt;U164, (AI221-U164)/30, "0")))))</f>
        <v>0</v>
      </c>
      <c r="AK221" s="2220" t="str">
        <f>IF(ISERROR(Q164),"0", IF(Q164=0, "0", IF(Q164&gt;'Calculs Péremption FA'!$CB44, 'Calculs Péremption FA'!$CB44, Q164)))</f>
        <v>0</v>
      </c>
      <c r="AL221" s="2221" t="str">
        <f>IF(ISERROR(AC221),"0", IF(AC221=0, "0", IF(AC221&gt;'Saisie données stocks'!$N$14, 'Saisie données stocks'!$N$14, AC221)))</f>
        <v>0</v>
      </c>
      <c r="AM221" s="2187" t="str">
        <f>IF(ISERROR(Q221),AA221,IF(Calculs!P299=0,AA164,(Paramétrage!$H$19+((AJ221+AK221+AL221)*(365/12)))))</f>
        <v/>
      </c>
      <c r="AN221" s="2051"/>
      <c r="AO221" s="2219" t="str">
        <f>IF(ISERROR(AC221),"", IF(AC221=0, "", IF(AC221&gt;'Saisie données stocks'!$N$14, 'Saisie données stocks'!$N$14, AC221)))</f>
        <v/>
      </c>
      <c r="AP221" s="2220" t="str">
        <f>IF(ISERROR(AC221),"", IF(AC221=0, "", IF(AC221&gt;'Calculs Péremption conso'!$CB44, 'Calculs Péremption conso'!$CB44-Paramétrage!$D$29, AD221)))</f>
        <v/>
      </c>
      <c r="AQ221" s="2189" t="str">
        <f>IF(ISERROR(AC221),"", IF(AC221=0, "", IF(AC221&gt;'Calculs Péremption conso'!$CB44, Paramétrage!$D$29, AE221)))</f>
        <v/>
      </c>
      <c r="AR221" s="2224" t="str">
        <f t="shared" si="45"/>
        <v/>
      </c>
      <c r="AS221" s="2186" t="str">
        <f>IF(ISERROR(AC221),"", IF(AC221=0, "", IF(AC221&gt;'Calculs Péremption conso'!$CB44, 'Calculs Péremption conso'!$BX44-Paramétrage!$D$29*(365/12), AG221)))</f>
        <v/>
      </c>
      <c r="AT221" s="2187" t="str">
        <f>IF(ISERROR(AC221),"", IF(AC221=0, "", IF(AC221&gt;'Calculs Péremption conso'!$CB44, CONCATENATE('TRAD-Calculs dispo Données FA'!$B$88, " - ", 'Calculs Péremption conso'!$BY44, "/", 'Calculs Péremption conso'!$BZ44, "/", 'Calculs Péremption conso'!$CA44), AH221)))</f>
        <v/>
      </c>
      <c r="AU221" s="2051"/>
      <c r="AV221" s="2219" t="e">
        <f>(Calculs!Q299)/Calculs!L354</f>
        <v>#DIV/0!</v>
      </c>
      <c r="AW221" s="2220" t="e">
        <f>AV221-Paramétrage!D$29</f>
        <v>#DIV/0!</v>
      </c>
      <c r="AX221" s="2221" t="e">
        <f>IF(AV221&lt;Paramétrage!D$29, AV221, Paramétrage!D$29)</f>
        <v>#DIV/0!</v>
      </c>
      <c r="AY221" s="2186" t="e">
        <f>Paramétrage!H$19+AW221*(365/12)</f>
        <v>#DIV/0!</v>
      </c>
      <c r="AZ221" s="2187" t="e">
        <f>IF(AV221&lt;Paramétrage!D$29, Paramétrage!H$19+AX221*(365/12), Paramétrage!H$19+AV221*(365/12))</f>
        <v>#DIV/0!</v>
      </c>
      <c r="BA221" s="2051"/>
      <c r="BB221" s="2219" t="str">
        <f>IF(ISERROR(AV221),"", IF(AV221=0, "", IF(AV221&gt;'Calculs Péremption conso'!$CB44, 'Calculs Péremption conso'!$CB44, AV221)))</f>
        <v/>
      </c>
      <c r="BC221" s="2220" t="str">
        <f>IF(ISERROR(AV221),"", IF(AV221=0, "", IF(AV221&gt;'Calculs Péremption conso'!$CB44, 'Calculs Péremption conso'!$CB44-Paramétrage!$D$29, AW221)))</f>
        <v/>
      </c>
      <c r="BD221" s="2189" t="str">
        <f>IF(ISERROR(AV221),"", IF(AV221=0, "", IF(AV221&gt;'Calculs Péremption conso'!$CB44, Paramétrage!$D$29, AX221)))</f>
        <v/>
      </c>
      <c r="BE221" s="2186" t="str">
        <f>IF(ISERROR(AV221),"", IF(AV221=0, "", IF(AV221&gt;'Calculs Péremption conso'!$CB44, 'Calculs Péremption conso'!$BX44-Paramétrage!$D$29*(365/12), AY221)))</f>
        <v/>
      </c>
      <c r="BF221" s="2187" t="str">
        <f>IF(ISERROR(AV221),"", IF(AV221=0, "", IF(AV221&gt;'Calculs Péremption conso'!$CB44, CONCATENATE('TRAD-Calculs dispo Données FA'!$B$88, " - ", 'Calculs Péremption conso'!$BY44, "/", 'Calculs Péremption conso'!$BZ44, "/", 'Calculs Péremption conso'!$CA44), AZ221)))</f>
        <v/>
      </c>
      <c r="BG221" s="2051"/>
      <c r="BH221" s="2219" t="e">
        <f t="shared" si="46"/>
        <v>#DIV/0!</v>
      </c>
      <c r="BI221" s="2220" t="e">
        <f>BH221-Paramétrage!D$29</f>
        <v>#DIV/0!</v>
      </c>
      <c r="BJ221" s="2221" t="e">
        <f>IF(BH221&lt;Paramétrage!D$29, BH221, Paramétrage!D$29)</f>
        <v>#DIV/0!</v>
      </c>
      <c r="BK221" s="2221" t="e">
        <f t="shared" si="47"/>
        <v>#DIV/0!</v>
      </c>
      <c r="BL221" s="2186" t="e">
        <f>Paramétrage!$H$19+BI221*30</f>
        <v>#DIV/0!</v>
      </c>
      <c r="BM221" s="2187" t="e">
        <f>IF(BH221&lt;Paramétrage!$D$29, Paramétrage!$H$19+BJ221*30, Paramétrage!$H$19+BH221*30)</f>
        <v>#DIV/0!</v>
      </c>
      <c r="BN221" s="2051"/>
      <c r="BO221" s="2219" t="str">
        <f>IF(ISERROR(BH221),"", IF(BH221=0, "", IF(BH221&gt;'Calculs Péremption conso'!$CB44, 'Calculs Péremption conso'!$CB44, BH221)))</f>
        <v/>
      </c>
      <c r="BP221" s="2220" t="str">
        <f>IF(ISERROR(BH221),"", IF(BH221=0, "", IF(BH221&gt;'Calculs Péremption conso'!$CB44, 'Calculs Péremption conso'!$CB44-Paramétrage!$D$29, BI221)))</f>
        <v/>
      </c>
      <c r="BQ221" s="2189" t="str">
        <f>IF(ISERROR(BH221),"", IF(BH221=0, "", IF(BH221&gt;'Calculs Péremption conso'!$CB44, Paramétrage!$D$29, BJ221)))</f>
        <v/>
      </c>
      <c r="BR221" s="2224" t="str">
        <f t="shared" si="48"/>
        <v/>
      </c>
      <c r="BS221" s="2186" t="str">
        <f>IF(ISERROR(BH221),"", IF(BH221=0, "", IF(BH221&gt;'Calculs Péremption conso'!$CB44, 'Calculs Péremption conso'!$BX44-Paramétrage!$D$29*(365/12), BL221)))</f>
        <v/>
      </c>
      <c r="BT221" s="2187" t="str">
        <f>IF(ISERROR(BH221),"", IF(BH221=0, "", IF(BH221&gt;'Calculs Péremption conso'!$CB44, CONCATENATE('TRAD-Calculs dispo Données FA'!$B$88, " - ", 'Calculs Péremption conso'!$BY44, "/", 'Calculs Péremption conso'!$BZ44, "/", 'Calculs Péremption conso'!$CA44), BM221)))</f>
        <v/>
      </c>
      <c r="BV221" s="2061">
        <f>Calculs!$Q299</f>
        <v>0</v>
      </c>
      <c r="BW221" s="2062">
        <f>Calculs!L354</f>
        <v>0</v>
      </c>
      <c r="BX221" s="2068">
        <f>Calculs!N354</f>
        <v>0</v>
      </c>
      <c r="BY221" s="2070" t="str">
        <f>IF(AND(BX221=0, BV221=0, BW221=0), 'TRAD-Calculs dispo Données FA'!$B$82, "")</f>
        <v>Stock et besoin nul</v>
      </c>
      <c r="BZ221" s="2062" t="str">
        <f>IF(AND(BX221=0, BV221&gt;0, BW221=0), CONCATENATE(BV221, 'TRAD-Calculs dispo Données FA'!$B$80," =0"), "")</f>
        <v/>
      </c>
      <c r="CA221" s="2063" t="str">
        <f>IF(AND(BV221=0, OR(BW221&gt;=1, BX221&gt;=1)), 'TRAD-Calculs dispo Données FA'!$B$81, "")</f>
        <v/>
      </c>
    </row>
    <row r="222" spans="3:79" s="358" customFormat="1" ht="25.5" x14ac:dyDescent="0.2">
      <c r="C222" s="374"/>
      <c r="D222" s="402"/>
      <c r="E222" s="1636" t="str">
        <f>'Saisie données stocks'!F57</f>
        <v>SQV</v>
      </c>
      <c r="F222" s="1637" t="str">
        <f>'Saisie données stocks'!G57</f>
        <v>Cp</v>
      </c>
      <c r="G222" s="1637" t="str">
        <f>'Saisie données stocks'!H57</f>
        <v>500 mg</v>
      </c>
      <c r="H222" s="403" t="str">
        <f>CONCATENATE(E222, " - ", G222, " - ", 'TRAD-Calculs dispo Données FA'!$B$79,"/", K222)</f>
        <v>SQV - 500 mg - B/120</v>
      </c>
      <c r="I222" s="1862">
        <f>Calculs!K140</f>
        <v>4</v>
      </c>
      <c r="J222" s="1807">
        <f t="shared" si="36"/>
        <v>120</v>
      </c>
      <c r="K222" s="1386">
        <f>Calculs!J140</f>
        <v>120</v>
      </c>
      <c r="L222" s="1846">
        <f t="shared" si="37"/>
        <v>1</v>
      </c>
      <c r="M222" s="1871">
        <f>IF('Saisie données stocks'!$O$10='TRAD-Saisie données stocks'!$B$51, 'Calculs Péremption conso'!BU45, Calculs!M300)+IF('Saisie données stocks'!$M$76='TRAD-Saisie données stocks'!$B$51, Calculs!N300, "0")+Calculs!P300</f>
        <v>0</v>
      </c>
      <c r="N222" s="1871">
        <f>Calculs!$L$355</f>
        <v>0</v>
      </c>
      <c r="O222" s="1871">
        <f>Calculs!$N$355</f>
        <v>0</v>
      </c>
      <c r="P222"/>
      <c r="Q222" s="2219" t="e">
        <f>IF(Calculs!N355&gt;0, (-(Calculs!N355+2*Calculs!L355)+SQRT((Calculs!N355+2*Calculs!L355)*(Calculs!N355+2*Calculs!L355)+8*Calculs!N355*(M222)))/(2*Calculs!N355), ((M222)/Calculs!L355))</f>
        <v>#DIV/0!</v>
      </c>
      <c r="R222" s="2220" t="e">
        <f>Q222-Paramétrage!D$29</f>
        <v>#DIV/0!</v>
      </c>
      <c r="S222" s="2221" t="e">
        <f>IF(Q222&lt;Paramétrage!D$29, Q222, Paramétrage!D$29)</f>
        <v>#DIV/0!</v>
      </c>
      <c r="T222" s="2222" t="e">
        <f>Paramétrage!H$19+R222*30</f>
        <v>#DIV/0!</v>
      </c>
      <c r="U222" s="2187" t="e">
        <f>IF(Q222&lt;Paramétrage!D$29, Paramétrage!H$19+S222*30, Paramétrage!H$19+Q222*30)</f>
        <v>#DIV/0!</v>
      </c>
      <c r="V222" s="2051"/>
      <c r="W222" s="2219" t="str">
        <f t="shared" si="38"/>
        <v/>
      </c>
      <c r="X222" s="2220" t="str">
        <f t="shared" si="39"/>
        <v/>
      </c>
      <c r="Y222" s="2189" t="str">
        <f t="shared" si="40"/>
        <v/>
      </c>
      <c r="Z222" s="2186" t="str">
        <f t="shared" si="41"/>
        <v/>
      </c>
      <c r="AA222" s="2187" t="str">
        <f t="shared" si="42"/>
        <v/>
      </c>
      <c r="AB222" s="2051"/>
      <c r="AC222" s="2219" t="e">
        <f t="shared" si="43"/>
        <v>#DIV/0!</v>
      </c>
      <c r="AD222" s="2220" t="e">
        <f>AC222-Paramétrage!D$29</f>
        <v>#DIV/0!</v>
      </c>
      <c r="AE222" s="2221" t="e">
        <f>IF(AC222&lt;Paramétrage!D$29, AC222, Paramétrage!D$29)</f>
        <v>#DIV/0!</v>
      </c>
      <c r="AF222" s="2221" t="e">
        <f t="shared" si="44"/>
        <v>#DIV/0!</v>
      </c>
      <c r="AG222" s="2186" t="e">
        <f>Paramétrage!H$19+AD222*30</f>
        <v>#DIV/0!</v>
      </c>
      <c r="AH222" s="2187" t="e">
        <f>IF(AC222&lt;Paramétrage!D$29, Paramétrage!H$19+AE222*30, Paramétrage!H$19+AC222*30)</f>
        <v>#DIV/0!</v>
      </c>
      <c r="AI222" s="2187">
        <f>'Saisie données stocks'!O178</f>
        <v>0</v>
      </c>
      <c r="AJ222" s="2223" t="str">
        <f>IF(ISERROR(Q222), "0", IF('Saisie données stocks'!O178="", "0", IF(U165&gt;'Saisie données stocks'!$N$14, IF(AI222&gt;(Paramétrage!$H$19+'Saisie données stocks'!$N$14*30), (AI222-(Paramétrage!$H$19+'Saisie données stocks'!$N$14*30))/30, IF(AI222&gt;U165, (AI222-U165)/30, "0")))))</f>
        <v>0</v>
      </c>
      <c r="AK222" s="2220" t="str">
        <f>IF(ISERROR(Q165),"0", IF(Q165=0, "0", IF(Q165&gt;'Calculs Péremption FA'!$CB45, 'Calculs Péremption FA'!$CB45, Q165)))</f>
        <v>0</v>
      </c>
      <c r="AL222" s="2221" t="str">
        <f>IF(ISERROR(AC222),"0", IF(AC222=0, "0", IF(AC222&gt;'Saisie données stocks'!$N$14, 'Saisie données stocks'!$N$14, AC222)))</f>
        <v>0</v>
      </c>
      <c r="AM222" s="2187" t="str">
        <f>IF(ISERROR(Q222),AA222,IF(Calculs!P300=0,AA165,(Paramétrage!$H$19+((AJ222+AK222+AL222)*(365/12)))))</f>
        <v/>
      </c>
      <c r="AN222" s="2051"/>
      <c r="AO222" s="2219" t="str">
        <f>IF(ISERROR(AC222),"", IF(AC222=0, "", IF(AC222&gt;'Saisie données stocks'!$N$14, 'Saisie données stocks'!$N$14, AC222)))</f>
        <v/>
      </c>
      <c r="AP222" s="2220" t="str">
        <f>IF(ISERROR(AC222),"", IF(AC222=0, "", IF(AC222&gt;'Calculs Péremption conso'!$CB45, 'Calculs Péremption conso'!$CB45-Paramétrage!$D$29, AD222)))</f>
        <v/>
      </c>
      <c r="AQ222" s="2189" t="str">
        <f>IF(ISERROR(AC222),"", IF(AC222=0, "", IF(AC222&gt;'Calculs Péremption conso'!$CB45, Paramétrage!$D$29, AE222)))</f>
        <v/>
      </c>
      <c r="AR222" s="2224" t="str">
        <f t="shared" si="45"/>
        <v/>
      </c>
      <c r="AS222" s="2186" t="str">
        <f>IF(ISERROR(AC222),"", IF(AC222=0, "", IF(AC222&gt;'Calculs Péremption conso'!$CB45, 'Calculs Péremption conso'!$BX45-Paramétrage!$D$29*(365/12), AG222)))</f>
        <v/>
      </c>
      <c r="AT222" s="2187" t="str">
        <f>IF(ISERROR(AC222),"", IF(AC222=0, "", IF(AC222&gt;'Calculs Péremption conso'!$CB45, CONCATENATE('TRAD-Calculs dispo Données FA'!$B$88, " - ", 'Calculs Péremption conso'!$BY45, "/", 'Calculs Péremption conso'!$BZ45, "/", 'Calculs Péremption conso'!$CA45), AH222)))</f>
        <v/>
      </c>
      <c r="AU222" s="2051"/>
      <c r="AV222" s="2219" t="e">
        <f>(Calculs!Q300)/Calculs!L355</f>
        <v>#DIV/0!</v>
      </c>
      <c r="AW222" s="2220" t="e">
        <f>AV222-Paramétrage!D$29</f>
        <v>#DIV/0!</v>
      </c>
      <c r="AX222" s="2221" t="e">
        <f>IF(AV222&lt;Paramétrage!D$29, AV222, Paramétrage!D$29)</f>
        <v>#DIV/0!</v>
      </c>
      <c r="AY222" s="2186" t="e">
        <f>Paramétrage!H$19+AW222*(365/12)</f>
        <v>#DIV/0!</v>
      </c>
      <c r="AZ222" s="2187" t="e">
        <f>IF(AV222&lt;Paramétrage!D$29, Paramétrage!H$19+AX222*(365/12), Paramétrage!H$19+AV222*(365/12))</f>
        <v>#DIV/0!</v>
      </c>
      <c r="BA222" s="2051"/>
      <c r="BB222" s="2219" t="str">
        <f>IF(ISERROR(AV222),"", IF(AV222=0, "", IF(AV222&gt;'Calculs Péremption conso'!$CB45, 'Calculs Péremption conso'!$CB45, AV222)))</f>
        <v/>
      </c>
      <c r="BC222" s="2220" t="str">
        <f>IF(ISERROR(AV222),"", IF(AV222=0, "", IF(AV222&gt;'Calculs Péremption conso'!$CB45, 'Calculs Péremption conso'!$CB45-Paramétrage!$D$29, AW222)))</f>
        <v/>
      </c>
      <c r="BD222" s="2189" t="str">
        <f>IF(ISERROR(AV222),"", IF(AV222=0, "", IF(AV222&gt;'Calculs Péremption conso'!$CB45, Paramétrage!$D$29, AX222)))</f>
        <v/>
      </c>
      <c r="BE222" s="2186" t="str">
        <f>IF(ISERROR(AV222),"", IF(AV222=0, "", IF(AV222&gt;'Calculs Péremption conso'!$CB45, 'Calculs Péremption conso'!$BX45-Paramétrage!$D$29*(365/12), AY222)))</f>
        <v/>
      </c>
      <c r="BF222" s="2187" t="str">
        <f>IF(ISERROR(AV222),"", IF(AV222=0, "", IF(AV222&gt;'Calculs Péremption conso'!$CB45, CONCATENATE('TRAD-Calculs dispo Données FA'!$B$88, " - ", 'Calculs Péremption conso'!$BY45, "/", 'Calculs Péremption conso'!$BZ45, "/", 'Calculs Péremption conso'!$CA45), AZ222)))</f>
        <v/>
      </c>
      <c r="BG222" s="2051"/>
      <c r="BH222" s="2219" t="e">
        <f t="shared" si="46"/>
        <v>#DIV/0!</v>
      </c>
      <c r="BI222" s="2220" t="e">
        <f>BH222-Paramétrage!D$29</f>
        <v>#DIV/0!</v>
      </c>
      <c r="BJ222" s="2221" t="e">
        <f>IF(BH222&lt;Paramétrage!D$29, BH222, Paramétrage!D$29)</f>
        <v>#DIV/0!</v>
      </c>
      <c r="BK222" s="2221" t="e">
        <f t="shared" si="47"/>
        <v>#DIV/0!</v>
      </c>
      <c r="BL222" s="2186" t="e">
        <f>Paramétrage!$H$19+BI222*30</f>
        <v>#DIV/0!</v>
      </c>
      <c r="BM222" s="2187" t="e">
        <f>IF(BH222&lt;Paramétrage!$D$29, Paramétrage!$H$19+BJ222*30, Paramétrage!$H$19+BH222*30)</f>
        <v>#DIV/0!</v>
      </c>
      <c r="BN222" s="2051"/>
      <c r="BO222" s="2219" t="str">
        <f>IF(ISERROR(BH222),"", IF(BH222=0, "", IF(BH222&gt;'Calculs Péremption conso'!$CB45, 'Calculs Péremption conso'!$CB45, BH222)))</f>
        <v/>
      </c>
      <c r="BP222" s="2220" t="str">
        <f>IF(ISERROR(BH222),"", IF(BH222=0, "", IF(BH222&gt;'Calculs Péremption conso'!$CB45, 'Calculs Péremption conso'!$CB45-Paramétrage!$D$29, BI222)))</f>
        <v/>
      </c>
      <c r="BQ222" s="2189" t="str">
        <f>IF(ISERROR(BH222),"", IF(BH222=0, "", IF(BH222&gt;'Calculs Péremption conso'!$CB45, Paramétrage!$D$29, BJ222)))</f>
        <v/>
      </c>
      <c r="BR222" s="2224" t="str">
        <f t="shared" si="48"/>
        <v/>
      </c>
      <c r="BS222" s="2186" t="str">
        <f>IF(ISERROR(BH222),"", IF(BH222=0, "", IF(BH222&gt;'Calculs Péremption conso'!$CB45, 'Calculs Péremption conso'!$BX45-Paramétrage!$D$29*(365/12), BL222)))</f>
        <v/>
      </c>
      <c r="BT222" s="2187" t="str">
        <f>IF(ISERROR(BH222),"", IF(BH222=0, "", IF(BH222&gt;'Calculs Péremption conso'!$CB45, CONCATENATE('TRAD-Calculs dispo Données FA'!$B$88, " - ", 'Calculs Péremption conso'!$BY45, "/", 'Calculs Péremption conso'!$BZ45, "/", 'Calculs Péremption conso'!$CA45), BM222)))</f>
        <v/>
      </c>
      <c r="BV222" s="2061">
        <f>Calculs!$Q300</f>
        <v>0</v>
      </c>
      <c r="BW222" s="2062">
        <f>Calculs!L355</f>
        <v>0</v>
      </c>
      <c r="BX222" s="2068">
        <f>Calculs!N355</f>
        <v>0</v>
      </c>
      <c r="BY222" s="2070" t="str">
        <f>IF(AND(BX222=0, BV222=0, BW222=0), 'TRAD-Calculs dispo Données FA'!$B$82, "")</f>
        <v>Stock et besoin nul</v>
      </c>
      <c r="BZ222" s="2062" t="str">
        <f>IF(AND(BX222=0, BV222&gt;0, BW222=0), CONCATENATE(BV222, 'TRAD-Calculs dispo Données FA'!$B$80," =0"), "")</f>
        <v/>
      </c>
      <c r="CA222" s="2063" t="str">
        <f>IF(AND(BV222=0, OR(BW222&gt;=1, BX222&gt;=1)), 'TRAD-Calculs dispo Données FA'!$B$81, "")</f>
        <v/>
      </c>
    </row>
    <row r="223" spans="3:79" s="358" customFormat="1" ht="25.5" x14ac:dyDescent="0.2">
      <c r="C223" s="388"/>
      <c r="D223" s="389"/>
      <c r="E223" s="1518" t="str">
        <f>'Saisie données stocks'!F58</f>
        <v>RTV</v>
      </c>
      <c r="F223" s="1519" t="str">
        <f>'Saisie données stocks'!G58</f>
        <v>Caps</v>
      </c>
      <c r="G223" s="1519" t="str">
        <f>'Saisie données stocks'!H58</f>
        <v>100 mg</v>
      </c>
      <c r="H223" s="401" t="str">
        <f>CONCATENATE(E223, " - ", G223, " - ", 'TRAD-Calculs dispo Données FA'!$B$79,"/", K223)</f>
        <v>RTV - 100 mg - B/84</v>
      </c>
      <c r="I223" s="1520">
        <f>Calculs!K141</f>
        <v>0</v>
      </c>
      <c r="J223" s="1795">
        <f t="shared" si="36"/>
        <v>0</v>
      </c>
      <c r="K223" s="1854">
        <f>Calculs!J141</f>
        <v>84</v>
      </c>
      <c r="L223" s="1855">
        <f t="shared" si="37"/>
        <v>0</v>
      </c>
      <c r="M223" s="1822">
        <f>IF('Saisie données stocks'!$O$10='TRAD-Saisie données stocks'!$B$51, 'Calculs Péremption conso'!BU46, Calculs!M301)+IF('Saisie données stocks'!$M$76='TRAD-Saisie données stocks'!$B$51, Calculs!N301, "0")+Calculs!P301</f>
        <v>0</v>
      </c>
      <c r="N223" s="1822">
        <f>Calculs!$L$356</f>
        <v>0</v>
      </c>
      <c r="O223" s="1822">
        <f>Calculs!$N$356</f>
        <v>0</v>
      </c>
      <c r="P223"/>
      <c r="Q223" s="2175" t="e">
        <f>IF(Calculs!N356&gt;0, (-(Calculs!N356+2*Calculs!L356)+SQRT((Calculs!N356+2*Calculs!L356)*(Calculs!N356+2*Calculs!L356)+8*Calculs!N356*(M223)))/(2*Calculs!N356), ((M223)/Calculs!L356))</f>
        <v>#DIV/0!</v>
      </c>
      <c r="R223" s="2220" t="e">
        <f>Q223-Paramétrage!D$29</f>
        <v>#DIV/0!</v>
      </c>
      <c r="S223" s="2221" t="e">
        <f>IF(Q223&lt;Paramétrage!D$29, Q223, Paramétrage!D$29)</f>
        <v>#DIV/0!</v>
      </c>
      <c r="T223" s="2226" t="e">
        <f>Paramétrage!H$19+R223*30</f>
        <v>#DIV/0!</v>
      </c>
      <c r="U223" s="2179" t="e">
        <f>IF(Q223&lt;Paramétrage!D$29, Paramétrage!H$19+S223*30, Paramétrage!H$19+Q223*30)</f>
        <v>#DIV/0!</v>
      </c>
      <c r="V223" s="2051"/>
      <c r="W223" s="2175" t="str">
        <f t="shared" si="38"/>
        <v/>
      </c>
      <c r="X223" s="2227" t="str">
        <f t="shared" si="39"/>
        <v/>
      </c>
      <c r="Y223" s="2182" t="str">
        <f t="shared" si="40"/>
        <v/>
      </c>
      <c r="Z223" s="2178" t="str">
        <f t="shared" si="41"/>
        <v/>
      </c>
      <c r="AA223" s="2179" t="str">
        <f t="shared" si="42"/>
        <v/>
      </c>
      <c r="AB223" s="2051"/>
      <c r="AC223" s="2175" t="e">
        <f t="shared" si="43"/>
        <v>#DIV/0!</v>
      </c>
      <c r="AD223" s="2227" t="e">
        <f>AC223-Paramétrage!D$29</f>
        <v>#DIV/0!</v>
      </c>
      <c r="AE223" s="2225" t="e">
        <f>IF(AC223&lt;Paramétrage!D$29, AC223, Paramétrage!D$29)</f>
        <v>#DIV/0!</v>
      </c>
      <c r="AF223" s="2182" t="e">
        <f t="shared" si="44"/>
        <v>#DIV/0!</v>
      </c>
      <c r="AG223" s="2178" t="e">
        <f>Paramétrage!H$19+AD223*30</f>
        <v>#DIV/0!</v>
      </c>
      <c r="AH223" s="2179" t="e">
        <f>IF(AC223&lt;Paramétrage!D$29, Paramétrage!H$19+AE223*30, Paramétrage!H$19+AC223*30)</f>
        <v>#DIV/0!</v>
      </c>
      <c r="AI223" s="2179">
        <f>'Saisie données stocks'!O179</f>
        <v>0</v>
      </c>
      <c r="AJ223" s="2228" t="str">
        <f>IF(ISERROR(Q223), "0", IF('Saisie données stocks'!O179="", "0", IF(U166&gt;'Saisie données stocks'!$N$14, IF(AI223&gt;(Paramétrage!$H$19+'Saisie données stocks'!$N$14*30), (AI223-(Paramétrage!$H$19+'Saisie données stocks'!$N$14*30))/30, IF(AI223&gt;U166, (AI223-U166)/30, "0")))))</f>
        <v>0</v>
      </c>
      <c r="AK223" s="2227" t="str">
        <f>IF(ISERROR(Q166),"0", IF(Q166=0, "0", IF(Q166&gt;'Calculs Péremption FA'!$CB46, 'Calculs Péremption FA'!$CB46, Q166)))</f>
        <v>0</v>
      </c>
      <c r="AL223" s="2225" t="str">
        <f>IF(ISERROR(AC223),"0", IF(AC223=0, "0", IF(AC223&gt;'Saisie données stocks'!$N$14, 'Saisie données stocks'!$N$14, AC223)))</f>
        <v>0</v>
      </c>
      <c r="AM223" s="2179" t="str">
        <f>IF(ISERROR(Q223),AA223,IF(Calculs!P301=0,AA166,(Paramétrage!$H$19+((AJ223+AK223+AL223)*(365/12)))))</f>
        <v/>
      </c>
      <c r="AN223" s="2051"/>
      <c r="AO223" s="2175" t="str">
        <f>IF(ISERROR(AC223),"", IF(AC223=0, "", IF(AC223&gt;'Saisie données stocks'!$N$14, 'Saisie données stocks'!$N$14, AC223)))</f>
        <v/>
      </c>
      <c r="AP223" s="2227" t="str">
        <f>IF(ISERROR(AC223),"", IF(AC223=0, "", IF(AC223&gt;'Calculs Péremption conso'!$CB46, 'Calculs Péremption conso'!$CB46-Paramétrage!$D$29, AD223)))</f>
        <v/>
      </c>
      <c r="AQ223" s="2182" t="str">
        <f>IF(ISERROR(AC223),"", IF(AC223=0, "", IF(AC223&gt;'Calculs Péremption conso'!$CB46, Paramétrage!$D$29, AE223)))</f>
        <v/>
      </c>
      <c r="AR223" s="2229" t="str">
        <f t="shared" si="45"/>
        <v/>
      </c>
      <c r="AS223" s="2178" t="str">
        <f>IF(ISERROR(AC223),"", IF(AC223=0, "", IF(AC223&gt;'Calculs Péremption conso'!$CB46, 'Calculs Péremption conso'!$BX46-Paramétrage!$D$29*(365/12), AG223)))</f>
        <v/>
      </c>
      <c r="AT223" s="2179" t="str">
        <f>IF(ISERROR(AC223),"", IF(AC223=0, "", IF(AC223&gt;'Calculs Péremption conso'!$CB46, CONCATENATE('TRAD-Calculs dispo Données FA'!$B$88, " - ", 'Calculs Péremption conso'!$BY46, "/", 'Calculs Péremption conso'!$BZ46, "/", 'Calculs Péremption conso'!$CA46), AH223)))</f>
        <v/>
      </c>
      <c r="AU223" s="2051"/>
      <c r="AV223" s="2175" t="e">
        <f>(Calculs!Q301)/Calculs!L356</f>
        <v>#DIV/0!</v>
      </c>
      <c r="AW223" s="2227" t="e">
        <f>AV223-Paramétrage!D$29</f>
        <v>#DIV/0!</v>
      </c>
      <c r="AX223" s="2182" t="e">
        <f>IF(AV223&lt;Paramétrage!D$29, AV223, Paramétrage!D$29)</f>
        <v>#DIV/0!</v>
      </c>
      <c r="AY223" s="2178" t="e">
        <f>Paramétrage!H$19+AW223*(365/12)</f>
        <v>#DIV/0!</v>
      </c>
      <c r="AZ223" s="2179" t="e">
        <f>IF(AV223&lt;Paramétrage!D$29, Paramétrage!H$19+AX223*(365/12), Paramétrage!H$19+AV223*(365/12))</f>
        <v>#DIV/0!</v>
      </c>
      <c r="BA223" s="2051"/>
      <c r="BB223" s="2175" t="str">
        <f>IF(ISERROR(AV223),"", IF(AV223=0, "", IF(AV223&gt;'Calculs Péremption conso'!$CB46, 'Calculs Péremption conso'!$CB46, AV223)))</f>
        <v/>
      </c>
      <c r="BC223" s="2227" t="str">
        <f>IF(ISERROR(AV223),"", IF(AV223=0, "", IF(AV223&gt;'Calculs Péremption conso'!$CB46, 'Calculs Péremption conso'!$CB46-Paramétrage!$D$29, AW223)))</f>
        <v/>
      </c>
      <c r="BD223" s="2182" t="str">
        <f>IF(ISERROR(AV223),"", IF(AV223=0, "", IF(AV223&gt;'Calculs Péremption conso'!$CB46, Paramétrage!$D$29, AX223)))</f>
        <v/>
      </c>
      <c r="BE223" s="2178" t="str">
        <f>IF(ISERROR(AV223),"", IF(AV223=0, "", IF(AV223&gt;'Calculs Péremption conso'!$CB46, 'Calculs Péremption conso'!$BX46-Paramétrage!$D$29*(365/12), AY223)))</f>
        <v/>
      </c>
      <c r="BF223" s="2179" t="str">
        <f>IF(ISERROR(AV223),"", IF(AV223=0, "", IF(AV223&gt;'Calculs Péremption conso'!$CB46, CONCATENATE('TRAD-Calculs dispo Données FA'!$B$88, " - ", 'Calculs Péremption conso'!$BY46, "/", 'Calculs Péremption conso'!$BZ46, "/", 'Calculs Péremption conso'!$CA46), AZ223)))</f>
        <v/>
      </c>
      <c r="BG223" s="2051"/>
      <c r="BH223" s="2175" t="e">
        <f t="shared" si="46"/>
        <v>#DIV/0!</v>
      </c>
      <c r="BI223" s="2227" t="e">
        <f>BH223-Paramétrage!D$29</f>
        <v>#DIV/0!</v>
      </c>
      <c r="BJ223" s="2225" t="e">
        <f>IF(BH223&lt;Paramétrage!D$29, BH223, Paramétrage!D$29)</f>
        <v>#DIV/0!</v>
      </c>
      <c r="BK223" s="2182" t="e">
        <f t="shared" si="47"/>
        <v>#DIV/0!</v>
      </c>
      <c r="BL223" s="2178" t="e">
        <f>Paramétrage!$H$19+BI223*30</f>
        <v>#DIV/0!</v>
      </c>
      <c r="BM223" s="2179" t="e">
        <f>IF(BH223&lt;Paramétrage!$D$29, Paramétrage!$H$19+BJ223*30, Paramétrage!$H$19+BH223*30)</f>
        <v>#DIV/0!</v>
      </c>
      <c r="BN223" s="2051"/>
      <c r="BO223" s="2175" t="str">
        <f>IF(ISERROR(BH223),"", IF(BH223=0, "", IF(BH223&gt;'Calculs Péremption conso'!$CB46, 'Calculs Péremption conso'!$CB46, BH223)))</f>
        <v/>
      </c>
      <c r="BP223" s="2227" t="str">
        <f>IF(ISERROR(BH223),"", IF(BH223=0, "", IF(BH223&gt;'Calculs Péremption conso'!$CB46, 'Calculs Péremption conso'!$CB46-Paramétrage!$D$29, BI223)))</f>
        <v/>
      </c>
      <c r="BQ223" s="2182" t="str">
        <f>IF(ISERROR(BH223),"", IF(BH223=0, "", IF(BH223&gt;'Calculs Péremption conso'!$CB46, Paramétrage!$D$29, BJ223)))</f>
        <v/>
      </c>
      <c r="BR223" s="2229" t="str">
        <f t="shared" si="48"/>
        <v/>
      </c>
      <c r="BS223" s="2178" t="str">
        <f>IF(ISERROR(BH223),"", IF(BH223=0, "", IF(BH223&gt;'Calculs Péremption conso'!$CB46, 'Calculs Péremption conso'!$BX46-Paramétrage!$D$29*(365/12), BL223)))</f>
        <v/>
      </c>
      <c r="BT223" s="2179" t="str">
        <f>IF(ISERROR(BH223),"", IF(BH223=0, "", IF(BH223&gt;'Calculs Péremption conso'!$CB46, CONCATENATE('TRAD-Calculs dispo Données FA'!$B$88, " - ", 'Calculs Péremption conso'!$BY46, "/", 'Calculs Péremption conso'!$BZ46, "/", 'Calculs Péremption conso'!$CA46), BM223)))</f>
        <v/>
      </c>
      <c r="BV223" s="2061">
        <f>Calculs!$Q301</f>
        <v>0</v>
      </c>
      <c r="BW223" s="2062">
        <f>Calculs!L356</f>
        <v>0</v>
      </c>
      <c r="BX223" s="2068">
        <f>Calculs!N356</f>
        <v>0</v>
      </c>
      <c r="BY223" s="2070" t="str">
        <f>IF(AND(BX223=0, BV223=0, BW223=0), 'TRAD-Calculs dispo Données FA'!$B$82, "")</f>
        <v>Stock et besoin nul</v>
      </c>
      <c r="BZ223" s="2062" t="str">
        <f>IF(AND(BX223=0, BV223&gt;0, BW223=0), CONCATENATE(BV223, 'TRAD-Calculs dispo Données FA'!$B$80," =0"), "")</f>
        <v/>
      </c>
      <c r="CA223" s="2063" t="str">
        <f>IF(AND(BV223=0, OR(BW223&gt;=1, BX223&gt;=1)), 'TRAD-Calculs dispo Données FA'!$B$81, "")</f>
        <v/>
      </c>
    </row>
    <row r="224" spans="3:79" s="358" customFormat="1" ht="26.25" thickBot="1" x14ac:dyDescent="0.25">
      <c r="C224" s="374"/>
      <c r="D224" s="375" t="s">
        <v>266</v>
      </c>
      <c r="E224" s="376" t="str">
        <f>'Saisie données stocks'!F59</f>
        <v>RLT = RAL</v>
      </c>
      <c r="F224" s="377" t="str">
        <f>'Saisie données stocks'!G59</f>
        <v>Cp</v>
      </c>
      <c r="G224" s="377" t="str">
        <f>'Saisie données stocks'!H59</f>
        <v>400 mg</v>
      </c>
      <c r="H224" s="378" t="str">
        <f>CONCATENATE(E224, " - ", G224, " - ", 'TRAD-Calculs dispo Données FA'!$B$79,"/", K224)</f>
        <v>RLT = RAL - 400 mg - B/60</v>
      </c>
      <c r="I224" s="378">
        <f>Calculs!K142</f>
        <v>2</v>
      </c>
      <c r="J224" s="379">
        <f t="shared" si="36"/>
        <v>60</v>
      </c>
      <c r="K224" s="114">
        <f>Calculs!J142</f>
        <v>60</v>
      </c>
      <c r="L224" s="381">
        <f t="shared" si="37"/>
        <v>1</v>
      </c>
      <c r="M224" s="1820">
        <f>IF('Saisie données stocks'!$O$10='TRAD-Saisie données stocks'!$B$51, 'Calculs Péremption conso'!BU47, Calculs!M302)+IF('Saisie données stocks'!$M$76='TRAD-Saisie données stocks'!$B$51, Calculs!N302, "0")+Calculs!P302</f>
        <v>0</v>
      </c>
      <c r="N224" s="1820">
        <f>Calculs!$L$357</f>
        <v>0</v>
      </c>
      <c r="O224" s="1820">
        <f>Calculs!$N$357</f>
        <v>0</v>
      </c>
      <c r="P224"/>
      <c r="Q224" s="2161" t="e">
        <f>IF(Calculs!N357&gt;0, (-(Calculs!N357+2*Calculs!L357)+SQRT((Calculs!N357+2*Calculs!L357)*(Calculs!N357+2*Calculs!L357)+8*Calculs!N357*(M224)))/(2*Calculs!N357), ((M224)/Calculs!L357))</f>
        <v>#DIV/0!</v>
      </c>
      <c r="R224" s="2236" t="e">
        <f>Q224-Paramétrage!D$29</f>
        <v>#DIV/0!</v>
      </c>
      <c r="S224" s="2237" t="e">
        <f>IF(Q224&lt;Paramétrage!D$29, Q224, Paramétrage!D$29)</f>
        <v>#DIV/0!</v>
      </c>
      <c r="T224" s="2164" t="e">
        <f>Paramétrage!H$19+R224*30</f>
        <v>#DIV/0!</v>
      </c>
      <c r="U224" s="2165" t="e">
        <f>IF(Q224&lt;Paramétrage!D$29, Paramétrage!H$19+S224*30, Paramétrage!H$19+Q224*30)</f>
        <v>#DIV/0!</v>
      </c>
      <c r="V224" s="2051"/>
      <c r="W224" s="2175" t="str">
        <f t="shared" si="38"/>
        <v/>
      </c>
      <c r="X224" s="2227" t="str">
        <f t="shared" si="39"/>
        <v/>
      </c>
      <c r="Y224" s="2182" t="str">
        <f t="shared" si="40"/>
        <v/>
      </c>
      <c r="Z224" s="2164" t="str">
        <f t="shared" si="41"/>
        <v/>
      </c>
      <c r="AA224" s="2165" t="str">
        <f t="shared" si="42"/>
        <v/>
      </c>
      <c r="AB224" s="2051"/>
      <c r="AC224" s="2161" t="e">
        <f t="shared" si="43"/>
        <v>#DIV/0!</v>
      </c>
      <c r="AD224" s="2162" t="e">
        <f>AC224-Paramétrage!D$29</f>
        <v>#DIV/0!</v>
      </c>
      <c r="AE224" s="2163" t="e">
        <f>IF(AC224&lt;Paramétrage!D$29, AC224, Paramétrage!D$29)</f>
        <v>#DIV/0!</v>
      </c>
      <c r="AF224" s="2163" t="e">
        <f t="shared" si="44"/>
        <v>#DIV/0!</v>
      </c>
      <c r="AG224" s="2164" t="e">
        <f>Paramétrage!H$19+AD224*30</f>
        <v>#DIV/0!</v>
      </c>
      <c r="AH224" s="2165" t="e">
        <f>IF(AC224&lt;Paramétrage!D$29, Paramétrage!H$19+AE224*30, Paramétrage!H$19+AC224*30)</f>
        <v>#DIV/0!</v>
      </c>
      <c r="AI224" s="2165">
        <f>'Saisie données stocks'!O180</f>
        <v>0</v>
      </c>
      <c r="AJ224" s="2228" t="str">
        <f>IF(ISERROR(Q224), "0", IF('Saisie données stocks'!O180="", "0", IF(U167&gt;'Saisie données stocks'!$N$14, IF(AI224&gt;(Paramétrage!$H$19+'Saisie données stocks'!$N$14*30), (AI224-(Paramétrage!$H$19+'Saisie données stocks'!$N$14*30))/30, IF(AI224&gt;U167, (AI224-U167)/30, "0")))))</f>
        <v>0</v>
      </c>
      <c r="AK224" s="2162" t="str">
        <f>IF(ISERROR(Q167),"0", IF(Q167=0, "0", IF(Q167&gt;'Calculs Péremption FA'!$CB47, 'Calculs Péremption FA'!$CB47, Q167)))</f>
        <v>0</v>
      </c>
      <c r="AL224" s="2163" t="str">
        <f>IF(ISERROR(AC224),"0", IF(AC224=0, "0", IF(AC224&gt;'Saisie données stocks'!$N$14, 'Saisie données stocks'!$N$14, AC224)))</f>
        <v>0</v>
      </c>
      <c r="AM224" s="2165" t="str">
        <f>IF(ISERROR(Q224),AA224,IF(Calculs!P302=0,AA167,(Paramétrage!$H$19+((AJ224+AK224+AL224)*(365/12)))))</f>
        <v/>
      </c>
      <c r="AN224" s="2051"/>
      <c r="AO224" s="2175" t="str">
        <f>IF(ISERROR(AC224),"", IF(AC224=0, "", IF(AC224&gt;'Saisie données stocks'!$N$14, 'Saisie données stocks'!$N$14, AC224)))</f>
        <v/>
      </c>
      <c r="AP224" s="2227" t="str">
        <f>IF(ISERROR(AC224),"", IF(AC224=0, "", IF(AC224&gt;'Calculs Péremption conso'!$CB47, 'Calculs Péremption conso'!$CB47-Paramétrage!$D$29, AD224)))</f>
        <v/>
      </c>
      <c r="AQ224" s="2182" t="str">
        <f>IF(ISERROR(AC224),"", IF(AC224=0, "", IF(AC224&gt;'Calculs Péremption conso'!$CB47, Paramétrage!$D$29, AE224)))</f>
        <v/>
      </c>
      <c r="AR224" s="2229" t="str">
        <f t="shared" si="45"/>
        <v/>
      </c>
      <c r="AS224" s="2164" t="str">
        <f>IF(ISERROR(AC224),"", IF(AC224=0, "", IF(AC224&gt;'Calculs Péremption conso'!$CB47, 'Calculs Péremption conso'!$BX47-Paramétrage!$D$29*(365/12), AG224)))</f>
        <v/>
      </c>
      <c r="AT224" s="2165" t="str">
        <f>IF(ISERROR(AC224),"", IF(AC224=0, "", IF(AC224&gt;'Calculs Péremption conso'!$CB47, CONCATENATE('TRAD-Calculs dispo Données FA'!$B$88, " - ", 'Calculs Péremption conso'!$BY47, "/", 'Calculs Péremption conso'!$BZ47, "/", 'Calculs Péremption conso'!$CA47), AH224)))</f>
        <v/>
      </c>
      <c r="AU224" s="2051"/>
      <c r="AV224" s="2161" t="e">
        <f>(Calculs!Q302)/Calculs!L357</f>
        <v>#DIV/0!</v>
      </c>
      <c r="AW224" s="2162" t="e">
        <f>AV224-Paramétrage!D$29</f>
        <v>#DIV/0!</v>
      </c>
      <c r="AX224" s="2163" t="e">
        <f>IF(AV224&lt;Paramétrage!D$29, AV224, Paramétrage!D$29)</f>
        <v>#DIV/0!</v>
      </c>
      <c r="AY224" s="2164" t="e">
        <f>Paramétrage!H$19+AW224*(365/12)</f>
        <v>#DIV/0!</v>
      </c>
      <c r="AZ224" s="2165" t="e">
        <f>IF(AV224&lt;Paramétrage!D$29, Paramétrage!H$19+AX224*(365/12), Paramétrage!H$19+AV224*(365/12))</f>
        <v>#DIV/0!</v>
      </c>
      <c r="BA224" s="2051"/>
      <c r="BB224" s="2175" t="str">
        <f>IF(ISERROR(AV224),"", IF(AV224=0, "", IF(AV224&gt;'Calculs Péremption conso'!$CB47, 'Calculs Péremption conso'!$CB47, AV224)))</f>
        <v/>
      </c>
      <c r="BC224" s="2227" t="str">
        <f>IF(ISERROR(AV224),"", IF(AV224=0, "", IF(AV224&gt;'Calculs Péremption conso'!$CB47, 'Calculs Péremption conso'!$CB47-Paramétrage!$D$29, AW224)))</f>
        <v/>
      </c>
      <c r="BD224" s="2182" t="str">
        <f>IF(ISERROR(AV224),"", IF(AV224=0, "", IF(AV224&gt;'Calculs Péremption conso'!$CB47, Paramétrage!$D$29, AX224)))</f>
        <v/>
      </c>
      <c r="BE224" s="2164" t="str">
        <f>IF(ISERROR(AV224),"", IF(AV224=0, "", IF(AV224&gt;'Calculs Péremption conso'!$CB47, 'Calculs Péremption conso'!$BX47-Paramétrage!$D$29*(365/12), AY224)))</f>
        <v/>
      </c>
      <c r="BF224" s="2165" t="str">
        <f>IF(ISERROR(AV224),"", IF(AV224=0, "", IF(AV224&gt;'Calculs Péremption conso'!$CB47, CONCATENATE('TRAD-Calculs dispo Données FA'!$B$88, " - ", 'Calculs Péremption conso'!$BY47, "/", 'Calculs Péremption conso'!$BZ47, "/", 'Calculs Péremption conso'!$CA47), AZ224)))</f>
        <v/>
      </c>
      <c r="BG224" s="2051"/>
      <c r="BH224" s="2161" t="e">
        <f t="shared" si="46"/>
        <v>#DIV/0!</v>
      </c>
      <c r="BI224" s="2162" t="e">
        <f>BH224-Paramétrage!D$29</f>
        <v>#DIV/0!</v>
      </c>
      <c r="BJ224" s="2163" t="e">
        <f>IF(BH224&lt;Paramétrage!D$29, BH224, Paramétrage!D$29)</f>
        <v>#DIV/0!</v>
      </c>
      <c r="BK224" s="2163" t="e">
        <f t="shared" si="47"/>
        <v>#DIV/0!</v>
      </c>
      <c r="BL224" s="2164" t="e">
        <f>Paramétrage!$H$19+BI224*30</f>
        <v>#DIV/0!</v>
      </c>
      <c r="BM224" s="2165" t="e">
        <f>IF(BH224&lt;Paramétrage!$D$29, Paramétrage!$H$19+BJ224*30, Paramétrage!$H$19+BH224*30)</f>
        <v>#DIV/0!</v>
      </c>
      <c r="BN224" s="2051"/>
      <c r="BO224" s="2175" t="str">
        <f>IF(ISERROR(BH224),"", IF(BH224=0, "", IF(BH224&gt;'Calculs Péremption conso'!$CB47, 'Calculs Péremption conso'!$CB47, BH224)))</f>
        <v/>
      </c>
      <c r="BP224" s="2227" t="str">
        <f>IF(ISERROR(BH224),"", IF(BH224=0, "", IF(BH224&gt;'Calculs Péremption conso'!$CB47, 'Calculs Péremption conso'!$CB47-Paramétrage!$D$29, BI224)))</f>
        <v/>
      </c>
      <c r="BQ224" s="2182" t="str">
        <f>IF(ISERROR(BH224),"", IF(BH224=0, "", IF(BH224&gt;'Calculs Péremption conso'!$CB47, Paramétrage!$D$29, BJ224)))</f>
        <v/>
      </c>
      <c r="BR224" s="2229" t="str">
        <f t="shared" si="48"/>
        <v/>
      </c>
      <c r="BS224" s="2164" t="str">
        <f>IF(ISERROR(BH224),"", IF(BH224=0, "", IF(BH224&gt;'Calculs Péremption conso'!$CB47, 'Calculs Péremption conso'!$BX47-Paramétrage!$D$29*(365/12), BL224)))</f>
        <v/>
      </c>
      <c r="BT224" s="2165" t="str">
        <f>IF(ISERROR(BH224),"", IF(BH224=0, "", IF(BH224&gt;'Calculs Péremption conso'!$CB47, CONCATENATE('TRAD-Calculs dispo Données FA'!$B$88, " - ", 'Calculs Péremption conso'!$BY47, "/", 'Calculs Péremption conso'!$BZ47, "/", 'Calculs Péremption conso'!$CA47), BM224)))</f>
        <v/>
      </c>
      <c r="BV224" s="2061">
        <f>Calculs!$Q302</f>
        <v>0</v>
      </c>
      <c r="BW224" s="2062">
        <f>Calculs!L357</f>
        <v>0</v>
      </c>
      <c r="BX224" s="2068">
        <f>Calculs!N357</f>
        <v>0</v>
      </c>
      <c r="BY224" s="2070" t="str">
        <f>IF(AND(BX224=0, BV224=0, BW224=0), 'TRAD-Calculs dispo Données FA'!$B$82, "")</f>
        <v>Stock et besoin nul</v>
      </c>
      <c r="BZ224" s="2062" t="str">
        <f>IF(AND(BX224=0, BV224&gt;0, BW224=0), CONCATENATE(BV224, 'TRAD-Calculs dispo Données FA'!$B$80," =0"), "")</f>
        <v/>
      </c>
      <c r="CA224" s="2063" t="str">
        <f>IF(AND(BV224=0, OR(BW224&gt;=1, BX224&gt;=1)), 'TRAD-Calculs dispo Données FA'!$B$81, "")</f>
        <v/>
      </c>
    </row>
    <row r="225" spans="3:79" s="358" customFormat="1" ht="77.25" thickBot="1" x14ac:dyDescent="0.25">
      <c r="C225" s="577" t="str">
        <f>'TRAD-Calculs dispo Données FA'!B9</f>
        <v>Classe forme galénique</v>
      </c>
      <c r="D225" s="1826" t="str">
        <f>'TRAD-Calculs dispo Données FA'!B10</f>
        <v>Classe thérapeutique</v>
      </c>
      <c r="E225" s="364" t="str">
        <f>'TRAD-Calculs dispo Données FA'!B11</f>
        <v>Composition</v>
      </c>
      <c r="F225" s="365" t="str">
        <f>'TRAD-Calculs dispo Données FA'!B12</f>
        <v>Forme galénique</v>
      </c>
      <c r="G225" s="365" t="str">
        <f>'TRAD-Calculs dispo Données FA'!B13</f>
        <v>Dosage</v>
      </c>
      <c r="H225" s="365" t="str">
        <f>'TRAD-Calculs dispo Données FA'!B14</f>
        <v>Nom pour représentation graphique</v>
      </c>
      <c r="I225" s="365"/>
      <c r="J225" s="365"/>
      <c r="K225" s="365" t="str">
        <f>'TRAD-Calculs dispo Données FA'!B18</f>
        <v>Volume conditionnement primaire (mL)</v>
      </c>
      <c r="L225" s="327" t="str">
        <f>'TRAD-Calculs dispo Données FA'!B19</f>
        <v>Conditionement secondaire</v>
      </c>
      <c r="M225" s="346" t="str">
        <f>'TRAD-Calculs dispo Données FA'!B21</f>
        <v>Stock disponible UTILISABLE au niveau considéré (nb de boites)</v>
      </c>
      <c r="N225" s="2057" t="str">
        <f>'TRAD-Calculs dispo Données FA'!B33</f>
        <v>Besoin mensuel patients suivis selon méthode</v>
      </c>
      <c r="O225" s="2057" t="str">
        <f>'TRAD-Calculs dispo Données FA'!B34</f>
        <v>Besoin mensuel patients initiés selon méthode</v>
      </c>
      <c r="P225"/>
      <c r="Q225" s="346" t="str">
        <f>'TRAD-Calculs dispo Données FA'!B35</f>
        <v>Nombre de mois de disponibilité de produits</v>
      </c>
      <c r="R225" s="347" t="str">
        <f>'TRAD-Calculs dispo Données FA'!B37</f>
        <v>Nombre de mois de disponibilité de produits hors ST</v>
      </c>
      <c r="S225" s="347" t="str">
        <f>CONCATENATE('TRAD-Calculs dispo Données FA'!$B$85, " (max", " ", Calculs!$D$486, ")")</f>
        <v>Nombre de mois de stock tampon (max 3 mois)</v>
      </c>
      <c r="T225" s="348" t="str">
        <f>'TRAD-Calculs dispo Données FA'!B39</f>
        <v>Date d'entrée en stock tampon</v>
      </c>
      <c r="U225" s="349" t="str">
        <f>'TRAD-Calculs dispo Données FA'!B40</f>
        <v>Date de rupture attendue</v>
      </c>
      <c r="V225" s="2051"/>
      <c r="W225" s="346" t="str">
        <f>'TRAD-Calculs dispo Données FA'!B35</f>
        <v>Nombre de mois de disponibilité de produits</v>
      </c>
      <c r="X225" s="347" t="str">
        <f>'TRAD-Calculs dispo Données FA'!B37</f>
        <v>Nombre de mois de disponibilité de produits hors ST</v>
      </c>
      <c r="Y225" s="347" t="str">
        <f>CONCATENATE('TRAD-Calculs dispo Données FA'!$B$85, " (max", " ",  Calculs!$D$486, ")")</f>
        <v>Nombre de mois de stock tampon (max 3 mois)</v>
      </c>
      <c r="Z225" s="348" t="str">
        <f>'TRAD-Calculs dispo Données FA'!B39</f>
        <v>Date d'entrée en stock tampon</v>
      </c>
      <c r="AA225" s="349" t="str">
        <f>'TRAD-Calculs dispo Données FA'!B40</f>
        <v>Date de rupture attendue</v>
      </c>
      <c r="AB225" s="2051"/>
      <c r="AC225" s="346" t="str">
        <f>'TRAD-Calculs dispo Données FA'!B35</f>
        <v>Nombre de mois de disponibilité de produits</v>
      </c>
      <c r="AD225" s="347" t="str">
        <f>'TRAD-Calculs dispo Données FA'!B37</f>
        <v>Nombre de mois de disponibilité de produits hors ST</v>
      </c>
      <c r="AE225" s="327" t="str">
        <f>'TRAD-Calculs dispo Données FA'!B38</f>
        <v>Nombre de mois de stock tampon (ST)</v>
      </c>
      <c r="AF225" s="347" t="str">
        <f>'TRAD-Calculs dispo Données FA'!B47</f>
        <v>Delta sur commande / ST</v>
      </c>
      <c r="AG225" s="348" t="str">
        <f>'TRAD-Calculs dispo Données FA'!B39</f>
        <v>Date d'entrée en stock tampon</v>
      </c>
      <c r="AH225" s="349" t="str">
        <f>'TRAD-Calculs dispo Données FA'!B40</f>
        <v>Date de rupture attendue</v>
      </c>
      <c r="AI225" s="348" t="str">
        <f>'TRAD-Calculs dispo Données FA'!B41</f>
        <v>Date de réception attendue</v>
      </c>
      <c r="AJ225" s="349" t="str">
        <f>'TRAD-Calculs dispo Données FA'!B42</f>
        <v>Delta Dispo/date de réception attendue</v>
      </c>
      <c r="AK225" s="347"/>
      <c r="AL225" s="327"/>
      <c r="AM225" s="349" t="str">
        <f>'TRAD-Calculs dispo Données FA'!B45</f>
        <v>Date de rupture finale attendue</v>
      </c>
      <c r="AN225" s="2051"/>
      <c r="AO225" s="346" t="str">
        <f>'TRAD-Calculs dispo Données FA'!B71</f>
        <v>Nb de mois de stock / commande attendue</v>
      </c>
      <c r="AP225" s="347" t="str">
        <f>'TRAD-Calculs dispo Données FA'!B37</f>
        <v>Nombre de mois de disponibilité de produits hors ST</v>
      </c>
      <c r="AQ225" s="424" t="str">
        <f>'TRAD-Calculs dispo Données FA'!B38</f>
        <v>Nombre de mois de stock tampon (ST)</v>
      </c>
      <c r="AR225" s="347" t="str">
        <f>'TRAD-Calculs dispo Données FA'!B47</f>
        <v>Delta sur commande / ST</v>
      </c>
      <c r="AS225" s="348" t="str">
        <f>'TRAD-Calculs dispo Données FA'!B39</f>
        <v>Date d'entrée en stock tampon</v>
      </c>
      <c r="AT225" s="349" t="str">
        <f>'TRAD-Calculs dispo Données FA'!B40</f>
        <v>Date de rupture attendue</v>
      </c>
      <c r="AU225" s="2051"/>
      <c r="AV225" s="346" t="str">
        <f>'TRAD-Calculs dispo Données FA'!B35</f>
        <v>Nombre de mois de disponibilité de produits</v>
      </c>
      <c r="AW225" s="347" t="str">
        <f>'TRAD-Calculs dispo Données FA'!B37</f>
        <v>Nombre de mois de disponibilité de produits hors ST</v>
      </c>
      <c r="AX225" s="424" t="str">
        <f>'TRAD-Calculs dispo Données FA'!B38</f>
        <v>Nombre de mois de stock tampon (ST)</v>
      </c>
      <c r="AY225" s="348" t="str">
        <f>'TRAD-Calculs dispo Données FA'!B39</f>
        <v>Date d'entrée en stock tampon</v>
      </c>
      <c r="AZ225" s="349" t="str">
        <f>'TRAD-Calculs dispo Données FA'!B40</f>
        <v>Date de rupture attendue</v>
      </c>
      <c r="BA225" s="2051"/>
      <c r="BB225" s="346" t="str">
        <f>'TRAD-Calculs dispo Données FA'!B35</f>
        <v>Nombre de mois de disponibilité de produits</v>
      </c>
      <c r="BC225" s="347" t="str">
        <f>'TRAD-Calculs dispo Données FA'!B37</f>
        <v>Nombre de mois de disponibilité de produits hors ST</v>
      </c>
      <c r="BD225" s="424" t="str">
        <f>'TRAD-Calculs dispo Données FA'!B38</f>
        <v>Nombre de mois de stock tampon (ST)</v>
      </c>
      <c r="BE225" s="348" t="str">
        <f>'TRAD-Calculs dispo Données FA'!B39</f>
        <v>Date d'entrée en stock tampon</v>
      </c>
      <c r="BF225" s="349" t="str">
        <f>'TRAD-Calculs dispo Données FA'!B40</f>
        <v>Date de rupture attendue</v>
      </c>
      <c r="BG225" s="2051"/>
      <c r="BH225" s="346" t="str">
        <f>'TRAD-Calculs dispo Données FA'!B35</f>
        <v>Nombre de mois de disponibilité de produits</v>
      </c>
      <c r="BI225" s="347" t="str">
        <f>'TRAD-Calculs dispo Données FA'!B37</f>
        <v>Nombre de mois de disponibilité de produits hors ST</v>
      </c>
      <c r="BJ225" s="424" t="str">
        <f>'TRAD-Calculs dispo Données FA'!B38</f>
        <v>Nombre de mois de stock tampon (ST)</v>
      </c>
      <c r="BK225" s="347" t="str">
        <f>'TRAD-Calculs dispo Données FA'!B47</f>
        <v>Delta sur commande / ST</v>
      </c>
      <c r="BL225" s="348" t="str">
        <f>'TRAD-Calculs dispo Données FA'!B39</f>
        <v>Date d'entrée en stock tampon</v>
      </c>
      <c r="BM225" s="349" t="str">
        <f>'TRAD-Calculs dispo Données FA'!B40</f>
        <v>Date de rupture attendue</v>
      </c>
      <c r="BN225" s="2051"/>
      <c r="BO225" s="346" t="str">
        <f>'TRAD-Calculs dispo Données FA'!B35</f>
        <v>Nombre de mois de disponibilité de produits</v>
      </c>
      <c r="BP225" s="347" t="str">
        <f>'TRAD-Calculs dispo Données FA'!B37</f>
        <v>Nombre de mois de disponibilité de produits hors ST</v>
      </c>
      <c r="BQ225" s="424" t="str">
        <f>'TRAD-Calculs dispo Données FA'!B38</f>
        <v>Nombre de mois de stock tampon (ST)</v>
      </c>
      <c r="BR225" s="1827" t="str">
        <f>'TRAD-Calculs dispo Données FA'!B47</f>
        <v>Delta sur commande / ST</v>
      </c>
      <c r="BS225" s="348" t="str">
        <f>'TRAD-Calculs dispo Données FA'!B39</f>
        <v>Date d'entrée en stock tampon</v>
      </c>
      <c r="BT225" s="349" t="str">
        <f>'TRAD-Calculs dispo Données FA'!B40</f>
        <v>Date de rupture attendue</v>
      </c>
      <c r="BV225" s="2077" t="str">
        <f>'TRAD-Calculs dispo Données FA'!B48</f>
        <v>Stock</v>
      </c>
      <c r="BW225" s="2078" t="str">
        <f>'TRAD-Calculs dispo Données FA'!B49</f>
        <v>besoin actuel</v>
      </c>
      <c r="BX225" s="2079" t="str">
        <f>'TRAD-Calculs dispo Données FA'!B50</f>
        <v>Progression besoin</v>
      </c>
      <c r="BY225" s="2077" t="str">
        <f>'TRAD-Calculs dispo Données FA'!B51</f>
        <v>Eval</v>
      </c>
      <c r="BZ225" s="2078" t="str">
        <f>'TRAD-Calculs dispo Données FA'!B51</f>
        <v>Eval</v>
      </c>
      <c r="CA225" s="2080" t="str">
        <f>'TRAD-Calculs dispo Données FA'!B51</f>
        <v>Eval</v>
      </c>
    </row>
    <row r="226" spans="3:79" s="358" customFormat="1" ht="38.25" x14ac:dyDescent="0.2">
      <c r="C226" s="1828" t="str">
        <f>'TRAD-Calculs dispo Données FA'!B67</f>
        <v>Solutions Buvables</v>
      </c>
      <c r="D226" s="1829" t="s">
        <v>31</v>
      </c>
      <c r="E226" s="368" t="str">
        <f>'Saisie données stocks'!F61</f>
        <v>AZT</v>
      </c>
      <c r="F226" s="369" t="str">
        <f>'Saisie données stocks'!G61</f>
        <v>Sol buv</v>
      </c>
      <c r="G226" s="369" t="str">
        <f>'Saisie données stocks'!H61</f>
        <v>10 mg/mL</v>
      </c>
      <c r="H226" s="87" t="str">
        <f>CONCATENATE(E226, " - ", G226, " - ", 'TRAD-Calculs dispo Données FA'!$B$83,"/", K226, "mL")</f>
        <v>AZT - 10 mg/mL - Fl/240mL</v>
      </c>
      <c r="I226" s="370"/>
      <c r="J226" s="370"/>
      <c r="K226" s="113">
        <f>'Saisie données stocks'!L61</f>
        <v>240</v>
      </c>
      <c r="L226" s="300">
        <f>'Saisie données stocks'!M61</f>
        <v>1</v>
      </c>
      <c r="M226" s="1819">
        <f>IF('Saisie données stocks'!$O$10='TRAD-Saisie données stocks'!$B$51, 'Calculs Péremption conso'!BU49, Calculs!M304)+IF('Saisie données stocks'!$M$76='TRAD-Saisie données stocks'!$B$51, Calculs!N304, "0")+Calculs!P304</f>
        <v>0</v>
      </c>
      <c r="N226" s="1819">
        <f>Calculs!$L$359</f>
        <v>0</v>
      </c>
      <c r="O226" s="1819">
        <f>Calculs!$N$359</f>
        <v>0</v>
      </c>
      <c r="P226"/>
      <c r="Q226" s="2154" t="e">
        <f>IF(Calculs!N359&gt;0, (-(Calculs!N359+2*Calculs!L359)+SQRT((Calculs!N359+2*Calculs!L359)*(Calculs!N359+2*Calculs!L359)+8*Calculs!N359*(M226)))/(2*Calculs!N359), ((M226)/Calculs!L359))</f>
        <v>#DIV/0!</v>
      </c>
      <c r="R226" s="2155" t="e">
        <f>Q226-Paramétrage!D$29</f>
        <v>#DIV/0!</v>
      </c>
      <c r="S226" s="2156" t="e">
        <f>IF(Q226&lt;Paramétrage!D$29, Q226, Paramétrage!D$29)</f>
        <v>#DIV/0!</v>
      </c>
      <c r="T226" s="2157" t="e">
        <f>IF(Q226&lt;Paramétrage!D$29, Paramétrage!H$19+R226*30, Paramétrage!H$19+R226*30)</f>
        <v>#DIV/0!</v>
      </c>
      <c r="U226" s="2158" t="e">
        <f>IF(Q226&lt;Paramétrage!D$29, Paramétrage!H$19+S226*30, Paramétrage!H$19+Q226*30)</f>
        <v>#DIV/0!</v>
      </c>
      <c r="V226" s="2051"/>
      <c r="W226" s="2154" t="str">
        <f t="shared" ref="W226:W233" si="49">IF(ISERROR(Q226),"", IF(Q226=0, "", Q226))</f>
        <v/>
      </c>
      <c r="X226" s="2155" t="str">
        <f t="shared" ref="X226:X233" si="50">IF(ISERROR(Q226),"", IF(Q226=0, "", R226))</f>
        <v/>
      </c>
      <c r="Y226" s="2160" t="str">
        <f t="shared" ref="Y226:Y233" si="51">IF(ISERROR(Q226),"", IF(Q226=0, "", S226))</f>
        <v/>
      </c>
      <c r="Z226" s="2157" t="str">
        <f t="shared" ref="Z226:Z233" si="52">IF(ISERROR(Q226),"", IF(Q226=0, "", T226))</f>
        <v/>
      </c>
      <c r="AA226" s="2158" t="str">
        <f t="shared" ref="AA226:AA233" si="53">IF(ISERROR(Q226), BZ226, IF(Q226=0, IF(AND(M226=0, OR(N226&gt;0, O226&gt;0)), CA226, U226), U226))</f>
        <v/>
      </c>
      <c r="AB226" s="2051"/>
      <c r="AC226" s="2161" t="e">
        <f t="shared" ref="AC226:AC233" si="54">Q226-Q169</f>
        <v>#DIV/0!</v>
      </c>
      <c r="AD226" s="2155" t="e">
        <f>AC226-Paramétrage!D$29</f>
        <v>#DIV/0!</v>
      </c>
      <c r="AE226" s="2156" t="e">
        <f>IF(AC226&lt;Paramétrage!D$29, AC226, Paramétrage!D$29)</f>
        <v>#DIV/0!</v>
      </c>
      <c r="AF226" s="2156" t="e">
        <f t="shared" ref="AF226:AF233" si="55">IF((I226-X226)&gt;0, (I226-X226), 0)</f>
        <v>#VALUE!</v>
      </c>
      <c r="AG226" s="2157" t="e">
        <f>Paramétrage!H$19+AD226*30</f>
        <v>#DIV/0!</v>
      </c>
      <c r="AH226" s="2158" t="e">
        <f>IF(AC226&lt;Paramétrage!D$29, Paramétrage!H$19+AE226*30, Paramétrage!H$19+AC226*30)</f>
        <v>#DIV/0!</v>
      </c>
      <c r="AI226" s="2158">
        <f>'Saisie données stocks'!O182</f>
        <v>0</v>
      </c>
      <c r="AJ226" s="2208" t="str">
        <f>IF(ISERROR(Q226), "0", IF('Saisie données stocks'!O182="", "0", IF(U169&gt;'Saisie données stocks'!$N$14, IF(AI226&gt;(Paramétrage!$H$19+'Saisie données stocks'!$N$14*30), (AI226-(Paramétrage!$H$19+'Saisie données stocks'!$N$14*30))/30, IF(AI226&gt;U169, (AI226-U169)/30, "0")))))</f>
        <v>0</v>
      </c>
      <c r="AK226" s="2155" t="str">
        <f>IF(ISERROR(Q169),"0", IF(Q169=0, "0", IF(Q169&gt;'Calculs Péremption FA'!$CB49, 'Calculs Péremption FA'!$CB49, Q169)))</f>
        <v>0</v>
      </c>
      <c r="AL226" s="2156" t="str">
        <f>IF(ISERROR(AC226),"0", IF(AC226=0, "0", IF(AC226&gt;'Saisie données stocks'!$N$14, 'Saisie données stocks'!$N$14, AC226)))</f>
        <v>0</v>
      </c>
      <c r="AM226" s="2158" t="str">
        <f>IF(ISERROR(Q226),AA226,IF(Calculs!P304=0,AA169,(Paramétrage!$H$19+((AJ226+AK226+AL226)*(365/12)))))</f>
        <v/>
      </c>
      <c r="AN226" s="2051"/>
      <c r="AO226" s="2154" t="str">
        <f>IF(ISERROR(AC226),"", IF(AC226=0, "", IF(AC226&gt;'Saisie données stocks'!$N$14, 'Saisie données stocks'!$N$14, AC226)))</f>
        <v/>
      </c>
      <c r="AP226" s="2155" t="str">
        <f>IF(ISERROR(AC226),"", IF(AC226=0, "", IF(AC226&gt;'Calculs Péremption conso'!$CB49, 'Calculs Péremption conso'!$CB49-Paramétrage!$D$29, AD226)))</f>
        <v/>
      </c>
      <c r="AQ226" s="2160" t="str">
        <f>IF(ISERROR(AC226),"", IF(AC226=0, "", IF(AC226&gt;'Calculs Péremption conso'!$CB49, Paramétrage!$D$29, AE226)))</f>
        <v/>
      </c>
      <c r="AR226" s="2209" t="str">
        <f t="shared" ref="AR226:AR233" si="56">IF(ISERROR(AF226),"", IF(AF226=0, "", AF226))</f>
        <v/>
      </c>
      <c r="AS226" s="2157" t="str">
        <f>IF(ISERROR(AC226),"", IF(AC226=0, "", IF(AC226&gt;'Calculs Péremption conso'!$CB49, 'Calculs Péremption conso'!$BX49-Paramétrage!$D$29*(365/12), AG226)))</f>
        <v/>
      </c>
      <c r="AT226" s="2158" t="str">
        <f>IF(ISERROR(AC226),"", IF(AC226=0, "", IF(AC226&gt;'Calculs Péremption conso'!$CB49, CONCATENATE('TRAD-Calculs dispo Données FA'!$B$88, " - ", 'Calculs Péremption conso'!$BY49, "/", 'Calculs Péremption conso'!$BZ49, "/", 'Calculs Péremption conso'!$CA49), AH226)))</f>
        <v/>
      </c>
      <c r="AU226" s="2051"/>
      <c r="AV226" s="2154" t="e">
        <f>(Calculs!Q304)/Calculs!L359</f>
        <v>#DIV/0!</v>
      </c>
      <c r="AW226" s="2155" t="e">
        <f>AV226-Paramétrage!D$29</f>
        <v>#DIV/0!</v>
      </c>
      <c r="AX226" s="2156" t="e">
        <f>IF(AV226&lt;Paramétrage!D$29, AV226, Paramétrage!D$29)</f>
        <v>#DIV/0!</v>
      </c>
      <c r="AY226" s="2157" t="e">
        <f>Paramétrage!H$19+AW226*(365/12)</f>
        <v>#DIV/0!</v>
      </c>
      <c r="AZ226" s="2158" t="e">
        <f>IF(AV226&lt;Paramétrage!D$29, Paramétrage!H$19+AX226*(365/12), Paramétrage!H$19+AV226*(365/12))</f>
        <v>#DIV/0!</v>
      </c>
      <c r="BA226" s="2051"/>
      <c r="BB226" s="2154" t="str">
        <f>IF(ISERROR(AV226),"", IF(AV226=0, "", IF(AV226&gt;'Calculs Péremption conso'!$CB49, 'Calculs Péremption conso'!$CB49, AV226)))</f>
        <v/>
      </c>
      <c r="BC226" s="2155" t="str">
        <f>IF(ISERROR(AV226),"", IF(AV226=0, "", IF(AV226&gt;'Calculs Péremption conso'!$CB49, 'Calculs Péremption conso'!$CB49-Paramétrage!$D$29, AW226)))</f>
        <v/>
      </c>
      <c r="BD226" s="2160" t="str">
        <f>IF(ISERROR(AV226),"", IF(AV226=0, "", IF(AV226&gt;'Calculs Péremption conso'!$CB49, Paramétrage!$D$29, AX226)))</f>
        <v/>
      </c>
      <c r="BE226" s="2157" t="str">
        <f>IF(ISERROR(AV226),"", IF(AV226=0, "", IF(AV226&gt;'Calculs Péremption conso'!$CB49, 'Calculs Péremption conso'!$BX49-6*30, AY226)))</f>
        <v/>
      </c>
      <c r="BF226" s="2158" t="str">
        <f>IF(ISERROR(AV226),"", IF(AV226=0, "", IF(AV226&gt;'Calculs Péremption conso'!$CB49, CONCATENATE('TRAD-Calculs dispo Données FA'!$B$88, " - ", 'Calculs Péremption conso'!$BY49, "/", 'Calculs Péremption conso'!$BZ49, "/", 'Calculs Péremption conso'!$CA49), AZ226)))</f>
        <v/>
      </c>
      <c r="BG226" s="2051"/>
      <c r="BH226" s="2161" t="e">
        <f t="shared" ref="BH226:BH233" si="57">AV226-AC169</f>
        <v>#DIV/0!</v>
      </c>
      <c r="BI226" s="2155" t="e">
        <f>BH226-Paramétrage!D$29</f>
        <v>#DIV/0!</v>
      </c>
      <c r="BJ226" s="2156" t="e">
        <f>IF(BH226&lt;Paramétrage!D$29, BH226, Paramétrage!D$29)</f>
        <v>#DIV/0!</v>
      </c>
      <c r="BK226" s="2156" t="e">
        <f t="shared" ref="BK226:BK233" si="58">IF((AW226-AC169)&gt;0, (AW226-AC169), 0)</f>
        <v>#DIV/0!</v>
      </c>
      <c r="BL226" s="2157" t="e">
        <f>Paramétrage!$H$19+BI226*30</f>
        <v>#DIV/0!</v>
      </c>
      <c r="BM226" s="2158" t="e">
        <f>IF(BH226&lt;Paramétrage!$D$29, Paramétrage!$H$19+BJ226*30, Paramétrage!$H$19+BH226*30)</f>
        <v>#DIV/0!</v>
      </c>
      <c r="BN226" s="2051"/>
      <c r="BO226" s="2154" t="str">
        <f>IF(ISERROR(BH226),"", IF(BH226=0, "", IF(BH226&gt;'Calculs Péremption conso'!$CB49, 'Calculs Péremption conso'!$CB49, BH226)))</f>
        <v/>
      </c>
      <c r="BP226" s="2155" t="str">
        <f>IF(ISERROR(BH226),"", IF(BH226=0, "", IF(BH226&gt;'Calculs Péremption conso'!$CB49, 'Calculs Péremption conso'!$CB49-Paramétrage!$D$29, BI226)))</f>
        <v/>
      </c>
      <c r="BQ226" s="2160" t="str">
        <f>IF(ISERROR(BH226),"", IF(BH226=0, "", IF(BH226&gt;'Calculs Péremption conso'!$CB49, Paramétrage!$D$29, BJ226)))</f>
        <v/>
      </c>
      <c r="BR226" s="2209" t="str">
        <f t="shared" ref="BR226:BR233" si="59">IF(ISERROR(BK226),"", IF(BK226=0, "", BK226))</f>
        <v/>
      </c>
      <c r="BS226" s="2157" t="str">
        <f>IF(ISERROR(BH226),"", IF(BH226=0, "", IF(BH226&gt;'Calculs Péremption conso'!$CB49, 'Calculs Péremption conso'!$BX49-Paramétrage!$D$29*(365/12), BL226)))</f>
        <v/>
      </c>
      <c r="BT226" s="2158" t="str">
        <f>IF(ISERROR(BH226),"", IF(BH226=0, "", IF(BH226&gt;'Calculs Péremption conso'!$CB49, CONCATENATE('TRAD-Calculs dispo Données FA'!$B$88, " - ", 'Calculs Péremption conso'!$BY49, "/", 'Calculs Péremption conso'!$BZ49, "/", 'Calculs Péremption conso'!$CA49), BM226)))</f>
        <v/>
      </c>
      <c r="BV226" s="2072">
        <f>Calculs!$Q304</f>
        <v>0</v>
      </c>
      <c r="BW226" s="2073">
        <f>Calculs!L359</f>
        <v>0</v>
      </c>
      <c r="BX226" s="2074">
        <f>Calculs!N359</f>
        <v>0</v>
      </c>
      <c r="BY226" s="2075" t="str">
        <f>IF(AND(BX226=0, BV226=0, BW226=0), 'TRAD-Calculs dispo Données FA'!$B$82, "")</f>
        <v>Stock et besoin nul</v>
      </c>
      <c r="BZ226" s="2073" t="str">
        <f>IF(AND(BX226=0, BV226&gt;0, BW226=0), CONCATENATE(BV226, 'TRAD-Calculs dispo Données FA'!$B$80," =0"), "")</f>
        <v/>
      </c>
      <c r="CA226" s="2076" t="str">
        <f>IF(AND(BV226=0, OR(BW226&gt;=1, BX226&gt;=1)), 'TRAD-Calculs dispo Données FA'!$B$81, "")</f>
        <v/>
      </c>
    </row>
    <row r="227" spans="3:79" s="358" customFormat="1" ht="38.25" x14ac:dyDescent="0.2">
      <c r="C227" s="374"/>
      <c r="D227" s="375"/>
      <c r="E227" s="376" t="str">
        <f>'Saisie données stocks'!F62</f>
        <v>D4T</v>
      </c>
      <c r="F227" s="377" t="str">
        <f>'Saisie données stocks'!G62</f>
        <v>Sol buv</v>
      </c>
      <c r="G227" s="377" t="str">
        <f>'Saisie données stocks'!H62</f>
        <v>10 mg/mL</v>
      </c>
      <c r="H227" s="89" t="str">
        <f>CONCATENATE(E227, " - ", G227, " - ", 'TRAD-Calculs dispo Données FA'!$B$83,"/", K227, "mL")</f>
        <v>D4T - 10 mg/mL - Fl/240mL</v>
      </c>
      <c r="I227" s="378"/>
      <c r="J227" s="378"/>
      <c r="K227" s="114">
        <f>'Saisie données stocks'!L62</f>
        <v>240</v>
      </c>
      <c r="L227" s="308">
        <f>'Saisie données stocks'!M62</f>
        <v>1</v>
      </c>
      <c r="M227" s="1820">
        <f>IF('Saisie données stocks'!$O$10='TRAD-Saisie données stocks'!$B$51, 'Calculs Péremption conso'!BU50, Calculs!M305)+IF('Saisie données stocks'!$M$76='TRAD-Saisie données stocks'!$B$51, Calculs!N305, "0")+Calculs!P305</f>
        <v>0</v>
      </c>
      <c r="N227" s="1820">
        <f>Calculs!$L$360</f>
        <v>0</v>
      </c>
      <c r="O227" s="1820">
        <f>Calculs!$N$360</f>
        <v>0</v>
      </c>
      <c r="P227"/>
      <c r="Q227" s="2161" t="e">
        <f>IF(Calculs!N360&gt;0, (-(Calculs!N360+2*Calculs!L360)+SQRT((Calculs!N360+2*Calculs!L360)*(Calculs!N360+2*Calculs!L360)+8*Calculs!N360*(M227)))/(2*Calculs!N360), ((M227)/Calculs!L360))</f>
        <v>#DIV/0!</v>
      </c>
      <c r="R227" s="2162" t="e">
        <f>Q227-Paramétrage!D$29</f>
        <v>#DIV/0!</v>
      </c>
      <c r="S227" s="2163" t="e">
        <f>IF(Q227&lt;Paramétrage!D$29, Q227, Paramétrage!D$29)</f>
        <v>#DIV/0!</v>
      </c>
      <c r="T227" s="2164" t="e">
        <f>IF(Q227&lt;Paramétrage!D$29, Paramétrage!H$19+R227*30, Paramétrage!H$19+R227*30)</f>
        <v>#DIV/0!</v>
      </c>
      <c r="U227" s="2165" t="e">
        <f>IF(Q227&lt;Paramétrage!D$29, Paramétrage!H$19+S227*30, Paramétrage!H$19+Q227*30)</f>
        <v>#DIV/0!</v>
      </c>
      <c r="V227" s="2051"/>
      <c r="W227" s="2161" t="str">
        <f t="shared" si="49"/>
        <v/>
      </c>
      <c r="X227" s="2162" t="str">
        <f t="shared" si="50"/>
        <v/>
      </c>
      <c r="Y227" s="2167" t="str">
        <f t="shared" si="51"/>
        <v/>
      </c>
      <c r="Z227" s="2164" t="str">
        <f t="shared" si="52"/>
        <v/>
      </c>
      <c r="AA227" s="2165" t="str">
        <f t="shared" si="53"/>
        <v/>
      </c>
      <c r="AB227" s="2051"/>
      <c r="AC227" s="2161" t="e">
        <f t="shared" si="54"/>
        <v>#DIV/0!</v>
      </c>
      <c r="AD227" s="2162" t="e">
        <f>AC227-Paramétrage!D$29</f>
        <v>#DIV/0!</v>
      </c>
      <c r="AE227" s="2163" t="e">
        <f>IF(AC227&lt;Paramétrage!D$29, AC227, Paramétrage!D$29)</f>
        <v>#DIV/0!</v>
      </c>
      <c r="AF227" s="2163" t="e">
        <f t="shared" si="55"/>
        <v>#VALUE!</v>
      </c>
      <c r="AG227" s="2164" t="e">
        <f>Paramétrage!H$19+AD227*30</f>
        <v>#DIV/0!</v>
      </c>
      <c r="AH227" s="2165" t="e">
        <f>IF(AC227&lt;Paramétrage!D$29, Paramétrage!H$19+AE227*30, Paramétrage!H$19+AC227*30)</f>
        <v>#DIV/0!</v>
      </c>
      <c r="AI227" s="2165">
        <f>'Saisie données stocks'!O183</f>
        <v>0</v>
      </c>
      <c r="AJ227" s="2210" t="str">
        <f>IF(ISERROR(Q227), "0", IF('Saisie données stocks'!O183="", "0", IF(U170&gt;'Saisie données stocks'!$N$14, IF(AI227&gt;(Paramétrage!$H$19+'Saisie données stocks'!$N$14*30), (AI227-(Paramétrage!$H$19+'Saisie données stocks'!$N$14*30))/30, IF(AI227&gt;U170, (AI227-U170)/30, "0")))))</f>
        <v>0</v>
      </c>
      <c r="AK227" s="2162" t="str">
        <f>IF(ISERROR(Q170),"0", IF(Q170=0, "0", IF(Q170&gt;'Calculs Péremption FA'!$CB50, 'Calculs Péremption FA'!$CB50, Q170)))</f>
        <v>0</v>
      </c>
      <c r="AL227" s="2163" t="str">
        <f>IF(ISERROR(AC227),"0", IF(AC227=0, "0", IF(AC227&gt;'Saisie données stocks'!$N$14, 'Saisie données stocks'!$N$14, AC227)))</f>
        <v>0</v>
      </c>
      <c r="AM227" s="2165" t="str">
        <f>IF(ISERROR(Q227),AA227,IF(Calculs!P305=0,AA170,(Paramétrage!$H$19+((AJ227+AK227+AL227)*(365/12)))))</f>
        <v/>
      </c>
      <c r="AN227" s="2051"/>
      <c r="AO227" s="2161" t="str">
        <f>IF(ISERROR(AC227),"", IF(AC227=0, "", IF(AC227&gt;'Saisie données stocks'!$N$14, 'Saisie données stocks'!$N$14, AC227)))</f>
        <v/>
      </c>
      <c r="AP227" s="2162" t="str">
        <f>IF(ISERROR(AC227),"", IF(AC227=0, "", IF(AC227&gt;'Calculs Péremption conso'!$CB50, 'Calculs Péremption conso'!$CB50-Paramétrage!$D$29, AD227)))</f>
        <v/>
      </c>
      <c r="AQ227" s="2167" t="str">
        <f>IF(ISERROR(AC227),"", IF(AC227=0, "", IF(AC227&gt;'Calculs Péremption conso'!$CB50, Paramétrage!$D$29, AE227)))</f>
        <v/>
      </c>
      <c r="AR227" s="2211" t="str">
        <f t="shared" si="56"/>
        <v/>
      </c>
      <c r="AS227" s="2164" t="str">
        <f>IF(ISERROR(AC227),"", IF(AC227=0, "", IF(AC227&gt;'Calculs Péremption conso'!$CB50, 'Calculs Péremption conso'!$BX50-Paramétrage!$D$29*(365/12), AG227)))</f>
        <v/>
      </c>
      <c r="AT227" s="2165" t="str">
        <f>IF(ISERROR(AC227),"", IF(AC227=0, "", IF(AC227&gt;'Calculs Péremption conso'!$CB50, CONCATENATE('TRAD-Calculs dispo Données FA'!$B$88, " - ", 'Calculs Péremption conso'!$BY50, "/", 'Calculs Péremption conso'!$BZ50, "/", 'Calculs Péremption conso'!$CA50), AH227)))</f>
        <v/>
      </c>
      <c r="AU227" s="2051"/>
      <c r="AV227" s="2161" t="e">
        <f>(Calculs!Q305)/Calculs!L360</f>
        <v>#DIV/0!</v>
      </c>
      <c r="AW227" s="2162" t="e">
        <f>AV227-Paramétrage!D$29</f>
        <v>#DIV/0!</v>
      </c>
      <c r="AX227" s="2163" t="e">
        <f>IF(AV227&lt;Paramétrage!D$29, AV227, Paramétrage!D$29)</f>
        <v>#DIV/0!</v>
      </c>
      <c r="AY227" s="2164" t="e">
        <f>Paramétrage!H$19+AW227*(365/12)</f>
        <v>#DIV/0!</v>
      </c>
      <c r="AZ227" s="2165" t="e">
        <f>IF(AV227&lt;Paramétrage!D$29, Paramétrage!H$19+AX227*(365/12), Paramétrage!H$19+AV227*(365/12))</f>
        <v>#DIV/0!</v>
      </c>
      <c r="BA227" s="2051"/>
      <c r="BB227" s="2161" t="str">
        <f>IF(ISERROR(AV227),"", IF(AV227=0, "", IF(AV227&gt;'Calculs Péremption conso'!$CB50, 'Calculs Péremption conso'!$CB50, AV227)))</f>
        <v/>
      </c>
      <c r="BC227" s="2162" t="str">
        <f>IF(ISERROR(AV227),"", IF(AV227=0, "", IF(AV227&gt;'Calculs Péremption conso'!$CB50, 'Calculs Péremption conso'!$CB50-Paramétrage!$D$29, AW227)))</f>
        <v/>
      </c>
      <c r="BD227" s="2167" t="str">
        <f>IF(ISERROR(AV227),"", IF(AV227=0, "", IF(AV227&gt;'Calculs Péremption conso'!$CB50, Paramétrage!$D$29, AX227)))</f>
        <v/>
      </c>
      <c r="BE227" s="2164" t="str">
        <f>IF(ISERROR(AV227),"", IF(AV227=0, "", IF(AV227&gt;'Calculs Péremption conso'!$CB50, 'Calculs Péremption conso'!$BX50-6*30, AY227)))</f>
        <v/>
      </c>
      <c r="BF227" s="2165" t="str">
        <f>IF(ISERROR(AV227),"", IF(AV227=0, "", IF(AV227&gt;'Calculs Péremption conso'!$CB50, CONCATENATE('TRAD-Calculs dispo Données FA'!$B$88, " - ", 'Calculs Péremption conso'!$BY50, "/", 'Calculs Péremption conso'!$BZ50, "/", 'Calculs Péremption conso'!$CA50), AZ227)))</f>
        <v/>
      </c>
      <c r="BG227" s="2051"/>
      <c r="BH227" s="2161" t="e">
        <f t="shared" si="57"/>
        <v>#DIV/0!</v>
      </c>
      <c r="BI227" s="2162" t="e">
        <f>BH227-Paramétrage!D$29</f>
        <v>#DIV/0!</v>
      </c>
      <c r="BJ227" s="2163" t="e">
        <f>IF(BH227&lt;Paramétrage!D$29, BH227, Paramétrage!D$29)</f>
        <v>#DIV/0!</v>
      </c>
      <c r="BK227" s="2163" t="e">
        <f t="shared" si="58"/>
        <v>#DIV/0!</v>
      </c>
      <c r="BL227" s="2164" t="e">
        <f>Paramétrage!$H$19+BI227*30</f>
        <v>#DIV/0!</v>
      </c>
      <c r="BM227" s="2165" t="e">
        <f>IF(BH227&lt;Paramétrage!$D$29, Paramétrage!$H$19+BJ227*30, Paramétrage!$H$19+BH227*30)</f>
        <v>#DIV/0!</v>
      </c>
      <c r="BN227" s="2051"/>
      <c r="BO227" s="2161" t="str">
        <f>IF(ISERROR(BH227),"", IF(BH227=0, "", IF(BH227&gt;'Calculs Péremption conso'!$CB50, 'Calculs Péremption conso'!$CB50, BH227)))</f>
        <v/>
      </c>
      <c r="BP227" s="2162" t="str">
        <f>IF(ISERROR(BH227),"", IF(BH227=0, "", IF(BH227&gt;'Calculs Péremption conso'!$CB50, 'Calculs Péremption conso'!$CB50-Paramétrage!$D$29, BI227)))</f>
        <v/>
      </c>
      <c r="BQ227" s="2167" t="str">
        <f>IF(ISERROR(BH227),"", IF(BH227=0, "", IF(BH227&gt;'Calculs Péremption conso'!$CB50, Paramétrage!$D$29, BJ227)))</f>
        <v/>
      </c>
      <c r="BR227" s="2211" t="str">
        <f t="shared" si="59"/>
        <v/>
      </c>
      <c r="BS227" s="2164" t="str">
        <f>IF(ISERROR(BH227),"", IF(BH227=0, "", IF(BH227&gt;'Calculs Péremption conso'!$CB50, 'Calculs Péremption conso'!$BX50-Paramétrage!$D$29*(365/12), BL227)))</f>
        <v/>
      </c>
      <c r="BT227" s="2165" t="str">
        <f>IF(ISERROR(BH227),"", IF(BH227=0, "", IF(BH227&gt;'Calculs Péremption conso'!$CB50, CONCATENATE('TRAD-Calculs dispo Données FA'!$B$88, " - ", 'Calculs Péremption conso'!$BY50, "/", 'Calculs Péremption conso'!$BZ50, "/", 'Calculs Péremption conso'!$CA50), BM227)))</f>
        <v/>
      </c>
      <c r="BV227" s="2061">
        <f>Calculs!$Q305</f>
        <v>0</v>
      </c>
      <c r="BW227" s="2062">
        <f>Calculs!L360</f>
        <v>0</v>
      </c>
      <c r="BX227" s="2068">
        <f>Calculs!N360</f>
        <v>0</v>
      </c>
      <c r="BY227" s="2070" t="str">
        <f>IF(AND(BX227=0, BV227=0, BW227=0), 'TRAD-Calculs dispo Données FA'!$B$82, "")</f>
        <v>Stock et besoin nul</v>
      </c>
      <c r="BZ227" s="2062" t="str">
        <f>IF(AND(BX227=0, BV227&gt;0, BW227=0), CONCATENATE(BV227, 'TRAD-Calculs dispo Données FA'!$B$80," =0"), "")</f>
        <v/>
      </c>
      <c r="CA227" s="2063" t="str">
        <f>IF(AND(BV227=0, OR(BW227&gt;=1, BX227&gt;=1)), 'TRAD-Calculs dispo Données FA'!$B$81, "")</f>
        <v/>
      </c>
    </row>
    <row r="228" spans="3:79" s="358" customFormat="1" ht="38.25" x14ac:dyDescent="0.2">
      <c r="C228" s="374"/>
      <c r="D228" s="375"/>
      <c r="E228" s="1516" t="str">
        <f>'Saisie données stocks'!F63</f>
        <v>3TC</v>
      </c>
      <c r="F228" s="1208" t="str">
        <f>'Saisie données stocks'!G63</f>
        <v>Sol buv</v>
      </c>
      <c r="G228" s="1208" t="str">
        <f>'Saisie données stocks'!H63</f>
        <v>10 mg/mL</v>
      </c>
      <c r="H228" s="1207" t="str">
        <f>CONCATENATE(E228, " - ", G228, " - ", 'TRAD-Calculs dispo Données FA'!$B$83,"/", K228, "mL")</f>
        <v>3TC - 10 mg/mL - Fl/240mL</v>
      </c>
      <c r="I228" s="1517"/>
      <c r="J228" s="1517"/>
      <c r="K228" s="1385">
        <f>'Saisie données stocks'!L63</f>
        <v>240</v>
      </c>
      <c r="L228" s="1867">
        <f>'Saisie données stocks'!M63</f>
        <v>1</v>
      </c>
      <c r="M228" s="1870">
        <f>IF('Saisie données stocks'!$O$10='TRAD-Saisie données stocks'!$B$51, 'Calculs Péremption conso'!BU51, Calculs!M306)+IF('Saisie données stocks'!$M$76='TRAD-Saisie données stocks'!$B$51, Calculs!N306, "0")+Calculs!P306</f>
        <v>0</v>
      </c>
      <c r="N228" s="1870">
        <f>Calculs!$L$361</f>
        <v>0</v>
      </c>
      <c r="O228" s="1870">
        <f>Calculs!$N$361</f>
        <v>0</v>
      </c>
      <c r="P228"/>
      <c r="Q228" s="2212" t="e">
        <f>IF(Calculs!N361&gt;0, (-(Calculs!N361+2*Calculs!L361)+SQRT((Calculs!N361+2*Calculs!L361)*(Calculs!N361+2*Calculs!L361)+8*Calculs!N361*(M228)))/(2*Calculs!N361), ((M228)/Calculs!L361))</f>
        <v>#DIV/0!</v>
      </c>
      <c r="R228" s="2197" t="e">
        <f>Q228-Paramétrage!D$29</f>
        <v>#DIV/0!</v>
      </c>
      <c r="S228" s="2213" t="e">
        <f>IF(Q228&lt;Paramétrage!D$29, Q228, Paramétrage!D$29)</f>
        <v>#DIV/0!</v>
      </c>
      <c r="T228" s="2214" t="e">
        <f>IF(Q228&lt;Paramétrage!D$29, Paramétrage!H$19+R228*30, Paramétrage!H$19+R228*30)</f>
        <v>#DIV/0!</v>
      </c>
      <c r="U228" s="2215" t="e">
        <f>IF(Q228&lt;Paramétrage!D$29, Paramétrage!H$19+S228*30, Paramétrage!H$19+Q228*30)</f>
        <v>#DIV/0!</v>
      </c>
      <c r="V228" s="2051"/>
      <c r="W228" s="2212" t="str">
        <f t="shared" si="49"/>
        <v/>
      </c>
      <c r="X228" s="2197" t="str">
        <f t="shared" si="50"/>
        <v/>
      </c>
      <c r="Y228" s="2216" t="str">
        <f t="shared" si="51"/>
        <v/>
      </c>
      <c r="Z228" s="2214" t="str">
        <f t="shared" si="52"/>
        <v/>
      </c>
      <c r="AA228" s="2215" t="str">
        <f t="shared" si="53"/>
        <v/>
      </c>
      <c r="AB228" s="2051"/>
      <c r="AC228" s="2212" t="e">
        <f t="shared" si="54"/>
        <v>#DIV/0!</v>
      </c>
      <c r="AD228" s="2197" t="e">
        <f>AC228-Paramétrage!D$29</f>
        <v>#DIV/0!</v>
      </c>
      <c r="AE228" s="2213" t="e">
        <f>IF(AC228&lt;Paramétrage!D$29, AC228, Paramétrage!D$29)</f>
        <v>#DIV/0!</v>
      </c>
      <c r="AF228" s="2213" t="e">
        <f t="shared" si="55"/>
        <v>#VALUE!</v>
      </c>
      <c r="AG228" s="2214" t="e">
        <f>Paramétrage!H$19+AD228*30</f>
        <v>#DIV/0!</v>
      </c>
      <c r="AH228" s="2215" t="e">
        <f>IF(AC228&lt;Paramétrage!D$29, Paramétrage!H$19+AE228*30, Paramétrage!H$19+AC228*30)</f>
        <v>#DIV/0!</v>
      </c>
      <c r="AI228" s="2215">
        <f>'Saisie données stocks'!O184</f>
        <v>0</v>
      </c>
      <c r="AJ228" s="2217" t="str">
        <f>IF(ISERROR(Q228), "0", IF('Saisie données stocks'!O184="", "0", IF(U171&gt;'Saisie données stocks'!$N$14, IF(AI228&gt;(Paramétrage!$H$19+'Saisie données stocks'!$N$14*30), (AI228-(Paramétrage!$H$19+'Saisie données stocks'!$N$14*30))/30, IF(AI228&gt;U171, (AI228-U171)/30, "0")))))</f>
        <v>0</v>
      </c>
      <c r="AK228" s="2197" t="str">
        <f>IF(ISERROR(Q171),"0", IF(Q171=0, "0", IF(Q171&gt;'Calculs Péremption FA'!$CB51, 'Calculs Péremption FA'!$CB51, Q171)))</f>
        <v>0</v>
      </c>
      <c r="AL228" s="2213" t="str">
        <f>IF(ISERROR(AC228),"0", IF(AC228=0, "0", IF(AC228&gt;'Saisie données stocks'!$N$14, 'Saisie données stocks'!$N$14, AC228)))</f>
        <v>0</v>
      </c>
      <c r="AM228" s="2215" t="str">
        <f>IF(ISERROR(Q228),AA228,IF(Calculs!P306=0,AA171,(Paramétrage!$H$19+((AJ228+AK228+AL228)*(365/12)))))</f>
        <v/>
      </c>
      <c r="AN228" s="2051"/>
      <c r="AO228" s="2212" t="str">
        <f>IF(ISERROR(AC228),"", IF(AC228=0, "", IF(AC228&gt;'Saisie données stocks'!$N$14, 'Saisie données stocks'!$N$14, AC228)))</f>
        <v/>
      </c>
      <c r="AP228" s="2197" t="str">
        <f>IF(ISERROR(AC228),"", IF(AC228=0, "", IF(AC228&gt;'Calculs Péremption conso'!$CB51, 'Calculs Péremption conso'!$CB51-Paramétrage!$D$29, AD228)))</f>
        <v/>
      </c>
      <c r="AQ228" s="2216" t="str">
        <f>IF(ISERROR(AC228),"", IF(AC228=0, "", IF(AC228&gt;'Calculs Péremption conso'!$CB51, Paramétrage!$D$29, AE228)))</f>
        <v/>
      </c>
      <c r="AR228" s="2218" t="str">
        <f t="shared" si="56"/>
        <v/>
      </c>
      <c r="AS228" s="2214" t="str">
        <f>IF(ISERROR(AC228),"", IF(AC228=0, "", IF(AC228&gt;'Calculs Péremption conso'!$CB51, 'Calculs Péremption conso'!$BX51-Paramétrage!$D$29*(365/12), AG228)))</f>
        <v/>
      </c>
      <c r="AT228" s="2215" t="str">
        <f>IF(ISERROR(AC228),"", IF(AC228=0, "", IF(AC228&gt;'Calculs Péremption conso'!$CB51, CONCATENATE('TRAD-Calculs dispo Données FA'!$B$88, " - ", 'Calculs Péremption conso'!$BY51, "/", 'Calculs Péremption conso'!$BZ51, "/", 'Calculs Péremption conso'!$CA51), AH228)))</f>
        <v/>
      </c>
      <c r="AU228" s="2051"/>
      <c r="AV228" s="2212" t="e">
        <f>(Calculs!Q306)/Calculs!L361</f>
        <v>#DIV/0!</v>
      </c>
      <c r="AW228" s="2197" t="e">
        <f>AV228-Paramétrage!D$29</f>
        <v>#DIV/0!</v>
      </c>
      <c r="AX228" s="2213" t="e">
        <f>IF(AV228&lt;Paramétrage!D$29, AV228, Paramétrage!D$29)</f>
        <v>#DIV/0!</v>
      </c>
      <c r="AY228" s="2214" t="e">
        <f>Paramétrage!H$19+AW228*(365/12)</f>
        <v>#DIV/0!</v>
      </c>
      <c r="AZ228" s="2215" t="e">
        <f>IF(AV228&lt;Paramétrage!D$29, Paramétrage!H$19+AX228*(365/12), Paramétrage!H$19+AV228*(365/12))</f>
        <v>#DIV/0!</v>
      </c>
      <c r="BA228" s="2051"/>
      <c r="BB228" s="2212" t="str">
        <f>IF(ISERROR(AV228),"", IF(AV228=0, "", IF(AV228&gt;'Calculs Péremption conso'!$CB51, 'Calculs Péremption conso'!$CB51, AV228)))</f>
        <v/>
      </c>
      <c r="BC228" s="2197" t="str">
        <f>IF(ISERROR(AV228),"", IF(AV228=0, "", IF(AV228&gt;'Calculs Péremption conso'!$CB51, 'Calculs Péremption conso'!$CB51-Paramétrage!$D$29, AW228)))</f>
        <v/>
      </c>
      <c r="BD228" s="2216" t="str">
        <f>IF(ISERROR(AV228),"", IF(AV228=0, "", IF(AV228&gt;'Calculs Péremption conso'!$CB51, Paramétrage!$D$29, AX228)))</f>
        <v/>
      </c>
      <c r="BE228" s="2214" t="str">
        <f>IF(ISERROR(AV228),"", IF(AV228=0, "", IF(AV228&gt;'Calculs Péremption conso'!$CB51, 'Calculs Péremption conso'!$BX51-6*30, AY228)))</f>
        <v/>
      </c>
      <c r="BF228" s="2215" t="str">
        <f>IF(ISERROR(AV228),"", IF(AV228=0, "", IF(AV228&gt;'Calculs Péremption conso'!$CB51, CONCATENATE('TRAD-Calculs dispo Données FA'!$B$88, " - ", 'Calculs Péremption conso'!$BY51, "/", 'Calculs Péremption conso'!$BZ51, "/", 'Calculs Péremption conso'!$CA51), AZ228)))</f>
        <v/>
      </c>
      <c r="BG228" s="2051"/>
      <c r="BH228" s="2212" t="e">
        <f t="shared" si="57"/>
        <v>#DIV/0!</v>
      </c>
      <c r="BI228" s="2197" t="e">
        <f>BH228-Paramétrage!D$29</f>
        <v>#DIV/0!</v>
      </c>
      <c r="BJ228" s="2213" t="e">
        <f>IF(BH228&lt;Paramétrage!D$29, BH228, Paramétrage!D$29)</f>
        <v>#DIV/0!</v>
      </c>
      <c r="BK228" s="2213" t="e">
        <f t="shared" si="58"/>
        <v>#DIV/0!</v>
      </c>
      <c r="BL228" s="2214" t="e">
        <f>Paramétrage!$H$19+BI228*30</f>
        <v>#DIV/0!</v>
      </c>
      <c r="BM228" s="2215" t="e">
        <f>IF(BH228&lt;Paramétrage!$D$29, Paramétrage!$H$19+BJ228*30, Paramétrage!$H$19+BH228*30)</f>
        <v>#DIV/0!</v>
      </c>
      <c r="BN228" s="2051"/>
      <c r="BO228" s="2212" t="str">
        <f>IF(ISERROR(BH228),"", IF(BH228=0, "", IF(BH228&gt;'Calculs Péremption conso'!$CB51, 'Calculs Péremption conso'!$CB51, BH228)))</f>
        <v/>
      </c>
      <c r="BP228" s="2197" t="str">
        <f>IF(ISERROR(BH228),"", IF(BH228=0, "", IF(BH228&gt;'Calculs Péremption conso'!$CB51, 'Calculs Péremption conso'!$CB51-Paramétrage!$D$29, BI228)))</f>
        <v/>
      </c>
      <c r="BQ228" s="2216" t="str">
        <f>IF(ISERROR(BH228),"", IF(BH228=0, "", IF(BH228&gt;'Calculs Péremption conso'!$CB51, Paramétrage!$D$29, BJ228)))</f>
        <v/>
      </c>
      <c r="BR228" s="2218" t="str">
        <f t="shared" si="59"/>
        <v/>
      </c>
      <c r="BS228" s="2214" t="str">
        <f>IF(ISERROR(BH228),"", IF(BH228=0, "", IF(BH228&gt;'Calculs Péremption conso'!$CB51, 'Calculs Péremption conso'!$BX51-Paramétrage!$D$29*(365/12), BL228)))</f>
        <v/>
      </c>
      <c r="BT228" s="2215" t="str">
        <f>IF(ISERROR(BH228),"", IF(BH228=0, "", IF(BH228&gt;'Calculs Péremption conso'!$CB51, CONCATENATE('TRAD-Calculs dispo Données FA'!$B$88, " - ", 'Calculs Péremption conso'!$BY51, "/", 'Calculs Péremption conso'!$BZ51, "/", 'Calculs Péremption conso'!$CA51), BM228)))</f>
        <v/>
      </c>
      <c r="BV228" s="2061">
        <f>Calculs!$Q306</f>
        <v>0</v>
      </c>
      <c r="BW228" s="2062">
        <f>Calculs!L361</f>
        <v>0</v>
      </c>
      <c r="BX228" s="2068">
        <f>Calculs!N361</f>
        <v>0</v>
      </c>
      <c r="BY228" s="2070" t="str">
        <f>IF(AND(BX228=0, BV228=0, BW228=0), 'TRAD-Calculs dispo Données FA'!$B$82, "")</f>
        <v>Stock et besoin nul</v>
      </c>
      <c r="BZ228" s="2062" t="str">
        <f>IF(AND(BX228=0, BV228&gt;0, BW228=0), CONCATENATE(BV228, 'TRAD-Calculs dispo Données FA'!$B$80," =0"), "")</f>
        <v/>
      </c>
      <c r="CA228" s="2063" t="str">
        <f>IF(AND(BV228=0, OR(BW228&gt;=1, BX228&gt;=1)), 'TRAD-Calculs dispo Données FA'!$B$81, "")</f>
        <v/>
      </c>
    </row>
    <row r="229" spans="3:79" s="358" customFormat="1" ht="38.25" x14ac:dyDescent="0.2">
      <c r="C229" s="374"/>
      <c r="D229" s="407"/>
      <c r="E229" s="376" t="str">
        <f>'Saisie données stocks'!F64</f>
        <v>ABC</v>
      </c>
      <c r="F229" s="377" t="str">
        <f>'Saisie données stocks'!G64</f>
        <v>Sol buv</v>
      </c>
      <c r="G229" s="377" t="str">
        <f>'Saisie données stocks'!H64</f>
        <v>20 mg/mL</v>
      </c>
      <c r="H229" s="89" t="str">
        <f>CONCATENATE(E229, " - ", G229, " - ", 'TRAD-Calculs dispo Données FA'!$B$83,"/", K229, "mL")</f>
        <v>ABC - 20 mg/mL - Fl/240mL</v>
      </c>
      <c r="I229" s="378"/>
      <c r="J229" s="378"/>
      <c r="K229" s="114">
        <f>'Saisie données stocks'!L64</f>
        <v>240</v>
      </c>
      <c r="L229" s="308">
        <f>'Saisie données stocks'!M64</f>
        <v>1</v>
      </c>
      <c r="M229" s="1820">
        <f>IF('Saisie données stocks'!$O$10='TRAD-Saisie données stocks'!$B$51, 'Calculs Péremption conso'!BU52, Calculs!M307)+IF('Saisie données stocks'!$M$76='TRAD-Saisie données stocks'!$B$51, Calculs!N307, "0")+Calculs!P307</f>
        <v>0</v>
      </c>
      <c r="N229" s="1820">
        <f>Calculs!$L$362</f>
        <v>0</v>
      </c>
      <c r="O229" s="1820">
        <f>Calculs!$N$362</f>
        <v>0</v>
      </c>
      <c r="P229"/>
      <c r="Q229" s="2161" t="e">
        <f>IF(Calculs!N362&gt;0, (-(Calculs!N362+2*Calculs!L362)+SQRT((Calculs!N362+2*Calculs!L362)*(Calculs!N362+2*Calculs!L362)+8*Calculs!N362*(M229)))/(2*Calculs!N362), ((M229)/Calculs!L362))</f>
        <v>#DIV/0!</v>
      </c>
      <c r="R229" s="2162" t="e">
        <f>Q229-Paramétrage!D$29</f>
        <v>#DIV/0!</v>
      </c>
      <c r="S229" s="2163" t="e">
        <f>IF(Q229&lt;Paramétrage!D$29, Q229, Paramétrage!D$29)</f>
        <v>#DIV/0!</v>
      </c>
      <c r="T229" s="2164" t="e">
        <f>IF(Q229&lt;Paramétrage!D$29, Paramétrage!H$19+R229*30, Paramétrage!H$19+R229*30)</f>
        <v>#DIV/0!</v>
      </c>
      <c r="U229" s="2165" t="e">
        <f>IF(Q229&lt;Paramétrage!D$29, Paramétrage!H$19+S229*30, Paramétrage!H$19+Q229*30)</f>
        <v>#DIV/0!</v>
      </c>
      <c r="V229" s="2051"/>
      <c r="W229" s="2161" t="str">
        <f t="shared" si="49"/>
        <v/>
      </c>
      <c r="X229" s="2162" t="str">
        <f t="shared" si="50"/>
        <v/>
      </c>
      <c r="Y229" s="2167" t="str">
        <f t="shared" si="51"/>
        <v/>
      </c>
      <c r="Z229" s="2164" t="str">
        <f t="shared" si="52"/>
        <v/>
      </c>
      <c r="AA229" s="2165" t="str">
        <f t="shared" si="53"/>
        <v/>
      </c>
      <c r="AB229" s="2051"/>
      <c r="AC229" s="2161" t="e">
        <f t="shared" si="54"/>
        <v>#DIV/0!</v>
      </c>
      <c r="AD229" s="2162" t="e">
        <f>AC229-Paramétrage!D$29</f>
        <v>#DIV/0!</v>
      </c>
      <c r="AE229" s="2163" t="e">
        <f>IF(AC229&lt;Paramétrage!D$29, AC229, Paramétrage!D$29)</f>
        <v>#DIV/0!</v>
      </c>
      <c r="AF229" s="2163" t="e">
        <f t="shared" si="55"/>
        <v>#VALUE!</v>
      </c>
      <c r="AG229" s="2164" t="e">
        <f>Paramétrage!H$19+AD229*30</f>
        <v>#DIV/0!</v>
      </c>
      <c r="AH229" s="2165" t="e">
        <f>IF(AC229&lt;Paramétrage!D$29, Paramétrage!H$19+AE229*30, Paramétrage!H$19+AC229*30)</f>
        <v>#DIV/0!</v>
      </c>
      <c r="AI229" s="2165">
        <f>'Saisie données stocks'!O185</f>
        <v>0</v>
      </c>
      <c r="AJ229" s="2210" t="str">
        <f>IF(ISERROR(Q229), "0", IF('Saisie données stocks'!O185="", "0", IF(U172&gt;'Saisie données stocks'!$N$14, IF(AI229&gt;(Paramétrage!$H$19+'Saisie données stocks'!$N$14*30), (AI229-(Paramétrage!$H$19+'Saisie données stocks'!$N$14*30))/30, IF(AI229&gt;U172, (AI229-U172)/30, "0")))))</f>
        <v>0</v>
      </c>
      <c r="AK229" s="2162" t="str">
        <f>IF(ISERROR(Q172),"0", IF(Q172=0, "0", IF(Q172&gt;'Calculs Péremption FA'!$CB52, 'Calculs Péremption FA'!$CB52, Q172)))</f>
        <v>0</v>
      </c>
      <c r="AL229" s="2163" t="str">
        <f>IF(ISERROR(AC229),"0", IF(AC229=0, "0", IF(AC229&gt;'Saisie données stocks'!$N$14, 'Saisie données stocks'!$N$14, AC229)))</f>
        <v>0</v>
      </c>
      <c r="AM229" s="2165" t="str">
        <f>IF(ISERROR(Q229),AA229,IF(Calculs!P307=0,AA172,(Paramétrage!$H$19+((AJ229+AK229+AL229)*(365/12)))))</f>
        <v/>
      </c>
      <c r="AN229" s="2051"/>
      <c r="AO229" s="2161" t="str">
        <f>IF(ISERROR(AC229),"", IF(AC229=0, "", IF(AC229&gt;'Saisie données stocks'!$N$14, 'Saisie données stocks'!$N$14, AC229)))</f>
        <v/>
      </c>
      <c r="AP229" s="2162" t="str">
        <f>IF(ISERROR(AC229),"", IF(AC229=0, "", IF(AC229&gt;'Calculs Péremption conso'!$CB52, 'Calculs Péremption conso'!$CB52-Paramétrage!$D$29, AD229)))</f>
        <v/>
      </c>
      <c r="AQ229" s="2167" t="str">
        <f>IF(ISERROR(AC229),"", IF(AC229=0, "", IF(AC229&gt;'Calculs Péremption conso'!$CB52, Paramétrage!$D$29, AE229)))</f>
        <v/>
      </c>
      <c r="AR229" s="2211" t="str">
        <f t="shared" si="56"/>
        <v/>
      </c>
      <c r="AS229" s="2164" t="str">
        <f>IF(ISERROR(AC229),"", IF(AC229=0, "", IF(AC229&gt;'Calculs Péremption conso'!$CB52, 'Calculs Péremption conso'!$BX52-Paramétrage!$D$29*(365/12), AG229)))</f>
        <v/>
      </c>
      <c r="AT229" s="2165" t="str">
        <f>IF(ISERROR(AC229),"", IF(AC229=0, "", IF(AC229&gt;'Calculs Péremption conso'!$CB52, CONCATENATE('TRAD-Calculs dispo Données FA'!$B$88, " - ", 'Calculs Péremption conso'!$BY52, "/", 'Calculs Péremption conso'!$BZ52, "/", 'Calculs Péremption conso'!$CA52), AH229)))</f>
        <v/>
      </c>
      <c r="AU229" s="2051"/>
      <c r="AV229" s="2161" t="e">
        <f>(Calculs!Q307)/Calculs!L362</f>
        <v>#DIV/0!</v>
      </c>
      <c r="AW229" s="2162" t="e">
        <f>AV229-Paramétrage!D$29</f>
        <v>#DIV/0!</v>
      </c>
      <c r="AX229" s="2163" t="e">
        <f>IF(AV229&lt;Paramétrage!D$29, AV229, Paramétrage!D$29)</f>
        <v>#DIV/0!</v>
      </c>
      <c r="AY229" s="2164" t="e">
        <f>Paramétrage!H$19+AW229*(365/12)</f>
        <v>#DIV/0!</v>
      </c>
      <c r="AZ229" s="2165" t="e">
        <f>IF(AV229&lt;Paramétrage!D$29, Paramétrage!H$19+AX229*(365/12), Paramétrage!H$19+AV229*(365/12))</f>
        <v>#DIV/0!</v>
      </c>
      <c r="BA229" s="2051"/>
      <c r="BB229" s="2161" t="str">
        <f>IF(ISERROR(AV229),"", IF(AV229=0, "", IF(AV229&gt;'Calculs Péremption conso'!$CB52, 'Calculs Péremption conso'!$CB52, AV229)))</f>
        <v/>
      </c>
      <c r="BC229" s="2162" t="str">
        <f>IF(ISERROR(AV229),"", IF(AV229=0, "", IF(AV229&gt;'Calculs Péremption conso'!$CB52, 'Calculs Péremption conso'!$CB52-Paramétrage!$D$29, AW229)))</f>
        <v/>
      </c>
      <c r="BD229" s="2167" t="str">
        <f>IF(ISERROR(AV229),"", IF(AV229=0, "", IF(AV229&gt;'Calculs Péremption conso'!$CB52, Paramétrage!$D$29, AX229)))</f>
        <v/>
      </c>
      <c r="BE229" s="2164" t="str">
        <f>IF(ISERROR(AV229),"", IF(AV229=0, "", IF(AV229&gt;'Calculs Péremption conso'!$CB52, 'Calculs Péremption conso'!$BX52-6*30, AY229)))</f>
        <v/>
      </c>
      <c r="BF229" s="2165" t="str">
        <f>IF(ISERROR(AV229),"", IF(AV229=0, "", IF(AV229&gt;'Calculs Péremption conso'!$CB52, CONCATENATE('TRAD-Calculs dispo Données FA'!$B$88, " - ", 'Calculs Péremption conso'!$BY52, "/", 'Calculs Péremption conso'!$BZ52, "/", 'Calculs Péremption conso'!$CA52), AZ229)))</f>
        <v/>
      </c>
      <c r="BG229" s="2051"/>
      <c r="BH229" s="2161" t="e">
        <f t="shared" si="57"/>
        <v>#DIV/0!</v>
      </c>
      <c r="BI229" s="2162" t="e">
        <f>BH229-Paramétrage!D$29</f>
        <v>#DIV/0!</v>
      </c>
      <c r="BJ229" s="2163" t="e">
        <f>IF(BH229&lt;Paramétrage!D$29, BH229, Paramétrage!D$29)</f>
        <v>#DIV/0!</v>
      </c>
      <c r="BK229" s="2163" t="e">
        <f t="shared" si="58"/>
        <v>#DIV/0!</v>
      </c>
      <c r="BL229" s="2164" t="e">
        <f>Paramétrage!$H$19+BI229*30</f>
        <v>#DIV/0!</v>
      </c>
      <c r="BM229" s="2165" t="e">
        <f>IF(BH229&lt;Paramétrage!$D$29, Paramétrage!$H$19+BJ229*30, Paramétrage!$H$19+BH229*30)</f>
        <v>#DIV/0!</v>
      </c>
      <c r="BN229" s="2051"/>
      <c r="BO229" s="2161" t="str">
        <f>IF(ISERROR(BH229),"", IF(BH229=0, "", IF(BH229&gt;'Calculs Péremption conso'!$CB52, 'Calculs Péremption conso'!$CB52, BH229)))</f>
        <v/>
      </c>
      <c r="BP229" s="2162" t="str">
        <f>IF(ISERROR(BH229),"", IF(BH229=0, "", IF(BH229&gt;'Calculs Péremption conso'!$CB52, 'Calculs Péremption conso'!$CB52-Paramétrage!$D$29, BI229)))</f>
        <v/>
      </c>
      <c r="BQ229" s="2167" t="str">
        <f>IF(ISERROR(BH229),"", IF(BH229=0, "", IF(BH229&gt;'Calculs Péremption conso'!$CB52, Paramétrage!$D$29, BJ229)))</f>
        <v/>
      </c>
      <c r="BR229" s="2211" t="str">
        <f t="shared" si="59"/>
        <v/>
      </c>
      <c r="BS229" s="2164" t="str">
        <f>IF(ISERROR(BH229),"", IF(BH229=0, "", IF(BH229&gt;'Calculs Péremption conso'!$CB52, 'Calculs Péremption conso'!$BX52-Paramétrage!$D$29*(365/12), BL229)))</f>
        <v/>
      </c>
      <c r="BT229" s="2165" t="str">
        <f>IF(ISERROR(BH229),"", IF(BH229=0, "", IF(BH229&gt;'Calculs Péremption conso'!$CB52, CONCATENATE('TRAD-Calculs dispo Données FA'!$B$88, " - ", 'Calculs Péremption conso'!$BY52, "/", 'Calculs Péremption conso'!$BZ52, "/", 'Calculs Péremption conso'!$CA52), BM229)))</f>
        <v/>
      </c>
      <c r="BV229" s="2061">
        <f>Calculs!$Q307</f>
        <v>0</v>
      </c>
      <c r="BW229" s="2062">
        <f>Calculs!L362</f>
        <v>0</v>
      </c>
      <c r="BX229" s="2068">
        <f>Calculs!N362</f>
        <v>0</v>
      </c>
      <c r="BY229" s="2070" t="str">
        <f>IF(AND(BX229=0, BV229=0, BW229=0), 'TRAD-Calculs dispo Données FA'!$B$82, "")</f>
        <v>Stock et besoin nul</v>
      </c>
      <c r="BZ229" s="2062" t="str">
        <f>IF(AND(BX229=0, BV229&gt;0, BW229=0), CONCATENATE(BV229, 'TRAD-Calculs dispo Données FA'!$B$80," =0"), "")</f>
        <v/>
      </c>
      <c r="CA229" s="2063" t="str">
        <f>IF(AND(BV229=0, OR(BW229&gt;=1, BX229&gt;=1)), 'TRAD-Calculs dispo Données FA'!$B$81, "")</f>
        <v/>
      </c>
    </row>
    <row r="230" spans="3:79" s="358" customFormat="1" ht="25.5" x14ac:dyDescent="0.2">
      <c r="C230" s="374"/>
      <c r="D230" s="389"/>
      <c r="E230" s="1518" t="str">
        <f>'Saisie données stocks'!F65</f>
        <v>DDI</v>
      </c>
      <c r="F230" s="1519" t="str">
        <f>'Saisie données stocks'!G65</f>
        <v>Poudre buvable</v>
      </c>
      <c r="G230" s="1519" t="str">
        <f>'Saisie données stocks'!H65</f>
        <v>2 g</v>
      </c>
      <c r="H230" s="1643" t="str">
        <f>CONCATENATE(E230, " - ", G230, " - ", 'TRAD-Calculs dispo Données FA'!$B$83,"/", K230, "mL")</f>
        <v>DDI - 2 g - Fl/200mL</v>
      </c>
      <c r="I230" s="1520"/>
      <c r="J230" s="1520"/>
      <c r="K230" s="1854">
        <f>'Saisie données stocks'!L65</f>
        <v>200</v>
      </c>
      <c r="L230" s="1868">
        <f>'Saisie données stocks'!M65</f>
        <v>1</v>
      </c>
      <c r="M230" s="1822">
        <f>IF('Saisie données stocks'!$O$10='TRAD-Saisie données stocks'!$B$51, 'Calculs Péremption conso'!BU53, Calculs!M308)+IF('Saisie données stocks'!$M$76='TRAD-Saisie données stocks'!$B$51, Calculs!N308, "0")+Calculs!P308</f>
        <v>0</v>
      </c>
      <c r="N230" s="1822">
        <f>Calculs!$L$363</f>
        <v>0</v>
      </c>
      <c r="O230" s="1822">
        <f>Calculs!$N$363</f>
        <v>0</v>
      </c>
      <c r="P230"/>
      <c r="Q230" s="2175" t="e">
        <f>IF(Calculs!N363&gt;0, (-(Calculs!N363+2*Calculs!L363)+SQRT((Calculs!N363+2*Calculs!L363)*(Calculs!N363+2*Calculs!L363)+8*Calculs!N363*(M230)))/(2*Calculs!N363), ((M230)/Calculs!L363))</f>
        <v>#DIV/0!</v>
      </c>
      <c r="R230" s="2227" t="e">
        <f>Q230-Paramétrage!D$29</f>
        <v>#DIV/0!</v>
      </c>
      <c r="S230" s="2225" t="e">
        <f>IF(Q230&lt;Paramétrage!D$29, Q230, Paramétrage!D$29)</f>
        <v>#DIV/0!</v>
      </c>
      <c r="T230" s="2226" t="e">
        <f>IF(Q230&lt;Paramétrage!D$29, Paramétrage!H$19+R230*30, Paramétrage!H$19+R230*30)</f>
        <v>#DIV/0!</v>
      </c>
      <c r="U230" s="2179" t="e">
        <f>IF(Q230&lt;Paramétrage!D$29, Paramétrage!H$19+S230*30, Paramétrage!H$19+Q230*30)</f>
        <v>#DIV/0!</v>
      </c>
      <c r="V230" s="2051"/>
      <c r="W230" s="2175" t="str">
        <f t="shared" si="49"/>
        <v/>
      </c>
      <c r="X230" s="2227" t="str">
        <f t="shared" si="50"/>
        <v/>
      </c>
      <c r="Y230" s="2182" t="str">
        <f t="shared" si="51"/>
        <v/>
      </c>
      <c r="Z230" s="2226" t="str">
        <f t="shared" si="52"/>
        <v/>
      </c>
      <c r="AA230" s="2179" t="str">
        <f t="shared" si="53"/>
        <v/>
      </c>
      <c r="AB230" s="2051"/>
      <c r="AC230" s="2175" t="e">
        <f t="shared" si="54"/>
        <v>#DIV/0!</v>
      </c>
      <c r="AD230" s="2227" t="e">
        <f>AC230-Paramétrage!D$29</f>
        <v>#DIV/0!</v>
      </c>
      <c r="AE230" s="2225" t="e">
        <f>IF(AC230&lt;Paramétrage!D$29, AC230, Paramétrage!D$29)</f>
        <v>#DIV/0!</v>
      </c>
      <c r="AF230" s="2225" t="e">
        <f t="shared" si="55"/>
        <v>#VALUE!</v>
      </c>
      <c r="AG230" s="2226" t="e">
        <f>Paramétrage!H$19+AD230*30</f>
        <v>#DIV/0!</v>
      </c>
      <c r="AH230" s="2179" t="e">
        <f>IF(AC230&lt;Paramétrage!D$29, Paramétrage!H$19+AE230*30, Paramétrage!H$19+AC230*30)</f>
        <v>#DIV/0!</v>
      </c>
      <c r="AI230" s="2179">
        <f>'Saisie données stocks'!O186</f>
        <v>0</v>
      </c>
      <c r="AJ230" s="2228" t="str">
        <f>IF(ISERROR(Q230), "0", IF('Saisie données stocks'!O186="", "0", IF(U173&gt;'Saisie données stocks'!$N$14, IF(AI230&gt;(Paramétrage!$H$19+'Saisie données stocks'!$N$14*30), (AI230-(Paramétrage!$H$19+'Saisie données stocks'!$N$14*30))/30, IF(AI230&gt;U173, (AI230-U173)/30, "0")))))</f>
        <v>0</v>
      </c>
      <c r="AK230" s="2227" t="str">
        <f>IF(ISERROR(Q173),"0", IF(Q173=0, "0", IF(Q173&gt;'Calculs Péremption FA'!$CB53, 'Calculs Péremption FA'!$CB53, Q173)))</f>
        <v>0</v>
      </c>
      <c r="AL230" s="2225" t="str">
        <f>IF(ISERROR(AC230),"0", IF(AC230=0, "0", IF(AC230&gt;'Saisie données stocks'!$N$14, 'Saisie données stocks'!$N$14, AC230)))</f>
        <v>0</v>
      </c>
      <c r="AM230" s="2179" t="str">
        <f>IF(ISERROR(Q230),AA230,IF(Calculs!P308=0,AA173,(Paramétrage!$H$19+((AJ230+AK230+AL230)*(365/12)))))</f>
        <v/>
      </c>
      <c r="AN230" s="2051"/>
      <c r="AO230" s="2175" t="str">
        <f>IF(ISERROR(AC230),"", IF(AC230=0, "", IF(AC230&gt;'Saisie données stocks'!$N$14, 'Saisie données stocks'!$N$14, AC230)))</f>
        <v/>
      </c>
      <c r="AP230" s="2227" t="str">
        <f>IF(ISERROR(AC230),"", IF(AC230=0, "", IF(AC230&gt;'Calculs Péremption conso'!$CB53, 'Calculs Péremption conso'!$CB53-Paramétrage!$D$29, AD230)))</f>
        <v/>
      </c>
      <c r="AQ230" s="2182" t="str">
        <f>IF(ISERROR(AC230),"", IF(AC230=0, "", IF(AC230&gt;'Calculs Péremption conso'!$CB53, Paramétrage!$D$29, AE230)))</f>
        <v/>
      </c>
      <c r="AR230" s="2229" t="str">
        <f t="shared" si="56"/>
        <v/>
      </c>
      <c r="AS230" s="2226" t="str">
        <f>IF(ISERROR(AC230),"", IF(AC230=0, "", IF(AC230&gt;'Calculs Péremption conso'!$CB53, 'Calculs Péremption conso'!$BX53-Paramétrage!$D$29*(365/12), AG230)))</f>
        <v/>
      </c>
      <c r="AT230" s="2179" t="str">
        <f>IF(ISERROR(AC230),"", IF(AC230=0, "", IF(AC230&gt;'Calculs Péremption conso'!$CB53, CONCATENATE('TRAD-Calculs dispo Données FA'!$B$88, " - ", 'Calculs Péremption conso'!$BY53, "/", 'Calculs Péremption conso'!$BZ53, "/", 'Calculs Péremption conso'!$CA53), AH230)))</f>
        <v/>
      </c>
      <c r="AU230" s="2051"/>
      <c r="AV230" s="2175" t="e">
        <f>(Calculs!Q308)/Calculs!L363</f>
        <v>#DIV/0!</v>
      </c>
      <c r="AW230" s="2227" t="e">
        <f>AV230-Paramétrage!D$29</f>
        <v>#DIV/0!</v>
      </c>
      <c r="AX230" s="2225" t="e">
        <f>IF(AV230&lt;Paramétrage!D$29, AV230, Paramétrage!D$29)</f>
        <v>#DIV/0!</v>
      </c>
      <c r="AY230" s="2226" t="e">
        <f>Paramétrage!H$19+AW230*(365/12)</f>
        <v>#DIV/0!</v>
      </c>
      <c r="AZ230" s="2179" t="e">
        <f>IF(AV230&lt;Paramétrage!D$29, Paramétrage!H$19+AX230*(365/12), Paramétrage!H$19+AV230*(365/12))</f>
        <v>#DIV/0!</v>
      </c>
      <c r="BA230" s="2051"/>
      <c r="BB230" s="2175" t="str">
        <f>IF(ISERROR(AV230),"", IF(AV230=0, "", IF(AV230&gt;'Calculs Péremption conso'!$CB53, 'Calculs Péremption conso'!$CB53, AV230)))</f>
        <v/>
      </c>
      <c r="BC230" s="2227" t="str">
        <f>IF(ISERROR(AV230),"", IF(AV230=0, "", IF(AV230&gt;'Calculs Péremption conso'!$CB53, 'Calculs Péremption conso'!$CB53-Paramétrage!$D$29, AW230)))</f>
        <v/>
      </c>
      <c r="BD230" s="2182" t="str">
        <f>IF(ISERROR(AV230),"", IF(AV230=0, "", IF(AV230&gt;'Calculs Péremption conso'!$CB53, Paramétrage!$D$29, AX230)))</f>
        <v/>
      </c>
      <c r="BE230" s="2226" t="str">
        <f>IF(ISERROR(AV230),"", IF(AV230=0, "", IF(AV230&gt;'Calculs Péremption conso'!$CB53, 'Calculs Péremption conso'!$BX53-6*30, AY230)))</f>
        <v/>
      </c>
      <c r="BF230" s="2179" t="str">
        <f>IF(ISERROR(AV230),"", IF(AV230=0, "", IF(AV230&gt;'Calculs Péremption conso'!$CB53, CONCATENATE('TRAD-Calculs dispo Données FA'!$B$88, " - ", 'Calculs Péremption conso'!$BY53, "/", 'Calculs Péremption conso'!$BZ53, "/", 'Calculs Péremption conso'!$CA53), AZ230)))</f>
        <v/>
      </c>
      <c r="BG230" s="2051"/>
      <c r="BH230" s="2175" t="e">
        <f t="shared" si="57"/>
        <v>#DIV/0!</v>
      </c>
      <c r="BI230" s="2227" t="e">
        <f>BH230-Paramétrage!D$29</f>
        <v>#DIV/0!</v>
      </c>
      <c r="BJ230" s="2225" t="e">
        <f>IF(BH230&lt;Paramétrage!D$29, BH230, Paramétrage!D$29)</f>
        <v>#DIV/0!</v>
      </c>
      <c r="BK230" s="2225" t="e">
        <f t="shared" si="58"/>
        <v>#DIV/0!</v>
      </c>
      <c r="BL230" s="2226" t="e">
        <f>Paramétrage!$H$19+BI230*30</f>
        <v>#DIV/0!</v>
      </c>
      <c r="BM230" s="2179" t="e">
        <f>IF(BH230&lt;Paramétrage!$D$29, Paramétrage!$H$19+BJ230*30, Paramétrage!$H$19+BH230*30)</f>
        <v>#DIV/0!</v>
      </c>
      <c r="BN230" s="2051"/>
      <c r="BO230" s="2175" t="str">
        <f>IF(ISERROR(BH230),"", IF(BH230=0, "", IF(BH230&gt;'Calculs Péremption conso'!$CB53, 'Calculs Péremption conso'!$CB53, BH230)))</f>
        <v/>
      </c>
      <c r="BP230" s="2227" t="str">
        <f>IF(ISERROR(BH230),"", IF(BH230=0, "", IF(BH230&gt;'Calculs Péremption conso'!$CB53, 'Calculs Péremption conso'!$CB53-Paramétrage!$D$29, BI230)))</f>
        <v/>
      </c>
      <c r="BQ230" s="2182" t="str">
        <f>IF(ISERROR(BH230),"", IF(BH230=0, "", IF(BH230&gt;'Calculs Péremption conso'!$CB53, Paramétrage!$D$29, BJ230)))</f>
        <v/>
      </c>
      <c r="BR230" s="2229" t="str">
        <f t="shared" si="59"/>
        <v/>
      </c>
      <c r="BS230" s="2226" t="str">
        <f>IF(ISERROR(BH230),"", IF(BH230=0, "", IF(BH230&gt;'Calculs Péremption conso'!$CB53, 'Calculs Péremption conso'!$BX53-Paramétrage!$D$29*(365/12), BL230)))</f>
        <v/>
      </c>
      <c r="BT230" s="2179" t="str">
        <f>IF(ISERROR(BH230),"", IF(BH230=0, "", IF(BH230&gt;'Calculs Péremption conso'!$CB53, CONCATENATE('TRAD-Calculs dispo Données FA'!$B$88, " - ", 'Calculs Péremption conso'!$BY53, "/", 'Calculs Péremption conso'!$BZ53, "/", 'Calculs Péremption conso'!$CA53), BM230)))</f>
        <v/>
      </c>
      <c r="BV230" s="2061">
        <f>Calculs!$Q308</f>
        <v>0</v>
      </c>
      <c r="BW230" s="2062">
        <f>Calculs!L363</f>
        <v>0</v>
      </c>
      <c r="BX230" s="2068">
        <f>Calculs!N363</f>
        <v>0</v>
      </c>
      <c r="BY230" s="2070" t="str">
        <f>IF(AND(BX230=0, BV230=0, BW230=0), 'TRAD-Calculs dispo Données FA'!$B$82, "")</f>
        <v>Stock et besoin nul</v>
      </c>
      <c r="BZ230" s="2062" t="str">
        <f>IF(AND(BX230=0, BV230&gt;0, BW230=0), CONCATENATE(BV230, 'TRAD-Calculs dispo Données FA'!$B$80," =0"), "")</f>
        <v/>
      </c>
      <c r="CA230" s="2063" t="str">
        <f>IF(AND(BV230=0, OR(BW230&gt;=1, BX230&gt;=1)), 'TRAD-Calculs dispo Données FA'!$B$81, "")</f>
        <v/>
      </c>
    </row>
    <row r="231" spans="3:79" s="358" customFormat="1" ht="38.25" x14ac:dyDescent="0.2">
      <c r="C231" s="374"/>
      <c r="D231" s="375" t="s">
        <v>26</v>
      </c>
      <c r="E231" s="376" t="str">
        <f>'Saisie données stocks'!F66</f>
        <v>NVP</v>
      </c>
      <c r="F231" s="377" t="str">
        <f>'Saisie données stocks'!G66</f>
        <v>Sol buv</v>
      </c>
      <c r="G231" s="377" t="str">
        <f>'Saisie données stocks'!H66</f>
        <v>10 mg/mL</v>
      </c>
      <c r="H231" s="89" t="str">
        <f>CONCATENATE(E231, " - ", G231, " - ", 'TRAD-Calculs dispo Données FA'!$B$83,"/", K231, "mL")</f>
        <v>NVP - 10 mg/mL - Fl/240mL</v>
      </c>
      <c r="I231" s="378"/>
      <c r="J231" s="378"/>
      <c r="K231" s="114">
        <f>'Saisie données stocks'!L66</f>
        <v>240</v>
      </c>
      <c r="L231" s="308">
        <f>'Saisie données stocks'!M66</f>
        <v>1</v>
      </c>
      <c r="M231" s="1820">
        <f>IF('Saisie données stocks'!$O$10='TRAD-Saisie données stocks'!$B$51, 'Calculs Péremption conso'!BU54, Calculs!M309)+IF('Saisie données stocks'!$M$76='TRAD-Saisie données stocks'!$B$51, Calculs!N309, "0")+Calculs!P309</f>
        <v>3990</v>
      </c>
      <c r="N231" s="1820">
        <f>Calculs!$L$364</f>
        <v>830</v>
      </c>
      <c r="O231" s="1820">
        <f>Calculs!$N$364</f>
        <v>0</v>
      </c>
      <c r="P231"/>
      <c r="Q231" s="2161">
        <f>IF(Calculs!N364&gt;0, (-(Calculs!N364+2*Calculs!L364)+SQRT((Calculs!N364+2*Calculs!L364)*(Calculs!N364+2*Calculs!L364)+8*Calculs!N364*(M231)))/(2*Calculs!N364), ((M231)/Calculs!L364))</f>
        <v>4.8072289156626509</v>
      </c>
      <c r="R231" s="2162">
        <f>Q231-Paramétrage!D$29</f>
        <v>1.8072289156626509</v>
      </c>
      <c r="S231" s="2163">
        <f>IF(Q231&lt;Paramétrage!D$29, Q231, Paramétrage!D$29)</f>
        <v>3</v>
      </c>
      <c r="T231" s="2164">
        <f>IF(Q231&lt;Paramétrage!D$29, Paramétrage!H$19+R231*30, Paramétrage!H$19+R231*30)</f>
        <v>41973.216867469877</v>
      </c>
      <c r="U231" s="2165">
        <f>IF(Q231&lt;Paramétrage!D$29, Paramétrage!H$19+S231*30, Paramétrage!H$19+Q231*30)</f>
        <v>42063.216867469877</v>
      </c>
      <c r="V231" s="2051"/>
      <c r="W231" s="2161">
        <f t="shared" si="49"/>
        <v>4.8072289156626509</v>
      </c>
      <c r="X231" s="2162">
        <f t="shared" si="50"/>
        <v>1.8072289156626509</v>
      </c>
      <c r="Y231" s="2167">
        <f t="shared" si="51"/>
        <v>3</v>
      </c>
      <c r="Z231" s="2164">
        <f t="shared" si="52"/>
        <v>41973.216867469877</v>
      </c>
      <c r="AA231" s="2165">
        <f t="shared" si="53"/>
        <v>42063.216867469877</v>
      </c>
      <c r="AB231" s="2051"/>
      <c r="AC231" s="2161">
        <f t="shared" si="54"/>
        <v>0</v>
      </c>
      <c r="AD231" s="2162">
        <f>AC231-Paramétrage!D$29</f>
        <v>-3</v>
      </c>
      <c r="AE231" s="2163">
        <f>IF(AC231&lt;Paramétrage!D$29, AC231, Paramétrage!D$29)</f>
        <v>0</v>
      </c>
      <c r="AF231" s="2163">
        <f t="shared" si="55"/>
        <v>0</v>
      </c>
      <c r="AG231" s="2164">
        <f>Paramétrage!H$19+AD231*30</f>
        <v>41829</v>
      </c>
      <c r="AH231" s="2165">
        <f>IF(AC231&lt;Paramétrage!D$29, Paramétrage!H$19+AE231*30, Paramétrage!H$19+AC231*30)</f>
        <v>41919</v>
      </c>
      <c r="AI231" s="2165">
        <f>'Saisie données stocks'!O187</f>
        <v>0</v>
      </c>
      <c r="AJ231" s="2210" t="str">
        <f>IF(ISERROR(Q231), "0", IF('Saisie données stocks'!O187="", "0", IF(U174&gt;'Saisie données stocks'!$N$14, IF(AI231&gt;(Paramétrage!$H$19+'Saisie données stocks'!$N$14*30), (AI231-(Paramétrage!$H$19+'Saisie données stocks'!$N$14*30))/30, IF(AI231&gt;U174, (AI231-U174)/30, "0")))))</f>
        <v>0</v>
      </c>
      <c r="AK231" s="2162">
        <f>IF(ISERROR(Q174),"0", IF(Q174=0, "0", IF(Q174&gt;'Calculs Péremption FA'!$CB54, 'Calculs Péremption FA'!$CB54, Q174)))</f>
        <v>4.8072289156626509</v>
      </c>
      <c r="AL231" s="2163" t="str">
        <f>IF(ISERROR(AC231),"0", IF(AC231=0, "0", IF(AC231&gt;'Saisie données stocks'!$N$14, 'Saisie données stocks'!$N$14, AC231)))</f>
        <v>0</v>
      </c>
      <c r="AM231" s="2165">
        <f>IF(ISERROR(Q231),AA231,IF(Calculs!P309=0,AA174,(Paramétrage!$H$19+((AJ231+AK231+AL231)*(365/12)))))</f>
        <v>42065.219879518074</v>
      </c>
      <c r="AN231" s="2051"/>
      <c r="AO231" s="2161" t="str">
        <f>IF(ISERROR(AC231),"", IF(AC231=0, "", IF(AC231&gt;'Saisie données stocks'!$N$14, 'Saisie données stocks'!$N$14, AC231)))</f>
        <v/>
      </c>
      <c r="AP231" s="2162" t="str">
        <f>IF(ISERROR(AC231),"", IF(AC231=0, "", IF(AC231&gt;'Calculs Péremption conso'!$CB54, 'Calculs Péremption conso'!$CB54-Paramétrage!$D$29, AD231)))</f>
        <v/>
      </c>
      <c r="AQ231" s="2167" t="str">
        <f>IF(ISERROR(AC231),"", IF(AC231=0, "", IF(AC231&gt;'Calculs Péremption conso'!$CB54, Paramétrage!$D$29, AE231)))</f>
        <v/>
      </c>
      <c r="AR231" s="2211" t="str">
        <f t="shared" si="56"/>
        <v/>
      </c>
      <c r="AS231" s="2164" t="str">
        <f>IF(ISERROR(AC231),"", IF(AC231=0, "", IF(AC231&gt;'Calculs Péremption conso'!$CB54, 'Calculs Péremption conso'!$BX54-Paramétrage!$D$29*(365/12), AG231)))</f>
        <v/>
      </c>
      <c r="AT231" s="2165" t="str">
        <f>IF(ISERROR(AC231),"", IF(AC231=0, "", IF(AC231&gt;'Calculs Péremption conso'!$CB54, CONCATENATE('TRAD-Calculs dispo Données FA'!$B$88, " - ", 'Calculs Péremption conso'!$BY54, "/", 'Calculs Péremption conso'!$BZ54, "/", 'Calculs Péremption conso'!$CA54), AH231)))</f>
        <v/>
      </c>
      <c r="AU231" s="2051"/>
      <c r="AV231" s="2161">
        <f>(Calculs!Q309)/Calculs!L364</f>
        <v>4.8072289156626509</v>
      </c>
      <c r="AW231" s="2162">
        <f>AV231-Paramétrage!D$29</f>
        <v>1.8072289156626509</v>
      </c>
      <c r="AX231" s="2163">
        <f>IF(AV231&lt;Paramétrage!D$29, AV231, Paramétrage!D$29)</f>
        <v>3</v>
      </c>
      <c r="AY231" s="2164">
        <f>Paramétrage!H$19+AW231*(365/12)</f>
        <v>41973.969879518074</v>
      </c>
      <c r="AZ231" s="2165">
        <f>IF(AV231&lt;Paramétrage!D$29, Paramétrage!H$19+AX231*(365/12), Paramétrage!H$19+AV231*(365/12))</f>
        <v>42065.219879518074</v>
      </c>
      <c r="BA231" s="2051"/>
      <c r="BB231" s="2161">
        <f>IF(ISERROR(AV231),"", IF(AV231=0, "", IF(AV231&gt;'Calculs Péremption conso'!$CB54, 'Calculs Péremption conso'!$CB54, AV231)))</f>
        <v>4.8072289156626509</v>
      </c>
      <c r="BC231" s="2162">
        <f>IF(ISERROR(AV231),"", IF(AV231=0, "", IF(AV231&gt;'Calculs Péremption conso'!$CB54, 'Calculs Péremption conso'!$CB54-Paramétrage!$D$29, AW231)))</f>
        <v>1.8072289156626509</v>
      </c>
      <c r="BD231" s="2167">
        <f>IF(ISERROR(AV231),"", IF(AV231=0, "", IF(AV231&gt;'Calculs Péremption conso'!$CB54, Paramétrage!$D$29, AX231)))</f>
        <v>3</v>
      </c>
      <c r="BE231" s="2164">
        <f>IF(ISERROR(AV231),"", IF(AV231=0, "", IF(AV231&gt;'Calculs Péremption conso'!$CB54, 'Calculs Péremption conso'!$BX54-6*30, AY231)))</f>
        <v>41973.969879518074</v>
      </c>
      <c r="BF231" s="2165">
        <f>IF(ISERROR(AV231),"", IF(AV231=0, "", IF(AV231&gt;'Calculs Péremption conso'!$CB54, CONCATENATE('TRAD-Calculs dispo Données FA'!$B$88, " - ", 'Calculs Péremption conso'!$BY54, "/", 'Calculs Péremption conso'!$BZ54, "/", 'Calculs Péremption conso'!$CA54), AZ231)))</f>
        <v>42065.219879518074</v>
      </c>
      <c r="BG231" s="2051"/>
      <c r="BH231" s="2161">
        <f t="shared" si="57"/>
        <v>0</v>
      </c>
      <c r="BI231" s="2162">
        <f>BH231-Paramétrage!D$29</f>
        <v>-3</v>
      </c>
      <c r="BJ231" s="2163">
        <f>IF(BH231&lt;Paramétrage!D$29, BH231, Paramétrage!D$29)</f>
        <v>0</v>
      </c>
      <c r="BK231" s="2163">
        <f t="shared" si="58"/>
        <v>0</v>
      </c>
      <c r="BL231" s="2164">
        <f>Paramétrage!$H$19+BI231*30</f>
        <v>41829</v>
      </c>
      <c r="BM231" s="2165">
        <f>IF(BH231&lt;Paramétrage!$D$29, Paramétrage!$H$19+BJ231*30, Paramétrage!$H$19+BH231*30)</f>
        <v>41919</v>
      </c>
      <c r="BN231" s="2051"/>
      <c r="BO231" s="2161" t="str">
        <f>IF(ISERROR(BH231),"", IF(BH231=0, "", IF(BH231&gt;'Calculs Péremption conso'!$CB54, 'Calculs Péremption conso'!$CB54, BH231)))</f>
        <v/>
      </c>
      <c r="BP231" s="2162" t="str">
        <f>IF(ISERROR(BH231),"", IF(BH231=0, "", IF(BH231&gt;'Calculs Péremption conso'!$CB54, 'Calculs Péremption conso'!$CB54-Paramétrage!$D$29, BI231)))</f>
        <v/>
      </c>
      <c r="BQ231" s="2167" t="str">
        <f>IF(ISERROR(BH231),"", IF(BH231=0, "", IF(BH231&gt;'Calculs Péremption conso'!$CB54, Paramétrage!$D$29, BJ231)))</f>
        <v/>
      </c>
      <c r="BR231" s="2211" t="str">
        <f t="shared" si="59"/>
        <v/>
      </c>
      <c r="BS231" s="2164" t="str">
        <f>IF(ISERROR(BH231),"", IF(BH231=0, "", IF(BH231&gt;'Calculs Péremption conso'!$CB54, 'Calculs Péremption conso'!$BX54-Paramétrage!$D$29*(365/12), BL231)))</f>
        <v/>
      </c>
      <c r="BT231" s="2165" t="str">
        <f>IF(ISERROR(BH231),"", IF(BH231=0, "", IF(BH231&gt;'Calculs Péremption conso'!$CB54, CONCATENATE('TRAD-Calculs dispo Données FA'!$B$88, " - ", 'Calculs Péremption conso'!$BY54, "/", 'Calculs Péremption conso'!$BZ54, "/", 'Calculs Péremption conso'!$CA54), BM231)))</f>
        <v/>
      </c>
      <c r="BV231" s="2061">
        <f>Calculs!$Q309</f>
        <v>3990</v>
      </c>
      <c r="BW231" s="2062">
        <f>Calculs!L364</f>
        <v>830</v>
      </c>
      <c r="BX231" s="2068">
        <f>Calculs!N364</f>
        <v>0</v>
      </c>
      <c r="BY231" s="2070" t="str">
        <f>IF(AND(BX231=0, BV231=0, BW231=0), 'TRAD-Calculs dispo Données FA'!$B$82, "")</f>
        <v/>
      </c>
      <c r="BZ231" s="2062" t="str">
        <f>IF(AND(BX231=0, BV231&gt;0, BW231=0), CONCATENATE(BV231, 'TRAD-Calculs dispo Données FA'!$B$80," =0"), "")</f>
        <v/>
      </c>
      <c r="CA231" s="2063" t="str">
        <f>IF(AND(BV231=0, OR(BW231&gt;=1, BX231&gt;=1)), 'TRAD-Calculs dispo Données FA'!$B$81, "")</f>
        <v/>
      </c>
    </row>
    <row r="232" spans="3:79" s="358" customFormat="1" ht="38.25" x14ac:dyDescent="0.2">
      <c r="C232" s="374"/>
      <c r="D232" s="389"/>
      <c r="E232" s="1518" t="str">
        <f>'Saisie données stocks'!F67</f>
        <v>EFV</v>
      </c>
      <c r="F232" s="1519" t="str">
        <f>'Saisie données stocks'!G67</f>
        <v>Sol buv</v>
      </c>
      <c r="G232" s="1519" t="str">
        <f>'Saisie données stocks'!H67</f>
        <v>30 mg/mL</v>
      </c>
      <c r="H232" s="1643" t="str">
        <f>CONCATENATE(E232, " - ", G232, " - ", 'TRAD-Calculs dispo Données FA'!$B$83,"/", K232, "mL")</f>
        <v>EFV - 30 mg/mL - Fl/180mL</v>
      </c>
      <c r="I232" s="1520"/>
      <c r="J232" s="1520"/>
      <c r="K232" s="1854">
        <f>'Saisie données stocks'!L67</f>
        <v>180</v>
      </c>
      <c r="L232" s="1868">
        <f>'Saisie données stocks'!M67</f>
        <v>1</v>
      </c>
      <c r="M232" s="1822">
        <f>IF('Saisie données stocks'!$O$10='TRAD-Saisie données stocks'!$B$51, 'Calculs Péremption conso'!BU55, Calculs!M310)+IF('Saisie données stocks'!$M$76='TRAD-Saisie données stocks'!$B$51, Calculs!N310, "0")+Calculs!P310</f>
        <v>0</v>
      </c>
      <c r="N232" s="1822">
        <f>Calculs!$L$365</f>
        <v>0</v>
      </c>
      <c r="O232" s="1822">
        <f>Calculs!$N$365</f>
        <v>0</v>
      </c>
      <c r="P232"/>
      <c r="Q232" s="2175" t="e">
        <f>IF(Calculs!N365&gt;0, (-(Calculs!N365+2*Calculs!L365)+SQRT((Calculs!N365+2*Calculs!L365)*(Calculs!N365+2*Calculs!L365)+8*Calculs!N365*(M232)))/(2*Calculs!N365), ((M232)/Calculs!L365))</f>
        <v>#DIV/0!</v>
      </c>
      <c r="R232" s="2227" t="e">
        <f>Q232-Paramétrage!D$29</f>
        <v>#DIV/0!</v>
      </c>
      <c r="S232" s="2225" t="e">
        <f>IF(Q232&lt;Paramétrage!D$29, Q232, Paramétrage!D$29)</f>
        <v>#DIV/0!</v>
      </c>
      <c r="T232" s="2226" t="e">
        <f>IF(Q232&lt;Paramétrage!D$29, Paramétrage!H$19+R232*30, Paramétrage!H$19+R232*30)</f>
        <v>#DIV/0!</v>
      </c>
      <c r="U232" s="2179" t="e">
        <f>IF(Q232&lt;Paramétrage!D$29, Paramétrage!H$19+S232*30, Paramétrage!H$19+Q232*30)</f>
        <v>#DIV/0!</v>
      </c>
      <c r="V232" s="2051"/>
      <c r="W232" s="2175" t="str">
        <f t="shared" si="49"/>
        <v/>
      </c>
      <c r="X232" s="2227" t="str">
        <f t="shared" si="50"/>
        <v/>
      </c>
      <c r="Y232" s="2182" t="str">
        <f t="shared" si="51"/>
        <v/>
      </c>
      <c r="Z232" s="2226" t="str">
        <f t="shared" si="52"/>
        <v/>
      </c>
      <c r="AA232" s="2179" t="str">
        <f t="shared" si="53"/>
        <v/>
      </c>
      <c r="AB232" s="2051"/>
      <c r="AC232" s="2175" t="e">
        <f t="shared" si="54"/>
        <v>#DIV/0!</v>
      </c>
      <c r="AD232" s="2227" t="e">
        <f>AC232-Paramétrage!D$29</f>
        <v>#DIV/0!</v>
      </c>
      <c r="AE232" s="2225" t="e">
        <f>IF(AC232&lt;Paramétrage!D$29, AC232, Paramétrage!D$29)</f>
        <v>#DIV/0!</v>
      </c>
      <c r="AF232" s="2225" t="e">
        <f t="shared" si="55"/>
        <v>#VALUE!</v>
      </c>
      <c r="AG232" s="2226" t="e">
        <f>Paramétrage!H$19+AD232*30</f>
        <v>#DIV/0!</v>
      </c>
      <c r="AH232" s="2179" t="e">
        <f>IF(AC232&lt;Paramétrage!D$29, Paramétrage!H$19+AE232*30, Paramétrage!H$19+AC232*30)</f>
        <v>#DIV/0!</v>
      </c>
      <c r="AI232" s="2179">
        <f>'Saisie données stocks'!O188</f>
        <v>0</v>
      </c>
      <c r="AJ232" s="2228" t="str">
        <f>IF(ISERROR(Q232), "0", IF('Saisie données stocks'!O188="", "0", IF(U175&gt;'Saisie données stocks'!$N$14, IF(AI232&gt;(Paramétrage!$H$19+'Saisie données stocks'!$N$14*30), (AI232-(Paramétrage!$H$19+'Saisie données stocks'!$N$14*30))/30, IF(AI232&gt;U175, (AI232-U175)/30, "0")))))</f>
        <v>0</v>
      </c>
      <c r="AK232" s="2227" t="str">
        <f>IF(ISERROR(Q175),"0", IF(Q175=0, "0", IF(Q175&gt;'Calculs Péremption FA'!$CB55, 'Calculs Péremption FA'!$CB55, Q175)))</f>
        <v>0</v>
      </c>
      <c r="AL232" s="2225" t="str">
        <f>IF(ISERROR(AC232),"0", IF(AC232=0, "0", IF(AC232&gt;'Saisie données stocks'!$N$14, 'Saisie données stocks'!$N$14, AC232)))</f>
        <v>0</v>
      </c>
      <c r="AM232" s="2179" t="str">
        <f>IF(ISERROR(Q232),AA232,IF(Calculs!P310=0,AA175,(Paramétrage!$H$19+((AJ232+AK232+AL232)*(365/12)))))</f>
        <v/>
      </c>
      <c r="AN232" s="2051"/>
      <c r="AO232" s="2175" t="str">
        <f>IF(ISERROR(AC232),"", IF(AC232=0, "", IF(AC232&gt;'Saisie données stocks'!$N$14, 'Saisie données stocks'!$N$14, AC232)))</f>
        <v/>
      </c>
      <c r="AP232" s="2227" t="str">
        <f>IF(ISERROR(AC232),"", IF(AC232=0, "", IF(AC232&gt;'Calculs Péremption conso'!$CB55, 'Calculs Péremption conso'!$CB55-Paramétrage!$D$29, AD232)))</f>
        <v/>
      </c>
      <c r="AQ232" s="2182" t="str">
        <f>IF(ISERROR(AC232),"", IF(AC232=0, "", IF(AC232&gt;'Calculs Péremption conso'!$CB55, Paramétrage!$D$29, AE232)))</f>
        <v/>
      </c>
      <c r="AR232" s="2229" t="str">
        <f t="shared" si="56"/>
        <v/>
      </c>
      <c r="AS232" s="2226" t="str">
        <f>IF(ISERROR(AC232),"", IF(AC232=0, "", IF(AC232&gt;'Calculs Péremption conso'!$CB55, 'Calculs Péremption conso'!$BX55-Paramétrage!$D$29*(365/12), AG232)))</f>
        <v/>
      </c>
      <c r="AT232" s="2179" t="str">
        <f>IF(ISERROR(AC232),"", IF(AC232=0, "", IF(AC232&gt;'Calculs Péremption conso'!$CB55, CONCATENATE('TRAD-Calculs dispo Données FA'!$B$88, " - ", 'Calculs Péremption conso'!$BY55, "/", 'Calculs Péremption conso'!$BZ55, "/", 'Calculs Péremption conso'!$CA55), AH232)))</f>
        <v/>
      </c>
      <c r="AU232" s="2051"/>
      <c r="AV232" s="2175" t="e">
        <f>(Calculs!Q310)/Calculs!L365</f>
        <v>#DIV/0!</v>
      </c>
      <c r="AW232" s="2227" t="e">
        <f>AV232-Paramétrage!D$29</f>
        <v>#DIV/0!</v>
      </c>
      <c r="AX232" s="2225" t="e">
        <f>IF(AV232&lt;Paramétrage!D$29, AV232, Paramétrage!D$29)</f>
        <v>#DIV/0!</v>
      </c>
      <c r="AY232" s="2226" t="e">
        <f>Paramétrage!H$19+AW232*(365/12)</f>
        <v>#DIV/0!</v>
      </c>
      <c r="AZ232" s="2179" t="e">
        <f>IF(AV232&lt;Paramétrage!D$29, Paramétrage!H$19+AX232*(365/12), Paramétrage!H$19+AV232*(365/12))</f>
        <v>#DIV/0!</v>
      </c>
      <c r="BA232" s="2051"/>
      <c r="BB232" s="2175" t="str">
        <f>IF(ISERROR(AV232),"", IF(AV232=0, "", IF(AV232&gt;'Calculs Péremption conso'!$CB55, 'Calculs Péremption conso'!$CB55, AV232)))</f>
        <v/>
      </c>
      <c r="BC232" s="2227" t="str">
        <f>IF(ISERROR(AV232),"", IF(AV232=0, "", IF(AV232&gt;'Calculs Péremption conso'!$CB55, 'Calculs Péremption conso'!$CB55-Paramétrage!$D$29, AW232)))</f>
        <v/>
      </c>
      <c r="BD232" s="2182" t="str">
        <f>IF(ISERROR(AV232),"", IF(AV232=0, "", IF(AV232&gt;'Calculs Péremption conso'!$CB55, Paramétrage!$D$29, AX232)))</f>
        <v/>
      </c>
      <c r="BE232" s="2226" t="str">
        <f>IF(ISERROR(AV232),"", IF(AV232=0, "", IF(AV232&gt;'Calculs Péremption conso'!$CB55, 'Calculs Péremption conso'!$BX55-6*30, AY232)))</f>
        <v/>
      </c>
      <c r="BF232" s="2179" t="str">
        <f>IF(ISERROR(AV232),"", IF(AV232=0, "", IF(AV232&gt;'Calculs Péremption conso'!$CB55, CONCATENATE('TRAD-Calculs dispo Données FA'!$B$88, " - ", 'Calculs Péremption conso'!$BY55, "/", 'Calculs Péremption conso'!$BZ55, "/", 'Calculs Péremption conso'!$CA55), AZ232)))</f>
        <v/>
      </c>
      <c r="BG232" s="2051"/>
      <c r="BH232" s="2175" t="e">
        <f t="shared" si="57"/>
        <v>#DIV/0!</v>
      </c>
      <c r="BI232" s="2227" t="e">
        <f>BH232-Paramétrage!D$29</f>
        <v>#DIV/0!</v>
      </c>
      <c r="BJ232" s="2225" t="e">
        <f>IF(BH232&lt;Paramétrage!D$29, BH232, Paramétrage!D$29)</f>
        <v>#DIV/0!</v>
      </c>
      <c r="BK232" s="2225" t="e">
        <f t="shared" si="58"/>
        <v>#DIV/0!</v>
      </c>
      <c r="BL232" s="2226" t="e">
        <f>Paramétrage!$H$19+BI232*30</f>
        <v>#DIV/0!</v>
      </c>
      <c r="BM232" s="2179" t="e">
        <f>IF(BH232&lt;Paramétrage!$D$29, Paramétrage!$H$19+BJ232*30, Paramétrage!$H$19+BH232*30)</f>
        <v>#DIV/0!</v>
      </c>
      <c r="BN232" s="2051"/>
      <c r="BO232" s="2175" t="str">
        <f>IF(ISERROR(BH232),"", IF(BH232=0, "", IF(BH232&gt;'Calculs Péremption conso'!$CB55, 'Calculs Péremption conso'!$CB55, BH232)))</f>
        <v/>
      </c>
      <c r="BP232" s="2227" t="str">
        <f>IF(ISERROR(BH232),"", IF(BH232=0, "", IF(BH232&gt;'Calculs Péremption conso'!$CB55, 'Calculs Péremption conso'!$CB55-Paramétrage!$D$29, BI232)))</f>
        <v/>
      </c>
      <c r="BQ232" s="2182" t="str">
        <f>IF(ISERROR(BH232),"", IF(BH232=0, "", IF(BH232&gt;'Calculs Péremption conso'!$CB55, Paramétrage!$D$29, BJ232)))</f>
        <v/>
      </c>
      <c r="BR232" s="2229" t="str">
        <f t="shared" si="59"/>
        <v/>
      </c>
      <c r="BS232" s="2226" t="str">
        <f>IF(ISERROR(BH232),"", IF(BH232=0, "", IF(BH232&gt;'Calculs Péremption conso'!$CB55, 'Calculs Péremption conso'!$BX55-Paramétrage!$D$29*(365/12), BL232)))</f>
        <v/>
      </c>
      <c r="BT232" s="2179" t="str">
        <f>IF(ISERROR(BH232),"", IF(BH232=0, "", IF(BH232&gt;'Calculs Péremption conso'!$CB55, CONCATENATE('TRAD-Calculs dispo Données FA'!$B$88, " - ", 'Calculs Péremption conso'!$BY55, "/", 'Calculs Péremption conso'!$BZ55, "/", 'Calculs Péremption conso'!$CA55), BM232)))</f>
        <v/>
      </c>
      <c r="BV232" s="2061">
        <f>Calculs!$Q310</f>
        <v>0</v>
      </c>
      <c r="BW232" s="2062">
        <f>Calculs!L365</f>
        <v>0</v>
      </c>
      <c r="BX232" s="2068">
        <f>Calculs!N365</f>
        <v>0</v>
      </c>
      <c r="BY232" s="2070" t="str">
        <f>IF(AND(BX232=0, BV232=0, BW232=0), 'TRAD-Calculs dispo Données FA'!$B$82, "")</f>
        <v>Stock et besoin nul</v>
      </c>
      <c r="BZ232" s="2062" t="str">
        <f>IF(AND(BX232=0, BV232&gt;0, BW232=0), CONCATENATE(BV232, 'TRAD-Calculs dispo Données FA'!$B$80," =0"), "")</f>
        <v/>
      </c>
      <c r="CA232" s="2063" t="str">
        <f>IF(AND(BV232=0, OR(BW232&gt;=1, BX232&gt;=1)), 'TRAD-Calculs dispo Données FA'!$B$81, "")</f>
        <v/>
      </c>
    </row>
    <row r="233" spans="3:79" s="358" customFormat="1" ht="51.75" thickBot="1" x14ac:dyDescent="0.25">
      <c r="C233" s="404"/>
      <c r="D233" s="408" t="s">
        <v>41</v>
      </c>
      <c r="E233" s="409" t="str">
        <f>'Saisie données stocks'!F68</f>
        <v>LPV/r</v>
      </c>
      <c r="F233" s="410" t="str">
        <f>'Saisie données stocks'!G68</f>
        <v>Sol buv</v>
      </c>
      <c r="G233" s="410" t="str">
        <f>'Saisie données stocks'!H68</f>
        <v>80/20 mg/mL</v>
      </c>
      <c r="H233" s="107" t="str">
        <f>CONCATENATE(E233, " - ", G233, " - ", 'TRAD-Calculs dispo Données FA'!$B$83,"/", K233, "mL")</f>
        <v>LPV/r - 80/20 mg/mL - Fl/60mL</v>
      </c>
      <c r="I233" s="411"/>
      <c r="J233" s="411"/>
      <c r="K233" s="312">
        <f>'Saisie données stocks'!L68</f>
        <v>60</v>
      </c>
      <c r="L233" s="313">
        <f>'Saisie données stocks'!M68</f>
        <v>4</v>
      </c>
      <c r="M233" s="1825">
        <f>IF('Saisie données stocks'!$O$10='TRAD-Saisie données stocks'!$B$51, 'Calculs Péremption conso'!BU56, Calculs!M311)+IF('Saisie données stocks'!$M$76='TRAD-Saisie données stocks'!$B$51, Calculs!N311, "0")+Calculs!P311</f>
        <v>2168</v>
      </c>
      <c r="N233" s="1825">
        <f>Calculs!$L$366</f>
        <v>61</v>
      </c>
      <c r="O233" s="1825">
        <f>Calculs!$N$366</f>
        <v>0</v>
      </c>
      <c r="P233"/>
      <c r="Q233" s="2198">
        <f>IF(Calculs!N366&gt;0, (-(Calculs!N366+2*Calculs!L366)+SQRT((Calculs!N366+2*Calculs!L366)*(Calculs!N366+2*Calculs!L366)+8*Calculs!N366*(M233)))/(2*Calculs!N366), ((M233)/Calculs!L366))</f>
        <v>35.540983606557376</v>
      </c>
      <c r="R233" s="2199">
        <f>Q233-Paramétrage!D$29</f>
        <v>32.540983606557376</v>
      </c>
      <c r="S233" s="2200">
        <f>IF(Q233&lt;Paramétrage!D$29, Q233, Paramétrage!D$29)</f>
        <v>3</v>
      </c>
      <c r="T233" s="2201">
        <f>IF(Q233&lt;Paramétrage!D$29, Paramétrage!H$19+R233*30, Paramétrage!H$19+R233*30)</f>
        <v>42895.229508196724</v>
      </c>
      <c r="U233" s="2202">
        <f>IF(Q233&lt;Paramétrage!D$29, Paramétrage!H$19+S233*30, Paramétrage!H$19+Q233*30)</f>
        <v>42985.229508196724</v>
      </c>
      <c r="V233" s="2051"/>
      <c r="W233" s="2198">
        <f t="shared" si="49"/>
        <v>35.540983606557376</v>
      </c>
      <c r="X233" s="2199">
        <f t="shared" si="50"/>
        <v>32.540983606557376</v>
      </c>
      <c r="Y233" s="2204">
        <f t="shared" si="51"/>
        <v>3</v>
      </c>
      <c r="Z233" s="2201">
        <f t="shared" si="52"/>
        <v>42895.229508196724</v>
      </c>
      <c r="AA233" s="2202">
        <f t="shared" si="53"/>
        <v>42985.229508196724</v>
      </c>
      <c r="AB233" s="2051"/>
      <c r="AC233" s="2198">
        <f t="shared" si="54"/>
        <v>35.540983606557376</v>
      </c>
      <c r="AD233" s="2199">
        <f>AC233-Paramétrage!D$29</f>
        <v>32.540983606557376</v>
      </c>
      <c r="AE233" s="2200">
        <f>IF(AC233&lt;Paramétrage!D$29, AC233, Paramétrage!D$29)</f>
        <v>3</v>
      </c>
      <c r="AF233" s="2200">
        <f t="shared" si="55"/>
        <v>0</v>
      </c>
      <c r="AG233" s="2201">
        <f>Paramétrage!H$19+AD233*30</f>
        <v>42895.229508196724</v>
      </c>
      <c r="AH233" s="2202">
        <f>IF(AC233&lt;Paramétrage!D$29, Paramétrage!H$19+AE233*30, Paramétrage!H$19+AC233*30)</f>
        <v>42985.229508196724</v>
      </c>
      <c r="AI233" s="2202">
        <f>'Saisie données stocks'!O189</f>
        <v>41944</v>
      </c>
      <c r="AJ233" s="2238">
        <f>IF(ISERROR(Q233), "0", IF('Saisie données stocks'!O189="", "0", IF(U176&gt;'Saisie données stocks'!$N$14, IF(AI233&gt;(Paramétrage!$H$19+'Saisie données stocks'!$N$14*30), (AI233-(Paramétrage!$H$19+'Saisie données stocks'!$N$14*30))/30, IF(AI233&gt;U176, (AI233-U176)/30, "0")))))</f>
        <v>0.83333333333333337</v>
      </c>
      <c r="AK233" s="2199" t="str">
        <f>IF(ISERROR(Q176),"0", IF(Q176=0, "0", IF(Q176&gt;'Calculs Péremption FA'!$CB56, 'Calculs Péremption FA'!$CB56, Q176)))</f>
        <v>0</v>
      </c>
      <c r="AL233" s="2200">
        <f>IF(ISERROR(AC233),"0", IF(AC233=0, "0", IF(AC233&gt;'Saisie données stocks'!$N$14, 'Saisie données stocks'!$N$14, AC233)))</f>
        <v>6</v>
      </c>
      <c r="AM233" s="2202">
        <f>IF(ISERROR(Q233),AA233,IF(Calculs!P311=0,AA176,(Paramétrage!$H$19+((AJ233+AK233+AL233)*(365/12)))))</f>
        <v>42126.847222222219</v>
      </c>
      <c r="AN233" s="2051"/>
      <c r="AO233" s="2198">
        <f>IF(ISERROR(AC233),"", IF(AC233=0, "", IF(AC233&gt;'Saisie données stocks'!$N$14, 'Saisie données stocks'!$N$14, AC233)))</f>
        <v>6</v>
      </c>
      <c r="AP233" s="2199">
        <f>IF(ISERROR(AC233),"", IF(AC233=0, "", IF(AC233&gt;'Calculs Péremption conso'!$CB56, 'Calculs Péremption conso'!$CB56-Paramétrage!$D$29, AD233)))</f>
        <v>3</v>
      </c>
      <c r="AQ233" s="2204">
        <f>IF(ISERROR(AC233),"", IF(AC233=0, "", IF(AC233&gt;'Calculs Péremption conso'!$CB56, Paramétrage!$D$29, AE233)))</f>
        <v>3</v>
      </c>
      <c r="AR233" s="2239" t="str">
        <f t="shared" si="56"/>
        <v/>
      </c>
      <c r="AS233" s="2201">
        <f>IF(ISERROR(AC233),"", IF(AC233=0, "", IF(AC233&gt;'Calculs Péremption conso'!$CB56, 'Calculs Péremption conso'!$BX56-Paramétrage!$D$29*(365/12), AG233)))</f>
        <v>42010.25</v>
      </c>
      <c r="AT233" s="2202" t="str">
        <f>IF(ISERROR(AC233),"", IF(AC233=0, "", IF(AC233&gt;'Calculs Péremption conso'!$CB56, CONCATENATE('TRAD-Calculs dispo Données FA'!$B$88, " - ", 'Calculs Péremption conso'!$BY56, "/", 'Calculs Péremption conso'!$BZ56, "/", 'Calculs Péremption conso'!$CA56), AH233)))</f>
        <v>DLU - 7/4/2015</v>
      </c>
      <c r="AU233" s="2051"/>
      <c r="AV233" s="2198">
        <f>(Calculs!Q311)/Calculs!L366</f>
        <v>35.540983606557376</v>
      </c>
      <c r="AW233" s="2199">
        <f>AV233-Paramétrage!D$29</f>
        <v>32.540983606557376</v>
      </c>
      <c r="AX233" s="2200">
        <f>IF(AV233&lt;Paramétrage!D$29, AV233, Paramétrage!D$29)</f>
        <v>3</v>
      </c>
      <c r="AY233" s="2201">
        <f>Paramétrage!H$19+AW233*(365/12)</f>
        <v>42908.788251366117</v>
      </c>
      <c r="AZ233" s="2202">
        <f>IF(AV233&lt;Paramétrage!D$29, Paramétrage!H$19+AX233*(365/12), Paramétrage!H$19+AV233*(365/12))</f>
        <v>43000.038251366117</v>
      </c>
      <c r="BA233" s="2051"/>
      <c r="BB233" s="2198">
        <f>IF(ISERROR(AV233),"", IF(AV233=0, "", IF(AV233&gt;'Calculs Péremption conso'!$CB56, 'Calculs Péremption conso'!$CB56, AV233)))</f>
        <v>6</v>
      </c>
      <c r="BC233" s="2199">
        <f>IF(ISERROR(AV233),"", IF(AV233=0, "", IF(AV233&gt;'Calculs Péremption conso'!$CB56, 'Calculs Péremption conso'!$CB56-Paramétrage!$D$29, AW233)))</f>
        <v>3</v>
      </c>
      <c r="BD233" s="2204">
        <f>IF(ISERROR(AV233),"", IF(AV233=0, "", IF(AV233&gt;'Calculs Péremption conso'!$CB56, Paramétrage!$D$29, AX233)))</f>
        <v>3</v>
      </c>
      <c r="BE233" s="2201">
        <f>IF(ISERROR(AV233),"", IF(AV233=0, "", IF(AV233&gt;'Calculs Péremption conso'!$CB56, 'Calculs Péremption conso'!$BX56-6*30, AY233)))</f>
        <v>41921.5</v>
      </c>
      <c r="BF233" s="2202" t="str">
        <f>IF(ISERROR(AV233),"", IF(AV233=0, "", IF(AV233&gt;'Calculs Péremption conso'!$CB56, CONCATENATE('TRAD-Calculs dispo Données FA'!$B$88, " - ", 'Calculs Péremption conso'!$BY56, "/", 'Calculs Péremption conso'!$BZ56, "/", 'Calculs Péremption conso'!$CA56), AZ233)))</f>
        <v>DLU - 7/4/2015</v>
      </c>
      <c r="BG233" s="2051"/>
      <c r="BH233" s="2198">
        <f t="shared" si="57"/>
        <v>35.540983606557376</v>
      </c>
      <c r="BI233" s="2199">
        <f>BH233-Paramétrage!D$29</f>
        <v>32.540983606557376</v>
      </c>
      <c r="BJ233" s="2200">
        <f>IF(BH233&lt;Paramétrage!D$29, BH233, Paramétrage!D$29)</f>
        <v>3</v>
      </c>
      <c r="BK233" s="2200">
        <f t="shared" si="58"/>
        <v>32.540983606557376</v>
      </c>
      <c r="BL233" s="2201">
        <f>Paramétrage!$H$19+BI233*30</f>
        <v>42895.229508196724</v>
      </c>
      <c r="BM233" s="2202">
        <f>IF(BH233&lt;Paramétrage!$D$29, Paramétrage!$H$19+BJ233*30, Paramétrage!$H$19+BH233*30)</f>
        <v>42985.229508196724</v>
      </c>
      <c r="BN233" s="2051"/>
      <c r="BO233" s="2198">
        <f>IF(ISERROR(BH233),"", IF(BH233=0, "", IF(BH233&gt;'Calculs Péremption conso'!$CB56, 'Calculs Péremption conso'!$CB56, BH233)))</f>
        <v>6</v>
      </c>
      <c r="BP233" s="2199">
        <f>IF(ISERROR(BH233),"", IF(BH233=0, "", IF(BH233&gt;'Calculs Péremption conso'!$CB56, 'Calculs Péremption conso'!$CB56-Paramétrage!$D$29, BI233)))</f>
        <v>3</v>
      </c>
      <c r="BQ233" s="2204">
        <f>IF(ISERROR(BH233),"", IF(BH233=0, "", IF(BH233&gt;'Calculs Péremption conso'!$CB56, Paramétrage!$D$29, BJ233)))</f>
        <v>3</v>
      </c>
      <c r="BR233" s="2239">
        <f t="shared" si="59"/>
        <v>32.540983606557376</v>
      </c>
      <c r="BS233" s="2201">
        <f>IF(ISERROR(BH233),"", IF(BH233=0, "", IF(BH233&gt;'Calculs Péremption conso'!$CB56, 'Calculs Péremption conso'!$BX56-Paramétrage!$D$29*(365/12), BL233)))</f>
        <v>42010.25</v>
      </c>
      <c r="BT233" s="2202" t="str">
        <f>IF(ISERROR(BH233),"", IF(BH233=0, "", IF(BH233&gt;'Calculs Péremption conso'!$CB56, CONCATENATE('TRAD-Calculs dispo Données FA'!$B$88, " - ", 'Calculs Péremption conso'!$BY56, "/", 'Calculs Péremption conso'!$BZ56, "/", 'Calculs Péremption conso'!$CA56), BM233)))</f>
        <v>DLU - 7/4/2015</v>
      </c>
      <c r="BV233" s="2064">
        <f>Calculs!$Q311</f>
        <v>2168</v>
      </c>
      <c r="BW233" s="2065">
        <f>Calculs!L366</f>
        <v>61</v>
      </c>
      <c r="BX233" s="2069">
        <f>Calculs!N366</f>
        <v>0</v>
      </c>
      <c r="BY233" s="2071" t="str">
        <f>IF(AND(BX233=0, BV233=0, BW233=0), 'TRAD-Calculs dispo Données FA'!$B$82, "")</f>
        <v/>
      </c>
      <c r="BZ233" s="2065" t="str">
        <f>IF(AND(BX233=0, BV233&gt;0, BW233=0), CONCATENATE(BV233, 'TRAD-Calculs dispo Données FA'!$B$80," =0"), "")</f>
        <v/>
      </c>
      <c r="CA233" s="2066" t="str">
        <f>IF(AND(BV233=0, OR(BW233&gt;=1, BX233&gt;=1)), 'TRAD-Calculs dispo Données FA'!$B$81, "")</f>
        <v/>
      </c>
    </row>
    <row r="234" spans="3:79" s="356" customFormat="1" x14ac:dyDescent="0.2">
      <c r="M234" s="355"/>
      <c r="N234" s="355"/>
      <c r="O234" s="355"/>
      <c r="P234"/>
      <c r="Q234" s="2142"/>
      <c r="R234" s="578"/>
      <c r="S234" s="578"/>
      <c r="T234" s="2143"/>
      <c r="U234" s="2143"/>
      <c r="V234" s="578"/>
      <c r="W234" s="578"/>
      <c r="X234" s="578"/>
      <c r="Y234" s="578"/>
      <c r="Z234" s="578"/>
      <c r="AA234" s="578"/>
      <c r="AB234" s="578"/>
      <c r="AC234" s="578"/>
      <c r="AD234" s="578"/>
      <c r="AE234" s="578"/>
      <c r="AF234" s="2143"/>
      <c r="AG234" s="2143"/>
      <c r="AH234" s="578"/>
      <c r="AI234" s="578"/>
      <c r="AJ234" s="578"/>
      <c r="AK234" s="578"/>
      <c r="AL234" s="578"/>
      <c r="AM234" s="2144"/>
      <c r="AN234" s="578"/>
      <c r="AO234" s="578"/>
      <c r="AP234" s="578"/>
      <c r="AQ234" s="578"/>
      <c r="AR234" s="578"/>
      <c r="AS234" s="2143"/>
      <c r="AT234" s="2143"/>
      <c r="AU234" s="578"/>
      <c r="AV234" s="578"/>
      <c r="AW234" s="578"/>
      <c r="AX234" s="578"/>
      <c r="AY234" s="578"/>
      <c r="AZ234" s="578"/>
      <c r="BA234" s="578"/>
      <c r="BB234" s="578"/>
      <c r="BC234" s="578"/>
      <c r="BD234" s="578"/>
      <c r="BE234" s="578"/>
      <c r="BF234" s="578"/>
      <c r="BG234" s="578"/>
      <c r="BH234" s="578"/>
      <c r="BI234" s="578"/>
      <c r="BJ234" s="578"/>
      <c r="BK234" s="578"/>
      <c r="BL234" s="578"/>
      <c r="BM234" s="578"/>
      <c r="BN234" s="578"/>
      <c r="BO234" s="578"/>
      <c r="BP234" s="578"/>
      <c r="BQ234" s="578"/>
      <c r="BR234" s="578"/>
      <c r="BS234" s="578"/>
      <c r="BT234" s="578"/>
    </row>
  </sheetData>
  <sheetProtection password="D0E7" sheet="1" objects="1" scenarios="1" selectLockedCells="1"/>
  <mergeCells count="29">
    <mergeCell ref="A2:L2"/>
    <mergeCell ref="Q67:AC67"/>
    <mergeCell ref="AE67:AQ67"/>
    <mergeCell ref="R11:S11"/>
    <mergeCell ref="X11:AC11"/>
    <mergeCell ref="Q10:AC10"/>
    <mergeCell ref="AE10:AQ10"/>
    <mergeCell ref="AF11:AG11"/>
    <mergeCell ref="AL11:AQ11"/>
    <mergeCell ref="S68:T68"/>
    <mergeCell ref="X68:AC68"/>
    <mergeCell ref="AF68:AG68"/>
    <mergeCell ref="AL68:AQ68"/>
    <mergeCell ref="Q124:AA124"/>
    <mergeCell ref="AC124:AO124"/>
    <mergeCell ref="BO182:BT182"/>
    <mergeCell ref="BH181:BT181"/>
    <mergeCell ref="AD125:AE125"/>
    <mergeCell ref="AJ125:AO125"/>
    <mergeCell ref="Q181:AA181"/>
    <mergeCell ref="AV181:BF181"/>
    <mergeCell ref="R125:S125"/>
    <mergeCell ref="W125:AA125"/>
    <mergeCell ref="R182:S182"/>
    <mergeCell ref="W182:AA182"/>
    <mergeCell ref="AO182:AT182"/>
    <mergeCell ref="AW182:AX182"/>
    <mergeCell ref="BB182:BF182"/>
    <mergeCell ref="AC181:AT181"/>
  </mergeCells>
  <conditionalFormatting sqref="N54:O54 N69:O69 N111:O111 N126:O126 N168:O168 N183:O183 N225:O225 N12:O12">
    <cfRule type="cellIs" dxfId="78" priority="62" stopIfTrue="1" operator="equal">
      <formula>"ND"</formula>
    </cfRule>
    <cfRule type="cellIs" dxfId="77" priority="63" operator="equal">
      <formula>"ATTENTION le détail ne correspond pas à votre stock total"</formula>
    </cfRule>
    <cfRule type="cellIs" dxfId="76" priority="64" operator="equal">
      <formula>"ATTENTION SURSTOCK et risque de péremption"</formula>
    </cfRule>
    <cfRule type="cellIs" dxfId="75" priority="65" operator="equal">
      <formula>"OK"</formula>
    </cfRule>
  </conditionalFormatting>
  <conditionalFormatting sqref="J4:K4">
    <cfRule type="cellIs" dxfId="74" priority="61" operator="equal">
      <formula>0</formula>
    </cfRule>
  </conditionalFormatting>
  <conditionalFormatting sqref="U13:V53">
    <cfRule type="expression" dxfId="73" priority="59" stopIfTrue="1">
      <formula>$E$4="Français"</formula>
    </cfRule>
    <cfRule type="expression" dxfId="72" priority="60" stopIfTrue="1">
      <formula>$E$4="Anglais"</formula>
    </cfRule>
  </conditionalFormatting>
  <conditionalFormatting sqref="AB13:AC53">
    <cfRule type="expression" dxfId="71" priority="57" stopIfTrue="1">
      <formula>$E$4="Français"</formula>
    </cfRule>
    <cfRule type="expression" dxfId="70" priority="58" stopIfTrue="1">
      <formula>$E$4="Anglais"</formula>
    </cfRule>
  </conditionalFormatting>
  <conditionalFormatting sqref="AI13:AJ53">
    <cfRule type="expression" dxfId="69" priority="55" stopIfTrue="1">
      <formula>$E$4="Français"</formula>
    </cfRule>
    <cfRule type="expression" dxfId="68" priority="56" stopIfTrue="1">
      <formula>$E$4="Anglais"</formula>
    </cfRule>
  </conditionalFormatting>
  <conditionalFormatting sqref="AP13:AQ53">
    <cfRule type="expression" dxfId="67" priority="53" stopIfTrue="1">
      <formula>$E$4="Français"</formula>
    </cfRule>
    <cfRule type="expression" dxfId="66" priority="54" stopIfTrue="1">
      <formula>$E$4="Anglais"</formula>
    </cfRule>
  </conditionalFormatting>
  <conditionalFormatting sqref="AB70:AC110">
    <cfRule type="expression" dxfId="65" priority="51" stopIfTrue="1">
      <formula>$E$4="Français"</formula>
    </cfRule>
    <cfRule type="expression" dxfId="64" priority="52" stopIfTrue="1">
      <formula>$E$4="Anglais"</formula>
    </cfRule>
  </conditionalFormatting>
  <conditionalFormatting sqref="AI70:AJ110">
    <cfRule type="expression" dxfId="63" priority="49" stopIfTrue="1">
      <formula>$E$4="Français"</formula>
    </cfRule>
    <cfRule type="expression" dxfId="62" priority="50" stopIfTrue="1">
      <formula>$E$4="Anglais"</formula>
    </cfRule>
  </conditionalFormatting>
  <conditionalFormatting sqref="AP70:AQ110">
    <cfRule type="expression" dxfId="61" priority="47" stopIfTrue="1">
      <formula>$E$4="Français"</formula>
    </cfRule>
    <cfRule type="expression" dxfId="60" priority="48" stopIfTrue="1">
      <formula>$E$4="Anglais"</formula>
    </cfRule>
  </conditionalFormatting>
  <conditionalFormatting sqref="AN127:AO167">
    <cfRule type="expression" dxfId="59" priority="45" stopIfTrue="1">
      <formula>$E$4="Français"</formula>
    </cfRule>
    <cfRule type="expression" dxfId="58" priority="46" stopIfTrue="1">
      <formula>$E$4="Anglais"</formula>
    </cfRule>
  </conditionalFormatting>
  <conditionalFormatting sqref="AG127:AH167">
    <cfRule type="expression" dxfId="57" priority="43" stopIfTrue="1">
      <formula>$E$4="Français"</formula>
    </cfRule>
    <cfRule type="expression" dxfId="56" priority="44" stopIfTrue="1">
      <formula>$E$4="Anglais"</formula>
    </cfRule>
  </conditionalFormatting>
  <conditionalFormatting sqref="Z127:AA167">
    <cfRule type="expression" dxfId="55" priority="41" stopIfTrue="1">
      <formula>$E$4="Français"</formula>
    </cfRule>
    <cfRule type="expression" dxfId="54" priority="42" stopIfTrue="1">
      <formula>$E$4="Anglais"</formula>
    </cfRule>
  </conditionalFormatting>
  <conditionalFormatting sqref="Z184:AA224">
    <cfRule type="expression" dxfId="53" priority="39" stopIfTrue="1">
      <formula>$E$4="Français"</formula>
    </cfRule>
    <cfRule type="expression" dxfId="52" priority="40" stopIfTrue="1">
      <formula>$E$4="Anglais"</formula>
    </cfRule>
  </conditionalFormatting>
  <conditionalFormatting sqref="AG184:AH224">
    <cfRule type="expression" dxfId="51" priority="37" stopIfTrue="1">
      <formula>$E$4="Français"</formula>
    </cfRule>
    <cfRule type="expression" dxfId="50" priority="38" stopIfTrue="1">
      <formula>$E$4="Anglais"</formula>
    </cfRule>
  </conditionalFormatting>
  <conditionalFormatting sqref="AS184:AT224">
    <cfRule type="expression" dxfId="49" priority="35" stopIfTrue="1">
      <formula>$E$4="Français"</formula>
    </cfRule>
    <cfRule type="expression" dxfId="48" priority="36" stopIfTrue="1">
      <formula>$E$4="Anglais"</formula>
    </cfRule>
  </conditionalFormatting>
  <conditionalFormatting sqref="AY184:AZ224">
    <cfRule type="expression" dxfId="47" priority="33" stopIfTrue="1">
      <formula>$E$4="Français"</formula>
    </cfRule>
    <cfRule type="expression" dxfId="46" priority="34" stopIfTrue="1">
      <formula>$E$4="Anglais"</formula>
    </cfRule>
  </conditionalFormatting>
  <conditionalFormatting sqref="BE184:BF224">
    <cfRule type="expression" dxfId="45" priority="31" stopIfTrue="1">
      <formula>$E$4="Français"</formula>
    </cfRule>
    <cfRule type="expression" dxfId="44" priority="32" stopIfTrue="1">
      <formula>$E$4="Anglais"</formula>
    </cfRule>
  </conditionalFormatting>
  <conditionalFormatting sqref="BL184:BM224">
    <cfRule type="expression" dxfId="43" priority="29" stopIfTrue="1">
      <formula>$E$4="Français"</formula>
    </cfRule>
    <cfRule type="expression" dxfId="42" priority="30" stopIfTrue="1">
      <formula>$E$4="Anglais"</formula>
    </cfRule>
  </conditionalFormatting>
  <conditionalFormatting sqref="BS184:BT224">
    <cfRule type="expression" dxfId="41" priority="27" stopIfTrue="1">
      <formula>$E$4="Français"</formula>
    </cfRule>
    <cfRule type="expression" dxfId="40" priority="28" stopIfTrue="1">
      <formula>$E$4="Anglais"</formula>
    </cfRule>
  </conditionalFormatting>
  <conditionalFormatting sqref="BL184:BM224">
    <cfRule type="expression" dxfId="39" priority="25" stopIfTrue="1">
      <formula>$E$4="Français"</formula>
    </cfRule>
    <cfRule type="expression" dxfId="38" priority="26" stopIfTrue="1">
      <formula>$E$4="Anglais"</formula>
    </cfRule>
  </conditionalFormatting>
  <conditionalFormatting sqref="T226:U233">
    <cfRule type="expression" dxfId="37" priority="23" stopIfTrue="1">
      <formula>$E$4="Français"</formula>
    </cfRule>
    <cfRule type="expression" dxfId="36" priority="24" stopIfTrue="1">
      <formula>$E$4="Anglais"</formula>
    </cfRule>
  </conditionalFormatting>
  <conditionalFormatting sqref="Z226:AA233">
    <cfRule type="expression" dxfId="35" priority="21" stopIfTrue="1">
      <formula>$E$4="Français"</formula>
    </cfRule>
    <cfRule type="expression" dxfId="34" priority="22" stopIfTrue="1">
      <formula>$E$4="Anglais"</formula>
    </cfRule>
  </conditionalFormatting>
  <conditionalFormatting sqref="AG226:AH233">
    <cfRule type="expression" dxfId="33" priority="19" stopIfTrue="1">
      <formula>$E$4="Français"</formula>
    </cfRule>
    <cfRule type="expression" dxfId="32" priority="20" stopIfTrue="1">
      <formula>$E$4="Anglais"</formula>
    </cfRule>
  </conditionalFormatting>
  <conditionalFormatting sqref="AS226:AT233">
    <cfRule type="expression" dxfId="31" priority="17" stopIfTrue="1">
      <formula>$E$4="Français"</formula>
    </cfRule>
    <cfRule type="expression" dxfId="30" priority="18" stopIfTrue="1">
      <formula>$E$4="Anglais"</formula>
    </cfRule>
  </conditionalFormatting>
  <conditionalFormatting sqref="AY226:AZ233">
    <cfRule type="expression" dxfId="29" priority="15" stopIfTrue="1">
      <formula>$E$4="Français"</formula>
    </cfRule>
    <cfRule type="expression" dxfId="28" priority="16" stopIfTrue="1">
      <formula>$E$4="Anglais"</formula>
    </cfRule>
  </conditionalFormatting>
  <conditionalFormatting sqref="BE226:BF233">
    <cfRule type="expression" dxfId="27" priority="13" stopIfTrue="1">
      <formula>$E$4="Français"</formula>
    </cfRule>
    <cfRule type="expression" dxfId="26" priority="14" stopIfTrue="1">
      <formula>$E$4="Anglais"</formula>
    </cfRule>
  </conditionalFormatting>
  <conditionalFormatting sqref="BL226:BM233">
    <cfRule type="expression" dxfId="25" priority="11" stopIfTrue="1">
      <formula>$E$4="Français"</formula>
    </cfRule>
    <cfRule type="expression" dxfId="24" priority="12" stopIfTrue="1">
      <formula>$E$4="Anglais"</formula>
    </cfRule>
  </conditionalFormatting>
  <conditionalFormatting sqref="BS226:BT233">
    <cfRule type="expression" dxfId="23" priority="9" stopIfTrue="1">
      <formula>$E$4="Français"</formula>
    </cfRule>
    <cfRule type="expression" dxfId="22" priority="10" stopIfTrue="1">
      <formula>$E$4="Anglais"</formula>
    </cfRule>
  </conditionalFormatting>
  <conditionalFormatting sqref="AI226:AI233">
    <cfRule type="expression" dxfId="21" priority="7" stopIfTrue="1">
      <formula>$E$4="Français"</formula>
    </cfRule>
    <cfRule type="expression" dxfId="20" priority="8" stopIfTrue="1">
      <formula>$E$4="Anglais"</formula>
    </cfRule>
  </conditionalFormatting>
  <conditionalFormatting sqref="AM226:AM233">
    <cfRule type="expression" dxfId="19" priority="5" stopIfTrue="1">
      <formula>$E$4="Français"</formula>
    </cfRule>
    <cfRule type="expression" dxfId="18" priority="6" stopIfTrue="1">
      <formula>$E$4="Anglais"</formula>
    </cfRule>
  </conditionalFormatting>
  <conditionalFormatting sqref="AI184:AI224">
    <cfRule type="expression" dxfId="17" priority="3" stopIfTrue="1">
      <formula>$E$4="Français"</formula>
    </cfRule>
    <cfRule type="expression" dxfId="16" priority="4" stopIfTrue="1">
      <formula>$E$4="Anglais"</formula>
    </cfRule>
  </conditionalFormatting>
  <conditionalFormatting sqref="AM184:AM224">
    <cfRule type="expression" dxfId="15" priority="1" stopIfTrue="1">
      <formula>$E$4="Français"</formula>
    </cfRule>
    <cfRule type="expression" dxfId="14" priority="2" stopIfTrue="1">
      <formula>$E$4="Anglais"</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993366"/>
  </sheetPr>
  <dimension ref="A2:BM289"/>
  <sheetViews>
    <sheetView showGridLines="0" zoomScale="70" zoomScaleNormal="70" workbookViewId="0">
      <selection sqref="A1:XFD1048576"/>
    </sheetView>
  </sheetViews>
  <sheetFormatPr defaultColWidth="11.42578125" defaultRowHeight="12.75" x14ac:dyDescent="0.2"/>
  <cols>
    <col min="1" max="1" width="6.28515625" style="356" customWidth="1"/>
    <col min="2" max="2" width="6.42578125" style="356" customWidth="1"/>
    <col min="3" max="4" width="11.42578125" style="356"/>
    <col min="5" max="5" width="16.42578125" style="356" bestFit="1" customWidth="1"/>
    <col min="6" max="8" width="11.42578125" style="356"/>
    <col min="9" max="9" width="29" style="356" customWidth="1"/>
    <col min="10" max="14" width="11.42578125" style="356"/>
    <col min="15" max="15" width="13.7109375" style="355" bestFit="1" customWidth="1"/>
    <col min="16" max="16" width="14.28515625" style="356" bestFit="1" customWidth="1"/>
    <col min="17" max="17" width="13.7109375" style="356" bestFit="1" customWidth="1"/>
    <col min="18" max="19" width="13.7109375" style="357" bestFit="1" customWidth="1"/>
    <col min="20" max="20" width="3" style="356" customWidth="1"/>
    <col min="21" max="23" width="11.42578125" style="356"/>
    <col min="24" max="25" width="12.28515625" style="356" bestFit="1" customWidth="1"/>
    <col min="26" max="26" width="3.28515625" style="356" customWidth="1"/>
    <col min="27" max="29" width="11.42578125" style="356"/>
    <col min="30" max="31" width="13.7109375" style="357" bestFit="1" customWidth="1"/>
    <col min="32" max="32" width="15.7109375" customWidth="1"/>
    <col min="33" max="35" width="11.42578125" style="356"/>
    <col min="36" max="36" width="12.28515625" style="356" bestFit="1" customWidth="1"/>
    <col min="37" max="37" width="16.85546875" style="356" bestFit="1" customWidth="1"/>
    <col min="38" max="38" width="12.7109375" style="356" customWidth="1"/>
    <col min="39" max="39" width="15.85546875" style="356" bestFit="1" customWidth="1"/>
    <col min="40" max="43" width="11.42578125" style="356"/>
    <col min="44" max="44" width="15.7109375" style="356" bestFit="1" customWidth="1"/>
    <col min="45" max="45" width="12.28515625" style="356" bestFit="1" customWidth="1"/>
    <col min="46" max="49" width="11.42578125" style="356"/>
    <col min="50" max="50" width="15.7109375" style="356" bestFit="1" customWidth="1"/>
    <col min="51" max="51" width="16.85546875" style="356" bestFit="1" customWidth="1"/>
    <col min="52" max="56" width="11.42578125" style="356"/>
    <col min="57" max="58" width="12.7109375" style="356" customWidth="1"/>
    <col min="59" max="16384" width="11.42578125" style="356"/>
  </cols>
  <sheetData>
    <row r="2" spans="1:37" ht="15" x14ac:dyDescent="0.2">
      <c r="A2" s="3290" t="str">
        <f>'TRAD-Calculs dispo confrontatio'!B3</f>
        <v>Résultats - Périodes de disponibilité des produits - Durées &amp; dates</v>
      </c>
      <c r="B2" s="3290"/>
      <c r="C2" s="3290"/>
      <c r="D2" s="3290"/>
      <c r="E2" s="3290"/>
      <c r="F2" s="3290"/>
      <c r="G2" s="3290"/>
      <c r="H2" s="3290"/>
      <c r="I2" s="3290"/>
      <c r="J2" s="3290"/>
      <c r="K2" s="3290"/>
      <c r="L2" s="3290"/>
      <c r="M2" s="3290"/>
      <c r="N2" s="3290"/>
    </row>
    <row r="4" spans="1:37" s="358" customFormat="1" ht="14.25" x14ac:dyDescent="0.2">
      <c r="B4" s="359" t="str">
        <f>'TRAD-Calculs dispo confrontatio'!B4</f>
        <v>A. Avec les stocks actuellement disponibles (niveau central &amp; périphériques)</v>
      </c>
      <c r="C4" s="359"/>
      <c r="D4" s="359"/>
      <c r="E4" s="359"/>
      <c r="F4" s="359"/>
      <c r="G4" s="359"/>
      <c r="H4" s="359"/>
      <c r="I4" s="359"/>
      <c r="J4" s="359"/>
      <c r="K4" s="359"/>
      <c r="L4" s="359"/>
      <c r="M4" s="359"/>
      <c r="N4" s="359"/>
      <c r="O4" s="360"/>
      <c r="R4" s="361"/>
      <c r="S4" s="361"/>
      <c r="AD4" s="361"/>
      <c r="AE4" s="361"/>
      <c r="AF4"/>
    </row>
    <row r="5" spans="1:37" ht="13.5" thickBot="1" x14ac:dyDescent="0.25"/>
    <row r="6" spans="1:37" ht="13.5" thickBot="1" x14ac:dyDescent="0.25">
      <c r="O6" s="3286" t="str">
        <f>'TRAD-Calculs dispo confrontatio'!B20</f>
        <v>CALCULS à partir des données de FA</v>
      </c>
      <c r="P6" s="3287"/>
      <c r="Q6" s="3287"/>
      <c r="R6" s="3287"/>
      <c r="S6" s="3287"/>
      <c r="T6" s="3287"/>
      <c r="U6" s="3287"/>
      <c r="V6" s="3287"/>
      <c r="W6" s="3287"/>
      <c r="X6" s="3287"/>
      <c r="Y6" s="3288"/>
      <c r="AA6" s="3286" t="str">
        <f>'TRAD-Calculs dispo confrontatio'!B28</f>
        <v>CALCULS à partir des données de Conso/Distri</v>
      </c>
      <c r="AB6" s="3287"/>
      <c r="AC6" s="3287"/>
      <c r="AD6" s="3287"/>
      <c r="AE6" s="3287"/>
      <c r="AF6" s="3287"/>
      <c r="AG6" s="3287"/>
      <c r="AH6" s="3287"/>
      <c r="AI6" s="3287"/>
      <c r="AJ6" s="3287"/>
      <c r="AK6" s="3288"/>
    </row>
    <row r="7" spans="1:37" ht="27" customHeight="1" thickBot="1" x14ac:dyDescent="0.25">
      <c r="P7" s="3289"/>
      <c r="Q7" s="3289"/>
      <c r="R7" s="431"/>
      <c r="U7" s="3291" t="str">
        <f>'TRAD-Calculs dispo confrontatio'!B21</f>
        <v>Pour représentation graphique avec données FA</v>
      </c>
      <c r="V7" s="3289"/>
      <c r="W7" s="3289"/>
      <c r="X7" s="3289"/>
      <c r="Y7" s="3292"/>
      <c r="AD7" s="431"/>
      <c r="AG7" s="3283" t="str">
        <f>'TRAD-Calculs dispo confrontatio'!B21</f>
        <v>Pour représentation graphique avec données FA</v>
      </c>
      <c r="AH7" s="3284"/>
      <c r="AI7" s="3284"/>
      <c r="AJ7" s="3284"/>
      <c r="AK7" s="3285"/>
    </row>
    <row r="8" spans="1:37" s="358" customFormat="1" ht="64.5" thickBot="1" x14ac:dyDescent="0.25">
      <c r="C8" s="362"/>
      <c r="D8" s="363"/>
      <c r="E8" s="364" t="str">
        <f>'TRAD-Calculs dispo confrontatio'!B5</f>
        <v>Composition</v>
      </c>
      <c r="F8" s="365" t="str">
        <f>'TRAD-Calculs dispo confrontatio'!B6</f>
        <v>Forme galénique</v>
      </c>
      <c r="G8" s="365" t="str">
        <f>'TRAD-Calculs dispo confrontatio'!B7</f>
        <v>Dosage</v>
      </c>
      <c r="H8" s="365" t="str">
        <f>'TRAD-Calculs dispo confrontatio'!B8</f>
        <v>Nom de spécialité</v>
      </c>
      <c r="I8" s="365" t="str">
        <f>'TRAD-Calculs dispo confrontatio'!B9</f>
        <v>Nom pour représentation graphique</v>
      </c>
      <c r="J8" s="365" t="str">
        <f>'TRAD-Calculs dispo confrontatio'!B10</f>
        <v>Nom de générique possible</v>
      </c>
      <c r="K8" s="365" t="str">
        <f>'TRAD-Calculs dispo confrontatio'!B11</f>
        <v>Nb de prise / jour</v>
      </c>
      <c r="L8" s="365" t="str">
        <f>'TRAD-Calculs dispo confrontatio'!B12</f>
        <v>Nb de prise / mois</v>
      </c>
      <c r="M8" s="365" t="str">
        <f>'TRAD-Calculs dispo confrontatio'!B13</f>
        <v>Conditionnement</v>
      </c>
      <c r="N8" s="327" t="str">
        <f>'TRAD-Calculs dispo confrontatio'!B14</f>
        <v>Nb de boites nécessaire pour 1 mois pour 1 patient</v>
      </c>
      <c r="O8" s="347" t="s">
        <v>290</v>
      </c>
      <c r="P8" s="347" t="str">
        <f>'TRAD-Calculs dispo confrontatio'!B16</f>
        <v>Nb mois dispo hors SS - Données FA</v>
      </c>
      <c r="Q8" s="327" t="str">
        <f>'TRAD-Calculs dispo confrontatio'!B17</f>
        <v>Nb mois dispo SS - Données FA</v>
      </c>
      <c r="R8" s="348" t="str">
        <f>'TRAD-Calculs dispo confrontatio'!B18</f>
        <v>Date d'entrée en stock de sécurité</v>
      </c>
      <c r="S8" s="349" t="str">
        <f>'TRAD-Calculs dispo confrontatio'!B19</f>
        <v>Date de rupture attendue</v>
      </c>
      <c r="U8" s="347" t="str">
        <f>'TRAD-Calculs dispo confrontatio'!B15</f>
        <v>Nb mois dispo - Données FA</v>
      </c>
      <c r="V8" s="347" t="str">
        <f>'TRAD-Calculs dispo confrontatio'!B16</f>
        <v>Nb mois dispo hors SS - Données FA</v>
      </c>
      <c r="W8" s="327" t="str">
        <f>'TRAD-Calculs dispo confrontatio'!B17</f>
        <v>Nb mois dispo SS - Données FA</v>
      </c>
      <c r="X8" s="348" t="str">
        <f>'TRAD-Calculs dispo confrontatio'!B18</f>
        <v>Date d'entrée en stock de sécurité</v>
      </c>
      <c r="Y8" s="349" t="str">
        <f>'TRAD-Calculs dispo confrontatio'!B19</f>
        <v>Date de rupture attendue</v>
      </c>
      <c r="AA8" s="347" t="str">
        <f>'TRAD-Calculs dispo confrontatio'!B24</f>
        <v>Nb mois dispo - Données Conso/Distri</v>
      </c>
      <c r="AB8" s="347" t="str">
        <f>'TRAD-Calculs dispo confrontatio'!B25</f>
        <v>Nb mois dispo hors SS - Données Conso/Distri</v>
      </c>
      <c r="AC8" s="327" t="str">
        <f>'TRAD-Calculs dispo confrontatio'!B26</f>
        <v>Nb mois dispo SS - Données Conso/Distri</v>
      </c>
      <c r="AD8" s="348" t="str">
        <f>'TRAD-Calculs dispo confrontatio'!B18</f>
        <v>Date d'entrée en stock de sécurité</v>
      </c>
      <c r="AE8" s="349" t="str">
        <f>'TRAD-Calculs dispo confrontatio'!B19</f>
        <v>Date de rupture attendue</v>
      </c>
      <c r="AF8"/>
      <c r="AG8" s="347" t="str">
        <f>'TRAD-Calculs dispo confrontatio'!B24</f>
        <v>Nb mois dispo - Données Conso/Distri</v>
      </c>
      <c r="AH8" s="347" t="str">
        <f>'TRAD-Calculs dispo confrontatio'!B25</f>
        <v>Nb mois dispo hors SS - Données Conso/Distri</v>
      </c>
      <c r="AI8" s="327" t="str">
        <f>'TRAD-Calculs dispo confrontatio'!B26</f>
        <v>Nb mois dispo SS - Données Conso/Distri</v>
      </c>
      <c r="AJ8" s="348" t="str">
        <f>'TRAD-Calculs dispo confrontatio'!B18</f>
        <v>Date d'entrée en stock de sécurité</v>
      </c>
      <c r="AK8" s="349" t="str">
        <f>'TRAD-Calculs dispo confrontatio'!B19</f>
        <v>Date de rupture attendue</v>
      </c>
    </row>
    <row r="9" spans="1:37" s="358" customFormat="1" ht="25.5" x14ac:dyDescent="0.2">
      <c r="C9" s="366" t="str">
        <f>'TRAD-Calculs dispo confrontatio'!B40</f>
        <v>Comprimés</v>
      </c>
      <c r="D9" s="367" t="s">
        <v>15</v>
      </c>
      <c r="E9" s="368" t="s">
        <v>1</v>
      </c>
      <c r="F9" s="369" t="str">
        <f>'TRAD-Calculs dispo confrontatio'!B42</f>
        <v>Cp</v>
      </c>
      <c r="G9" s="369" t="s">
        <v>17</v>
      </c>
      <c r="H9" s="370"/>
      <c r="I9" s="370" t="str">
        <f t="shared" ref="I9:I71" si="0">CONCATENATE(E9, " - ", G9, " - Bte/", M9)</f>
        <v>AZT+3TC+NVP - 300/150/200 mg - Bte/60</v>
      </c>
      <c r="J9" s="371" t="s">
        <v>99</v>
      </c>
      <c r="K9" s="372">
        <v>2</v>
      </c>
      <c r="L9" s="372">
        <f>K9*30</f>
        <v>60</v>
      </c>
      <c r="M9" s="113">
        <v>60</v>
      </c>
      <c r="N9" s="373">
        <f t="shared" ref="N9:N33" si="1">L9/M9</f>
        <v>1</v>
      </c>
      <c r="O9" s="230" t="e">
        <f>'Calculs dispo Données FA'!Q125</f>
        <v>#DIV/0!</v>
      </c>
      <c r="P9" s="235" t="e">
        <f>'Calculs dispo Données FA'!R125</f>
        <v>#DIV/0!</v>
      </c>
      <c r="Q9" s="240" t="e">
        <f>'Calculs dispo Données FA'!S125</f>
        <v>#DIV/0!</v>
      </c>
      <c r="R9" s="245" t="e">
        <f>'Calculs dispo Données FA'!T125</f>
        <v>#DIV/0!</v>
      </c>
      <c r="S9" s="246" t="e">
        <f>'Calculs dispo Données FA'!U125</f>
        <v>#DIV/0!</v>
      </c>
      <c r="U9" s="230" t="str">
        <f>'Calculs dispo Données FA'!W125</f>
        <v/>
      </c>
      <c r="V9" s="235" t="str">
        <f>'Calculs dispo Données FA'!X125</f>
        <v/>
      </c>
      <c r="W9" s="240" t="str">
        <f>'Calculs dispo Données FA'!Y125</f>
        <v/>
      </c>
      <c r="X9" s="245" t="str">
        <f>'Calculs dispo Données FA'!Z125</f>
        <v/>
      </c>
      <c r="Y9" s="246" t="str">
        <f>'Calculs dispo Données FA'!AA125</f>
        <v>71892 B &amp; conso =0</v>
      </c>
      <c r="AA9" s="230"/>
      <c r="AB9" s="559"/>
      <c r="AC9" s="560"/>
      <c r="AD9" s="561"/>
      <c r="AE9" s="562"/>
      <c r="AF9"/>
      <c r="AG9" s="230"/>
      <c r="AH9" s="559"/>
      <c r="AI9" s="560"/>
      <c r="AJ9" s="561"/>
      <c r="AK9" s="562"/>
    </row>
    <row r="10" spans="1:37" s="358" customFormat="1" x14ac:dyDescent="0.2">
      <c r="C10" s="374"/>
      <c r="D10" s="375"/>
      <c r="E10" s="376"/>
      <c r="F10" s="377"/>
      <c r="G10" s="377"/>
      <c r="H10" s="378"/>
      <c r="I10" s="378"/>
      <c r="J10" s="379"/>
      <c r="K10" s="380"/>
      <c r="L10" s="380"/>
      <c r="M10" s="114"/>
      <c r="N10" s="381"/>
      <c r="O10" s="231"/>
      <c r="P10" s="555"/>
      <c r="Q10" s="556"/>
      <c r="R10" s="557"/>
      <c r="S10" s="558"/>
      <c r="U10" s="231"/>
      <c r="V10" s="555"/>
      <c r="W10" s="556"/>
      <c r="X10" s="557"/>
      <c r="Y10" s="558"/>
      <c r="AA10" s="231">
        <f>'Calculs dispo Données conso'!Q127</f>
        <v>11.343010413379615</v>
      </c>
      <c r="AB10" s="236">
        <f>'Calculs dispo Données conso'!R127</f>
        <v>8.3430104133796146</v>
      </c>
      <c r="AC10" s="241">
        <f>'Calculs dispo Données conso'!S127</f>
        <v>3</v>
      </c>
      <c r="AD10" s="247">
        <f>'Calculs dispo Données conso'!T127</f>
        <v>42172.766566740298</v>
      </c>
      <c r="AE10" s="248">
        <f>'Calculs dispo Données conso'!U127</f>
        <v>42264.016566740298</v>
      </c>
      <c r="AF10"/>
      <c r="AG10" s="231">
        <f>'Calculs dispo Données conso'!W127</f>
        <v>11.343010413379615</v>
      </c>
      <c r="AH10" s="236">
        <f>'Calculs dispo Données conso'!X127</f>
        <v>8.3430104133796146</v>
      </c>
      <c r="AI10" s="241">
        <f>'Calculs dispo Données conso'!Y127</f>
        <v>3</v>
      </c>
      <c r="AJ10" s="247">
        <f>'Calculs dispo Données conso'!Z127</f>
        <v>42172.766566740298</v>
      </c>
      <c r="AK10" s="248">
        <f>'Calculs dispo Données conso'!AA127</f>
        <v>42264.016566740298</v>
      </c>
    </row>
    <row r="11" spans="1:37" s="358" customFormat="1" ht="51" x14ac:dyDescent="0.2">
      <c r="C11" s="374"/>
      <c r="D11" s="375"/>
      <c r="E11" s="501" t="s">
        <v>1</v>
      </c>
      <c r="F11" s="502" t="str">
        <f>'TRAD-Calculs dispo confrontatio'!B42</f>
        <v>Cp</v>
      </c>
      <c r="G11" s="502" t="s">
        <v>258</v>
      </c>
      <c r="H11" s="503"/>
      <c r="I11" s="504" t="str">
        <f t="shared" si="0"/>
        <v>AZT+3TC+NVP - 60/30/50 mg - Bte/60</v>
      </c>
      <c r="J11" s="504" t="s">
        <v>259</v>
      </c>
      <c r="K11" s="505">
        <v>2</v>
      </c>
      <c r="L11" s="505">
        <f>K11*30</f>
        <v>60</v>
      </c>
      <c r="M11" s="114">
        <v>60</v>
      </c>
      <c r="N11" s="381">
        <f t="shared" si="1"/>
        <v>1</v>
      </c>
      <c r="O11" s="231" t="e">
        <f>'Calculs dispo Données FA'!Q126</f>
        <v>#DIV/0!</v>
      </c>
      <c r="P11" s="236" t="e">
        <f>'Calculs dispo Données FA'!R126</f>
        <v>#DIV/0!</v>
      </c>
      <c r="Q11" s="241" t="e">
        <f>'Calculs dispo Données FA'!S126</f>
        <v>#DIV/0!</v>
      </c>
      <c r="R11" s="247" t="e">
        <f>'Calculs dispo Données FA'!T126</f>
        <v>#DIV/0!</v>
      </c>
      <c r="S11" s="248" t="e">
        <f>'Calculs dispo Données FA'!U126</f>
        <v>#DIV/0!</v>
      </c>
      <c r="U11" s="231" t="str">
        <f>'Calculs dispo Données FA'!W126</f>
        <v/>
      </c>
      <c r="V11" s="236" t="str">
        <f>'Calculs dispo Données FA'!X126</f>
        <v/>
      </c>
      <c r="W11" s="241" t="str">
        <f>'Calculs dispo Données FA'!Y126</f>
        <v/>
      </c>
      <c r="X11" s="247" t="str">
        <f>'Calculs dispo Données FA'!Z126</f>
        <v/>
      </c>
      <c r="Y11" s="248" t="str">
        <f>'Calculs dispo Données FA'!AA126</f>
        <v>1522 B &amp; conso =0</v>
      </c>
      <c r="AA11" s="231"/>
      <c r="AB11" s="555"/>
      <c r="AC11" s="556"/>
      <c r="AD11" s="557"/>
      <c r="AE11" s="558"/>
      <c r="AF11"/>
      <c r="AG11" s="231"/>
      <c r="AH11" s="555"/>
      <c r="AI11" s="556"/>
      <c r="AJ11" s="557"/>
      <c r="AK11" s="558"/>
    </row>
    <row r="12" spans="1:37" s="358" customFormat="1" x14ac:dyDescent="0.2">
      <c r="C12" s="374"/>
      <c r="D12" s="375"/>
      <c r="E12" s="501"/>
      <c r="F12" s="502"/>
      <c r="G12" s="502"/>
      <c r="H12" s="503"/>
      <c r="I12" s="504"/>
      <c r="J12" s="504"/>
      <c r="K12" s="505"/>
      <c r="L12" s="505"/>
      <c r="M12" s="114"/>
      <c r="N12" s="381"/>
      <c r="O12" s="231"/>
      <c r="P12" s="555"/>
      <c r="Q12" s="556"/>
      <c r="R12" s="557"/>
      <c r="S12" s="558"/>
      <c r="U12" s="231"/>
      <c r="V12" s="555"/>
      <c r="W12" s="556"/>
      <c r="X12" s="557"/>
      <c r="Y12" s="558"/>
      <c r="AA12" s="231">
        <f>'Calculs dispo Données conso'!Q128</f>
        <v>2.7875457875457874</v>
      </c>
      <c r="AB12" s="236">
        <f>'Calculs dispo Données conso'!R128</f>
        <v>-0.21245421245421259</v>
      </c>
      <c r="AC12" s="241">
        <f>'Calculs dispo Données conso'!S128</f>
        <v>2.7875457875457874</v>
      </c>
      <c r="AD12" s="247">
        <f>'Calculs dispo Données conso'!T128</f>
        <v>41912.53785103785</v>
      </c>
      <c r="AE12" s="248">
        <f>'Calculs dispo Données conso'!U128</f>
        <v>42003.78785103785</v>
      </c>
      <c r="AF12"/>
      <c r="AG12" s="231">
        <f>'Calculs dispo Données conso'!W128</f>
        <v>2.7875457875457874</v>
      </c>
      <c r="AH12" s="236">
        <f>'Calculs dispo Données conso'!X128</f>
        <v>-0.21245421245421259</v>
      </c>
      <c r="AI12" s="241">
        <f>'Calculs dispo Données conso'!Y128</f>
        <v>2.7875457875457874</v>
      </c>
      <c r="AJ12" s="247">
        <f>'Calculs dispo Données conso'!Z128</f>
        <v>41912.53785103785</v>
      </c>
      <c r="AK12" s="248">
        <f>'Calculs dispo Données conso'!AA128</f>
        <v>42003.78785103785</v>
      </c>
    </row>
    <row r="13" spans="1:37" s="358" customFormat="1" ht="25.5" x14ac:dyDescent="0.2">
      <c r="C13" s="374"/>
      <c r="D13" s="375"/>
      <c r="E13" s="376" t="s">
        <v>3</v>
      </c>
      <c r="F13" s="377" t="str">
        <f>'TRAD-Calculs dispo confrontatio'!B42</f>
        <v>Cp</v>
      </c>
      <c r="G13" s="377" t="s">
        <v>137</v>
      </c>
      <c r="H13" s="378" t="s">
        <v>138</v>
      </c>
      <c r="I13" s="378" t="str">
        <f t="shared" si="0"/>
        <v>AZT+3TC+ABC - 300/150/300 mg - Bte/60</v>
      </c>
      <c r="J13" s="379"/>
      <c r="K13" s="380">
        <v>2</v>
      </c>
      <c r="L13" s="380">
        <f t="shared" ref="L13:L73" si="2">K13*30</f>
        <v>60</v>
      </c>
      <c r="M13" s="114">
        <v>60</v>
      </c>
      <c r="N13" s="381">
        <f t="shared" si="1"/>
        <v>1</v>
      </c>
      <c r="O13" s="231" t="e">
        <f>'Calculs dispo Données FA'!Q127</f>
        <v>#DIV/0!</v>
      </c>
      <c r="P13" s="236" t="e">
        <f>'Calculs dispo Données FA'!R127</f>
        <v>#DIV/0!</v>
      </c>
      <c r="Q13" s="241" t="e">
        <f>'Calculs dispo Données FA'!S127</f>
        <v>#DIV/0!</v>
      </c>
      <c r="R13" s="247" t="e">
        <f>'Calculs dispo Données FA'!T127</f>
        <v>#DIV/0!</v>
      </c>
      <c r="S13" s="248" t="e">
        <f>'Calculs dispo Données FA'!U127</f>
        <v>#DIV/0!</v>
      </c>
      <c r="U13" s="231" t="str">
        <f>'Calculs dispo Données FA'!W127</f>
        <v/>
      </c>
      <c r="V13" s="236" t="str">
        <f>'Calculs dispo Données FA'!X127</f>
        <v/>
      </c>
      <c r="W13" s="241" t="str">
        <f>'Calculs dispo Données FA'!Y127</f>
        <v/>
      </c>
      <c r="X13" s="247" t="str">
        <f>'Calculs dispo Données FA'!Z127</f>
        <v/>
      </c>
      <c r="Y13" s="248" t="str">
        <f>'Calculs dispo Données FA'!AA127</f>
        <v>666 B &amp; conso =0</v>
      </c>
      <c r="AA13" s="231"/>
      <c r="AB13" s="555"/>
      <c r="AC13" s="556"/>
      <c r="AD13" s="557"/>
      <c r="AE13" s="558"/>
      <c r="AF13"/>
      <c r="AG13" s="231"/>
      <c r="AH13" s="555"/>
      <c r="AI13" s="556"/>
      <c r="AJ13" s="557"/>
      <c r="AK13" s="558"/>
    </row>
    <row r="14" spans="1:37" s="358" customFormat="1" x14ac:dyDescent="0.2">
      <c r="C14" s="374"/>
      <c r="D14" s="375"/>
      <c r="E14" s="376"/>
      <c r="F14" s="377"/>
      <c r="G14" s="377"/>
      <c r="H14" s="378"/>
      <c r="I14" s="378"/>
      <c r="J14" s="379"/>
      <c r="K14" s="380"/>
      <c r="L14" s="380"/>
      <c r="M14" s="114"/>
      <c r="N14" s="381"/>
      <c r="O14" s="231"/>
      <c r="P14" s="555"/>
      <c r="Q14" s="556"/>
      <c r="R14" s="557"/>
      <c r="S14" s="558"/>
      <c r="U14" s="231"/>
      <c r="V14" s="555"/>
      <c r="W14" s="556"/>
      <c r="X14" s="557"/>
      <c r="Y14" s="558"/>
      <c r="AA14" s="231">
        <f>'Calculs dispo Données conso'!Q129</f>
        <v>8.7780821917808218</v>
      </c>
      <c r="AB14" s="236">
        <f>'Calculs dispo Données conso'!R129</f>
        <v>5.7780821917808218</v>
      </c>
      <c r="AC14" s="241">
        <f>'Calculs dispo Données conso'!S129</f>
        <v>3</v>
      </c>
      <c r="AD14" s="247">
        <f>'Calculs dispo Données conso'!T129</f>
        <v>42094.75</v>
      </c>
      <c r="AE14" s="248">
        <f>'Calculs dispo Données conso'!U129</f>
        <v>42186</v>
      </c>
      <c r="AF14"/>
      <c r="AG14" s="231">
        <f>'Calculs dispo Données conso'!W129</f>
        <v>8.7780821917808218</v>
      </c>
      <c r="AH14" s="236">
        <f>'Calculs dispo Données conso'!X129</f>
        <v>5.7780821917808218</v>
      </c>
      <c r="AI14" s="241">
        <f>'Calculs dispo Données conso'!Y129</f>
        <v>3</v>
      </c>
      <c r="AJ14" s="247">
        <f>'Calculs dispo Données conso'!Z129</f>
        <v>42094.75</v>
      </c>
      <c r="AK14" s="248" t="str">
        <f>'Calculs dispo Données conso'!AA129</f>
        <v>DLU - 1/7/2015</v>
      </c>
    </row>
    <row r="15" spans="1:37" s="358" customFormat="1" ht="51" x14ac:dyDescent="0.2">
      <c r="C15" s="374"/>
      <c r="D15" s="375"/>
      <c r="E15" s="376" t="s">
        <v>18</v>
      </c>
      <c r="F15" s="377" t="str">
        <f>'TRAD-Calculs dispo confrontatio'!B42</f>
        <v>Cp</v>
      </c>
      <c r="G15" s="377" t="s">
        <v>19</v>
      </c>
      <c r="H15" s="378" t="s">
        <v>100</v>
      </c>
      <c r="I15" s="378" t="str">
        <f t="shared" si="0"/>
        <v>AZT+3TC - 300/150 mg - Bte/60</v>
      </c>
      <c r="J15" s="379" t="s">
        <v>101</v>
      </c>
      <c r="K15" s="380">
        <v>2</v>
      </c>
      <c r="L15" s="380">
        <f t="shared" si="2"/>
        <v>60</v>
      </c>
      <c r="M15" s="114">
        <v>60</v>
      </c>
      <c r="N15" s="381">
        <f t="shared" si="1"/>
        <v>1</v>
      </c>
      <c r="O15" s="231" t="e">
        <f>'Calculs dispo Données FA'!Q128</f>
        <v>#DIV/0!</v>
      </c>
      <c r="P15" s="236" t="e">
        <f>'Calculs dispo Données FA'!R128</f>
        <v>#DIV/0!</v>
      </c>
      <c r="Q15" s="241" t="e">
        <f>'Calculs dispo Données FA'!S128</f>
        <v>#DIV/0!</v>
      </c>
      <c r="R15" s="247" t="e">
        <f>'Calculs dispo Données FA'!T128</f>
        <v>#DIV/0!</v>
      </c>
      <c r="S15" s="248" t="e">
        <f>'Calculs dispo Données FA'!U128</f>
        <v>#DIV/0!</v>
      </c>
      <c r="U15" s="231" t="str">
        <f>'Calculs dispo Données FA'!W128</f>
        <v/>
      </c>
      <c r="V15" s="236" t="str">
        <f>'Calculs dispo Données FA'!X128</f>
        <v/>
      </c>
      <c r="W15" s="241" t="str">
        <f>'Calculs dispo Données FA'!Y128</f>
        <v/>
      </c>
      <c r="X15" s="247" t="str">
        <f>'Calculs dispo Données FA'!Z128</f>
        <v/>
      </c>
      <c r="Y15" s="248" t="str">
        <f>'Calculs dispo Données FA'!AA128</f>
        <v>12350 B &amp; conso =0</v>
      </c>
      <c r="AA15" s="231"/>
      <c r="AB15" s="555"/>
      <c r="AC15" s="556"/>
      <c r="AD15" s="557"/>
      <c r="AE15" s="558"/>
      <c r="AF15"/>
      <c r="AG15" s="231"/>
      <c r="AH15" s="555"/>
      <c r="AI15" s="556"/>
      <c r="AJ15" s="557"/>
      <c r="AK15" s="558"/>
    </row>
    <row r="16" spans="1:37" s="358" customFormat="1" x14ac:dyDescent="0.2">
      <c r="C16" s="374"/>
      <c r="D16" s="375"/>
      <c r="E16" s="376"/>
      <c r="F16" s="377"/>
      <c r="G16" s="377"/>
      <c r="H16" s="378"/>
      <c r="I16" s="378"/>
      <c r="J16" s="379"/>
      <c r="K16" s="380"/>
      <c r="L16" s="380"/>
      <c r="M16" s="114"/>
      <c r="N16" s="381"/>
      <c r="O16" s="231"/>
      <c r="P16" s="555"/>
      <c r="Q16" s="556"/>
      <c r="R16" s="557"/>
      <c r="S16" s="558"/>
      <c r="U16" s="231"/>
      <c r="V16" s="555"/>
      <c r="W16" s="556"/>
      <c r="X16" s="557"/>
      <c r="Y16" s="558"/>
      <c r="AA16" s="231">
        <f>'Calculs dispo Données conso'!Q130</f>
        <v>9.7474348855564319</v>
      </c>
      <c r="AB16" s="236">
        <f>'Calculs dispo Données conso'!R130</f>
        <v>6.7474348855564319</v>
      </c>
      <c r="AC16" s="241">
        <f>'Calculs dispo Données conso'!S130</f>
        <v>3</v>
      </c>
      <c r="AD16" s="247">
        <f>'Calculs dispo Données conso'!T130</f>
        <v>42124.234477769009</v>
      </c>
      <c r="AE16" s="248">
        <f>'Calculs dispo Données conso'!U130</f>
        <v>42215.484477769009</v>
      </c>
      <c r="AF16"/>
      <c r="AG16" s="231">
        <f>'Calculs dispo Données conso'!W130</f>
        <v>9.7474348855564319</v>
      </c>
      <c r="AH16" s="236">
        <f>'Calculs dispo Données conso'!X130</f>
        <v>6.7474348855564319</v>
      </c>
      <c r="AI16" s="241">
        <f>'Calculs dispo Données conso'!Y130</f>
        <v>3</v>
      </c>
      <c r="AJ16" s="247">
        <f>'Calculs dispo Données conso'!Z130</f>
        <v>42124.234477769009</v>
      </c>
      <c r="AK16" s="248">
        <f>'Calculs dispo Données conso'!AA130</f>
        <v>42215.484477769009</v>
      </c>
    </row>
    <row r="17" spans="3:37" s="358" customFormat="1" x14ac:dyDescent="0.2">
      <c r="C17" s="374"/>
      <c r="D17" s="375"/>
      <c r="E17" s="376" t="s">
        <v>18</v>
      </c>
      <c r="F17" s="377" t="str">
        <f>'TRAD-Calculs dispo confrontatio'!B42</f>
        <v>Cp</v>
      </c>
      <c r="G17" s="377" t="s">
        <v>260</v>
      </c>
      <c r="H17" s="378"/>
      <c r="I17" s="378" t="str">
        <f t="shared" si="0"/>
        <v>AZT+3TC - 60/30 mg - Bte/60</v>
      </c>
      <c r="J17" s="378" t="s">
        <v>261</v>
      </c>
      <c r="K17" s="380">
        <v>2</v>
      </c>
      <c r="L17" s="380">
        <f t="shared" si="2"/>
        <v>60</v>
      </c>
      <c r="M17" s="114">
        <v>60</v>
      </c>
      <c r="N17" s="381">
        <f t="shared" si="1"/>
        <v>1</v>
      </c>
      <c r="O17" s="231" t="e">
        <f>'Calculs dispo Données FA'!Q129</f>
        <v>#DIV/0!</v>
      </c>
      <c r="P17" s="236" t="e">
        <f>'Calculs dispo Données FA'!R129</f>
        <v>#DIV/0!</v>
      </c>
      <c r="Q17" s="241" t="e">
        <f>'Calculs dispo Données FA'!S129</f>
        <v>#DIV/0!</v>
      </c>
      <c r="R17" s="247" t="e">
        <f>'Calculs dispo Données FA'!T129</f>
        <v>#DIV/0!</v>
      </c>
      <c r="S17" s="248" t="e">
        <f>'Calculs dispo Données FA'!U129</f>
        <v>#DIV/0!</v>
      </c>
      <c r="U17" s="231" t="str">
        <f>'Calculs dispo Données FA'!W129</f>
        <v/>
      </c>
      <c r="V17" s="236" t="str">
        <f>'Calculs dispo Données FA'!X129</f>
        <v/>
      </c>
      <c r="W17" s="241" t="str">
        <f>'Calculs dispo Données FA'!Y129</f>
        <v/>
      </c>
      <c r="X17" s="247" t="str">
        <f>'Calculs dispo Données FA'!Z129</f>
        <v/>
      </c>
      <c r="Y17" s="248" t="str">
        <f>'Calculs dispo Données FA'!AA129</f>
        <v>903 B &amp; conso =0</v>
      </c>
      <c r="AA17" s="231"/>
      <c r="AB17" s="555"/>
      <c r="AC17" s="556"/>
      <c r="AD17" s="557"/>
      <c r="AE17" s="558"/>
      <c r="AF17"/>
      <c r="AG17" s="231"/>
      <c r="AH17" s="555"/>
      <c r="AI17" s="556"/>
      <c r="AJ17" s="557"/>
      <c r="AK17" s="558"/>
    </row>
    <row r="18" spans="3:37" s="358" customFormat="1" x14ac:dyDescent="0.2">
      <c r="C18" s="374"/>
      <c r="D18" s="375"/>
      <c r="E18" s="376"/>
      <c r="F18" s="377"/>
      <c r="G18" s="377"/>
      <c r="H18" s="378"/>
      <c r="I18" s="378"/>
      <c r="J18" s="378"/>
      <c r="K18" s="380"/>
      <c r="L18" s="380"/>
      <c r="M18" s="114"/>
      <c r="N18" s="381"/>
      <c r="O18" s="231"/>
      <c r="P18" s="555"/>
      <c r="Q18" s="556"/>
      <c r="R18" s="557"/>
      <c r="S18" s="558"/>
      <c r="U18" s="231"/>
      <c r="V18" s="555"/>
      <c r="W18" s="556"/>
      <c r="X18" s="557"/>
      <c r="Y18" s="558"/>
      <c r="AA18" s="231">
        <f>'Calculs dispo Données conso'!Q131</f>
        <v>6.1849315068493151</v>
      </c>
      <c r="AB18" s="236">
        <f>'Calculs dispo Données conso'!R131</f>
        <v>3.1849315068493151</v>
      </c>
      <c r="AC18" s="241">
        <f>'Calculs dispo Données conso'!S131</f>
        <v>3</v>
      </c>
      <c r="AD18" s="247">
        <f>'Calculs dispo Données conso'!T131</f>
        <v>42015.875</v>
      </c>
      <c r="AE18" s="248">
        <f>'Calculs dispo Données conso'!U131</f>
        <v>42107.125</v>
      </c>
      <c r="AF18"/>
      <c r="AG18" s="231">
        <f>'Calculs dispo Données conso'!W131</f>
        <v>6.1849315068493151</v>
      </c>
      <c r="AH18" s="236">
        <f>'Calculs dispo Données conso'!X131</f>
        <v>3.1849315068493151</v>
      </c>
      <c r="AI18" s="241">
        <f>'Calculs dispo Données conso'!Y131</f>
        <v>3</v>
      </c>
      <c r="AJ18" s="247">
        <f>'Calculs dispo Données conso'!Z131</f>
        <v>42015.875</v>
      </c>
      <c r="AK18" s="248">
        <f>'Calculs dispo Données conso'!AA131</f>
        <v>42107.125</v>
      </c>
    </row>
    <row r="19" spans="3:37" s="358" customFormat="1" ht="25.5" x14ac:dyDescent="0.2">
      <c r="C19" s="374"/>
      <c r="D19" s="375"/>
      <c r="E19" s="376" t="s">
        <v>474</v>
      </c>
      <c r="F19" s="377" t="str">
        <f>'TRAD-Calculs dispo confrontatio'!B42</f>
        <v>Cp</v>
      </c>
      <c r="G19" s="377" t="s">
        <v>478</v>
      </c>
      <c r="H19" s="378"/>
      <c r="I19" s="378" t="str">
        <f t="shared" si="0"/>
        <v>3TC+ABC - 300/600 mg - Bte/30</v>
      </c>
      <c r="J19" s="378" t="s">
        <v>489</v>
      </c>
      <c r="K19" s="380">
        <v>1</v>
      </c>
      <c r="L19" s="380">
        <v>30</v>
      </c>
      <c r="M19" s="114">
        <v>30</v>
      </c>
      <c r="N19" s="381">
        <f t="shared" ref="N19" si="3">L19/M19</f>
        <v>1</v>
      </c>
      <c r="O19" s="231" t="e">
        <f>'Calculs dispo Données FA'!Q130</f>
        <v>#DIV/0!</v>
      </c>
      <c r="P19" s="236" t="e">
        <f>'Calculs dispo Données FA'!R130</f>
        <v>#DIV/0!</v>
      </c>
      <c r="Q19" s="241" t="e">
        <f>'Calculs dispo Données FA'!S130</f>
        <v>#DIV/0!</v>
      </c>
      <c r="R19" s="247" t="e">
        <f>'Calculs dispo Données FA'!T130</f>
        <v>#DIV/0!</v>
      </c>
      <c r="S19" s="248" t="e">
        <f>'Calculs dispo Données FA'!U130</f>
        <v>#DIV/0!</v>
      </c>
      <c r="U19" s="231" t="str">
        <f>'Calculs dispo Données FA'!W130</f>
        <v/>
      </c>
      <c r="V19" s="236" t="str">
        <f>'Calculs dispo Données FA'!X130</f>
        <v/>
      </c>
      <c r="W19" s="241" t="str">
        <f>'Calculs dispo Données FA'!Y130</f>
        <v/>
      </c>
      <c r="X19" s="247" t="str">
        <f>'Calculs dispo Données FA'!Z130</f>
        <v/>
      </c>
      <c r="Y19" s="248" t="str">
        <f>'Calculs dispo Données FA'!AA130</f>
        <v>187 B &amp; conso =0</v>
      </c>
      <c r="AA19" s="231"/>
      <c r="AB19" s="555"/>
      <c r="AC19" s="556"/>
      <c r="AD19" s="557"/>
      <c r="AE19" s="558"/>
      <c r="AF19"/>
      <c r="AG19" s="231"/>
      <c r="AH19" s="555"/>
      <c r="AI19" s="556"/>
      <c r="AJ19" s="557"/>
      <c r="AK19" s="558"/>
    </row>
    <row r="20" spans="3:37" s="358" customFormat="1" x14ac:dyDescent="0.2">
      <c r="C20" s="374"/>
      <c r="D20" s="375"/>
      <c r="E20" s="376"/>
      <c r="F20" s="377"/>
      <c r="G20" s="377"/>
      <c r="H20" s="378"/>
      <c r="I20" s="378"/>
      <c r="J20" s="378"/>
      <c r="K20" s="380"/>
      <c r="L20" s="380"/>
      <c r="M20" s="114"/>
      <c r="N20" s="381"/>
      <c r="O20" s="231"/>
      <c r="P20" s="555"/>
      <c r="Q20" s="556"/>
      <c r="R20" s="557"/>
      <c r="S20" s="558"/>
      <c r="U20" s="231"/>
      <c r="V20" s="555"/>
      <c r="W20" s="556"/>
      <c r="X20" s="557"/>
      <c r="Y20" s="558"/>
      <c r="AA20" s="231">
        <f>'Calculs dispo Données conso'!Q132</f>
        <v>3.3392857142857144</v>
      </c>
      <c r="AB20" s="236">
        <f>'Calculs dispo Données conso'!R132</f>
        <v>0.33928571428571441</v>
      </c>
      <c r="AC20" s="241">
        <f>'Calculs dispo Données conso'!S132</f>
        <v>3</v>
      </c>
      <c r="AD20" s="247">
        <f>'Calculs dispo Données conso'!T132</f>
        <v>41929.319940476191</v>
      </c>
      <c r="AE20" s="248">
        <f>'Calculs dispo Données conso'!U132</f>
        <v>42020.569940476191</v>
      </c>
      <c r="AF20"/>
      <c r="AG20" s="231">
        <f>'Calculs dispo Données conso'!W132</f>
        <v>3.3392857142857144</v>
      </c>
      <c r="AH20" s="236">
        <f>'Calculs dispo Données conso'!X132</f>
        <v>0.33928571428571441</v>
      </c>
      <c r="AI20" s="241">
        <f>'Calculs dispo Données conso'!Y132</f>
        <v>3</v>
      </c>
      <c r="AJ20" s="247">
        <f>'Calculs dispo Données conso'!Z132</f>
        <v>41929.319940476191</v>
      </c>
      <c r="AK20" s="248">
        <f>'Calculs dispo Données conso'!AA132</f>
        <v>42020.569940476191</v>
      </c>
    </row>
    <row r="21" spans="3:37" s="358" customFormat="1" ht="25.5" x14ac:dyDescent="0.2">
      <c r="C21" s="374"/>
      <c r="D21" s="375"/>
      <c r="E21" s="382" t="s">
        <v>2</v>
      </c>
      <c r="F21" s="383" t="str">
        <f>'TRAD-Calculs dispo confrontatio'!B42</f>
        <v>Cp</v>
      </c>
      <c r="G21" s="383" t="s">
        <v>21</v>
      </c>
      <c r="H21" s="384"/>
      <c r="I21" s="384" t="str">
        <f t="shared" si="0"/>
        <v>D4T+3TC+NVP - 30/150/200 mg - Bte/60</v>
      </c>
      <c r="J21" s="385" t="s">
        <v>20</v>
      </c>
      <c r="K21" s="386">
        <v>2</v>
      </c>
      <c r="L21" s="386">
        <f t="shared" si="2"/>
        <v>60</v>
      </c>
      <c r="M21" s="115">
        <v>60</v>
      </c>
      <c r="N21" s="387">
        <f t="shared" si="1"/>
        <v>1</v>
      </c>
      <c r="O21" s="232" t="e">
        <f>'Calculs dispo Données FA'!Q132</f>
        <v>#DIV/0!</v>
      </c>
      <c r="P21" s="236" t="e">
        <f>'Calculs dispo Données FA'!R132</f>
        <v>#DIV/0!</v>
      </c>
      <c r="Q21" s="242" t="e">
        <f>'Calculs dispo Données FA'!S132</f>
        <v>#DIV/0!</v>
      </c>
      <c r="R21" s="249" t="e">
        <f>'Calculs dispo Données FA'!T132</f>
        <v>#DIV/0!</v>
      </c>
      <c r="S21" s="250" t="e">
        <f>'Calculs dispo Données FA'!U132</f>
        <v>#DIV/0!</v>
      </c>
      <c r="U21" s="232" t="str">
        <f>'Calculs dispo Données FA'!W132</f>
        <v/>
      </c>
      <c r="V21" s="236" t="str">
        <f>'Calculs dispo Données FA'!X132</f>
        <v/>
      </c>
      <c r="W21" s="242" t="str">
        <f>'Calculs dispo Données FA'!Y132</f>
        <v/>
      </c>
      <c r="X21" s="249" t="str">
        <f>'Calculs dispo Données FA'!Z132</f>
        <v/>
      </c>
      <c r="Y21" s="250" t="str">
        <f>'Calculs dispo Données FA'!AA132</f>
        <v/>
      </c>
      <c r="AA21" s="232"/>
      <c r="AB21" s="555"/>
      <c r="AC21" s="564"/>
      <c r="AD21" s="565"/>
      <c r="AE21" s="566"/>
      <c r="AF21"/>
      <c r="AG21" s="232"/>
      <c r="AH21" s="555"/>
      <c r="AI21" s="564"/>
      <c r="AJ21" s="565"/>
      <c r="AK21" s="566"/>
    </row>
    <row r="22" spans="3:37" s="358" customFormat="1" x14ac:dyDescent="0.2">
      <c r="C22" s="374"/>
      <c r="D22" s="375"/>
      <c r="E22" s="382"/>
      <c r="F22" s="383"/>
      <c r="G22" s="383"/>
      <c r="H22" s="384"/>
      <c r="I22" s="384"/>
      <c r="J22" s="385"/>
      <c r="K22" s="386"/>
      <c r="L22" s="386"/>
      <c r="M22" s="115"/>
      <c r="N22" s="387"/>
      <c r="O22" s="232"/>
      <c r="P22" s="555"/>
      <c r="Q22" s="564"/>
      <c r="R22" s="565"/>
      <c r="S22" s="566"/>
      <c r="U22" s="232"/>
      <c r="V22" s="555"/>
      <c r="W22" s="564"/>
      <c r="X22" s="565"/>
      <c r="Y22" s="566"/>
      <c r="AA22" s="232" t="e">
        <f>'Calculs dispo Données conso'!Q134</f>
        <v>#DIV/0!</v>
      </c>
      <c r="AB22" s="236" t="e">
        <f>'Calculs dispo Données conso'!R134</f>
        <v>#DIV/0!</v>
      </c>
      <c r="AC22" s="242" t="e">
        <f>'Calculs dispo Données conso'!S134</f>
        <v>#DIV/0!</v>
      </c>
      <c r="AD22" s="249" t="e">
        <f>'Calculs dispo Données conso'!T134</f>
        <v>#DIV/0!</v>
      </c>
      <c r="AE22" s="250" t="e">
        <f>'Calculs dispo Données conso'!U134</f>
        <v>#DIV/0!</v>
      </c>
      <c r="AF22"/>
      <c r="AG22" s="232" t="str">
        <f>'Calculs dispo Données conso'!W134</f>
        <v/>
      </c>
      <c r="AH22" s="236" t="str">
        <f>'Calculs dispo Données conso'!X134</f>
        <v/>
      </c>
      <c r="AI22" s="242" t="str">
        <f>'Calculs dispo Données conso'!Y134</f>
        <v/>
      </c>
      <c r="AJ22" s="249" t="str">
        <f>'Calculs dispo Données conso'!Z134</f>
        <v/>
      </c>
      <c r="AK22" s="250" t="str">
        <f>'Calculs dispo Données conso'!AA134</f>
        <v/>
      </c>
    </row>
    <row r="23" spans="3:37" s="358" customFormat="1" ht="25.5" x14ac:dyDescent="0.2">
      <c r="C23" s="374"/>
      <c r="D23" s="375"/>
      <c r="E23" s="382" t="s">
        <v>2</v>
      </c>
      <c r="F23" s="383" t="str">
        <f>'TRAD-Calculs dispo confrontatio'!B42</f>
        <v>Cp</v>
      </c>
      <c r="G23" s="383" t="s">
        <v>102</v>
      </c>
      <c r="H23" s="385"/>
      <c r="I23" s="385" t="str">
        <f t="shared" si="0"/>
        <v>D4T+3TC+NVP - 6/30/50 mg - Bte/60</v>
      </c>
      <c r="J23" s="385" t="s">
        <v>103</v>
      </c>
      <c r="K23" s="386">
        <v>2</v>
      </c>
      <c r="L23" s="386">
        <f t="shared" si="2"/>
        <v>60</v>
      </c>
      <c r="M23" s="115">
        <v>60</v>
      </c>
      <c r="N23" s="387">
        <f t="shared" si="1"/>
        <v>1</v>
      </c>
      <c r="O23" s="232" t="e">
        <f>'Calculs dispo Données FA'!Q133</f>
        <v>#DIV/0!</v>
      </c>
      <c r="P23" s="237" t="e">
        <f>'Calculs dispo Données FA'!R133</f>
        <v>#DIV/0!</v>
      </c>
      <c r="Q23" s="242" t="e">
        <f>'Calculs dispo Données FA'!S133</f>
        <v>#DIV/0!</v>
      </c>
      <c r="R23" s="249" t="e">
        <f>'Calculs dispo Données FA'!T133</f>
        <v>#DIV/0!</v>
      </c>
      <c r="S23" s="250" t="e">
        <f>'Calculs dispo Données FA'!U133</f>
        <v>#DIV/0!</v>
      </c>
      <c r="U23" s="232" t="str">
        <f>'Calculs dispo Données FA'!W133</f>
        <v/>
      </c>
      <c r="V23" s="237" t="str">
        <f>'Calculs dispo Données FA'!X133</f>
        <v/>
      </c>
      <c r="W23" s="242" t="str">
        <f>'Calculs dispo Données FA'!Y133</f>
        <v/>
      </c>
      <c r="X23" s="249" t="str">
        <f>'Calculs dispo Données FA'!Z133</f>
        <v/>
      </c>
      <c r="Y23" s="250" t="str">
        <f>'Calculs dispo Données FA'!AA133</f>
        <v>121 B &amp; conso =0</v>
      </c>
      <c r="AA23" s="232"/>
      <c r="AB23" s="563"/>
      <c r="AC23" s="564"/>
      <c r="AD23" s="565"/>
      <c r="AE23" s="566"/>
      <c r="AF23"/>
      <c r="AG23" s="232"/>
      <c r="AH23" s="563"/>
      <c r="AI23" s="564"/>
      <c r="AJ23" s="565"/>
      <c r="AK23" s="566"/>
    </row>
    <row r="24" spans="3:37" s="358" customFormat="1" x14ac:dyDescent="0.2">
      <c r="C24" s="374"/>
      <c r="D24" s="375"/>
      <c r="E24" s="382"/>
      <c r="F24" s="383"/>
      <c r="G24" s="383"/>
      <c r="H24" s="379"/>
      <c r="I24" s="379"/>
      <c r="J24" s="385"/>
      <c r="K24" s="386"/>
      <c r="L24" s="386"/>
      <c r="M24" s="115"/>
      <c r="N24" s="387"/>
      <c r="O24" s="232"/>
      <c r="P24" s="563"/>
      <c r="Q24" s="564"/>
      <c r="R24" s="565"/>
      <c r="S24" s="566"/>
      <c r="U24" s="232"/>
      <c r="V24" s="563"/>
      <c r="W24" s="564"/>
      <c r="X24" s="565"/>
      <c r="Y24" s="566"/>
      <c r="AA24" s="232">
        <f>'Calculs dispo Données conso'!Q135</f>
        <v>1.1219178082191781</v>
      </c>
      <c r="AB24" s="237">
        <f>'Calculs dispo Données conso'!R135</f>
        <v>-1.8780821917808219</v>
      </c>
      <c r="AC24" s="242">
        <f>'Calculs dispo Données conso'!S135</f>
        <v>1.1219178082191781</v>
      </c>
      <c r="AD24" s="249">
        <f>'Calculs dispo Données conso'!T135</f>
        <v>41861.875</v>
      </c>
      <c r="AE24" s="250">
        <f>'Calculs dispo Données conso'!U135</f>
        <v>41953.125</v>
      </c>
      <c r="AF24"/>
      <c r="AG24" s="232">
        <f>'Calculs dispo Données conso'!W135</f>
        <v>0.82191780821917804</v>
      </c>
      <c r="AH24" s="237">
        <f>'Calculs dispo Données conso'!X135</f>
        <v>-2.1780821917808222</v>
      </c>
      <c r="AI24" s="242">
        <f>'Calculs dispo Données conso'!Y135</f>
        <v>1.1219178082191781</v>
      </c>
      <c r="AJ24" s="249">
        <f>'Calculs dispo Données conso'!Z135</f>
        <v>41852.75</v>
      </c>
      <c r="AK24" s="250" t="str">
        <f>'Calculs dispo Données conso'!AA135</f>
        <v>DLU - 1/11/2014</v>
      </c>
    </row>
    <row r="25" spans="3:37" s="358" customFormat="1" ht="25.5" x14ac:dyDescent="0.2">
      <c r="C25" s="374"/>
      <c r="D25" s="375"/>
      <c r="E25" s="382" t="s">
        <v>22</v>
      </c>
      <c r="F25" s="383" t="str">
        <f>'TRAD-Calculs dispo confrontatio'!B42</f>
        <v>Cp</v>
      </c>
      <c r="G25" s="383" t="s">
        <v>23</v>
      </c>
      <c r="H25" s="379"/>
      <c r="I25" s="379" t="str">
        <f t="shared" si="0"/>
        <v>D4T+3TC - 30/150 mg - Bte/60</v>
      </c>
      <c r="J25" s="385" t="s">
        <v>124</v>
      </c>
      <c r="K25" s="386">
        <v>2</v>
      </c>
      <c r="L25" s="386">
        <f t="shared" si="2"/>
        <v>60</v>
      </c>
      <c r="M25" s="115">
        <v>60</v>
      </c>
      <c r="N25" s="387">
        <f t="shared" si="1"/>
        <v>1</v>
      </c>
      <c r="O25" s="232" t="e">
        <f>'Calculs dispo Données FA'!Q134</f>
        <v>#DIV/0!</v>
      </c>
      <c r="P25" s="237" t="e">
        <f>'Calculs dispo Données FA'!R134</f>
        <v>#DIV/0!</v>
      </c>
      <c r="Q25" s="242" t="e">
        <f>'Calculs dispo Données FA'!S134</f>
        <v>#DIV/0!</v>
      </c>
      <c r="R25" s="249" t="e">
        <f>'Calculs dispo Données FA'!T134</f>
        <v>#DIV/0!</v>
      </c>
      <c r="S25" s="250" t="e">
        <f>'Calculs dispo Données FA'!U134</f>
        <v>#DIV/0!</v>
      </c>
      <c r="U25" s="232" t="str">
        <f>'Calculs dispo Données FA'!W134</f>
        <v/>
      </c>
      <c r="V25" s="237" t="str">
        <f>'Calculs dispo Données FA'!X134</f>
        <v/>
      </c>
      <c r="W25" s="242" t="str">
        <f>'Calculs dispo Données FA'!Y134</f>
        <v/>
      </c>
      <c r="X25" s="249" t="str">
        <f>'Calculs dispo Données FA'!Z134</f>
        <v/>
      </c>
      <c r="Y25" s="250" t="str">
        <f>'Calculs dispo Données FA'!AA134</f>
        <v>16 B &amp; conso =0</v>
      </c>
      <c r="AA25" s="232"/>
      <c r="AB25" s="563"/>
      <c r="AC25" s="564"/>
      <c r="AD25" s="565"/>
      <c r="AE25" s="566"/>
      <c r="AF25"/>
      <c r="AG25" s="232"/>
      <c r="AH25" s="563"/>
      <c r="AI25" s="564"/>
      <c r="AJ25" s="565"/>
      <c r="AK25" s="566"/>
    </row>
    <row r="26" spans="3:37" s="358" customFormat="1" x14ac:dyDescent="0.2">
      <c r="C26" s="374"/>
      <c r="D26" s="375"/>
      <c r="E26" s="382"/>
      <c r="F26" s="383"/>
      <c r="G26" s="383"/>
      <c r="H26" s="379"/>
      <c r="I26" s="379"/>
      <c r="J26" s="385"/>
      <c r="K26" s="386"/>
      <c r="L26" s="386"/>
      <c r="M26" s="115"/>
      <c r="N26" s="387"/>
      <c r="O26" s="232"/>
      <c r="P26" s="563"/>
      <c r="Q26" s="564"/>
      <c r="R26" s="565"/>
      <c r="S26" s="566"/>
      <c r="U26" s="232"/>
      <c r="V26" s="563"/>
      <c r="W26" s="564"/>
      <c r="X26" s="565"/>
      <c r="Y26" s="566"/>
      <c r="AA26" s="232">
        <f>'Calculs dispo Données conso'!Q136</f>
        <v>0.35555555555555557</v>
      </c>
      <c r="AB26" s="237">
        <f>'Calculs dispo Données conso'!R136</f>
        <v>-2.6444444444444444</v>
      </c>
      <c r="AC26" s="242">
        <f>'Calculs dispo Données conso'!S136</f>
        <v>0.35555555555555557</v>
      </c>
      <c r="AD26" s="249">
        <f>'Calculs dispo Données conso'!T136</f>
        <v>41838.564814814818</v>
      </c>
      <c r="AE26" s="250">
        <f>'Calculs dispo Données conso'!U136</f>
        <v>41929.814814814818</v>
      </c>
      <c r="AF26"/>
      <c r="AG26" s="232">
        <f>'Calculs dispo Données conso'!W136</f>
        <v>0.35555555555555557</v>
      </c>
      <c r="AH26" s="237">
        <f>'Calculs dispo Données conso'!X136</f>
        <v>-2.6444444444444444</v>
      </c>
      <c r="AI26" s="242">
        <f>'Calculs dispo Données conso'!Y136</f>
        <v>0.35555555555555557</v>
      </c>
      <c r="AJ26" s="249">
        <f>'Calculs dispo Données conso'!Z136</f>
        <v>41838.564814814818</v>
      </c>
      <c r="AK26" s="250">
        <f>'Calculs dispo Données conso'!AA136</f>
        <v>41929.814814814818</v>
      </c>
    </row>
    <row r="27" spans="3:37" s="358" customFormat="1" ht="25.5" x14ac:dyDescent="0.2">
      <c r="C27" s="374"/>
      <c r="D27" s="375"/>
      <c r="E27" s="382" t="s">
        <v>9</v>
      </c>
      <c r="F27" s="383" t="str">
        <f>'TRAD-Calculs dispo confrontatio'!B42</f>
        <v>Cp</v>
      </c>
      <c r="G27" s="383" t="s">
        <v>130</v>
      </c>
      <c r="H27" s="379" t="s">
        <v>123</v>
      </c>
      <c r="I27" s="379" t="str">
        <f t="shared" si="0"/>
        <v>TDF+FTC+EFV - 300/200/600 mg - Bte/30</v>
      </c>
      <c r="J27" s="385"/>
      <c r="K27" s="386">
        <v>1</v>
      </c>
      <c r="L27" s="386">
        <f>K27*30</f>
        <v>30</v>
      </c>
      <c r="M27" s="115">
        <v>30</v>
      </c>
      <c r="N27" s="387">
        <f t="shared" si="1"/>
        <v>1</v>
      </c>
      <c r="O27" s="232" t="e">
        <f>'Calculs dispo Données FA'!Q135</f>
        <v>#DIV/0!</v>
      </c>
      <c r="P27" s="237" t="e">
        <f>'Calculs dispo Données FA'!R135</f>
        <v>#DIV/0!</v>
      </c>
      <c r="Q27" s="242" t="e">
        <f>'Calculs dispo Données FA'!S135</f>
        <v>#DIV/0!</v>
      </c>
      <c r="R27" s="249" t="e">
        <f>'Calculs dispo Données FA'!T135</f>
        <v>#DIV/0!</v>
      </c>
      <c r="S27" s="250" t="e">
        <f>'Calculs dispo Données FA'!U135</f>
        <v>#DIV/0!</v>
      </c>
      <c r="U27" s="232" t="str">
        <f>'Calculs dispo Données FA'!W135</f>
        <v/>
      </c>
      <c r="V27" s="237" t="str">
        <f>'Calculs dispo Données FA'!X135</f>
        <v/>
      </c>
      <c r="W27" s="242" t="str">
        <f>'Calculs dispo Données FA'!Y135</f>
        <v/>
      </c>
      <c r="X27" s="249" t="str">
        <f>'Calculs dispo Données FA'!Z135</f>
        <v/>
      </c>
      <c r="Y27" s="250" t="str">
        <f>'Calculs dispo Données FA'!AA135</f>
        <v/>
      </c>
      <c r="AA27" s="232"/>
      <c r="AB27" s="563"/>
      <c r="AC27" s="564"/>
      <c r="AD27" s="565"/>
      <c r="AE27" s="566"/>
      <c r="AF27"/>
      <c r="AG27" s="232"/>
      <c r="AH27" s="563"/>
      <c r="AI27" s="564"/>
      <c r="AJ27" s="565"/>
      <c r="AK27" s="566"/>
    </row>
    <row r="28" spans="3:37" s="358" customFormat="1" x14ac:dyDescent="0.2">
      <c r="C28" s="374"/>
      <c r="D28" s="375"/>
      <c r="E28" s="382"/>
      <c r="F28" s="383"/>
      <c r="G28" s="383"/>
      <c r="H28" s="379"/>
      <c r="I28" s="379"/>
      <c r="J28" s="385"/>
      <c r="K28" s="386"/>
      <c r="L28" s="386"/>
      <c r="M28" s="115"/>
      <c r="N28" s="387"/>
      <c r="O28" s="232"/>
      <c r="P28" s="563"/>
      <c r="Q28" s="564"/>
      <c r="R28" s="565"/>
      <c r="S28" s="566"/>
      <c r="U28" s="232"/>
      <c r="V28" s="563"/>
      <c r="W28" s="564"/>
      <c r="X28" s="565"/>
      <c r="Y28" s="566"/>
      <c r="AA28" s="232" t="e">
        <f>'Calculs dispo Données conso'!Q137</f>
        <v>#DIV/0!</v>
      </c>
      <c r="AB28" s="237" t="e">
        <f>'Calculs dispo Données conso'!R137</f>
        <v>#DIV/0!</v>
      </c>
      <c r="AC28" s="242" t="e">
        <f>'Calculs dispo Données conso'!S137</f>
        <v>#DIV/0!</v>
      </c>
      <c r="AD28" s="249" t="e">
        <f>'Calculs dispo Données conso'!T137</f>
        <v>#DIV/0!</v>
      </c>
      <c r="AE28" s="250" t="e">
        <f>'Calculs dispo Données conso'!U137</f>
        <v>#DIV/0!</v>
      </c>
      <c r="AF28"/>
      <c r="AG28" s="232" t="str">
        <f>'Calculs dispo Données conso'!W137</f>
        <v/>
      </c>
      <c r="AH28" s="237" t="str">
        <f>'Calculs dispo Données conso'!X137</f>
        <v/>
      </c>
      <c r="AI28" s="242" t="str">
        <f>'Calculs dispo Données conso'!Y137</f>
        <v/>
      </c>
      <c r="AJ28" s="249" t="str">
        <f>'Calculs dispo Données conso'!Z137</f>
        <v/>
      </c>
      <c r="AK28" s="250" t="str">
        <f>'Calculs dispo Données conso'!AA137</f>
        <v/>
      </c>
    </row>
    <row r="29" spans="3:37" s="358" customFormat="1" ht="25.5" x14ac:dyDescent="0.2">
      <c r="C29" s="374"/>
      <c r="D29" s="375"/>
      <c r="E29" s="382" t="s">
        <v>121</v>
      </c>
      <c r="F29" s="383" t="str">
        <f>'TRAD-Calculs dispo confrontatio'!B42</f>
        <v>Cp</v>
      </c>
      <c r="G29" s="383" t="s">
        <v>25</v>
      </c>
      <c r="H29" s="379" t="s">
        <v>24</v>
      </c>
      <c r="I29" s="379" t="str">
        <f t="shared" si="0"/>
        <v>TDF+FTC - 300/200 mg - Bte/30</v>
      </c>
      <c r="J29" s="385"/>
      <c r="K29" s="386">
        <v>1</v>
      </c>
      <c r="L29" s="386">
        <f>K29*30</f>
        <v>30</v>
      </c>
      <c r="M29" s="115">
        <v>30</v>
      </c>
      <c r="N29" s="387">
        <f t="shared" si="1"/>
        <v>1</v>
      </c>
      <c r="O29" s="232" t="e">
        <f>'Calculs dispo Données FA'!Q136</f>
        <v>#DIV/0!</v>
      </c>
      <c r="P29" s="237" t="e">
        <f>'Calculs dispo Données FA'!R136</f>
        <v>#DIV/0!</v>
      </c>
      <c r="Q29" s="242" t="e">
        <f>'Calculs dispo Données FA'!S136</f>
        <v>#DIV/0!</v>
      </c>
      <c r="R29" s="249" t="e">
        <f>'Calculs dispo Données FA'!T136</f>
        <v>#DIV/0!</v>
      </c>
      <c r="S29" s="250" t="e">
        <f>'Calculs dispo Données FA'!U136</f>
        <v>#DIV/0!</v>
      </c>
      <c r="U29" s="232" t="str">
        <f>'Calculs dispo Données FA'!W136</f>
        <v/>
      </c>
      <c r="V29" s="237" t="str">
        <f>'Calculs dispo Données FA'!X136</f>
        <v/>
      </c>
      <c r="W29" s="242" t="str">
        <f>'Calculs dispo Données FA'!Y136</f>
        <v/>
      </c>
      <c r="X29" s="249" t="str">
        <f>'Calculs dispo Données FA'!Z136</f>
        <v/>
      </c>
      <c r="Y29" s="250" t="str">
        <f>'Calculs dispo Données FA'!AA136</f>
        <v/>
      </c>
      <c r="AA29" s="232"/>
      <c r="AB29" s="563"/>
      <c r="AC29" s="564"/>
      <c r="AD29" s="565"/>
      <c r="AE29" s="566"/>
      <c r="AF29"/>
      <c r="AG29" s="232"/>
      <c r="AH29" s="563"/>
      <c r="AI29" s="564"/>
      <c r="AJ29" s="565"/>
      <c r="AK29" s="566"/>
    </row>
    <row r="30" spans="3:37" s="358" customFormat="1" x14ac:dyDescent="0.2">
      <c r="C30" s="374"/>
      <c r="D30" s="375"/>
      <c r="E30" s="382"/>
      <c r="F30" s="383"/>
      <c r="G30" s="383"/>
      <c r="H30" s="379"/>
      <c r="I30" s="379"/>
      <c r="J30" s="385"/>
      <c r="K30" s="386"/>
      <c r="L30" s="386"/>
      <c r="M30" s="115"/>
      <c r="N30" s="387"/>
      <c r="O30" s="232"/>
      <c r="P30" s="563"/>
      <c r="Q30" s="564"/>
      <c r="R30" s="565"/>
      <c r="S30" s="566"/>
      <c r="U30" s="232"/>
      <c r="V30" s="563"/>
      <c r="W30" s="564"/>
      <c r="X30" s="565"/>
      <c r="Y30" s="566"/>
      <c r="AA30" s="232" t="e">
        <f>'Calculs dispo Données conso'!Q138</f>
        <v>#DIV/0!</v>
      </c>
      <c r="AB30" s="237" t="e">
        <f>'Calculs dispo Données conso'!R138</f>
        <v>#DIV/0!</v>
      </c>
      <c r="AC30" s="242" t="e">
        <f>'Calculs dispo Données conso'!S138</f>
        <v>#DIV/0!</v>
      </c>
      <c r="AD30" s="249" t="e">
        <f>'Calculs dispo Données conso'!T138</f>
        <v>#DIV/0!</v>
      </c>
      <c r="AE30" s="250" t="e">
        <f>'Calculs dispo Données conso'!U138</f>
        <v>#DIV/0!</v>
      </c>
      <c r="AF30"/>
      <c r="AG30" s="232" t="str">
        <f>'Calculs dispo Données conso'!W138</f>
        <v/>
      </c>
      <c r="AH30" s="237" t="str">
        <f>'Calculs dispo Données conso'!X138</f>
        <v/>
      </c>
      <c r="AI30" s="242" t="str">
        <f>'Calculs dispo Données conso'!Y138</f>
        <v/>
      </c>
      <c r="AJ30" s="249" t="str">
        <f>'Calculs dispo Données conso'!Z138</f>
        <v/>
      </c>
      <c r="AK30" s="250" t="str">
        <f>'Calculs dispo Données conso'!AA138</f>
        <v/>
      </c>
    </row>
    <row r="31" spans="3:37" s="358" customFormat="1" ht="25.5" x14ac:dyDescent="0.2">
      <c r="C31" s="374"/>
      <c r="D31" s="375"/>
      <c r="E31" s="382" t="s">
        <v>4</v>
      </c>
      <c r="F31" s="383" t="str">
        <f>'TRAD-Calculs dispo confrontatio'!B42</f>
        <v>Cp</v>
      </c>
      <c r="G31" s="383" t="s">
        <v>130</v>
      </c>
      <c r="H31" s="379"/>
      <c r="I31" s="385" t="str">
        <f t="shared" si="0"/>
        <v>TDF+3TC+EFV - 300/200/600 mg - Bte/30</v>
      </c>
      <c r="J31" s="386"/>
      <c r="K31" s="386">
        <v>1</v>
      </c>
      <c r="L31" s="386">
        <f>K31*30</f>
        <v>30</v>
      </c>
      <c r="M31" s="115">
        <v>30</v>
      </c>
      <c r="N31" s="387">
        <f t="shared" si="1"/>
        <v>1</v>
      </c>
      <c r="O31" s="232" t="e">
        <f>'Calculs dispo Données FA'!Q137</f>
        <v>#DIV/0!</v>
      </c>
      <c r="P31" s="237" t="e">
        <f>'Calculs dispo Données FA'!R137</f>
        <v>#DIV/0!</v>
      </c>
      <c r="Q31" s="242" t="e">
        <f>'Calculs dispo Données FA'!S137</f>
        <v>#DIV/0!</v>
      </c>
      <c r="R31" s="249" t="e">
        <f>'Calculs dispo Données FA'!T137</f>
        <v>#DIV/0!</v>
      </c>
      <c r="S31" s="250" t="e">
        <f>'Calculs dispo Données FA'!U137</f>
        <v>#DIV/0!</v>
      </c>
      <c r="U31" s="232" t="str">
        <f>'Calculs dispo Données FA'!W137</f>
        <v/>
      </c>
      <c r="V31" s="237" t="str">
        <f>'Calculs dispo Données FA'!X137</f>
        <v/>
      </c>
      <c r="W31" s="242" t="str">
        <f>'Calculs dispo Données FA'!Y137</f>
        <v/>
      </c>
      <c r="X31" s="249" t="str">
        <f>'Calculs dispo Données FA'!Z137</f>
        <v/>
      </c>
      <c r="Y31" s="250" t="str">
        <f>'Calculs dispo Données FA'!AA137</f>
        <v>38746 B &amp; conso =0</v>
      </c>
      <c r="AA31" s="232"/>
      <c r="AB31" s="563"/>
      <c r="AC31" s="564"/>
      <c r="AD31" s="565"/>
      <c r="AE31" s="566"/>
      <c r="AF31"/>
      <c r="AG31" s="232"/>
      <c r="AH31" s="563"/>
      <c r="AI31" s="564"/>
      <c r="AJ31" s="565"/>
      <c r="AK31" s="566"/>
    </row>
    <row r="32" spans="3:37" s="358" customFormat="1" x14ac:dyDescent="0.2">
      <c r="C32" s="374"/>
      <c r="D32" s="375"/>
      <c r="E32" s="382"/>
      <c r="F32" s="383"/>
      <c r="G32" s="383"/>
      <c r="H32" s="385"/>
      <c r="I32" s="385"/>
      <c r="J32" s="386"/>
      <c r="K32" s="399"/>
      <c r="L32" s="399"/>
      <c r="M32" s="117"/>
      <c r="N32" s="400"/>
      <c r="O32" s="234"/>
      <c r="P32" s="563"/>
      <c r="Q32" s="594"/>
      <c r="R32" s="587"/>
      <c r="S32" s="588"/>
      <c r="U32" s="234"/>
      <c r="V32" s="563"/>
      <c r="W32" s="594"/>
      <c r="X32" s="587"/>
      <c r="Y32" s="588"/>
      <c r="AA32" s="234">
        <f>'Calculs dispo Données conso'!Q139</f>
        <v>15.635712439537718</v>
      </c>
      <c r="AB32" s="237">
        <f>'Calculs dispo Données conso'!R139</f>
        <v>12.635712439537718</v>
      </c>
      <c r="AC32" s="244">
        <f>'Calculs dispo Données conso'!S139</f>
        <v>3</v>
      </c>
      <c r="AD32" s="253">
        <f>'Calculs dispo Données conso'!T139</f>
        <v>42303.336253369271</v>
      </c>
      <c r="AE32" s="254">
        <f>'Calculs dispo Données conso'!U139</f>
        <v>42394.586253369271</v>
      </c>
      <c r="AF32"/>
      <c r="AG32" s="234">
        <f>'Calculs dispo Données conso'!W139</f>
        <v>13.808219178082192</v>
      </c>
      <c r="AH32" s="237">
        <f>'Calculs dispo Données conso'!X139</f>
        <v>10.808219178082192</v>
      </c>
      <c r="AI32" s="244">
        <f>'Calculs dispo Données conso'!Y139</f>
        <v>3</v>
      </c>
      <c r="AJ32" s="253">
        <f>'Calculs dispo Données conso'!Z139</f>
        <v>42247.75</v>
      </c>
      <c r="AK32" s="254" t="str">
        <f>'Calculs dispo Données conso'!AA139</f>
        <v>DLU - 1/12/2015</v>
      </c>
    </row>
    <row r="33" spans="3:37" s="358" customFormat="1" ht="25.5" x14ac:dyDescent="0.2">
      <c r="C33" s="374"/>
      <c r="D33" s="375"/>
      <c r="E33" s="534" t="s">
        <v>228</v>
      </c>
      <c r="F33" s="535" t="str">
        <f>'TRAD-Calculs dispo confrontatio'!B42</f>
        <v>Cp</v>
      </c>
      <c r="G33" s="535" t="s">
        <v>25</v>
      </c>
      <c r="H33" s="544"/>
      <c r="I33" s="544" t="str">
        <f t="shared" si="0"/>
        <v>TDF+3TC - 300/200 mg - Bte/30</v>
      </c>
      <c r="J33" s="544"/>
      <c r="K33" s="399">
        <v>1</v>
      </c>
      <c r="L33" s="399">
        <f>K33*30</f>
        <v>30</v>
      </c>
      <c r="M33" s="117">
        <v>30</v>
      </c>
      <c r="N33" s="400">
        <f t="shared" si="1"/>
        <v>1</v>
      </c>
      <c r="O33" s="232" t="e">
        <f>'Calculs dispo Données FA'!Q138</f>
        <v>#DIV/0!</v>
      </c>
      <c r="P33" s="237" t="e">
        <f>'Calculs dispo Données FA'!R138</f>
        <v>#DIV/0!</v>
      </c>
      <c r="Q33" s="242" t="e">
        <f>'Calculs dispo Données FA'!S138</f>
        <v>#DIV/0!</v>
      </c>
      <c r="R33" s="249" t="e">
        <f>'Calculs dispo Données FA'!T138</f>
        <v>#DIV/0!</v>
      </c>
      <c r="S33" s="250" t="e">
        <f>'Calculs dispo Données FA'!U138</f>
        <v>#DIV/0!</v>
      </c>
      <c r="U33" s="232" t="str">
        <f>'Calculs dispo Données FA'!W138</f>
        <v/>
      </c>
      <c r="V33" s="237" t="str">
        <f>'Calculs dispo Données FA'!X138</f>
        <v/>
      </c>
      <c r="W33" s="242" t="str">
        <f>'Calculs dispo Données FA'!Y138</f>
        <v/>
      </c>
      <c r="X33" s="249" t="str">
        <f>'Calculs dispo Données FA'!Z138</f>
        <v/>
      </c>
      <c r="Y33" s="250" t="str">
        <f>'Calculs dispo Données FA'!AA138</f>
        <v>505 B &amp; conso =0</v>
      </c>
      <c r="AA33" s="232"/>
      <c r="AB33" s="563"/>
      <c r="AC33" s="564"/>
      <c r="AD33" s="565"/>
      <c r="AE33" s="566"/>
      <c r="AF33"/>
      <c r="AG33" s="232"/>
      <c r="AH33" s="563"/>
      <c r="AI33" s="564"/>
      <c r="AJ33" s="565"/>
      <c r="AK33" s="566"/>
    </row>
    <row r="34" spans="3:37" s="358" customFormat="1" x14ac:dyDescent="0.2">
      <c r="C34" s="374"/>
      <c r="D34" s="609"/>
      <c r="E34" s="390"/>
      <c r="F34" s="391"/>
      <c r="G34" s="391"/>
      <c r="H34" s="401"/>
      <c r="I34" s="401"/>
      <c r="J34" s="401"/>
      <c r="K34" s="401"/>
      <c r="L34" s="401"/>
      <c r="M34" s="116"/>
      <c r="N34" s="311"/>
      <c r="O34" s="233"/>
      <c r="P34" s="589"/>
      <c r="Q34" s="590"/>
      <c r="R34" s="591"/>
      <c r="S34" s="592"/>
      <c r="U34" s="233"/>
      <c r="V34" s="589"/>
      <c r="W34" s="590"/>
      <c r="X34" s="591"/>
      <c r="Y34" s="592"/>
      <c r="AA34" s="233">
        <f>'Calculs dispo Données conso'!Q140</f>
        <v>4.7671232876712324</v>
      </c>
      <c r="AB34" s="238">
        <f>'Calculs dispo Données conso'!R140</f>
        <v>1.7671232876712324</v>
      </c>
      <c r="AC34" s="243">
        <f>'Calculs dispo Données conso'!S140</f>
        <v>3</v>
      </c>
      <c r="AD34" s="251">
        <f>'Calculs dispo Données conso'!T140</f>
        <v>41972.75</v>
      </c>
      <c r="AE34" s="252">
        <f>'Calculs dispo Données conso'!U140</f>
        <v>42064</v>
      </c>
      <c r="AF34"/>
      <c r="AG34" s="233">
        <f>'Calculs dispo Données conso'!W140</f>
        <v>4.7671232876712324</v>
      </c>
      <c r="AH34" s="238">
        <f>'Calculs dispo Données conso'!X140</f>
        <v>1.7671232876712324</v>
      </c>
      <c r="AI34" s="243">
        <f>'Calculs dispo Données conso'!Y140</f>
        <v>3</v>
      </c>
      <c r="AJ34" s="251">
        <f>'Calculs dispo Données conso'!Z140</f>
        <v>41972.75</v>
      </c>
      <c r="AK34" s="252" t="str">
        <f>'Calculs dispo Données conso'!AA140</f>
        <v>DLU - 1/3/2015</v>
      </c>
    </row>
    <row r="35" spans="3:37" s="358" customFormat="1" x14ac:dyDescent="0.2">
      <c r="C35" s="374"/>
      <c r="D35" s="610" t="s">
        <v>26</v>
      </c>
      <c r="E35" s="376" t="s">
        <v>27</v>
      </c>
      <c r="F35" s="377" t="s">
        <v>104</v>
      </c>
      <c r="G35" s="377" t="s">
        <v>105</v>
      </c>
      <c r="H35" s="378" t="s">
        <v>87</v>
      </c>
      <c r="I35" s="378" t="str">
        <f t="shared" si="0"/>
        <v>EFV - 50 mg - Bte/30</v>
      </c>
      <c r="J35" s="378"/>
      <c r="K35" s="612"/>
      <c r="L35" s="612"/>
      <c r="M35" s="114">
        <v>30</v>
      </c>
      <c r="N35" s="308"/>
      <c r="O35" s="231" t="e">
        <f>'Calculs dispo Données FA'!Q140</f>
        <v>#DIV/0!</v>
      </c>
      <c r="P35" s="236" t="e">
        <f>'Calculs dispo Données FA'!R140</f>
        <v>#DIV/0!</v>
      </c>
      <c r="Q35" s="241" t="e">
        <f>'Calculs dispo Données FA'!S140</f>
        <v>#DIV/0!</v>
      </c>
      <c r="R35" s="247" t="e">
        <f>'Calculs dispo Données FA'!T140</f>
        <v>#DIV/0!</v>
      </c>
      <c r="S35" s="248" t="e">
        <f>'Calculs dispo Données FA'!U140</f>
        <v>#DIV/0!</v>
      </c>
      <c r="U35" s="231" t="str">
        <f>'Calculs dispo Données FA'!W140</f>
        <v/>
      </c>
      <c r="V35" s="236" t="str">
        <f>'Calculs dispo Données FA'!X140</f>
        <v/>
      </c>
      <c r="W35" s="241" t="str">
        <f>'Calculs dispo Données FA'!Y140</f>
        <v/>
      </c>
      <c r="X35" s="247" t="str">
        <f>'Calculs dispo Données FA'!Z140</f>
        <v/>
      </c>
      <c r="Y35" s="248" t="str">
        <f>'Calculs dispo Données FA'!AA140</f>
        <v/>
      </c>
      <c r="AA35" s="231"/>
      <c r="AB35" s="555"/>
      <c r="AC35" s="556"/>
      <c r="AD35" s="557"/>
      <c r="AE35" s="558"/>
      <c r="AF35"/>
      <c r="AG35" s="231"/>
      <c r="AH35" s="555"/>
      <c r="AI35" s="556"/>
      <c r="AJ35" s="557"/>
      <c r="AK35" s="558"/>
    </row>
    <row r="36" spans="3:37" s="358" customFormat="1" x14ac:dyDescent="0.2">
      <c r="C36" s="374"/>
      <c r="D36" s="375"/>
      <c r="E36" s="534"/>
      <c r="F36" s="535"/>
      <c r="G36" s="535"/>
      <c r="H36" s="544"/>
      <c r="I36" s="544"/>
      <c r="J36" s="533"/>
      <c r="K36" s="536"/>
      <c r="L36" s="536"/>
      <c r="M36" s="537"/>
      <c r="N36" s="538"/>
      <c r="O36" s="231"/>
      <c r="P36" s="563"/>
      <c r="Q36" s="556"/>
      <c r="R36" s="557"/>
      <c r="S36" s="558"/>
      <c r="U36" s="231"/>
      <c r="V36" s="563"/>
      <c r="W36" s="556"/>
      <c r="X36" s="557"/>
      <c r="Y36" s="558"/>
      <c r="AA36" s="231" t="e">
        <f>'Calculs dispo Données conso'!Q142</f>
        <v>#DIV/0!</v>
      </c>
      <c r="AB36" s="237" t="e">
        <f>'Calculs dispo Données conso'!R142</f>
        <v>#DIV/0!</v>
      </c>
      <c r="AC36" s="241" t="e">
        <f>'Calculs dispo Données conso'!S142</f>
        <v>#DIV/0!</v>
      </c>
      <c r="AD36" s="247" t="e">
        <f>'Calculs dispo Données conso'!T142</f>
        <v>#DIV/0!</v>
      </c>
      <c r="AE36" s="248" t="e">
        <f>'Calculs dispo Données conso'!U142</f>
        <v>#DIV/0!</v>
      </c>
      <c r="AF36"/>
      <c r="AG36" s="231" t="str">
        <f>'Calculs dispo Données conso'!W142</f>
        <v/>
      </c>
      <c r="AH36" s="237" t="str">
        <f>'Calculs dispo Données conso'!X142</f>
        <v/>
      </c>
      <c r="AI36" s="241" t="str">
        <f>'Calculs dispo Données conso'!Y142</f>
        <v/>
      </c>
      <c r="AJ36" s="247" t="str">
        <f>'Calculs dispo Données conso'!Z142</f>
        <v/>
      </c>
      <c r="AK36" s="248" t="str">
        <f>'Calculs dispo Données conso'!AA142</f>
        <v/>
      </c>
    </row>
    <row r="37" spans="3:37" s="358" customFormat="1" ht="25.5" x14ac:dyDescent="0.2">
      <c r="C37" s="374"/>
      <c r="D37" s="375"/>
      <c r="E37" s="382" t="s">
        <v>27</v>
      </c>
      <c r="F37" s="383" t="s">
        <v>104</v>
      </c>
      <c r="G37" s="383" t="s">
        <v>30</v>
      </c>
      <c r="H37" s="379" t="s">
        <v>87</v>
      </c>
      <c r="I37" s="379" t="str">
        <f t="shared" si="0"/>
        <v>EFV - 200 mg - Bte/90</v>
      </c>
      <c r="J37" s="385"/>
      <c r="K37" s="386"/>
      <c r="L37" s="386"/>
      <c r="M37" s="115">
        <v>90</v>
      </c>
      <c r="N37" s="387"/>
      <c r="O37" s="232" t="e">
        <f>'Calculs dispo Données FA'!Q141</f>
        <v>#DIV/0!</v>
      </c>
      <c r="P37" s="237" t="e">
        <f>'Calculs dispo Données FA'!R141</f>
        <v>#DIV/0!</v>
      </c>
      <c r="Q37" s="242" t="e">
        <f>'Calculs dispo Données FA'!S141</f>
        <v>#DIV/0!</v>
      </c>
      <c r="R37" s="249" t="e">
        <f>'Calculs dispo Données FA'!T141</f>
        <v>#DIV/0!</v>
      </c>
      <c r="S37" s="250" t="e">
        <f>'Calculs dispo Données FA'!U141</f>
        <v>#DIV/0!</v>
      </c>
      <c r="U37" s="232" t="str">
        <f>'Calculs dispo Données FA'!W141</f>
        <v/>
      </c>
      <c r="V37" s="237" t="str">
        <f>'Calculs dispo Données FA'!X141</f>
        <v/>
      </c>
      <c r="W37" s="242" t="str">
        <f>'Calculs dispo Données FA'!Y141</f>
        <v/>
      </c>
      <c r="X37" s="249" t="str">
        <f>'Calculs dispo Données FA'!Z141</f>
        <v/>
      </c>
      <c r="Y37" s="250" t="str">
        <f>'Calculs dispo Données FA'!AA141</f>
        <v>2 B &amp; conso =0</v>
      </c>
      <c r="AA37" s="232"/>
      <c r="AB37" s="563"/>
      <c r="AC37" s="564"/>
      <c r="AD37" s="565"/>
      <c r="AE37" s="566"/>
      <c r="AF37"/>
      <c r="AG37" s="232"/>
      <c r="AH37" s="563"/>
      <c r="AI37" s="564"/>
      <c r="AJ37" s="565"/>
      <c r="AK37" s="566"/>
    </row>
    <row r="38" spans="3:37" s="358" customFormat="1" x14ac:dyDescent="0.2">
      <c r="C38" s="374"/>
      <c r="D38" s="375"/>
      <c r="E38" s="396"/>
      <c r="F38" s="397"/>
      <c r="G38" s="397"/>
      <c r="H38" s="379"/>
      <c r="I38" s="379"/>
      <c r="J38" s="398"/>
      <c r="K38" s="399"/>
      <c r="L38" s="399"/>
      <c r="M38" s="117"/>
      <c r="N38" s="400"/>
      <c r="O38" s="234"/>
      <c r="P38" s="563"/>
      <c r="Q38" s="594"/>
      <c r="R38" s="587"/>
      <c r="S38" s="588"/>
      <c r="U38" s="234"/>
      <c r="V38" s="563"/>
      <c r="W38" s="594"/>
      <c r="X38" s="587"/>
      <c r="Y38" s="588"/>
      <c r="AA38" s="234">
        <f>'Calculs dispo Données conso'!Q143</f>
        <v>9.5238095238095233E-2</v>
      </c>
      <c r="AB38" s="237">
        <f>'Calculs dispo Données conso'!R143</f>
        <v>-2.9047619047619047</v>
      </c>
      <c r="AC38" s="244">
        <f>'Calculs dispo Données conso'!S143</f>
        <v>9.5238095238095233E-2</v>
      </c>
      <c r="AD38" s="253">
        <f>'Calculs dispo Données conso'!T143</f>
        <v>41830.646825396827</v>
      </c>
      <c r="AE38" s="254">
        <f>'Calculs dispo Données conso'!U143</f>
        <v>41921.896825396827</v>
      </c>
      <c r="AF38"/>
      <c r="AG38" s="234">
        <f>'Calculs dispo Données conso'!W143</f>
        <v>9.5238095238095233E-2</v>
      </c>
      <c r="AH38" s="237">
        <f>'Calculs dispo Données conso'!X143</f>
        <v>-2.9047619047619047</v>
      </c>
      <c r="AI38" s="244">
        <f>'Calculs dispo Données conso'!Y143</f>
        <v>9.5238095238095233E-2</v>
      </c>
      <c r="AJ38" s="253">
        <f>'Calculs dispo Données conso'!Z143</f>
        <v>41830.646825396827</v>
      </c>
      <c r="AK38" s="254">
        <f>'Calculs dispo Données conso'!AA143</f>
        <v>41921.896825396827</v>
      </c>
    </row>
    <row r="39" spans="3:37" s="358" customFormat="1" ht="25.5" x14ac:dyDescent="0.2">
      <c r="C39" s="374"/>
      <c r="D39" s="375"/>
      <c r="E39" s="396" t="s">
        <v>27</v>
      </c>
      <c r="F39" s="397" t="str">
        <f>'TRAD-Calculs dispo confrontatio'!B42</f>
        <v>Cp</v>
      </c>
      <c r="G39" s="397" t="s">
        <v>28</v>
      </c>
      <c r="H39" s="379" t="s">
        <v>87</v>
      </c>
      <c r="I39" s="379" t="str">
        <f t="shared" si="0"/>
        <v>EFV - 600 mg - Bte/30</v>
      </c>
      <c r="J39" s="398"/>
      <c r="K39" s="399">
        <v>1</v>
      </c>
      <c r="L39" s="399">
        <f t="shared" si="2"/>
        <v>30</v>
      </c>
      <c r="M39" s="117">
        <v>30</v>
      </c>
      <c r="N39" s="400">
        <f>L39/M39</f>
        <v>1</v>
      </c>
      <c r="O39" s="234" t="e">
        <f>'Calculs dispo Données FA'!Q142</f>
        <v>#DIV/0!</v>
      </c>
      <c r="P39" s="237" t="e">
        <f>'Calculs dispo Données FA'!R142</f>
        <v>#DIV/0!</v>
      </c>
      <c r="Q39" s="244" t="e">
        <f>'Calculs dispo Données FA'!S142</f>
        <v>#DIV/0!</v>
      </c>
      <c r="R39" s="253" t="e">
        <f>'Calculs dispo Données FA'!T142</f>
        <v>#DIV/0!</v>
      </c>
      <c r="S39" s="254" t="e">
        <f>'Calculs dispo Données FA'!U142</f>
        <v>#DIV/0!</v>
      </c>
      <c r="U39" s="234" t="str">
        <f>'Calculs dispo Données FA'!W142</f>
        <v/>
      </c>
      <c r="V39" s="237" t="str">
        <f>'Calculs dispo Données FA'!X142</f>
        <v/>
      </c>
      <c r="W39" s="244" t="str">
        <f>'Calculs dispo Données FA'!Y142</f>
        <v/>
      </c>
      <c r="X39" s="253" t="str">
        <f>'Calculs dispo Données FA'!Z142</f>
        <v/>
      </c>
      <c r="Y39" s="254" t="str">
        <f>'Calculs dispo Données FA'!AA142</f>
        <v>11566 B &amp; conso =0</v>
      </c>
      <c r="AA39" s="234"/>
      <c r="AB39" s="563"/>
      <c r="AC39" s="594"/>
      <c r="AD39" s="587"/>
      <c r="AE39" s="588"/>
      <c r="AF39"/>
      <c r="AG39" s="234"/>
      <c r="AH39" s="563"/>
      <c r="AI39" s="594"/>
      <c r="AJ39" s="587"/>
      <c r="AK39" s="588"/>
    </row>
    <row r="40" spans="3:37" s="358" customFormat="1" x14ac:dyDescent="0.2">
      <c r="C40" s="374"/>
      <c r="D40" s="375"/>
      <c r="E40" s="396"/>
      <c r="F40" s="397"/>
      <c r="G40" s="397"/>
      <c r="H40" s="379"/>
      <c r="I40" s="379"/>
      <c r="J40" s="398"/>
      <c r="K40" s="399"/>
      <c r="L40" s="399"/>
      <c r="M40" s="117"/>
      <c r="N40" s="400"/>
      <c r="O40" s="234"/>
      <c r="P40" s="563"/>
      <c r="Q40" s="594"/>
      <c r="R40" s="587"/>
      <c r="S40" s="588"/>
      <c r="U40" s="234"/>
      <c r="V40" s="563"/>
      <c r="W40" s="594"/>
      <c r="X40" s="587"/>
      <c r="Y40" s="588"/>
      <c r="AA40" s="234">
        <f>'Calculs dispo Données conso'!Q144</f>
        <v>7.7885521885521882</v>
      </c>
      <c r="AB40" s="237">
        <f>'Calculs dispo Données conso'!R144</f>
        <v>4.7885521885521882</v>
      </c>
      <c r="AC40" s="244">
        <f>'Calculs dispo Données conso'!S144</f>
        <v>3</v>
      </c>
      <c r="AD40" s="253">
        <f>'Calculs dispo Données conso'!T144</f>
        <v>42064.651795735132</v>
      </c>
      <c r="AE40" s="254">
        <f>'Calculs dispo Données conso'!U144</f>
        <v>42155.901795735132</v>
      </c>
      <c r="AF40"/>
      <c r="AG40" s="234">
        <f>'Calculs dispo Données conso'!W144</f>
        <v>7.7885521885521882</v>
      </c>
      <c r="AH40" s="237">
        <f>'Calculs dispo Données conso'!X144</f>
        <v>4.7885521885521882</v>
      </c>
      <c r="AI40" s="244">
        <f>'Calculs dispo Données conso'!Y144</f>
        <v>3</v>
      </c>
      <c r="AJ40" s="253">
        <f>'Calculs dispo Données conso'!Z144</f>
        <v>42064.651795735132</v>
      </c>
      <c r="AK40" s="254">
        <f>'Calculs dispo Données conso'!AA144</f>
        <v>42155.901795735132</v>
      </c>
    </row>
    <row r="41" spans="3:37" s="358" customFormat="1" x14ac:dyDescent="0.2">
      <c r="C41" s="374"/>
      <c r="D41" s="375"/>
      <c r="E41" s="396" t="s">
        <v>29</v>
      </c>
      <c r="F41" s="397" t="str">
        <f>'TRAD-Calculs dispo confrontatio'!B42</f>
        <v>Cp</v>
      </c>
      <c r="G41" s="397" t="s">
        <v>30</v>
      </c>
      <c r="H41" s="379" t="s">
        <v>85</v>
      </c>
      <c r="I41" s="379" t="str">
        <f t="shared" si="0"/>
        <v>NVP - 200 mg - Bte/60</v>
      </c>
      <c r="J41" s="398"/>
      <c r="K41" s="399">
        <v>2</v>
      </c>
      <c r="L41" s="399">
        <f t="shared" si="2"/>
        <v>60</v>
      </c>
      <c r="M41" s="117">
        <v>60</v>
      </c>
      <c r="N41" s="400">
        <f t="shared" ref="N41:N73" si="4">L41/M41</f>
        <v>1</v>
      </c>
      <c r="O41" s="232" t="e">
        <f>'Calculs dispo Données FA'!Q144</f>
        <v>#DIV/0!</v>
      </c>
      <c r="P41" s="237" t="e">
        <f>'Calculs dispo Données FA'!R144</f>
        <v>#DIV/0!</v>
      </c>
      <c r="Q41" s="242" t="e">
        <f>'Calculs dispo Données FA'!S144</f>
        <v>#DIV/0!</v>
      </c>
      <c r="R41" s="249" t="e">
        <f>'Calculs dispo Données FA'!T144</f>
        <v>#DIV/0!</v>
      </c>
      <c r="S41" s="250" t="e">
        <f>'Calculs dispo Données FA'!U144</f>
        <v>#DIV/0!</v>
      </c>
      <c r="U41" s="232" t="str">
        <f>'Calculs dispo Données FA'!W144</f>
        <v/>
      </c>
      <c r="V41" s="237" t="str">
        <f>'Calculs dispo Données FA'!X144</f>
        <v/>
      </c>
      <c r="W41" s="242" t="str">
        <f>'Calculs dispo Données FA'!Y144</f>
        <v/>
      </c>
      <c r="X41" s="249" t="str">
        <f>'Calculs dispo Données FA'!Z144</f>
        <v/>
      </c>
      <c r="Y41" s="250" t="str">
        <f>'Calculs dispo Données FA'!AA144</f>
        <v/>
      </c>
      <c r="AA41" s="232"/>
      <c r="AB41" s="563"/>
      <c r="AC41" s="564"/>
      <c r="AD41" s="565"/>
      <c r="AE41" s="566"/>
      <c r="AF41"/>
      <c r="AG41" s="232"/>
      <c r="AH41" s="563"/>
      <c r="AI41" s="564"/>
      <c r="AJ41" s="565"/>
      <c r="AK41" s="566"/>
    </row>
    <row r="42" spans="3:37" s="358" customFormat="1" x14ac:dyDescent="0.2">
      <c r="C42" s="374"/>
      <c r="D42" s="609"/>
      <c r="E42" s="390"/>
      <c r="F42" s="391"/>
      <c r="G42" s="391"/>
      <c r="H42" s="401"/>
      <c r="I42" s="401"/>
      <c r="J42" s="401"/>
      <c r="K42" s="401"/>
      <c r="L42" s="401"/>
      <c r="M42" s="116"/>
      <c r="N42" s="311"/>
      <c r="O42" s="233"/>
      <c r="P42" s="589"/>
      <c r="Q42" s="590"/>
      <c r="R42" s="591"/>
      <c r="S42" s="592"/>
      <c r="U42" s="233"/>
      <c r="V42" s="589"/>
      <c r="W42" s="590"/>
      <c r="X42" s="591"/>
      <c r="Y42" s="592"/>
      <c r="AA42" s="233" t="e">
        <f>'Calculs dispo Données conso'!Q146</f>
        <v>#DIV/0!</v>
      </c>
      <c r="AB42" s="238" t="e">
        <f>'Calculs dispo Données conso'!R146</f>
        <v>#DIV/0!</v>
      </c>
      <c r="AC42" s="243" t="e">
        <f>'Calculs dispo Données conso'!S146</f>
        <v>#DIV/0!</v>
      </c>
      <c r="AD42" s="251" t="e">
        <f>'Calculs dispo Données conso'!T146</f>
        <v>#DIV/0!</v>
      </c>
      <c r="AE42" s="252" t="e">
        <f>'Calculs dispo Données conso'!U146</f>
        <v>#DIV/0!</v>
      </c>
      <c r="AF42"/>
      <c r="AG42" s="233" t="str">
        <f>'Calculs dispo Données conso'!W146</f>
        <v/>
      </c>
      <c r="AH42" s="238" t="str">
        <f>'Calculs dispo Données conso'!X146</f>
        <v/>
      </c>
      <c r="AI42" s="243" t="str">
        <f>'Calculs dispo Données conso'!Y146</f>
        <v/>
      </c>
      <c r="AJ42" s="251" t="str">
        <f>'Calculs dispo Données conso'!Z146</f>
        <v/>
      </c>
      <c r="AK42" s="252" t="str">
        <f>'Calculs dispo Données conso'!AA146</f>
        <v/>
      </c>
    </row>
    <row r="43" spans="3:37" s="358" customFormat="1" x14ac:dyDescent="0.2">
      <c r="C43" s="374"/>
      <c r="D43" s="610" t="s">
        <v>31</v>
      </c>
      <c r="E43" s="376" t="s">
        <v>36</v>
      </c>
      <c r="F43" s="377" t="str">
        <f>'TRAD-Calculs dispo confrontatio'!B42</f>
        <v>Cp</v>
      </c>
      <c r="G43" s="377" t="s">
        <v>33</v>
      </c>
      <c r="H43" s="378" t="s">
        <v>89</v>
      </c>
      <c r="I43" s="378" t="str">
        <f t="shared" si="0"/>
        <v>ABC - 300 mg - Bte/60</v>
      </c>
      <c r="J43" s="378" t="s">
        <v>106</v>
      </c>
      <c r="K43" s="612">
        <v>2</v>
      </c>
      <c r="L43" s="612">
        <f t="shared" si="2"/>
        <v>60</v>
      </c>
      <c r="M43" s="114">
        <v>60</v>
      </c>
      <c r="N43" s="308">
        <f t="shared" si="4"/>
        <v>1</v>
      </c>
      <c r="O43" s="231" t="e">
        <f>'Calculs dispo Données FA'!Q146</f>
        <v>#DIV/0!</v>
      </c>
      <c r="P43" s="236" t="e">
        <f>'Calculs dispo Données FA'!R146</f>
        <v>#DIV/0!</v>
      </c>
      <c r="Q43" s="241" t="e">
        <f>'Calculs dispo Données FA'!S146</f>
        <v>#DIV/0!</v>
      </c>
      <c r="R43" s="247" t="e">
        <f>'Calculs dispo Données FA'!T146</f>
        <v>#DIV/0!</v>
      </c>
      <c r="S43" s="248" t="e">
        <f>'Calculs dispo Données FA'!U146</f>
        <v>#DIV/0!</v>
      </c>
      <c r="U43" s="231" t="str">
        <f>'Calculs dispo Données FA'!W146</f>
        <v/>
      </c>
      <c r="V43" s="236" t="str">
        <f>'Calculs dispo Données FA'!X146</f>
        <v/>
      </c>
      <c r="W43" s="241" t="str">
        <f>'Calculs dispo Données FA'!Y146</f>
        <v/>
      </c>
      <c r="X43" s="247" t="str">
        <f>'Calculs dispo Données FA'!Z146</f>
        <v/>
      </c>
      <c r="Y43" s="248" t="str">
        <f>'Calculs dispo Données FA'!AA146</f>
        <v>1093 B &amp; conso =0</v>
      </c>
      <c r="AA43" s="231"/>
      <c r="AB43" s="555"/>
      <c r="AC43" s="556"/>
      <c r="AD43" s="557"/>
      <c r="AE43" s="558"/>
      <c r="AF43"/>
      <c r="AG43" s="231"/>
      <c r="AH43" s="555"/>
      <c r="AI43" s="556"/>
      <c r="AJ43" s="557"/>
      <c r="AK43" s="558"/>
    </row>
    <row r="44" spans="3:37" s="358" customFormat="1" x14ac:dyDescent="0.2">
      <c r="C44" s="374"/>
      <c r="D44" s="375"/>
      <c r="E44" s="382"/>
      <c r="F44" s="383"/>
      <c r="G44" s="383"/>
      <c r="H44" s="384"/>
      <c r="I44" s="384"/>
      <c r="J44" s="385"/>
      <c r="K44" s="386"/>
      <c r="L44" s="536"/>
      <c r="M44" s="537"/>
      <c r="N44" s="538"/>
      <c r="O44" s="231"/>
      <c r="P44" s="555"/>
      <c r="Q44" s="556"/>
      <c r="R44" s="557"/>
      <c r="S44" s="558"/>
      <c r="U44" s="231"/>
      <c r="V44" s="555"/>
      <c r="W44" s="556"/>
      <c r="X44" s="557"/>
      <c r="Y44" s="558"/>
      <c r="AA44" s="231">
        <f>'Calculs dispo Données conso'!Q148</f>
        <v>3.8465753424657123</v>
      </c>
      <c r="AB44" s="236">
        <f>'Calculs dispo Données conso'!R148</f>
        <v>0.84657534246571231</v>
      </c>
      <c r="AC44" s="241">
        <f>'Calculs dispo Données conso'!S148</f>
        <v>3</v>
      </c>
      <c r="AD44" s="247">
        <f>'Calculs dispo Données conso'!T148</f>
        <v>41944.75</v>
      </c>
      <c r="AE44" s="248">
        <f>'Calculs dispo Données conso'!U148</f>
        <v>42036</v>
      </c>
      <c r="AF44"/>
      <c r="AG44" s="231">
        <f>'Calculs dispo Données conso'!W148</f>
        <v>3.8465753424657123</v>
      </c>
      <c r="AH44" s="236">
        <f>'Calculs dispo Données conso'!X148</f>
        <v>0.84657534246571231</v>
      </c>
      <c r="AI44" s="241">
        <f>'Calculs dispo Données conso'!Y148</f>
        <v>3</v>
      </c>
      <c r="AJ44" s="247">
        <f>'Calculs dispo Données conso'!Z148</f>
        <v>41944.75</v>
      </c>
      <c r="AK44" s="248" t="str">
        <f>'Calculs dispo Données conso'!AA148</f>
        <v>DLU - 1/2/2015</v>
      </c>
    </row>
    <row r="45" spans="3:37" s="358" customFormat="1" x14ac:dyDescent="0.2">
      <c r="C45" s="374"/>
      <c r="D45" s="375"/>
      <c r="E45" s="376" t="s">
        <v>32</v>
      </c>
      <c r="F45" s="377" t="str">
        <f>'TRAD-Calculs dispo confrontatio'!B42</f>
        <v>Cp</v>
      </c>
      <c r="G45" s="377" t="s">
        <v>33</v>
      </c>
      <c r="H45" s="378" t="s">
        <v>81</v>
      </c>
      <c r="I45" s="378" t="str">
        <f t="shared" si="0"/>
        <v>AZT - 300 mg - Bte/60</v>
      </c>
      <c r="J45" s="379"/>
      <c r="K45" s="380">
        <v>2</v>
      </c>
      <c r="L45" s="380">
        <f t="shared" si="2"/>
        <v>60</v>
      </c>
      <c r="M45" s="114">
        <v>60</v>
      </c>
      <c r="N45" s="381">
        <f t="shared" si="4"/>
        <v>1</v>
      </c>
      <c r="O45" s="231" t="e">
        <f>'Calculs dispo Données FA'!Q148</f>
        <v>#DIV/0!</v>
      </c>
      <c r="P45" s="236" t="e">
        <f>'Calculs dispo Données FA'!R148</f>
        <v>#DIV/0!</v>
      </c>
      <c r="Q45" s="241" t="e">
        <f>'Calculs dispo Données FA'!S148</f>
        <v>#DIV/0!</v>
      </c>
      <c r="R45" s="247" t="e">
        <f>'Calculs dispo Données FA'!T148</f>
        <v>#DIV/0!</v>
      </c>
      <c r="S45" s="248" t="e">
        <f>'Calculs dispo Données FA'!U148</f>
        <v>#DIV/0!</v>
      </c>
      <c r="U45" s="231" t="str">
        <f>'Calculs dispo Données FA'!W148</f>
        <v/>
      </c>
      <c r="V45" s="236" t="str">
        <f>'Calculs dispo Données FA'!X148</f>
        <v/>
      </c>
      <c r="W45" s="241" t="str">
        <f>'Calculs dispo Données FA'!Y148</f>
        <v/>
      </c>
      <c r="X45" s="247" t="str">
        <f>'Calculs dispo Données FA'!Z148</f>
        <v/>
      </c>
      <c r="Y45" s="248" t="str">
        <f>'Calculs dispo Données FA'!AA148</f>
        <v/>
      </c>
      <c r="AA45" s="231"/>
      <c r="AB45" s="555"/>
      <c r="AC45" s="556"/>
      <c r="AD45" s="557"/>
      <c r="AE45" s="558"/>
      <c r="AF45"/>
      <c r="AG45" s="231"/>
      <c r="AH45" s="555"/>
      <c r="AI45" s="556"/>
      <c r="AJ45" s="557"/>
      <c r="AK45" s="558"/>
    </row>
    <row r="46" spans="3:37" s="358" customFormat="1" x14ac:dyDescent="0.2">
      <c r="C46" s="374"/>
      <c r="D46" s="375"/>
      <c r="E46" s="376"/>
      <c r="F46" s="377"/>
      <c r="G46" s="383"/>
      <c r="H46" s="378"/>
      <c r="I46" s="378"/>
      <c r="J46" s="379"/>
      <c r="K46" s="380"/>
      <c r="L46" s="380"/>
      <c r="M46" s="114"/>
      <c r="N46" s="381"/>
      <c r="O46" s="231"/>
      <c r="P46" s="555"/>
      <c r="Q46" s="556"/>
      <c r="R46" s="557"/>
      <c r="S46" s="558"/>
      <c r="U46" s="231"/>
      <c r="V46" s="555"/>
      <c r="W46" s="556"/>
      <c r="X46" s="557"/>
      <c r="Y46" s="558"/>
      <c r="AA46" s="231" t="e">
        <f>'Calculs dispo Données conso'!Q150</f>
        <v>#DIV/0!</v>
      </c>
      <c r="AB46" s="236" t="e">
        <f>'Calculs dispo Données conso'!R150</f>
        <v>#DIV/0!</v>
      </c>
      <c r="AC46" s="241" t="e">
        <f>'Calculs dispo Données conso'!S150</f>
        <v>#DIV/0!</v>
      </c>
      <c r="AD46" s="247" t="e">
        <f>'Calculs dispo Données conso'!T150</f>
        <v>#DIV/0!</v>
      </c>
      <c r="AE46" s="248" t="e">
        <f>'Calculs dispo Données conso'!U150</f>
        <v>#DIV/0!</v>
      </c>
      <c r="AF46"/>
      <c r="AG46" s="231" t="str">
        <f>'Calculs dispo Données conso'!W150</f>
        <v/>
      </c>
      <c r="AH46" s="236" t="str">
        <f>'Calculs dispo Données conso'!X150</f>
        <v/>
      </c>
      <c r="AI46" s="241" t="str">
        <f>'Calculs dispo Données conso'!Y150</f>
        <v/>
      </c>
      <c r="AJ46" s="247" t="str">
        <f>'Calculs dispo Données conso'!Z150</f>
        <v/>
      </c>
      <c r="AK46" s="248" t="str">
        <f>'Calculs dispo Données conso'!AA150</f>
        <v/>
      </c>
    </row>
    <row r="47" spans="3:37" s="358" customFormat="1" x14ac:dyDescent="0.2">
      <c r="C47" s="374"/>
      <c r="D47" s="375"/>
      <c r="E47" s="382" t="s">
        <v>32</v>
      </c>
      <c r="F47" s="383" t="str">
        <f>'TRAD-Calculs dispo confrontatio'!B42</f>
        <v>Cp</v>
      </c>
      <c r="G47" s="383" t="s">
        <v>46</v>
      </c>
      <c r="H47" s="384" t="s">
        <v>81</v>
      </c>
      <c r="I47" s="384" t="str">
        <f t="shared" si="0"/>
        <v>AZT - 100 mg - Bte/100</v>
      </c>
      <c r="J47" s="385"/>
      <c r="K47" s="386"/>
      <c r="L47" s="386"/>
      <c r="M47" s="115">
        <v>100</v>
      </c>
      <c r="N47" s="387"/>
      <c r="O47" s="231" t="e">
        <f>'Calculs dispo Données FA'!Q149</f>
        <v>#DIV/0!</v>
      </c>
      <c r="P47" s="237" t="e">
        <f>'Calculs dispo Données FA'!R149</f>
        <v>#DIV/0!</v>
      </c>
      <c r="Q47" s="242" t="e">
        <f>'Calculs dispo Données FA'!S149</f>
        <v>#DIV/0!</v>
      </c>
      <c r="R47" s="249" t="e">
        <f>'Calculs dispo Données FA'!T149</f>
        <v>#DIV/0!</v>
      </c>
      <c r="S47" s="250" t="e">
        <f>'Calculs dispo Données FA'!U149</f>
        <v>#DIV/0!</v>
      </c>
      <c r="U47" s="231" t="str">
        <f>'Calculs dispo Données FA'!W149</f>
        <v/>
      </c>
      <c r="V47" s="237" t="str">
        <f>'Calculs dispo Données FA'!X149</f>
        <v/>
      </c>
      <c r="W47" s="242" t="str">
        <f>'Calculs dispo Données FA'!Y149</f>
        <v/>
      </c>
      <c r="X47" s="249" t="str">
        <f>'Calculs dispo Données FA'!Z149</f>
        <v/>
      </c>
      <c r="Y47" s="250" t="str">
        <f>'Calculs dispo Données FA'!AA149</f>
        <v/>
      </c>
      <c r="AA47" s="231"/>
      <c r="AB47" s="563"/>
      <c r="AC47" s="564"/>
      <c r="AD47" s="565"/>
      <c r="AE47" s="566"/>
      <c r="AF47"/>
      <c r="AG47" s="231"/>
      <c r="AH47" s="563"/>
      <c r="AI47" s="564"/>
      <c r="AJ47" s="565"/>
      <c r="AK47" s="566"/>
    </row>
    <row r="48" spans="3:37" s="358" customFormat="1" x14ac:dyDescent="0.2">
      <c r="C48" s="374"/>
      <c r="D48" s="375"/>
      <c r="E48" s="376"/>
      <c r="F48" s="377"/>
      <c r="G48" s="1208"/>
      <c r="H48" s="378"/>
      <c r="I48" s="378"/>
      <c r="J48" s="379"/>
      <c r="K48" s="380"/>
      <c r="L48" s="380"/>
      <c r="M48" s="114"/>
      <c r="N48" s="381"/>
      <c r="O48" s="231"/>
      <c r="P48" s="555"/>
      <c r="Q48" s="556"/>
      <c r="R48" s="557"/>
      <c r="S48" s="558"/>
      <c r="U48" s="231"/>
      <c r="V48" s="555"/>
      <c r="W48" s="556"/>
      <c r="X48" s="557"/>
      <c r="Y48" s="558"/>
      <c r="AA48" s="231" t="e">
        <f>'Calculs dispo Données conso'!Q151</f>
        <v>#DIV/0!</v>
      </c>
      <c r="AB48" s="236" t="e">
        <f>'Calculs dispo Données conso'!R151</f>
        <v>#DIV/0!</v>
      </c>
      <c r="AC48" s="241" t="e">
        <f>'Calculs dispo Données conso'!S151</f>
        <v>#DIV/0!</v>
      </c>
      <c r="AD48" s="247" t="e">
        <f>'Calculs dispo Données conso'!T151</f>
        <v>#DIV/0!</v>
      </c>
      <c r="AE48" s="248" t="e">
        <f>'Calculs dispo Données conso'!U151</f>
        <v>#DIV/0!</v>
      </c>
      <c r="AF48"/>
      <c r="AG48" s="231" t="str">
        <f>'Calculs dispo Données conso'!W151</f>
        <v/>
      </c>
      <c r="AH48" s="236" t="str">
        <f>'Calculs dispo Données conso'!X151</f>
        <v/>
      </c>
      <c r="AI48" s="241" t="str">
        <f>'Calculs dispo Données conso'!Y151</f>
        <v/>
      </c>
      <c r="AJ48" s="247" t="str">
        <f>'Calculs dispo Données conso'!Z151</f>
        <v/>
      </c>
      <c r="AK48" s="248" t="str">
        <f>'Calculs dispo Données conso'!AA151</f>
        <v/>
      </c>
    </row>
    <row r="49" spans="3:37" s="358" customFormat="1" x14ac:dyDescent="0.2">
      <c r="C49" s="374"/>
      <c r="D49" s="375"/>
      <c r="E49" s="376" t="s">
        <v>82</v>
      </c>
      <c r="F49" s="377" t="str">
        <f>'TRAD-Calculs dispo confrontatio'!B42</f>
        <v>Cp</v>
      </c>
      <c r="G49" s="383" t="s">
        <v>222</v>
      </c>
      <c r="H49" s="378" t="s">
        <v>83</v>
      </c>
      <c r="I49" s="378" t="str">
        <f t="shared" si="0"/>
        <v>D4T - 30 mg - Bte/60</v>
      </c>
      <c r="J49" s="379" t="s">
        <v>223</v>
      </c>
      <c r="K49" s="380">
        <v>2</v>
      </c>
      <c r="L49" s="380">
        <f t="shared" si="2"/>
        <v>60</v>
      </c>
      <c r="M49" s="114">
        <v>60</v>
      </c>
      <c r="N49" s="381">
        <f t="shared" si="4"/>
        <v>1</v>
      </c>
      <c r="O49" s="231" t="e">
        <f>'Calculs dispo Données FA'!Q151</f>
        <v>#DIV/0!</v>
      </c>
      <c r="P49" s="236" t="e">
        <f>'Calculs dispo Données FA'!R151</f>
        <v>#DIV/0!</v>
      </c>
      <c r="Q49" s="241" t="e">
        <f>'Calculs dispo Données FA'!S151</f>
        <v>#DIV/0!</v>
      </c>
      <c r="R49" s="247" t="e">
        <f>'Calculs dispo Données FA'!T151</f>
        <v>#DIV/0!</v>
      </c>
      <c r="S49" s="248" t="e">
        <f>'Calculs dispo Données FA'!U151</f>
        <v>#DIV/0!</v>
      </c>
      <c r="U49" s="231" t="str">
        <f>'Calculs dispo Données FA'!W151</f>
        <v/>
      </c>
      <c r="V49" s="236" t="str">
        <f>'Calculs dispo Données FA'!X151</f>
        <v/>
      </c>
      <c r="W49" s="241" t="str">
        <f>'Calculs dispo Données FA'!Y151</f>
        <v/>
      </c>
      <c r="X49" s="247" t="str">
        <f>'Calculs dispo Données FA'!Z151</f>
        <v/>
      </c>
      <c r="Y49" s="248" t="str">
        <f>'Calculs dispo Données FA'!AA151</f>
        <v/>
      </c>
      <c r="AA49" s="231"/>
      <c r="AB49" s="555"/>
      <c r="AC49" s="556"/>
      <c r="AD49" s="557"/>
      <c r="AE49" s="558"/>
      <c r="AF49"/>
      <c r="AG49" s="231"/>
      <c r="AH49" s="555"/>
      <c r="AI49" s="556"/>
      <c r="AJ49" s="557"/>
      <c r="AK49" s="558"/>
    </row>
    <row r="50" spans="3:37" s="358" customFormat="1" x14ac:dyDescent="0.2">
      <c r="C50" s="374"/>
      <c r="D50" s="375"/>
      <c r="E50" s="376"/>
      <c r="F50" s="377"/>
      <c r="G50" s="383"/>
      <c r="H50" s="378"/>
      <c r="I50" s="378"/>
      <c r="J50" s="379"/>
      <c r="K50" s="380"/>
      <c r="L50" s="380"/>
      <c r="M50" s="114"/>
      <c r="N50" s="381"/>
      <c r="O50" s="231"/>
      <c r="P50" s="555"/>
      <c r="Q50" s="556"/>
      <c r="R50" s="557"/>
      <c r="S50" s="558"/>
      <c r="U50" s="231"/>
      <c r="V50" s="555"/>
      <c r="W50" s="556"/>
      <c r="X50" s="557"/>
      <c r="Y50" s="558"/>
      <c r="AA50" s="231" t="e">
        <f>'Calculs dispo Données conso'!Q153</f>
        <v>#DIV/0!</v>
      </c>
      <c r="AB50" s="236" t="e">
        <f>'Calculs dispo Données conso'!R153</f>
        <v>#DIV/0!</v>
      </c>
      <c r="AC50" s="241" t="e">
        <f>'Calculs dispo Données conso'!S153</f>
        <v>#DIV/0!</v>
      </c>
      <c r="AD50" s="247" t="e">
        <f>'Calculs dispo Données conso'!T153</f>
        <v>#DIV/0!</v>
      </c>
      <c r="AE50" s="248" t="e">
        <f>'Calculs dispo Données conso'!U153</f>
        <v>#DIV/0!</v>
      </c>
      <c r="AF50"/>
      <c r="AG50" s="231" t="str">
        <f>'Calculs dispo Données conso'!W153</f>
        <v/>
      </c>
      <c r="AH50" s="236" t="str">
        <f>'Calculs dispo Données conso'!X153</f>
        <v/>
      </c>
      <c r="AI50" s="241" t="str">
        <f>'Calculs dispo Données conso'!Y153</f>
        <v/>
      </c>
      <c r="AJ50" s="247" t="str">
        <f>'Calculs dispo Données conso'!Z153</f>
        <v/>
      </c>
      <c r="AK50" s="248" t="str">
        <f>'Calculs dispo Données conso'!AA153</f>
        <v/>
      </c>
    </row>
    <row r="51" spans="3:37" s="358" customFormat="1" x14ac:dyDescent="0.2">
      <c r="C51" s="374"/>
      <c r="D51" s="375"/>
      <c r="E51" s="376" t="s">
        <v>34</v>
      </c>
      <c r="F51" s="377" t="str">
        <f>'TRAD-Calculs dispo confrontatio'!B42</f>
        <v>Cp</v>
      </c>
      <c r="G51" s="383" t="s">
        <v>35</v>
      </c>
      <c r="H51" s="378" t="s">
        <v>132</v>
      </c>
      <c r="I51" s="378" t="str">
        <f t="shared" si="0"/>
        <v>3TC - 150 mg - Bte/60</v>
      </c>
      <c r="J51" s="379" t="s">
        <v>131</v>
      </c>
      <c r="K51" s="380">
        <v>2</v>
      </c>
      <c r="L51" s="380">
        <f t="shared" si="2"/>
        <v>60</v>
      </c>
      <c r="M51" s="114">
        <v>60</v>
      </c>
      <c r="N51" s="381">
        <f t="shared" si="4"/>
        <v>1</v>
      </c>
      <c r="O51" s="231" t="e">
        <f>'Calculs dispo Données FA'!Q152</f>
        <v>#DIV/0!</v>
      </c>
      <c r="P51" s="236" t="e">
        <f>'Calculs dispo Données FA'!R152</f>
        <v>#DIV/0!</v>
      </c>
      <c r="Q51" s="241" t="e">
        <f>'Calculs dispo Données FA'!S152</f>
        <v>#DIV/0!</v>
      </c>
      <c r="R51" s="247" t="e">
        <f>'Calculs dispo Données FA'!T152</f>
        <v>#DIV/0!</v>
      </c>
      <c r="S51" s="248" t="e">
        <f>'Calculs dispo Données FA'!U152</f>
        <v>#DIV/0!</v>
      </c>
      <c r="U51" s="231" t="str">
        <f>'Calculs dispo Données FA'!W152</f>
        <v/>
      </c>
      <c r="V51" s="236" t="str">
        <f>'Calculs dispo Données FA'!X152</f>
        <v/>
      </c>
      <c r="W51" s="241" t="str">
        <f>'Calculs dispo Données FA'!Y152</f>
        <v/>
      </c>
      <c r="X51" s="247" t="str">
        <f>'Calculs dispo Données FA'!Z152</f>
        <v/>
      </c>
      <c r="Y51" s="248" t="str">
        <f>'Calculs dispo Données FA'!AA152</f>
        <v/>
      </c>
      <c r="AA51" s="231"/>
      <c r="AB51" s="555"/>
      <c r="AC51" s="556"/>
      <c r="AD51" s="557"/>
      <c r="AE51" s="558"/>
      <c r="AF51"/>
      <c r="AG51" s="231"/>
      <c r="AH51" s="555"/>
      <c r="AI51" s="556"/>
      <c r="AJ51" s="557"/>
      <c r="AK51" s="558"/>
    </row>
    <row r="52" spans="3:37" s="358" customFormat="1" x14ac:dyDescent="0.2">
      <c r="C52" s="374"/>
      <c r="D52" s="375"/>
      <c r="E52" s="376"/>
      <c r="F52" s="377"/>
      <c r="G52" s="383"/>
      <c r="H52" s="378"/>
      <c r="I52" s="378"/>
      <c r="J52" s="379"/>
      <c r="K52" s="380"/>
      <c r="L52" s="380"/>
      <c r="M52" s="114"/>
      <c r="N52" s="381"/>
      <c r="O52" s="231"/>
      <c r="P52" s="555"/>
      <c r="Q52" s="556"/>
      <c r="R52" s="557"/>
      <c r="S52" s="558"/>
      <c r="U52" s="231"/>
      <c r="V52" s="555"/>
      <c r="W52" s="556"/>
      <c r="X52" s="557"/>
      <c r="Y52" s="558"/>
      <c r="AA52" s="231" t="e">
        <f>'Calculs dispo Données conso'!Q154</f>
        <v>#DIV/0!</v>
      </c>
      <c r="AB52" s="236" t="e">
        <f>'Calculs dispo Données conso'!R154</f>
        <v>#DIV/0!</v>
      </c>
      <c r="AC52" s="241" t="e">
        <f>'Calculs dispo Données conso'!S154</f>
        <v>#DIV/0!</v>
      </c>
      <c r="AD52" s="247" t="e">
        <f>'Calculs dispo Données conso'!T154</f>
        <v>#DIV/0!</v>
      </c>
      <c r="AE52" s="248" t="e">
        <f>'Calculs dispo Données conso'!U154</f>
        <v>#DIV/0!</v>
      </c>
      <c r="AF52"/>
      <c r="AG52" s="231" t="str">
        <f>'Calculs dispo Données conso'!W154</f>
        <v/>
      </c>
      <c r="AH52" s="236" t="str">
        <f>'Calculs dispo Données conso'!X154</f>
        <v/>
      </c>
      <c r="AI52" s="241" t="str">
        <f>'Calculs dispo Données conso'!Y154</f>
        <v/>
      </c>
      <c r="AJ52" s="247" t="str">
        <f>'Calculs dispo Données conso'!Z154</f>
        <v/>
      </c>
      <c r="AK52" s="248" t="str">
        <f>'Calculs dispo Données conso'!AA154</f>
        <v/>
      </c>
    </row>
    <row r="53" spans="3:37" s="358" customFormat="1" ht="38.25" x14ac:dyDescent="0.2">
      <c r="C53" s="374"/>
      <c r="D53" s="375"/>
      <c r="E53" s="382" t="s">
        <v>37</v>
      </c>
      <c r="F53" s="383" t="str">
        <f>'TRAD-Calculs dispo confrontatio'!B42</f>
        <v>Cp</v>
      </c>
      <c r="G53" s="383" t="s">
        <v>38</v>
      </c>
      <c r="H53" s="384" t="s">
        <v>92</v>
      </c>
      <c r="I53" s="384" t="str">
        <f t="shared" si="0"/>
        <v>DDI - 250 mg - Bte/30</v>
      </c>
      <c r="J53" s="385" t="s">
        <v>107</v>
      </c>
      <c r="K53" s="386">
        <v>1</v>
      </c>
      <c r="L53" s="386">
        <f t="shared" si="2"/>
        <v>30</v>
      </c>
      <c r="M53" s="115">
        <v>30</v>
      </c>
      <c r="N53" s="387">
        <f t="shared" si="4"/>
        <v>1</v>
      </c>
      <c r="O53" s="231" t="e">
        <f>'Calculs dispo Données FA'!Q154</f>
        <v>#DIV/0!</v>
      </c>
      <c r="P53" s="237" t="e">
        <f>'Calculs dispo Données FA'!R154</f>
        <v>#DIV/0!</v>
      </c>
      <c r="Q53" s="242" t="e">
        <f>'Calculs dispo Données FA'!S154</f>
        <v>#DIV/0!</v>
      </c>
      <c r="R53" s="249" t="e">
        <f>'Calculs dispo Données FA'!T154</f>
        <v>#DIV/0!</v>
      </c>
      <c r="S53" s="250" t="e">
        <f>'Calculs dispo Données FA'!U154</f>
        <v>#DIV/0!</v>
      </c>
      <c r="U53" s="231" t="str">
        <f>'Calculs dispo Données FA'!W154</f>
        <v/>
      </c>
      <c r="V53" s="237" t="str">
        <f>'Calculs dispo Données FA'!X154</f>
        <v/>
      </c>
      <c r="W53" s="242" t="str">
        <f>'Calculs dispo Données FA'!Y154</f>
        <v/>
      </c>
      <c r="X53" s="249" t="str">
        <f>'Calculs dispo Données FA'!Z154</f>
        <v/>
      </c>
      <c r="Y53" s="250" t="str">
        <f>'Calculs dispo Données FA'!AA154</f>
        <v/>
      </c>
      <c r="AA53" s="231"/>
      <c r="AB53" s="563"/>
      <c r="AC53" s="564"/>
      <c r="AD53" s="565"/>
      <c r="AE53" s="566"/>
      <c r="AF53"/>
      <c r="AG53" s="231"/>
      <c r="AH53" s="563"/>
      <c r="AI53" s="564"/>
      <c r="AJ53" s="565"/>
      <c r="AK53" s="566"/>
    </row>
    <row r="54" spans="3:37" s="358" customFormat="1" x14ac:dyDescent="0.2">
      <c r="C54" s="374"/>
      <c r="D54" s="375"/>
      <c r="E54" s="382"/>
      <c r="F54" s="383"/>
      <c r="G54" s="397"/>
      <c r="H54" s="384"/>
      <c r="I54" s="384"/>
      <c r="J54" s="385"/>
      <c r="K54" s="399"/>
      <c r="L54" s="399"/>
      <c r="M54" s="117"/>
      <c r="N54" s="400"/>
      <c r="O54" s="539"/>
      <c r="P54" s="563"/>
      <c r="Q54" s="564"/>
      <c r="R54" s="587"/>
      <c r="S54" s="588"/>
      <c r="U54" s="539"/>
      <c r="V54" s="563"/>
      <c r="W54" s="564"/>
      <c r="X54" s="587"/>
      <c r="Y54" s="588"/>
      <c r="AA54" s="539" t="e">
        <f>'Calculs dispo Données conso'!Q156</f>
        <v>#DIV/0!</v>
      </c>
      <c r="AB54" s="237" t="e">
        <f>'Calculs dispo Données conso'!R156</f>
        <v>#DIV/0!</v>
      </c>
      <c r="AC54" s="242" t="e">
        <f>'Calculs dispo Données conso'!S156</f>
        <v>#DIV/0!</v>
      </c>
      <c r="AD54" s="253" t="e">
        <f>'Calculs dispo Données conso'!T156</f>
        <v>#DIV/0!</v>
      </c>
      <c r="AE54" s="254" t="e">
        <f>'Calculs dispo Données conso'!U156</f>
        <v>#DIV/0!</v>
      </c>
      <c r="AF54"/>
      <c r="AG54" s="539" t="str">
        <f>'Calculs dispo Données conso'!W156</f>
        <v/>
      </c>
      <c r="AH54" s="237" t="str">
        <f>'Calculs dispo Données conso'!X156</f>
        <v/>
      </c>
      <c r="AI54" s="242" t="str">
        <f>'Calculs dispo Données conso'!Y156</f>
        <v/>
      </c>
      <c r="AJ54" s="253" t="str">
        <f>'Calculs dispo Données conso'!Z156</f>
        <v/>
      </c>
      <c r="AK54" s="254" t="str">
        <f>'Calculs dispo Données conso'!AA156</f>
        <v/>
      </c>
    </row>
    <row r="55" spans="3:37" s="358" customFormat="1" ht="38.25" x14ac:dyDescent="0.2">
      <c r="C55" s="374"/>
      <c r="D55" s="375"/>
      <c r="E55" s="382" t="s">
        <v>37</v>
      </c>
      <c r="F55" s="383" t="str">
        <f>'TRAD-Calculs dispo confrontatio'!B42</f>
        <v>Cp</v>
      </c>
      <c r="G55" s="397" t="s">
        <v>39</v>
      </c>
      <c r="H55" s="384" t="s">
        <v>92</v>
      </c>
      <c r="I55" s="384" t="str">
        <f t="shared" si="0"/>
        <v>DDI - 400 mg - Bte/30</v>
      </c>
      <c r="J55" s="385" t="s">
        <v>107</v>
      </c>
      <c r="K55" s="399">
        <v>1</v>
      </c>
      <c r="L55" s="399">
        <f t="shared" si="2"/>
        <v>30</v>
      </c>
      <c r="M55" s="117">
        <v>30</v>
      </c>
      <c r="N55" s="400">
        <f t="shared" si="4"/>
        <v>1</v>
      </c>
      <c r="O55" s="234" t="e">
        <f>'Calculs dispo Données FA'!Q155</f>
        <v>#DIV/0!</v>
      </c>
      <c r="P55" s="237" t="e">
        <f>'Calculs dispo Données FA'!R155</f>
        <v>#DIV/0!</v>
      </c>
      <c r="Q55" s="242" t="e">
        <f>'Calculs dispo Données FA'!S155</f>
        <v>#DIV/0!</v>
      </c>
      <c r="R55" s="253" t="e">
        <f>'Calculs dispo Données FA'!T155</f>
        <v>#DIV/0!</v>
      </c>
      <c r="S55" s="254" t="e">
        <f>'Calculs dispo Données FA'!U155</f>
        <v>#DIV/0!</v>
      </c>
      <c r="U55" s="234" t="str">
        <f>'Calculs dispo Données FA'!W155</f>
        <v/>
      </c>
      <c r="V55" s="237" t="str">
        <f>'Calculs dispo Données FA'!X155</f>
        <v/>
      </c>
      <c r="W55" s="242" t="str">
        <f>'Calculs dispo Données FA'!Y155</f>
        <v/>
      </c>
      <c r="X55" s="253" t="str">
        <f>'Calculs dispo Données FA'!Z155</f>
        <v/>
      </c>
      <c r="Y55" s="254" t="str">
        <f>'Calculs dispo Données FA'!AA155</f>
        <v>956 B &amp; conso =0</v>
      </c>
      <c r="AA55" s="234"/>
      <c r="AB55" s="563"/>
      <c r="AC55" s="564"/>
      <c r="AD55" s="587"/>
      <c r="AE55" s="588"/>
      <c r="AF55"/>
      <c r="AG55" s="234"/>
      <c r="AH55" s="563"/>
      <c r="AI55" s="564"/>
      <c r="AJ55" s="587"/>
      <c r="AK55" s="588"/>
    </row>
    <row r="56" spans="3:37" s="358" customFormat="1" x14ac:dyDescent="0.2">
      <c r="C56" s="374"/>
      <c r="D56" s="375"/>
      <c r="E56" s="382"/>
      <c r="F56" s="383"/>
      <c r="G56" s="383"/>
      <c r="H56" s="384"/>
      <c r="I56" s="384"/>
      <c r="J56" s="385"/>
      <c r="K56" s="386"/>
      <c r="L56" s="386"/>
      <c r="M56" s="115"/>
      <c r="N56" s="611"/>
      <c r="O56" s="234"/>
      <c r="P56" s="593"/>
      <c r="Q56" s="594"/>
      <c r="R56" s="587"/>
      <c r="S56" s="588"/>
      <c r="U56" s="234"/>
      <c r="V56" s="593"/>
      <c r="W56" s="594"/>
      <c r="X56" s="587"/>
      <c r="Y56" s="588"/>
      <c r="AA56" s="234">
        <f>'Calculs dispo Données conso'!Q157</f>
        <v>9.7972602739726042</v>
      </c>
      <c r="AB56" s="239">
        <f>'Calculs dispo Données conso'!R157</f>
        <v>6.7972602739726042</v>
      </c>
      <c r="AC56" s="244">
        <f>'Calculs dispo Données conso'!S157</f>
        <v>3</v>
      </c>
      <c r="AD56" s="253">
        <f>'Calculs dispo Données conso'!T157</f>
        <v>42125.75</v>
      </c>
      <c r="AE56" s="254">
        <f>'Calculs dispo Données conso'!U157</f>
        <v>42217</v>
      </c>
      <c r="AF56"/>
      <c r="AG56" s="234">
        <f>'Calculs dispo Données conso'!W157</f>
        <v>9.7972602739726042</v>
      </c>
      <c r="AH56" s="239">
        <f>'Calculs dispo Données conso'!X157</f>
        <v>6.7972602739726042</v>
      </c>
      <c r="AI56" s="244">
        <f>'Calculs dispo Données conso'!Y157</f>
        <v>3</v>
      </c>
      <c r="AJ56" s="253">
        <f>'Calculs dispo Données conso'!Z157</f>
        <v>42125.75</v>
      </c>
      <c r="AK56" s="254" t="str">
        <f>'Calculs dispo Données conso'!AA157</f>
        <v>DLU - 1/8/2015</v>
      </c>
    </row>
    <row r="57" spans="3:37" s="358" customFormat="1" x14ac:dyDescent="0.2">
      <c r="C57" s="374"/>
      <c r="D57" s="375"/>
      <c r="E57" s="534" t="s">
        <v>40</v>
      </c>
      <c r="F57" s="535" t="str">
        <f>'TRAD-Calculs dispo confrontatio'!B42</f>
        <v>Cp</v>
      </c>
      <c r="G57" s="397" t="s">
        <v>33</v>
      </c>
      <c r="H57" s="544" t="s">
        <v>125</v>
      </c>
      <c r="I57" s="544" t="str">
        <f t="shared" si="0"/>
        <v>TDF - 300 mg - Bte/30</v>
      </c>
      <c r="J57" s="544"/>
      <c r="K57" s="399">
        <v>1</v>
      </c>
      <c r="L57" s="399">
        <f t="shared" si="2"/>
        <v>30</v>
      </c>
      <c r="M57" s="117">
        <v>30</v>
      </c>
      <c r="N57" s="400">
        <f t="shared" si="4"/>
        <v>1</v>
      </c>
      <c r="O57" s="232" t="e">
        <f>'Calculs dispo Données FA'!Q156</f>
        <v>#DIV/0!</v>
      </c>
      <c r="P57" s="237" t="e">
        <f>'Calculs dispo Données FA'!R156</f>
        <v>#DIV/0!</v>
      </c>
      <c r="Q57" s="242" t="e">
        <f>'Calculs dispo Données FA'!S156</f>
        <v>#DIV/0!</v>
      </c>
      <c r="R57" s="249" t="e">
        <f>'Calculs dispo Données FA'!T156</f>
        <v>#DIV/0!</v>
      </c>
      <c r="S57" s="250" t="e">
        <f>'Calculs dispo Données FA'!U156</f>
        <v>#DIV/0!</v>
      </c>
      <c r="U57" s="232" t="str">
        <f>'Calculs dispo Données FA'!W156</f>
        <v/>
      </c>
      <c r="V57" s="237" t="str">
        <f>'Calculs dispo Données FA'!X156</f>
        <v/>
      </c>
      <c r="W57" s="242" t="str">
        <f>'Calculs dispo Données FA'!Y156</f>
        <v/>
      </c>
      <c r="X57" s="249" t="str">
        <f>'Calculs dispo Données FA'!Z156</f>
        <v/>
      </c>
      <c r="Y57" s="250" t="str">
        <f>'Calculs dispo Données FA'!AA156</f>
        <v/>
      </c>
      <c r="AA57" s="232"/>
      <c r="AB57" s="563"/>
      <c r="AC57" s="564"/>
      <c r="AD57" s="565"/>
      <c r="AE57" s="566"/>
      <c r="AF57"/>
      <c r="AG57" s="232"/>
      <c r="AH57" s="563"/>
      <c r="AI57" s="564"/>
      <c r="AJ57" s="565"/>
      <c r="AK57" s="566"/>
    </row>
    <row r="58" spans="3:37" s="358" customFormat="1" x14ac:dyDescent="0.2">
      <c r="C58" s="374"/>
      <c r="D58" s="609"/>
      <c r="E58" s="390"/>
      <c r="F58" s="391"/>
      <c r="G58" s="391"/>
      <c r="H58" s="401"/>
      <c r="I58" s="401"/>
      <c r="J58" s="401"/>
      <c r="K58" s="401"/>
      <c r="L58" s="401"/>
      <c r="M58" s="116"/>
      <c r="N58" s="311"/>
      <c r="O58" s="233"/>
      <c r="P58" s="589"/>
      <c r="Q58" s="590"/>
      <c r="R58" s="591"/>
      <c r="S58" s="592"/>
      <c r="U58" s="233"/>
      <c r="V58" s="589"/>
      <c r="W58" s="590"/>
      <c r="X58" s="591"/>
      <c r="Y58" s="592"/>
      <c r="AA58" s="233" t="e">
        <f>'Calculs dispo Données conso'!Q158</f>
        <v>#DIV/0!</v>
      </c>
      <c r="AB58" s="238" t="e">
        <f>'Calculs dispo Données conso'!R158</f>
        <v>#DIV/0!</v>
      </c>
      <c r="AC58" s="243" t="e">
        <f>'Calculs dispo Données conso'!S158</f>
        <v>#DIV/0!</v>
      </c>
      <c r="AD58" s="251" t="e">
        <f>'Calculs dispo Données conso'!T158</f>
        <v>#DIV/0!</v>
      </c>
      <c r="AE58" s="252" t="e">
        <f>'Calculs dispo Données conso'!U158</f>
        <v>#DIV/0!</v>
      </c>
      <c r="AF58"/>
      <c r="AG58" s="233" t="str">
        <f>'Calculs dispo Données conso'!W158</f>
        <v/>
      </c>
      <c r="AH58" s="238" t="str">
        <f>'Calculs dispo Données conso'!X158</f>
        <v/>
      </c>
      <c r="AI58" s="243" t="str">
        <f>'Calculs dispo Données conso'!Y158</f>
        <v/>
      </c>
      <c r="AJ58" s="251" t="str">
        <f>'Calculs dispo Données conso'!Z158</f>
        <v/>
      </c>
      <c r="AK58" s="252" t="str">
        <f>'Calculs dispo Données conso'!AA158</f>
        <v/>
      </c>
    </row>
    <row r="59" spans="3:37" s="358" customFormat="1" x14ac:dyDescent="0.2">
      <c r="C59" s="374"/>
      <c r="D59" s="610" t="s">
        <v>41</v>
      </c>
      <c r="E59" s="376" t="s">
        <v>42</v>
      </c>
      <c r="F59" s="377" t="str">
        <f>'TRAD-Calculs dispo confrontatio'!B42</f>
        <v>Cp</v>
      </c>
      <c r="G59" s="377" t="s">
        <v>43</v>
      </c>
      <c r="H59" s="378" t="s">
        <v>108</v>
      </c>
      <c r="I59" s="378" t="str">
        <f t="shared" si="0"/>
        <v>LPV/r - 200/50 mg - Bte/120</v>
      </c>
      <c r="J59" s="378" t="s">
        <v>109</v>
      </c>
      <c r="K59" s="612">
        <v>4</v>
      </c>
      <c r="L59" s="612">
        <f t="shared" si="2"/>
        <v>120</v>
      </c>
      <c r="M59" s="114">
        <v>120</v>
      </c>
      <c r="N59" s="308">
        <f t="shared" si="4"/>
        <v>1</v>
      </c>
      <c r="O59" s="231" t="e">
        <f>'Calculs dispo Données FA'!Q157</f>
        <v>#DIV/0!</v>
      </c>
      <c r="P59" s="236" t="e">
        <f>'Calculs dispo Données FA'!R157</f>
        <v>#DIV/0!</v>
      </c>
      <c r="Q59" s="241" t="e">
        <f>'Calculs dispo Données FA'!S157</f>
        <v>#DIV/0!</v>
      </c>
      <c r="R59" s="247" t="e">
        <f>'Calculs dispo Données FA'!T157</f>
        <v>#DIV/0!</v>
      </c>
      <c r="S59" s="248" t="e">
        <f>'Calculs dispo Données FA'!U157</f>
        <v>#DIV/0!</v>
      </c>
      <c r="U59" s="231" t="str">
        <f>'Calculs dispo Données FA'!W157</f>
        <v/>
      </c>
      <c r="V59" s="236" t="str">
        <f>'Calculs dispo Données FA'!X157</f>
        <v/>
      </c>
      <c r="W59" s="241" t="str">
        <f>'Calculs dispo Données FA'!Y157</f>
        <v/>
      </c>
      <c r="X59" s="247" t="str">
        <f>'Calculs dispo Données FA'!Z157</f>
        <v/>
      </c>
      <c r="Y59" s="248" t="str">
        <f>'Calculs dispo Données FA'!AA157</f>
        <v>750 B &amp; conso =0</v>
      </c>
      <c r="AA59" s="231"/>
      <c r="AB59" s="555"/>
      <c r="AC59" s="556"/>
      <c r="AD59" s="557"/>
      <c r="AE59" s="558"/>
      <c r="AF59"/>
      <c r="AG59" s="231"/>
      <c r="AH59" s="555"/>
      <c r="AI59" s="556"/>
      <c r="AJ59" s="557"/>
      <c r="AK59" s="558"/>
    </row>
    <row r="60" spans="3:37" s="358" customFormat="1" x14ac:dyDescent="0.2">
      <c r="C60" s="374"/>
      <c r="D60" s="375"/>
      <c r="E60" s="534"/>
      <c r="F60" s="535"/>
      <c r="G60" s="535"/>
      <c r="H60" s="544"/>
      <c r="I60" s="544"/>
      <c r="J60" s="533"/>
      <c r="K60" s="536"/>
      <c r="L60" s="536"/>
      <c r="M60" s="537"/>
      <c r="N60" s="538"/>
      <c r="O60" s="539"/>
      <c r="P60" s="595"/>
      <c r="Q60" s="556"/>
      <c r="R60" s="597"/>
      <c r="S60" s="598"/>
      <c r="U60" s="539"/>
      <c r="V60" s="595"/>
      <c r="W60" s="556"/>
      <c r="X60" s="597"/>
      <c r="Y60" s="598"/>
      <c r="AA60" s="539">
        <f>'Calculs dispo Données conso'!Q159</f>
        <v>7.0754716981132075</v>
      </c>
      <c r="AB60" s="543">
        <f>'Calculs dispo Données conso'!R159</f>
        <v>4.0754716981132075</v>
      </c>
      <c r="AC60" s="241">
        <f>'Calculs dispo Données conso'!S159</f>
        <v>3</v>
      </c>
      <c r="AD60" s="541">
        <f>'Calculs dispo Données conso'!T159</f>
        <v>42042.962264150941</v>
      </c>
      <c r="AE60" s="542">
        <f>'Calculs dispo Données conso'!U159</f>
        <v>42134.212264150941</v>
      </c>
      <c r="AF60"/>
      <c r="AG60" s="539">
        <f>'Calculs dispo Données conso'!W159</f>
        <v>7.0754716981132075</v>
      </c>
      <c r="AH60" s="543">
        <f>'Calculs dispo Données conso'!X159</f>
        <v>4.0754716981132075</v>
      </c>
      <c r="AI60" s="241">
        <f>'Calculs dispo Données conso'!Y159</f>
        <v>3</v>
      </c>
      <c r="AJ60" s="541">
        <f>'Calculs dispo Données conso'!Z159</f>
        <v>42042.962264150941</v>
      </c>
      <c r="AK60" s="542">
        <f>'Calculs dispo Données conso'!AA159</f>
        <v>42134.212264150941</v>
      </c>
    </row>
    <row r="61" spans="3:37" s="358" customFormat="1" x14ac:dyDescent="0.2">
      <c r="C61" s="374"/>
      <c r="D61" s="402"/>
      <c r="E61" s="396" t="s">
        <v>42</v>
      </c>
      <c r="F61" s="397" t="str">
        <f>'TRAD-Calculs dispo confrontatio'!B42</f>
        <v>Cp</v>
      </c>
      <c r="G61" s="397" t="s">
        <v>496</v>
      </c>
      <c r="H61" s="403" t="s">
        <v>108</v>
      </c>
      <c r="I61" s="403" t="str">
        <f t="shared" si="0"/>
        <v>LPV/r - 100/25 mg - Bte/60</v>
      </c>
      <c r="J61" s="398"/>
      <c r="K61" s="399">
        <v>2</v>
      </c>
      <c r="L61" s="399">
        <f t="shared" ref="L61" si="5">K61*30</f>
        <v>60</v>
      </c>
      <c r="M61" s="117">
        <v>60</v>
      </c>
      <c r="N61" s="400">
        <f t="shared" ref="N61" si="6">L61/M61</f>
        <v>1</v>
      </c>
      <c r="O61" s="234" t="e">
        <f>'Calculs dispo Données FA'!Q158</f>
        <v>#DIV/0!</v>
      </c>
      <c r="P61" s="239" t="e">
        <f>'Calculs dispo Données FA'!R158</f>
        <v>#DIV/0!</v>
      </c>
      <c r="Q61" s="241" t="e">
        <f>'Calculs dispo Données FA'!S158</f>
        <v>#DIV/0!</v>
      </c>
      <c r="R61" s="253" t="e">
        <f>'Calculs dispo Données FA'!T158</f>
        <v>#DIV/0!</v>
      </c>
      <c r="S61" s="254" t="e">
        <f>'Calculs dispo Données FA'!U158</f>
        <v>#DIV/0!</v>
      </c>
      <c r="U61" s="234" t="str">
        <f>'Calculs dispo Données FA'!W158</f>
        <v/>
      </c>
      <c r="V61" s="239" t="str">
        <f>'Calculs dispo Données FA'!X158</f>
        <v/>
      </c>
      <c r="W61" s="241" t="str">
        <f>'Calculs dispo Données FA'!Y158</f>
        <v/>
      </c>
      <c r="X61" s="253" t="str">
        <f>'Calculs dispo Données FA'!Z158</f>
        <v/>
      </c>
      <c r="Y61" s="254" t="str">
        <f>'Calculs dispo Données FA'!AA158</f>
        <v>770 B &amp; conso =0</v>
      </c>
      <c r="AA61" s="234"/>
      <c r="AB61" s="593"/>
      <c r="AC61" s="556"/>
      <c r="AD61" s="587"/>
      <c r="AE61" s="588"/>
      <c r="AF61"/>
      <c r="AG61" s="234"/>
      <c r="AH61" s="593"/>
      <c r="AI61" s="556"/>
      <c r="AJ61" s="587"/>
      <c r="AK61" s="588"/>
    </row>
    <row r="62" spans="3:37" s="358" customFormat="1" x14ac:dyDescent="0.2">
      <c r="C62" s="374"/>
      <c r="D62" s="402"/>
      <c r="E62" s="396"/>
      <c r="F62" s="397"/>
      <c r="G62" s="397"/>
      <c r="H62" s="403"/>
      <c r="I62" s="403"/>
      <c r="J62" s="398"/>
      <c r="K62" s="399"/>
      <c r="L62" s="399"/>
      <c r="M62" s="117"/>
      <c r="N62" s="400"/>
      <c r="O62" s="234"/>
      <c r="P62" s="593"/>
      <c r="Q62" s="596"/>
      <c r="R62" s="587"/>
      <c r="S62" s="588"/>
      <c r="U62" s="234"/>
      <c r="V62" s="593"/>
      <c r="W62" s="596"/>
      <c r="X62" s="587"/>
      <c r="Y62" s="588"/>
      <c r="AA62" s="234">
        <f>'Calculs dispo Données conso'!Q160</f>
        <v>10.397412480974127</v>
      </c>
      <c r="AB62" s="239">
        <f>'Calculs dispo Données conso'!R160</f>
        <v>7.3974124809741273</v>
      </c>
      <c r="AC62" s="540">
        <f>'Calculs dispo Données conso'!S160</f>
        <v>3</v>
      </c>
      <c r="AD62" s="253">
        <f>'Calculs dispo Données conso'!T160</f>
        <v>42144.004629629628</v>
      </c>
      <c r="AE62" s="254">
        <f>'Calculs dispo Données conso'!U160</f>
        <v>42235.254629629628</v>
      </c>
      <c r="AF62"/>
      <c r="AG62" s="234">
        <f>'Calculs dispo Données conso'!W160</f>
        <v>5.7863013698630139</v>
      </c>
      <c r="AH62" s="239">
        <f>'Calculs dispo Données conso'!X160</f>
        <v>2.7863013698630139</v>
      </c>
      <c r="AI62" s="540">
        <f>'Calculs dispo Données conso'!Y160</f>
        <v>3</v>
      </c>
      <c r="AJ62" s="253">
        <f>'Calculs dispo Données conso'!Z160</f>
        <v>42003.75</v>
      </c>
      <c r="AK62" s="254" t="str">
        <f>'Calculs dispo Données conso'!AA160</f>
        <v>DLU - 1/4/2015</v>
      </c>
    </row>
    <row r="63" spans="3:37" s="358" customFormat="1" x14ac:dyDescent="0.2">
      <c r="C63" s="374"/>
      <c r="D63" s="402"/>
      <c r="E63" s="396" t="s">
        <v>44</v>
      </c>
      <c r="F63" s="397" t="s">
        <v>104</v>
      </c>
      <c r="G63" s="397" t="s">
        <v>39</v>
      </c>
      <c r="H63" s="403" t="s">
        <v>127</v>
      </c>
      <c r="I63" s="403" t="str">
        <f t="shared" si="0"/>
        <v>IDV - 400 mg - Bte/180</v>
      </c>
      <c r="J63" s="398"/>
      <c r="K63" s="399">
        <v>6</v>
      </c>
      <c r="L63" s="399">
        <f t="shared" si="2"/>
        <v>180</v>
      </c>
      <c r="M63" s="117">
        <v>180</v>
      </c>
      <c r="N63" s="400">
        <f t="shared" si="4"/>
        <v>1</v>
      </c>
      <c r="O63" s="234" t="e">
        <f>'Calculs dispo Données FA'!Q161</f>
        <v>#DIV/0!</v>
      </c>
      <c r="P63" s="239" t="e">
        <f>'Calculs dispo Données FA'!R161</f>
        <v>#DIV/0!</v>
      </c>
      <c r="Q63" s="241" t="e">
        <f>'Calculs dispo Données FA'!S161</f>
        <v>#DIV/0!</v>
      </c>
      <c r="R63" s="253" t="e">
        <f>'Calculs dispo Données FA'!T161</f>
        <v>#DIV/0!</v>
      </c>
      <c r="S63" s="254" t="e">
        <f>'Calculs dispo Données FA'!U161</f>
        <v>#DIV/0!</v>
      </c>
      <c r="U63" s="234" t="str">
        <f>'Calculs dispo Données FA'!W161</f>
        <v/>
      </c>
      <c r="V63" s="239" t="str">
        <f>'Calculs dispo Données FA'!X161</f>
        <v/>
      </c>
      <c r="W63" s="241" t="str">
        <f>'Calculs dispo Données FA'!Y161</f>
        <v/>
      </c>
      <c r="X63" s="253" t="str">
        <f>'Calculs dispo Données FA'!Z161</f>
        <v/>
      </c>
      <c r="Y63" s="254" t="str">
        <f>'Calculs dispo Données FA'!AA161</f>
        <v/>
      </c>
      <c r="AA63" s="234"/>
      <c r="AB63" s="593"/>
      <c r="AC63" s="556"/>
      <c r="AD63" s="587"/>
      <c r="AE63" s="588"/>
      <c r="AF63"/>
      <c r="AG63" s="234"/>
      <c r="AH63" s="593"/>
      <c r="AI63" s="556"/>
      <c r="AJ63" s="587"/>
      <c r="AK63" s="588"/>
    </row>
    <row r="64" spans="3:37" s="358" customFormat="1" x14ac:dyDescent="0.2">
      <c r="C64" s="374"/>
      <c r="D64" s="402"/>
      <c r="E64" s="396"/>
      <c r="F64" s="397"/>
      <c r="G64" s="397"/>
      <c r="H64" s="403"/>
      <c r="I64" s="403"/>
      <c r="J64" s="398"/>
      <c r="K64" s="399"/>
      <c r="L64" s="399"/>
      <c r="M64" s="117"/>
      <c r="N64" s="400"/>
      <c r="O64" s="234"/>
      <c r="P64" s="593"/>
      <c r="Q64" s="596"/>
      <c r="R64" s="587"/>
      <c r="S64" s="588"/>
      <c r="U64" s="234"/>
      <c r="V64" s="593"/>
      <c r="W64" s="596"/>
      <c r="X64" s="587"/>
      <c r="Y64" s="588"/>
      <c r="AA64" s="234" t="e">
        <f>'Calculs dispo Données conso'!Q163</f>
        <v>#DIV/0!</v>
      </c>
      <c r="AB64" s="239" t="e">
        <f>'Calculs dispo Données conso'!R163</f>
        <v>#DIV/0!</v>
      </c>
      <c r="AC64" s="540" t="e">
        <f>'Calculs dispo Données conso'!S163</f>
        <v>#DIV/0!</v>
      </c>
      <c r="AD64" s="253" t="e">
        <f>'Calculs dispo Données conso'!T163</f>
        <v>#DIV/0!</v>
      </c>
      <c r="AE64" s="254" t="e">
        <f>'Calculs dispo Données conso'!U163</f>
        <v>#DIV/0!</v>
      </c>
      <c r="AF64"/>
      <c r="AG64" s="234" t="str">
        <f>'Calculs dispo Données conso'!W163</f>
        <v/>
      </c>
      <c r="AH64" s="239" t="str">
        <f>'Calculs dispo Données conso'!X163</f>
        <v/>
      </c>
      <c r="AI64" s="540" t="str">
        <f>'Calculs dispo Données conso'!Y163</f>
        <v/>
      </c>
      <c r="AJ64" s="253" t="str">
        <f>'Calculs dispo Données conso'!Z163</f>
        <v/>
      </c>
      <c r="AK64" s="254" t="str">
        <f>'Calculs dispo Données conso'!AA163</f>
        <v/>
      </c>
    </row>
    <row r="65" spans="3:37" s="358" customFormat="1" x14ac:dyDescent="0.2">
      <c r="C65" s="374"/>
      <c r="D65" s="402"/>
      <c r="E65" s="396" t="s">
        <v>126</v>
      </c>
      <c r="F65" s="397" t="str">
        <f>'TRAD-Calculs dispo confrontatio'!B42</f>
        <v>Cp</v>
      </c>
      <c r="G65" s="397" t="s">
        <v>134</v>
      </c>
      <c r="H65" s="403" t="s">
        <v>129</v>
      </c>
      <c r="I65" s="403" t="str">
        <f t="shared" si="0"/>
        <v>SQV - 500 mg - Bte/120</v>
      </c>
      <c r="J65" s="398"/>
      <c r="K65" s="399">
        <v>4</v>
      </c>
      <c r="L65" s="399">
        <f t="shared" si="2"/>
        <v>120</v>
      </c>
      <c r="M65" s="117">
        <v>120</v>
      </c>
      <c r="N65" s="400">
        <f t="shared" si="4"/>
        <v>1</v>
      </c>
      <c r="O65" s="234" t="e">
        <f>'Calculs dispo Données FA'!Q163</f>
        <v>#DIV/0!</v>
      </c>
      <c r="P65" s="239" t="e">
        <f>'Calculs dispo Données FA'!R163</f>
        <v>#DIV/0!</v>
      </c>
      <c r="Q65" s="244" t="e">
        <f>'Calculs dispo Données FA'!S163</f>
        <v>#DIV/0!</v>
      </c>
      <c r="R65" s="253" t="e">
        <f>'Calculs dispo Données FA'!T163</f>
        <v>#DIV/0!</v>
      </c>
      <c r="S65" s="254" t="e">
        <f>'Calculs dispo Données FA'!U163</f>
        <v>#DIV/0!</v>
      </c>
      <c r="U65" s="234" t="str">
        <f>'Calculs dispo Données FA'!W163</f>
        <v/>
      </c>
      <c r="V65" s="239" t="str">
        <f>'Calculs dispo Données FA'!X163</f>
        <v/>
      </c>
      <c r="W65" s="244" t="str">
        <f>'Calculs dispo Données FA'!Y163</f>
        <v/>
      </c>
      <c r="X65" s="253" t="str">
        <f>'Calculs dispo Données FA'!Z163</f>
        <v/>
      </c>
      <c r="Y65" s="254" t="str">
        <f>'Calculs dispo Données FA'!AA163</f>
        <v/>
      </c>
      <c r="AA65" s="234"/>
      <c r="AB65" s="593"/>
      <c r="AC65" s="594"/>
      <c r="AD65" s="587"/>
      <c r="AE65" s="588"/>
      <c r="AF65"/>
      <c r="AG65" s="234"/>
      <c r="AH65" s="593"/>
      <c r="AI65" s="594"/>
      <c r="AJ65" s="587"/>
      <c r="AK65" s="588"/>
    </row>
    <row r="66" spans="3:37" s="358" customFormat="1" x14ac:dyDescent="0.2">
      <c r="C66" s="374"/>
      <c r="D66" s="402"/>
      <c r="E66" s="396"/>
      <c r="F66" s="397"/>
      <c r="G66" s="397"/>
      <c r="H66" s="403"/>
      <c r="I66" s="403"/>
      <c r="J66" s="398"/>
      <c r="K66" s="399"/>
      <c r="L66" s="399"/>
      <c r="M66" s="117"/>
      <c r="N66" s="400"/>
      <c r="O66" s="234"/>
      <c r="P66" s="593"/>
      <c r="Q66" s="594"/>
      <c r="R66" s="587"/>
      <c r="S66" s="588"/>
      <c r="U66" s="234"/>
      <c r="V66" s="593"/>
      <c r="W66" s="594"/>
      <c r="X66" s="587"/>
      <c r="Y66" s="588"/>
      <c r="AA66" s="234" t="e">
        <f>'Calculs dispo Données conso'!Q165</f>
        <v>#DIV/0!</v>
      </c>
      <c r="AB66" s="239" t="e">
        <f>'Calculs dispo Données conso'!R165</f>
        <v>#DIV/0!</v>
      </c>
      <c r="AC66" s="244" t="e">
        <f>'Calculs dispo Données conso'!S165</f>
        <v>#DIV/0!</v>
      </c>
      <c r="AD66" s="253" t="e">
        <f>'Calculs dispo Données conso'!T165</f>
        <v>#DIV/0!</v>
      </c>
      <c r="AE66" s="254" t="e">
        <f>'Calculs dispo Données conso'!U165</f>
        <v>#DIV/0!</v>
      </c>
      <c r="AF66"/>
      <c r="AG66" s="234" t="str">
        <f>'Calculs dispo Données conso'!W165</f>
        <v/>
      </c>
      <c r="AH66" s="239" t="str">
        <f>'Calculs dispo Données conso'!X165</f>
        <v/>
      </c>
      <c r="AI66" s="244" t="str">
        <f>'Calculs dispo Données conso'!Y165</f>
        <v/>
      </c>
      <c r="AJ66" s="253" t="str">
        <f>'Calculs dispo Données conso'!Z165</f>
        <v/>
      </c>
      <c r="AK66" s="254" t="str">
        <f>'Calculs dispo Données conso'!AA165</f>
        <v/>
      </c>
    </row>
    <row r="67" spans="3:37" s="358" customFormat="1" x14ac:dyDescent="0.2">
      <c r="C67" s="374"/>
      <c r="D67" s="402"/>
      <c r="E67" s="507" t="s">
        <v>262</v>
      </c>
      <c r="F67" s="508" t="s">
        <v>104</v>
      </c>
      <c r="G67" s="509" t="s">
        <v>30</v>
      </c>
      <c r="H67" s="510" t="s">
        <v>263</v>
      </c>
      <c r="I67" s="403" t="str">
        <f t="shared" si="0"/>
        <v>ATV - 200 mg - Bte/60</v>
      </c>
      <c r="J67" s="398"/>
      <c r="K67" s="512">
        <v>2</v>
      </c>
      <c r="L67" s="399">
        <f t="shared" si="2"/>
        <v>60</v>
      </c>
      <c r="M67" s="512">
        <v>60</v>
      </c>
      <c r="N67" s="400">
        <f t="shared" si="4"/>
        <v>1</v>
      </c>
      <c r="O67" s="234" t="e">
        <f>'Calculs dispo Données FA'!Q159</f>
        <v>#DIV/0!</v>
      </c>
      <c r="P67" s="239" t="e">
        <f>'Calculs dispo Données FA'!R159</f>
        <v>#DIV/0!</v>
      </c>
      <c r="Q67" s="244" t="e">
        <f>'Calculs dispo Données FA'!S159</f>
        <v>#DIV/0!</v>
      </c>
      <c r="R67" s="253" t="e">
        <f>'Calculs dispo Données FA'!T159</f>
        <v>#DIV/0!</v>
      </c>
      <c r="S67" s="254" t="e">
        <f>'Calculs dispo Données FA'!U159</f>
        <v>#DIV/0!</v>
      </c>
      <c r="U67" s="234" t="str">
        <f>'Calculs dispo Données FA'!W159</f>
        <v/>
      </c>
      <c r="V67" s="239" t="str">
        <f>'Calculs dispo Données FA'!X159</f>
        <v/>
      </c>
      <c r="W67" s="244" t="str">
        <f>'Calculs dispo Données FA'!Y159</f>
        <v/>
      </c>
      <c r="X67" s="253" t="str">
        <f>'Calculs dispo Données FA'!Z159</f>
        <v/>
      </c>
      <c r="Y67" s="254" t="str">
        <f>'Calculs dispo Données FA'!AA159</f>
        <v>1705 B &amp; conso =0</v>
      </c>
      <c r="AA67" s="234"/>
      <c r="AB67" s="593"/>
      <c r="AC67" s="594"/>
      <c r="AD67" s="587"/>
      <c r="AE67" s="588"/>
      <c r="AF67"/>
      <c r="AG67" s="234"/>
      <c r="AH67" s="593"/>
      <c r="AI67" s="594"/>
      <c r="AJ67" s="587"/>
      <c r="AK67" s="588"/>
    </row>
    <row r="68" spans="3:37" s="358" customFormat="1" x14ac:dyDescent="0.2">
      <c r="C68" s="374"/>
      <c r="D68" s="402"/>
      <c r="E68" s="545"/>
      <c r="F68" s="509"/>
      <c r="G68" s="509"/>
      <c r="H68" s="546"/>
      <c r="I68" s="403"/>
      <c r="J68" s="398"/>
      <c r="K68" s="512"/>
      <c r="L68" s="399"/>
      <c r="M68" s="512"/>
      <c r="N68" s="400"/>
      <c r="O68" s="234"/>
      <c r="P68" s="593"/>
      <c r="Q68" s="594"/>
      <c r="R68" s="587"/>
      <c r="S68" s="588"/>
      <c r="U68" s="234"/>
      <c r="V68" s="593"/>
      <c r="W68" s="594"/>
      <c r="X68" s="587"/>
      <c r="Y68" s="588"/>
      <c r="AA68" s="234" t="e">
        <f>'Calculs dispo Données conso'!Q161</f>
        <v>#DIV/0!</v>
      </c>
      <c r="AB68" s="239" t="e">
        <f>'Calculs dispo Données conso'!R161</f>
        <v>#DIV/0!</v>
      </c>
      <c r="AC68" s="244" t="e">
        <f>'Calculs dispo Données conso'!S161</f>
        <v>#DIV/0!</v>
      </c>
      <c r="AD68" s="253" t="e">
        <f>'Calculs dispo Données conso'!T161</f>
        <v>#DIV/0!</v>
      </c>
      <c r="AE68" s="254" t="e">
        <f>'Calculs dispo Données conso'!U161</f>
        <v>#DIV/0!</v>
      </c>
      <c r="AF68"/>
      <c r="AG68" s="234" t="str">
        <f>'Calculs dispo Données conso'!W161</f>
        <v/>
      </c>
      <c r="AH68" s="239" t="str">
        <f>'Calculs dispo Données conso'!X161</f>
        <v/>
      </c>
      <c r="AI68" s="244" t="str">
        <f>'Calculs dispo Données conso'!Y161</f>
        <v/>
      </c>
      <c r="AJ68" s="253" t="str">
        <f>'Calculs dispo Données conso'!Z161</f>
        <v/>
      </c>
      <c r="AK68" s="254" t="str">
        <f>'Calculs dispo Données conso'!AA161</f>
        <v>1705B &amp; conso =0</v>
      </c>
    </row>
    <row r="69" spans="3:37" s="358" customFormat="1" x14ac:dyDescent="0.2">
      <c r="C69" s="374"/>
      <c r="D69" s="402"/>
      <c r="E69" s="93" t="s">
        <v>264</v>
      </c>
      <c r="F69" s="94" t="str">
        <f>'TRAD-Calculs dispo confrontatio'!B42</f>
        <v>Cp</v>
      </c>
      <c r="G69" s="94" t="s">
        <v>28</v>
      </c>
      <c r="H69" s="95" t="s">
        <v>265</v>
      </c>
      <c r="I69" s="403" t="str">
        <f t="shared" si="0"/>
        <v>DRV - 600 mg - Bte/60</v>
      </c>
      <c r="J69" s="398"/>
      <c r="K69" s="117">
        <v>2</v>
      </c>
      <c r="L69" s="399">
        <f t="shared" si="2"/>
        <v>60</v>
      </c>
      <c r="M69" s="117">
        <v>60</v>
      </c>
      <c r="N69" s="400">
        <f t="shared" si="4"/>
        <v>1</v>
      </c>
      <c r="O69" s="234" t="e">
        <f>'Calculs dispo Données FA'!Q162</f>
        <v>#DIV/0!</v>
      </c>
      <c r="P69" s="239" t="e">
        <f>'Calculs dispo Données FA'!R162</f>
        <v>#DIV/0!</v>
      </c>
      <c r="Q69" s="244" t="e">
        <f>'Calculs dispo Données FA'!S162</f>
        <v>#DIV/0!</v>
      </c>
      <c r="R69" s="253" t="e">
        <f>'Calculs dispo Données FA'!T162</f>
        <v>#DIV/0!</v>
      </c>
      <c r="S69" s="254" t="e">
        <f>'Calculs dispo Données FA'!U162</f>
        <v>#DIV/0!</v>
      </c>
      <c r="U69" s="234" t="str">
        <f>'Calculs dispo Données FA'!W162</f>
        <v/>
      </c>
      <c r="V69" s="239" t="str">
        <f>'Calculs dispo Données FA'!X162</f>
        <v/>
      </c>
      <c r="W69" s="244" t="str">
        <f>'Calculs dispo Données FA'!Y162</f>
        <v/>
      </c>
      <c r="X69" s="253" t="str">
        <f>'Calculs dispo Données FA'!Z162</f>
        <v/>
      </c>
      <c r="Y69" s="254" t="str">
        <f>'Calculs dispo Données FA'!AA162</f>
        <v/>
      </c>
      <c r="AA69" s="234"/>
      <c r="AB69" s="593"/>
      <c r="AC69" s="594"/>
      <c r="AD69" s="587"/>
      <c r="AE69" s="588"/>
      <c r="AF69"/>
      <c r="AG69" s="234"/>
      <c r="AH69" s="593"/>
      <c r="AI69" s="594"/>
      <c r="AJ69" s="587"/>
      <c r="AK69" s="588"/>
    </row>
    <row r="70" spans="3:37" s="358" customFormat="1" x14ac:dyDescent="0.2">
      <c r="C70" s="374"/>
      <c r="D70" s="402"/>
      <c r="E70" s="90"/>
      <c r="F70" s="91"/>
      <c r="G70" s="91"/>
      <c r="H70" s="41"/>
      <c r="I70" s="384"/>
      <c r="J70" s="385"/>
      <c r="K70" s="115"/>
      <c r="L70" s="386"/>
      <c r="M70" s="115"/>
      <c r="N70" s="611"/>
      <c r="O70" s="234"/>
      <c r="P70" s="593"/>
      <c r="Q70" s="594"/>
      <c r="R70" s="587"/>
      <c r="S70" s="588"/>
      <c r="U70" s="234"/>
      <c r="V70" s="593"/>
      <c r="W70" s="594"/>
      <c r="X70" s="587"/>
      <c r="Y70" s="588"/>
      <c r="AA70" s="234" t="e">
        <f>'Calculs dispo Données conso'!Q164</f>
        <v>#DIV/0!</v>
      </c>
      <c r="AB70" s="239" t="e">
        <f>'Calculs dispo Données conso'!R164</f>
        <v>#DIV/0!</v>
      </c>
      <c r="AC70" s="244" t="e">
        <f>'Calculs dispo Données conso'!S164</f>
        <v>#DIV/0!</v>
      </c>
      <c r="AD70" s="253" t="e">
        <f>'Calculs dispo Données conso'!T164</f>
        <v>#DIV/0!</v>
      </c>
      <c r="AE70" s="254" t="e">
        <f>'Calculs dispo Données conso'!U164</f>
        <v>#DIV/0!</v>
      </c>
      <c r="AF70"/>
      <c r="AG70" s="234" t="str">
        <f>'Calculs dispo Données conso'!W164</f>
        <v/>
      </c>
      <c r="AH70" s="239" t="str">
        <f>'Calculs dispo Données conso'!X164</f>
        <v/>
      </c>
      <c r="AI70" s="244" t="str">
        <f>'Calculs dispo Données conso'!Y164</f>
        <v/>
      </c>
      <c r="AJ70" s="253" t="str">
        <f>'Calculs dispo Données conso'!Z164</f>
        <v/>
      </c>
      <c r="AK70" s="254" t="str">
        <f>'Calculs dispo Données conso'!AA164</f>
        <v/>
      </c>
    </row>
    <row r="71" spans="3:37" s="358" customFormat="1" x14ac:dyDescent="0.2">
      <c r="C71" s="374"/>
      <c r="D71" s="375"/>
      <c r="E71" s="534" t="s">
        <v>45</v>
      </c>
      <c r="F71" s="535" t="s">
        <v>133</v>
      </c>
      <c r="G71" s="535" t="s">
        <v>46</v>
      </c>
      <c r="H71" s="544" t="s">
        <v>128</v>
      </c>
      <c r="I71" s="544" t="str">
        <f t="shared" si="0"/>
        <v>RTV - 100 mg - Bte/84</v>
      </c>
      <c r="J71" s="544"/>
      <c r="K71" s="399">
        <v>2</v>
      </c>
      <c r="L71" s="399">
        <f t="shared" si="2"/>
        <v>60</v>
      </c>
      <c r="M71" s="117">
        <v>84</v>
      </c>
      <c r="N71" s="400">
        <f t="shared" si="4"/>
        <v>0.7142857142857143</v>
      </c>
      <c r="O71" s="232" t="e">
        <f>'Calculs dispo Données FA'!Q164</f>
        <v>#DIV/0!</v>
      </c>
      <c r="P71" s="237" t="e">
        <f>'Calculs dispo Données FA'!R164</f>
        <v>#DIV/0!</v>
      </c>
      <c r="Q71" s="242" t="e">
        <f>'Calculs dispo Données FA'!S164</f>
        <v>#DIV/0!</v>
      </c>
      <c r="R71" s="249" t="e">
        <f>'Calculs dispo Données FA'!T164</f>
        <v>#DIV/0!</v>
      </c>
      <c r="S71" s="250" t="e">
        <f>'Calculs dispo Données FA'!U164</f>
        <v>#DIV/0!</v>
      </c>
      <c r="U71" s="232" t="str">
        <f>'Calculs dispo Données FA'!W164</f>
        <v/>
      </c>
      <c r="V71" s="237" t="str">
        <f>'Calculs dispo Données FA'!X164</f>
        <v/>
      </c>
      <c r="W71" s="242" t="str">
        <f>'Calculs dispo Données FA'!Y164</f>
        <v/>
      </c>
      <c r="X71" s="249" t="str">
        <f>'Calculs dispo Données FA'!Z164</f>
        <v/>
      </c>
      <c r="Y71" s="250" t="str">
        <f>'Calculs dispo Données FA'!AA164</f>
        <v/>
      </c>
      <c r="AA71" s="232"/>
      <c r="AB71" s="563"/>
      <c r="AC71" s="564"/>
      <c r="AD71" s="565"/>
      <c r="AE71" s="566"/>
      <c r="AF71"/>
      <c r="AG71" s="232"/>
      <c r="AH71" s="563"/>
      <c r="AI71" s="564"/>
      <c r="AJ71" s="565"/>
      <c r="AK71" s="566"/>
    </row>
    <row r="72" spans="3:37" s="358" customFormat="1" x14ac:dyDescent="0.2">
      <c r="C72" s="374"/>
      <c r="D72" s="609"/>
      <c r="E72" s="390"/>
      <c r="F72" s="391"/>
      <c r="G72" s="391"/>
      <c r="H72" s="401"/>
      <c r="I72" s="401"/>
      <c r="J72" s="401"/>
      <c r="K72" s="401"/>
      <c r="L72" s="401"/>
      <c r="M72" s="116"/>
      <c r="N72" s="311"/>
      <c r="O72" s="624"/>
      <c r="P72" s="629"/>
      <c r="Q72" s="621"/>
      <c r="R72" s="622"/>
      <c r="S72" s="623"/>
      <c r="U72" s="624"/>
      <c r="V72" s="629"/>
      <c r="W72" s="621"/>
      <c r="X72" s="622"/>
      <c r="Y72" s="623"/>
      <c r="AA72" s="624" t="e">
        <f>'Calculs dispo Données conso'!Q166</f>
        <v>#DIV/0!</v>
      </c>
      <c r="AB72" s="625" t="e">
        <f>'Calculs dispo Données conso'!R166</f>
        <v>#DIV/0!</v>
      </c>
      <c r="AC72" s="632" t="e">
        <f>'Calculs dispo Données conso'!S166</f>
        <v>#DIV/0!</v>
      </c>
      <c r="AD72" s="626" t="e">
        <f>'Calculs dispo Données conso'!T166</f>
        <v>#DIV/0!</v>
      </c>
      <c r="AE72" s="627" t="e">
        <f>'Calculs dispo Données conso'!U166</f>
        <v>#DIV/0!</v>
      </c>
      <c r="AF72"/>
      <c r="AG72" s="624" t="str">
        <f>'Calculs dispo Données conso'!W166</f>
        <v/>
      </c>
      <c r="AH72" s="625" t="str">
        <f>'Calculs dispo Données conso'!X166</f>
        <v/>
      </c>
      <c r="AI72" s="632" t="str">
        <f>'Calculs dispo Données conso'!Y166</f>
        <v/>
      </c>
      <c r="AJ72" s="626" t="str">
        <f>'Calculs dispo Données conso'!Z166</f>
        <v/>
      </c>
      <c r="AK72" s="627" t="str">
        <f>'Calculs dispo Données conso'!AA166</f>
        <v/>
      </c>
    </row>
    <row r="73" spans="3:37" s="358" customFormat="1" x14ac:dyDescent="0.2">
      <c r="C73" s="374"/>
      <c r="D73" s="610" t="s">
        <v>266</v>
      </c>
      <c r="E73" s="376" t="s">
        <v>269</v>
      </c>
      <c r="F73" s="377" t="str">
        <f>'TRAD-Calculs dispo confrontatio'!B42</f>
        <v>Cp</v>
      </c>
      <c r="G73" s="377" t="s">
        <v>39</v>
      </c>
      <c r="H73" s="378" t="s">
        <v>268</v>
      </c>
      <c r="I73" s="378" t="str">
        <f t="shared" ref="I73" si="7">CONCATENATE(E73, " - ", G73, " - Bte/", M73)</f>
        <v>RLT - 400 mg - Bte/60</v>
      </c>
      <c r="J73" s="378"/>
      <c r="K73" s="612">
        <v>2</v>
      </c>
      <c r="L73" s="612">
        <f t="shared" si="2"/>
        <v>60</v>
      </c>
      <c r="M73" s="613">
        <v>60</v>
      </c>
      <c r="N73" s="614">
        <f t="shared" si="4"/>
        <v>1</v>
      </c>
      <c r="O73" s="231" t="e">
        <f>'Calculs dispo Données FA'!Q165</f>
        <v>#DIV/0!</v>
      </c>
      <c r="P73" s="236" t="e">
        <f>'Calculs dispo Données FA'!R165</f>
        <v>#DIV/0!</v>
      </c>
      <c r="Q73" s="425" t="e">
        <f>'Calculs dispo Données FA'!S165</f>
        <v>#DIV/0!</v>
      </c>
      <c r="R73" s="247" t="e">
        <f>'Calculs dispo Données FA'!T165</f>
        <v>#DIV/0!</v>
      </c>
      <c r="S73" s="248" t="e">
        <f>'Calculs dispo Données FA'!U165</f>
        <v>#DIV/0!</v>
      </c>
      <c r="U73" s="231" t="str">
        <f>'Calculs dispo Données FA'!W165</f>
        <v/>
      </c>
      <c r="V73" s="236" t="str">
        <f>'Calculs dispo Données FA'!X165</f>
        <v/>
      </c>
      <c r="W73" s="425" t="str">
        <f>'Calculs dispo Données FA'!Y165</f>
        <v/>
      </c>
      <c r="X73" s="247" t="str">
        <f>'Calculs dispo Données FA'!Z165</f>
        <v/>
      </c>
      <c r="Y73" s="248" t="str">
        <f>'Calculs dispo Données FA'!AA165</f>
        <v/>
      </c>
      <c r="AA73" s="231"/>
      <c r="AB73" s="555"/>
      <c r="AC73" s="606"/>
      <c r="AD73" s="557"/>
      <c r="AE73" s="558"/>
      <c r="AF73"/>
      <c r="AG73" s="231"/>
      <c r="AH73" s="555"/>
      <c r="AI73" s="606"/>
      <c r="AJ73" s="557"/>
      <c r="AK73" s="558"/>
    </row>
    <row r="74" spans="3:37" s="358" customFormat="1" ht="13.5" thickBot="1" x14ac:dyDescent="0.25">
      <c r="C74" s="404"/>
      <c r="D74" s="408"/>
      <c r="E74" s="409"/>
      <c r="F74" s="410"/>
      <c r="G74" s="410"/>
      <c r="H74" s="411"/>
      <c r="I74" s="411"/>
      <c r="J74" s="411"/>
      <c r="K74" s="411"/>
      <c r="L74" s="411"/>
      <c r="M74" s="312"/>
      <c r="N74" s="313"/>
      <c r="O74" s="539"/>
      <c r="P74" s="619"/>
      <c r="Q74" s="596"/>
      <c r="R74" s="608"/>
      <c r="S74" s="598"/>
      <c r="U74" s="539"/>
      <c r="V74" s="619"/>
      <c r="W74" s="596"/>
      <c r="X74" s="608"/>
      <c r="Y74" s="598"/>
      <c r="AA74" s="539" t="e">
        <f>'Calculs dispo Données conso'!Q167</f>
        <v>#DIV/0!</v>
      </c>
      <c r="AB74" s="548" t="e">
        <f>'Calculs dispo Données conso'!R167</f>
        <v>#DIV/0!</v>
      </c>
      <c r="AC74" s="540" t="e">
        <f>'Calculs dispo Données conso'!S167</f>
        <v>#DIV/0!</v>
      </c>
      <c r="AD74" s="547" t="e">
        <f>'Calculs dispo Données conso'!T167</f>
        <v>#DIV/0!</v>
      </c>
      <c r="AE74" s="542" t="e">
        <f>'Calculs dispo Données conso'!U167</f>
        <v>#DIV/0!</v>
      </c>
      <c r="AF74"/>
      <c r="AG74" s="539" t="str">
        <f>'Calculs dispo Données conso'!W167</f>
        <v/>
      </c>
      <c r="AH74" s="548" t="str">
        <f>'Calculs dispo Données conso'!X167</f>
        <v/>
      </c>
      <c r="AI74" s="540" t="str">
        <f>'Calculs dispo Données conso'!Y167</f>
        <v/>
      </c>
      <c r="AJ74" s="547" t="str">
        <f>'Calculs dispo Données conso'!Z167</f>
        <v/>
      </c>
      <c r="AK74" s="542" t="str">
        <f>'Calculs dispo Données conso'!AA167</f>
        <v/>
      </c>
    </row>
    <row r="75" spans="3:37" s="358" customFormat="1" ht="64.5" thickBot="1" x14ac:dyDescent="0.25">
      <c r="C75" s="405"/>
      <c r="D75" s="406"/>
      <c r="E75" s="364" t="str">
        <f>'TRAD-Calculs dispo confrontatio'!B5</f>
        <v>Composition</v>
      </c>
      <c r="F75" s="365" t="str">
        <f>'TRAD-Calculs dispo confrontatio'!B6</f>
        <v>Forme galénique</v>
      </c>
      <c r="G75" s="365" t="str">
        <f>'TRAD-Calculs dispo confrontatio'!B7</f>
        <v>Dosage</v>
      </c>
      <c r="H75" s="365" t="str">
        <f>'TRAD-Calculs dispo confrontatio'!B8</f>
        <v>Nom de spécialité</v>
      </c>
      <c r="I75" s="365" t="str">
        <f>'TRAD-Calculs dispo confrontatio'!B9</f>
        <v>Nom pour représentation graphique</v>
      </c>
      <c r="J75" s="365"/>
      <c r="K75" s="365"/>
      <c r="L75" s="365"/>
      <c r="M75" s="365" t="str">
        <f>'TRAD-Calculs dispo confrontatio'!B22</f>
        <v>Volume conditionnement primaire (mL)</v>
      </c>
      <c r="N75" s="327" t="str">
        <f>'TRAD-Calculs dispo confrontatio'!B23</f>
        <v>Conditionement secondaire</v>
      </c>
      <c r="O75" s="347" t="str">
        <f>'TRAD-Calculs dispo confrontatio'!B15</f>
        <v>Nb mois dispo - Données FA</v>
      </c>
      <c r="P75" s="347" t="str">
        <f>'TRAD-Calculs dispo confrontatio'!B16</f>
        <v>Nb mois dispo hors SS - Données FA</v>
      </c>
      <c r="Q75" s="327" t="str">
        <f>'TRAD-Calculs dispo confrontatio'!B17</f>
        <v>Nb mois dispo SS - Données FA</v>
      </c>
      <c r="R75" s="348" t="str">
        <f>'TRAD-Calculs dispo confrontatio'!B18</f>
        <v>Date d'entrée en stock de sécurité</v>
      </c>
      <c r="S75" s="349" t="str">
        <f>'TRAD-Calculs dispo confrontatio'!B19</f>
        <v>Date de rupture attendue</v>
      </c>
      <c r="U75" s="347" t="str">
        <f>'TRAD-Calculs dispo confrontatio'!B15</f>
        <v>Nb mois dispo - Données FA</v>
      </c>
      <c r="V75" s="347" t="str">
        <f>'TRAD-Calculs dispo confrontatio'!B16</f>
        <v>Nb mois dispo hors SS - Données FA</v>
      </c>
      <c r="W75" s="327" t="str">
        <f>'TRAD-Calculs dispo confrontatio'!B17</f>
        <v>Nb mois dispo SS - Données FA</v>
      </c>
      <c r="X75" s="348" t="str">
        <f>'TRAD-Calculs dispo confrontatio'!B18</f>
        <v>Date d'entrée en stock de sécurité</v>
      </c>
      <c r="Y75" s="349" t="str">
        <f>'TRAD-Calculs dispo confrontatio'!B19</f>
        <v>Date de rupture attendue</v>
      </c>
      <c r="AA75" s="347" t="str">
        <f>'TRAD-Calculs dispo confrontatio'!B24</f>
        <v>Nb mois dispo - Données Conso/Distri</v>
      </c>
      <c r="AB75" s="347" t="str">
        <f>'TRAD-Calculs dispo confrontatio'!B25</f>
        <v>Nb mois dispo hors SS - Données Conso/Distri</v>
      </c>
      <c r="AC75" s="327" t="str">
        <f>'TRAD-Calculs dispo confrontatio'!B26</f>
        <v>Nb mois dispo SS - Données Conso/Distri</v>
      </c>
      <c r="AD75" s="348" t="str">
        <f>'TRAD-Calculs dispo confrontatio'!B18</f>
        <v>Date d'entrée en stock de sécurité</v>
      </c>
      <c r="AE75" s="349" t="str">
        <f>'TRAD-Calculs dispo confrontatio'!B19</f>
        <v>Date de rupture attendue</v>
      </c>
      <c r="AF75"/>
      <c r="AG75" s="347" t="str">
        <f>'TRAD-Calculs dispo confrontatio'!B24</f>
        <v>Nb mois dispo - Données Conso/Distri</v>
      </c>
      <c r="AH75" s="347" t="str">
        <f>'TRAD-Calculs dispo confrontatio'!B25</f>
        <v>Nb mois dispo hors SS - Données Conso/Distri</v>
      </c>
      <c r="AI75" s="327" t="str">
        <f>'TRAD-Calculs dispo confrontatio'!B26</f>
        <v>Nb mois dispo SS - Données Conso/Distri</v>
      </c>
      <c r="AJ75" s="348" t="str">
        <f>'TRAD-Calculs dispo confrontatio'!B18</f>
        <v>Date d'entrée en stock de sécurité</v>
      </c>
      <c r="AK75" s="349" t="str">
        <f>'TRAD-Calculs dispo confrontatio'!B19</f>
        <v>Date de rupture attendue</v>
      </c>
    </row>
    <row r="76" spans="3:37" s="358" customFormat="1" x14ac:dyDescent="0.2">
      <c r="C76" s="366" t="str">
        <f>'TRAD-Calculs dispo confrontatio'!B39</f>
        <v>Solutions buvables</v>
      </c>
      <c r="D76" s="367" t="s">
        <v>31</v>
      </c>
      <c r="E76" s="368" t="s">
        <v>32</v>
      </c>
      <c r="F76" s="369" t="str">
        <f>'TRAD-Calculs dispo confrontatio'!B41</f>
        <v>sol buv</v>
      </c>
      <c r="G76" s="369" t="s">
        <v>80</v>
      </c>
      <c r="H76" s="370" t="s">
        <v>81</v>
      </c>
      <c r="I76" s="370" t="str">
        <f t="shared" ref="I76:I90" si="8">CONCATENATE(E76, " - ", G76, " - Fl/", M76, "mL")</f>
        <v>AZT - 10 mg/mL - Fl/240mL</v>
      </c>
      <c r="J76" s="370"/>
      <c r="K76" s="370"/>
      <c r="L76" s="370"/>
      <c r="M76" s="113">
        <f>'Saisie données stocks'!L61</f>
        <v>240</v>
      </c>
      <c r="N76" s="300">
        <f>'Saisie données stocks'!M61</f>
        <v>1</v>
      </c>
      <c r="O76" s="231" t="e">
        <f>'Calculs dispo Données FA'!Q167</f>
        <v>#DIV/0!</v>
      </c>
      <c r="P76" s="235" t="e">
        <f>'Calculs dispo Données FA'!R167</f>
        <v>#DIV/0!</v>
      </c>
      <c r="Q76" s="240" t="e">
        <f>'Calculs dispo Données FA'!S167</f>
        <v>#DIV/0!</v>
      </c>
      <c r="R76" s="245" t="e">
        <f>'Calculs dispo Données FA'!T167</f>
        <v>#DIV/0!</v>
      </c>
      <c r="S76" s="246" t="e">
        <f>'Calculs dispo Données FA'!U167</f>
        <v>#DIV/0!</v>
      </c>
      <c r="U76" s="231" t="str">
        <f>'Calculs dispo Données FA'!W167</f>
        <v/>
      </c>
      <c r="V76" s="235" t="str">
        <f>'Calculs dispo Données FA'!X167</f>
        <v/>
      </c>
      <c r="W76" s="240" t="str">
        <f>'Calculs dispo Données FA'!Y167</f>
        <v/>
      </c>
      <c r="X76" s="245" t="str">
        <f>'Calculs dispo Données FA'!Z167</f>
        <v/>
      </c>
      <c r="Y76" s="246" t="str">
        <f>'Calculs dispo Données FA'!AA167</f>
        <v/>
      </c>
      <c r="AA76" s="231"/>
      <c r="AB76" s="559"/>
      <c r="AC76" s="560"/>
      <c r="AD76" s="561"/>
      <c r="AE76" s="562"/>
      <c r="AF76"/>
      <c r="AG76" s="231"/>
      <c r="AH76" s="559"/>
      <c r="AI76" s="560"/>
      <c r="AJ76" s="561"/>
      <c r="AK76" s="562"/>
    </row>
    <row r="77" spans="3:37" s="358" customFormat="1" x14ac:dyDescent="0.2">
      <c r="C77" s="374"/>
      <c r="D77" s="375"/>
      <c r="E77" s="376"/>
      <c r="F77" s="377"/>
      <c r="G77" s="377"/>
      <c r="H77" s="378"/>
      <c r="I77" s="378"/>
      <c r="J77" s="378"/>
      <c r="K77" s="378"/>
      <c r="L77" s="378"/>
      <c r="M77" s="114"/>
      <c r="N77" s="308"/>
      <c r="O77" s="231"/>
      <c r="P77" s="555"/>
      <c r="Q77" s="556"/>
      <c r="R77" s="557"/>
      <c r="S77" s="558"/>
      <c r="T77" s="500"/>
      <c r="U77" s="231"/>
      <c r="V77" s="555"/>
      <c r="W77" s="556"/>
      <c r="X77" s="557"/>
      <c r="Y77" s="558"/>
      <c r="AA77" s="231" t="e">
        <f>'Calculs dispo Données conso'!Q169</f>
        <v>#DIV/0!</v>
      </c>
      <c r="AB77" s="236" t="e">
        <f>'Calculs dispo Données conso'!R169</f>
        <v>#DIV/0!</v>
      </c>
      <c r="AC77" s="241" t="e">
        <f>'Calculs dispo Données conso'!S169</f>
        <v>#DIV/0!</v>
      </c>
      <c r="AD77" s="247" t="e">
        <f>'Calculs dispo Données conso'!T169</f>
        <v>#DIV/0!</v>
      </c>
      <c r="AE77" s="248" t="e">
        <f>'Calculs dispo Données conso'!U169</f>
        <v>#DIV/0!</v>
      </c>
      <c r="AF77"/>
      <c r="AG77" s="231" t="str">
        <f>'Calculs dispo Données conso'!W169</f>
        <v/>
      </c>
      <c r="AH77" s="236" t="str">
        <f>'Calculs dispo Données conso'!X169</f>
        <v/>
      </c>
      <c r="AI77" s="241" t="str">
        <f>'Calculs dispo Données conso'!Y169</f>
        <v/>
      </c>
      <c r="AJ77" s="247" t="str">
        <f>'Calculs dispo Données conso'!Z169</f>
        <v/>
      </c>
      <c r="AK77" s="248" t="str">
        <f>'Calculs dispo Données conso'!AA169</f>
        <v/>
      </c>
    </row>
    <row r="78" spans="3:37" s="358" customFormat="1" x14ac:dyDescent="0.2">
      <c r="C78" s="374"/>
      <c r="D78" s="375"/>
      <c r="E78" s="376" t="s">
        <v>82</v>
      </c>
      <c r="F78" s="377" t="str">
        <f>'TRAD-Calculs dispo confrontatio'!B41</f>
        <v>sol buv</v>
      </c>
      <c r="G78" s="377" t="s">
        <v>80</v>
      </c>
      <c r="H78" s="378" t="s">
        <v>83</v>
      </c>
      <c r="I78" s="378" t="str">
        <f t="shared" si="8"/>
        <v>D4T - 10 mg/mL - Fl/240mL</v>
      </c>
      <c r="J78" s="378"/>
      <c r="K78" s="378"/>
      <c r="L78" s="378"/>
      <c r="M78" s="114">
        <f>'Saisie données stocks'!L62</f>
        <v>240</v>
      </c>
      <c r="N78" s="308">
        <f>'Saisie données stocks'!M62</f>
        <v>1</v>
      </c>
      <c r="O78" s="231" t="e">
        <f>'Calculs dispo Données FA'!Q168</f>
        <v>#DIV/0!</v>
      </c>
      <c r="P78" s="236" t="e">
        <f>'Calculs dispo Données FA'!R168</f>
        <v>#DIV/0!</v>
      </c>
      <c r="Q78" s="241" t="e">
        <f>'Calculs dispo Données FA'!S168</f>
        <v>#DIV/0!</v>
      </c>
      <c r="R78" s="247" t="e">
        <f>'Calculs dispo Données FA'!T168</f>
        <v>#DIV/0!</v>
      </c>
      <c r="S78" s="248" t="e">
        <f>'Calculs dispo Données FA'!U168</f>
        <v>#DIV/0!</v>
      </c>
      <c r="U78" s="231" t="str">
        <f>'Calculs dispo Données FA'!W168</f>
        <v/>
      </c>
      <c r="V78" s="236" t="str">
        <f>'Calculs dispo Données FA'!X168</f>
        <v/>
      </c>
      <c r="W78" s="241" t="str">
        <f>'Calculs dispo Données FA'!Y168</f>
        <v/>
      </c>
      <c r="X78" s="247" t="str">
        <f>'Calculs dispo Données FA'!Z168</f>
        <v/>
      </c>
      <c r="Y78" s="248" t="str">
        <f>'Calculs dispo Données FA'!AA168</f>
        <v/>
      </c>
      <c r="AA78" s="231"/>
      <c r="AB78" s="555"/>
      <c r="AC78" s="556"/>
      <c r="AD78" s="557"/>
      <c r="AE78" s="558"/>
      <c r="AF78"/>
      <c r="AG78" s="231"/>
      <c r="AH78" s="555"/>
      <c r="AI78" s="556"/>
      <c r="AJ78" s="557"/>
      <c r="AK78" s="558"/>
    </row>
    <row r="79" spans="3:37" s="358" customFormat="1" x14ac:dyDescent="0.2">
      <c r="C79" s="374"/>
      <c r="D79" s="375"/>
      <c r="E79" s="376"/>
      <c r="F79" s="377"/>
      <c r="G79" s="377"/>
      <c r="H79" s="378"/>
      <c r="I79" s="378"/>
      <c r="J79" s="378"/>
      <c r="K79" s="378"/>
      <c r="L79" s="378"/>
      <c r="M79" s="114"/>
      <c r="N79" s="308"/>
      <c r="O79" s="231"/>
      <c r="P79" s="555"/>
      <c r="Q79" s="556"/>
      <c r="R79" s="557"/>
      <c r="S79" s="558"/>
      <c r="U79" s="231"/>
      <c r="V79" s="555"/>
      <c r="W79" s="556"/>
      <c r="X79" s="557"/>
      <c r="Y79" s="558"/>
      <c r="AA79" s="231" t="e">
        <f>'Calculs dispo Données conso'!Q170</f>
        <v>#DIV/0!</v>
      </c>
      <c r="AB79" s="236" t="e">
        <f>'Calculs dispo Données conso'!R170</f>
        <v>#DIV/0!</v>
      </c>
      <c r="AC79" s="241" t="e">
        <f>'Calculs dispo Données conso'!S170</f>
        <v>#DIV/0!</v>
      </c>
      <c r="AD79" s="247" t="e">
        <f>'Calculs dispo Données conso'!T170</f>
        <v>#DIV/0!</v>
      </c>
      <c r="AE79" s="248" t="e">
        <f>'Calculs dispo Données conso'!U170</f>
        <v>#DIV/0!</v>
      </c>
      <c r="AF79"/>
      <c r="AG79" s="231" t="str">
        <f>'Calculs dispo Données conso'!W170</f>
        <v/>
      </c>
      <c r="AH79" s="236" t="str">
        <f>'Calculs dispo Données conso'!X170</f>
        <v/>
      </c>
      <c r="AI79" s="241" t="str">
        <f>'Calculs dispo Données conso'!Y170</f>
        <v/>
      </c>
      <c r="AJ79" s="247" t="str">
        <f>'Calculs dispo Données conso'!Z170</f>
        <v/>
      </c>
      <c r="AK79" s="248" t="str">
        <f>'Calculs dispo Données conso'!AA170</f>
        <v/>
      </c>
    </row>
    <row r="80" spans="3:37" s="358" customFormat="1" x14ac:dyDescent="0.2">
      <c r="C80" s="374"/>
      <c r="D80" s="375"/>
      <c r="E80" s="382" t="s">
        <v>34</v>
      </c>
      <c r="F80" s="383" t="str">
        <f>'TRAD-Calculs dispo confrontatio'!B41</f>
        <v>sol buv</v>
      </c>
      <c r="G80" s="383" t="s">
        <v>80</v>
      </c>
      <c r="H80" s="384" t="s">
        <v>84</v>
      </c>
      <c r="I80" s="384" t="str">
        <f t="shared" si="8"/>
        <v>3TC - 10 mg/mL - Fl/240mL</v>
      </c>
      <c r="J80" s="384"/>
      <c r="K80" s="384"/>
      <c r="L80" s="384"/>
      <c r="M80" s="115">
        <f>'Saisie données stocks'!L63</f>
        <v>240</v>
      </c>
      <c r="N80" s="304">
        <f>'Saisie données stocks'!M63</f>
        <v>1</v>
      </c>
      <c r="O80" s="231" t="e">
        <f>'Calculs dispo Données FA'!Q169</f>
        <v>#DIV/0!</v>
      </c>
      <c r="P80" s="237" t="e">
        <f>'Calculs dispo Données FA'!R169</f>
        <v>#DIV/0!</v>
      </c>
      <c r="Q80" s="242" t="e">
        <f>'Calculs dispo Données FA'!S169</f>
        <v>#DIV/0!</v>
      </c>
      <c r="R80" s="249" t="e">
        <f>'Calculs dispo Données FA'!T169</f>
        <v>#DIV/0!</v>
      </c>
      <c r="S80" s="250" t="e">
        <f>'Calculs dispo Données FA'!U169</f>
        <v>#DIV/0!</v>
      </c>
      <c r="U80" s="231" t="str">
        <f>'Calculs dispo Données FA'!W169</f>
        <v/>
      </c>
      <c r="V80" s="237" t="str">
        <f>'Calculs dispo Données FA'!X169</f>
        <v/>
      </c>
      <c r="W80" s="242" t="str">
        <f>'Calculs dispo Données FA'!Y169</f>
        <v/>
      </c>
      <c r="X80" s="249" t="str">
        <f>'Calculs dispo Données FA'!Z169</f>
        <v/>
      </c>
      <c r="Y80" s="250" t="str">
        <f>'Calculs dispo Données FA'!AA169</f>
        <v/>
      </c>
      <c r="AA80" s="231"/>
      <c r="AB80" s="563"/>
      <c r="AC80" s="564"/>
      <c r="AD80" s="565"/>
      <c r="AE80" s="566"/>
      <c r="AF80"/>
      <c r="AG80" s="231"/>
      <c r="AH80" s="563"/>
      <c r="AI80" s="564"/>
      <c r="AJ80" s="565"/>
      <c r="AK80" s="566"/>
    </row>
    <row r="81" spans="2:37" s="358" customFormat="1" x14ac:dyDescent="0.2">
      <c r="C81" s="374"/>
      <c r="D81" s="375"/>
      <c r="E81" s="376"/>
      <c r="F81" s="377"/>
      <c r="G81" s="377"/>
      <c r="H81" s="378"/>
      <c r="I81" s="378"/>
      <c r="J81" s="378"/>
      <c r="K81" s="378"/>
      <c r="L81" s="378"/>
      <c r="M81" s="114"/>
      <c r="N81" s="308"/>
      <c r="O81" s="231"/>
      <c r="P81" s="555"/>
      <c r="Q81" s="556"/>
      <c r="R81" s="557"/>
      <c r="S81" s="558"/>
      <c r="U81" s="231"/>
      <c r="V81" s="555"/>
      <c r="W81" s="556"/>
      <c r="X81" s="557"/>
      <c r="Y81" s="558"/>
      <c r="AA81" s="231" t="e">
        <f>'Calculs dispo Données conso'!Q171</f>
        <v>#DIV/0!</v>
      </c>
      <c r="AB81" s="236" t="e">
        <f>'Calculs dispo Données conso'!R171</f>
        <v>#DIV/0!</v>
      </c>
      <c r="AC81" s="241" t="e">
        <f>'Calculs dispo Données conso'!S171</f>
        <v>#DIV/0!</v>
      </c>
      <c r="AD81" s="247" t="e">
        <f>'Calculs dispo Données conso'!T171</f>
        <v>#DIV/0!</v>
      </c>
      <c r="AE81" s="248" t="e">
        <f>'Calculs dispo Données conso'!U171</f>
        <v>#DIV/0!</v>
      </c>
      <c r="AF81"/>
      <c r="AG81" s="231" t="str">
        <f>'Calculs dispo Données conso'!W171</f>
        <v/>
      </c>
      <c r="AH81" s="236" t="str">
        <f>'Calculs dispo Données conso'!X171</f>
        <v/>
      </c>
      <c r="AI81" s="241" t="str">
        <f>'Calculs dispo Données conso'!Y171</f>
        <v/>
      </c>
      <c r="AJ81" s="247" t="str">
        <f>'Calculs dispo Données conso'!Z171</f>
        <v/>
      </c>
      <c r="AK81" s="248" t="str">
        <f>'Calculs dispo Données conso'!AA171</f>
        <v/>
      </c>
    </row>
    <row r="82" spans="2:37" s="358" customFormat="1" x14ac:dyDescent="0.2">
      <c r="C82" s="374"/>
      <c r="D82" s="407"/>
      <c r="E82" s="376" t="s">
        <v>36</v>
      </c>
      <c r="F82" s="377" t="str">
        <f>'TRAD-Calculs dispo confrontatio'!B41</f>
        <v>sol buv</v>
      </c>
      <c r="G82" s="377" t="s">
        <v>88</v>
      </c>
      <c r="H82" s="378" t="s">
        <v>89</v>
      </c>
      <c r="I82" s="378" t="str">
        <f t="shared" si="8"/>
        <v>ABC - 20 mg/mL - Fl/240mL</v>
      </c>
      <c r="J82" s="378"/>
      <c r="K82" s="378"/>
      <c r="L82" s="378"/>
      <c r="M82" s="114">
        <f>'Saisie données stocks'!L64</f>
        <v>240</v>
      </c>
      <c r="N82" s="308">
        <f>'Saisie données stocks'!M64</f>
        <v>1</v>
      </c>
      <c r="O82" s="231" t="e">
        <f>'Calculs dispo Données FA'!Q170</f>
        <v>#DIV/0!</v>
      </c>
      <c r="P82" s="236" t="e">
        <f>'Calculs dispo Données FA'!R170</f>
        <v>#DIV/0!</v>
      </c>
      <c r="Q82" s="241" t="e">
        <f>'Calculs dispo Données FA'!S170</f>
        <v>#DIV/0!</v>
      </c>
      <c r="R82" s="247" t="e">
        <f>'Calculs dispo Données FA'!T170</f>
        <v>#DIV/0!</v>
      </c>
      <c r="S82" s="248" t="e">
        <f>'Calculs dispo Données FA'!U170</f>
        <v>#DIV/0!</v>
      </c>
      <c r="U82" s="231" t="str">
        <f>'Calculs dispo Données FA'!W170</f>
        <v/>
      </c>
      <c r="V82" s="236" t="str">
        <f>'Calculs dispo Données FA'!X170</f>
        <v/>
      </c>
      <c r="W82" s="241" t="str">
        <f>'Calculs dispo Données FA'!Y170</f>
        <v/>
      </c>
      <c r="X82" s="247" t="str">
        <f>'Calculs dispo Données FA'!Z170</f>
        <v/>
      </c>
      <c r="Y82" s="248" t="str">
        <f>'Calculs dispo Données FA'!AA170</f>
        <v/>
      </c>
      <c r="AA82" s="231"/>
      <c r="AB82" s="555"/>
      <c r="AC82" s="556"/>
      <c r="AD82" s="557"/>
      <c r="AE82" s="558"/>
      <c r="AF82"/>
      <c r="AG82" s="231"/>
      <c r="AH82" s="555"/>
      <c r="AI82" s="556"/>
      <c r="AJ82" s="557"/>
      <c r="AK82" s="558"/>
    </row>
    <row r="83" spans="2:37" s="358" customFormat="1" x14ac:dyDescent="0.2">
      <c r="C83" s="374"/>
      <c r="D83" s="375"/>
      <c r="E83" s="376"/>
      <c r="F83" s="377"/>
      <c r="G83" s="377"/>
      <c r="H83" s="378"/>
      <c r="I83" s="378"/>
      <c r="J83" s="378"/>
      <c r="K83" s="378"/>
      <c r="L83" s="378"/>
      <c r="M83" s="114"/>
      <c r="N83" s="308"/>
      <c r="O83" s="539"/>
      <c r="P83" s="595"/>
      <c r="Q83" s="596"/>
      <c r="R83" s="597"/>
      <c r="S83" s="598"/>
      <c r="U83" s="539"/>
      <c r="V83" s="595"/>
      <c r="W83" s="596"/>
      <c r="X83" s="597"/>
      <c r="Y83" s="598"/>
      <c r="AA83" s="539" t="e">
        <f>'Calculs dispo Données conso'!Q172</f>
        <v>#DIV/0!</v>
      </c>
      <c r="AB83" s="543" t="e">
        <f>'Calculs dispo Données conso'!R172</f>
        <v>#DIV/0!</v>
      </c>
      <c r="AC83" s="540" t="e">
        <f>'Calculs dispo Données conso'!S172</f>
        <v>#DIV/0!</v>
      </c>
      <c r="AD83" s="541" t="e">
        <f>'Calculs dispo Données conso'!T172</f>
        <v>#DIV/0!</v>
      </c>
      <c r="AE83" s="542" t="e">
        <f>'Calculs dispo Données conso'!U172</f>
        <v>#DIV/0!</v>
      </c>
      <c r="AF83"/>
      <c r="AG83" s="539" t="str">
        <f>'Calculs dispo Données conso'!W172</f>
        <v/>
      </c>
      <c r="AH83" s="543" t="str">
        <f>'Calculs dispo Données conso'!X172</f>
        <v/>
      </c>
      <c r="AI83" s="540" t="str">
        <f>'Calculs dispo Données conso'!Y172</f>
        <v/>
      </c>
      <c r="AJ83" s="541" t="str">
        <f>'Calculs dispo Données conso'!Z172</f>
        <v/>
      </c>
      <c r="AK83" s="542" t="str">
        <f>'Calculs dispo Données conso'!AA172</f>
        <v/>
      </c>
    </row>
    <row r="84" spans="2:37" s="358" customFormat="1" x14ac:dyDescent="0.2">
      <c r="C84" s="374"/>
      <c r="D84" s="375"/>
      <c r="E84" s="534" t="s">
        <v>37</v>
      </c>
      <c r="F84" s="535" t="str">
        <f>'TRAD-Calculs dispo confrontatio'!B43</f>
        <v>pdre buv</v>
      </c>
      <c r="G84" s="535" t="s">
        <v>91</v>
      </c>
      <c r="H84" s="544" t="s">
        <v>92</v>
      </c>
      <c r="I84" s="544" t="str">
        <f t="shared" si="8"/>
        <v>DDI - 2 g - Fl/200mL</v>
      </c>
      <c r="J84" s="544"/>
      <c r="K84" s="544"/>
      <c r="L84" s="544"/>
      <c r="M84" s="537">
        <f>'Saisie données stocks'!L65</f>
        <v>200</v>
      </c>
      <c r="N84" s="549">
        <f>'Saisie données stocks'!M65</f>
        <v>1</v>
      </c>
      <c r="O84" s="232" t="e">
        <f>'Calculs dispo Données FA'!Q171</f>
        <v>#DIV/0!</v>
      </c>
      <c r="P84" s="237" t="e">
        <f>'Calculs dispo Données FA'!R171</f>
        <v>#DIV/0!</v>
      </c>
      <c r="Q84" s="242" t="e">
        <f>'Calculs dispo Données FA'!S171</f>
        <v>#DIV/0!</v>
      </c>
      <c r="R84" s="249" t="e">
        <f>'Calculs dispo Données FA'!T171</f>
        <v>#DIV/0!</v>
      </c>
      <c r="S84" s="250" t="e">
        <f>'Calculs dispo Données FA'!U171</f>
        <v>#DIV/0!</v>
      </c>
      <c r="U84" s="232" t="str">
        <f>'Calculs dispo Données FA'!W171</f>
        <v/>
      </c>
      <c r="V84" s="237" t="str">
        <f>'Calculs dispo Données FA'!X171</f>
        <v/>
      </c>
      <c r="W84" s="242" t="str">
        <f>'Calculs dispo Données FA'!Y171</f>
        <v/>
      </c>
      <c r="X84" s="249" t="str">
        <f>'Calculs dispo Données FA'!Z171</f>
        <v/>
      </c>
      <c r="Y84" s="250" t="str">
        <f>'Calculs dispo Données FA'!AA171</f>
        <v/>
      </c>
      <c r="AA84" s="232"/>
      <c r="AB84" s="563"/>
      <c r="AC84" s="564"/>
      <c r="AD84" s="565"/>
      <c r="AE84" s="566"/>
      <c r="AF84"/>
      <c r="AG84" s="232"/>
      <c r="AH84" s="563"/>
      <c r="AI84" s="564"/>
      <c r="AJ84" s="565"/>
      <c r="AK84" s="566"/>
    </row>
    <row r="85" spans="2:37" s="358" customFormat="1" x14ac:dyDescent="0.2">
      <c r="C85" s="374"/>
      <c r="D85" s="389"/>
      <c r="E85" s="390"/>
      <c r="F85" s="391"/>
      <c r="G85" s="391"/>
      <c r="H85" s="401"/>
      <c r="I85" s="401"/>
      <c r="J85" s="401"/>
      <c r="K85" s="401"/>
      <c r="L85" s="401"/>
      <c r="M85" s="116"/>
      <c r="N85" s="311"/>
      <c r="O85" s="539"/>
      <c r="P85" s="595"/>
      <c r="Q85" s="596"/>
      <c r="R85" s="597"/>
      <c r="S85" s="598"/>
      <c r="U85" s="539"/>
      <c r="V85" s="595"/>
      <c r="W85" s="596"/>
      <c r="X85" s="597"/>
      <c r="Y85" s="598"/>
      <c r="AA85" s="539" t="e">
        <f>'Calculs dispo Données conso'!Q173</f>
        <v>#DIV/0!</v>
      </c>
      <c r="AB85" s="543" t="e">
        <f>'Calculs dispo Données conso'!R173</f>
        <v>#DIV/0!</v>
      </c>
      <c r="AC85" s="540" t="e">
        <f>'Calculs dispo Données conso'!S173</f>
        <v>#DIV/0!</v>
      </c>
      <c r="AD85" s="541" t="e">
        <f>'Calculs dispo Données conso'!T173</f>
        <v>#DIV/0!</v>
      </c>
      <c r="AE85" s="542" t="e">
        <f>'Calculs dispo Données conso'!U173</f>
        <v>#DIV/0!</v>
      </c>
      <c r="AF85"/>
      <c r="AG85" s="539" t="str">
        <f>'Calculs dispo Données conso'!W173</f>
        <v/>
      </c>
      <c r="AH85" s="543" t="str">
        <f>'Calculs dispo Données conso'!X173</f>
        <v/>
      </c>
      <c r="AI85" s="540" t="str">
        <f>'Calculs dispo Données conso'!Y173</f>
        <v/>
      </c>
      <c r="AJ85" s="541" t="str">
        <f>'Calculs dispo Données conso'!Z173</f>
        <v/>
      </c>
      <c r="AK85" s="542" t="str">
        <f>'Calculs dispo Données conso'!AA173</f>
        <v/>
      </c>
    </row>
    <row r="86" spans="2:37" s="358" customFormat="1" x14ac:dyDescent="0.2">
      <c r="C86" s="374"/>
      <c r="D86" s="375" t="s">
        <v>26</v>
      </c>
      <c r="E86" s="376" t="s">
        <v>29</v>
      </c>
      <c r="F86" s="377" t="str">
        <f>'TRAD-Calculs dispo confrontatio'!B41</f>
        <v>sol buv</v>
      </c>
      <c r="G86" s="377" t="s">
        <v>80</v>
      </c>
      <c r="H86" s="378" t="s">
        <v>85</v>
      </c>
      <c r="I86" s="378" t="str">
        <f t="shared" si="8"/>
        <v>NVP - 10 mg/mL - Fl/240mL</v>
      </c>
      <c r="J86" s="378"/>
      <c r="K86" s="378"/>
      <c r="L86" s="378"/>
      <c r="M86" s="114">
        <f>'Saisie données stocks'!L66</f>
        <v>240</v>
      </c>
      <c r="N86" s="308">
        <f>'Saisie données stocks'!M66</f>
        <v>1</v>
      </c>
      <c r="O86" s="617" t="e">
        <f>'Calculs dispo Données FA'!Q172</f>
        <v>#DIV/0!</v>
      </c>
      <c r="P86" s="574" t="e">
        <f>'Calculs dispo Données FA'!R172</f>
        <v>#DIV/0!</v>
      </c>
      <c r="Q86" s="630" t="e">
        <f>'Calculs dispo Données FA'!S172</f>
        <v>#DIV/0!</v>
      </c>
      <c r="R86" s="628" t="e">
        <f>'Calculs dispo Données FA'!T172</f>
        <v>#DIV/0!</v>
      </c>
      <c r="S86" s="631" t="e">
        <f>'Calculs dispo Données FA'!U172</f>
        <v>#DIV/0!</v>
      </c>
      <c r="U86" s="617" t="str">
        <f>'Calculs dispo Données FA'!W172</f>
        <v/>
      </c>
      <c r="V86" s="574" t="str">
        <f>'Calculs dispo Données FA'!X172</f>
        <v/>
      </c>
      <c r="W86" s="630" t="str">
        <f>'Calculs dispo Données FA'!Y172</f>
        <v/>
      </c>
      <c r="X86" s="628" t="str">
        <f>'Calculs dispo Données FA'!Z172</f>
        <v/>
      </c>
      <c r="Y86" s="631" t="str">
        <f>'Calculs dispo Données FA'!AA172</f>
        <v>3990B &amp; conso =0</v>
      </c>
      <c r="AA86" s="617"/>
      <c r="AB86" s="618"/>
      <c r="AC86" s="641"/>
      <c r="AD86" s="642"/>
      <c r="AE86" s="644"/>
      <c r="AF86"/>
      <c r="AG86" s="617"/>
      <c r="AH86" s="618"/>
      <c r="AI86" s="641"/>
      <c r="AJ86" s="642"/>
      <c r="AK86" s="644"/>
    </row>
    <row r="87" spans="2:37" s="358" customFormat="1" x14ac:dyDescent="0.2">
      <c r="C87" s="374"/>
      <c r="D87" s="375"/>
      <c r="E87" s="376"/>
      <c r="F87" s="377"/>
      <c r="G87" s="377"/>
      <c r="H87" s="378"/>
      <c r="I87" s="378"/>
      <c r="J87" s="378"/>
      <c r="K87" s="378"/>
      <c r="L87" s="378"/>
      <c r="M87" s="114"/>
      <c r="N87" s="308"/>
      <c r="O87" s="232"/>
      <c r="P87" s="563"/>
      <c r="Q87" s="564"/>
      <c r="R87" s="565"/>
      <c r="S87" s="566"/>
      <c r="U87" s="232"/>
      <c r="V87" s="563"/>
      <c r="W87" s="564"/>
      <c r="X87" s="565"/>
      <c r="Y87" s="566"/>
      <c r="AA87" s="232">
        <f>'Calculs dispo Données conso'!Q174</f>
        <v>4.8072289156626509</v>
      </c>
      <c r="AB87" s="237">
        <f>'Calculs dispo Données conso'!R174</f>
        <v>1.8072289156626509</v>
      </c>
      <c r="AC87" s="242">
        <f>'Calculs dispo Données conso'!S174</f>
        <v>3</v>
      </c>
      <c r="AD87" s="249">
        <f>'Calculs dispo Données conso'!T174</f>
        <v>41973.969879518074</v>
      </c>
      <c r="AE87" s="250">
        <f>'Calculs dispo Données conso'!U174</f>
        <v>42065.219879518074</v>
      </c>
      <c r="AF87"/>
      <c r="AG87" s="232">
        <f>'Calculs dispo Données conso'!W174</f>
        <v>4.8072289156626509</v>
      </c>
      <c r="AH87" s="237">
        <f>'Calculs dispo Données conso'!X174</f>
        <v>1.8072289156626509</v>
      </c>
      <c r="AI87" s="242">
        <f>'Calculs dispo Données conso'!Y174</f>
        <v>3</v>
      </c>
      <c r="AJ87" s="249">
        <f>'Calculs dispo Données conso'!Z174</f>
        <v>41973.969879518074</v>
      </c>
      <c r="AK87" s="250">
        <f>'Calculs dispo Données conso'!AA174</f>
        <v>42065.219879518074</v>
      </c>
    </row>
    <row r="88" spans="2:37" s="358" customFormat="1" x14ac:dyDescent="0.2">
      <c r="C88" s="374"/>
      <c r="D88" s="375"/>
      <c r="E88" s="534" t="s">
        <v>27</v>
      </c>
      <c r="F88" s="535" t="str">
        <f>'TRAD-Calculs dispo confrontatio'!B41</f>
        <v>sol buv</v>
      </c>
      <c r="G88" s="535" t="s">
        <v>86</v>
      </c>
      <c r="H88" s="544" t="s">
        <v>87</v>
      </c>
      <c r="I88" s="544" t="str">
        <f t="shared" si="8"/>
        <v>EFV - 30 mg/mL - Fl/180mL</v>
      </c>
      <c r="J88" s="544"/>
      <c r="K88" s="544"/>
      <c r="L88" s="544"/>
      <c r="M88" s="537">
        <f>'Saisie données stocks'!L67</f>
        <v>180</v>
      </c>
      <c r="N88" s="549">
        <f>'Saisie données stocks'!M67</f>
        <v>1</v>
      </c>
      <c r="O88" s="232" t="e">
        <f>'Calculs dispo Données FA'!Q173</f>
        <v>#DIV/0!</v>
      </c>
      <c r="P88" s="237" t="e">
        <f>'Calculs dispo Données FA'!R173</f>
        <v>#DIV/0!</v>
      </c>
      <c r="Q88" s="242" t="e">
        <f>'Calculs dispo Données FA'!S173</f>
        <v>#DIV/0!</v>
      </c>
      <c r="R88" s="249" t="e">
        <f>'Calculs dispo Données FA'!T173</f>
        <v>#DIV/0!</v>
      </c>
      <c r="S88" s="250" t="e">
        <f>'Calculs dispo Données FA'!U173</f>
        <v>#DIV/0!</v>
      </c>
      <c r="U88" s="232" t="str">
        <f>'Calculs dispo Données FA'!W173</f>
        <v/>
      </c>
      <c r="V88" s="237" t="str">
        <f>'Calculs dispo Données FA'!X173</f>
        <v/>
      </c>
      <c r="W88" s="242" t="str">
        <f>'Calculs dispo Données FA'!Y173</f>
        <v/>
      </c>
      <c r="X88" s="249" t="str">
        <f>'Calculs dispo Données FA'!Z173</f>
        <v/>
      </c>
      <c r="Y88" s="250" t="str">
        <f>'Calculs dispo Données FA'!AA173</f>
        <v/>
      </c>
      <c r="AA88" s="232"/>
      <c r="AB88" s="563"/>
      <c r="AC88" s="564"/>
      <c r="AD88" s="565"/>
      <c r="AE88" s="566"/>
      <c r="AF88"/>
      <c r="AG88" s="232"/>
      <c r="AH88" s="563"/>
      <c r="AI88" s="564"/>
      <c r="AJ88" s="565"/>
      <c r="AK88" s="566"/>
    </row>
    <row r="89" spans="2:37" s="358" customFormat="1" x14ac:dyDescent="0.2">
      <c r="C89" s="374"/>
      <c r="D89" s="609"/>
      <c r="E89" s="390"/>
      <c r="F89" s="391"/>
      <c r="G89" s="391"/>
      <c r="H89" s="401"/>
      <c r="I89" s="401"/>
      <c r="J89" s="401"/>
      <c r="K89" s="401"/>
      <c r="L89" s="401"/>
      <c r="M89" s="116"/>
      <c r="N89" s="311"/>
      <c r="O89" s="624"/>
      <c r="P89" s="629"/>
      <c r="Q89" s="621"/>
      <c r="R89" s="622"/>
      <c r="S89" s="623"/>
      <c r="U89" s="624"/>
      <c r="V89" s="629"/>
      <c r="W89" s="621"/>
      <c r="X89" s="622"/>
      <c r="Y89" s="623"/>
      <c r="AA89" s="624" t="e">
        <f>'Calculs dispo Données conso'!Q175</f>
        <v>#DIV/0!</v>
      </c>
      <c r="AB89" s="625" t="e">
        <f>'Calculs dispo Données conso'!R175</f>
        <v>#DIV/0!</v>
      </c>
      <c r="AC89" s="632" t="e">
        <f>'Calculs dispo Données conso'!S175</f>
        <v>#DIV/0!</v>
      </c>
      <c r="AD89" s="626" t="e">
        <f>'Calculs dispo Données conso'!T175</f>
        <v>#DIV/0!</v>
      </c>
      <c r="AE89" s="627" t="e">
        <f>'Calculs dispo Données conso'!U175</f>
        <v>#DIV/0!</v>
      </c>
      <c r="AF89"/>
      <c r="AG89" s="624" t="str">
        <f>'Calculs dispo Données conso'!W175</f>
        <v/>
      </c>
      <c r="AH89" s="625" t="str">
        <f>'Calculs dispo Données conso'!X175</f>
        <v/>
      </c>
      <c r="AI89" s="632" t="str">
        <f>'Calculs dispo Données conso'!Y175</f>
        <v/>
      </c>
      <c r="AJ89" s="626" t="str">
        <f>'Calculs dispo Données conso'!Z175</f>
        <v/>
      </c>
      <c r="AK89" s="627" t="str">
        <f>'Calculs dispo Données conso'!AA175</f>
        <v/>
      </c>
    </row>
    <row r="90" spans="2:37" s="358" customFormat="1" ht="25.5" x14ac:dyDescent="0.2">
      <c r="C90" s="374"/>
      <c r="D90" s="610" t="s">
        <v>41</v>
      </c>
      <c r="E90" s="376" t="s">
        <v>42</v>
      </c>
      <c r="F90" s="377" t="str">
        <f>'TRAD-Calculs dispo confrontatio'!B41</f>
        <v>sol buv</v>
      </c>
      <c r="G90" s="377" t="s">
        <v>93</v>
      </c>
      <c r="H90" s="378" t="s">
        <v>94</v>
      </c>
      <c r="I90" s="378" t="str">
        <f t="shared" si="8"/>
        <v>LPV/r - 80/20 mg/mL - Fl/60mL</v>
      </c>
      <c r="J90" s="378"/>
      <c r="K90" s="378"/>
      <c r="L90" s="378"/>
      <c r="M90" s="114">
        <f>'Saisie données stocks'!L68</f>
        <v>60</v>
      </c>
      <c r="N90" s="308">
        <f>'Saisie données stocks'!M68</f>
        <v>4</v>
      </c>
      <c r="O90" s="617" t="e">
        <f>'Calculs dispo Données FA'!Q174</f>
        <v>#DIV/0!</v>
      </c>
      <c r="P90" s="574" t="e">
        <f>'Calculs dispo Données FA'!R174</f>
        <v>#DIV/0!</v>
      </c>
      <c r="Q90" s="630" t="e">
        <f>'Calculs dispo Données FA'!S174</f>
        <v>#DIV/0!</v>
      </c>
      <c r="R90" s="628" t="e">
        <f>'Calculs dispo Données FA'!T174</f>
        <v>#DIV/0!</v>
      </c>
      <c r="S90" s="620" t="e">
        <f>'Calculs dispo Données FA'!U174</f>
        <v>#DIV/0!</v>
      </c>
      <c r="U90" s="617" t="str">
        <f>'Calculs dispo Données FA'!W174</f>
        <v/>
      </c>
      <c r="V90" s="574" t="str">
        <f>'Calculs dispo Données FA'!X174</f>
        <v/>
      </c>
      <c r="W90" s="630" t="str">
        <f>'Calculs dispo Données FA'!Y174</f>
        <v/>
      </c>
      <c r="X90" s="628" t="str">
        <f>'Calculs dispo Données FA'!Z174</f>
        <v/>
      </c>
      <c r="Y90" s="620" t="str">
        <f>'Calculs dispo Données FA'!AA174</f>
        <v/>
      </c>
      <c r="AA90" s="617"/>
      <c r="AB90" s="618"/>
      <c r="AC90" s="641"/>
      <c r="AD90" s="642"/>
      <c r="AE90" s="643"/>
      <c r="AF90"/>
      <c r="AG90" s="617"/>
      <c r="AH90" s="618"/>
      <c r="AI90" s="641"/>
      <c r="AJ90" s="642"/>
      <c r="AK90" s="643"/>
    </row>
    <row r="91" spans="2:37" s="358" customFormat="1" ht="13.5" thickBot="1" x14ac:dyDescent="0.25">
      <c r="C91" s="404"/>
      <c r="D91" s="408"/>
      <c r="E91" s="409"/>
      <c r="F91" s="410"/>
      <c r="G91" s="410"/>
      <c r="H91" s="411"/>
      <c r="I91" s="411"/>
      <c r="J91" s="411"/>
      <c r="K91" s="411"/>
      <c r="L91" s="411"/>
      <c r="M91" s="312"/>
      <c r="N91" s="313"/>
      <c r="O91" s="633"/>
      <c r="P91" s="634"/>
      <c r="Q91" s="615"/>
      <c r="R91" s="636"/>
      <c r="S91" s="637"/>
      <c r="T91" s="635"/>
      <c r="U91" s="633"/>
      <c r="V91" s="634"/>
      <c r="W91" s="615"/>
      <c r="X91" s="636"/>
      <c r="Y91" s="637"/>
      <c r="AA91" s="633">
        <f>'Calculs dispo Données conso'!Q176</f>
        <v>0</v>
      </c>
      <c r="AB91" s="638">
        <f>'Calculs dispo Données conso'!R176</f>
        <v>-3</v>
      </c>
      <c r="AC91" s="616">
        <f>'Calculs dispo Données conso'!S176</f>
        <v>0</v>
      </c>
      <c r="AD91" s="639">
        <f>'Calculs dispo Données conso'!T176</f>
        <v>41827.75</v>
      </c>
      <c r="AE91" s="640">
        <f>'Calculs dispo Données conso'!U176</f>
        <v>41919</v>
      </c>
      <c r="AF91"/>
      <c r="AG91" s="633" t="str">
        <f>'Calculs dispo Données conso'!W176</f>
        <v/>
      </c>
      <c r="AH91" s="638" t="str">
        <f>'Calculs dispo Données conso'!X176</f>
        <v/>
      </c>
      <c r="AI91" s="616" t="str">
        <f>'Calculs dispo Données conso'!Y176</f>
        <v/>
      </c>
      <c r="AJ91" s="639" t="str">
        <f>'Calculs dispo Données conso'!Z176</f>
        <v/>
      </c>
      <c r="AK91" s="640" t="str">
        <f>'Calculs dispo Données conso'!AA176</f>
        <v>RUPTURE</v>
      </c>
    </row>
    <row r="92" spans="2:37" x14ac:dyDescent="0.2">
      <c r="S92" s="361"/>
      <c r="AE92" s="361"/>
    </row>
    <row r="93" spans="2:37" s="358" customFormat="1" x14ac:dyDescent="0.2">
      <c r="C93" s="412"/>
      <c r="D93" s="413"/>
      <c r="E93" s="414"/>
      <c r="F93" s="415"/>
      <c r="G93" s="415"/>
      <c r="H93" s="416"/>
      <c r="I93" s="416"/>
      <c r="J93" s="416"/>
      <c r="K93" s="416"/>
      <c r="L93" s="416"/>
      <c r="M93" s="417"/>
      <c r="N93" s="418"/>
      <c r="R93" s="361"/>
      <c r="S93" s="361"/>
      <c r="AD93" s="361"/>
      <c r="AE93" s="361"/>
      <c r="AF93"/>
    </row>
    <row r="94" spans="2:37" s="358" customFormat="1" ht="14.25" x14ac:dyDescent="0.2">
      <c r="B94" s="359" t="str">
        <f>'TRAD-Calculs dispo confrontatio'!B27</f>
        <v>B. Avec les stocks actuellement disponibles (niveau central &amp; périphériques) &amp; les commandes attendues à cours termes.</v>
      </c>
      <c r="C94" s="359"/>
      <c r="D94" s="359"/>
      <c r="E94" s="359"/>
      <c r="F94" s="359"/>
      <c r="G94" s="359"/>
      <c r="H94" s="359"/>
      <c r="I94" s="359"/>
      <c r="J94" s="359"/>
      <c r="K94" s="359"/>
      <c r="L94" s="359"/>
      <c r="M94" s="359"/>
      <c r="N94" s="359"/>
      <c r="O94" s="360"/>
      <c r="R94" s="361"/>
      <c r="S94" s="361"/>
      <c r="AD94" s="361"/>
      <c r="AE94" s="361"/>
      <c r="AF94"/>
    </row>
    <row r="95" spans="2:37" ht="13.5" thickBot="1" x14ac:dyDescent="0.25"/>
    <row r="96" spans="2:37" ht="13.5" thickBot="1" x14ac:dyDescent="0.25">
      <c r="O96" s="3286" t="str">
        <f>'TRAD-Calculs dispo confrontatio'!B20</f>
        <v>CALCULS à partir des données de FA</v>
      </c>
      <c r="P96" s="3287"/>
      <c r="Q96" s="3287"/>
      <c r="R96" s="3287"/>
      <c r="S96" s="3287"/>
      <c r="T96" s="3287"/>
      <c r="U96" s="3287"/>
      <c r="V96" s="3287"/>
      <c r="W96" s="3287"/>
      <c r="X96" s="3287"/>
      <c r="Y96" s="3288"/>
      <c r="AA96" s="3286" t="str">
        <f>'TRAD-Calculs dispo confrontatio'!B28</f>
        <v>CALCULS à partir des données de Conso/Distri</v>
      </c>
      <c r="AB96" s="3287"/>
      <c r="AC96" s="3287"/>
      <c r="AD96" s="3287"/>
      <c r="AE96" s="3287"/>
      <c r="AF96" s="3287"/>
      <c r="AG96" s="3287"/>
      <c r="AH96" s="3287"/>
      <c r="AI96" s="3287"/>
      <c r="AJ96" s="3287"/>
      <c r="AK96" s="3288"/>
    </row>
    <row r="97" spans="3:37" ht="27" customHeight="1" thickBot="1" x14ac:dyDescent="0.25">
      <c r="P97" s="3289"/>
      <c r="Q97" s="3289"/>
      <c r="R97" s="431"/>
      <c r="U97" s="3291" t="str">
        <f>'TRAD-Calculs dispo confrontatio'!B21</f>
        <v>Pour représentation graphique avec données FA</v>
      </c>
      <c r="V97" s="3289"/>
      <c r="W97" s="3289"/>
      <c r="X97" s="3289"/>
      <c r="Y97" s="3292"/>
      <c r="AD97" s="431"/>
      <c r="AG97" s="3283" t="str">
        <f>'TRAD-Calculs dispo confrontatio'!B29</f>
        <v>Pour représentation graphique avec données Conso/Distri</v>
      </c>
      <c r="AH97" s="3284"/>
      <c r="AI97" s="3284"/>
      <c r="AJ97" s="3284"/>
      <c r="AK97" s="3285"/>
    </row>
    <row r="98" spans="3:37" s="358" customFormat="1" ht="64.5" thickBot="1" x14ac:dyDescent="0.25">
      <c r="C98" s="362"/>
      <c r="D98" s="363"/>
      <c r="E98" s="364" t="str">
        <f>'TRAD-Calculs dispo confrontatio'!B5</f>
        <v>Composition</v>
      </c>
      <c r="F98" s="365" t="str">
        <f>'TRAD-Calculs dispo confrontatio'!B6</f>
        <v>Forme galénique</v>
      </c>
      <c r="G98" s="365" t="str">
        <f>'TRAD-Calculs dispo confrontatio'!B7</f>
        <v>Dosage</v>
      </c>
      <c r="H98" s="365" t="str">
        <f>'TRAD-Calculs dispo confrontatio'!B8</f>
        <v>Nom de spécialité</v>
      </c>
      <c r="I98" s="365" t="str">
        <f>'TRAD-Calculs dispo confrontatio'!B9</f>
        <v>Nom pour représentation graphique</v>
      </c>
      <c r="J98" s="365" t="str">
        <f>'TRAD-Calculs dispo confrontatio'!B10</f>
        <v>Nom de générique possible</v>
      </c>
      <c r="K98" s="365" t="str">
        <f>'TRAD-Calculs dispo confrontatio'!B11</f>
        <v>Nb de prise / jour</v>
      </c>
      <c r="L98" s="365" t="str">
        <f>'TRAD-Calculs dispo confrontatio'!B12</f>
        <v>Nb de prise / mois</v>
      </c>
      <c r="M98" s="365" t="str">
        <f>'TRAD-Calculs dispo confrontatio'!B13</f>
        <v>Conditionnement</v>
      </c>
      <c r="N98" s="327" t="str">
        <f>'TRAD-Calculs dispo confrontatio'!B14</f>
        <v>Nb de boites nécessaire pour 1 mois pour 1 patient</v>
      </c>
      <c r="O98" s="347" t="str">
        <f>'TRAD-Calculs dispo confrontatio'!B15</f>
        <v>Nb mois dispo - Données FA</v>
      </c>
      <c r="P98" s="347" t="str">
        <f>'TRAD-Calculs dispo confrontatio'!B16</f>
        <v>Nb mois dispo hors SS - Données FA</v>
      </c>
      <c r="Q98" s="327" t="str">
        <f>'TRAD-Calculs dispo confrontatio'!B17</f>
        <v>Nb mois dispo SS - Données FA</v>
      </c>
      <c r="R98" s="348" t="str">
        <f>'TRAD-Calculs dispo confrontatio'!B18</f>
        <v>Date d'entrée en stock de sécurité</v>
      </c>
      <c r="S98" s="349" t="str">
        <f>'TRAD-Calculs dispo confrontatio'!B19</f>
        <v>Date de rupture attendue</v>
      </c>
      <c r="U98" s="347" t="str">
        <f>'TRAD-Calculs dispo confrontatio'!B15</f>
        <v>Nb mois dispo - Données FA</v>
      </c>
      <c r="V98" s="347" t="str">
        <f>'TRAD-Calculs dispo confrontatio'!B16</f>
        <v>Nb mois dispo hors SS - Données FA</v>
      </c>
      <c r="W98" s="327" t="str">
        <f>'TRAD-Calculs dispo confrontatio'!B17</f>
        <v>Nb mois dispo SS - Données FA</v>
      </c>
      <c r="X98" s="348" t="str">
        <f>'TRAD-Calculs dispo confrontatio'!B18</f>
        <v>Date d'entrée en stock de sécurité</v>
      </c>
      <c r="Y98" s="349" t="str">
        <f>'TRAD-Calculs dispo confrontatio'!B19</f>
        <v>Date de rupture attendue</v>
      </c>
      <c r="AA98" s="347" t="str">
        <f>'TRAD-Calculs dispo confrontatio'!B24</f>
        <v>Nb mois dispo - Données Conso/Distri</v>
      </c>
      <c r="AB98" s="347" t="str">
        <f>'TRAD-Calculs dispo confrontatio'!B25</f>
        <v>Nb mois dispo hors SS - Données Conso/Distri</v>
      </c>
      <c r="AC98" s="327" t="str">
        <f>'TRAD-Calculs dispo confrontatio'!B26</f>
        <v>Nb mois dispo SS - Données Conso/Distri</v>
      </c>
      <c r="AD98" s="348" t="str">
        <f>'TRAD-Calculs dispo confrontatio'!B18</f>
        <v>Date d'entrée en stock de sécurité</v>
      </c>
      <c r="AE98" s="349" t="str">
        <f>'TRAD-Calculs dispo confrontatio'!B19</f>
        <v>Date de rupture attendue</v>
      </c>
      <c r="AF98"/>
      <c r="AG98" s="347" t="str">
        <f>'TRAD-Calculs dispo confrontatio'!B24</f>
        <v>Nb mois dispo - Données Conso/Distri</v>
      </c>
      <c r="AH98" s="347" t="str">
        <f>'TRAD-Calculs dispo confrontatio'!B25</f>
        <v>Nb mois dispo hors SS - Données Conso/Distri</v>
      </c>
      <c r="AI98" s="327" t="str">
        <f>'TRAD-Calculs dispo confrontatio'!B26</f>
        <v>Nb mois dispo SS - Données Conso/Distri</v>
      </c>
      <c r="AJ98" s="348" t="str">
        <f>'TRAD-Calculs dispo confrontatio'!B18</f>
        <v>Date d'entrée en stock de sécurité</v>
      </c>
      <c r="AK98" s="349" t="str">
        <f>'TRAD-Calculs dispo confrontatio'!B19</f>
        <v>Date de rupture attendue</v>
      </c>
    </row>
    <row r="99" spans="3:37" s="358" customFormat="1" ht="25.5" x14ac:dyDescent="0.2">
      <c r="C99" s="366" t="s">
        <v>97</v>
      </c>
      <c r="D99" s="367" t="s">
        <v>15</v>
      </c>
      <c r="E99" s="368" t="s">
        <v>1</v>
      </c>
      <c r="F99" s="369" t="str">
        <f>'TRAD-Calculs dispo confrontatio'!B42</f>
        <v>Cp</v>
      </c>
      <c r="G99" s="369" t="s">
        <v>17</v>
      </c>
      <c r="H99" s="370"/>
      <c r="I99" s="370" t="str">
        <f t="shared" ref="I99:I161" si="9">CONCATENATE(E99, " - ", G99, " - Bte/", M99)</f>
        <v>AZT+3TC+NVP - 300/150/200 mg - Bte/60</v>
      </c>
      <c r="J99" s="371" t="s">
        <v>99</v>
      </c>
      <c r="K99" s="372">
        <v>2</v>
      </c>
      <c r="L99" s="372">
        <f>K99*30</f>
        <v>60</v>
      </c>
      <c r="M99" s="113">
        <v>60</v>
      </c>
      <c r="N99" s="373">
        <f t="shared" ref="N99" si="10">L99/M99</f>
        <v>1</v>
      </c>
      <c r="O99" s="230" t="e">
        <f>'Calculs dispo Données FA'!Q182</f>
        <v>#DIV/0!</v>
      </c>
      <c r="P99" s="235" t="e">
        <f>'Calculs dispo Données FA'!R182</f>
        <v>#DIV/0!</v>
      </c>
      <c r="Q99" s="240" t="e">
        <f>'Calculs dispo Données FA'!S182</f>
        <v>#DIV/0!</v>
      </c>
      <c r="R99" s="245" t="e">
        <f>'Calculs dispo Données FA'!T182</f>
        <v>#DIV/0!</v>
      </c>
      <c r="S99" s="246" t="e">
        <f>'Calculs dispo Données FA'!U182</f>
        <v>#DIV/0!</v>
      </c>
      <c r="U99" s="230" t="str">
        <f>'Calculs dispo Données FA'!W182</f>
        <v/>
      </c>
      <c r="V99" s="235" t="str">
        <f>'Calculs dispo Données FA'!X182</f>
        <v/>
      </c>
      <c r="W99" s="240" t="str">
        <f>'Calculs dispo Données FA'!Y182</f>
        <v/>
      </c>
      <c r="X99" s="245" t="str">
        <f>'Calculs dispo Données FA'!Z182</f>
        <v/>
      </c>
      <c r="Y99" s="246" t="str">
        <f>'Calculs dispo Données FA'!AA182</f>
        <v>71892B &amp; conso =0</v>
      </c>
      <c r="AA99" s="230"/>
      <c r="AB99" s="559"/>
      <c r="AC99" s="560"/>
      <c r="AD99" s="561"/>
      <c r="AE99" s="562"/>
      <c r="AF99"/>
      <c r="AG99" s="230"/>
      <c r="AH99" s="559"/>
      <c r="AI99" s="560"/>
      <c r="AJ99" s="561"/>
      <c r="AK99" s="562"/>
    </row>
    <row r="100" spans="3:37" s="358" customFormat="1" x14ac:dyDescent="0.2">
      <c r="C100" s="374"/>
      <c r="D100" s="375"/>
      <c r="E100" s="376"/>
      <c r="F100" s="377"/>
      <c r="G100" s="377"/>
      <c r="H100" s="378"/>
      <c r="I100" s="378"/>
      <c r="J100" s="379"/>
      <c r="K100" s="380"/>
      <c r="L100" s="380"/>
      <c r="M100" s="114"/>
      <c r="N100" s="381"/>
      <c r="O100" s="231"/>
      <c r="P100" s="555"/>
      <c r="Q100" s="556"/>
      <c r="R100" s="557"/>
      <c r="S100" s="558"/>
      <c r="U100" s="231"/>
      <c r="V100" s="555"/>
      <c r="W100" s="556"/>
      <c r="X100" s="557"/>
      <c r="Y100" s="558"/>
      <c r="AA100" s="231">
        <f>'Calculs dispo Données conso'!Q184</f>
        <v>11.343010413379615</v>
      </c>
      <c r="AB100" s="236">
        <f>'Calculs dispo Données conso'!R184</f>
        <v>8.3430104133796146</v>
      </c>
      <c r="AC100" s="241">
        <f>'Calculs dispo Données conso'!S184</f>
        <v>3</v>
      </c>
      <c r="AD100" s="247">
        <f>'Calculs dispo Données conso'!T184</f>
        <v>42172.766566740298</v>
      </c>
      <c r="AE100" s="248">
        <f>'Calculs dispo Données conso'!U184</f>
        <v>42264.016566740298</v>
      </c>
      <c r="AF100"/>
      <c r="AG100" s="231">
        <f>'Calculs dispo Données conso'!W184</f>
        <v>11.343010413379615</v>
      </c>
      <c r="AH100" s="236">
        <f>'Calculs dispo Données conso'!X184</f>
        <v>8.3430104133796146</v>
      </c>
      <c r="AI100" s="241">
        <f>'Calculs dispo Données conso'!Y184</f>
        <v>3</v>
      </c>
      <c r="AJ100" s="247">
        <f>'Calculs dispo Données conso'!Z184</f>
        <v>42172.766566740298</v>
      </c>
      <c r="AK100" s="248">
        <f>'Calculs dispo Données conso'!AA184</f>
        <v>42264.016566740298</v>
      </c>
    </row>
    <row r="101" spans="3:37" s="358" customFormat="1" ht="51" x14ac:dyDescent="0.2">
      <c r="C101" s="374"/>
      <c r="D101" s="375"/>
      <c r="E101" s="501" t="s">
        <v>1</v>
      </c>
      <c r="F101" s="502" t="str">
        <f>'TRAD-Calculs dispo confrontatio'!B42</f>
        <v>Cp</v>
      </c>
      <c r="G101" s="502" t="s">
        <v>258</v>
      </c>
      <c r="H101" s="503"/>
      <c r="I101" s="504" t="str">
        <f t="shared" si="9"/>
        <v>AZT+3TC+NVP - 60/30/50 mg - Bte/60</v>
      </c>
      <c r="J101" s="504" t="s">
        <v>259</v>
      </c>
      <c r="K101" s="505">
        <v>2</v>
      </c>
      <c r="L101" s="505">
        <f>K101*30</f>
        <v>60</v>
      </c>
      <c r="M101" s="114">
        <v>60</v>
      </c>
      <c r="N101" s="381">
        <f t="shared" ref="N101" si="11">L101/M101</f>
        <v>1</v>
      </c>
      <c r="O101" s="231" t="e">
        <f>'Calculs dispo Données FA'!Q183</f>
        <v>#DIV/0!</v>
      </c>
      <c r="P101" s="236" t="e">
        <f>'Calculs dispo Données FA'!R183</f>
        <v>#DIV/0!</v>
      </c>
      <c r="Q101" s="241" t="e">
        <f>'Calculs dispo Données FA'!S183</f>
        <v>#DIV/0!</v>
      </c>
      <c r="R101" s="247" t="e">
        <f>'Calculs dispo Données FA'!T183</f>
        <v>#DIV/0!</v>
      </c>
      <c r="S101" s="248" t="e">
        <f>'Calculs dispo Données FA'!U183</f>
        <v>#DIV/0!</v>
      </c>
      <c r="U101" s="231" t="str">
        <f>'Calculs dispo Données FA'!W183</f>
        <v/>
      </c>
      <c r="V101" s="236" t="str">
        <f>'Calculs dispo Données FA'!X183</f>
        <v/>
      </c>
      <c r="W101" s="241" t="str">
        <f>'Calculs dispo Données FA'!Y183</f>
        <v/>
      </c>
      <c r="X101" s="247" t="str">
        <f>'Calculs dispo Données FA'!Z183</f>
        <v/>
      </c>
      <c r="Y101" s="248" t="str">
        <f>'Calculs dispo Données FA'!AA183</f>
        <v>1522B &amp; conso =0</v>
      </c>
      <c r="AA101" s="231"/>
      <c r="AB101" s="555"/>
      <c r="AC101" s="556"/>
      <c r="AD101" s="557"/>
      <c r="AE101" s="558"/>
      <c r="AF101"/>
      <c r="AG101" s="231"/>
      <c r="AH101" s="555"/>
      <c r="AI101" s="556"/>
      <c r="AJ101" s="557"/>
      <c r="AK101" s="558"/>
    </row>
    <row r="102" spans="3:37" s="358" customFormat="1" x14ac:dyDescent="0.2">
      <c r="C102" s="374"/>
      <c r="D102" s="375"/>
      <c r="E102" s="501"/>
      <c r="F102" s="502"/>
      <c r="G102" s="502"/>
      <c r="H102" s="503"/>
      <c r="I102" s="504"/>
      <c r="J102" s="504"/>
      <c r="K102" s="505"/>
      <c r="L102" s="505"/>
      <c r="M102" s="114"/>
      <c r="N102" s="381"/>
      <c r="O102" s="231"/>
      <c r="P102" s="555"/>
      <c r="Q102" s="556"/>
      <c r="R102" s="557"/>
      <c r="S102" s="558"/>
      <c r="U102" s="231"/>
      <c r="V102" s="555"/>
      <c r="W102" s="556"/>
      <c r="X102" s="557"/>
      <c r="Y102" s="558"/>
      <c r="AA102" s="231">
        <f>'Calculs dispo Données conso'!Q185</f>
        <v>2.7875457875457874</v>
      </c>
      <c r="AB102" s="236">
        <f>'Calculs dispo Données conso'!R185</f>
        <v>-0.21245421245421259</v>
      </c>
      <c r="AC102" s="241">
        <f>'Calculs dispo Données conso'!S185</f>
        <v>2.7875457875457874</v>
      </c>
      <c r="AD102" s="247">
        <f>'Calculs dispo Données conso'!T185</f>
        <v>41912.626373626372</v>
      </c>
      <c r="AE102" s="248">
        <f>'Calculs dispo Données conso'!U185</f>
        <v>42002.626373626372</v>
      </c>
      <c r="AF102"/>
      <c r="AG102" s="231">
        <f>'Calculs dispo Données conso'!W185</f>
        <v>2.7875457875457874</v>
      </c>
      <c r="AH102" s="236">
        <f>'Calculs dispo Données conso'!X185</f>
        <v>-0.21245421245421259</v>
      </c>
      <c r="AI102" s="241">
        <f>'Calculs dispo Données conso'!Y185</f>
        <v>2.7875457875457874</v>
      </c>
      <c r="AJ102" s="247">
        <f>'Calculs dispo Données conso'!Z185</f>
        <v>41912.626373626372</v>
      </c>
      <c r="AK102" s="248">
        <f>'Calculs dispo Données conso'!AA185</f>
        <v>42002.626373626372</v>
      </c>
    </row>
    <row r="103" spans="3:37" s="358" customFormat="1" ht="25.5" x14ac:dyDescent="0.2">
      <c r="C103" s="374"/>
      <c r="D103" s="375"/>
      <c r="E103" s="376" t="s">
        <v>3</v>
      </c>
      <c r="F103" s="377" t="str">
        <f>'TRAD-Calculs dispo confrontatio'!B42</f>
        <v>Cp</v>
      </c>
      <c r="G103" s="377" t="s">
        <v>137</v>
      </c>
      <c r="H103" s="378" t="s">
        <v>138</v>
      </c>
      <c r="I103" s="378" t="str">
        <f t="shared" si="9"/>
        <v>AZT+3TC+ABC - 300/150/300 mg - Bte/60</v>
      </c>
      <c r="J103" s="379"/>
      <c r="K103" s="380">
        <v>2</v>
      </c>
      <c r="L103" s="380">
        <f t="shared" ref="L103" si="12">K103*30</f>
        <v>60</v>
      </c>
      <c r="M103" s="114">
        <v>60</v>
      </c>
      <c r="N103" s="381">
        <f t="shared" ref="N103" si="13">L103/M103</f>
        <v>1</v>
      </c>
      <c r="O103" s="231" t="e">
        <f>'Calculs dispo Données FA'!Q184</f>
        <v>#DIV/0!</v>
      </c>
      <c r="P103" s="236" t="e">
        <f>'Calculs dispo Données FA'!R184</f>
        <v>#DIV/0!</v>
      </c>
      <c r="Q103" s="241" t="e">
        <f>'Calculs dispo Données FA'!S184</f>
        <v>#DIV/0!</v>
      </c>
      <c r="R103" s="247" t="e">
        <f>'Calculs dispo Données FA'!T184</f>
        <v>#DIV/0!</v>
      </c>
      <c r="S103" s="248" t="e">
        <f>'Calculs dispo Données FA'!U184</f>
        <v>#DIV/0!</v>
      </c>
      <c r="U103" s="231" t="str">
        <f>'Calculs dispo Données FA'!W184</f>
        <v/>
      </c>
      <c r="V103" s="236" t="str">
        <f>'Calculs dispo Données FA'!X184</f>
        <v/>
      </c>
      <c r="W103" s="241" t="str">
        <f>'Calculs dispo Données FA'!Y184</f>
        <v/>
      </c>
      <c r="X103" s="247" t="str">
        <f>'Calculs dispo Données FA'!Z184</f>
        <v/>
      </c>
      <c r="Y103" s="248" t="str">
        <f>'Calculs dispo Données FA'!AA184</f>
        <v>666B &amp; conso =0</v>
      </c>
      <c r="AA103" s="231"/>
      <c r="AB103" s="555"/>
      <c r="AC103" s="556"/>
      <c r="AD103" s="557"/>
      <c r="AE103" s="558"/>
      <c r="AF103"/>
      <c r="AG103" s="231"/>
      <c r="AH103" s="555"/>
      <c r="AI103" s="556"/>
      <c r="AJ103" s="557"/>
      <c r="AK103" s="558"/>
    </row>
    <row r="104" spans="3:37" s="358" customFormat="1" x14ac:dyDescent="0.2">
      <c r="C104" s="374"/>
      <c r="D104" s="375"/>
      <c r="E104" s="376"/>
      <c r="F104" s="377"/>
      <c r="G104" s="377"/>
      <c r="H104" s="378"/>
      <c r="I104" s="378"/>
      <c r="J104" s="379"/>
      <c r="K104" s="380"/>
      <c r="L104" s="380"/>
      <c r="M104" s="114"/>
      <c r="N104" s="381"/>
      <c r="O104" s="231"/>
      <c r="P104" s="555"/>
      <c r="Q104" s="556"/>
      <c r="R104" s="557"/>
      <c r="S104" s="558"/>
      <c r="U104" s="231"/>
      <c r="V104" s="555"/>
      <c r="W104" s="556"/>
      <c r="X104" s="557"/>
      <c r="Y104" s="558"/>
      <c r="AA104" s="231">
        <f>'Calculs dispo Données conso'!Q186</f>
        <v>8.7780821917808218</v>
      </c>
      <c r="AB104" s="236">
        <f>'Calculs dispo Données conso'!R186</f>
        <v>5.7780821917808218</v>
      </c>
      <c r="AC104" s="241">
        <f>'Calculs dispo Données conso'!S186</f>
        <v>3</v>
      </c>
      <c r="AD104" s="247">
        <f>'Calculs dispo Données conso'!T186</f>
        <v>42092.342465753427</v>
      </c>
      <c r="AE104" s="248">
        <f>'Calculs dispo Données conso'!U186</f>
        <v>42182.342465753427</v>
      </c>
      <c r="AF104"/>
      <c r="AG104" s="231">
        <f>'Calculs dispo Données conso'!W186</f>
        <v>8.7780821917808218</v>
      </c>
      <c r="AH104" s="236">
        <f>'Calculs dispo Données conso'!X186</f>
        <v>5.7780821917808218</v>
      </c>
      <c r="AI104" s="241">
        <f>'Calculs dispo Données conso'!Y186</f>
        <v>3</v>
      </c>
      <c r="AJ104" s="247">
        <f>'Calculs dispo Données conso'!Z186</f>
        <v>42092.342465753427</v>
      </c>
      <c r="AK104" s="248">
        <f>'Calculs dispo Données conso'!AA186</f>
        <v>42182.342465753427</v>
      </c>
    </row>
    <row r="105" spans="3:37" s="358" customFormat="1" ht="51" x14ac:dyDescent="0.2">
      <c r="C105" s="374"/>
      <c r="D105" s="375"/>
      <c r="E105" s="376" t="s">
        <v>18</v>
      </c>
      <c r="F105" s="377" t="str">
        <f>'TRAD-Calculs dispo confrontatio'!B42</f>
        <v>Cp</v>
      </c>
      <c r="G105" s="377" t="s">
        <v>19</v>
      </c>
      <c r="H105" s="378" t="s">
        <v>100</v>
      </c>
      <c r="I105" s="378" t="str">
        <f t="shared" si="9"/>
        <v>AZT+3TC - 300/150 mg - Bte/60</v>
      </c>
      <c r="J105" s="379" t="s">
        <v>101</v>
      </c>
      <c r="K105" s="380">
        <v>2</v>
      </c>
      <c r="L105" s="380">
        <f t="shared" ref="L105" si="14">K105*30</f>
        <v>60</v>
      </c>
      <c r="M105" s="114">
        <v>60</v>
      </c>
      <c r="N105" s="381">
        <f t="shared" ref="N105" si="15">L105/M105</f>
        <v>1</v>
      </c>
      <c r="O105" s="231" t="e">
        <f>'Calculs dispo Données FA'!Q185</f>
        <v>#DIV/0!</v>
      </c>
      <c r="P105" s="236" t="e">
        <f>'Calculs dispo Données FA'!R185</f>
        <v>#DIV/0!</v>
      </c>
      <c r="Q105" s="241" t="e">
        <f>'Calculs dispo Données FA'!S185</f>
        <v>#DIV/0!</v>
      </c>
      <c r="R105" s="247" t="e">
        <f>'Calculs dispo Données FA'!T185</f>
        <v>#DIV/0!</v>
      </c>
      <c r="S105" s="248" t="e">
        <f>'Calculs dispo Données FA'!U185</f>
        <v>#DIV/0!</v>
      </c>
      <c r="U105" s="231" t="str">
        <f>'Calculs dispo Données FA'!W185</f>
        <v/>
      </c>
      <c r="V105" s="236" t="str">
        <f>'Calculs dispo Données FA'!X185</f>
        <v/>
      </c>
      <c r="W105" s="241" t="str">
        <f>'Calculs dispo Données FA'!Y185</f>
        <v/>
      </c>
      <c r="X105" s="247" t="str">
        <f>'Calculs dispo Données FA'!Z185</f>
        <v/>
      </c>
      <c r="Y105" s="248" t="str">
        <f>'Calculs dispo Données FA'!AA185</f>
        <v>12350B &amp; conso =0</v>
      </c>
      <c r="AA105" s="231"/>
      <c r="AB105" s="555"/>
      <c r="AC105" s="556"/>
      <c r="AD105" s="557"/>
      <c r="AE105" s="558"/>
      <c r="AF105"/>
      <c r="AG105" s="231"/>
      <c r="AH105" s="555"/>
      <c r="AI105" s="556"/>
      <c r="AJ105" s="557"/>
      <c r="AK105" s="558"/>
    </row>
    <row r="106" spans="3:37" s="358" customFormat="1" x14ac:dyDescent="0.2">
      <c r="C106" s="374"/>
      <c r="D106" s="375"/>
      <c r="E106" s="376"/>
      <c r="F106" s="377"/>
      <c r="G106" s="377"/>
      <c r="H106" s="378"/>
      <c r="I106" s="378"/>
      <c r="J106" s="379"/>
      <c r="K106" s="380"/>
      <c r="L106" s="380"/>
      <c r="M106" s="114"/>
      <c r="N106" s="381"/>
      <c r="O106" s="231"/>
      <c r="P106" s="555"/>
      <c r="Q106" s="556"/>
      <c r="R106" s="557"/>
      <c r="S106" s="558"/>
      <c r="U106" s="231"/>
      <c r="V106" s="555"/>
      <c r="W106" s="556"/>
      <c r="X106" s="557"/>
      <c r="Y106" s="558"/>
      <c r="AA106" s="231">
        <f>'Calculs dispo Données conso'!Q187</f>
        <v>9.7474348855564319</v>
      </c>
      <c r="AB106" s="236">
        <f>'Calculs dispo Données conso'!R187</f>
        <v>6.7474348855564319</v>
      </c>
      <c r="AC106" s="241">
        <f>'Calculs dispo Données conso'!S187</f>
        <v>3</v>
      </c>
      <c r="AD106" s="247">
        <f>'Calculs dispo Données conso'!T187</f>
        <v>42121.423046566691</v>
      </c>
      <c r="AE106" s="248">
        <f>'Calculs dispo Données conso'!U187</f>
        <v>42211.423046566691</v>
      </c>
      <c r="AF106"/>
      <c r="AG106" s="231">
        <f>'Calculs dispo Données conso'!W187</f>
        <v>9.7474348855564319</v>
      </c>
      <c r="AH106" s="236">
        <f>'Calculs dispo Données conso'!X187</f>
        <v>6.7474348855564319</v>
      </c>
      <c r="AI106" s="241">
        <f>'Calculs dispo Données conso'!Y187</f>
        <v>3</v>
      </c>
      <c r="AJ106" s="247">
        <f>'Calculs dispo Données conso'!Z187</f>
        <v>42121.423046566691</v>
      </c>
      <c r="AK106" s="248">
        <f>'Calculs dispo Données conso'!AA187</f>
        <v>42211.423046566691</v>
      </c>
    </row>
    <row r="107" spans="3:37" s="358" customFormat="1" x14ac:dyDescent="0.2">
      <c r="C107" s="374"/>
      <c r="D107" s="375"/>
      <c r="E107" s="376" t="s">
        <v>18</v>
      </c>
      <c r="F107" s="377" t="str">
        <f>'TRAD-Calculs dispo confrontatio'!B42</f>
        <v>Cp</v>
      </c>
      <c r="G107" s="377" t="s">
        <v>260</v>
      </c>
      <c r="H107" s="378"/>
      <c r="I107" s="378" t="str">
        <f t="shared" si="9"/>
        <v>AZT+3TC - 60/30 mg - Bte/60</v>
      </c>
      <c r="J107" s="378" t="s">
        <v>261</v>
      </c>
      <c r="K107" s="380">
        <v>2</v>
      </c>
      <c r="L107" s="380">
        <f t="shared" ref="L107" si="16">K107*30</f>
        <v>60</v>
      </c>
      <c r="M107" s="114">
        <v>60</v>
      </c>
      <c r="N107" s="381">
        <f t="shared" ref="N107" si="17">L107/M107</f>
        <v>1</v>
      </c>
      <c r="O107" s="231" t="e">
        <f>'Calculs dispo Données FA'!Q186</f>
        <v>#DIV/0!</v>
      </c>
      <c r="P107" s="236" t="e">
        <f>'Calculs dispo Données FA'!R186</f>
        <v>#DIV/0!</v>
      </c>
      <c r="Q107" s="241" t="e">
        <f>'Calculs dispo Données FA'!S186</f>
        <v>#DIV/0!</v>
      </c>
      <c r="R107" s="247" t="e">
        <f>'Calculs dispo Données FA'!T186</f>
        <v>#DIV/0!</v>
      </c>
      <c r="S107" s="248" t="e">
        <f>'Calculs dispo Données FA'!U186</f>
        <v>#DIV/0!</v>
      </c>
      <c r="U107" s="231" t="str">
        <f>'Calculs dispo Données FA'!W186</f>
        <v/>
      </c>
      <c r="V107" s="236" t="str">
        <f>'Calculs dispo Données FA'!X186</f>
        <v/>
      </c>
      <c r="W107" s="241" t="str">
        <f>'Calculs dispo Données FA'!Y186</f>
        <v/>
      </c>
      <c r="X107" s="247" t="str">
        <f>'Calculs dispo Données FA'!Z186</f>
        <v/>
      </c>
      <c r="Y107" s="248" t="str">
        <f>'Calculs dispo Données FA'!AA186</f>
        <v>903B &amp; conso =0</v>
      </c>
      <c r="AA107" s="231"/>
      <c r="AB107" s="555"/>
      <c r="AC107" s="556"/>
      <c r="AD107" s="557"/>
      <c r="AE107" s="558"/>
      <c r="AF107"/>
      <c r="AG107" s="231"/>
      <c r="AH107" s="555"/>
      <c r="AI107" s="556"/>
      <c r="AJ107" s="557"/>
      <c r="AK107" s="558"/>
    </row>
    <row r="108" spans="3:37" s="358" customFormat="1" x14ac:dyDescent="0.2">
      <c r="C108" s="374"/>
      <c r="D108" s="375"/>
      <c r="E108" s="376"/>
      <c r="F108" s="377"/>
      <c r="G108" s="377"/>
      <c r="H108" s="378"/>
      <c r="I108" s="378"/>
      <c r="J108" s="378"/>
      <c r="K108" s="380"/>
      <c r="L108" s="380"/>
      <c r="M108" s="114"/>
      <c r="N108" s="381"/>
      <c r="O108" s="231"/>
      <c r="P108" s="555"/>
      <c r="Q108" s="556"/>
      <c r="R108" s="557"/>
      <c r="S108" s="558"/>
      <c r="U108" s="231"/>
      <c r="V108" s="555"/>
      <c r="W108" s="556"/>
      <c r="X108" s="557"/>
      <c r="Y108" s="558"/>
      <c r="AA108" s="231">
        <f>'Calculs dispo Données conso'!Q188</f>
        <v>6.1849315068493151</v>
      </c>
      <c r="AB108" s="236">
        <f>'Calculs dispo Données conso'!R188</f>
        <v>3.1849315068493151</v>
      </c>
      <c r="AC108" s="241">
        <f>'Calculs dispo Données conso'!S188</f>
        <v>3</v>
      </c>
      <c r="AD108" s="247">
        <f>'Calculs dispo Données conso'!T188</f>
        <v>42014.547945205479</v>
      </c>
      <c r="AE108" s="248">
        <f>'Calculs dispo Données conso'!U188</f>
        <v>42104.547945205479</v>
      </c>
      <c r="AF108"/>
      <c r="AG108" s="231">
        <f>'Calculs dispo Données conso'!W188</f>
        <v>6.1849315068493151</v>
      </c>
      <c r="AH108" s="236">
        <f>'Calculs dispo Données conso'!X188</f>
        <v>3.1849315068493151</v>
      </c>
      <c r="AI108" s="241">
        <f>'Calculs dispo Données conso'!Y188</f>
        <v>3</v>
      </c>
      <c r="AJ108" s="247">
        <f>'Calculs dispo Données conso'!Z188</f>
        <v>42014.547945205479</v>
      </c>
      <c r="AK108" s="248">
        <f>'Calculs dispo Données conso'!AA188</f>
        <v>42104.547945205479</v>
      </c>
    </row>
    <row r="109" spans="3:37" s="358" customFormat="1" ht="25.5" x14ac:dyDescent="0.2">
      <c r="C109" s="374"/>
      <c r="D109" s="375"/>
      <c r="E109" s="376" t="s">
        <v>474</v>
      </c>
      <c r="F109" s="377" t="str">
        <f>'TRAD-Calculs dispo confrontatio'!B42</f>
        <v>Cp</v>
      </c>
      <c r="G109" s="377" t="s">
        <v>478</v>
      </c>
      <c r="H109" s="378"/>
      <c r="I109" s="378" t="str">
        <f t="shared" si="9"/>
        <v>3TC+ABC - 300/600 mg - Bte/30</v>
      </c>
      <c r="J109" s="378" t="s">
        <v>489</v>
      </c>
      <c r="K109" s="380">
        <v>1</v>
      </c>
      <c r="L109" s="380">
        <v>30</v>
      </c>
      <c r="M109" s="114">
        <v>30</v>
      </c>
      <c r="N109" s="381">
        <f t="shared" ref="N109" si="18">L109/M109</f>
        <v>1</v>
      </c>
      <c r="O109" s="231" t="e">
        <f>'Calculs dispo Données FA'!Q187</f>
        <v>#DIV/0!</v>
      </c>
      <c r="P109" s="236" t="e">
        <f>'Calculs dispo Données FA'!R187</f>
        <v>#DIV/0!</v>
      </c>
      <c r="Q109" s="241" t="e">
        <f>'Calculs dispo Données FA'!S187</f>
        <v>#DIV/0!</v>
      </c>
      <c r="R109" s="247" t="e">
        <f>'Calculs dispo Données FA'!T187</f>
        <v>#DIV/0!</v>
      </c>
      <c r="S109" s="248" t="e">
        <f>'Calculs dispo Données FA'!U187</f>
        <v>#DIV/0!</v>
      </c>
      <c r="U109" s="231" t="str">
        <f>'Calculs dispo Données FA'!W187</f>
        <v/>
      </c>
      <c r="V109" s="236" t="str">
        <f>'Calculs dispo Données FA'!X187</f>
        <v/>
      </c>
      <c r="W109" s="241" t="str">
        <f>'Calculs dispo Données FA'!Y187</f>
        <v/>
      </c>
      <c r="X109" s="247" t="str">
        <f>'Calculs dispo Données FA'!Z187</f>
        <v/>
      </c>
      <c r="Y109" s="248" t="str">
        <f>'Calculs dispo Données FA'!AA187</f>
        <v>492B &amp; conso =0</v>
      </c>
      <c r="AA109" s="231"/>
      <c r="AB109" s="555"/>
      <c r="AC109" s="556"/>
      <c r="AD109" s="557"/>
      <c r="AE109" s="558"/>
      <c r="AF109"/>
      <c r="AG109" s="231"/>
      <c r="AH109" s="555"/>
      <c r="AI109" s="556"/>
      <c r="AJ109" s="557"/>
      <c r="AK109" s="558"/>
    </row>
    <row r="110" spans="3:37" s="358" customFormat="1" x14ac:dyDescent="0.2">
      <c r="C110" s="374"/>
      <c r="D110" s="375"/>
      <c r="E110" s="376"/>
      <c r="F110" s="377"/>
      <c r="G110" s="377"/>
      <c r="H110" s="378"/>
      <c r="I110" s="378"/>
      <c r="J110" s="378"/>
      <c r="K110" s="380"/>
      <c r="L110" s="380"/>
      <c r="M110" s="114"/>
      <c r="N110" s="381"/>
      <c r="O110" s="231"/>
      <c r="P110" s="555"/>
      <c r="Q110" s="556"/>
      <c r="R110" s="557"/>
      <c r="S110" s="558"/>
      <c r="U110" s="231"/>
      <c r="V110" s="555"/>
      <c r="W110" s="556"/>
      <c r="X110" s="557"/>
      <c r="Y110" s="558"/>
      <c r="AA110" s="231"/>
      <c r="AB110" s="236"/>
      <c r="AC110" s="241"/>
      <c r="AD110" s="247"/>
      <c r="AE110" s="248"/>
      <c r="AF110"/>
      <c r="AG110" s="231"/>
      <c r="AH110" s="236"/>
      <c r="AI110" s="241"/>
      <c r="AJ110" s="247"/>
      <c r="AK110" s="248"/>
    </row>
    <row r="111" spans="3:37" s="358" customFormat="1" ht="25.5" x14ac:dyDescent="0.2">
      <c r="C111" s="374"/>
      <c r="D111" s="375"/>
      <c r="E111" s="382" t="s">
        <v>2</v>
      </c>
      <c r="F111" s="383" t="str">
        <f>'TRAD-Calculs dispo confrontatio'!B42</f>
        <v>Cp</v>
      </c>
      <c r="G111" s="383" t="s">
        <v>21</v>
      </c>
      <c r="H111" s="384"/>
      <c r="I111" s="384" t="str">
        <f t="shared" si="9"/>
        <v>D4T+3TC+NVP - 30/150/200 mg - Bte/60</v>
      </c>
      <c r="J111" s="385" t="s">
        <v>20</v>
      </c>
      <c r="K111" s="386">
        <v>2</v>
      </c>
      <c r="L111" s="386">
        <f t="shared" ref="L111" si="19">K111*30</f>
        <v>60</v>
      </c>
      <c r="M111" s="115">
        <v>60</v>
      </c>
      <c r="N111" s="387">
        <f t="shared" ref="N111" si="20">L111/M111</f>
        <v>1</v>
      </c>
      <c r="O111" s="232" t="e">
        <f>'Calculs dispo Données FA'!Q189</f>
        <v>#DIV/0!</v>
      </c>
      <c r="P111" s="236" t="e">
        <f>'Calculs dispo Données FA'!R189</f>
        <v>#DIV/0!</v>
      </c>
      <c r="Q111" s="242" t="e">
        <f>'Calculs dispo Données FA'!S189</f>
        <v>#DIV/0!</v>
      </c>
      <c r="R111" s="249" t="e">
        <f>'Calculs dispo Données FA'!T189</f>
        <v>#DIV/0!</v>
      </c>
      <c r="S111" s="250" t="e">
        <f>'Calculs dispo Données FA'!U189</f>
        <v>#DIV/0!</v>
      </c>
      <c r="U111" s="232" t="str">
        <f>'Calculs dispo Données FA'!W189</f>
        <v/>
      </c>
      <c r="V111" s="236" t="str">
        <f>'Calculs dispo Données FA'!X189</f>
        <v/>
      </c>
      <c r="W111" s="242" t="str">
        <f>'Calculs dispo Données FA'!Y189</f>
        <v/>
      </c>
      <c r="X111" s="249" t="str">
        <f>'Calculs dispo Données FA'!Z189</f>
        <v/>
      </c>
      <c r="Y111" s="250" t="str">
        <f>'Calculs dispo Données FA'!AA189</f>
        <v/>
      </c>
      <c r="AA111" s="232"/>
      <c r="AB111" s="555"/>
      <c r="AC111" s="564"/>
      <c r="AD111" s="565"/>
      <c r="AE111" s="566"/>
      <c r="AF111"/>
      <c r="AG111" s="232"/>
      <c r="AH111" s="555"/>
      <c r="AI111" s="564"/>
      <c r="AJ111" s="565"/>
      <c r="AK111" s="566"/>
    </row>
    <row r="112" spans="3:37" s="358" customFormat="1" x14ac:dyDescent="0.2">
      <c r="C112" s="374"/>
      <c r="D112" s="375"/>
      <c r="E112" s="382"/>
      <c r="F112" s="383"/>
      <c r="G112" s="383"/>
      <c r="H112" s="384"/>
      <c r="I112" s="384"/>
      <c r="J112" s="385"/>
      <c r="K112" s="386"/>
      <c r="L112" s="386"/>
      <c r="M112" s="115"/>
      <c r="N112" s="387"/>
      <c r="O112" s="232"/>
      <c r="P112" s="555"/>
      <c r="Q112" s="564"/>
      <c r="R112" s="565"/>
      <c r="S112" s="566"/>
      <c r="U112" s="232"/>
      <c r="V112" s="555"/>
      <c r="W112" s="564"/>
      <c r="X112" s="565"/>
      <c r="Y112" s="566"/>
      <c r="AA112" s="232" t="e">
        <f>'Calculs dispo Données conso'!Q191</f>
        <v>#DIV/0!</v>
      </c>
      <c r="AB112" s="236" t="e">
        <f>'Calculs dispo Données conso'!R191</f>
        <v>#DIV/0!</v>
      </c>
      <c r="AC112" s="242" t="e">
        <f>'Calculs dispo Données conso'!S191</f>
        <v>#DIV/0!</v>
      </c>
      <c r="AD112" s="249" t="e">
        <f>'Calculs dispo Données conso'!T191</f>
        <v>#DIV/0!</v>
      </c>
      <c r="AE112" s="250" t="e">
        <f>'Calculs dispo Données conso'!U191</f>
        <v>#DIV/0!</v>
      </c>
      <c r="AF112"/>
      <c r="AG112" s="232" t="str">
        <f>'Calculs dispo Données conso'!W191</f>
        <v/>
      </c>
      <c r="AH112" s="236" t="str">
        <f>'Calculs dispo Données conso'!X191</f>
        <v/>
      </c>
      <c r="AI112" s="242" t="str">
        <f>'Calculs dispo Données conso'!Y191</f>
        <v/>
      </c>
      <c r="AJ112" s="249" t="str">
        <f>'Calculs dispo Données conso'!Z191</f>
        <v/>
      </c>
      <c r="AK112" s="250" t="str">
        <f>'Calculs dispo Données conso'!AA191</f>
        <v/>
      </c>
    </row>
    <row r="113" spans="3:37" s="358" customFormat="1" ht="25.5" x14ac:dyDescent="0.2">
      <c r="C113" s="374"/>
      <c r="D113" s="375"/>
      <c r="E113" s="382" t="s">
        <v>2</v>
      </c>
      <c r="F113" s="383" t="str">
        <f>'TRAD-Calculs dispo confrontatio'!B42</f>
        <v>Cp</v>
      </c>
      <c r="G113" s="383" t="s">
        <v>102</v>
      </c>
      <c r="H113" s="385"/>
      <c r="I113" s="385" t="str">
        <f t="shared" si="9"/>
        <v>D4T+3TC+NVP - 6/30/50 mg - Bte/60</v>
      </c>
      <c r="J113" s="385" t="s">
        <v>103</v>
      </c>
      <c r="K113" s="386">
        <v>2</v>
      </c>
      <c r="L113" s="386">
        <f t="shared" ref="L113" si="21">K113*30</f>
        <v>60</v>
      </c>
      <c r="M113" s="115">
        <v>60</v>
      </c>
      <c r="N113" s="387">
        <f t="shared" ref="N113" si="22">L113/M113</f>
        <v>1</v>
      </c>
      <c r="O113" s="232" t="e">
        <f>'Calculs dispo Données FA'!Q190</f>
        <v>#DIV/0!</v>
      </c>
      <c r="P113" s="237" t="e">
        <f>'Calculs dispo Données FA'!R190</f>
        <v>#DIV/0!</v>
      </c>
      <c r="Q113" s="242" t="e">
        <f>'Calculs dispo Données FA'!S190</f>
        <v>#DIV/0!</v>
      </c>
      <c r="R113" s="249" t="e">
        <f>'Calculs dispo Données FA'!T190</f>
        <v>#DIV/0!</v>
      </c>
      <c r="S113" s="250" t="e">
        <f>'Calculs dispo Données FA'!U190</f>
        <v>#DIV/0!</v>
      </c>
      <c r="U113" s="232" t="str">
        <f>'Calculs dispo Données FA'!W190</f>
        <v/>
      </c>
      <c r="V113" s="237" t="str">
        <f>'Calculs dispo Données FA'!X190</f>
        <v/>
      </c>
      <c r="W113" s="242" t="str">
        <f>'Calculs dispo Données FA'!Y190</f>
        <v/>
      </c>
      <c r="X113" s="249" t="str">
        <f>'Calculs dispo Données FA'!Z190</f>
        <v/>
      </c>
      <c r="Y113" s="250" t="str">
        <f>'Calculs dispo Données FA'!AA190</f>
        <v>121B &amp; conso =0</v>
      </c>
      <c r="AA113" s="232"/>
      <c r="AB113" s="563"/>
      <c r="AC113" s="564"/>
      <c r="AD113" s="565"/>
      <c r="AE113" s="566"/>
      <c r="AF113"/>
      <c r="AG113" s="232"/>
      <c r="AH113" s="563"/>
      <c r="AI113" s="564"/>
      <c r="AJ113" s="565"/>
      <c r="AK113" s="566"/>
    </row>
    <row r="114" spans="3:37" s="358" customFormat="1" x14ac:dyDescent="0.2">
      <c r="C114" s="374"/>
      <c r="D114" s="375"/>
      <c r="E114" s="382"/>
      <c r="F114" s="383"/>
      <c r="G114" s="383"/>
      <c r="H114" s="379"/>
      <c r="I114" s="379"/>
      <c r="J114" s="385"/>
      <c r="K114" s="386"/>
      <c r="L114" s="386"/>
      <c r="M114" s="115"/>
      <c r="N114" s="387"/>
      <c r="O114" s="232"/>
      <c r="P114" s="563"/>
      <c r="Q114" s="564"/>
      <c r="R114" s="565"/>
      <c r="S114" s="566"/>
      <c r="U114" s="232"/>
      <c r="V114" s="563"/>
      <c r="W114" s="564"/>
      <c r="X114" s="565"/>
      <c r="Y114" s="566"/>
      <c r="AA114" s="232">
        <f>'Calculs dispo Données conso'!Q192</f>
        <v>1.1219178082191781</v>
      </c>
      <c r="AB114" s="237">
        <f>'Calculs dispo Données conso'!R192</f>
        <v>-1.8780821917808219</v>
      </c>
      <c r="AC114" s="242">
        <f>'Calculs dispo Données conso'!S192</f>
        <v>1.1219178082191781</v>
      </c>
      <c r="AD114" s="249">
        <f>'Calculs dispo Données conso'!T192</f>
        <v>41862.657534246573</v>
      </c>
      <c r="AE114" s="250">
        <f>'Calculs dispo Données conso'!U192</f>
        <v>41952.657534246573</v>
      </c>
      <c r="AF114"/>
      <c r="AG114" s="232">
        <f>'Calculs dispo Données conso'!W192</f>
        <v>1.1219178082191781</v>
      </c>
      <c r="AH114" s="237">
        <f>'Calculs dispo Données conso'!X192</f>
        <v>-1.8780821917808219</v>
      </c>
      <c r="AI114" s="242">
        <f>'Calculs dispo Données conso'!Y192</f>
        <v>1.1219178082191781</v>
      </c>
      <c r="AJ114" s="249">
        <f>'Calculs dispo Données conso'!Z192</f>
        <v>41862.657534246573</v>
      </c>
      <c r="AK114" s="250">
        <f>'Calculs dispo Données conso'!AA192</f>
        <v>41952.657534246573</v>
      </c>
    </row>
    <row r="115" spans="3:37" s="358" customFormat="1" ht="25.5" x14ac:dyDescent="0.2">
      <c r="C115" s="374"/>
      <c r="D115" s="375"/>
      <c r="E115" s="382" t="s">
        <v>22</v>
      </c>
      <c r="F115" s="383" t="str">
        <f>'TRAD-Calculs dispo confrontatio'!B42</f>
        <v>Cp</v>
      </c>
      <c r="G115" s="383" t="s">
        <v>23</v>
      </c>
      <c r="H115" s="379"/>
      <c r="I115" s="379" t="str">
        <f t="shared" si="9"/>
        <v>D4T+3TC - 30/150 mg - Bte/60</v>
      </c>
      <c r="J115" s="385" t="s">
        <v>124</v>
      </c>
      <c r="K115" s="386">
        <v>2</v>
      </c>
      <c r="L115" s="386">
        <f t="shared" ref="L115" si="23">K115*30</f>
        <v>60</v>
      </c>
      <c r="M115" s="115">
        <v>60</v>
      </c>
      <c r="N115" s="387">
        <f t="shared" ref="N115" si="24">L115/M115</f>
        <v>1</v>
      </c>
      <c r="O115" s="232" t="e">
        <f>'Calculs dispo Données FA'!Q191</f>
        <v>#DIV/0!</v>
      </c>
      <c r="P115" s="237" t="e">
        <f>'Calculs dispo Données FA'!R191</f>
        <v>#DIV/0!</v>
      </c>
      <c r="Q115" s="242" t="e">
        <f>'Calculs dispo Données FA'!S191</f>
        <v>#DIV/0!</v>
      </c>
      <c r="R115" s="249" t="e">
        <f>'Calculs dispo Données FA'!T191</f>
        <v>#DIV/0!</v>
      </c>
      <c r="S115" s="250" t="e">
        <f>'Calculs dispo Données FA'!U191</f>
        <v>#DIV/0!</v>
      </c>
      <c r="U115" s="232" t="str">
        <f>'Calculs dispo Données FA'!W191</f>
        <v/>
      </c>
      <c r="V115" s="237" t="str">
        <f>'Calculs dispo Données FA'!X191</f>
        <v/>
      </c>
      <c r="W115" s="242" t="str">
        <f>'Calculs dispo Données FA'!Y191</f>
        <v/>
      </c>
      <c r="X115" s="249" t="str">
        <f>'Calculs dispo Données FA'!Z191</f>
        <v/>
      </c>
      <c r="Y115" s="250" t="str">
        <f>'Calculs dispo Données FA'!AA191</f>
        <v>16B &amp; conso =0</v>
      </c>
      <c r="AA115" s="232"/>
      <c r="AB115" s="563"/>
      <c r="AC115" s="564"/>
      <c r="AD115" s="565"/>
      <c r="AE115" s="566"/>
      <c r="AF115"/>
      <c r="AG115" s="232"/>
      <c r="AH115" s="563"/>
      <c r="AI115" s="564"/>
      <c r="AJ115" s="565"/>
      <c r="AK115" s="566"/>
    </row>
    <row r="116" spans="3:37" s="358" customFormat="1" x14ac:dyDescent="0.2">
      <c r="C116" s="374"/>
      <c r="D116" s="375"/>
      <c r="E116" s="382"/>
      <c r="F116" s="383"/>
      <c r="G116" s="383"/>
      <c r="H116" s="379"/>
      <c r="I116" s="379"/>
      <c r="J116" s="385"/>
      <c r="K116" s="386"/>
      <c r="L116" s="386"/>
      <c r="M116" s="115"/>
      <c r="N116" s="387"/>
      <c r="O116" s="232"/>
      <c r="P116" s="563"/>
      <c r="Q116" s="564"/>
      <c r="R116" s="565"/>
      <c r="S116" s="566"/>
      <c r="U116" s="232"/>
      <c r="V116" s="563"/>
      <c r="W116" s="564"/>
      <c r="X116" s="565"/>
      <c r="Y116" s="566"/>
      <c r="AA116" s="232">
        <f>'Calculs dispo Données conso'!Q193</f>
        <v>0.35555555555555557</v>
      </c>
      <c r="AB116" s="237">
        <f>'Calculs dispo Données conso'!R193</f>
        <v>-2.6444444444444444</v>
      </c>
      <c r="AC116" s="242">
        <f>'Calculs dispo Données conso'!S193</f>
        <v>0.35555555555555557</v>
      </c>
      <c r="AD116" s="249">
        <f>'Calculs dispo Données conso'!T193</f>
        <v>41839.666666666664</v>
      </c>
      <c r="AE116" s="250">
        <f>'Calculs dispo Données conso'!U193</f>
        <v>41929.666666666664</v>
      </c>
      <c r="AF116"/>
      <c r="AG116" s="232">
        <f>'Calculs dispo Données conso'!W193</f>
        <v>0.35555555555555557</v>
      </c>
      <c r="AH116" s="237">
        <f>'Calculs dispo Données conso'!X193</f>
        <v>-2.6444444444444444</v>
      </c>
      <c r="AI116" s="242">
        <f>'Calculs dispo Données conso'!Y193</f>
        <v>0.35555555555555557</v>
      </c>
      <c r="AJ116" s="249">
        <f>'Calculs dispo Données conso'!Z193</f>
        <v>41839.666666666664</v>
      </c>
      <c r="AK116" s="250">
        <f>'Calculs dispo Données conso'!AA193</f>
        <v>41929.666666666664</v>
      </c>
    </row>
    <row r="117" spans="3:37" s="358" customFormat="1" ht="25.5" x14ac:dyDescent="0.2">
      <c r="C117" s="374"/>
      <c r="D117" s="375"/>
      <c r="E117" s="382" t="s">
        <v>9</v>
      </c>
      <c r="F117" s="383" t="str">
        <f>'TRAD-Calculs dispo confrontatio'!B42</f>
        <v>Cp</v>
      </c>
      <c r="G117" s="383" t="s">
        <v>130</v>
      </c>
      <c r="H117" s="379" t="s">
        <v>123</v>
      </c>
      <c r="I117" s="379" t="str">
        <f t="shared" si="9"/>
        <v>TDF+FTC+EFV - 300/200/600 mg - Bte/30</v>
      </c>
      <c r="J117" s="385"/>
      <c r="K117" s="386">
        <v>1</v>
      </c>
      <c r="L117" s="386">
        <f>K117*30</f>
        <v>30</v>
      </c>
      <c r="M117" s="115">
        <v>30</v>
      </c>
      <c r="N117" s="387">
        <f t="shared" ref="N117" si="25">L117/M117</f>
        <v>1</v>
      </c>
      <c r="O117" s="232" t="e">
        <f>'Calculs dispo Données FA'!Q192</f>
        <v>#DIV/0!</v>
      </c>
      <c r="P117" s="237" t="e">
        <f>'Calculs dispo Données FA'!R192</f>
        <v>#DIV/0!</v>
      </c>
      <c r="Q117" s="242" t="e">
        <f>'Calculs dispo Données FA'!S192</f>
        <v>#DIV/0!</v>
      </c>
      <c r="R117" s="249" t="e">
        <f>'Calculs dispo Données FA'!T192</f>
        <v>#DIV/0!</v>
      </c>
      <c r="S117" s="250" t="e">
        <f>'Calculs dispo Données FA'!U192</f>
        <v>#DIV/0!</v>
      </c>
      <c r="U117" s="232" t="str">
        <f>'Calculs dispo Données FA'!W192</f>
        <v/>
      </c>
      <c r="V117" s="237" t="str">
        <f>'Calculs dispo Données FA'!X192</f>
        <v/>
      </c>
      <c r="W117" s="242" t="str">
        <f>'Calculs dispo Données FA'!Y192</f>
        <v/>
      </c>
      <c r="X117" s="249" t="str">
        <f>'Calculs dispo Données FA'!Z192</f>
        <v/>
      </c>
      <c r="Y117" s="250" t="str">
        <f>'Calculs dispo Données FA'!AA192</f>
        <v/>
      </c>
      <c r="AA117" s="232"/>
      <c r="AB117" s="563"/>
      <c r="AC117" s="564"/>
      <c r="AD117" s="565"/>
      <c r="AE117" s="566"/>
      <c r="AF117"/>
      <c r="AG117" s="232"/>
      <c r="AH117" s="563"/>
      <c r="AI117" s="564"/>
      <c r="AJ117" s="565"/>
      <c r="AK117" s="566"/>
    </row>
    <row r="118" spans="3:37" s="358" customFormat="1" x14ac:dyDescent="0.2">
      <c r="C118" s="374"/>
      <c r="D118" s="375"/>
      <c r="E118" s="382"/>
      <c r="F118" s="383"/>
      <c r="G118" s="383"/>
      <c r="H118" s="379"/>
      <c r="I118" s="379"/>
      <c r="J118" s="385"/>
      <c r="K118" s="386"/>
      <c r="L118" s="386"/>
      <c r="M118" s="115"/>
      <c r="N118" s="387"/>
      <c r="O118" s="232"/>
      <c r="P118" s="563"/>
      <c r="Q118" s="564"/>
      <c r="R118" s="565"/>
      <c r="S118" s="566"/>
      <c r="U118" s="232"/>
      <c r="V118" s="563"/>
      <c r="W118" s="564"/>
      <c r="X118" s="565"/>
      <c r="Y118" s="566"/>
      <c r="AA118" s="232" t="e">
        <f>'Calculs dispo Données conso'!Q194</f>
        <v>#DIV/0!</v>
      </c>
      <c r="AB118" s="237" t="e">
        <f>'Calculs dispo Données conso'!R194</f>
        <v>#DIV/0!</v>
      </c>
      <c r="AC118" s="242" t="e">
        <f>'Calculs dispo Données conso'!S194</f>
        <v>#DIV/0!</v>
      </c>
      <c r="AD118" s="249" t="e">
        <f>'Calculs dispo Données conso'!T194</f>
        <v>#DIV/0!</v>
      </c>
      <c r="AE118" s="250" t="e">
        <f>'Calculs dispo Données conso'!U194</f>
        <v>#DIV/0!</v>
      </c>
      <c r="AF118"/>
      <c r="AG118" s="232" t="str">
        <f>'Calculs dispo Données conso'!W194</f>
        <v/>
      </c>
      <c r="AH118" s="237" t="str">
        <f>'Calculs dispo Données conso'!X194</f>
        <v/>
      </c>
      <c r="AI118" s="242" t="str">
        <f>'Calculs dispo Données conso'!Y194</f>
        <v/>
      </c>
      <c r="AJ118" s="249" t="str">
        <f>'Calculs dispo Données conso'!Z194</f>
        <v/>
      </c>
      <c r="AK118" s="250" t="str">
        <f>'Calculs dispo Données conso'!AA194</f>
        <v/>
      </c>
    </row>
    <row r="119" spans="3:37" s="358" customFormat="1" ht="25.5" x14ac:dyDescent="0.2">
      <c r="C119" s="374"/>
      <c r="D119" s="375"/>
      <c r="E119" s="382" t="s">
        <v>121</v>
      </c>
      <c r="F119" s="383" t="str">
        <f>'TRAD-Calculs dispo confrontatio'!B42</f>
        <v>Cp</v>
      </c>
      <c r="G119" s="383" t="s">
        <v>25</v>
      </c>
      <c r="H119" s="379" t="s">
        <v>24</v>
      </c>
      <c r="I119" s="379" t="str">
        <f t="shared" si="9"/>
        <v>TDF+FTC - 300/200 mg - Bte/30</v>
      </c>
      <c r="J119" s="385"/>
      <c r="K119" s="386">
        <v>1</v>
      </c>
      <c r="L119" s="386">
        <f>K119*30</f>
        <v>30</v>
      </c>
      <c r="M119" s="115">
        <v>30</v>
      </c>
      <c r="N119" s="387">
        <f t="shared" ref="N119" si="26">L119/M119</f>
        <v>1</v>
      </c>
      <c r="O119" s="232" t="e">
        <f>'Calculs dispo Données FA'!Q193</f>
        <v>#DIV/0!</v>
      </c>
      <c r="P119" s="237" t="e">
        <f>'Calculs dispo Données FA'!R193</f>
        <v>#DIV/0!</v>
      </c>
      <c r="Q119" s="242" t="e">
        <f>'Calculs dispo Données FA'!S193</f>
        <v>#DIV/0!</v>
      </c>
      <c r="R119" s="249" t="e">
        <f>'Calculs dispo Données FA'!T193</f>
        <v>#DIV/0!</v>
      </c>
      <c r="S119" s="250" t="e">
        <f>'Calculs dispo Données FA'!U193</f>
        <v>#DIV/0!</v>
      </c>
      <c r="U119" s="232" t="str">
        <f>'Calculs dispo Données FA'!W193</f>
        <v/>
      </c>
      <c r="V119" s="237" t="str">
        <f>'Calculs dispo Données FA'!X193</f>
        <v/>
      </c>
      <c r="W119" s="242" t="str">
        <f>'Calculs dispo Données FA'!Y193</f>
        <v/>
      </c>
      <c r="X119" s="249" t="str">
        <f>'Calculs dispo Données FA'!Z193</f>
        <v/>
      </c>
      <c r="Y119" s="250" t="str">
        <f>'Calculs dispo Données FA'!AA193</f>
        <v/>
      </c>
      <c r="AA119" s="232"/>
      <c r="AB119" s="563"/>
      <c r="AC119" s="564"/>
      <c r="AD119" s="565"/>
      <c r="AE119" s="566"/>
      <c r="AF119"/>
      <c r="AG119" s="232"/>
      <c r="AH119" s="563"/>
      <c r="AI119" s="564"/>
      <c r="AJ119" s="565"/>
      <c r="AK119" s="566"/>
    </row>
    <row r="120" spans="3:37" s="358" customFormat="1" x14ac:dyDescent="0.2">
      <c r="C120" s="374"/>
      <c r="D120" s="375"/>
      <c r="E120" s="382"/>
      <c r="F120" s="383"/>
      <c r="G120" s="383"/>
      <c r="H120" s="379"/>
      <c r="I120" s="379"/>
      <c r="J120" s="385"/>
      <c r="K120" s="386"/>
      <c r="L120" s="386"/>
      <c r="M120" s="115"/>
      <c r="N120" s="387"/>
      <c r="O120" s="232"/>
      <c r="P120" s="563"/>
      <c r="Q120" s="564"/>
      <c r="R120" s="565"/>
      <c r="S120" s="566"/>
      <c r="U120" s="232"/>
      <c r="V120" s="563"/>
      <c r="W120" s="564"/>
      <c r="X120" s="565"/>
      <c r="Y120" s="566"/>
      <c r="AA120" s="232" t="e">
        <f>'Calculs dispo Données conso'!Q195</f>
        <v>#DIV/0!</v>
      </c>
      <c r="AB120" s="237" t="e">
        <f>'Calculs dispo Données conso'!R195</f>
        <v>#DIV/0!</v>
      </c>
      <c r="AC120" s="242" t="e">
        <f>'Calculs dispo Données conso'!S195</f>
        <v>#DIV/0!</v>
      </c>
      <c r="AD120" s="249" t="e">
        <f>'Calculs dispo Données conso'!T195</f>
        <v>#DIV/0!</v>
      </c>
      <c r="AE120" s="250" t="e">
        <f>'Calculs dispo Données conso'!U195</f>
        <v>#DIV/0!</v>
      </c>
      <c r="AF120"/>
      <c r="AG120" s="232" t="str">
        <f>'Calculs dispo Données conso'!W195</f>
        <v/>
      </c>
      <c r="AH120" s="237" t="str">
        <f>'Calculs dispo Données conso'!X195</f>
        <v/>
      </c>
      <c r="AI120" s="242" t="str">
        <f>'Calculs dispo Données conso'!Y195</f>
        <v/>
      </c>
      <c r="AJ120" s="249" t="str">
        <f>'Calculs dispo Données conso'!Z195</f>
        <v/>
      </c>
      <c r="AK120" s="250" t="str">
        <f>'Calculs dispo Données conso'!AA195</f>
        <v/>
      </c>
    </row>
    <row r="121" spans="3:37" s="358" customFormat="1" ht="25.5" x14ac:dyDescent="0.2">
      <c r="C121" s="374"/>
      <c r="D121" s="375"/>
      <c r="E121" s="382" t="s">
        <v>4</v>
      </c>
      <c r="F121" s="383" t="str">
        <f>'TRAD-Calculs dispo confrontatio'!B42</f>
        <v>Cp</v>
      </c>
      <c r="G121" s="383" t="s">
        <v>130</v>
      </c>
      <c r="H121" s="379"/>
      <c r="I121" s="385" t="str">
        <f t="shared" si="9"/>
        <v>TDF+3TC+EFV - 300/200/600 mg - Bte/30</v>
      </c>
      <c r="J121" s="386"/>
      <c r="K121" s="386">
        <v>1</v>
      </c>
      <c r="L121" s="386">
        <f>K121*30</f>
        <v>30</v>
      </c>
      <c r="M121" s="115">
        <v>30</v>
      </c>
      <c r="N121" s="387">
        <f t="shared" ref="N121" si="27">L121/M121</f>
        <v>1</v>
      </c>
      <c r="O121" s="232" t="e">
        <f>'Calculs dispo Données FA'!Q194</f>
        <v>#DIV/0!</v>
      </c>
      <c r="P121" s="237" t="e">
        <f>'Calculs dispo Données FA'!R194</f>
        <v>#DIV/0!</v>
      </c>
      <c r="Q121" s="242" t="e">
        <f>'Calculs dispo Données FA'!S194</f>
        <v>#DIV/0!</v>
      </c>
      <c r="R121" s="249" t="e">
        <f>'Calculs dispo Données FA'!T194</f>
        <v>#DIV/0!</v>
      </c>
      <c r="S121" s="250" t="e">
        <f>'Calculs dispo Données FA'!U194</f>
        <v>#DIV/0!</v>
      </c>
      <c r="U121" s="232" t="str">
        <f>'Calculs dispo Données FA'!W194</f>
        <v/>
      </c>
      <c r="V121" s="237" t="str">
        <f>'Calculs dispo Données FA'!X194</f>
        <v/>
      </c>
      <c r="W121" s="242" t="str">
        <f>'Calculs dispo Données FA'!Y194</f>
        <v/>
      </c>
      <c r="X121" s="249" t="str">
        <f>'Calculs dispo Données FA'!Z194</f>
        <v/>
      </c>
      <c r="Y121" s="250" t="str">
        <f>'Calculs dispo Données FA'!AA194</f>
        <v>38746B &amp; conso =0</v>
      </c>
      <c r="AA121" s="232"/>
      <c r="AB121" s="563"/>
      <c r="AC121" s="564"/>
      <c r="AD121" s="565"/>
      <c r="AE121" s="566"/>
      <c r="AF121"/>
      <c r="AG121" s="232"/>
      <c r="AH121" s="563"/>
      <c r="AI121" s="564"/>
      <c r="AJ121" s="565"/>
      <c r="AK121" s="566"/>
    </row>
    <row r="122" spans="3:37" s="358" customFormat="1" x14ac:dyDescent="0.2">
      <c r="C122" s="374"/>
      <c r="D122" s="375"/>
      <c r="E122" s="382"/>
      <c r="F122" s="383"/>
      <c r="G122" s="383"/>
      <c r="H122" s="385"/>
      <c r="I122" s="385"/>
      <c r="J122" s="386"/>
      <c r="K122" s="399"/>
      <c r="L122" s="399"/>
      <c r="M122" s="117"/>
      <c r="N122" s="400"/>
      <c r="O122" s="234"/>
      <c r="P122" s="563"/>
      <c r="Q122" s="594"/>
      <c r="R122" s="587"/>
      <c r="S122" s="588"/>
      <c r="U122" s="234"/>
      <c r="V122" s="563"/>
      <c r="W122" s="594"/>
      <c r="X122" s="587"/>
      <c r="Y122" s="588"/>
      <c r="AA122" s="234">
        <f>'Calculs dispo Données conso'!Q196</f>
        <v>15.635712439537718</v>
      </c>
      <c r="AB122" s="237">
        <f>'Calculs dispo Données conso'!R196</f>
        <v>12.635712439537718</v>
      </c>
      <c r="AC122" s="244">
        <f>'Calculs dispo Données conso'!S196</f>
        <v>3</v>
      </c>
      <c r="AD122" s="253">
        <f>'Calculs dispo Données conso'!T196</f>
        <v>42298.071373186132</v>
      </c>
      <c r="AE122" s="254">
        <f>'Calculs dispo Données conso'!U196</f>
        <v>42388.071373186132</v>
      </c>
      <c r="AF122"/>
      <c r="AG122" s="234">
        <f>'Calculs dispo Données conso'!W196</f>
        <v>15.635712439537718</v>
      </c>
      <c r="AH122" s="237">
        <f>'Calculs dispo Données conso'!X196</f>
        <v>12.635712439537718</v>
      </c>
      <c r="AI122" s="244">
        <f>'Calculs dispo Données conso'!Y196</f>
        <v>3</v>
      </c>
      <c r="AJ122" s="253">
        <f>'Calculs dispo Données conso'!Z196</f>
        <v>42298.071373186132</v>
      </c>
      <c r="AK122" s="254">
        <f>'Calculs dispo Données conso'!AA196</f>
        <v>42388.071373186132</v>
      </c>
    </row>
    <row r="123" spans="3:37" s="358" customFormat="1" ht="25.5" x14ac:dyDescent="0.2">
      <c r="C123" s="374"/>
      <c r="D123" s="375"/>
      <c r="E123" s="534" t="s">
        <v>228</v>
      </c>
      <c r="F123" s="535" t="str">
        <f>'TRAD-Calculs dispo confrontatio'!B42</f>
        <v>Cp</v>
      </c>
      <c r="G123" s="535" t="s">
        <v>25</v>
      </c>
      <c r="H123" s="544"/>
      <c r="I123" s="544" t="str">
        <f t="shared" si="9"/>
        <v>TDF+3TC - 300/200 mg - Bte/30</v>
      </c>
      <c r="J123" s="544"/>
      <c r="K123" s="399">
        <v>1</v>
      </c>
      <c r="L123" s="399">
        <f>K123*30</f>
        <v>30</v>
      </c>
      <c r="M123" s="117">
        <v>30</v>
      </c>
      <c r="N123" s="400">
        <f t="shared" ref="N123" si="28">L123/M123</f>
        <v>1</v>
      </c>
      <c r="O123" s="232" t="e">
        <f>'Calculs dispo Données FA'!Q195</f>
        <v>#DIV/0!</v>
      </c>
      <c r="P123" s="237" t="e">
        <f>'Calculs dispo Données FA'!R195</f>
        <v>#DIV/0!</v>
      </c>
      <c r="Q123" s="242" t="e">
        <f>'Calculs dispo Données FA'!S195</f>
        <v>#DIV/0!</v>
      </c>
      <c r="R123" s="249" t="e">
        <f>'Calculs dispo Données FA'!T195</f>
        <v>#DIV/0!</v>
      </c>
      <c r="S123" s="250" t="e">
        <f>'Calculs dispo Données FA'!U195</f>
        <v>#DIV/0!</v>
      </c>
      <c r="U123" s="232" t="str">
        <f>'Calculs dispo Données FA'!W195</f>
        <v/>
      </c>
      <c r="V123" s="237" t="str">
        <f>'Calculs dispo Données FA'!X195</f>
        <v/>
      </c>
      <c r="W123" s="242" t="str">
        <f>'Calculs dispo Données FA'!Y195</f>
        <v/>
      </c>
      <c r="X123" s="249" t="str">
        <f>'Calculs dispo Données FA'!Z195</f>
        <v/>
      </c>
      <c r="Y123" s="250" t="str">
        <f>'Calculs dispo Données FA'!AA195</f>
        <v>505B &amp; conso =0</v>
      </c>
      <c r="AA123" s="232"/>
      <c r="AB123" s="563"/>
      <c r="AC123" s="564"/>
      <c r="AD123" s="565"/>
      <c r="AE123" s="566"/>
      <c r="AF123"/>
      <c r="AG123" s="232"/>
      <c r="AH123" s="563"/>
      <c r="AI123" s="564"/>
      <c r="AJ123" s="565"/>
      <c r="AK123" s="566"/>
    </row>
    <row r="124" spans="3:37" s="358" customFormat="1" x14ac:dyDescent="0.2">
      <c r="C124" s="374"/>
      <c r="D124" s="609"/>
      <c r="E124" s="390"/>
      <c r="F124" s="391"/>
      <c r="G124" s="391"/>
      <c r="H124" s="401"/>
      <c r="I124" s="401"/>
      <c r="J124" s="401"/>
      <c r="K124" s="401"/>
      <c r="L124" s="401"/>
      <c r="M124" s="116"/>
      <c r="N124" s="311"/>
      <c r="O124" s="233"/>
      <c r="P124" s="589"/>
      <c r="Q124" s="590"/>
      <c r="R124" s="591"/>
      <c r="S124" s="592"/>
      <c r="U124" s="233"/>
      <c r="V124" s="589"/>
      <c r="W124" s="590"/>
      <c r="X124" s="591"/>
      <c r="Y124" s="592"/>
      <c r="AA124" s="233">
        <f>'Calculs dispo Données conso'!Q197</f>
        <v>4.7671232876712324</v>
      </c>
      <c r="AB124" s="238">
        <f>'Calculs dispo Données conso'!R197</f>
        <v>1.7671232876712324</v>
      </c>
      <c r="AC124" s="243">
        <f>'Calculs dispo Données conso'!S197</f>
        <v>3</v>
      </c>
      <c r="AD124" s="251">
        <f>'Calculs dispo Données conso'!T197</f>
        <v>41972.013698630137</v>
      </c>
      <c r="AE124" s="252">
        <f>'Calculs dispo Données conso'!U197</f>
        <v>42062.013698630137</v>
      </c>
      <c r="AF124"/>
      <c r="AG124" s="233">
        <f>'Calculs dispo Données conso'!W197</f>
        <v>4.7671232876712324</v>
      </c>
      <c r="AH124" s="238">
        <f>'Calculs dispo Données conso'!X197</f>
        <v>1.7671232876712324</v>
      </c>
      <c r="AI124" s="243">
        <f>'Calculs dispo Données conso'!Y197</f>
        <v>3</v>
      </c>
      <c r="AJ124" s="251">
        <f>'Calculs dispo Données conso'!Z197</f>
        <v>41972.013698630137</v>
      </c>
      <c r="AK124" s="252">
        <f>'Calculs dispo Données conso'!AA197</f>
        <v>42062.013698630137</v>
      </c>
    </row>
    <row r="125" spans="3:37" s="358" customFormat="1" x14ac:dyDescent="0.2">
      <c r="C125" s="374"/>
      <c r="D125" s="610" t="s">
        <v>26</v>
      </c>
      <c r="E125" s="376" t="s">
        <v>27</v>
      </c>
      <c r="F125" s="377" t="s">
        <v>104</v>
      </c>
      <c r="G125" s="377" t="s">
        <v>105</v>
      </c>
      <c r="H125" s="378" t="s">
        <v>87</v>
      </c>
      <c r="I125" s="378" t="str">
        <f t="shared" si="9"/>
        <v>EFV - 50 mg - Bte/30</v>
      </c>
      <c r="J125" s="378"/>
      <c r="K125" s="612"/>
      <c r="L125" s="612"/>
      <c r="M125" s="114">
        <v>30</v>
      </c>
      <c r="N125" s="308"/>
      <c r="O125" s="231" t="e">
        <f>'Calculs dispo Données FA'!Q197</f>
        <v>#DIV/0!</v>
      </c>
      <c r="P125" s="236" t="e">
        <f>'Calculs dispo Données FA'!R197</f>
        <v>#DIV/0!</v>
      </c>
      <c r="Q125" s="241" t="e">
        <f>'Calculs dispo Données FA'!S197</f>
        <v>#DIV/0!</v>
      </c>
      <c r="R125" s="247" t="e">
        <f>'Calculs dispo Données FA'!T197</f>
        <v>#DIV/0!</v>
      </c>
      <c r="S125" s="248" t="e">
        <f>'Calculs dispo Données FA'!U197</f>
        <v>#DIV/0!</v>
      </c>
      <c r="U125" s="231" t="str">
        <f>'Calculs dispo Données FA'!W197</f>
        <v/>
      </c>
      <c r="V125" s="236" t="str">
        <f>'Calculs dispo Données FA'!X197</f>
        <v/>
      </c>
      <c r="W125" s="241" t="str">
        <f>'Calculs dispo Données FA'!Y197</f>
        <v/>
      </c>
      <c r="X125" s="247" t="str">
        <f>'Calculs dispo Données FA'!Z197</f>
        <v/>
      </c>
      <c r="Y125" s="248" t="str">
        <f>'Calculs dispo Données FA'!AA197</f>
        <v/>
      </c>
      <c r="AA125" s="231"/>
      <c r="AB125" s="555"/>
      <c r="AC125" s="556"/>
      <c r="AD125" s="557"/>
      <c r="AE125" s="558"/>
      <c r="AF125"/>
      <c r="AG125" s="231"/>
      <c r="AH125" s="555"/>
      <c r="AI125" s="556"/>
      <c r="AJ125" s="557"/>
      <c r="AK125" s="558"/>
    </row>
    <row r="126" spans="3:37" s="358" customFormat="1" x14ac:dyDescent="0.2">
      <c r="C126" s="374"/>
      <c r="D126" s="375"/>
      <c r="E126" s="534"/>
      <c r="F126" s="535"/>
      <c r="G126" s="535"/>
      <c r="H126" s="384"/>
      <c r="I126" s="384"/>
      <c r="J126" s="533"/>
      <c r="K126" s="536"/>
      <c r="L126" s="536"/>
      <c r="M126" s="537"/>
      <c r="N126" s="538"/>
      <c r="O126" s="231"/>
      <c r="P126" s="563"/>
      <c r="Q126" s="556"/>
      <c r="R126" s="557"/>
      <c r="S126" s="558"/>
      <c r="U126" s="231"/>
      <c r="V126" s="563"/>
      <c r="W126" s="556"/>
      <c r="X126" s="557"/>
      <c r="Y126" s="558"/>
      <c r="AA126" s="231" t="e">
        <f>'Calculs dispo Données conso'!Q199</f>
        <v>#DIV/0!</v>
      </c>
      <c r="AB126" s="237" t="e">
        <f>'Calculs dispo Données conso'!R199</f>
        <v>#DIV/0!</v>
      </c>
      <c r="AC126" s="241" t="e">
        <f>'Calculs dispo Données conso'!S199</f>
        <v>#DIV/0!</v>
      </c>
      <c r="AD126" s="247" t="e">
        <f>'Calculs dispo Données conso'!T199</f>
        <v>#DIV/0!</v>
      </c>
      <c r="AE126" s="248" t="e">
        <f>'Calculs dispo Données conso'!U199</f>
        <v>#DIV/0!</v>
      </c>
      <c r="AF126"/>
      <c r="AG126" s="231" t="str">
        <f>'Calculs dispo Données conso'!W199</f>
        <v/>
      </c>
      <c r="AH126" s="237" t="str">
        <f>'Calculs dispo Données conso'!X199</f>
        <v/>
      </c>
      <c r="AI126" s="241" t="str">
        <f>'Calculs dispo Données conso'!Y199</f>
        <v/>
      </c>
      <c r="AJ126" s="247" t="str">
        <f>'Calculs dispo Données conso'!Z199</f>
        <v/>
      </c>
      <c r="AK126" s="248" t="str">
        <f>'Calculs dispo Données conso'!AA199</f>
        <v/>
      </c>
    </row>
    <row r="127" spans="3:37" s="358" customFormat="1" ht="25.5" x14ac:dyDescent="0.2">
      <c r="C127" s="374"/>
      <c r="D127" s="375"/>
      <c r="E127" s="382" t="s">
        <v>27</v>
      </c>
      <c r="F127" s="383" t="s">
        <v>104</v>
      </c>
      <c r="G127" s="383" t="s">
        <v>30</v>
      </c>
      <c r="H127" s="379" t="s">
        <v>87</v>
      </c>
      <c r="I127" s="379" t="str">
        <f t="shared" si="9"/>
        <v>EFV - 200 mg - Bte/90</v>
      </c>
      <c r="J127" s="385"/>
      <c r="K127" s="386"/>
      <c r="L127" s="386"/>
      <c r="M127" s="115">
        <v>90</v>
      </c>
      <c r="N127" s="387"/>
      <c r="O127" s="232" t="e">
        <f>'Calculs dispo Données FA'!Q198</f>
        <v>#DIV/0!</v>
      </c>
      <c r="P127" s="237" t="e">
        <f>'Calculs dispo Données FA'!R198</f>
        <v>#DIV/0!</v>
      </c>
      <c r="Q127" s="242" t="e">
        <f>'Calculs dispo Données FA'!S198</f>
        <v>#DIV/0!</v>
      </c>
      <c r="R127" s="249" t="e">
        <f>'Calculs dispo Données FA'!T198</f>
        <v>#DIV/0!</v>
      </c>
      <c r="S127" s="250" t="e">
        <f>'Calculs dispo Données FA'!U198</f>
        <v>#DIV/0!</v>
      </c>
      <c r="U127" s="232" t="str">
        <f>'Calculs dispo Données FA'!W198</f>
        <v/>
      </c>
      <c r="V127" s="237" t="str">
        <f>'Calculs dispo Données FA'!X198</f>
        <v/>
      </c>
      <c r="W127" s="242" t="str">
        <f>'Calculs dispo Données FA'!Y198</f>
        <v/>
      </c>
      <c r="X127" s="249" t="str">
        <f>'Calculs dispo Données FA'!Z198</f>
        <v/>
      </c>
      <c r="Y127" s="250" t="str">
        <f>'Calculs dispo Données FA'!AA198</f>
        <v>110B &amp; conso =0</v>
      </c>
      <c r="AA127" s="232"/>
      <c r="AB127" s="563"/>
      <c r="AC127" s="564"/>
      <c r="AD127" s="565"/>
      <c r="AE127" s="566"/>
      <c r="AF127"/>
      <c r="AG127" s="232"/>
      <c r="AH127" s="563"/>
      <c r="AI127" s="564"/>
      <c r="AJ127" s="565"/>
      <c r="AK127" s="566"/>
    </row>
    <row r="128" spans="3:37" s="358" customFormat="1" x14ac:dyDescent="0.2">
      <c r="C128" s="374"/>
      <c r="D128" s="375"/>
      <c r="E128" s="396"/>
      <c r="F128" s="397"/>
      <c r="G128" s="397"/>
      <c r="H128" s="379"/>
      <c r="I128" s="379"/>
      <c r="J128" s="398"/>
      <c r="K128" s="399"/>
      <c r="L128" s="399"/>
      <c r="M128" s="117"/>
      <c r="N128" s="400"/>
      <c r="O128" s="234"/>
      <c r="P128" s="563"/>
      <c r="Q128" s="594"/>
      <c r="R128" s="587"/>
      <c r="S128" s="588"/>
      <c r="U128" s="234"/>
      <c r="V128" s="563"/>
      <c r="W128" s="594"/>
      <c r="X128" s="587"/>
      <c r="Y128" s="588"/>
      <c r="AA128" s="234">
        <f>'Calculs dispo Données conso'!Q200</f>
        <v>5.2380952380952381</v>
      </c>
      <c r="AB128" s="237">
        <f>'Calculs dispo Données conso'!R200</f>
        <v>2.2380952380952381</v>
      </c>
      <c r="AC128" s="244">
        <f>'Calculs dispo Données conso'!S200</f>
        <v>3</v>
      </c>
      <c r="AD128" s="253">
        <f>'Calculs dispo Données conso'!T200</f>
        <v>41986.142857142855</v>
      </c>
      <c r="AE128" s="254">
        <f>'Calculs dispo Données conso'!U200</f>
        <v>42076.142857142855</v>
      </c>
      <c r="AF128"/>
      <c r="AG128" s="234">
        <f>'Calculs dispo Données conso'!W200</f>
        <v>5.2380952380952381</v>
      </c>
      <c r="AH128" s="237">
        <f>'Calculs dispo Données conso'!X200</f>
        <v>2.2380952380952381</v>
      </c>
      <c r="AI128" s="244">
        <f>'Calculs dispo Données conso'!Y200</f>
        <v>3</v>
      </c>
      <c r="AJ128" s="253">
        <f>'Calculs dispo Données conso'!Z200</f>
        <v>41986.142857142855</v>
      </c>
      <c r="AK128" s="254">
        <f>'Calculs dispo Données conso'!AA200</f>
        <v>42076.142857142855</v>
      </c>
    </row>
    <row r="129" spans="3:37" s="358" customFormat="1" ht="25.5" x14ac:dyDescent="0.2">
      <c r="C129" s="374"/>
      <c r="D129" s="375"/>
      <c r="E129" s="396" t="s">
        <v>27</v>
      </c>
      <c r="F129" s="397" t="str">
        <f>'TRAD-Calculs dispo confrontatio'!B42</f>
        <v>Cp</v>
      </c>
      <c r="G129" s="397" t="s">
        <v>28</v>
      </c>
      <c r="H129" s="379" t="s">
        <v>87</v>
      </c>
      <c r="I129" s="379" t="str">
        <f t="shared" si="9"/>
        <v>EFV - 600 mg - Bte/30</v>
      </c>
      <c r="J129" s="398"/>
      <c r="K129" s="399">
        <v>1</v>
      </c>
      <c r="L129" s="399">
        <f t="shared" ref="L129" si="29">K129*30</f>
        <v>30</v>
      </c>
      <c r="M129" s="117">
        <v>30</v>
      </c>
      <c r="N129" s="400">
        <f>L129/M129</f>
        <v>1</v>
      </c>
      <c r="O129" s="234" t="e">
        <f>'Calculs dispo Données FA'!Q199</f>
        <v>#DIV/0!</v>
      </c>
      <c r="P129" s="237" t="e">
        <f>'Calculs dispo Données FA'!R199</f>
        <v>#DIV/0!</v>
      </c>
      <c r="Q129" s="244" t="e">
        <f>'Calculs dispo Données FA'!S199</f>
        <v>#DIV/0!</v>
      </c>
      <c r="R129" s="253" t="e">
        <f>'Calculs dispo Données FA'!T199</f>
        <v>#DIV/0!</v>
      </c>
      <c r="S129" s="254" t="e">
        <f>'Calculs dispo Données FA'!U199</f>
        <v>#DIV/0!</v>
      </c>
      <c r="U129" s="234" t="str">
        <f>'Calculs dispo Données FA'!W199</f>
        <v/>
      </c>
      <c r="V129" s="237" t="str">
        <f>'Calculs dispo Données FA'!X199</f>
        <v/>
      </c>
      <c r="W129" s="244" t="str">
        <f>'Calculs dispo Données FA'!Y199</f>
        <v/>
      </c>
      <c r="X129" s="253" t="str">
        <f>'Calculs dispo Données FA'!Z199</f>
        <v/>
      </c>
      <c r="Y129" s="254" t="str">
        <f>'Calculs dispo Données FA'!AA199</f>
        <v>11566B &amp; conso =0</v>
      </c>
      <c r="AA129" s="234"/>
      <c r="AB129" s="563"/>
      <c r="AC129" s="594"/>
      <c r="AD129" s="587"/>
      <c r="AE129" s="588"/>
      <c r="AF129"/>
      <c r="AG129" s="234"/>
      <c r="AH129" s="563"/>
      <c r="AI129" s="594"/>
      <c r="AJ129" s="587"/>
      <c r="AK129" s="588"/>
    </row>
    <row r="130" spans="3:37" s="358" customFormat="1" x14ac:dyDescent="0.2">
      <c r="C130" s="374"/>
      <c r="D130" s="375"/>
      <c r="E130" s="382"/>
      <c r="F130" s="383"/>
      <c r="G130" s="383"/>
      <c r="H130" s="385"/>
      <c r="I130" s="385"/>
      <c r="J130" s="385"/>
      <c r="K130" s="399"/>
      <c r="L130" s="399"/>
      <c r="M130" s="117"/>
      <c r="N130" s="400"/>
      <c r="O130" s="234"/>
      <c r="P130" s="563"/>
      <c r="Q130" s="594"/>
      <c r="R130" s="587"/>
      <c r="S130" s="588"/>
      <c r="U130" s="234"/>
      <c r="V130" s="563"/>
      <c r="W130" s="594"/>
      <c r="X130" s="587"/>
      <c r="Y130" s="588"/>
      <c r="AA130" s="234">
        <f>'Calculs dispo Données conso'!Q201</f>
        <v>7.7885521885521882</v>
      </c>
      <c r="AB130" s="237">
        <f>'Calculs dispo Données conso'!R201</f>
        <v>4.7885521885521882</v>
      </c>
      <c r="AC130" s="244">
        <f>'Calculs dispo Données conso'!S201</f>
        <v>3</v>
      </c>
      <c r="AD130" s="253">
        <f>'Calculs dispo Données conso'!T201</f>
        <v>42062.656565656565</v>
      </c>
      <c r="AE130" s="254">
        <f>'Calculs dispo Données conso'!U201</f>
        <v>42152.656565656565</v>
      </c>
      <c r="AF130"/>
      <c r="AG130" s="234">
        <f>'Calculs dispo Données conso'!W201</f>
        <v>7.7885521885521882</v>
      </c>
      <c r="AH130" s="237">
        <f>'Calculs dispo Données conso'!X201</f>
        <v>4.7885521885521882</v>
      </c>
      <c r="AI130" s="244">
        <f>'Calculs dispo Données conso'!Y201</f>
        <v>3</v>
      </c>
      <c r="AJ130" s="253">
        <f>'Calculs dispo Données conso'!Z201</f>
        <v>42062.656565656565</v>
      </c>
      <c r="AK130" s="254">
        <f>'Calculs dispo Données conso'!AA201</f>
        <v>42152.656565656565</v>
      </c>
    </row>
    <row r="131" spans="3:37" s="358" customFormat="1" x14ac:dyDescent="0.2">
      <c r="C131" s="374"/>
      <c r="D131" s="375"/>
      <c r="E131" s="534" t="s">
        <v>29</v>
      </c>
      <c r="F131" s="535" t="str">
        <f>'TRAD-Calculs dispo confrontatio'!B42</f>
        <v>Cp</v>
      </c>
      <c r="G131" s="535" t="s">
        <v>30</v>
      </c>
      <c r="H131" s="544" t="s">
        <v>85</v>
      </c>
      <c r="I131" s="544" t="str">
        <f t="shared" si="9"/>
        <v>NVP - 200 mg - Bte/60</v>
      </c>
      <c r="J131" s="544"/>
      <c r="K131" s="399">
        <v>2</v>
      </c>
      <c r="L131" s="399">
        <f t="shared" ref="L131" si="30">K131*30</f>
        <v>60</v>
      </c>
      <c r="M131" s="117">
        <v>60</v>
      </c>
      <c r="N131" s="400">
        <f t="shared" ref="N131" si="31">L131/M131</f>
        <v>1</v>
      </c>
      <c r="O131" s="232" t="e">
        <f>'Calculs dispo Données FA'!Q201</f>
        <v>#DIV/0!</v>
      </c>
      <c r="P131" s="237" t="e">
        <f>'Calculs dispo Données FA'!R201</f>
        <v>#DIV/0!</v>
      </c>
      <c r="Q131" s="242" t="e">
        <f>'Calculs dispo Données FA'!S201</f>
        <v>#DIV/0!</v>
      </c>
      <c r="R131" s="249" t="e">
        <f>'Calculs dispo Données FA'!T201</f>
        <v>#DIV/0!</v>
      </c>
      <c r="S131" s="250" t="e">
        <f>'Calculs dispo Données FA'!U201</f>
        <v>#DIV/0!</v>
      </c>
      <c r="U131" s="232" t="str">
        <f>'Calculs dispo Données FA'!W201</f>
        <v/>
      </c>
      <c r="V131" s="237" t="str">
        <f>'Calculs dispo Données FA'!X201</f>
        <v/>
      </c>
      <c r="W131" s="242" t="str">
        <f>'Calculs dispo Données FA'!Y201</f>
        <v/>
      </c>
      <c r="X131" s="249" t="str">
        <f>'Calculs dispo Données FA'!Z201</f>
        <v/>
      </c>
      <c r="Y131" s="250" t="str">
        <f>'Calculs dispo Données FA'!AA201</f>
        <v/>
      </c>
      <c r="AA131" s="232"/>
      <c r="AB131" s="563"/>
      <c r="AC131" s="564"/>
      <c r="AD131" s="565"/>
      <c r="AE131" s="566"/>
      <c r="AF131"/>
      <c r="AG131" s="232"/>
      <c r="AH131" s="563"/>
      <c r="AI131" s="564"/>
      <c r="AJ131" s="565"/>
      <c r="AK131" s="566"/>
    </row>
    <row r="132" spans="3:37" s="358" customFormat="1" x14ac:dyDescent="0.2">
      <c r="C132" s="374"/>
      <c r="D132" s="609"/>
      <c r="E132" s="390"/>
      <c r="F132" s="391"/>
      <c r="G132" s="391"/>
      <c r="H132" s="401"/>
      <c r="I132" s="401"/>
      <c r="J132" s="401"/>
      <c r="K132" s="401"/>
      <c r="L132" s="401"/>
      <c r="M132" s="116"/>
      <c r="N132" s="311"/>
      <c r="O132" s="233"/>
      <c r="P132" s="589"/>
      <c r="Q132" s="590"/>
      <c r="R132" s="591"/>
      <c r="S132" s="592"/>
      <c r="U132" s="233"/>
      <c r="V132" s="589"/>
      <c r="W132" s="590"/>
      <c r="X132" s="591"/>
      <c r="Y132" s="592"/>
      <c r="AA132" s="233" t="e">
        <f>'Calculs dispo Données conso'!Q203</f>
        <v>#DIV/0!</v>
      </c>
      <c r="AB132" s="238" t="e">
        <f>'Calculs dispo Données conso'!R203</f>
        <v>#DIV/0!</v>
      </c>
      <c r="AC132" s="243" t="e">
        <f>'Calculs dispo Données conso'!S203</f>
        <v>#DIV/0!</v>
      </c>
      <c r="AD132" s="251" t="e">
        <f>'Calculs dispo Données conso'!T203</f>
        <v>#DIV/0!</v>
      </c>
      <c r="AE132" s="252" t="e">
        <f>'Calculs dispo Données conso'!U203</f>
        <v>#DIV/0!</v>
      </c>
      <c r="AF132"/>
      <c r="AG132" s="233" t="str">
        <f>'Calculs dispo Données conso'!W203</f>
        <v/>
      </c>
      <c r="AH132" s="238" t="str">
        <f>'Calculs dispo Données conso'!X203</f>
        <v/>
      </c>
      <c r="AI132" s="243" t="str">
        <f>'Calculs dispo Données conso'!Y203</f>
        <v/>
      </c>
      <c r="AJ132" s="251" t="str">
        <f>'Calculs dispo Données conso'!Z203</f>
        <v/>
      </c>
      <c r="AK132" s="252" t="str">
        <f>'Calculs dispo Données conso'!AA203</f>
        <v/>
      </c>
    </row>
    <row r="133" spans="3:37" s="358" customFormat="1" x14ac:dyDescent="0.2">
      <c r="C133" s="374"/>
      <c r="D133" s="610" t="s">
        <v>31</v>
      </c>
      <c r="E133" s="376" t="s">
        <v>36</v>
      </c>
      <c r="F133" s="377" t="str">
        <f>'TRAD-Calculs dispo confrontatio'!B42</f>
        <v>Cp</v>
      </c>
      <c r="G133" s="377" t="s">
        <v>33</v>
      </c>
      <c r="H133" s="378" t="s">
        <v>89</v>
      </c>
      <c r="I133" s="378" t="str">
        <f t="shared" si="9"/>
        <v>ABC - 300 mg - Bte/60</v>
      </c>
      <c r="J133" s="378" t="s">
        <v>106</v>
      </c>
      <c r="K133" s="612">
        <v>2</v>
      </c>
      <c r="L133" s="612">
        <f t="shared" ref="L133" si="32">K133*30</f>
        <v>60</v>
      </c>
      <c r="M133" s="114">
        <v>60</v>
      </c>
      <c r="N133" s="308">
        <f t="shared" ref="N133" si="33">L133/M133</f>
        <v>1</v>
      </c>
      <c r="O133" s="231" t="e">
        <f>'Calculs dispo Données FA'!Q203</f>
        <v>#DIV/0!</v>
      </c>
      <c r="P133" s="236" t="e">
        <f>'Calculs dispo Données FA'!R203</f>
        <v>#DIV/0!</v>
      </c>
      <c r="Q133" s="241" t="e">
        <f>'Calculs dispo Données FA'!S203</f>
        <v>#DIV/0!</v>
      </c>
      <c r="R133" s="247" t="e">
        <f>'Calculs dispo Données FA'!T203</f>
        <v>#DIV/0!</v>
      </c>
      <c r="S133" s="248" t="e">
        <f>'Calculs dispo Données FA'!U203</f>
        <v>#DIV/0!</v>
      </c>
      <c r="U133" s="231" t="str">
        <f>'Calculs dispo Données FA'!W203</f>
        <v/>
      </c>
      <c r="V133" s="236" t="str">
        <f>'Calculs dispo Données FA'!X203</f>
        <v/>
      </c>
      <c r="W133" s="241" t="str">
        <f>'Calculs dispo Données FA'!Y203</f>
        <v/>
      </c>
      <c r="X133" s="247" t="str">
        <f>'Calculs dispo Données FA'!Z203</f>
        <v/>
      </c>
      <c r="Y133" s="248" t="str">
        <f>'Calculs dispo Données FA'!AA203</f>
        <v>1093B &amp; conso =0</v>
      </c>
      <c r="AA133" s="231"/>
      <c r="AB133" s="555"/>
      <c r="AC133" s="556"/>
      <c r="AD133" s="557"/>
      <c r="AE133" s="558"/>
      <c r="AF133"/>
      <c r="AG133" s="231"/>
      <c r="AH133" s="555"/>
      <c r="AI133" s="556"/>
      <c r="AJ133" s="557"/>
      <c r="AK133" s="558"/>
    </row>
    <row r="134" spans="3:37" s="358" customFormat="1" x14ac:dyDescent="0.2">
      <c r="C134" s="374"/>
      <c r="D134" s="375"/>
      <c r="E134" s="376"/>
      <c r="F134" s="377"/>
      <c r="G134" s="1208"/>
      <c r="H134" s="378"/>
      <c r="I134" s="378"/>
      <c r="J134" s="379"/>
      <c r="K134" s="380"/>
      <c r="L134" s="380"/>
      <c r="M134" s="114"/>
      <c r="N134" s="381"/>
      <c r="O134" s="231"/>
      <c r="P134" s="555"/>
      <c r="Q134" s="556"/>
      <c r="R134" s="557"/>
      <c r="S134" s="558"/>
      <c r="U134" s="231"/>
      <c r="V134" s="555"/>
      <c r="W134" s="556"/>
      <c r="X134" s="557"/>
      <c r="Y134" s="558"/>
      <c r="AA134" s="231">
        <f>'Calculs dispo Données conso'!Q205</f>
        <v>3.8465753424657123</v>
      </c>
      <c r="AB134" s="236">
        <f>'Calculs dispo Données conso'!R205</f>
        <v>0.84657534246571231</v>
      </c>
      <c r="AC134" s="241">
        <f>'Calculs dispo Données conso'!S205</f>
        <v>3</v>
      </c>
      <c r="AD134" s="247">
        <f>'Calculs dispo Données conso'!T205</f>
        <v>41944.397260273974</v>
      </c>
      <c r="AE134" s="248">
        <f>'Calculs dispo Données conso'!U205</f>
        <v>42034.397260273974</v>
      </c>
      <c r="AF134"/>
      <c r="AG134" s="231">
        <f>'Calculs dispo Données conso'!W205</f>
        <v>3.8465753424657123</v>
      </c>
      <c r="AH134" s="236">
        <f>'Calculs dispo Données conso'!X205</f>
        <v>0.84657534246571231</v>
      </c>
      <c r="AI134" s="241">
        <f>'Calculs dispo Données conso'!Y205</f>
        <v>3</v>
      </c>
      <c r="AJ134" s="247">
        <f>'Calculs dispo Données conso'!Z205</f>
        <v>41944.397260273974</v>
      </c>
      <c r="AK134" s="248">
        <f>'Calculs dispo Données conso'!AA205</f>
        <v>42034.397260273974</v>
      </c>
    </row>
    <row r="135" spans="3:37" s="358" customFormat="1" x14ac:dyDescent="0.2">
      <c r="C135" s="374"/>
      <c r="D135" s="375"/>
      <c r="E135" s="376" t="s">
        <v>32</v>
      </c>
      <c r="F135" s="377" t="str">
        <f>'TRAD-Calculs dispo confrontatio'!B42</f>
        <v>Cp</v>
      </c>
      <c r="G135" s="383" t="s">
        <v>33</v>
      </c>
      <c r="H135" s="378" t="s">
        <v>81</v>
      </c>
      <c r="I135" s="378" t="str">
        <f t="shared" si="9"/>
        <v>AZT - 300 mg - Bte/60</v>
      </c>
      <c r="J135" s="379"/>
      <c r="K135" s="380">
        <v>2</v>
      </c>
      <c r="L135" s="380">
        <f t="shared" ref="L135" si="34">K135*30</f>
        <v>60</v>
      </c>
      <c r="M135" s="114">
        <v>60</v>
      </c>
      <c r="N135" s="381">
        <f t="shared" ref="N135" si="35">L135/M135</f>
        <v>1</v>
      </c>
      <c r="O135" s="231" t="e">
        <f>'Calculs dispo Données FA'!Q205</f>
        <v>#DIV/0!</v>
      </c>
      <c r="P135" s="236" t="e">
        <f>'Calculs dispo Données FA'!R205</f>
        <v>#DIV/0!</v>
      </c>
      <c r="Q135" s="241" t="e">
        <f>'Calculs dispo Données FA'!S205</f>
        <v>#DIV/0!</v>
      </c>
      <c r="R135" s="247" t="e">
        <f>'Calculs dispo Données FA'!T205</f>
        <v>#DIV/0!</v>
      </c>
      <c r="S135" s="248" t="e">
        <f>'Calculs dispo Données FA'!U205</f>
        <v>#DIV/0!</v>
      </c>
      <c r="U135" s="231" t="str">
        <f>'Calculs dispo Données FA'!W205</f>
        <v/>
      </c>
      <c r="V135" s="236" t="str">
        <f>'Calculs dispo Données FA'!X205</f>
        <v/>
      </c>
      <c r="W135" s="241" t="str">
        <f>'Calculs dispo Données FA'!Y205</f>
        <v/>
      </c>
      <c r="X135" s="247" t="str">
        <f>'Calculs dispo Données FA'!Z205</f>
        <v/>
      </c>
      <c r="Y135" s="248" t="str">
        <f>'Calculs dispo Données FA'!AA205</f>
        <v/>
      </c>
      <c r="AA135" s="231"/>
      <c r="AB135" s="555"/>
      <c r="AC135" s="556"/>
      <c r="AD135" s="557"/>
      <c r="AE135" s="558"/>
      <c r="AF135"/>
      <c r="AG135" s="231"/>
      <c r="AH135" s="555"/>
      <c r="AI135" s="556"/>
      <c r="AJ135" s="557"/>
      <c r="AK135" s="558"/>
    </row>
    <row r="136" spans="3:37" s="358" customFormat="1" x14ac:dyDescent="0.2">
      <c r="C136" s="374"/>
      <c r="D136" s="375"/>
      <c r="E136" s="376"/>
      <c r="F136" s="377"/>
      <c r="G136" s="1208"/>
      <c r="H136" s="378"/>
      <c r="I136" s="378"/>
      <c r="J136" s="379"/>
      <c r="K136" s="380"/>
      <c r="L136" s="380"/>
      <c r="M136" s="114"/>
      <c r="N136" s="381"/>
      <c r="O136" s="231"/>
      <c r="P136" s="555"/>
      <c r="Q136" s="556"/>
      <c r="R136" s="557"/>
      <c r="S136" s="558"/>
      <c r="U136" s="231"/>
      <c r="V136" s="555"/>
      <c r="W136" s="556"/>
      <c r="X136" s="557"/>
      <c r="Y136" s="558"/>
      <c r="AA136" s="231" t="e">
        <f>'Calculs dispo Données conso'!Q207</f>
        <v>#DIV/0!</v>
      </c>
      <c r="AB136" s="236" t="e">
        <f>'Calculs dispo Données conso'!R207</f>
        <v>#DIV/0!</v>
      </c>
      <c r="AC136" s="241" t="e">
        <f>'Calculs dispo Données conso'!S207</f>
        <v>#DIV/0!</v>
      </c>
      <c r="AD136" s="247" t="e">
        <f>'Calculs dispo Données conso'!T207</f>
        <v>#DIV/0!</v>
      </c>
      <c r="AE136" s="248" t="e">
        <f>'Calculs dispo Données conso'!U207</f>
        <v>#DIV/0!</v>
      </c>
      <c r="AF136"/>
      <c r="AG136" s="231" t="str">
        <f>'Calculs dispo Données conso'!W207</f>
        <v/>
      </c>
      <c r="AH136" s="236" t="str">
        <f>'Calculs dispo Données conso'!X207</f>
        <v/>
      </c>
      <c r="AI136" s="241" t="str">
        <f>'Calculs dispo Données conso'!Y207</f>
        <v/>
      </c>
      <c r="AJ136" s="247" t="str">
        <f>'Calculs dispo Données conso'!Z207</f>
        <v/>
      </c>
      <c r="AK136" s="248" t="str">
        <f>'Calculs dispo Données conso'!AA207</f>
        <v/>
      </c>
    </row>
    <row r="137" spans="3:37" s="358" customFormat="1" x14ac:dyDescent="0.2">
      <c r="C137" s="374"/>
      <c r="D137" s="375"/>
      <c r="E137" s="376" t="s">
        <v>32</v>
      </c>
      <c r="F137" s="377" t="str">
        <f>'TRAD-Calculs dispo confrontatio'!B42</f>
        <v>Cp</v>
      </c>
      <c r="G137" s="383" t="s">
        <v>46</v>
      </c>
      <c r="H137" s="378" t="s">
        <v>81</v>
      </c>
      <c r="I137" s="378" t="str">
        <f t="shared" si="9"/>
        <v>AZT - 100 mg - Bte/100</v>
      </c>
      <c r="J137" s="379"/>
      <c r="K137" s="380"/>
      <c r="L137" s="380"/>
      <c r="M137" s="114">
        <v>100</v>
      </c>
      <c r="N137" s="381"/>
      <c r="O137" s="231" t="e">
        <f>'Calculs dispo Données FA'!Q206</f>
        <v>#DIV/0!</v>
      </c>
      <c r="P137" s="236" t="e">
        <f>'Calculs dispo Données FA'!R206</f>
        <v>#DIV/0!</v>
      </c>
      <c r="Q137" s="241" t="e">
        <f>'Calculs dispo Données FA'!S206</f>
        <v>#DIV/0!</v>
      </c>
      <c r="R137" s="247" t="e">
        <f>'Calculs dispo Données FA'!T206</f>
        <v>#DIV/0!</v>
      </c>
      <c r="S137" s="248" t="e">
        <f>'Calculs dispo Données FA'!U206</f>
        <v>#DIV/0!</v>
      </c>
      <c r="U137" s="231" t="str">
        <f>'Calculs dispo Données FA'!W206</f>
        <v/>
      </c>
      <c r="V137" s="236" t="str">
        <f>'Calculs dispo Données FA'!X206</f>
        <v/>
      </c>
      <c r="W137" s="241" t="str">
        <f>'Calculs dispo Données FA'!Y206</f>
        <v/>
      </c>
      <c r="X137" s="247" t="str">
        <f>'Calculs dispo Données FA'!Z206</f>
        <v/>
      </c>
      <c r="Y137" s="248" t="str">
        <f>'Calculs dispo Données FA'!AA206</f>
        <v/>
      </c>
      <c r="AA137" s="231"/>
      <c r="AB137" s="555"/>
      <c r="AC137" s="556"/>
      <c r="AD137" s="557"/>
      <c r="AE137" s="558"/>
      <c r="AF137"/>
      <c r="AG137" s="231"/>
      <c r="AH137" s="555"/>
      <c r="AI137" s="556"/>
      <c r="AJ137" s="557"/>
      <c r="AK137" s="558"/>
    </row>
    <row r="138" spans="3:37" s="358" customFormat="1" x14ac:dyDescent="0.2">
      <c r="C138" s="374"/>
      <c r="D138" s="375"/>
      <c r="E138" s="376"/>
      <c r="F138" s="377"/>
      <c r="G138" s="1208"/>
      <c r="H138" s="378"/>
      <c r="I138" s="378"/>
      <c r="J138" s="379"/>
      <c r="K138" s="380"/>
      <c r="L138" s="380"/>
      <c r="M138" s="114"/>
      <c r="N138" s="381"/>
      <c r="O138" s="231"/>
      <c r="P138" s="555"/>
      <c r="Q138" s="556"/>
      <c r="R138" s="557"/>
      <c r="S138" s="558"/>
      <c r="U138" s="231"/>
      <c r="V138" s="555"/>
      <c r="W138" s="556"/>
      <c r="X138" s="557"/>
      <c r="Y138" s="558"/>
      <c r="AA138" s="231" t="e">
        <f>'Calculs dispo Données conso'!Q208</f>
        <v>#DIV/0!</v>
      </c>
      <c r="AB138" s="236" t="e">
        <f>'Calculs dispo Données conso'!R208</f>
        <v>#DIV/0!</v>
      </c>
      <c r="AC138" s="241" t="e">
        <f>'Calculs dispo Données conso'!S208</f>
        <v>#DIV/0!</v>
      </c>
      <c r="AD138" s="247" t="e">
        <f>'Calculs dispo Données conso'!T208</f>
        <v>#DIV/0!</v>
      </c>
      <c r="AE138" s="248" t="e">
        <f>'Calculs dispo Données conso'!U208</f>
        <v>#DIV/0!</v>
      </c>
      <c r="AF138"/>
      <c r="AG138" s="231" t="str">
        <f>'Calculs dispo Données conso'!W208</f>
        <v/>
      </c>
      <c r="AH138" s="236" t="str">
        <f>'Calculs dispo Données conso'!X208</f>
        <v/>
      </c>
      <c r="AI138" s="241" t="str">
        <f>'Calculs dispo Données conso'!Y208</f>
        <v/>
      </c>
      <c r="AJ138" s="247" t="str">
        <f>'Calculs dispo Données conso'!Z208</f>
        <v/>
      </c>
      <c r="AK138" s="248" t="str">
        <f>'Calculs dispo Données conso'!AA208</f>
        <v/>
      </c>
    </row>
    <row r="139" spans="3:37" s="358" customFormat="1" x14ac:dyDescent="0.2">
      <c r="C139" s="374"/>
      <c r="D139" s="375"/>
      <c r="E139" s="376" t="s">
        <v>82</v>
      </c>
      <c r="F139" s="377" t="str">
        <f>'TRAD-Calculs dispo confrontatio'!B42</f>
        <v>Cp</v>
      </c>
      <c r="G139" s="383" t="s">
        <v>222</v>
      </c>
      <c r="H139" s="378" t="s">
        <v>83</v>
      </c>
      <c r="I139" s="378" t="str">
        <f t="shared" si="9"/>
        <v>D4T - 30 mg - Bte/60</v>
      </c>
      <c r="J139" s="379" t="s">
        <v>223</v>
      </c>
      <c r="K139" s="380">
        <v>2</v>
      </c>
      <c r="L139" s="380">
        <f t="shared" ref="L139" si="36">K139*30</f>
        <v>60</v>
      </c>
      <c r="M139" s="114">
        <v>60</v>
      </c>
      <c r="N139" s="381">
        <f t="shared" ref="N139" si="37">L139/M139</f>
        <v>1</v>
      </c>
      <c r="O139" s="231" t="e">
        <f>'Calculs dispo Données FA'!Q208</f>
        <v>#DIV/0!</v>
      </c>
      <c r="P139" s="236" t="e">
        <f>'Calculs dispo Données FA'!R208</f>
        <v>#DIV/0!</v>
      </c>
      <c r="Q139" s="241" t="e">
        <f>'Calculs dispo Données FA'!S208</f>
        <v>#DIV/0!</v>
      </c>
      <c r="R139" s="247" t="e">
        <f>'Calculs dispo Données FA'!T208</f>
        <v>#DIV/0!</v>
      </c>
      <c r="S139" s="248" t="e">
        <f>'Calculs dispo Données FA'!U208</f>
        <v>#DIV/0!</v>
      </c>
      <c r="U139" s="231" t="str">
        <f>'Calculs dispo Données FA'!W208</f>
        <v/>
      </c>
      <c r="V139" s="236" t="str">
        <f>'Calculs dispo Données FA'!X208</f>
        <v/>
      </c>
      <c r="W139" s="241" t="str">
        <f>'Calculs dispo Données FA'!Y208</f>
        <v/>
      </c>
      <c r="X139" s="247" t="str">
        <f>'Calculs dispo Données FA'!Z208</f>
        <v/>
      </c>
      <c r="Y139" s="248" t="str">
        <f>'Calculs dispo Données FA'!AA208</f>
        <v/>
      </c>
      <c r="AA139" s="231"/>
      <c r="AB139" s="555"/>
      <c r="AC139" s="556"/>
      <c r="AD139" s="557"/>
      <c r="AE139" s="558"/>
      <c r="AF139"/>
      <c r="AG139" s="231"/>
      <c r="AH139" s="555"/>
      <c r="AI139" s="556"/>
      <c r="AJ139" s="557"/>
      <c r="AK139" s="558"/>
    </row>
    <row r="140" spans="3:37" s="358" customFormat="1" x14ac:dyDescent="0.2">
      <c r="C140" s="374"/>
      <c r="D140" s="375"/>
      <c r="E140" s="376"/>
      <c r="F140" s="377"/>
      <c r="G140" s="383"/>
      <c r="H140" s="378"/>
      <c r="I140" s="378"/>
      <c r="J140" s="379"/>
      <c r="K140" s="380"/>
      <c r="L140" s="380"/>
      <c r="M140" s="114"/>
      <c r="N140" s="381"/>
      <c r="O140" s="231"/>
      <c r="P140" s="555"/>
      <c r="Q140" s="556"/>
      <c r="R140" s="557"/>
      <c r="S140" s="558"/>
      <c r="U140" s="231"/>
      <c r="V140" s="555"/>
      <c r="W140" s="556"/>
      <c r="X140" s="557"/>
      <c r="Y140" s="558"/>
      <c r="AA140" s="231" t="e">
        <f>'Calculs dispo Données conso'!Q210</f>
        <v>#DIV/0!</v>
      </c>
      <c r="AB140" s="236" t="e">
        <f>'Calculs dispo Données conso'!R210</f>
        <v>#DIV/0!</v>
      </c>
      <c r="AC140" s="241" t="e">
        <f>'Calculs dispo Données conso'!S210</f>
        <v>#DIV/0!</v>
      </c>
      <c r="AD140" s="247" t="e">
        <f>'Calculs dispo Données conso'!T210</f>
        <v>#DIV/0!</v>
      </c>
      <c r="AE140" s="248" t="e">
        <f>'Calculs dispo Données conso'!U210</f>
        <v>#DIV/0!</v>
      </c>
      <c r="AF140"/>
      <c r="AG140" s="231" t="str">
        <f>'Calculs dispo Données conso'!W210</f>
        <v/>
      </c>
      <c r="AH140" s="236" t="str">
        <f>'Calculs dispo Données conso'!X210</f>
        <v/>
      </c>
      <c r="AI140" s="241" t="str">
        <f>'Calculs dispo Données conso'!Y210</f>
        <v/>
      </c>
      <c r="AJ140" s="247" t="str">
        <f>'Calculs dispo Données conso'!Z210</f>
        <v/>
      </c>
      <c r="AK140" s="248" t="str">
        <f>'Calculs dispo Données conso'!AA210</f>
        <v/>
      </c>
    </row>
    <row r="141" spans="3:37" s="358" customFormat="1" x14ac:dyDescent="0.2">
      <c r="C141" s="374"/>
      <c r="D141" s="375"/>
      <c r="E141" s="376" t="s">
        <v>34</v>
      </c>
      <c r="F141" s="377" t="str">
        <f>'TRAD-Calculs dispo confrontatio'!B42</f>
        <v>Cp</v>
      </c>
      <c r="G141" s="383" t="s">
        <v>35</v>
      </c>
      <c r="H141" s="378" t="s">
        <v>132</v>
      </c>
      <c r="I141" s="378" t="str">
        <f t="shared" si="9"/>
        <v>3TC - 150 mg - Bte/60</v>
      </c>
      <c r="J141" s="379" t="s">
        <v>131</v>
      </c>
      <c r="K141" s="380">
        <v>2</v>
      </c>
      <c r="L141" s="380">
        <f t="shared" ref="L141" si="38">K141*30</f>
        <v>60</v>
      </c>
      <c r="M141" s="114">
        <v>60</v>
      </c>
      <c r="N141" s="381">
        <f t="shared" ref="N141" si="39">L141/M141</f>
        <v>1</v>
      </c>
      <c r="O141" s="231" t="e">
        <f>'Calculs dispo Données FA'!Q209</f>
        <v>#DIV/0!</v>
      </c>
      <c r="P141" s="236" t="e">
        <f>'Calculs dispo Données FA'!R209</f>
        <v>#DIV/0!</v>
      </c>
      <c r="Q141" s="241" t="e">
        <f>'Calculs dispo Données FA'!S209</f>
        <v>#DIV/0!</v>
      </c>
      <c r="R141" s="247" t="e">
        <f>'Calculs dispo Données FA'!T209</f>
        <v>#DIV/0!</v>
      </c>
      <c r="S141" s="248" t="e">
        <f>'Calculs dispo Données FA'!U209</f>
        <v>#DIV/0!</v>
      </c>
      <c r="U141" s="231" t="str">
        <f>'Calculs dispo Données FA'!W209</f>
        <v/>
      </c>
      <c r="V141" s="236" t="str">
        <f>'Calculs dispo Données FA'!X209</f>
        <v/>
      </c>
      <c r="W141" s="241" t="str">
        <f>'Calculs dispo Données FA'!Y209</f>
        <v/>
      </c>
      <c r="X141" s="247" t="str">
        <f>'Calculs dispo Données FA'!Z209</f>
        <v/>
      </c>
      <c r="Y141" s="248" t="str">
        <f>'Calculs dispo Données FA'!AA209</f>
        <v/>
      </c>
      <c r="AA141" s="231"/>
      <c r="AB141" s="555"/>
      <c r="AC141" s="556"/>
      <c r="AD141" s="557"/>
      <c r="AE141" s="558"/>
      <c r="AF141"/>
      <c r="AG141" s="231"/>
      <c r="AH141" s="555"/>
      <c r="AI141" s="556"/>
      <c r="AJ141" s="557"/>
      <c r="AK141" s="558"/>
    </row>
    <row r="142" spans="3:37" s="358" customFormat="1" x14ac:dyDescent="0.2">
      <c r="C142" s="374"/>
      <c r="D142" s="375"/>
      <c r="E142" s="376"/>
      <c r="F142" s="377"/>
      <c r="G142" s="383"/>
      <c r="H142" s="378"/>
      <c r="I142" s="378"/>
      <c r="J142" s="379"/>
      <c r="K142" s="380"/>
      <c r="L142" s="380"/>
      <c r="M142" s="114"/>
      <c r="N142" s="381"/>
      <c r="O142" s="231"/>
      <c r="P142" s="555"/>
      <c r="Q142" s="556"/>
      <c r="R142" s="557"/>
      <c r="S142" s="558"/>
      <c r="U142" s="231"/>
      <c r="V142" s="555"/>
      <c r="W142" s="556"/>
      <c r="X142" s="557"/>
      <c r="Y142" s="558"/>
      <c r="AA142" s="231" t="e">
        <f>'Calculs dispo Données conso'!Q211</f>
        <v>#DIV/0!</v>
      </c>
      <c r="AB142" s="236" t="e">
        <f>'Calculs dispo Données conso'!R211</f>
        <v>#DIV/0!</v>
      </c>
      <c r="AC142" s="241" t="e">
        <f>'Calculs dispo Données conso'!S211</f>
        <v>#DIV/0!</v>
      </c>
      <c r="AD142" s="247" t="e">
        <f>'Calculs dispo Données conso'!T211</f>
        <v>#DIV/0!</v>
      </c>
      <c r="AE142" s="248" t="e">
        <f>'Calculs dispo Données conso'!U211</f>
        <v>#DIV/0!</v>
      </c>
      <c r="AF142"/>
      <c r="AG142" s="231" t="str">
        <f>'Calculs dispo Données conso'!W211</f>
        <v/>
      </c>
      <c r="AH142" s="236" t="str">
        <f>'Calculs dispo Données conso'!X211</f>
        <v/>
      </c>
      <c r="AI142" s="241" t="str">
        <f>'Calculs dispo Données conso'!Y211</f>
        <v/>
      </c>
      <c r="AJ142" s="247" t="str">
        <f>'Calculs dispo Données conso'!Z211</f>
        <v/>
      </c>
      <c r="AK142" s="248" t="str">
        <f>'Calculs dispo Données conso'!AA211</f>
        <v/>
      </c>
    </row>
    <row r="143" spans="3:37" s="358" customFormat="1" ht="38.25" x14ac:dyDescent="0.2">
      <c r="C143" s="374"/>
      <c r="D143" s="375"/>
      <c r="E143" s="382" t="s">
        <v>37</v>
      </c>
      <c r="F143" s="383" t="str">
        <f>'TRAD-Calculs dispo confrontatio'!B42</f>
        <v>Cp</v>
      </c>
      <c r="G143" s="383" t="s">
        <v>38</v>
      </c>
      <c r="H143" s="384" t="s">
        <v>92</v>
      </c>
      <c r="I143" s="384" t="str">
        <f t="shared" si="9"/>
        <v>DDI - 250 mg - Bte/30</v>
      </c>
      <c r="J143" s="385" t="s">
        <v>107</v>
      </c>
      <c r="K143" s="386">
        <v>1</v>
      </c>
      <c r="L143" s="386">
        <f t="shared" ref="L143" si="40">K143*30</f>
        <v>30</v>
      </c>
      <c r="M143" s="115">
        <v>30</v>
      </c>
      <c r="N143" s="387">
        <f t="shared" ref="N143" si="41">L143/M143</f>
        <v>1</v>
      </c>
      <c r="O143" s="231" t="e">
        <f>'Calculs dispo Données FA'!Q211</f>
        <v>#DIV/0!</v>
      </c>
      <c r="P143" s="237" t="e">
        <f>'Calculs dispo Données FA'!R211</f>
        <v>#DIV/0!</v>
      </c>
      <c r="Q143" s="242" t="e">
        <f>'Calculs dispo Données FA'!S211</f>
        <v>#DIV/0!</v>
      </c>
      <c r="R143" s="249" t="e">
        <f>'Calculs dispo Données FA'!T211</f>
        <v>#DIV/0!</v>
      </c>
      <c r="S143" s="250" t="e">
        <f>'Calculs dispo Données FA'!U211</f>
        <v>#DIV/0!</v>
      </c>
      <c r="U143" s="231" t="str">
        <f>'Calculs dispo Données FA'!W211</f>
        <v/>
      </c>
      <c r="V143" s="237" t="str">
        <f>'Calculs dispo Données FA'!X211</f>
        <v/>
      </c>
      <c r="W143" s="242" t="str">
        <f>'Calculs dispo Données FA'!Y211</f>
        <v/>
      </c>
      <c r="X143" s="249" t="str">
        <f>'Calculs dispo Données FA'!Z211</f>
        <v/>
      </c>
      <c r="Y143" s="250" t="str">
        <f>'Calculs dispo Données FA'!AA211</f>
        <v/>
      </c>
      <c r="AA143" s="231"/>
      <c r="AB143" s="563"/>
      <c r="AC143" s="564"/>
      <c r="AD143" s="565"/>
      <c r="AE143" s="566"/>
      <c r="AF143"/>
      <c r="AG143" s="231"/>
      <c r="AH143" s="563"/>
      <c r="AI143" s="564"/>
      <c r="AJ143" s="565"/>
      <c r="AK143" s="566"/>
    </row>
    <row r="144" spans="3:37" s="358" customFormat="1" x14ac:dyDescent="0.2">
      <c r="C144" s="374"/>
      <c r="D144" s="375"/>
      <c r="E144" s="382"/>
      <c r="F144" s="383"/>
      <c r="G144" s="397"/>
      <c r="H144" s="384"/>
      <c r="I144" s="384"/>
      <c r="J144" s="385"/>
      <c r="K144" s="399"/>
      <c r="L144" s="399"/>
      <c r="M144" s="117"/>
      <c r="N144" s="400"/>
      <c r="O144" s="539"/>
      <c r="P144" s="563"/>
      <c r="Q144" s="564"/>
      <c r="R144" s="587"/>
      <c r="S144" s="588"/>
      <c r="U144" s="539"/>
      <c r="V144" s="563"/>
      <c r="W144" s="564"/>
      <c r="X144" s="587"/>
      <c r="Y144" s="588"/>
      <c r="AA144" s="539" t="e">
        <f>'Calculs dispo Données conso'!Q213</f>
        <v>#DIV/0!</v>
      </c>
      <c r="AB144" s="237" t="e">
        <f>'Calculs dispo Données conso'!R213</f>
        <v>#DIV/0!</v>
      </c>
      <c r="AC144" s="242" t="e">
        <f>'Calculs dispo Données conso'!S213</f>
        <v>#DIV/0!</v>
      </c>
      <c r="AD144" s="253" t="e">
        <f>'Calculs dispo Données conso'!T213</f>
        <v>#DIV/0!</v>
      </c>
      <c r="AE144" s="254" t="e">
        <f>'Calculs dispo Données conso'!U213</f>
        <v>#DIV/0!</v>
      </c>
      <c r="AF144"/>
      <c r="AG144" s="539" t="str">
        <f>'Calculs dispo Données conso'!W213</f>
        <v/>
      </c>
      <c r="AH144" s="237" t="str">
        <f>'Calculs dispo Données conso'!X213</f>
        <v/>
      </c>
      <c r="AI144" s="242" t="str">
        <f>'Calculs dispo Données conso'!Y213</f>
        <v/>
      </c>
      <c r="AJ144" s="253" t="str">
        <f>'Calculs dispo Données conso'!Z213</f>
        <v/>
      </c>
      <c r="AK144" s="254" t="str">
        <f>'Calculs dispo Données conso'!AA213</f>
        <v/>
      </c>
    </row>
    <row r="145" spans="3:37" s="358" customFormat="1" ht="38.25" x14ac:dyDescent="0.2">
      <c r="C145" s="374"/>
      <c r="D145" s="375"/>
      <c r="E145" s="382" t="s">
        <v>37</v>
      </c>
      <c r="F145" s="383" t="str">
        <f>'TRAD-Calculs dispo confrontatio'!B42</f>
        <v>Cp</v>
      </c>
      <c r="G145" s="397" t="s">
        <v>39</v>
      </c>
      <c r="H145" s="384" t="s">
        <v>92</v>
      </c>
      <c r="I145" s="384" t="str">
        <f t="shared" si="9"/>
        <v>DDI - 400 mg - Bte/30</v>
      </c>
      <c r="J145" s="385" t="s">
        <v>107</v>
      </c>
      <c r="K145" s="399">
        <v>1</v>
      </c>
      <c r="L145" s="399">
        <f t="shared" ref="L145" si="42">K145*30</f>
        <v>30</v>
      </c>
      <c r="M145" s="117">
        <v>30</v>
      </c>
      <c r="N145" s="400">
        <f t="shared" ref="N145" si="43">L145/M145</f>
        <v>1</v>
      </c>
      <c r="O145" s="234" t="e">
        <f>'Calculs dispo Données FA'!Q212</f>
        <v>#DIV/0!</v>
      </c>
      <c r="P145" s="237" t="e">
        <f>'Calculs dispo Données FA'!R212</f>
        <v>#DIV/0!</v>
      </c>
      <c r="Q145" s="242" t="e">
        <f>'Calculs dispo Données FA'!S212</f>
        <v>#DIV/0!</v>
      </c>
      <c r="R145" s="253" t="e">
        <f>'Calculs dispo Données FA'!T212</f>
        <v>#DIV/0!</v>
      </c>
      <c r="S145" s="254" t="e">
        <f>'Calculs dispo Données FA'!U212</f>
        <v>#DIV/0!</v>
      </c>
      <c r="U145" s="234" t="str">
        <f>'Calculs dispo Données FA'!W212</f>
        <v/>
      </c>
      <c r="V145" s="237" t="str">
        <f>'Calculs dispo Données FA'!X212</f>
        <v/>
      </c>
      <c r="W145" s="242" t="str">
        <f>'Calculs dispo Données FA'!Y212</f>
        <v/>
      </c>
      <c r="X145" s="253" t="str">
        <f>'Calculs dispo Données FA'!Z212</f>
        <v/>
      </c>
      <c r="Y145" s="254" t="str">
        <f>'Calculs dispo Données FA'!AA212</f>
        <v>956B &amp; conso =0</v>
      </c>
      <c r="AA145" s="234"/>
      <c r="AB145" s="563"/>
      <c r="AC145" s="564"/>
      <c r="AD145" s="587"/>
      <c r="AE145" s="588"/>
      <c r="AF145"/>
      <c r="AG145" s="234"/>
      <c r="AH145" s="563"/>
      <c r="AI145" s="564"/>
      <c r="AJ145" s="587"/>
      <c r="AK145" s="588"/>
    </row>
    <row r="146" spans="3:37" s="358" customFormat="1" x14ac:dyDescent="0.2">
      <c r="C146" s="374"/>
      <c r="D146" s="375"/>
      <c r="E146" s="382"/>
      <c r="F146" s="383"/>
      <c r="G146" s="383"/>
      <c r="H146" s="384"/>
      <c r="I146" s="384"/>
      <c r="J146" s="385"/>
      <c r="K146" s="386"/>
      <c r="L146" s="386"/>
      <c r="M146" s="115"/>
      <c r="N146" s="611"/>
      <c r="O146" s="234"/>
      <c r="P146" s="593"/>
      <c r="Q146" s="594"/>
      <c r="R146" s="587"/>
      <c r="S146" s="588"/>
      <c r="U146" s="234"/>
      <c r="V146" s="593"/>
      <c r="W146" s="594"/>
      <c r="X146" s="587"/>
      <c r="Y146" s="588"/>
      <c r="AA146" s="234">
        <f>'Calculs dispo Données conso'!Q214</f>
        <v>9.7972602739726042</v>
      </c>
      <c r="AB146" s="239">
        <f>'Calculs dispo Données conso'!R214</f>
        <v>6.7972602739726042</v>
      </c>
      <c r="AC146" s="244">
        <f>'Calculs dispo Données conso'!S214</f>
        <v>3</v>
      </c>
      <c r="AD146" s="253">
        <f>'Calculs dispo Données conso'!T214</f>
        <v>42122.917808219179</v>
      </c>
      <c r="AE146" s="254">
        <f>'Calculs dispo Données conso'!U214</f>
        <v>42212.917808219179</v>
      </c>
      <c r="AF146"/>
      <c r="AG146" s="234">
        <f>'Calculs dispo Données conso'!W214</f>
        <v>9.7972602739726042</v>
      </c>
      <c r="AH146" s="239">
        <f>'Calculs dispo Données conso'!X214</f>
        <v>6.7972602739726042</v>
      </c>
      <c r="AI146" s="244">
        <f>'Calculs dispo Données conso'!Y214</f>
        <v>3</v>
      </c>
      <c r="AJ146" s="253">
        <f>'Calculs dispo Données conso'!Z214</f>
        <v>42122.917808219179</v>
      </c>
      <c r="AK146" s="254">
        <f>'Calculs dispo Données conso'!AA214</f>
        <v>42212.917808219179</v>
      </c>
    </row>
    <row r="147" spans="3:37" s="358" customFormat="1" x14ac:dyDescent="0.2">
      <c r="C147" s="374"/>
      <c r="D147" s="375"/>
      <c r="E147" s="534" t="s">
        <v>40</v>
      </c>
      <c r="F147" s="535" t="str">
        <f>'TRAD-Calculs dispo confrontatio'!B42</f>
        <v>Cp</v>
      </c>
      <c r="G147" s="397" t="s">
        <v>33</v>
      </c>
      <c r="H147" s="544" t="s">
        <v>125</v>
      </c>
      <c r="I147" s="544" t="str">
        <f t="shared" si="9"/>
        <v>TDF - 300 mg - Bte/30</v>
      </c>
      <c r="J147" s="544"/>
      <c r="K147" s="399">
        <v>1</v>
      </c>
      <c r="L147" s="399">
        <f t="shared" ref="L147" si="44">K147*30</f>
        <v>30</v>
      </c>
      <c r="M147" s="117">
        <v>30</v>
      </c>
      <c r="N147" s="400">
        <f t="shared" ref="N147" si="45">L147/M147</f>
        <v>1</v>
      </c>
      <c r="O147" s="232" t="e">
        <f>'Calculs dispo Données FA'!Q213</f>
        <v>#DIV/0!</v>
      </c>
      <c r="P147" s="237" t="e">
        <f>'Calculs dispo Données FA'!R213</f>
        <v>#DIV/0!</v>
      </c>
      <c r="Q147" s="242" t="e">
        <f>'Calculs dispo Données FA'!S213</f>
        <v>#DIV/0!</v>
      </c>
      <c r="R147" s="249" t="e">
        <f>'Calculs dispo Données FA'!T213</f>
        <v>#DIV/0!</v>
      </c>
      <c r="S147" s="250" t="e">
        <f>'Calculs dispo Données FA'!U213</f>
        <v>#DIV/0!</v>
      </c>
      <c r="U147" s="232" t="str">
        <f>'Calculs dispo Données FA'!W213</f>
        <v/>
      </c>
      <c r="V147" s="237" t="str">
        <f>'Calculs dispo Données FA'!X213</f>
        <v/>
      </c>
      <c r="W147" s="242" t="str">
        <f>'Calculs dispo Données FA'!Y213</f>
        <v/>
      </c>
      <c r="X147" s="249" t="str">
        <f>'Calculs dispo Données FA'!Z213</f>
        <v/>
      </c>
      <c r="Y147" s="250" t="str">
        <f>'Calculs dispo Données FA'!AA213</f>
        <v/>
      </c>
      <c r="AA147" s="232"/>
      <c r="AB147" s="563"/>
      <c r="AC147" s="564"/>
      <c r="AD147" s="565"/>
      <c r="AE147" s="566"/>
      <c r="AF147"/>
      <c r="AG147" s="232"/>
      <c r="AH147" s="563"/>
      <c r="AI147" s="564"/>
      <c r="AJ147" s="565"/>
      <c r="AK147" s="566"/>
    </row>
    <row r="148" spans="3:37" s="358" customFormat="1" x14ac:dyDescent="0.2">
      <c r="C148" s="374"/>
      <c r="D148" s="609"/>
      <c r="E148" s="390"/>
      <c r="F148" s="391"/>
      <c r="G148" s="391"/>
      <c r="H148" s="401"/>
      <c r="I148" s="401"/>
      <c r="J148" s="401"/>
      <c r="K148" s="401"/>
      <c r="L148" s="401"/>
      <c r="M148" s="116"/>
      <c r="N148" s="311"/>
      <c r="O148" s="233"/>
      <c r="P148" s="589"/>
      <c r="Q148" s="590"/>
      <c r="R148" s="591"/>
      <c r="S148" s="592"/>
      <c r="U148" s="233"/>
      <c r="V148" s="589"/>
      <c r="W148" s="590"/>
      <c r="X148" s="591"/>
      <c r="Y148" s="592"/>
      <c r="AA148" s="233" t="e">
        <f>'Calculs dispo Données conso'!Q215</f>
        <v>#DIV/0!</v>
      </c>
      <c r="AB148" s="238" t="e">
        <f>'Calculs dispo Données conso'!R215</f>
        <v>#DIV/0!</v>
      </c>
      <c r="AC148" s="243" t="e">
        <f>'Calculs dispo Données conso'!S215</f>
        <v>#DIV/0!</v>
      </c>
      <c r="AD148" s="251" t="e">
        <f>'Calculs dispo Données conso'!T215</f>
        <v>#DIV/0!</v>
      </c>
      <c r="AE148" s="252" t="e">
        <f>'Calculs dispo Données conso'!U215</f>
        <v>#DIV/0!</v>
      </c>
      <c r="AF148"/>
      <c r="AG148" s="233" t="str">
        <f>'Calculs dispo Données conso'!W215</f>
        <v/>
      </c>
      <c r="AH148" s="238" t="str">
        <f>'Calculs dispo Données conso'!X215</f>
        <v/>
      </c>
      <c r="AI148" s="243" t="str">
        <f>'Calculs dispo Données conso'!Y215</f>
        <v/>
      </c>
      <c r="AJ148" s="251" t="str">
        <f>'Calculs dispo Données conso'!Z215</f>
        <v/>
      </c>
      <c r="AK148" s="252" t="str">
        <f>'Calculs dispo Données conso'!AA215</f>
        <v/>
      </c>
    </row>
    <row r="149" spans="3:37" s="358" customFormat="1" x14ac:dyDescent="0.2">
      <c r="C149" s="374"/>
      <c r="D149" s="610" t="s">
        <v>41</v>
      </c>
      <c r="E149" s="376" t="s">
        <v>42</v>
      </c>
      <c r="F149" s="377" t="str">
        <f>'TRAD-Calculs dispo confrontatio'!B42</f>
        <v>Cp</v>
      </c>
      <c r="G149" s="377" t="s">
        <v>43</v>
      </c>
      <c r="H149" s="378" t="s">
        <v>108</v>
      </c>
      <c r="I149" s="378" t="str">
        <f t="shared" si="9"/>
        <v>LPV/r - 200/50 mg - Bte/120</v>
      </c>
      <c r="J149" s="378" t="s">
        <v>109</v>
      </c>
      <c r="K149" s="612">
        <v>4</v>
      </c>
      <c r="L149" s="612">
        <f t="shared" ref="L149" si="46">K149*30</f>
        <v>120</v>
      </c>
      <c r="M149" s="114">
        <v>120</v>
      </c>
      <c r="N149" s="308">
        <f t="shared" ref="N149" si="47">L149/M149</f>
        <v>1</v>
      </c>
      <c r="O149" s="231" t="e">
        <f>'Calculs dispo Données FA'!Q214</f>
        <v>#DIV/0!</v>
      </c>
      <c r="P149" s="236" t="e">
        <f>'Calculs dispo Données FA'!R214</f>
        <v>#DIV/0!</v>
      </c>
      <c r="Q149" s="241" t="e">
        <f>'Calculs dispo Données FA'!S214</f>
        <v>#DIV/0!</v>
      </c>
      <c r="R149" s="247" t="e">
        <f>'Calculs dispo Données FA'!T214</f>
        <v>#DIV/0!</v>
      </c>
      <c r="S149" s="248" t="e">
        <f>'Calculs dispo Données FA'!U214</f>
        <v>#DIV/0!</v>
      </c>
      <c r="U149" s="231" t="str">
        <f>'Calculs dispo Données FA'!W214</f>
        <v/>
      </c>
      <c r="V149" s="236" t="str">
        <f>'Calculs dispo Données FA'!X214</f>
        <v/>
      </c>
      <c r="W149" s="241" t="str">
        <f>'Calculs dispo Données FA'!Y214</f>
        <v/>
      </c>
      <c r="X149" s="247" t="str">
        <f>'Calculs dispo Données FA'!Z214</f>
        <v/>
      </c>
      <c r="Y149" s="248" t="str">
        <f>'Calculs dispo Données FA'!AA214</f>
        <v>750B &amp; conso =0</v>
      </c>
      <c r="AA149" s="231"/>
      <c r="AB149" s="555"/>
      <c r="AC149" s="556"/>
      <c r="AD149" s="557"/>
      <c r="AE149" s="558"/>
      <c r="AF149"/>
      <c r="AG149" s="231"/>
      <c r="AH149" s="555"/>
      <c r="AI149" s="556"/>
      <c r="AJ149" s="557"/>
      <c r="AK149" s="558"/>
    </row>
    <row r="150" spans="3:37" s="358" customFormat="1" x14ac:dyDescent="0.2">
      <c r="C150" s="374"/>
      <c r="D150" s="375"/>
      <c r="E150" s="534"/>
      <c r="F150" s="535"/>
      <c r="G150" s="535"/>
      <c r="H150" s="544"/>
      <c r="I150" s="544"/>
      <c r="J150" s="533"/>
      <c r="K150" s="536"/>
      <c r="L150" s="536"/>
      <c r="M150" s="537"/>
      <c r="N150" s="538"/>
      <c r="O150" s="539"/>
      <c r="P150" s="595"/>
      <c r="Q150" s="556"/>
      <c r="R150" s="597"/>
      <c r="S150" s="598"/>
      <c r="U150" s="539"/>
      <c r="V150" s="595"/>
      <c r="W150" s="556"/>
      <c r="X150" s="597"/>
      <c r="Y150" s="598"/>
      <c r="AA150" s="539">
        <f>'Calculs dispo Données conso'!Q216</f>
        <v>7.0754716981132075</v>
      </c>
      <c r="AB150" s="543">
        <f>'Calculs dispo Données conso'!R216</f>
        <v>4.0754716981132075</v>
      </c>
      <c r="AC150" s="241">
        <f>'Calculs dispo Données conso'!S216</f>
        <v>3</v>
      </c>
      <c r="AD150" s="541">
        <f>'Calculs dispo Données conso'!T216</f>
        <v>42041.264150943396</v>
      </c>
      <c r="AE150" s="542">
        <f>'Calculs dispo Données conso'!U216</f>
        <v>42131.264150943396</v>
      </c>
      <c r="AF150"/>
      <c r="AG150" s="539">
        <f>'Calculs dispo Données conso'!W216</f>
        <v>7.0754716981132075</v>
      </c>
      <c r="AH150" s="543">
        <f>'Calculs dispo Données conso'!X216</f>
        <v>4.0754716981132075</v>
      </c>
      <c r="AI150" s="241">
        <f>'Calculs dispo Données conso'!Y216</f>
        <v>3</v>
      </c>
      <c r="AJ150" s="541">
        <f>'Calculs dispo Données conso'!Z216</f>
        <v>42041.264150943396</v>
      </c>
      <c r="AK150" s="542">
        <f>'Calculs dispo Données conso'!AA216</f>
        <v>42131.264150943396</v>
      </c>
    </row>
    <row r="151" spans="3:37" s="358" customFormat="1" x14ac:dyDescent="0.2">
      <c r="C151" s="374"/>
      <c r="D151" s="402"/>
      <c r="E151" s="396" t="s">
        <v>42</v>
      </c>
      <c r="F151" s="397" t="str">
        <f>'TRAD-Calculs dispo confrontatio'!B42</f>
        <v>Cp</v>
      </c>
      <c r="G151" s="397" t="s">
        <v>496</v>
      </c>
      <c r="H151" s="403" t="s">
        <v>108</v>
      </c>
      <c r="I151" s="403" t="str">
        <f t="shared" si="9"/>
        <v>LPV/r - 100/25 mg - Bte/60</v>
      </c>
      <c r="J151" s="398"/>
      <c r="K151" s="399">
        <v>2</v>
      </c>
      <c r="L151" s="399">
        <f t="shared" ref="L151" si="48">K151*30</f>
        <v>60</v>
      </c>
      <c r="M151" s="117">
        <v>60</v>
      </c>
      <c r="N151" s="400">
        <f t="shared" ref="N151" si="49">L151/M151</f>
        <v>1</v>
      </c>
      <c r="O151" s="234" t="e">
        <f>'Calculs dispo Données FA'!Q215</f>
        <v>#DIV/0!</v>
      </c>
      <c r="P151" s="239" t="e">
        <f>'Calculs dispo Données FA'!R215</f>
        <v>#DIV/0!</v>
      </c>
      <c r="Q151" s="241" t="e">
        <f>'Calculs dispo Données FA'!S215</f>
        <v>#DIV/0!</v>
      </c>
      <c r="R151" s="253" t="e">
        <f>'Calculs dispo Données FA'!T215</f>
        <v>#DIV/0!</v>
      </c>
      <c r="S151" s="254" t="e">
        <f>'Calculs dispo Données FA'!U215</f>
        <v>#DIV/0!</v>
      </c>
      <c r="U151" s="234" t="str">
        <f>'Calculs dispo Données FA'!W215</f>
        <v/>
      </c>
      <c r="V151" s="239" t="str">
        <f>'Calculs dispo Données FA'!X215</f>
        <v/>
      </c>
      <c r="W151" s="241" t="str">
        <f>'Calculs dispo Données FA'!Y215</f>
        <v/>
      </c>
      <c r="X151" s="253" t="str">
        <f>'Calculs dispo Données FA'!Z215</f>
        <v/>
      </c>
      <c r="Y151" s="254" t="str">
        <f>'Calculs dispo Données FA'!AA215</f>
        <v>770B &amp; conso =0</v>
      </c>
      <c r="AA151" s="234"/>
      <c r="AB151" s="593"/>
      <c r="AC151" s="556"/>
      <c r="AD151" s="587"/>
      <c r="AE151" s="588"/>
      <c r="AF151"/>
      <c r="AG151" s="234"/>
      <c r="AH151" s="593"/>
      <c r="AI151" s="556"/>
      <c r="AJ151" s="587"/>
      <c r="AK151" s="588"/>
    </row>
    <row r="152" spans="3:37" s="358" customFormat="1" x14ac:dyDescent="0.2">
      <c r="C152" s="374"/>
      <c r="D152" s="402"/>
      <c r="E152" s="396"/>
      <c r="F152" s="397"/>
      <c r="G152" s="397"/>
      <c r="H152" s="403"/>
      <c r="I152" s="403"/>
      <c r="J152" s="398"/>
      <c r="K152" s="399"/>
      <c r="L152" s="399"/>
      <c r="M152" s="117"/>
      <c r="N152" s="400"/>
      <c r="O152" s="234"/>
      <c r="P152" s="593"/>
      <c r="Q152" s="596"/>
      <c r="R152" s="587"/>
      <c r="S152" s="588"/>
      <c r="U152" s="234"/>
      <c r="V152" s="593"/>
      <c r="W152" s="596"/>
      <c r="X152" s="587"/>
      <c r="Y152" s="588"/>
      <c r="AA152" s="234">
        <f>'Calculs dispo Données conso'!Q217</f>
        <v>10.397412480974127</v>
      </c>
      <c r="AB152" s="239">
        <f>'Calculs dispo Données conso'!R217</f>
        <v>7.3974124809741273</v>
      </c>
      <c r="AC152" s="540">
        <f>'Calculs dispo Données conso'!S217</f>
        <v>3</v>
      </c>
      <c r="AD152" s="253">
        <f>'Calculs dispo Données conso'!T217</f>
        <v>42140.922374429225</v>
      </c>
      <c r="AE152" s="254">
        <f>'Calculs dispo Données conso'!U217</f>
        <v>42230.922374429225</v>
      </c>
      <c r="AF152"/>
      <c r="AG152" s="234">
        <f>'Calculs dispo Données conso'!W217</f>
        <v>10.397412480974127</v>
      </c>
      <c r="AH152" s="239">
        <f>'Calculs dispo Données conso'!X217</f>
        <v>7.3974124809741273</v>
      </c>
      <c r="AI152" s="540">
        <f>'Calculs dispo Données conso'!Y217</f>
        <v>3</v>
      </c>
      <c r="AJ152" s="253">
        <f>'Calculs dispo Données conso'!Z217</f>
        <v>42140.922374429225</v>
      </c>
      <c r="AK152" s="254">
        <f>'Calculs dispo Données conso'!AA217</f>
        <v>42230.922374429225</v>
      </c>
    </row>
    <row r="153" spans="3:37" s="358" customFormat="1" x14ac:dyDescent="0.2">
      <c r="C153" s="374"/>
      <c r="D153" s="402"/>
      <c r="E153" s="396" t="s">
        <v>44</v>
      </c>
      <c r="F153" s="397" t="s">
        <v>104</v>
      </c>
      <c r="G153" s="397" t="s">
        <v>39</v>
      </c>
      <c r="H153" s="403" t="s">
        <v>127</v>
      </c>
      <c r="I153" s="403" t="str">
        <f t="shared" si="9"/>
        <v>IDV - 400 mg - Bte/180</v>
      </c>
      <c r="J153" s="398"/>
      <c r="K153" s="399">
        <v>6</v>
      </c>
      <c r="L153" s="399">
        <f t="shared" ref="L153" si="50">K153*30</f>
        <v>180</v>
      </c>
      <c r="M153" s="117">
        <v>180</v>
      </c>
      <c r="N153" s="400">
        <f t="shared" ref="N153" si="51">L153/M153</f>
        <v>1</v>
      </c>
      <c r="O153" s="234" t="e">
        <f>'Calculs dispo Données FA'!Q218</f>
        <v>#DIV/0!</v>
      </c>
      <c r="P153" s="239" t="e">
        <f>'Calculs dispo Données FA'!R218</f>
        <v>#DIV/0!</v>
      </c>
      <c r="Q153" s="241" t="e">
        <f>'Calculs dispo Données FA'!S218</f>
        <v>#DIV/0!</v>
      </c>
      <c r="R153" s="253" t="e">
        <f>'Calculs dispo Données FA'!T218</f>
        <v>#DIV/0!</v>
      </c>
      <c r="S153" s="254" t="e">
        <f>'Calculs dispo Données FA'!U218</f>
        <v>#DIV/0!</v>
      </c>
      <c r="U153" s="234" t="str">
        <f>'Calculs dispo Données FA'!W218</f>
        <v/>
      </c>
      <c r="V153" s="239" t="str">
        <f>'Calculs dispo Données FA'!X218</f>
        <v/>
      </c>
      <c r="W153" s="241" t="str">
        <f>'Calculs dispo Données FA'!Y218</f>
        <v/>
      </c>
      <c r="X153" s="253" t="str">
        <f>'Calculs dispo Données FA'!Z218</f>
        <v/>
      </c>
      <c r="Y153" s="254" t="str">
        <f>'Calculs dispo Données FA'!AA218</f>
        <v/>
      </c>
      <c r="AA153" s="234"/>
      <c r="AB153" s="593"/>
      <c r="AC153" s="556"/>
      <c r="AD153" s="587"/>
      <c r="AE153" s="588"/>
      <c r="AF153"/>
      <c r="AG153" s="234"/>
      <c r="AH153" s="593"/>
      <c r="AI153" s="556"/>
      <c r="AJ153" s="587"/>
      <c r="AK153" s="588"/>
    </row>
    <row r="154" spans="3:37" s="358" customFormat="1" x14ac:dyDescent="0.2">
      <c r="C154" s="374"/>
      <c r="D154" s="402"/>
      <c r="E154" s="396"/>
      <c r="F154" s="397"/>
      <c r="G154" s="397"/>
      <c r="H154" s="403"/>
      <c r="I154" s="403"/>
      <c r="J154" s="398"/>
      <c r="K154" s="399"/>
      <c r="L154" s="399"/>
      <c r="M154" s="117"/>
      <c r="N154" s="400"/>
      <c r="O154" s="234"/>
      <c r="P154" s="593"/>
      <c r="Q154" s="596"/>
      <c r="R154" s="587"/>
      <c r="S154" s="588"/>
      <c r="U154" s="234"/>
      <c r="V154" s="593"/>
      <c r="W154" s="596"/>
      <c r="X154" s="587"/>
      <c r="Y154" s="588"/>
      <c r="AA154" s="234" t="e">
        <f>'Calculs dispo Données conso'!Q220</f>
        <v>#DIV/0!</v>
      </c>
      <c r="AB154" s="239" t="e">
        <f>'Calculs dispo Données conso'!R220</f>
        <v>#DIV/0!</v>
      </c>
      <c r="AC154" s="540" t="e">
        <f>'Calculs dispo Données conso'!S220</f>
        <v>#DIV/0!</v>
      </c>
      <c r="AD154" s="253" t="e">
        <f>'Calculs dispo Données conso'!T220</f>
        <v>#DIV/0!</v>
      </c>
      <c r="AE154" s="254" t="e">
        <f>'Calculs dispo Données conso'!U220</f>
        <v>#DIV/0!</v>
      </c>
      <c r="AF154"/>
      <c r="AG154" s="234" t="str">
        <f>'Calculs dispo Données conso'!W220</f>
        <v/>
      </c>
      <c r="AH154" s="239" t="str">
        <f>'Calculs dispo Données conso'!X220</f>
        <v/>
      </c>
      <c r="AI154" s="540" t="str">
        <f>'Calculs dispo Données conso'!Y220</f>
        <v/>
      </c>
      <c r="AJ154" s="253" t="str">
        <f>'Calculs dispo Données conso'!Z220</f>
        <v/>
      </c>
      <c r="AK154" s="254" t="str">
        <f>'Calculs dispo Données conso'!AA220</f>
        <v/>
      </c>
    </row>
    <row r="155" spans="3:37" s="358" customFormat="1" x14ac:dyDescent="0.2">
      <c r="C155" s="374"/>
      <c r="D155" s="402"/>
      <c r="E155" s="396" t="s">
        <v>126</v>
      </c>
      <c r="F155" s="397" t="str">
        <f>'TRAD-Calculs dispo confrontatio'!B42</f>
        <v>Cp</v>
      </c>
      <c r="G155" s="397" t="s">
        <v>134</v>
      </c>
      <c r="H155" s="403" t="s">
        <v>129</v>
      </c>
      <c r="I155" s="403" t="str">
        <f t="shared" si="9"/>
        <v>SQV - 500 mg - Bte/120</v>
      </c>
      <c r="J155" s="398"/>
      <c r="K155" s="399">
        <v>4</v>
      </c>
      <c r="L155" s="399">
        <f t="shared" ref="L155" si="52">K155*30</f>
        <v>120</v>
      </c>
      <c r="M155" s="117">
        <v>120</v>
      </c>
      <c r="N155" s="400">
        <f t="shared" ref="N155" si="53">L155/M155</f>
        <v>1</v>
      </c>
      <c r="O155" s="234" t="e">
        <f>'Calculs dispo Données FA'!Q220</f>
        <v>#DIV/0!</v>
      </c>
      <c r="P155" s="239" t="e">
        <f>'Calculs dispo Données FA'!R220</f>
        <v>#DIV/0!</v>
      </c>
      <c r="Q155" s="244" t="e">
        <f>'Calculs dispo Données FA'!S220</f>
        <v>#DIV/0!</v>
      </c>
      <c r="R155" s="253" t="e">
        <f>'Calculs dispo Données FA'!T220</f>
        <v>#DIV/0!</v>
      </c>
      <c r="S155" s="254" t="e">
        <f>'Calculs dispo Données FA'!U220</f>
        <v>#DIV/0!</v>
      </c>
      <c r="U155" s="234" t="str">
        <f>'Calculs dispo Données FA'!W220</f>
        <v/>
      </c>
      <c r="V155" s="239" t="str">
        <f>'Calculs dispo Données FA'!X220</f>
        <v/>
      </c>
      <c r="W155" s="244" t="str">
        <f>'Calculs dispo Données FA'!Y220</f>
        <v/>
      </c>
      <c r="X155" s="253" t="str">
        <f>'Calculs dispo Données FA'!Z220</f>
        <v/>
      </c>
      <c r="Y155" s="254" t="str">
        <f>'Calculs dispo Données FA'!AA220</f>
        <v/>
      </c>
      <c r="AA155" s="234"/>
      <c r="AB155" s="593"/>
      <c r="AC155" s="594"/>
      <c r="AD155" s="587"/>
      <c r="AE155" s="588"/>
      <c r="AF155"/>
      <c r="AG155" s="234"/>
      <c r="AH155" s="593"/>
      <c r="AI155" s="594"/>
      <c r="AJ155" s="587"/>
      <c r="AK155" s="588"/>
    </row>
    <row r="156" spans="3:37" s="358" customFormat="1" x14ac:dyDescent="0.2">
      <c r="C156" s="374"/>
      <c r="D156" s="402"/>
      <c r="E156" s="396"/>
      <c r="F156" s="397"/>
      <c r="G156" s="397"/>
      <c r="H156" s="403"/>
      <c r="I156" s="403"/>
      <c r="J156" s="398"/>
      <c r="K156" s="399"/>
      <c r="L156" s="399"/>
      <c r="M156" s="117"/>
      <c r="N156" s="400"/>
      <c r="O156" s="234"/>
      <c r="P156" s="593"/>
      <c r="Q156" s="594"/>
      <c r="R156" s="587"/>
      <c r="S156" s="588"/>
      <c r="U156" s="234"/>
      <c r="V156" s="593"/>
      <c r="W156" s="594"/>
      <c r="X156" s="587"/>
      <c r="Y156" s="588"/>
      <c r="AA156" s="234" t="e">
        <f>'Calculs dispo Données conso'!Q222</f>
        <v>#DIV/0!</v>
      </c>
      <c r="AB156" s="239" t="e">
        <f>'Calculs dispo Données conso'!R222</f>
        <v>#DIV/0!</v>
      </c>
      <c r="AC156" s="244" t="e">
        <f>'Calculs dispo Données conso'!S222</f>
        <v>#DIV/0!</v>
      </c>
      <c r="AD156" s="253" t="e">
        <f>'Calculs dispo Données conso'!T222</f>
        <v>#DIV/0!</v>
      </c>
      <c r="AE156" s="254" t="e">
        <f>'Calculs dispo Données conso'!U222</f>
        <v>#DIV/0!</v>
      </c>
      <c r="AF156"/>
      <c r="AG156" s="234" t="str">
        <f>'Calculs dispo Données conso'!W222</f>
        <v/>
      </c>
      <c r="AH156" s="239" t="str">
        <f>'Calculs dispo Données conso'!X222</f>
        <v/>
      </c>
      <c r="AI156" s="244" t="str">
        <f>'Calculs dispo Données conso'!Y222</f>
        <v/>
      </c>
      <c r="AJ156" s="253" t="str">
        <f>'Calculs dispo Données conso'!Z222</f>
        <v/>
      </c>
      <c r="AK156" s="254" t="str">
        <f>'Calculs dispo Données conso'!AA222</f>
        <v/>
      </c>
    </row>
    <row r="157" spans="3:37" s="358" customFormat="1" x14ac:dyDescent="0.2">
      <c r="C157" s="374"/>
      <c r="D157" s="402"/>
      <c r="E157" s="507" t="s">
        <v>262</v>
      </c>
      <c r="F157" s="508" t="s">
        <v>104</v>
      </c>
      <c r="G157" s="509" t="s">
        <v>30</v>
      </c>
      <c r="H157" s="510" t="s">
        <v>263</v>
      </c>
      <c r="I157" s="403" t="str">
        <f t="shared" si="9"/>
        <v>ATV - 200 mg - Bte/60</v>
      </c>
      <c r="J157" s="398"/>
      <c r="K157" s="512">
        <v>2</v>
      </c>
      <c r="L157" s="399">
        <f t="shared" ref="L157" si="54">K157*30</f>
        <v>60</v>
      </c>
      <c r="M157" s="512">
        <v>60</v>
      </c>
      <c r="N157" s="400">
        <f t="shared" ref="N157" si="55">L157/M157</f>
        <v>1</v>
      </c>
      <c r="O157" s="234" t="e">
        <f>'Calculs dispo Données FA'!Q216</f>
        <v>#DIV/0!</v>
      </c>
      <c r="P157" s="239" t="e">
        <f>'Calculs dispo Données FA'!R216</f>
        <v>#DIV/0!</v>
      </c>
      <c r="Q157" s="244" t="e">
        <f>'Calculs dispo Données FA'!S216</f>
        <v>#DIV/0!</v>
      </c>
      <c r="R157" s="253" t="e">
        <f>'Calculs dispo Données FA'!T216</f>
        <v>#DIV/0!</v>
      </c>
      <c r="S157" s="254" t="e">
        <f>'Calculs dispo Données FA'!U216</f>
        <v>#DIV/0!</v>
      </c>
      <c r="U157" s="234" t="str">
        <f>'Calculs dispo Données FA'!W216</f>
        <v/>
      </c>
      <c r="V157" s="239" t="str">
        <f>'Calculs dispo Données FA'!X216</f>
        <v/>
      </c>
      <c r="W157" s="244" t="str">
        <f>'Calculs dispo Données FA'!Y216</f>
        <v/>
      </c>
      <c r="X157" s="253" t="str">
        <f>'Calculs dispo Données FA'!Z216</f>
        <v/>
      </c>
      <c r="Y157" s="254" t="str">
        <f>'Calculs dispo Données FA'!AA216</f>
        <v>1705B &amp; conso =0</v>
      </c>
      <c r="AA157" s="234"/>
      <c r="AB157" s="593"/>
      <c r="AC157" s="594"/>
      <c r="AD157" s="587"/>
      <c r="AE157" s="588"/>
      <c r="AF157"/>
      <c r="AG157" s="234"/>
      <c r="AH157" s="593"/>
      <c r="AI157" s="594"/>
      <c r="AJ157" s="587"/>
      <c r="AK157" s="588"/>
    </row>
    <row r="158" spans="3:37" s="358" customFormat="1" x14ac:dyDescent="0.2">
      <c r="C158" s="374"/>
      <c r="D158" s="402"/>
      <c r="E158" s="545"/>
      <c r="F158" s="509"/>
      <c r="G158" s="509"/>
      <c r="H158" s="546"/>
      <c r="I158" s="403"/>
      <c r="J158" s="398"/>
      <c r="K158" s="512"/>
      <c r="L158" s="399"/>
      <c r="M158" s="512"/>
      <c r="N158" s="400"/>
      <c r="O158" s="234"/>
      <c r="P158" s="593"/>
      <c r="Q158" s="594"/>
      <c r="R158" s="587"/>
      <c r="S158" s="588"/>
      <c r="U158" s="234"/>
      <c r="V158" s="593"/>
      <c r="W158" s="594"/>
      <c r="X158" s="587"/>
      <c r="Y158" s="588"/>
      <c r="AA158" s="234" t="e">
        <f>'Calculs dispo Données conso'!Q218</f>
        <v>#DIV/0!</v>
      </c>
      <c r="AB158" s="239" t="e">
        <f>'Calculs dispo Données conso'!R218</f>
        <v>#DIV/0!</v>
      </c>
      <c r="AC158" s="244" t="e">
        <f>'Calculs dispo Données conso'!S218</f>
        <v>#DIV/0!</v>
      </c>
      <c r="AD158" s="253" t="e">
        <f>'Calculs dispo Données conso'!T218</f>
        <v>#DIV/0!</v>
      </c>
      <c r="AE158" s="254" t="e">
        <f>'Calculs dispo Données conso'!U218</f>
        <v>#DIV/0!</v>
      </c>
      <c r="AF158"/>
      <c r="AG158" s="234" t="str">
        <f>'Calculs dispo Données conso'!W218</f>
        <v/>
      </c>
      <c r="AH158" s="239" t="str">
        <f>'Calculs dispo Données conso'!X218</f>
        <v/>
      </c>
      <c r="AI158" s="244" t="str">
        <f>'Calculs dispo Données conso'!Y218</f>
        <v/>
      </c>
      <c r="AJ158" s="253" t="str">
        <f>'Calculs dispo Données conso'!Z218</f>
        <v/>
      </c>
      <c r="AK158" s="254" t="str">
        <f>'Calculs dispo Données conso'!AA218</f>
        <v>1705B &amp; conso =0</v>
      </c>
    </row>
    <row r="159" spans="3:37" s="358" customFormat="1" x14ac:dyDescent="0.2">
      <c r="C159" s="374"/>
      <c r="D159" s="402"/>
      <c r="E159" s="93" t="s">
        <v>264</v>
      </c>
      <c r="F159" s="94" t="str">
        <f>'TRAD-Calculs dispo confrontatio'!B42</f>
        <v>Cp</v>
      </c>
      <c r="G159" s="94" t="s">
        <v>28</v>
      </c>
      <c r="H159" s="95" t="s">
        <v>265</v>
      </c>
      <c r="I159" s="403" t="str">
        <f t="shared" si="9"/>
        <v>DRV - 600 mg - Bte/60</v>
      </c>
      <c r="J159" s="398"/>
      <c r="K159" s="117">
        <v>2</v>
      </c>
      <c r="L159" s="399">
        <f t="shared" ref="L159" si="56">K159*30</f>
        <v>60</v>
      </c>
      <c r="M159" s="117">
        <v>60</v>
      </c>
      <c r="N159" s="400">
        <f t="shared" ref="N159" si="57">L159/M159</f>
        <v>1</v>
      </c>
      <c r="O159" s="234" t="e">
        <f>'Calculs dispo Données FA'!Q219</f>
        <v>#DIV/0!</v>
      </c>
      <c r="P159" s="239" t="e">
        <f>'Calculs dispo Données FA'!R219</f>
        <v>#DIV/0!</v>
      </c>
      <c r="Q159" s="244" t="e">
        <f>'Calculs dispo Données FA'!S219</f>
        <v>#DIV/0!</v>
      </c>
      <c r="R159" s="253" t="e">
        <f>'Calculs dispo Données FA'!T219</f>
        <v>#DIV/0!</v>
      </c>
      <c r="S159" s="254" t="e">
        <f>'Calculs dispo Données FA'!U219</f>
        <v>#DIV/0!</v>
      </c>
      <c r="U159" s="234" t="str">
        <f>'Calculs dispo Données FA'!W219</f>
        <v/>
      </c>
      <c r="V159" s="239" t="str">
        <f>'Calculs dispo Données FA'!X219</f>
        <v/>
      </c>
      <c r="W159" s="244" t="str">
        <f>'Calculs dispo Données FA'!Y219</f>
        <v/>
      </c>
      <c r="X159" s="253" t="str">
        <f>'Calculs dispo Données FA'!Z219</f>
        <v/>
      </c>
      <c r="Y159" s="254" t="str">
        <f>'Calculs dispo Données FA'!AA219</f>
        <v/>
      </c>
      <c r="AA159" s="234"/>
      <c r="AB159" s="593"/>
      <c r="AC159" s="594"/>
      <c r="AD159" s="587"/>
      <c r="AE159" s="588"/>
      <c r="AF159"/>
      <c r="AG159" s="234"/>
      <c r="AH159" s="593"/>
      <c r="AI159" s="594"/>
      <c r="AJ159" s="587"/>
      <c r="AK159" s="588"/>
    </row>
    <row r="160" spans="3:37" s="358" customFormat="1" x14ac:dyDescent="0.2">
      <c r="C160" s="374"/>
      <c r="D160" s="402"/>
      <c r="E160" s="90"/>
      <c r="F160" s="91"/>
      <c r="G160" s="91"/>
      <c r="H160" s="41"/>
      <c r="I160" s="384"/>
      <c r="J160" s="385"/>
      <c r="K160" s="115"/>
      <c r="L160" s="386"/>
      <c r="M160" s="115"/>
      <c r="N160" s="611"/>
      <c r="O160" s="234"/>
      <c r="P160" s="593"/>
      <c r="Q160" s="594"/>
      <c r="R160" s="587"/>
      <c r="S160" s="588"/>
      <c r="U160" s="234"/>
      <c r="V160" s="593"/>
      <c r="W160" s="594"/>
      <c r="X160" s="587"/>
      <c r="Y160" s="588"/>
      <c r="AA160" s="234" t="e">
        <f>'Calculs dispo Données conso'!Q221</f>
        <v>#DIV/0!</v>
      </c>
      <c r="AB160" s="239" t="e">
        <f>'Calculs dispo Données conso'!R221</f>
        <v>#DIV/0!</v>
      </c>
      <c r="AC160" s="244" t="e">
        <f>'Calculs dispo Données conso'!S221</f>
        <v>#DIV/0!</v>
      </c>
      <c r="AD160" s="253" t="e">
        <f>'Calculs dispo Données conso'!T221</f>
        <v>#DIV/0!</v>
      </c>
      <c r="AE160" s="254" t="e">
        <f>'Calculs dispo Données conso'!U221</f>
        <v>#DIV/0!</v>
      </c>
      <c r="AF160"/>
      <c r="AG160" s="234" t="str">
        <f>'Calculs dispo Données conso'!W221</f>
        <v/>
      </c>
      <c r="AH160" s="239" t="str">
        <f>'Calculs dispo Données conso'!X221</f>
        <v/>
      </c>
      <c r="AI160" s="244" t="str">
        <f>'Calculs dispo Données conso'!Y221</f>
        <v/>
      </c>
      <c r="AJ160" s="253" t="str">
        <f>'Calculs dispo Données conso'!Z221</f>
        <v/>
      </c>
      <c r="AK160" s="254" t="str">
        <f>'Calculs dispo Données conso'!AA221</f>
        <v/>
      </c>
    </row>
    <row r="161" spans="3:37" s="358" customFormat="1" x14ac:dyDescent="0.2">
      <c r="C161" s="374"/>
      <c r="D161" s="375"/>
      <c r="E161" s="534" t="s">
        <v>45</v>
      </c>
      <c r="F161" s="535" t="s">
        <v>133</v>
      </c>
      <c r="G161" s="535" t="s">
        <v>46</v>
      </c>
      <c r="H161" s="544" t="s">
        <v>128</v>
      </c>
      <c r="I161" s="544" t="str">
        <f t="shared" si="9"/>
        <v>RTV - 100 mg - Bte/84</v>
      </c>
      <c r="J161" s="544"/>
      <c r="K161" s="399">
        <v>2</v>
      </c>
      <c r="L161" s="399">
        <f t="shared" ref="L161" si="58">K161*30</f>
        <v>60</v>
      </c>
      <c r="M161" s="117">
        <v>84</v>
      </c>
      <c r="N161" s="400">
        <f t="shared" ref="N161" si="59">L161/M161</f>
        <v>0.7142857142857143</v>
      </c>
      <c r="O161" s="232" t="e">
        <f>'Calculs dispo Données FA'!Q221</f>
        <v>#DIV/0!</v>
      </c>
      <c r="P161" s="237" t="e">
        <f>'Calculs dispo Données FA'!R221</f>
        <v>#DIV/0!</v>
      </c>
      <c r="Q161" s="242" t="e">
        <f>'Calculs dispo Données FA'!S221</f>
        <v>#DIV/0!</v>
      </c>
      <c r="R161" s="249" t="e">
        <f>'Calculs dispo Données FA'!T221</f>
        <v>#DIV/0!</v>
      </c>
      <c r="S161" s="250" t="e">
        <f>'Calculs dispo Données FA'!U221</f>
        <v>#DIV/0!</v>
      </c>
      <c r="U161" s="232" t="str">
        <f>'Calculs dispo Données FA'!W221</f>
        <v/>
      </c>
      <c r="V161" s="237" t="str">
        <f>'Calculs dispo Données FA'!X221</f>
        <v/>
      </c>
      <c r="W161" s="242" t="str">
        <f>'Calculs dispo Données FA'!Y221</f>
        <v/>
      </c>
      <c r="X161" s="249" t="str">
        <f>'Calculs dispo Données FA'!Z221</f>
        <v/>
      </c>
      <c r="Y161" s="250" t="str">
        <f>'Calculs dispo Données FA'!AA221</f>
        <v/>
      </c>
      <c r="AA161" s="232"/>
      <c r="AB161" s="563"/>
      <c r="AC161" s="564"/>
      <c r="AD161" s="565"/>
      <c r="AE161" s="566"/>
      <c r="AF161"/>
      <c r="AG161" s="232"/>
      <c r="AH161" s="563"/>
      <c r="AI161" s="564"/>
      <c r="AJ161" s="565"/>
      <c r="AK161" s="566"/>
    </row>
    <row r="162" spans="3:37" s="358" customFormat="1" x14ac:dyDescent="0.2">
      <c r="C162" s="374"/>
      <c r="D162" s="609"/>
      <c r="E162" s="390"/>
      <c r="F162" s="391"/>
      <c r="G162" s="391"/>
      <c r="H162" s="401"/>
      <c r="I162" s="401"/>
      <c r="J162" s="401"/>
      <c r="K162" s="401"/>
      <c r="L162" s="401"/>
      <c r="M162" s="116"/>
      <c r="N162" s="311"/>
      <c r="O162" s="624"/>
      <c r="P162" s="629"/>
      <c r="Q162" s="621"/>
      <c r="R162" s="622"/>
      <c r="S162" s="623"/>
      <c r="U162" s="624"/>
      <c r="V162" s="629"/>
      <c r="W162" s="621"/>
      <c r="X162" s="622"/>
      <c r="Y162" s="623"/>
      <c r="AA162" s="624" t="e">
        <f>'Calculs dispo Données conso'!Q223</f>
        <v>#DIV/0!</v>
      </c>
      <c r="AB162" s="625" t="e">
        <f>'Calculs dispo Données conso'!R223</f>
        <v>#DIV/0!</v>
      </c>
      <c r="AC162" s="632" t="e">
        <f>'Calculs dispo Données conso'!S223</f>
        <v>#DIV/0!</v>
      </c>
      <c r="AD162" s="626" t="e">
        <f>'Calculs dispo Données conso'!T223</f>
        <v>#DIV/0!</v>
      </c>
      <c r="AE162" s="627" t="e">
        <f>'Calculs dispo Données conso'!U223</f>
        <v>#DIV/0!</v>
      </c>
      <c r="AF162"/>
      <c r="AG162" s="624" t="str">
        <f>'Calculs dispo Données conso'!W223</f>
        <v/>
      </c>
      <c r="AH162" s="625" t="str">
        <f>'Calculs dispo Données conso'!X223</f>
        <v/>
      </c>
      <c r="AI162" s="632" t="str">
        <f>'Calculs dispo Données conso'!Y223</f>
        <v/>
      </c>
      <c r="AJ162" s="626" t="str">
        <f>'Calculs dispo Données conso'!Z223</f>
        <v/>
      </c>
      <c r="AK162" s="627" t="str">
        <f>'Calculs dispo Données conso'!AA223</f>
        <v/>
      </c>
    </row>
    <row r="163" spans="3:37" s="358" customFormat="1" x14ac:dyDescent="0.2">
      <c r="C163" s="374"/>
      <c r="D163" s="610" t="s">
        <v>266</v>
      </c>
      <c r="E163" s="376" t="s">
        <v>269</v>
      </c>
      <c r="F163" s="377" t="str">
        <f>'TRAD-Calculs dispo confrontatio'!B42</f>
        <v>Cp</v>
      </c>
      <c r="G163" s="377" t="s">
        <v>39</v>
      </c>
      <c r="H163" s="378" t="s">
        <v>268</v>
      </c>
      <c r="I163" s="378" t="str">
        <f t="shared" ref="I163" si="60">CONCATENATE(E163, " - ", G163, " - Bte/", M163)</f>
        <v>RLT - 400 mg - Bte/60</v>
      </c>
      <c r="J163" s="378"/>
      <c r="K163" s="612">
        <v>2</v>
      </c>
      <c r="L163" s="612">
        <f t="shared" ref="L163" si="61">K163*30</f>
        <v>60</v>
      </c>
      <c r="M163" s="613">
        <v>60</v>
      </c>
      <c r="N163" s="614">
        <f t="shared" ref="N163" si="62">L163/M163</f>
        <v>1</v>
      </c>
      <c r="O163" s="231" t="e">
        <f>'Calculs dispo Données FA'!Q222</f>
        <v>#DIV/0!</v>
      </c>
      <c r="P163" s="236" t="e">
        <f>'Calculs dispo Données FA'!R222</f>
        <v>#DIV/0!</v>
      </c>
      <c r="Q163" s="425" t="e">
        <f>'Calculs dispo Données FA'!S222</f>
        <v>#DIV/0!</v>
      </c>
      <c r="R163" s="247" t="e">
        <f>'Calculs dispo Données FA'!T222</f>
        <v>#DIV/0!</v>
      </c>
      <c r="S163" s="248" t="e">
        <f>'Calculs dispo Données FA'!U222</f>
        <v>#DIV/0!</v>
      </c>
      <c r="U163" s="231" t="str">
        <f>'Calculs dispo Données FA'!W222</f>
        <v/>
      </c>
      <c r="V163" s="236" t="str">
        <f>'Calculs dispo Données FA'!X222</f>
        <v/>
      </c>
      <c r="W163" s="425" t="str">
        <f>'Calculs dispo Données FA'!Y222</f>
        <v/>
      </c>
      <c r="X163" s="247" t="str">
        <f>'Calculs dispo Données FA'!Z222</f>
        <v/>
      </c>
      <c r="Y163" s="248" t="str">
        <f>'Calculs dispo Données FA'!AA222</f>
        <v/>
      </c>
      <c r="AA163" s="231"/>
      <c r="AB163" s="555"/>
      <c r="AC163" s="606"/>
      <c r="AD163" s="557"/>
      <c r="AE163" s="558"/>
      <c r="AF163"/>
      <c r="AG163" s="231"/>
      <c r="AH163" s="555"/>
      <c r="AI163" s="606"/>
      <c r="AJ163" s="557"/>
      <c r="AK163" s="558"/>
    </row>
    <row r="164" spans="3:37" s="358" customFormat="1" ht="13.5" thickBot="1" x14ac:dyDescent="0.25">
      <c r="C164" s="404"/>
      <c r="D164" s="408"/>
      <c r="E164" s="409"/>
      <c r="F164" s="410"/>
      <c r="G164" s="410"/>
      <c r="H164" s="411"/>
      <c r="I164" s="411"/>
      <c r="J164" s="411"/>
      <c r="K164" s="411"/>
      <c r="L164" s="411"/>
      <c r="M164" s="312"/>
      <c r="N164" s="313"/>
      <c r="O164" s="539"/>
      <c r="P164" s="619"/>
      <c r="Q164" s="596"/>
      <c r="R164" s="608"/>
      <c r="S164" s="598"/>
      <c r="U164" s="539"/>
      <c r="V164" s="619"/>
      <c r="W164" s="596"/>
      <c r="X164" s="608"/>
      <c r="Y164" s="598"/>
      <c r="AA164" s="539" t="e">
        <f>'Calculs dispo Données conso'!Q224</f>
        <v>#DIV/0!</v>
      </c>
      <c r="AB164" s="548" t="e">
        <f>'Calculs dispo Données conso'!R224</f>
        <v>#DIV/0!</v>
      </c>
      <c r="AC164" s="540" t="e">
        <f>'Calculs dispo Données conso'!S224</f>
        <v>#DIV/0!</v>
      </c>
      <c r="AD164" s="547" t="e">
        <f>'Calculs dispo Données conso'!T224</f>
        <v>#DIV/0!</v>
      </c>
      <c r="AE164" s="542" t="e">
        <f>'Calculs dispo Données conso'!U224</f>
        <v>#DIV/0!</v>
      </c>
      <c r="AF164"/>
      <c r="AG164" s="539" t="str">
        <f>'Calculs dispo Données conso'!W224</f>
        <v/>
      </c>
      <c r="AH164" s="548" t="str">
        <f>'Calculs dispo Données conso'!X224</f>
        <v/>
      </c>
      <c r="AI164" s="540" t="str">
        <f>'Calculs dispo Données conso'!Y224</f>
        <v/>
      </c>
      <c r="AJ164" s="547" t="str">
        <f>'Calculs dispo Données conso'!Z224</f>
        <v/>
      </c>
      <c r="AK164" s="542" t="str">
        <f>'Calculs dispo Données conso'!AA224</f>
        <v/>
      </c>
    </row>
    <row r="165" spans="3:37" s="358" customFormat="1" ht="64.5" thickBot="1" x14ac:dyDescent="0.25">
      <c r="C165" s="405"/>
      <c r="D165" s="406"/>
      <c r="E165" s="364" t="str">
        <f>'TRAD-Calculs dispo confrontatio'!B5</f>
        <v>Composition</v>
      </c>
      <c r="F165" s="365" t="str">
        <f>'TRAD-Calculs dispo confrontatio'!B6</f>
        <v>Forme galénique</v>
      </c>
      <c r="G165" s="365" t="str">
        <f>'TRAD-Calculs dispo confrontatio'!B7</f>
        <v>Dosage</v>
      </c>
      <c r="H165" s="365" t="str">
        <f>'TRAD-Calculs dispo confrontatio'!B8</f>
        <v>Nom de spécialité</v>
      </c>
      <c r="I165" s="365" t="str">
        <f>'TRAD-Calculs dispo confrontatio'!B9</f>
        <v>Nom pour représentation graphique</v>
      </c>
      <c r="J165" s="365"/>
      <c r="K165" s="365"/>
      <c r="L165" s="365"/>
      <c r="M165" s="365" t="str">
        <f>'TRAD-Calculs dispo confrontatio'!B22</f>
        <v>Volume conditionnement primaire (mL)</v>
      </c>
      <c r="N165" s="327" t="str">
        <f>'TRAD-Calculs dispo confrontatio'!B23</f>
        <v>Conditionement secondaire</v>
      </c>
      <c r="O165" s="347" t="str">
        <f>'TRAD-Calculs dispo confrontatio'!B15</f>
        <v>Nb mois dispo - Données FA</v>
      </c>
      <c r="P165" s="347" t="str">
        <f>'TRAD-Calculs dispo confrontatio'!B16</f>
        <v>Nb mois dispo hors SS - Données FA</v>
      </c>
      <c r="Q165" s="327" t="str">
        <f>'TRAD-Calculs dispo confrontatio'!B17</f>
        <v>Nb mois dispo SS - Données FA</v>
      </c>
      <c r="R165" s="348" t="str">
        <f>'TRAD-Calculs dispo confrontatio'!B18</f>
        <v>Date d'entrée en stock de sécurité</v>
      </c>
      <c r="S165" s="349" t="str">
        <f>'TRAD-Calculs dispo confrontatio'!B19</f>
        <v>Date de rupture attendue</v>
      </c>
      <c r="U165" s="347" t="str">
        <f>'TRAD-Calculs dispo confrontatio'!B15</f>
        <v>Nb mois dispo - Données FA</v>
      </c>
      <c r="V165" s="347" t="str">
        <f>'TRAD-Calculs dispo confrontatio'!B16</f>
        <v>Nb mois dispo hors SS - Données FA</v>
      </c>
      <c r="W165" s="327" t="str">
        <f>'TRAD-Calculs dispo confrontatio'!B17</f>
        <v>Nb mois dispo SS - Données FA</v>
      </c>
      <c r="X165" s="348" t="str">
        <f>'TRAD-Calculs dispo confrontatio'!B18</f>
        <v>Date d'entrée en stock de sécurité</v>
      </c>
      <c r="Y165" s="349" t="str">
        <f>'TRAD-Calculs dispo confrontatio'!B19</f>
        <v>Date de rupture attendue</v>
      </c>
      <c r="AA165" s="347" t="str">
        <f>'TRAD-Calculs dispo confrontatio'!B24</f>
        <v>Nb mois dispo - Données Conso/Distri</v>
      </c>
      <c r="AB165" s="347" t="str">
        <f>'TRAD-Calculs dispo confrontatio'!B25</f>
        <v>Nb mois dispo hors SS - Données Conso/Distri</v>
      </c>
      <c r="AC165" s="327" t="str">
        <f>'TRAD-Calculs dispo confrontatio'!B26</f>
        <v>Nb mois dispo SS - Données Conso/Distri</v>
      </c>
      <c r="AD165" s="348" t="str">
        <f>'TRAD-Calculs dispo confrontatio'!B18</f>
        <v>Date d'entrée en stock de sécurité</v>
      </c>
      <c r="AE165" s="349" t="str">
        <f>'TRAD-Calculs dispo confrontatio'!B19</f>
        <v>Date de rupture attendue</v>
      </c>
      <c r="AF165"/>
      <c r="AG165" s="347" t="str">
        <f>'TRAD-Calculs dispo confrontatio'!B24</f>
        <v>Nb mois dispo - Données Conso/Distri</v>
      </c>
      <c r="AH165" s="347" t="str">
        <f>'TRAD-Calculs dispo confrontatio'!B25</f>
        <v>Nb mois dispo hors SS - Données Conso/Distri</v>
      </c>
      <c r="AI165" s="327" t="str">
        <f>'TRAD-Calculs dispo confrontatio'!B26</f>
        <v>Nb mois dispo SS - Données Conso/Distri</v>
      </c>
      <c r="AJ165" s="348" t="str">
        <f>'TRAD-Calculs dispo confrontatio'!B18</f>
        <v>Date d'entrée en stock de sécurité</v>
      </c>
      <c r="AK165" s="349" t="str">
        <f>'TRAD-Calculs dispo confrontatio'!B19</f>
        <v>Date de rupture attendue</v>
      </c>
    </row>
    <row r="166" spans="3:37" s="358" customFormat="1" x14ac:dyDescent="0.2">
      <c r="C166" s="366" t="s">
        <v>78</v>
      </c>
      <c r="D166" s="367" t="s">
        <v>31</v>
      </c>
      <c r="E166" s="368" t="s">
        <v>32</v>
      </c>
      <c r="F166" s="369" t="str">
        <f>'TRAD-Calculs dispo confrontatio'!B41</f>
        <v>sol buv</v>
      </c>
      <c r="G166" s="369" t="s">
        <v>80</v>
      </c>
      <c r="H166" s="370" t="s">
        <v>81</v>
      </c>
      <c r="I166" s="370" t="str">
        <f t="shared" ref="I166:I180" si="63">CONCATENATE(E166, " - ", G166, " - Fl/", M166, "mL")</f>
        <v>AZT - 10 mg/mL - Fl/30mL</v>
      </c>
      <c r="J166" s="370"/>
      <c r="K166" s="370"/>
      <c r="L166" s="370"/>
      <c r="M166" s="113">
        <f>'Saisie données stocks'!L170</f>
        <v>30</v>
      </c>
      <c r="N166" s="300">
        <f>'Saisie données stocks'!M170</f>
        <v>0</v>
      </c>
      <c r="O166" s="231" t="e">
        <f>'Calculs dispo Données FA'!Q224</f>
        <v>#DIV/0!</v>
      </c>
      <c r="P166" s="235" t="e">
        <f>'Calculs dispo Données FA'!R224</f>
        <v>#DIV/0!</v>
      </c>
      <c r="Q166" s="240" t="e">
        <f>'Calculs dispo Données FA'!S224</f>
        <v>#DIV/0!</v>
      </c>
      <c r="R166" s="245" t="e">
        <f>'Calculs dispo Données FA'!T224</f>
        <v>#DIV/0!</v>
      </c>
      <c r="S166" s="246" t="e">
        <f>'Calculs dispo Données FA'!U224</f>
        <v>#DIV/0!</v>
      </c>
      <c r="U166" s="231" t="str">
        <f>'Calculs dispo Données FA'!W224</f>
        <v/>
      </c>
      <c r="V166" s="235" t="str">
        <f>'Calculs dispo Données FA'!X224</f>
        <v/>
      </c>
      <c r="W166" s="240" t="str">
        <f>'Calculs dispo Données FA'!Y224</f>
        <v/>
      </c>
      <c r="X166" s="245" t="str">
        <f>'Calculs dispo Données FA'!Z224</f>
        <v/>
      </c>
      <c r="Y166" s="246" t="str">
        <f>'Calculs dispo Données FA'!AA224</f>
        <v/>
      </c>
      <c r="AA166" s="231"/>
      <c r="AB166" s="559"/>
      <c r="AC166" s="560"/>
      <c r="AD166" s="561"/>
      <c r="AE166" s="562"/>
      <c r="AF166"/>
      <c r="AG166" s="231"/>
      <c r="AH166" s="559"/>
      <c r="AI166" s="560"/>
      <c r="AJ166" s="561"/>
      <c r="AK166" s="562"/>
    </row>
    <row r="167" spans="3:37" s="358" customFormat="1" x14ac:dyDescent="0.2">
      <c r="C167" s="374"/>
      <c r="D167" s="375"/>
      <c r="E167" s="376"/>
      <c r="F167" s="377"/>
      <c r="G167" s="377"/>
      <c r="H167" s="378"/>
      <c r="I167" s="378"/>
      <c r="J167" s="378"/>
      <c r="K167" s="378"/>
      <c r="L167" s="378"/>
      <c r="M167" s="114"/>
      <c r="N167" s="308"/>
      <c r="O167" s="231"/>
      <c r="P167" s="555"/>
      <c r="Q167" s="556"/>
      <c r="R167" s="557"/>
      <c r="S167" s="558"/>
      <c r="T167" s="500"/>
      <c r="U167" s="231"/>
      <c r="V167" s="555"/>
      <c r="W167" s="556"/>
      <c r="X167" s="557"/>
      <c r="Y167" s="558"/>
      <c r="AA167" s="231" t="e">
        <f>'Calculs dispo Données conso'!Q226</f>
        <v>#DIV/0!</v>
      </c>
      <c r="AB167" s="236" t="e">
        <f>'Calculs dispo Données conso'!R226</f>
        <v>#DIV/0!</v>
      </c>
      <c r="AC167" s="241" t="e">
        <f>'Calculs dispo Données conso'!S226</f>
        <v>#DIV/0!</v>
      </c>
      <c r="AD167" s="247" t="e">
        <f>'Calculs dispo Données conso'!T226</f>
        <v>#DIV/0!</v>
      </c>
      <c r="AE167" s="248" t="e">
        <f>'Calculs dispo Données conso'!U226</f>
        <v>#DIV/0!</v>
      </c>
      <c r="AF167"/>
      <c r="AG167" s="231" t="str">
        <f>'Calculs dispo Données conso'!W226</f>
        <v/>
      </c>
      <c r="AH167" s="236" t="str">
        <f>'Calculs dispo Données conso'!X226</f>
        <v/>
      </c>
      <c r="AI167" s="241" t="str">
        <f>'Calculs dispo Données conso'!Y226</f>
        <v/>
      </c>
      <c r="AJ167" s="247" t="str">
        <f>'Calculs dispo Données conso'!Z226</f>
        <v/>
      </c>
      <c r="AK167" s="248" t="str">
        <f>'Calculs dispo Données conso'!AA226</f>
        <v/>
      </c>
    </row>
    <row r="168" spans="3:37" s="358" customFormat="1" x14ac:dyDescent="0.2">
      <c r="C168" s="374"/>
      <c r="D168" s="375"/>
      <c r="E168" s="376" t="s">
        <v>82</v>
      </c>
      <c r="F168" s="377" t="str">
        <f>'TRAD-Calculs dispo confrontatio'!B41</f>
        <v>sol buv</v>
      </c>
      <c r="G168" s="377" t="s">
        <v>80</v>
      </c>
      <c r="H168" s="378" t="s">
        <v>83</v>
      </c>
      <c r="I168" s="378" t="str">
        <f t="shared" si="63"/>
        <v>D4T - 10 mg/mL - Fl/30mL</v>
      </c>
      <c r="J168" s="378"/>
      <c r="K168" s="378"/>
      <c r="L168" s="378"/>
      <c r="M168" s="114">
        <f>'Saisie données stocks'!L171</f>
        <v>30</v>
      </c>
      <c r="N168" s="308">
        <f>'Saisie données stocks'!M171</f>
        <v>0</v>
      </c>
      <c r="O168" s="231" t="e">
        <f>'Calculs dispo Données FA'!Q225</f>
        <v>#DIV/0!</v>
      </c>
      <c r="P168" s="236" t="e">
        <f>'Calculs dispo Données FA'!R225</f>
        <v>#DIV/0!</v>
      </c>
      <c r="Q168" s="241" t="e">
        <f>'Calculs dispo Données FA'!S225</f>
        <v>#DIV/0!</v>
      </c>
      <c r="R168" s="247" t="e">
        <f>'Calculs dispo Données FA'!T225</f>
        <v>#DIV/0!</v>
      </c>
      <c r="S168" s="248" t="e">
        <f>'Calculs dispo Données FA'!U225</f>
        <v>#DIV/0!</v>
      </c>
      <c r="U168" s="231" t="str">
        <f>'Calculs dispo Données FA'!W225</f>
        <v/>
      </c>
      <c r="V168" s="236" t="str">
        <f>'Calculs dispo Données FA'!X225</f>
        <v/>
      </c>
      <c r="W168" s="241" t="str">
        <f>'Calculs dispo Données FA'!Y225</f>
        <v/>
      </c>
      <c r="X168" s="247" t="str">
        <f>'Calculs dispo Données FA'!Z225</f>
        <v/>
      </c>
      <c r="Y168" s="248" t="str">
        <f>'Calculs dispo Données FA'!AA225</f>
        <v/>
      </c>
      <c r="AA168" s="231"/>
      <c r="AB168" s="555"/>
      <c r="AC168" s="556"/>
      <c r="AD168" s="557"/>
      <c r="AE168" s="558"/>
      <c r="AF168"/>
      <c r="AG168" s="231"/>
      <c r="AH168" s="555"/>
      <c r="AI168" s="556"/>
      <c r="AJ168" s="557"/>
      <c r="AK168" s="558"/>
    </row>
    <row r="169" spans="3:37" s="358" customFormat="1" x14ac:dyDescent="0.2">
      <c r="C169" s="374"/>
      <c r="D169" s="375"/>
      <c r="E169" s="376"/>
      <c r="F169" s="377"/>
      <c r="G169" s="377"/>
      <c r="H169" s="378"/>
      <c r="I169" s="378"/>
      <c r="J169" s="378"/>
      <c r="K169" s="378"/>
      <c r="L169" s="378"/>
      <c r="M169" s="114"/>
      <c r="N169" s="308"/>
      <c r="O169" s="231"/>
      <c r="P169" s="555"/>
      <c r="Q169" s="556"/>
      <c r="R169" s="557"/>
      <c r="S169" s="558"/>
      <c r="U169" s="231"/>
      <c r="V169" s="555"/>
      <c r="W169" s="556"/>
      <c r="X169" s="557"/>
      <c r="Y169" s="558"/>
      <c r="AA169" s="231" t="e">
        <f>'Calculs dispo Données conso'!Q227</f>
        <v>#DIV/0!</v>
      </c>
      <c r="AB169" s="236" t="e">
        <f>'Calculs dispo Données conso'!R227</f>
        <v>#DIV/0!</v>
      </c>
      <c r="AC169" s="241" t="e">
        <f>'Calculs dispo Données conso'!S227</f>
        <v>#DIV/0!</v>
      </c>
      <c r="AD169" s="247" t="e">
        <f>'Calculs dispo Données conso'!T227</f>
        <v>#DIV/0!</v>
      </c>
      <c r="AE169" s="248" t="e">
        <f>'Calculs dispo Données conso'!U227</f>
        <v>#DIV/0!</v>
      </c>
      <c r="AF169"/>
      <c r="AG169" s="231" t="str">
        <f>'Calculs dispo Données conso'!W227</f>
        <v/>
      </c>
      <c r="AH169" s="236" t="str">
        <f>'Calculs dispo Données conso'!X227</f>
        <v/>
      </c>
      <c r="AI169" s="241" t="str">
        <f>'Calculs dispo Données conso'!Y227</f>
        <v/>
      </c>
      <c r="AJ169" s="247" t="str">
        <f>'Calculs dispo Données conso'!Z227</f>
        <v/>
      </c>
      <c r="AK169" s="248" t="str">
        <f>'Calculs dispo Données conso'!AA227</f>
        <v/>
      </c>
    </row>
    <row r="170" spans="3:37" s="358" customFormat="1" x14ac:dyDescent="0.2">
      <c r="C170" s="374"/>
      <c r="D170" s="375"/>
      <c r="E170" s="382" t="s">
        <v>34</v>
      </c>
      <c r="F170" s="383" t="str">
        <f>'TRAD-Calculs dispo confrontatio'!B41</f>
        <v>sol buv</v>
      </c>
      <c r="G170" s="383" t="s">
        <v>80</v>
      </c>
      <c r="H170" s="384" t="s">
        <v>84</v>
      </c>
      <c r="I170" s="384" t="str">
        <f t="shared" si="63"/>
        <v>3TC - 10 mg/mL - Fl/120mL</v>
      </c>
      <c r="J170" s="384"/>
      <c r="K170" s="384"/>
      <c r="L170" s="384"/>
      <c r="M170" s="115">
        <f>'Saisie données stocks'!L172</f>
        <v>120</v>
      </c>
      <c r="N170" s="304">
        <f>'Saisie données stocks'!M172</f>
        <v>0</v>
      </c>
      <c r="O170" s="231" t="e">
        <f>'Calculs dispo Données FA'!Q226</f>
        <v>#DIV/0!</v>
      </c>
      <c r="P170" s="237" t="e">
        <f>'Calculs dispo Données FA'!R226</f>
        <v>#DIV/0!</v>
      </c>
      <c r="Q170" s="242" t="e">
        <f>'Calculs dispo Données FA'!S226</f>
        <v>#DIV/0!</v>
      </c>
      <c r="R170" s="249" t="e">
        <f>'Calculs dispo Données FA'!T226</f>
        <v>#DIV/0!</v>
      </c>
      <c r="S170" s="250" t="e">
        <f>'Calculs dispo Données FA'!U226</f>
        <v>#DIV/0!</v>
      </c>
      <c r="U170" s="231" t="str">
        <f>'Calculs dispo Données FA'!W226</f>
        <v/>
      </c>
      <c r="V170" s="237" t="str">
        <f>'Calculs dispo Données FA'!X226</f>
        <v/>
      </c>
      <c r="W170" s="242" t="str">
        <f>'Calculs dispo Données FA'!Y226</f>
        <v/>
      </c>
      <c r="X170" s="249" t="str">
        <f>'Calculs dispo Données FA'!Z226</f>
        <v/>
      </c>
      <c r="Y170" s="250" t="str">
        <f>'Calculs dispo Données FA'!AA226</f>
        <v/>
      </c>
      <c r="AA170" s="231"/>
      <c r="AB170" s="563"/>
      <c r="AC170" s="564"/>
      <c r="AD170" s="565"/>
      <c r="AE170" s="566"/>
      <c r="AF170"/>
      <c r="AG170" s="231"/>
      <c r="AH170" s="563"/>
      <c r="AI170" s="564"/>
      <c r="AJ170" s="565"/>
      <c r="AK170" s="566"/>
    </row>
    <row r="171" spans="3:37" s="358" customFormat="1" x14ac:dyDescent="0.2">
      <c r="C171" s="374"/>
      <c r="D171" s="375"/>
      <c r="E171" s="376"/>
      <c r="F171" s="377"/>
      <c r="G171" s="377"/>
      <c r="H171" s="378"/>
      <c r="I171" s="378"/>
      <c r="J171" s="378"/>
      <c r="K171" s="378"/>
      <c r="L171" s="378"/>
      <c r="M171" s="114"/>
      <c r="N171" s="308"/>
      <c r="O171" s="231"/>
      <c r="P171" s="555"/>
      <c r="Q171" s="556"/>
      <c r="R171" s="557"/>
      <c r="S171" s="558"/>
      <c r="U171" s="231"/>
      <c r="V171" s="555"/>
      <c r="W171" s="556"/>
      <c r="X171" s="557"/>
      <c r="Y171" s="558"/>
      <c r="AA171" s="231" t="e">
        <f>'Calculs dispo Données conso'!Q228</f>
        <v>#DIV/0!</v>
      </c>
      <c r="AB171" s="236" t="e">
        <f>'Calculs dispo Données conso'!R228</f>
        <v>#DIV/0!</v>
      </c>
      <c r="AC171" s="241" t="e">
        <f>'Calculs dispo Données conso'!S228</f>
        <v>#DIV/0!</v>
      </c>
      <c r="AD171" s="247" t="e">
        <f>'Calculs dispo Données conso'!T228</f>
        <v>#DIV/0!</v>
      </c>
      <c r="AE171" s="248" t="e">
        <f>'Calculs dispo Données conso'!U228</f>
        <v>#DIV/0!</v>
      </c>
      <c r="AF171"/>
      <c r="AG171" s="231" t="str">
        <f>'Calculs dispo Données conso'!W228</f>
        <v/>
      </c>
      <c r="AH171" s="236" t="str">
        <f>'Calculs dispo Données conso'!X228</f>
        <v/>
      </c>
      <c r="AI171" s="241" t="str">
        <f>'Calculs dispo Données conso'!Y228</f>
        <v/>
      </c>
      <c r="AJ171" s="247" t="str">
        <f>'Calculs dispo Données conso'!Z228</f>
        <v/>
      </c>
      <c r="AK171" s="248" t="str">
        <f>'Calculs dispo Données conso'!AA228</f>
        <v/>
      </c>
    </row>
    <row r="172" spans="3:37" s="358" customFormat="1" x14ac:dyDescent="0.2">
      <c r="C172" s="374"/>
      <c r="D172" s="407"/>
      <c r="E172" s="376" t="s">
        <v>36</v>
      </c>
      <c r="F172" s="377" t="str">
        <f>'TRAD-Calculs dispo confrontatio'!B41</f>
        <v>sol buv</v>
      </c>
      <c r="G172" s="377" t="s">
        <v>88</v>
      </c>
      <c r="H172" s="378" t="s">
        <v>89</v>
      </c>
      <c r="I172" s="378" t="str">
        <f t="shared" si="63"/>
        <v>ABC - 20 mg/mL - Fl/180mL</v>
      </c>
      <c r="J172" s="378"/>
      <c r="K172" s="378"/>
      <c r="L172" s="378"/>
      <c r="M172" s="114">
        <f>'Saisie données stocks'!L176</f>
        <v>180</v>
      </c>
      <c r="N172" s="308">
        <f>'Saisie données stocks'!M176</f>
        <v>0</v>
      </c>
      <c r="O172" s="231" t="e">
        <f>'Calculs dispo Données FA'!Q227</f>
        <v>#DIV/0!</v>
      </c>
      <c r="P172" s="236" t="e">
        <f>'Calculs dispo Données FA'!R227</f>
        <v>#DIV/0!</v>
      </c>
      <c r="Q172" s="241" t="e">
        <f>'Calculs dispo Données FA'!S227</f>
        <v>#DIV/0!</v>
      </c>
      <c r="R172" s="247" t="e">
        <f>'Calculs dispo Données FA'!T227</f>
        <v>#DIV/0!</v>
      </c>
      <c r="S172" s="248" t="e">
        <f>'Calculs dispo Données FA'!U227</f>
        <v>#DIV/0!</v>
      </c>
      <c r="U172" s="231" t="str">
        <f>'Calculs dispo Données FA'!W227</f>
        <v/>
      </c>
      <c r="V172" s="236" t="str">
        <f>'Calculs dispo Données FA'!X227</f>
        <v/>
      </c>
      <c r="W172" s="241" t="str">
        <f>'Calculs dispo Données FA'!Y227</f>
        <v/>
      </c>
      <c r="X172" s="247" t="str">
        <f>'Calculs dispo Données FA'!Z227</f>
        <v/>
      </c>
      <c r="Y172" s="248" t="str">
        <f>'Calculs dispo Données FA'!AA227</f>
        <v/>
      </c>
      <c r="AA172" s="231"/>
      <c r="AB172" s="555"/>
      <c r="AC172" s="556"/>
      <c r="AD172" s="557"/>
      <c r="AE172" s="558"/>
      <c r="AF172"/>
      <c r="AG172" s="231"/>
      <c r="AH172" s="555"/>
      <c r="AI172" s="556"/>
      <c r="AJ172" s="557"/>
      <c r="AK172" s="558"/>
    </row>
    <row r="173" spans="3:37" s="358" customFormat="1" x14ac:dyDescent="0.2">
      <c r="C173" s="374"/>
      <c r="D173" s="375"/>
      <c r="E173" s="376"/>
      <c r="F173" s="377"/>
      <c r="G173" s="377"/>
      <c r="H173" s="378"/>
      <c r="I173" s="378"/>
      <c r="J173" s="378"/>
      <c r="K173" s="378"/>
      <c r="L173" s="378"/>
      <c r="M173" s="114"/>
      <c r="N173" s="308"/>
      <c r="O173" s="539"/>
      <c r="P173" s="595"/>
      <c r="Q173" s="596"/>
      <c r="R173" s="597"/>
      <c r="S173" s="598"/>
      <c r="U173" s="539"/>
      <c r="V173" s="595"/>
      <c r="W173" s="596"/>
      <c r="X173" s="597"/>
      <c r="Y173" s="598"/>
      <c r="AA173" s="539" t="e">
        <f>'Calculs dispo Données conso'!Q229</f>
        <v>#DIV/0!</v>
      </c>
      <c r="AB173" s="543" t="e">
        <f>'Calculs dispo Données conso'!R229</f>
        <v>#DIV/0!</v>
      </c>
      <c r="AC173" s="540" t="e">
        <f>'Calculs dispo Données conso'!S229</f>
        <v>#DIV/0!</v>
      </c>
      <c r="AD173" s="541" t="e">
        <f>'Calculs dispo Données conso'!T229</f>
        <v>#DIV/0!</v>
      </c>
      <c r="AE173" s="542" t="e">
        <f>'Calculs dispo Données conso'!U229</f>
        <v>#DIV/0!</v>
      </c>
      <c r="AF173"/>
      <c r="AG173" s="539" t="str">
        <f>'Calculs dispo Données conso'!W229</f>
        <v/>
      </c>
      <c r="AH173" s="543" t="str">
        <f>'Calculs dispo Données conso'!X229</f>
        <v/>
      </c>
      <c r="AI173" s="540" t="str">
        <f>'Calculs dispo Données conso'!Y229</f>
        <v/>
      </c>
      <c r="AJ173" s="541" t="str">
        <f>'Calculs dispo Données conso'!Z229</f>
        <v/>
      </c>
      <c r="AK173" s="542" t="str">
        <f>'Calculs dispo Données conso'!AA229</f>
        <v/>
      </c>
    </row>
    <row r="174" spans="3:37" s="358" customFormat="1" x14ac:dyDescent="0.2">
      <c r="C174" s="374"/>
      <c r="D174" s="375"/>
      <c r="E174" s="534" t="s">
        <v>37</v>
      </c>
      <c r="F174" s="535" t="str">
        <f>'TRAD-Calculs dispo confrontatio'!B43</f>
        <v>pdre buv</v>
      </c>
      <c r="G174" s="535" t="s">
        <v>91</v>
      </c>
      <c r="H174" s="544" t="s">
        <v>92</v>
      </c>
      <c r="I174" s="544" t="str">
        <f t="shared" si="63"/>
        <v>DDI - 2 g - Fl/120mL</v>
      </c>
      <c r="J174" s="544"/>
      <c r="K174" s="544"/>
      <c r="L174" s="544"/>
      <c r="M174" s="537">
        <f>'Saisie données stocks'!L178</f>
        <v>120</v>
      </c>
      <c r="N174" s="549">
        <f>'Saisie données stocks'!M178</f>
        <v>0</v>
      </c>
      <c r="O174" s="232" t="e">
        <f>'Calculs dispo Données FA'!Q228</f>
        <v>#DIV/0!</v>
      </c>
      <c r="P174" s="237" t="e">
        <f>'Calculs dispo Données FA'!R228</f>
        <v>#DIV/0!</v>
      </c>
      <c r="Q174" s="242" t="e">
        <f>'Calculs dispo Données FA'!S228</f>
        <v>#DIV/0!</v>
      </c>
      <c r="R174" s="249" t="e">
        <f>'Calculs dispo Données FA'!T228</f>
        <v>#DIV/0!</v>
      </c>
      <c r="S174" s="250" t="e">
        <f>'Calculs dispo Données FA'!U228</f>
        <v>#DIV/0!</v>
      </c>
      <c r="U174" s="232" t="str">
        <f>'Calculs dispo Données FA'!W228</f>
        <v/>
      </c>
      <c r="V174" s="237" t="str">
        <f>'Calculs dispo Données FA'!X228</f>
        <v/>
      </c>
      <c r="W174" s="242" t="str">
        <f>'Calculs dispo Données FA'!Y228</f>
        <v/>
      </c>
      <c r="X174" s="249" t="str">
        <f>'Calculs dispo Données FA'!Z228</f>
        <v/>
      </c>
      <c r="Y174" s="250" t="str">
        <f>'Calculs dispo Données FA'!AA228</f>
        <v/>
      </c>
      <c r="AA174" s="232"/>
      <c r="AB174" s="563"/>
      <c r="AC174" s="564"/>
      <c r="AD174" s="565"/>
      <c r="AE174" s="566"/>
      <c r="AF174"/>
      <c r="AG174" s="232"/>
      <c r="AH174" s="563"/>
      <c r="AI174" s="564"/>
      <c r="AJ174" s="565"/>
      <c r="AK174" s="566"/>
    </row>
    <row r="175" spans="3:37" s="358" customFormat="1" x14ac:dyDescent="0.2">
      <c r="C175" s="374"/>
      <c r="D175" s="389"/>
      <c r="E175" s="390"/>
      <c r="F175" s="391"/>
      <c r="G175" s="391"/>
      <c r="H175" s="401"/>
      <c r="I175" s="401"/>
      <c r="J175" s="401"/>
      <c r="K175" s="401"/>
      <c r="L175" s="401"/>
      <c r="M175" s="116"/>
      <c r="N175" s="311"/>
      <c r="O175" s="539"/>
      <c r="P175" s="595"/>
      <c r="Q175" s="596"/>
      <c r="R175" s="597"/>
      <c r="S175" s="598"/>
      <c r="U175" s="539"/>
      <c r="V175" s="595"/>
      <c r="W175" s="596"/>
      <c r="X175" s="597"/>
      <c r="Y175" s="598"/>
      <c r="AA175" s="539" t="e">
        <f>'Calculs dispo Données conso'!Q230</f>
        <v>#DIV/0!</v>
      </c>
      <c r="AB175" s="543" t="e">
        <f>'Calculs dispo Données conso'!R230</f>
        <v>#DIV/0!</v>
      </c>
      <c r="AC175" s="540" t="e">
        <f>'Calculs dispo Données conso'!S230</f>
        <v>#DIV/0!</v>
      </c>
      <c r="AD175" s="541" t="e">
        <f>'Calculs dispo Données conso'!T230</f>
        <v>#DIV/0!</v>
      </c>
      <c r="AE175" s="542" t="e">
        <f>'Calculs dispo Données conso'!U230</f>
        <v>#DIV/0!</v>
      </c>
      <c r="AF175"/>
      <c r="AG175" s="539" t="str">
        <f>'Calculs dispo Données conso'!W230</f>
        <v/>
      </c>
      <c r="AH175" s="543" t="str">
        <f>'Calculs dispo Données conso'!X230</f>
        <v/>
      </c>
      <c r="AI175" s="540" t="str">
        <f>'Calculs dispo Données conso'!Y230</f>
        <v/>
      </c>
      <c r="AJ175" s="541" t="str">
        <f>'Calculs dispo Données conso'!Z230</f>
        <v/>
      </c>
      <c r="AK175" s="542" t="str">
        <f>'Calculs dispo Données conso'!AA230</f>
        <v/>
      </c>
    </row>
    <row r="176" spans="3:37" s="358" customFormat="1" x14ac:dyDescent="0.2">
      <c r="C176" s="374"/>
      <c r="D176" s="375" t="s">
        <v>26</v>
      </c>
      <c r="E176" s="376" t="s">
        <v>29</v>
      </c>
      <c r="F176" s="377" t="str">
        <f>'TRAD-Calculs dispo confrontatio'!B41</f>
        <v>sol buv</v>
      </c>
      <c r="G176" s="377" t="s">
        <v>80</v>
      </c>
      <c r="H176" s="378" t="s">
        <v>85</v>
      </c>
      <c r="I176" s="378" t="str">
        <f t="shared" si="63"/>
        <v>NVP - 10 mg/mL - Fl/30mL</v>
      </c>
      <c r="J176" s="378"/>
      <c r="K176" s="378"/>
      <c r="L176" s="378"/>
      <c r="M176" s="114">
        <f>'Saisie données stocks'!L174</f>
        <v>30</v>
      </c>
      <c r="N176" s="308">
        <f>'Saisie données stocks'!M174</f>
        <v>0</v>
      </c>
      <c r="O176" s="617" t="e">
        <f>'Calculs dispo Données FA'!Q229</f>
        <v>#DIV/0!</v>
      </c>
      <c r="P176" s="574" t="e">
        <f>'Calculs dispo Données FA'!R229</f>
        <v>#DIV/0!</v>
      </c>
      <c r="Q176" s="630" t="e">
        <f>'Calculs dispo Données FA'!S229</f>
        <v>#DIV/0!</v>
      </c>
      <c r="R176" s="628" t="e">
        <f>'Calculs dispo Données FA'!T229</f>
        <v>#DIV/0!</v>
      </c>
      <c r="S176" s="631" t="e">
        <f>'Calculs dispo Données FA'!U229</f>
        <v>#DIV/0!</v>
      </c>
      <c r="U176" s="617" t="str">
        <f>'Calculs dispo Données FA'!W229</f>
        <v/>
      </c>
      <c r="V176" s="574" t="str">
        <f>'Calculs dispo Données FA'!X229</f>
        <v/>
      </c>
      <c r="W176" s="630" t="str">
        <f>'Calculs dispo Données FA'!Y229</f>
        <v/>
      </c>
      <c r="X176" s="628" t="str">
        <f>'Calculs dispo Données FA'!Z229</f>
        <v/>
      </c>
      <c r="Y176" s="631" t="str">
        <f>'Calculs dispo Données FA'!AA229</f>
        <v>3990B &amp; conso =0</v>
      </c>
      <c r="AA176" s="617"/>
      <c r="AB176" s="618"/>
      <c r="AC176" s="641"/>
      <c r="AD176" s="642"/>
      <c r="AE176" s="644"/>
      <c r="AF176"/>
      <c r="AG176" s="617"/>
      <c r="AH176" s="618"/>
      <c r="AI176" s="641"/>
      <c r="AJ176" s="642"/>
      <c r="AK176" s="644"/>
    </row>
    <row r="177" spans="2:65" s="358" customFormat="1" x14ac:dyDescent="0.2">
      <c r="C177" s="374"/>
      <c r="D177" s="375"/>
      <c r="E177" s="376"/>
      <c r="F177" s="377"/>
      <c r="G177" s="377"/>
      <c r="H177" s="378"/>
      <c r="I177" s="378"/>
      <c r="J177" s="378"/>
      <c r="K177" s="378"/>
      <c r="L177" s="378"/>
      <c r="M177" s="114"/>
      <c r="N177" s="308"/>
      <c r="O177" s="232"/>
      <c r="P177" s="563"/>
      <c r="Q177" s="564"/>
      <c r="R177" s="565"/>
      <c r="S177" s="566"/>
      <c r="U177" s="232"/>
      <c r="V177" s="563"/>
      <c r="W177" s="564"/>
      <c r="X177" s="565"/>
      <c r="Y177" s="566"/>
      <c r="AA177" s="232">
        <f>'Calculs dispo Données conso'!Q231</f>
        <v>4.8072289156626509</v>
      </c>
      <c r="AB177" s="237">
        <f>'Calculs dispo Données conso'!R231</f>
        <v>1.8072289156626509</v>
      </c>
      <c r="AC177" s="242">
        <f>'Calculs dispo Données conso'!S231</f>
        <v>3</v>
      </c>
      <c r="AD177" s="249">
        <f>'Calculs dispo Données conso'!T231</f>
        <v>41973.216867469877</v>
      </c>
      <c r="AE177" s="250">
        <f>'Calculs dispo Données conso'!U231</f>
        <v>42063.216867469877</v>
      </c>
      <c r="AF177"/>
      <c r="AG177" s="232">
        <f>'Calculs dispo Données conso'!W231</f>
        <v>4.8072289156626509</v>
      </c>
      <c r="AH177" s="237">
        <f>'Calculs dispo Données conso'!X231</f>
        <v>1.8072289156626509</v>
      </c>
      <c r="AI177" s="242">
        <f>'Calculs dispo Données conso'!Y231</f>
        <v>3</v>
      </c>
      <c r="AJ177" s="249">
        <f>'Calculs dispo Données conso'!Z231</f>
        <v>41973.216867469877</v>
      </c>
      <c r="AK177" s="250">
        <f>'Calculs dispo Données conso'!AA231</f>
        <v>42063.216867469877</v>
      </c>
    </row>
    <row r="178" spans="2:65" s="358" customFormat="1" x14ac:dyDescent="0.2">
      <c r="C178" s="374"/>
      <c r="D178" s="375"/>
      <c r="E178" s="534" t="s">
        <v>27</v>
      </c>
      <c r="F178" s="535" t="str">
        <f>'TRAD-Calculs dispo confrontatio'!B41</f>
        <v>sol buv</v>
      </c>
      <c r="G178" s="535" t="s">
        <v>86</v>
      </c>
      <c r="H178" s="544" t="s">
        <v>87</v>
      </c>
      <c r="I178" s="544" t="str">
        <f t="shared" si="63"/>
        <v>EFV - 30 mg/mL - Fl/60mL</v>
      </c>
      <c r="J178" s="544"/>
      <c r="K178" s="544"/>
      <c r="L178" s="544"/>
      <c r="M178" s="537">
        <f>'Saisie données stocks'!L177</f>
        <v>60</v>
      </c>
      <c r="N178" s="549">
        <f>'Saisie données stocks'!M177</f>
        <v>0</v>
      </c>
      <c r="O178" s="232" t="e">
        <f>'Calculs dispo Données FA'!Q230</f>
        <v>#DIV/0!</v>
      </c>
      <c r="P178" s="237" t="e">
        <f>'Calculs dispo Données FA'!R230</f>
        <v>#DIV/0!</v>
      </c>
      <c r="Q178" s="242" t="e">
        <f>'Calculs dispo Données FA'!S230</f>
        <v>#DIV/0!</v>
      </c>
      <c r="R178" s="249" t="e">
        <f>'Calculs dispo Données FA'!T230</f>
        <v>#DIV/0!</v>
      </c>
      <c r="S178" s="250" t="e">
        <f>'Calculs dispo Données FA'!U230</f>
        <v>#DIV/0!</v>
      </c>
      <c r="U178" s="232" t="str">
        <f>'Calculs dispo Données FA'!W230</f>
        <v/>
      </c>
      <c r="V178" s="237" t="str">
        <f>'Calculs dispo Données FA'!X230</f>
        <v/>
      </c>
      <c r="W178" s="242" t="str">
        <f>'Calculs dispo Données FA'!Y230</f>
        <v/>
      </c>
      <c r="X178" s="249" t="str">
        <f>'Calculs dispo Données FA'!Z230</f>
        <v/>
      </c>
      <c r="Y178" s="250" t="str">
        <f>'Calculs dispo Données FA'!AA230</f>
        <v/>
      </c>
      <c r="AA178" s="232"/>
      <c r="AB178" s="563"/>
      <c r="AC178" s="564"/>
      <c r="AD178" s="565"/>
      <c r="AE178" s="566"/>
      <c r="AF178"/>
      <c r="AG178" s="232"/>
      <c r="AH178" s="563"/>
      <c r="AI178" s="564"/>
      <c r="AJ178" s="565"/>
      <c r="AK178" s="566"/>
    </row>
    <row r="179" spans="2:65" s="358" customFormat="1" x14ac:dyDescent="0.2">
      <c r="C179" s="374"/>
      <c r="D179" s="609"/>
      <c r="E179" s="390"/>
      <c r="F179" s="391"/>
      <c r="G179" s="391"/>
      <c r="H179" s="401"/>
      <c r="I179" s="401"/>
      <c r="J179" s="401"/>
      <c r="K179" s="401"/>
      <c r="L179" s="401"/>
      <c r="M179" s="116"/>
      <c r="N179" s="311"/>
      <c r="O179" s="624"/>
      <c r="P179" s="629"/>
      <c r="Q179" s="621"/>
      <c r="R179" s="622"/>
      <c r="S179" s="623"/>
      <c r="U179" s="624"/>
      <c r="V179" s="629"/>
      <c r="W179" s="621"/>
      <c r="X179" s="622"/>
      <c r="Y179" s="623"/>
      <c r="AA179" s="624" t="e">
        <f>'Calculs dispo Données conso'!Q232</f>
        <v>#DIV/0!</v>
      </c>
      <c r="AB179" s="625" t="e">
        <f>'Calculs dispo Données conso'!R232</f>
        <v>#DIV/0!</v>
      </c>
      <c r="AC179" s="632" t="e">
        <f>'Calculs dispo Données conso'!S232</f>
        <v>#DIV/0!</v>
      </c>
      <c r="AD179" s="626" t="e">
        <f>'Calculs dispo Données conso'!T232</f>
        <v>#DIV/0!</v>
      </c>
      <c r="AE179" s="627" t="e">
        <f>'Calculs dispo Données conso'!U232</f>
        <v>#DIV/0!</v>
      </c>
      <c r="AF179"/>
      <c r="AG179" s="624" t="str">
        <f>'Calculs dispo Données conso'!W232</f>
        <v/>
      </c>
      <c r="AH179" s="625" t="str">
        <f>'Calculs dispo Données conso'!X232</f>
        <v/>
      </c>
      <c r="AI179" s="632" t="str">
        <f>'Calculs dispo Données conso'!Y232</f>
        <v/>
      </c>
      <c r="AJ179" s="626" t="str">
        <f>'Calculs dispo Données conso'!Z232</f>
        <v/>
      </c>
      <c r="AK179" s="627" t="str">
        <f>'Calculs dispo Données conso'!AA232</f>
        <v/>
      </c>
    </row>
    <row r="180" spans="2:65" s="358" customFormat="1" ht="25.5" x14ac:dyDescent="0.2">
      <c r="C180" s="374"/>
      <c r="D180" s="610" t="s">
        <v>41</v>
      </c>
      <c r="E180" s="376" t="s">
        <v>42</v>
      </c>
      <c r="F180" s="377" t="str">
        <f>'TRAD-Calculs dispo confrontatio'!B41</f>
        <v>sol buv</v>
      </c>
      <c r="G180" s="377" t="s">
        <v>93</v>
      </c>
      <c r="H180" s="378" t="s">
        <v>94</v>
      </c>
      <c r="I180" s="378" t="str">
        <f t="shared" si="63"/>
        <v>LPV/r - 80/20 mg/mL - Fl/84mL</v>
      </c>
      <c r="J180" s="378"/>
      <c r="K180" s="378"/>
      <c r="L180" s="378"/>
      <c r="M180" s="114">
        <f>'Saisie données stocks'!L179</f>
        <v>84</v>
      </c>
      <c r="N180" s="308">
        <f>'Saisie données stocks'!M179</f>
        <v>0</v>
      </c>
      <c r="O180" s="617" t="e">
        <f>'Calculs dispo Données FA'!Q231</f>
        <v>#DIV/0!</v>
      </c>
      <c r="P180" s="574" t="e">
        <f>'Calculs dispo Données FA'!R231</f>
        <v>#DIV/0!</v>
      </c>
      <c r="Q180" s="630" t="e">
        <f>'Calculs dispo Données FA'!S231</f>
        <v>#DIV/0!</v>
      </c>
      <c r="R180" s="628" t="e">
        <f>'Calculs dispo Données FA'!T231</f>
        <v>#DIV/0!</v>
      </c>
      <c r="S180" s="620" t="e">
        <f>'Calculs dispo Données FA'!U231</f>
        <v>#DIV/0!</v>
      </c>
      <c r="U180" s="617" t="str">
        <f>'Calculs dispo Données FA'!W231</f>
        <v/>
      </c>
      <c r="V180" s="574" t="str">
        <f>'Calculs dispo Données FA'!X231</f>
        <v/>
      </c>
      <c r="W180" s="630" t="str">
        <f>'Calculs dispo Données FA'!Y231</f>
        <v/>
      </c>
      <c r="X180" s="628" t="str">
        <f>'Calculs dispo Données FA'!Z231</f>
        <v/>
      </c>
      <c r="Y180" s="620" t="str">
        <f>'Calculs dispo Données FA'!AA231</f>
        <v>2168B &amp; conso =0</v>
      </c>
      <c r="AA180" s="617"/>
      <c r="AB180" s="618"/>
      <c r="AC180" s="641"/>
      <c r="AD180" s="642"/>
      <c r="AE180" s="643"/>
      <c r="AF180"/>
      <c r="AG180" s="617"/>
      <c r="AH180" s="618"/>
      <c r="AI180" s="641"/>
      <c r="AJ180" s="642"/>
      <c r="AK180" s="643"/>
    </row>
    <row r="181" spans="2:65" s="358" customFormat="1" ht="13.5" thickBot="1" x14ac:dyDescent="0.25">
      <c r="C181" s="404"/>
      <c r="D181" s="408"/>
      <c r="E181" s="409"/>
      <c r="F181" s="410"/>
      <c r="G181" s="410"/>
      <c r="H181" s="411"/>
      <c r="I181" s="411"/>
      <c r="J181" s="411"/>
      <c r="K181" s="411"/>
      <c r="L181" s="411"/>
      <c r="M181" s="312"/>
      <c r="N181" s="313"/>
      <c r="O181" s="633"/>
      <c r="P181" s="634"/>
      <c r="Q181" s="615"/>
      <c r="R181" s="636"/>
      <c r="S181" s="637"/>
      <c r="T181" s="635"/>
      <c r="U181" s="633"/>
      <c r="V181" s="634"/>
      <c r="W181" s="615"/>
      <c r="X181" s="636"/>
      <c r="Y181" s="637"/>
      <c r="AA181" s="633">
        <f>'Calculs dispo Données conso'!Q233</f>
        <v>35.540983606557376</v>
      </c>
      <c r="AB181" s="638">
        <f>'Calculs dispo Données conso'!R233</f>
        <v>32.540983606557376</v>
      </c>
      <c r="AC181" s="616">
        <f>'Calculs dispo Données conso'!S233</f>
        <v>3</v>
      </c>
      <c r="AD181" s="639">
        <f>'Calculs dispo Données conso'!T233</f>
        <v>42895.229508196724</v>
      </c>
      <c r="AE181" s="640">
        <f>'Calculs dispo Données conso'!U233</f>
        <v>42985.229508196724</v>
      </c>
      <c r="AF181"/>
      <c r="AG181" s="633">
        <f>'Calculs dispo Données conso'!W233</f>
        <v>35.540983606557376</v>
      </c>
      <c r="AH181" s="638">
        <f>'Calculs dispo Données conso'!X233</f>
        <v>32.540983606557376</v>
      </c>
      <c r="AI181" s="616">
        <f>'Calculs dispo Données conso'!Y233</f>
        <v>3</v>
      </c>
      <c r="AJ181" s="639">
        <f>'Calculs dispo Données conso'!Z233</f>
        <v>42895.229508196724</v>
      </c>
      <c r="AK181" s="640">
        <f>'Calculs dispo Données conso'!AA233</f>
        <v>42985.229508196724</v>
      </c>
    </row>
    <row r="182" spans="2:65" x14ac:dyDescent="0.2">
      <c r="S182" s="361"/>
      <c r="AE182" s="361"/>
    </row>
    <row r="184" spans="2:65" s="358" customFormat="1" ht="14.25" x14ac:dyDescent="0.2">
      <c r="B184" s="359" t="str">
        <f>'TRAD-Calculs dispo confrontatio'!B27</f>
        <v>B. Avec les stocks actuellement disponibles (niveau central &amp; périphériques) &amp; les commandes attendues à cours termes.</v>
      </c>
      <c r="C184" s="359"/>
      <c r="D184" s="359"/>
      <c r="E184" s="359"/>
      <c r="F184" s="359"/>
      <c r="G184" s="359"/>
      <c r="H184" s="359"/>
      <c r="I184" s="359"/>
      <c r="J184" s="359"/>
      <c r="K184" s="359"/>
      <c r="L184" s="359"/>
      <c r="M184" s="359"/>
      <c r="N184" s="359"/>
      <c r="O184" s="360"/>
      <c r="R184" s="361"/>
      <c r="S184" s="361"/>
      <c r="AD184" s="361"/>
      <c r="AE184" s="361"/>
      <c r="AI184" s="500"/>
    </row>
    <row r="185" spans="2:65" ht="13.5" thickBot="1" x14ac:dyDescent="0.25">
      <c r="AF185" s="356"/>
      <c r="AI185" s="499"/>
    </row>
    <row r="186" spans="2:65" ht="13.5" thickBot="1" x14ac:dyDescent="0.25">
      <c r="O186" s="3286" t="str">
        <f>'TRAD-Calculs dispo confrontatio'!B44</f>
        <v>CALCULS avec croissance des besoins / Stocks dispo centraux et périph &amp; commandes</v>
      </c>
      <c r="P186" s="3287"/>
      <c r="Q186" s="3287"/>
      <c r="R186" s="3287"/>
      <c r="S186" s="3287"/>
      <c r="T186" s="3287"/>
      <c r="U186" s="3287"/>
      <c r="V186" s="3287"/>
      <c r="W186" s="3287"/>
      <c r="X186" s="3287"/>
      <c r="Y186" s="3288"/>
      <c r="AA186" s="3286" t="str">
        <f>'TRAD-Calculs dispo confrontatio'!B45</f>
        <v>CALCULS de la période couverte par les commandes seules avec croissance des besoins</v>
      </c>
      <c r="AB186" s="3287"/>
      <c r="AC186" s="3287"/>
      <c r="AD186" s="3287"/>
      <c r="AE186" s="3287"/>
      <c r="AF186" s="3287"/>
      <c r="AG186" s="3287"/>
      <c r="AH186" s="3287"/>
      <c r="AI186" s="3287"/>
      <c r="AJ186" s="3287"/>
      <c r="AK186" s="3287"/>
      <c r="AL186" s="3287"/>
      <c r="AM186" s="3288"/>
      <c r="AO186" s="3286" t="str">
        <f>'TRAD-Calculs dispo confrontatio'!B44</f>
        <v>CALCULS avec croissance des besoins / Stocks dispo centraux et périph &amp; commandes</v>
      </c>
      <c r="AP186" s="3287"/>
      <c r="AQ186" s="3287"/>
      <c r="AR186" s="3287"/>
      <c r="AS186" s="3287"/>
      <c r="AT186" s="3287"/>
      <c r="AU186" s="3287"/>
      <c r="AV186" s="3287"/>
      <c r="AW186" s="3287"/>
      <c r="AX186" s="3287"/>
      <c r="AY186" s="3288"/>
      <c r="BA186" s="3286" t="str">
        <f>'TRAD-Calculs dispo confrontatio'!B45</f>
        <v>CALCULS de la période couverte par les commandes seules avec croissance des besoins</v>
      </c>
      <c r="BB186" s="3287"/>
      <c r="BC186" s="3287"/>
      <c r="BD186" s="3287"/>
      <c r="BE186" s="3287"/>
      <c r="BF186" s="3287"/>
      <c r="BG186" s="3287"/>
      <c r="BH186" s="3287"/>
      <c r="BI186" s="3287"/>
      <c r="BJ186" s="3287"/>
      <c r="BK186" s="3287"/>
      <c r="BL186" s="3287"/>
      <c r="BM186" s="3288"/>
    </row>
    <row r="187" spans="2:65" ht="27" customHeight="1" thickBot="1" x14ac:dyDescent="0.25">
      <c r="P187" s="3289"/>
      <c r="Q187" s="3289"/>
      <c r="R187" s="431"/>
      <c r="T187" s="579" t="str">
        <f>'TRAD-Calculs dispo confrontatio'!B46</f>
        <v>Stocks centraux, périphériques et commandes</v>
      </c>
      <c r="U187" s="3291" t="str">
        <f>'TRAD-Calculs dispo confrontatio'!B47</f>
        <v>Données nettoyées pour représentation graphique</v>
      </c>
      <c r="V187" s="3289"/>
      <c r="W187" s="3289"/>
      <c r="X187" s="3289"/>
      <c r="Y187" s="3292"/>
      <c r="AA187" s="476"/>
      <c r="AD187" s="499"/>
      <c r="AF187" s="356"/>
      <c r="AG187" s="579" t="str">
        <f>'TRAD-Calculs dispo confrontatio'!B46</f>
        <v>Stocks centraux, périphériques et commandes</v>
      </c>
      <c r="AH187" s="3283" t="str">
        <f>'TRAD-Calculs dispo confrontatio'!B47</f>
        <v>Données nettoyées pour représentation graphique</v>
      </c>
      <c r="AI187" s="3284"/>
      <c r="AJ187" s="3284"/>
      <c r="AK187" s="3284"/>
      <c r="AL187" s="3284"/>
      <c r="AM187" s="3285"/>
      <c r="AO187" s="355"/>
      <c r="AP187" s="3289"/>
      <c r="AQ187" s="3289"/>
      <c r="AR187" s="431"/>
      <c r="AS187" s="357"/>
      <c r="AT187" s="579" t="str">
        <f>'TRAD-Calculs dispo confrontatio'!B46</f>
        <v>Stocks centraux, périphériques et commandes</v>
      </c>
      <c r="AU187" s="3291" t="str">
        <f>'TRAD-Calculs dispo confrontatio'!B47</f>
        <v>Données nettoyées pour représentation graphique</v>
      </c>
      <c r="AV187" s="3289"/>
      <c r="AW187" s="3289"/>
      <c r="AX187" s="3289"/>
      <c r="AY187" s="3292"/>
      <c r="BA187" s="476"/>
      <c r="BD187" s="499"/>
      <c r="BE187" s="357"/>
      <c r="BG187" s="579" t="str">
        <f>'TRAD-Calculs dispo confrontatio'!B46</f>
        <v>Stocks centraux, périphériques et commandes</v>
      </c>
      <c r="BH187" s="3283" t="str">
        <f>'TRAD-Calculs dispo confrontatio'!B47</f>
        <v>Données nettoyées pour représentation graphique</v>
      </c>
      <c r="BI187" s="3284"/>
      <c r="BJ187" s="3284"/>
      <c r="BK187" s="3284"/>
      <c r="BL187" s="3284"/>
      <c r="BM187" s="3285"/>
    </row>
    <row r="188" spans="2:65" s="358" customFormat="1" ht="77.25" thickBot="1" x14ac:dyDescent="0.25">
      <c r="C188" s="362" t="str">
        <f>'TRAD-Calculs dispo confrontatio'!B30</f>
        <v>Classe forme galénique</v>
      </c>
      <c r="D188" s="363" t="str">
        <f>'TRAD-Calculs dispo confrontatio'!B31</f>
        <v>Classe thérapeutique</v>
      </c>
      <c r="E188" s="364" t="str">
        <f>'TRAD-Calculs dispo confrontatio'!B5</f>
        <v>Composition</v>
      </c>
      <c r="F188" s="365" t="str">
        <f>'TRAD-Calculs dispo confrontatio'!B6</f>
        <v>Forme galénique</v>
      </c>
      <c r="G188" s="365" t="str">
        <f>'TRAD-Calculs dispo confrontatio'!B7</f>
        <v>Dosage</v>
      </c>
      <c r="H188" s="365" t="str">
        <f>'TRAD-Calculs dispo confrontatio'!B8</f>
        <v>Nom de spécialité</v>
      </c>
      <c r="I188" s="365" t="str">
        <f>'TRAD-Calculs dispo confrontatio'!B9</f>
        <v>Nom pour représentation graphique</v>
      </c>
      <c r="J188" s="365" t="str">
        <f>'TRAD-Calculs dispo confrontatio'!B10</f>
        <v>Nom de générique possible</v>
      </c>
      <c r="K188" s="365" t="str">
        <f>'TRAD-Calculs dispo confrontatio'!B11</f>
        <v>Nb de prise / jour</v>
      </c>
      <c r="L188" s="365" t="str">
        <f>'TRAD-Calculs dispo confrontatio'!B12</f>
        <v>Nb de prise / mois</v>
      </c>
      <c r="M188" s="365" t="str">
        <f>'TRAD-Calculs dispo confrontatio'!B13</f>
        <v>Conditionnement</v>
      </c>
      <c r="N188" s="327" t="str">
        <f>'TRAD-Calculs dispo confrontatio'!B14</f>
        <v>Nb de boites nécessaire pour 1 mois pour 1 patient</v>
      </c>
      <c r="O188" s="347" t="str">
        <f>'TRAD-Calculs dispo confrontatio'!B15</f>
        <v>Nb mois dispo - Données FA</v>
      </c>
      <c r="P188" s="347" t="str">
        <f>'TRAD-Calculs dispo confrontatio'!B16</f>
        <v>Nb mois dispo hors SS - Données FA</v>
      </c>
      <c r="Q188" s="327" t="str">
        <f>'TRAD-Calculs dispo confrontatio'!B17</f>
        <v>Nb mois dispo SS - Données FA</v>
      </c>
      <c r="R188" s="348" t="str">
        <f>'TRAD-Calculs dispo confrontatio'!B18</f>
        <v>Date d'entrée en stock de sécurité</v>
      </c>
      <c r="S188" s="349" t="str">
        <f>'TRAD-Calculs dispo confrontatio'!B19</f>
        <v>Date de rupture attendue</v>
      </c>
      <c r="U188" s="347" t="str">
        <f>'TRAD-Calculs dispo confrontatio'!B15</f>
        <v>Nb mois dispo - Données FA</v>
      </c>
      <c r="V188" s="347" t="str">
        <f>'TRAD-Calculs dispo confrontatio'!B16</f>
        <v>Nb mois dispo hors SS - Données FA</v>
      </c>
      <c r="W188" s="327" t="str">
        <f>'TRAD-Calculs dispo confrontatio'!B17</f>
        <v>Nb mois dispo SS - Données FA</v>
      </c>
      <c r="X188" s="348" t="str">
        <f>'TRAD-Calculs dispo confrontatio'!B18</f>
        <v>Date d'entrée en stock de sécurité</v>
      </c>
      <c r="Y188" s="349" t="str">
        <f>'TRAD-Calculs dispo confrontatio'!B19</f>
        <v>Date de rupture attendue</v>
      </c>
      <c r="AA188" s="347" t="str">
        <f>'TRAD-Calculs dispo confrontatio'!B32</f>
        <v>Nb mois stock / commande attendue - Données FA</v>
      </c>
      <c r="AB188" s="347" t="str">
        <f>'TRAD-Calculs dispo confrontatio'!B33</f>
        <v>Nb mois dispo hors SS / Commande - Données FA</v>
      </c>
      <c r="AC188" s="327" t="str">
        <f>'TRAD-Calculs dispo confrontatio'!B34</f>
        <v>Nb mois dispo SS / Commande - Données FA</v>
      </c>
      <c r="AD188" s="327" t="str">
        <f>'TRAD-Calculs dispo confrontatio'!B35</f>
        <v>Delta sur commande / SS</v>
      </c>
      <c r="AE188" s="348" t="str">
        <f>'TRAD-Calculs dispo confrontatio'!B18</f>
        <v>Date d'entrée en stock de sécurité</v>
      </c>
      <c r="AF188" s="349" t="str">
        <f>'TRAD-Calculs dispo confrontatio'!B19</f>
        <v>Date de rupture attendue</v>
      </c>
      <c r="AH188" s="347" t="str">
        <f>'TRAD-Calculs dispo confrontatio'!B32</f>
        <v>Nb mois stock / commande attendue - Données FA</v>
      </c>
      <c r="AI188" s="347" t="str">
        <f>'TRAD-Calculs dispo confrontatio'!B33</f>
        <v>Nb mois dispo hors SS / Commande - Données FA</v>
      </c>
      <c r="AJ188" s="327" t="str">
        <f>'TRAD-Calculs dispo confrontatio'!B34</f>
        <v>Nb mois dispo SS / Commande - Données FA</v>
      </c>
      <c r="AK188" s="327" t="str">
        <f>'TRAD-Calculs dispo confrontatio'!B35</f>
        <v>Delta sur commande / SS</v>
      </c>
      <c r="AL188" s="348" t="str">
        <f>'TRAD-Calculs dispo confrontatio'!B18</f>
        <v>Date d'entrée en stock de sécurité</v>
      </c>
      <c r="AM188" s="349" t="str">
        <f>'TRAD-Calculs dispo confrontatio'!B19</f>
        <v>Date de rupture attendue</v>
      </c>
      <c r="AO188" s="347" t="str">
        <f>'TRAD-Calculs dispo confrontatio'!B24</f>
        <v>Nb mois dispo - Données Conso/Distri</v>
      </c>
      <c r="AP188" s="347" t="str">
        <f>'TRAD-Calculs dispo confrontatio'!B25</f>
        <v>Nb mois dispo hors SS - Données Conso/Distri</v>
      </c>
      <c r="AQ188" s="327" t="str">
        <f>'TRAD-Calculs dispo confrontatio'!B26</f>
        <v>Nb mois dispo SS - Données Conso/Distri</v>
      </c>
      <c r="AR188" s="348" t="str">
        <f>'TRAD-Calculs dispo confrontatio'!B18</f>
        <v>Date d'entrée en stock de sécurité</v>
      </c>
      <c r="AS188" s="349" t="str">
        <f>'TRAD-Calculs dispo confrontatio'!B19</f>
        <v>Date de rupture attendue</v>
      </c>
      <c r="AT188" s="500"/>
      <c r="AU188" s="347" t="str">
        <f>'TRAD-Calculs dispo confrontatio'!B24</f>
        <v>Nb mois dispo - Données Conso/Distri</v>
      </c>
      <c r="AV188" s="347" t="str">
        <f>'TRAD-Calculs dispo confrontatio'!B25</f>
        <v>Nb mois dispo hors SS - Données Conso/Distri</v>
      </c>
      <c r="AW188" s="327" t="str">
        <f>'TRAD-Calculs dispo confrontatio'!B26</f>
        <v>Nb mois dispo SS - Données Conso/Distri</v>
      </c>
      <c r="AX188" s="348" t="str">
        <f>'TRAD-Calculs dispo confrontatio'!B18</f>
        <v>Date d'entrée en stock de sécurité</v>
      </c>
      <c r="AY188" s="349" t="str">
        <f>'TRAD-Calculs dispo confrontatio'!B19</f>
        <v>Date de rupture attendue</v>
      </c>
      <c r="AZ188" s="500"/>
      <c r="BA188" s="347" t="str">
        <f>'TRAD-Calculs dispo confrontatio'!B36</f>
        <v>Nb mois stock / commande attendue - Données Conso/Distri</v>
      </c>
      <c r="BB188" s="347" t="str">
        <f>'TRAD-Calculs dispo confrontatio'!B37</f>
        <v>Nombre de mois de disponibilité de produits hors SS</v>
      </c>
      <c r="BC188" s="327" t="str">
        <f>'TRAD-Calculs dispo confrontatio'!B38</f>
        <v>Nombre de mois de stock de sécurité</v>
      </c>
      <c r="BD188" s="327" t="str">
        <f>'TRAD-Calculs dispo confrontatio'!B35</f>
        <v>Delta sur commande / SS</v>
      </c>
      <c r="BE188" s="348" t="str">
        <f>'TRAD-Calculs dispo confrontatio'!B18</f>
        <v>Date d'entrée en stock de sécurité</v>
      </c>
      <c r="BF188" s="349" t="str">
        <f>'TRAD-Calculs dispo confrontatio'!B19</f>
        <v>Date de rupture attendue</v>
      </c>
      <c r="BG188" s="500"/>
      <c r="BH188" s="347" t="str">
        <f>'TRAD-Calculs dispo confrontatio'!B36</f>
        <v>Nb mois stock / commande attendue - Données Conso/Distri</v>
      </c>
      <c r="BI188" s="347" t="str">
        <f>'TRAD-Calculs dispo confrontatio'!B37</f>
        <v>Nombre de mois de disponibilité de produits hors SS</v>
      </c>
      <c r="BJ188" s="327" t="str">
        <f>'TRAD-Calculs dispo confrontatio'!B38</f>
        <v>Nombre de mois de stock de sécurité</v>
      </c>
      <c r="BK188" s="327" t="str">
        <f>'TRAD-Calculs dispo confrontatio'!B35</f>
        <v>Delta sur commande / SS</v>
      </c>
      <c r="BL188" s="348" t="str">
        <f>'TRAD-Calculs dispo confrontatio'!B18</f>
        <v>Date d'entrée en stock de sécurité</v>
      </c>
      <c r="BM188" s="349" t="str">
        <f>'TRAD-Calculs dispo confrontatio'!B19</f>
        <v>Date de rupture attendue</v>
      </c>
    </row>
    <row r="189" spans="2:65" s="358" customFormat="1" ht="25.5" x14ac:dyDescent="0.2">
      <c r="C189" s="366" t="str">
        <f>'TRAD-Calculs dispo confrontatio'!B40</f>
        <v>Comprimés</v>
      </c>
      <c r="D189" s="367" t="s">
        <v>15</v>
      </c>
      <c r="E189" s="368" t="s">
        <v>1</v>
      </c>
      <c r="F189" s="369" t="str">
        <f>'TRAD-Calculs dispo confrontatio'!B42</f>
        <v>Cp</v>
      </c>
      <c r="G189" s="369" t="s">
        <v>17</v>
      </c>
      <c r="H189" s="370"/>
      <c r="I189" s="370" t="str">
        <f t="shared" ref="I189:I251" si="64">CONCATENATE(E189, " - ", G189, " - Bte/", M189)</f>
        <v>AZT+3TC+NVP - 300/150/200 mg - Bte/60</v>
      </c>
      <c r="J189" s="371" t="s">
        <v>99</v>
      </c>
      <c r="K189" s="372">
        <v>2</v>
      </c>
      <c r="L189" s="372">
        <f>K189*30</f>
        <v>60</v>
      </c>
      <c r="M189" s="113">
        <v>60</v>
      </c>
      <c r="N189" s="373">
        <f t="shared" ref="N189:N213" si="65">L189/M189</f>
        <v>1</v>
      </c>
      <c r="O189" s="230" t="e">
        <f>'Calculs dispo Données FA'!Q182</f>
        <v>#DIV/0!</v>
      </c>
      <c r="P189" s="235" t="e">
        <f>'Calculs dispo Données FA'!R182</f>
        <v>#DIV/0!</v>
      </c>
      <c r="Q189" s="240" t="e">
        <f>'Calculs dispo Données FA'!S182</f>
        <v>#DIV/0!</v>
      </c>
      <c r="R189" s="245" t="e">
        <f>'Calculs dispo Données FA'!T182</f>
        <v>#DIV/0!</v>
      </c>
      <c r="S189" s="246" t="e">
        <f>'Calculs dispo Données FA'!U182</f>
        <v>#DIV/0!</v>
      </c>
      <c r="U189" s="230" t="str">
        <f>'Calculs dispo Données FA'!W182</f>
        <v/>
      </c>
      <c r="V189" s="235" t="str">
        <f>'Calculs dispo Données FA'!X182</f>
        <v/>
      </c>
      <c r="W189" s="240" t="str">
        <f>'Calculs dispo Données FA'!Y182</f>
        <v/>
      </c>
      <c r="X189" s="245" t="str">
        <f>'Calculs dispo Données FA'!Z182</f>
        <v/>
      </c>
      <c r="Y189" s="246" t="str">
        <f>'Calculs dispo Données FA'!AA182</f>
        <v>71892B &amp; conso =0</v>
      </c>
      <c r="AA189" s="230" t="e">
        <f>'Calculs dispo Données FA'!AC182</f>
        <v>#DIV/0!</v>
      </c>
      <c r="AB189" s="235" t="e">
        <f>'Calculs dispo Données FA'!AD182</f>
        <v>#DIV/0!</v>
      </c>
      <c r="AC189" s="240" t="e">
        <f>'Calculs dispo Données FA'!AE182</f>
        <v>#DIV/0!</v>
      </c>
      <c r="AD189" s="240" t="e">
        <f>'Calculs dispo Données FA'!AF182</f>
        <v>#DIV/0!</v>
      </c>
      <c r="AE189" s="245" t="e">
        <f>'Calculs dispo Données FA'!AG182</f>
        <v>#DIV/0!</v>
      </c>
      <c r="AF189" s="246" t="e">
        <f>'Calculs dispo Données FA'!AH182</f>
        <v>#DIV/0!</v>
      </c>
      <c r="AH189" s="230" t="str">
        <f>'Calculs dispo Données FA'!AO182</f>
        <v/>
      </c>
      <c r="AI189" s="235" t="str">
        <f>'Calculs dispo Données FA'!AP182</f>
        <v/>
      </c>
      <c r="AJ189" s="240" t="str">
        <f>'Calculs dispo Données FA'!AQ182</f>
        <v/>
      </c>
      <c r="AK189" s="240" t="str">
        <f>'Calculs dispo Données FA'!AR182</f>
        <v/>
      </c>
      <c r="AL189" s="245" t="str">
        <f>'Calculs dispo Données FA'!AS182</f>
        <v/>
      </c>
      <c r="AM189" s="246" t="str">
        <f>'Calculs dispo Données FA'!AT182</f>
        <v/>
      </c>
      <c r="AO189" s="230"/>
      <c r="AP189" s="559"/>
      <c r="AQ189" s="560"/>
      <c r="AR189" s="561"/>
      <c r="AS189" s="562"/>
      <c r="AT189" s="500"/>
      <c r="AU189" s="230"/>
      <c r="AV189" s="559"/>
      <c r="AW189" s="560"/>
      <c r="AX189" s="561"/>
      <c r="AY189" s="562"/>
      <c r="AZ189" s="500"/>
      <c r="BA189" s="230"/>
      <c r="BB189" s="559"/>
      <c r="BC189" s="560"/>
      <c r="BD189" s="560"/>
      <c r="BE189" s="561"/>
      <c r="BF189" s="562"/>
      <c r="BG189" s="500"/>
      <c r="BH189" s="230"/>
      <c r="BI189" s="559"/>
      <c r="BJ189" s="560"/>
      <c r="BK189" s="560"/>
      <c r="BL189" s="561"/>
      <c r="BM189" s="562"/>
    </row>
    <row r="190" spans="2:65" s="358" customFormat="1" x14ac:dyDescent="0.2">
      <c r="C190" s="374"/>
      <c r="D190" s="375"/>
      <c r="E190" s="376"/>
      <c r="F190" s="377"/>
      <c r="G190" s="377"/>
      <c r="H190" s="378"/>
      <c r="I190" s="378"/>
      <c r="J190" s="379"/>
      <c r="K190" s="380"/>
      <c r="L190" s="380"/>
      <c r="M190" s="114"/>
      <c r="N190" s="381"/>
      <c r="O190" s="231"/>
      <c r="P190" s="555"/>
      <c r="Q190" s="556"/>
      <c r="R190" s="557"/>
      <c r="S190" s="558"/>
      <c r="U190" s="231"/>
      <c r="V190" s="555"/>
      <c r="W190" s="556"/>
      <c r="X190" s="557"/>
      <c r="Y190" s="558"/>
      <c r="AA190" s="231"/>
      <c r="AB190" s="555"/>
      <c r="AC190" s="556"/>
      <c r="AD190" s="556"/>
      <c r="AE190" s="557"/>
      <c r="AF190" s="558"/>
      <c r="AH190" s="231"/>
      <c r="AI190" s="555"/>
      <c r="AJ190" s="556"/>
      <c r="AK190" s="556"/>
      <c r="AL190" s="557"/>
      <c r="AM190" s="558"/>
      <c r="AO190" s="231">
        <f>'Calculs dispo Données conso'!Q184</f>
        <v>11.343010413379615</v>
      </c>
      <c r="AP190" s="236">
        <f>'Calculs dispo Données conso'!R184</f>
        <v>8.3430104133796146</v>
      </c>
      <c r="AQ190" s="241">
        <f>'Calculs dispo Données conso'!S184</f>
        <v>3</v>
      </c>
      <c r="AR190" s="849">
        <f>'Calculs dispo Données conso'!T184</f>
        <v>42172.766566740298</v>
      </c>
      <c r="AS190" s="850">
        <f>'Calculs dispo Données conso'!U184</f>
        <v>42264.016566740298</v>
      </c>
      <c r="AT190" s="500"/>
      <c r="AU190" s="231">
        <f>'Calculs dispo Données conso'!W184</f>
        <v>11.343010413379615</v>
      </c>
      <c r="AV190" s="236">
        <f>'Calculs dispo Données conso'!X184</f>
        <v>8.3430104133796146</v>
      </c>
      <c r="AW190" s="241">
        <f>'Calculs dispo Données conso'!Y184</f>
        <v>3</v>
      </c>
      <c r="AX190" s="849">
        <f>'Calculs dispo Données conso'!Z184</f>
        <v>42172.766566740298</v>
      </c>
      <c r="AY190" s="850">
        <f>'Calculs dispo Données conso'!AA184</f>
        <v>42264.016566740298</v>
      </c>
      <c r="AZ190" s="500"/>
      <c r="BA190" s="231">
        <f>'Calculs dispo Données conso'!AC184</f>
        <v>0</v>
      </c>
      <c r="BB190" s="236">
        <f>'Calculs dispo Données conso'!AD184</f>
        <v>-3</v>
      </c>
      <c r="BC190" s="241">
        <f>'Calculs dispo Données conso'!AE184</f>
        <v>0</v>
      </c>
      <c r="BD190" s="241">
        <f>'Calculs dispo Données conso'!AF184</f>
        <v>0</v>
      </c>
      <c r="BE190" s="849">
        <f>'Calculs dispo Données conso'!AG184</f>
        <v>41827.75</v>
      </c>
      <c r="BF190" s="850">
        <f>'Calculs dispo Données conso'!AH184</f>
        <v>41919</v>
      </c>
      <c r="BG190" s="500"/>
      <c r="BH190" s="231" t="str">
        <f>'Calculs dispo Données conso'!AO184</f>
        <v/>
      </c>
      <c r="BI190" s="236" t="str">
        <f>'Calculs dispo Données conso'!AP184</f>
        <v/>
      </c>
      <c r="BJ190" s="241" t="str">
        <f>'Calculs dispo Données conso'!AQ184</f>
        <v/>
      </c>
      <c r="BK190" s="241" t="str">
        <f>'Calculs dispo Données conso'!AR184</f>
        <v/>
      </c>
      <c r="BL190" s="849" t="str">
        <f>'Calculs dispo Données conso'!AS184</f>
        <v/>
      </c>
      <c r="BM190" s="850" t="str">
        <f>'Calculs dispo Données conso'!AT184</f>
        <v/>
      </c>
    </row>
    <row r="191" spans="2:65" s="358" customFormat="1" ht="51" x14ac:dyDescent="0.2">
      <c r="C191" s="374"/>
      <c r="D191" s="375"/>
      <c r="E191" s="501" t="s">
        <v>1</v>
      </c>
      <c r="F191" s="502" t="str">
        <f>'TRAD-Calculs dispo confrontatio'!B42</f>
        <v>Cp</v>
      </c>
      <c r="G191" s="502" t="s">
        <v>258</v>
      </c>
      <c r="H191" s="503"/>
      <c r="I191" s="504" t="str">
        <f t="shared" si="64"/>
        <v>AZT+3TC+NVP - 60/30/50 mg - Bte/60</v>
      </c>
      <c r="J191" s="504" t="s">
        <v>259</v>
      </c>
      <c r="K191" s="505">
        <v>2</v>
      </c>
      <c r="L191" s="505">
        <f>K191*30</f>
        <v>60</v>
      </c>
      <c r="M191" s="114">
        <v>60</v>
      </c>
      <c r="N191" s="381">
        <f t="shared" si="65"/>
        <v>1</v>
      </c>
      <c r="O191" s="231" t="e">
        <f>'Calculs dispo Données FA'!Q183</f>
        <v>#DIV/0!</v>
      </c>
      <c r="P191" s="236" t="e">
        <f>'Calculs dispo Données FA'!R183</f>
        <v>#DIV/0!</v>
      </c>
      <c r="Q191" s="241" t="e">
        <f>'Calculs dispo Données FA'!S183</f>
        <v>#DIV/0!</v>
      </c>
      <c r="R191" s="247" t="e">
        <f>'Calculs dispo Données FA'!T183</f>
        <v>#DIV/0!</v>
      </c>
      <c r="S191" s="248" t="e">
        <f>'Calculs dispo Données FA'!U183</f>
        <v>#DIV/0!</v>
      </c>
      <c r="U191" s="231" t="str">
        <f>'Calculs dispo Données FA'!W183</f>
        <v/>
      </c>
      <c r="V191" s="236" t="str">
        <f>'Calculs dispo Données FA'!X183</f>
        <v/>
      </c>
      <c r="W191" s="241" t="str">
        <f>'Calculs dispo Données FA'!Y183</f>
        <v/>
      </c>
      <c r="X191" s="247" t="str">
        <f>'Calculs dispo Données FA'!Z183</f>
        <v/>
      </c>
      <c r="Y191" s="248" t="str">
        <f>'Calculs dispo Données FA'!AA183</f>
        <v>1522B &amp; conso =0</v>
      </c>
      <c r="AA191" s="231" t="e">
        <f>'Calculs dispo Données FA'!AC183</f>
        <v>#DIV/0!</v>
      </c>
      <c r="AB191" s="236" t="e">
        <f>'Calculs dispo Données FA'!AD183</f>
        <v>#DIV/0!</v>
      </c>
      <c r="AC191" s="241" t="e">
        <f>'Calculs dispo Données FA'!AE183</f>
        <v>#DIV/0!</v>
      </c>
      <c r="AD191" s="241" t="e">
        <f>'Calculs dispo Données FA'!AF183</f>
        <v>#DIV/0!</v>
      </c>
      <c r="AE191" s="247" t="e">
        <f>'Calculs dispo Données FA'!AG183</f>
        <v>#DIV/0!</v>
      </c>
      <c r="AF191" s="248" t="e">
        <f>'Calculs dispo Données FA'!AH183</f>
        <v>#DIV/0!</v>
      </c>
      <c r="AH191" s="231" t="str">
        <f>'Calculs dispo Données FA'!AO183</f>
        <v/>
      </c>
      <c r="AI191" s="236" t="str">
        <f>'Calculs dispo Données FA'!AP183</f>
        <v/>
      </c>
      <c r="AJ191" s="241" t="str">
        <f>'Calculs dispo Données FA'!AQ183</f>
        <v/>
      </c>
      <c r="AK191" s="241" t="str">
        <f>'Calculs dispo Données FA'!AR183</f>
        <v/>
      </c>
      <c r="AL191" s="247" t="str">
        <f>'Calculs dispo Données FA'!AS183</f>
        <v/>
      </c>
      <c r="AM191" s="248" t="str">
        <f>'Calculs dispo Données FA'!AT183</f>
        <v/>
      </c>
      <c r="AO191" s="231"/>
      <c r="AP191" s="555"/>
      <c r="AQ191" s="556"/>
      <c r="AR191" s="557"/>
      <c r="AS191" s="558"/>
      <c r="AT191" s="500"/>
      <c r="AU191" s="231"/>
      <c r="AV191" s="555"/>
      <c r="AW191" s="556"/>
      <c r="AX191" s="557"/>
      <c r="AY191" s="558"/>
      <c r="AZ191" s="500"/>
      <c r="BA191" s="231"/>
      <c r="BB191" s="555"/>
      <c r="BC191" s="556"/>
      <c r="BD191" s="556"/>
      <c r="BE191" s="557"/>
      <c r="BF191" s="558"/>
      <c r="BG191" s="500"/>
      <c r="BH191" s="231"/>
      <c r="BI191" s="555"/>
      <c r="BJ191" s="556"/>
      <c r="BK191" s="556"/>
      <c r="BL191" s="557"/>
      <c r="BM191" s="558"/>
    </row>
    <row r="192" spans="2:65" s="358" customFormat="1" x14ac:dyDescent="0.2">
      <c r="C192" s="374"/>
      <c r="D192" s="375"/>
      <c r="E192" s="501"/>
      <c r="F192" s="502"/>
      <c r="G192" s="502"/>
      <c r="H192" s="503"/>
      <c r="I192" s="504"/>
      <c r="J192" s="504"/>
      <c r="K192" s="505"/>
      <c r="L192" s="505"/>
      <c r="M192" s="114"/>
      <c r="N192" s="381"/>
      <c r="O192" s="231"/>
      <c r="P192" s="555"/>
      <c r="Q192" s="556"/>
      <c r="R192" s="557"/>
      <c r="S192" s="558"/>
      <c r="U192" s="231"/>
      <c r="V192" s="555"/>
      <c r="W192" s="556"/>
      <c r="X192" s="557"/>
      <c r="Y192" s="558"/>
      <c r="AA192" s="231"/>
      <c r="AB192" s="555"/>
      <c r="AC192" s="556"/>
      <c r="AD192" s="556"/>
      <c r="AE192" s="557"/>
      <c r="AF192" s="558"/>
      <c r="AH192" s="231"/>
      <c r="AI192" s="555"/>
      <c r="AJ192" s="556"/>
      <c r="AK192" s="556"/>
      <c r="AL192" s="557"/>
      <c r="AM192" s="558"/>
      <c r="AO192" s="231">
        <f>'Calculs dispo Données conso'!Q185</f>
        <v>2.7875457875457874</v>
      </c>
      <c r="AP192" s="236">
        <f>'Calculs dispo Données conso'!R185</f>
        <v>-0.21245421245421259</v>
      </c>
      <c r="AQ192" s="241">
        <f>'Calculs dispo Données conso'!S185</f>
        <v>2.7875457875457874</v>
      </c>
      <c r="AR192" s="849">
        <f>'Calculs dispo Données conso'!T185</f>
        <v>41912.626373626372</v>
      </c>
      <c r="AS192" s="850">
        <f>'Calculs dispo Données conso'!U185</f>
        <v>42002.626373626372</v>
      </c>
      <c r="AT192" s="500"/>
      <c r="AU192" s="231">
        <f>'Calculs dispo Données conso'!W185</f>
        <v>2.7875457875457874</v>
      </c>
      <c r="AV192" s="236">
        <f>'Calculs dispo Données conso'!X185</f>
        <v>-0.21245421245421259</v>
      </c>
      <c r="AW192" s="241">
        <f>'Calculs dispo Données conso'!Y185</f>
        <v>2.7875457875457874</v>
      </c>
      <c r="AX192" s="849">
        <f>'Calculs dispo Données conso'!Z185</f>
        <v>41912.626373626372</v>
      </c>
      <c r="AY192" s="850">
        <f>'Calculs dispo Données conso'!AA185</f>
        <v>42002.626373626372</v>
      </c>
      <c r="AZ192" s="500"/>
      <c r="BA192" s="231">
        <f>'Calculs dispo Données conso'!AC185</f>
        <v>0</v>
      </c>
      <c r="BB192" s="236">
        <f>'Calculs dispo Données conso'!AD185</f>
        <v>-3</v>
      </c>
      <c r="BC192" s="241">
        <f>'Calculs dispo Données conso'!AE185</f>
        <v>0</v>
      </c>
      <c r="BD192" s="241">
        <f>'Calculs dispo Données conso'!AF185</f>
        <v>0</v>
      </c>
      <c r="BE192" s="849">
        <f>'Calculs dispo Données conso'!AG185</f>
        <v>41829</v>
      </c>
      <c r="BF192" s="850">
        <f>'Calculs dispo Données conso'!AH185</f>
        <v>41919</v>
      </c>
      <c r="BG192" s="500"/>
      <c r="BH192" s="231" t="str">
        <f>'Calculs dispo Données conso'!AO185</f>
        <v/>
      </c>
      <c r="BI192" s="236" t="str">
        <f>'Calculs dispo Données conso'!AP185</f>
        <v/>
      </c>
      <c r="BJ192" s="241" t="str">
        <f>'Calculs dispo Données conso'!AQ185</f>
        <v/>
      </c>
      <c r="BK192" s="241" t="str">
        <f>'Calculs dispo Données conso'!AR185</f>
        <v/>
      </c>
      <c r="BL192" s="849" t="str">
        <f>'Calculs dispo Données conso'!AS185</f>
        <v/>
      </c>
      <c r="BM192" s="850" t="str">
        <f>'Calculs dispo Données conso'!AT185</f>
        <v/>
      </c>
    </row>
    <row r="193" spans="3:65" s="358" customFormat="1" ht="25.5" x14ac:dyDescent="0.2">
      <c r="C193" s="374"/>
      <c r="D193" s="375"/>
      <c r="E193" s="376" t="s">
        <v>3</v>
      </c>
      <c r="F193" s="377" t="str">
        <f>'TRAD-Calculs dispo confrontatio'!B42</f>
        <v>Cp</v>
      </c>
      <c r="G193" s="377" t="s">
        <v>137</v>
      </c>
      <c r="H193" s="378" t="s">
        <v>138</v>
      </c>
      <c r="I193" s="378" t="str">
        <f t="shared" si="64"/>
        <v>AZT+3TC+ABC - 300/150/300 mg - Bte/60</v>
      </c>
      <c r="J193" s="379"/>
      <c r="K193" s="380">
        <v>2</v>
      </c>
      <c r="L193" s="380">
        <f t="shared" ref="L193:L205" si="66">K193*30</f>
        <v>60</v>
      </c>
      <c r="M193" s="114">
        <v>60</v>
      </c>
      <c r="N193" s="381">
        <f t="shared" si="65"/>
        <v>1</v>
      </c>
      <c r="O193" s="231" t="e">
        <f>'Calculs dispo Données FA'!Q184</f>
        <v>#DIV/0!</v>
      </c>
      <c r="P193" s="236" t="e">
        <f>'Calculs dispo Données FA'!R184</f>
        <v>#DIV/0!</v>
      </c>
      <c r="Q193" s="241" t="e">
        <f>'Calculs dispo Données FA'!S184</f>
        <v>#DIV/0!</v>
      </c>
      <c r="R193" s="247" t="e">
        <f>'Calculs dispo Données FA'!T184</f>
        <v>#DIV/0!</v>
      </c>
      <c r="S193" s="248" t="e">
        <f>'Calculs dispo Données FA'!U184</f>
        <v>#DIV/0!</v>
      </c>
      <c r="U193" s="231" t="str">
        <f>'Calculs dispo Données FA'!W184</f>
        <v/>
      </c>
      <c r="V193" s="236" t="str">
        <f>'Calculs dispo Données FA'!X184</f>
        <v/>
      </c>
      <c r="W193" s="241" t="str">
        <f>'Calculs dispo Données FA'!Y184</f>
        <v/>
      </c>
      <c r="X193" s="247" t="str">
        <f>'Calculs dispo Données FA'!Z184</f>
        <v/>
      </c>
      <c r="Y193" s="248" t="str">
        <f>'Calculs dispo Données FA'!AA184</f>
        <v>666B &amp; conso =0</v>
      </c>
      <c r="AA193" s="231" t="e">
        <f>'Calculs dispo Données FA'!AC184</f>
        <v>#DIV/0!</v>
      </c>
      <c r="AB193" s="236" t="e">
        <f>'Calculs dispo Données FA'!AD184</f>
        <v>#DIV/0!</v>
      </c>
      <c r="AC193" s="241" t="e">
        <f>'Calculs dispo Données FA'!AE184</f>
        <v>#DIV/0!</v>
      </c>
      <c r="AD193" s="241" t="e">
        <f>'Calculs dispo Données FA'!AF184</f>
        <v>#DIV/0!</v>
      </c>
      <c r="AE193" s="247" t="e">
        <f>'Calculs dispo Données FA'!AG184</f>
        <v>#DIV/0!</v>
      </c>
      <c r="AF193" s="248" t="e">
        <f>'Calculs dispo Données FA'!AH184</f>
        <v>#DIV/0!</v>
      </c>
      <c r="AH193" s="231" t="str">
        <f>'Calculs dispo Données FA'!AO184</f>
        <v/>
      </c>
      <c r="AI193" s="236" t="str">
        <f>'Calculs dispo Données FA'!AP184</f>
        <v/>
      </c>
      <c r="AJ193" s="241" t="str">
        <f>'Calculs dispo Données FA'!AQ184</f>
        <v/>
      </c>
      <c r="AK193" s="241" t="str">
        <f>'Calculs dispo Données FA'!AR184</f>
        <v/>
      </c>
      <c r="AL193" s="247" t="str">
        <f>'Calculs dispo Données FA'!AS184</f>
        <v/>
      </c>
      <c r="AM193" s="248" t="str">
        <f>'Calculs dispo Données FA'!AT184</f>
        <v/>
      </c>
      <c r="AO193" s="231"/>
      <c r="AP193" s="555"/>
      <c r="AQ193" s="556"/>
      <c r="AR193" s="557"/>
      <c r="AS193" s="558"/>
      <c r="AT193" s="500"/>
      <c r="AU193" s="231"/>
      <c r="AV193" s="555"/>
      <c r="AW193" s="556"/>
      <c r="AX193" s="557"/>
      <c r="AY193" s="558"/>
      <c r="AZ193" s="500"/>
      <c r="BA193" s="231"/>
      <c r="BB193" s="555"/>
      <c r="BC193" s="556"/>
      <c r="BD193" s="556"/>
      <c r="BE193" s="557"/>
      <c r="BF193" s="558"/>
      <c r="BG193" s="500"/>
      <c r="BH193" s="231"/>
      <c r="BI193" s="555"/>
      <c r="BJ193" s="556"/>
      <c r="BK193" s="556"/>
      <c r="BL193" s="557"/>
      <c r="BM193" s="558"/>
    </row>
    <row r="194" spans="3:65" s="358" customFormat="1" x14ac:dyDescent="0.2">
      <c r="C194" s="374"/>
      <c r="D194" s="375"/>
      <c r="E194" s="376"/>
      <c r="F194" s="377"/>
      <c r="G194" s="377"/>
      <c r="H194" s="378"/>
      <c r="I194" s="378"/>
      <c r="J194" s="379"/>
      <c r="K194" s="380"/>
      <c r="L194" s="380"/>
      <c r="M194" s="114"/>
      <c r="N194" s="381"/>
      <c r="O194" s="231"/>
      <c r="P194" s="555"/>
      <c r="Q194" s="556"/>
      <c r="R194" s="557"/>
      <c r="S194" s="558"/>
      <c r="U194" s="231"/>
      <c r="V194" s="555"/>
      <c r="W194" s="556"/>
      <c r="X194" s="557"/>
      <c r="Y194" s="558"/>
      <c r="AA194" s="231"/>
      <c r="AB194" s="555"/>
      <c r="AC194" s="556"/>
      <c r="AD194" s="556"/>
      <c r="AE194" s="557"/>
      <c r="AF194" s="558"/>
      <c r="AH194" s="231"/>
      <c r="AI194" s="555"/>
      <c r="AJ194" s="556"/>
      <c r="AK194" s="556"/>
      <c r="AL194" s="557"/>
      <c r="AM194" s="558"/>
      <c r="AO194" s="231">
        <f>'Calculs dispo Données conso'!Q186</f>
        <v>8.7780821917808218</v>
      </c>
      <c r="AP194" s="236">
        <f>'Calculs dispo Données conso'!R186</f>
        <v>5.7780821917808218</v>
      </c>
      <c r="AQ194" s="241">
        <f>'Calculs dispo Données conso'!S186</f>
        <v>3</v>
      </c>
      <c r="AR194" s="849">
        <f>'Calculs dispo Données conso'!T186</f>
        <v>42092.342465753427</v>
      </c>
      <c r="AS194" s="850">
        <f>'Calculs dispo Données conso'!U186</f>
        <v>42182.342465753427</v>
      </c>
      <c r="AT194" s="500"/>
      <c r="AU194" s="231">
        <f>'Calculs dispo Données conso'!W186</f>
        <v>8.7780821917808218</v>
      </c>
      <c r="AV194" s="236">
        <f>'Calculs dispo Données conso'!X186</f>
        <v>5.7780821917808218</v>
      </c>
      <c r="AW194" s="241">
        <f>'Calculs dispo Données conso'!Y186</f>
        <v>3</v>
      </c>
      <c r="AX194" s="849">
        <f>'Calculs dispo Données conso'!Z186</f>
        <v>42092.342465753427</v>
      </c>
      <c r="AY194" s="850">
        <f>'Calculs dispo Données conso'!AA186</f>
        <v>42182.342465753427</v>
      </c>
      <c r="AZ194" s="500"/>
      <c r="BA194" s="231">
        <f>'Calculs dispo Données conso'!AC186</f>
        <v>0</v>
      </c>
      <c r="BB194" s="236">
        <f>'Calculs dispo Données conso'!AD186</f>
        <v>-3</v>
      </c>
      <c r="BC194" s="241">
        <f>'Calculs dispo Données conso'!AE186</f>
        <v>0</v>
      </c>
      <c r="BD194" s="241">
        <f>'Calculs dispo Données conso'!AF186</f>
        <v>0</v>
      </c>
      <c r="BE194" s="849">
        <f>'Calculs dispo Données conso'!AG186</f>
        <v>41829</v>
      </c>
      <c r="BF194" s="850">
        <f>'Calculs dispo Données conso'!AH186</f>
        <v>41919</v>
      </c>
      <c r="BG194" s="500"/>
      <c r="BH194" s="231" t="str">
        <f>'Calculs dispo Données conso'!AO186</f>
        <v/>
      </c>
      <c r="BI194" s="236" t="str">
        <f>'Calculs dispo Données conso'!AP186</f>
        <v/>
      </c>
      <c r="BJ194" s="241" t="str">
        <f>'Calculs dispo Données conso'!AQ186</f>
        <v/>
      </c>
      <c r="BK194" s="241" t="str">
        <f>'Calculs dispo Données conso'!AR186</f>
        <v/>
      </c>
      <c r="BL194" s="849" t="str">
        <f>'Calculs dispo Données conso'!AS186</f>
        <v/>
      </c>
      <c r="BM194" s="850" t="str">
        <f>'Calculs dispo Données conso'!AT186</f>
        <v/>
      </c>
    </row>
    <row r="195" spans="3:65" s="358" customFormat="1" ht="51" x14ac:dyDescent="0.2">
      <c r="C195" s="374"/>
      <c r="D195" s="375"/>
      <c r="E195" s="376" t="s">
        <v>18</v>
      </c>
      <c r="F195" s="377" t="str">
        <f>'TRAD-Calculs dispo confrontatio'!B42</f>
        <v>Cp</v>
      </c>
      <c r="G195" s="377" t="s">
        <v>19</v>
      </c>
      <c r="H195" s="378" t="s">
        <v>100</v>
      </c>
      <c r="I195" s="378" t="str">
        <f t="shared" si="64"/>
        <v>AZT+3TC - 300/150 mg - Bte/60</v>
      </c>
      <c r="J195" s="379" t="s">
        <v>101</v>
      </c>
      <c r="K195" s="380">
        <v>2</v>
      </c>
      <c r="L195" s="380">
        <f t="shared" si="66"/>
        <v>60</v>
      </c>
      <c r="M195" s="114">
        <v>60</v>
      </c>
      <c r="N195" s="381">
        <f t="shared" si="65"/>
        <v>1</v>
      </c>
      <c r="O195" s="231" t="e">
        <f>'Calculs dispo Données FA'!Q185</f>
        <v>#DIV/0!</v>
      </c>
      <c r="P195" s="236" t="e">
        <f>'Calculs dispo Données FA'!R185</f>
        <v>#DIV/0!</v>
      </c>
      <c r="Q195" s="241" t="e">
        <f>'Calculs dispo Données FA'!S185</f>
        <v>#DIV/0!</v>
      </c>
      <c r="R195" s="247" t="e">
        <f>'Calculs dispo Données FA'!T185</f>
        <v>#DIV/0!</v>
      </c>
      <c r="S195" s="248" t="e">
        <f>'Calculs dispo Données FA'!U185</f>
        <v>#DIV/0!</v>
      </c>
      <c r="U195" s="231" t="str">
        <f>'Calculs dispo Données FA'!W185</f>
        <v/>
      </c>
      <c r="V195" s="236" t="str">
        <f>'Calculs dispo Données FA'!X185</f>
        <v/>
      </c>
      <c r="W195" s="241" t="str">
        <f>'Calculs dispo Données FA'!Y185</f>
        <v/>
      </c>
      <c r="X195" s="247" t="str">
        <f>'Calculs dispo Données FA'!Z185</f>
        <v/>
      </c>
      <c r="Y195" s="248" t="str">
        <f>'Calculs dispo Données FA'!AA185</f>
        <v>12350B &amp; conso =0</v>
      </c>
      <c r="AA195" s="231" t="e">
        <f>'Calculs dispo Données FA'!AC185</f>
        <v>#DIV/0!</v>
      </c>
      <c r="AB195" s="236" t="e">
        <f>'Calculs dispo Données FA'!AD185</f>
        <v>#DIV/0!</v>
      </c>
      <c r="AC195" s="241" t="e">
        <f>'Calculs dispo Données FA'!AE185</f>
        <v>#DIV/0!</v>
      </c>
      <c r="AD195" s="241" t="e">
        <f>'Calculs dispo Données FA'!AF185</f>
        <v>#DIV/0!</v>
      </c>
      <c r="AE195" s="247" t="e">
        <f>'Calculs dispo Données FA'!AG185</f>
        <v>#DIV/0!</v>
      </c>
      <c r="AF195" s="248" t="e">
        <f>'Calculs dispo Données FA'!AH185</f>
        <v>#DIV/0!</v>
      </c>
      <c r="AH195" s="231" t="str">
        <f>'Calculs dispo Données FA'!AO185</f>
        <v/>
      </c>
      <c r="AI195" s="236" t="str">
        <f>'Calculs dispo Données FA'!AP185</f>
        <v/>
      </c>
      <c r="AJ195" s="241" t="str">
        <f>'Calculs dispo Données FA'!AQ185</f>
        <v/>
      </c>
      <c r="AK195" s="241" t="str">
        <f>'Calculs dispo Données FA'!AR185</f>
        <v/>
      </c>
      <c r="AL195" s="247" t="str">
        <f>'Calculs dispo Données FA'!AS185</f>
        <v/>
      </c>
      <c r="AM195" s="248" t="str">
        <f>'Calculs dispo Données FA'!AT185</f>
        <v/>
      </c>
      <c r="AO195" s="231"/>
      <c r="AP195" s="555"/>
      <c r="AQ195" s="556"/>
      <c r="AR195" s="557"/>
      <c r="AS195" s="558"/>
      <c r="AT195" s="500"/>
      <c r="AU195" s="231"/>
      <c r="AV195" s="555"/>
      <c r="AW195" s="556"/>
      <c r="AX195" s="557"/>
      <c r="AY195" s="558"/>
      <c r="AZ195" s="500"/>
      <c r="BA195" s="231"/>
      <c r="BB195" s="555"/>
      <c r="BC195" s="556"/>
      <c r="BD195" s="556"/>
      <c r="BE195" s="557"/>
      <c r="BF195" s="558"/>
      <c r="BG195" s="500"/>
      <c r="BH195" s="231"/>
      <c r="BI195" s="555"/>
      <c r="BJ195" s="556"/>
      <c r="BK195" s="556"/>
      <c r="BL195" s="557"/>
      <c r="BM195" s="558"/>
    </row>
    <row r="196" spans="3:65" s="358" customFormat="1" x14ac:dyDescent="0.2">
      <c r="C196" s="374"/>
      <c r="D196" s="375"/>
      <c r="E196" s="376"/>
      <c r="F196" s="377"/>
      <c r="G196" s="377"/>
      <c r="H196" s="378"/>
      <c r="I196" s="378"/>
      <c r="J196" s="379"/>
      <c r="K196" s="380"/>
      <c r="L196" s="380"/>
      <c r="M196" s="114"/>
      <c r="N196" s="381"/>
      <c r="O196" s="231"/>
      <c r="P196" s="555"/>
      <c r="Q196" s="556"/>
      <c r="R196" s="557"/>
      <c r="S196" s="558"/>
      <c r="U196" s="231"/>
      <c r="V196" s="555"/>
      <c r="W196" s="556"/>
      <c r="X196" s="557"/>
      <c r="Y196" s="558"/>
      <c r="AA196" s="231"/>
      <c r="AB196" s="555"/>
      <c r="AC196" s="556"/>
      <c r="AD196" s="556"/>
      <c r="AE196" s="557"/>
      <c r="AF196" s="558"/>
      <c r="AH196" s="231"/>
      <c r="AI196" s="555"/>
      <c r="AJ196" s="556"/>
      <c r="AK196" s="556"/>
      <c r="AL196" s="557"/>
      <c r="AM196" s="558"/>
      <c r="AO196" s="231">
        <f>'Calculs dispo Données conso'!Q187</f>
        <v>9.7474348855564319</v>
      </c>
      <c r="AP196" s="236">
        <f>'Calculs dispo Données conso'!R187</f>
        <v>6.7474348855564319</v>
      </c>
      <c r="AQ196" s="241">
        <f>'Calculs dispo Données conso'!S187</f>
        <v>3</v>
      </c>
      <c r="AR196" s="849">
        <f>'Calculs dispo Données conso'!T187</f>
        <v>42121.423046566691</v>
      </c>
      <c r="AS196" s="850">
        <f>'Calculs dispo Données conso'!U187</f>
        <v>42211.423046566691</v>
      </c>
      <c r="AT196" s="500"/>
      <c r="AU196" s="231">
        <f>'Calculs dispo Données conso'!W187</f>
        <v>9.7474348855564319</v>
      </c>
      <c r="AV196" s="236">
        <f>'Calculs dispo Données conso'!X187</f>
        <v>6.7474348855564319</v>
      </c>
      <c r="AW196" s="241">
        <f>'Calculs dispo Données conso'!Y187</f>
        <v>3</v>
      </c>
      <c r="AX196" s="849">
        <f>'Calculs dispo Données conso'!Z187</f>
        <v>42121.423046566691</v>
      </c>
      <c r="AY196" s="850">
        <f>'Calculs dispo Données conso'!AA187</f>
        <v>42211.423046566691</v>
      </c>
      <c r="AZ196" s="500"/>
      <c r="BA196" s="231">
        <f>'Calculs dispo Données conso'!AC187</f>
        <v>0</v>
      </c>
      <c r="BB196" s="236">
        <f>'Calculs dispo Données conso'!AD187</f>
        <v>-3</v>
      </c>
      <c r="BC196" s="241">
        <f>'Calculs dispo Données conso'!AE187</f>
        <v>0</v>
      </c>
      <c r="BD196" s="241">
        <f>'Calculs dispo Données conso'!AF187</f>
        <v>0</v>
      </c>
      <c r="BE196" s="849">
        <f>'Calculs dispo Données conso'!AG187</f>
        <v>41829</v>
      </c>
      <c r="BF196" s="850">
        <f>'Calculs dispo Données conso'!AH187</f>
        <v>41919</v>
      </c>
      <c r="BG196" s="500"/>
      <c r="BH196" s="231" t="str">
        <f>'Calculs dispo Données conso'!AO187</f>
        <v/>
      </c>
      <c r="BI196" s="236" t="str">
        <f>'Calculs dispo Données conso'!AP187</f>
        <v/>
      </c>
      <c r="BJ196" s="241" t="str">
        <f>'Calculs dispo Données conso'!AQ187</f>
        <v/>
      </c>
      <c r="BK196" s="241" t="str">
        <f>'Calculs dispo Données conso'!AR187</f>
        <v/>
      </c>
      <c r="BL196" s="849" t="str">
        <f>'Calculs dispo Données conso'!AS187</f>
        <v/>
      </c>
      <c r="BM196" s="850" t="str">
        <f>'Calculs dispo Données conso'!AT187</f>
        <v/>
      </c>
    </row>
    <row r="197" spans="3:65" s="358" customFormat="1" x14ac:dyDescent="0.2">
      <c r="C197" s="374"/>
      <c r="D197" s="375"/>
      <c r="E197" s="376" t="s">
        <v>18</v>
      </c>
      <c r="F197" s="377" t="str">
        <f>'TRAD-Calculs dispo confrontatio'!B42</f>
        <v>Cp</v>
      </c>
      <c r="G197" s="377" t="s">
        <v>260</v>
      </c>
      <c r="H197" s="378"/>
      <c r="I197" s="378" t="str">
        <f t="shared" si="64"/>
        <v>AZT+3TC - 60/30 mg - Bte/60</v>
      </c>
      <c r="J197" s="378" t="s">
        <v>261</v>
      </c>
      <c r="K197" s="380">
        <v>2</v>
      </c>
      <c r="L197" s="380">
        <f t="shared" si="66"/>
        <v>60</v>
      </c>
      <c r="M197" s="114">
        <v>60</v>
      </c>
      <c r="N197" s="381">
        <f t="shared" si="65"/>
        <v>1</v>
      </c>
      <c r="O197" s="231" t="e">
        <f>'Calculs dispo Données FA'!Q186</f>
        <v>#DIV/0!</v>
      </c>
      <c r="P197" s="236" t="e">
        <f>'Calculs dispo Données FA'!R186</f>
        <v>#DIV/0!</v>
      </c>
      <c r="Q197" s="241" t="e">
        <f>'Calculs dispo Données FA'!S186</f>
        <v>#DIV/0!</v>
      </c>
      <c r="R197" s="247" t="e">
        <f>'Calculs dispo Données FA'!T186</f>
        <v>#DIV/0!</v>
      </c>
      <c r="S197" s="248" t="e">
        <f>'Calculs dispo Données FA'!U186</f>
        <v>#DIV/0!</v>
      </c>
      <c r="U197" s="231" t="str">
        <f>'Calculs dispo Données FA'!W186</f>
        <v/>
      </c>
      <c r="V197" s="236" t="str">
        <f>'Calculs dispo Données FA'!X186</f>
        <v/>
      </c>
      <c r="W197" s="241" t="str">
        <f>'Calculs dispo Données FA'!Y186</f>
        <v/>
      </c>
      <c r="X197" s="247" t="str">
        <f>'Calculs dispo Données FA'!Z186</f>
        <v/>
      </c>
      <c r="Y197" s="248" t="str">
        <f>'Calculs dispo Données FA'!AA186</f>
        <v>903B &amp; conso =0</v>
      </c>
      <c r="AA197" s="231" t="e">
        <f>'Calculs dispo Données FA'!AC186</f>
        <v>#DIV/0!</v>
      </c>
      <c r="AB197" s="236" t="e">
        <f>'Calculs dispo Données FA'!AD186</f>
        <v>#DIV/0!</v>
      </c>
      <c r="AC197" s="241" t="e">
        <f>'Calculs dispo Données FA'!AE186</f>
        <v>#DIV/0!</v>
      </c>
      <c r="AD197" s="241" t="e">
        <f>'Calculs dispo Données FA'!AF186</f>
        <v>#DIV/0!</v>
      </c>
      <c r="AE197" s="247" t="e">
        <f>'Calculs dispo Données FA'!AG186</f>
        <v>#DIV/0!</v>
      </c>
      <c r="AF197" s="248" t="e">
        <f>'Calculs dispo Données FA'!AH186</f>
        <v>#DIV/0!</v>
      </c>
      <c r="AH197" s="231" t="str">
        <f>'Calculs dispo Données FA'!AO186</f>
        <v/>
      </c>
      <c r="AI197" s="236" t="str">
        <f>'Calculs dispo Données FA'!AP186</f>
        <v/>
      </c>
      <c r="AJ197" s="241" t="str">
        <f>'Calculs dispo Données FA'!AQ186</f>
        <v/>
      </c>
      <c r="AK197" s="241" t="str">
        <f>'Calculs dispo Données FA'!AR186</f>
        <v/>
      </c>
      <c r="AL197" s="247" t="str">
        <f>'Calculs dispo Données FA'!AS186</f>
        <v/>
      </c>
      <c r="AM197" s="248" t="str">
        <f>'Calculs dispo Données FA'!AT186</f>
        <v/>
      </c>
      <c r="AO197" s="231"/>
      <c r="AP197" s="555"/>
      <c r="AQ197" s="556"/>
      <c r="AR197" s="557"/>
      <c r="AS197" s="558"/>
      <c r="AT197" s="500"/>
      <c r="AU197" s="231"/>
      <c r="AV197" s="555"/>
      <c r="AW197" s="556"/>
      <c r="AX197" s="557"/>
      <c r="AY197" s="558"/>
      <c r="AZ197" s="500"/>
      <c r="BA197" s="231"/>
      <c r="BB197" s="555"/>
      <c r="BC197" s="556"/>
      <c r="BD197" s="556"/>
      <c r="BE197" s="557"/>
      <c r="BF197" s="558"/>
      <c r="BG197" s="500"/>
      <c r="BH197" s="231"/>
      <c r="BI197" s="555"/>
      <c r="BJ197" s="556"/>
      <c r="BK197" s="556"/>
      <c r="BL197" s="557"/>
      <c r="BM197" s="558"/>
    </row>
    <row r="198" spans="3:65" s="358" customFormat="1" x14ac:dyDescent="0.2">
      <c r="C198" s="374"/>
      <c r="D198" s="375"/>
      <c r="E198" s="376"/>
      <c r="F198" s="377"/>
      <c r="G198" s="377"/>
      <c r="H198" s="378"/>
      <c r="I198" s="378"/>
      <c r="J198" s="378"/>
      <c r="K198" s="380"/>
      <c r="L198" s="380"/>
      <c r="M198" s="114"/>
      <c r="N198" s="381"/>
      <c r="O198" s="231"/>
      <c r="P198" s="555"/>
      <c r="Q198" s="556"/>
      <c r="R198" s="557"/>
      <c r="S198" s="558"/>
      <c r="U198" s="231"/>
      <c r="V198" s="555"/>
      <c r="W198" s="556"/>
      <c r="X198" s="557"/>
      <c r="Y198" s="558"/>
      <c r="AA198" s="231"/>
      <c r="AB198" s="555"/>
      <c r="AC198" s="556"/>
      <c r="AD198" s="556"/>
      <c r="AE198" s="557"/>
      <c r="AF198" s="558"/>
      <c r="AH198" s="231"/>
      <c r="AI198" s="555"/>
      <c r="AJ198" s="556"/>
      <c r="AK198" s="556"/>
      <c r="AL198" s="557"/>
      <c r="AM198" s="558"/>
      <c r="AO198" s="231">
        <f>'Calculs dispo Données conso'!Q188</f>
        <v>6.1849315068493151</v>
      </c>
      <c r="AP198" s="236">
        <f>'Calculs dispo Données conso'!R188</f>
        <v>3.1849315068493151</v>
      </c>
      <c r="AQ198" s="241">
        <f>'Calculs dispo Données conso'!S188</f>
        <v>3</v>
      </c>
      <c r="AR198" s="849">
        <f>'Calculs dispo Données conso'!T188</f>
        <v>42014.547945205479</v>
      </c>
      <c r="AS198" s="850">
        <f>'Calculs dispo Données conso'!U188</f>
        <v>42104.547945205479</v>
      </c>
      <c r="AT198" s="500"/>
      <c r="AU198" s="231">
        <f>'Calculs dispo Données conso'!W188</f>
        <v>6.1849315068493151</v>
      </c>
      <c r="AV198" s="236">
        <f>'Calculs dispo Données conso'!X188</f>
        <v>3.1849315068493151</v>
      </c>
      <c r="AW198" s="241">
        <f>'Calculs dispo Données conso'!Y188</f>
        <v>3</v>
      </c>
      <c r="AX198" s="849">
        <f>'Calculs dispo Données conso'!Z188</f>
        <v>42014.547945205479</v>
      </c>
      <c r="AY198" s="850">
        <f>'Calculs dispo Données conso'!AA188</f>
        <v>42104.547945205479</v>
      </c>
      <c r="AZ198" s="500"/>
      <c r="BA198" s="231">
        <f>'Calculs dispo Données conso'!AC188</f>
        <v>0</v>
      </c>
      <c r="BB198" s="236">
        <f>'Calculs dispo Données conso'!AD188</f>
        <v>-3</v>
      </c>
      <c r="BC198" s="241">
        <f>'Calculs dispo Données conso'!AE188</f>
        <v>0</v>
      </c>
      <c r="BD198" s="241">
        <f>'Calculs dispo Données conso'!AF188</f>
        <v>0</v>
      </c>
      <c r="BE198" s="849">
        <f>'Calculs dispo Données conso'!AG188</f>
        <v>41829</v>
      </c>
      <c r="BF198" s="850">
        <f>'Calculs dispo Données conso'!AH188</f>
        <v>41919</v>
      </c>
      <c r="BG198" s="500"/>
      <c r="BH198" s="231" t="str">
        <f>'Calculs dispo Données conso'!AO188</f>
        <v/>
      </c>
      <c r="BI198" s="236" t="str">
        <f>'Calculs dispo Données conso'!AP188</f>
        <v/>
      </c>
      <c r="BJ198" s="241" t="str">
        <f>'Calculs dispo Données conso'!AQ188</f>
        <v/>
      </c>
      <c r="BK198" s="241" t="str">
        <f>'Calculs dispo Données conso'!AR188</f>
        <v/>
      </c>
      <c r="BL198" s="849" t="str">
        <f>'Calculs dispo Données conso'!AS188</f>
        <v/>
      </c>
      <c r="BM198" s="850" t="str">
        <f>'Calculs dispo Données conso'!AT188</f>
        <v/>
      </c>
    </row>
    <row r="199" spans="3:65" s="358" customFormat="1" ht="25.5" x14ac:dyDescent="0.2">
      <c r="C199" s="374"/>
      <c r="D199" s="375"/>
      <c r="E199" s="376" t="s">
        <v>474</v>
      </c>
      <c r="F199" s="377" t="str">
        <f>'TRAD-Calculs dispo confrontatio'!B42</f>
        <v>Cp</v>
      </c>
      <c r="G199" s="377" t="s">
        <v>478</v>
      </c>
      <c r="H199" s="378"/>
      <c r="I199" s="378" t="str">
        <f t="shared" si="64"/>
        <v>3TC+ABC - 300/600 mg - Bte/30</v>
      </c>
      <c r="J199" s="378" t="s">
        <v>489</v>
      </c>
      <c r="K199" s="380">
        <v>1</v>
      </c>
      <c r="L199" s="380">
        <v>30</v>
      </c>
      <c r="M199" s="114">
        <v>30</v>
      </c>
      <c r="N199" s="381">
        <f t="shared" ref="N199" si="67">L199/M199</f>
        <v>1</v>
      </c>
      <c r="O199" s="231" t="e">
        <f>'Calculs dispo Données FA'!Q187</f>
        <v>#DIV/0!</v>
      </c>
      <c r="P199" s="236" t="e">
        <f>'Calculs dispo Données FA'!R187</f>
        <v>#DIV/0!</v>
      </c>
      <c r="Q199" s="241" t="e">
        <f>'Calculs dispo Données FA'!S187</f>
        <v>#DIV/0!</v>
      </c>
      <c r="R199" s="247" t="e">
        <f>'Calculs dispo Données FA'!T187</f>
        <v>#DIV/0!</v>
      </c>
      <c r="S199" s="248" t="e">
        <f>'Calculs dispo Données FA'!U187</f>
        <v>#DIV/0!</v>
      </c>
      <c r="U199" s="231" t="str">
        <f>'Calculs dispo Données FA'!W187</f>
        <v/>
      </c>
      <c r="V199" s="236" t="str">
        <f>'Calculs dispo Données FA'!X187</f>
        <v/>
      </c>
      <c r="W199" s="241" t="str">
        <f>'Calculs dispo Données FA'!Y187</f>
        <v/>
      </c>
      <c r="X199" s="247" t="str">
        <f>'Calculs dispo Données FA'!Z187</f>
        <v/>
      </c>
      <c r="Y199" s="248" t="str">
        <f>'Calculs dispo Données FA'!AA187</f>
        <v>492B &amp; conso =0</v>
      </c>
      <c r="AA199" s="231" t="e">
        <f>'Calculs dispo Données FA'!AC187</f>
        <v>#DIV/0!</v>
      </c>
      <c r="AB199" s="236" t="e">
        <f>'Calculs dispo Données FA'!AD187</f>
        <v>#DIV/0!</v>
      </c>
      <c r="AC199" s="241" t="e">
        <f>'Calculs dispo Données FA'!AE187</f>
        <v>#DIV/0!</v>
      </c>
      <c r="AD199" s="241" t="e">
        <f>'Calculs dispo Données FA'!AF187</f>
        <v>#DIV/0!</v>
      </c>
      <c r="AE199" s="247" t="e">
        <f>'Calculs dispo Données FA'!AG187</f>
        <v>#DIV/0!</v>
      </c>
      <c r="AF199" s="248" t="e">
        <f>'Calculs dispo Données FA'!AH187</f>
        <v>#DIV/0!</v>
      </c>
      <c r="AH199" s="231" t="str">
        <f>'Calculs dispo Données FA'!AO187</f>
        <v/>
      </c>
      <c r="AI199" s="236" t="str">
        <f>'Calculs dispo Données FA'!AP187</f>
        <v/>
      </c>
      <c r="AJ199" s="241" t="str">
        <f>'Calculs dispo Données FA'!AQ187</f>
        <v/>
      </c>
      <c r="AK199" s="241" t="str">
        <f>'Calculs dispo Données FA'!AR187</f>
        <v/>
      </c>
      <c r="AL199" s="247" t="str">
        <f>'Calculs dispo Données FA'!AS187</f>
        <v/>
      </c>
      <c r="AM199" s="248" t="str">
        <f>'Calculs dispo Données FA'!AT187</f>
        <v/>
      </c>
      <c r="AO199" s="231"/>
      <c r="AP199" s="555"/>
      <c r="AQ199" s="556"/>
      <c r="AR199" s="557"/>
      <c r="AS199" s="558"/>
      <c r="AT199" s="500"/>
      <c r="AU199" s="231"/>
      <c r="AV199" s="555"/>
      <c r="AW199" s="556"/>
      <c r="AX199" s="557"/>
      <c r="AY199" s="558"/>
      <c r="AZ199" s="500"/>
      <c r="BA199" s="231"/>
      <c r="BB199" s="555"/>
      <c r="BC199" s="556"/>
      <c r="BD199" s="556"/>
      <c r="BE199" s="557"/>
      <c r="BF199" s="558"/>
      <c r="BG199" s="500"/>
      <c r="BH199" s="231"/>
      <c r="BI199" s="555"/>
      <c r="BJ199" s="556"/>
      <c r="BK199" s="556"/>
      <c r="BL199" s="557"/>
      <c r="BM199" s="558"/>
    </row>
    <row r="200" spans="3:65" s="358" customFormat="1" x14ac:dyDescent="0.2">
      <c r="C200" s="374"/>
      <c r="D200" s="375"/>
      <c r="E200" s="376"/>
      <c r="F200" s="377"/>
      <c r="G200" s="377"/>
      <c r="H200" s="378"/>
      <c r="I200" s="378"/>
      <c r="J200" s="378"/>
      <c r="K200" s="380"/>
      <c r="L200" s="380"/>
      <c r="M200" s="114"/>
      <c r="N200" s="381"/>
      <c r="O200" s="231"/>
      <c r="P200" s="555"/>
      <c r="Q200" s="556"/>
      <c r="R200" s="557"/>
      <c r="S200" s="558"/>
      <c r="U200" s="231"/>
      <c r="V200" s="555"/>
      <c r="W200" s="556"/>
      <c r="X200" s="557"/>
      <c r="Y200" s="558"/>
      <c r="AA200" s="231"/>
      <c r="AB200" s="555"/>
      <c r="AC200" s="556"/>
      <c r="AD200" s="556"/>
      <c r="AE200" s="557"/>
      <c r="AF200" s="558"/>
      <c r="AH200" s="231"/>
      <c r="AI200" s="555"/>
      <c r="AJ200" s="556"/>
      <c r="AK200" s="556"/>
      <c r="AL200" s="557"/>
      <c r="AM200" s="558"/>
      <c r="AO200" s="231">
        <f>'Calculs dispo Données conso'!Q190</f>
        <v>3.8465753424657536</v>
      </c>
      <c r="AP200" s="236">
        <f>'Calculs dispo Données conso'!R190</f>
        <v>0.84657534246575361</v>
      </c>
      <c r="AQ200" s="241">
        <f>'Calculs dispo Données conso'!S190</f>
        <v>3</v>
      </c>
      <c r="AR200" s="849">
        <f>'Calculs dispo Données conso'!T190</f>
        <v>41944.397260273974</v>
      </c>
      <c r="AS200" s="850">
        <f>'Calculs dispo Données conso'!U190</f>
        <v>42034.397260273974</v>
      </c>
      <c r="AT200" s="500"/>
      <c r="AU200" s="231">
        <f>'Calculs dispo Données conso'!W190</f>
        <v>3.8465753424657536</v>
      </c>
      <c r="AV200" s="236">
        <f>'Calculs dispo Données conso'!X190</f>
        <v>0.84657534246575361</v>
      </c>
      <c r="AW200" s="241">
        <f>'Calculs dispo Données conso'!Y190</f>
        <v>3</v>
      </c>
      <c r="AX200" s="849">
        <f>'Calculs dispo Données conso'!Z190</f>
        <v>41944.397260273974</v>
      </c>
      <c r="AY200" s="850">
        <f>'Calculs dispo Données conso'!AA190</f>
        <v>42034.397260273974</v>
      </c>
      <c r="AZ200" s="500"/>
      <c r="BA200" s="231">
        <f>'Calculs dispo Données conso'!AC188</f>
        <v>0</v>
      </c>
      <c r="BB200" s="236">
        <f>'Calculs dispo Données conso'!AD188</f>
        <v>-3</v>
      </c>
      <c r="BC200" s="241">
        <f>'Calculs dispo Données conso'!AE188</f>
        <v>0</v>
      </c>
      <c r="BD200" s="241">
        <f>'Calculs dispo Données conso'!AF188</f>
        <v>0</v>
      </c>
      <c r="BE200" s="849">
        <f>'Calculs dispo Données conso'!AG188</f>
        <v>41829</v>
      </c>
      <c r="BF200" s="850">
        <f>'Calculs dispo Données conso'!AH188</f>
        <v>41919</v>
      </c>
      <c r="BG200" s="500"/>
      <c r="BH200" s="231" t="str">
        <f>'Calculs dispo Données conso'!AO190</f>
        <v/>
      </c>
      <c r="BI200" s="236" t="str">
        <f>'Calculs dispo Données conso'!AP190</f>
        <v/>
      </c>
      <c r="BJ200" s="241" t="str">
        <f>'Calculs dispo Données conso'!AQ190</f>
        <v/>
      </c>
      <c r="BK200" s="241" t="str">
        <f>'Calculs dispo Données conso'!AR190</f>
        <v/>
      </c>
      <c r="BL200" s="849" t="str">
        <f>'Calculs dispo Données conso'!AS190</f>
        <v/>
      </c>
      <c r="BM200" s="850" t="str">
        <f>'Calculs dispo Données conso'!AT190</f>
        <v/>
      </c>
    </row>
    <row r="201" spans="3:65" s="358" customFormat="1" ht="25.5" x14ac:dyDescent="0.2">
      <c r="C201" s="374"/>
      <c r="D201" s="375"/>
      <c r="E201" s="382" t="s">
        <v>2</v>
      </c>
      <c r="F201" s="383" t="str">
        <f>'TRAD-Calculs dispo confrontatio'!B42</f>
        <v>Cp</v>
      </c>
      <c r="G201" s="383" t="s">
        <v>21</v>
      </c>
      <c r="H201" s="384"/>
      <c r="I201" s="384" t="str">
        <f t="shared" si="64"/>
        <v>D4T+3TC+NVP - 30/150/200 mg - Bte/60</v>
      </c>
      <c r="J201" s="385" t="s">
        <v>20</v>
      </c>
      <c r="K201" s="386">
        <v>2</v>
      </c>
      <c r="L201" s="386">
        <f t="shared" si="66"/>
        <v>60</v>
      </c>
      <c r="M201" s="115">
        <v>60</v>
      </c>
      <c r="N201" s="387">
        <f t="shared" si="65"/>
        <v>1</v>
      </c>
      <c r="O201" s="232" t="e">
        <f>'Calculs dispo Données FA'!Q189</f>
        <v>#DIV/0!</v>
      </c>
      <c r="P201" s="236" t="e">
        <f>'Calculs dispo Données FA'!R189</f>
        <v>#DIV/0!</v>
      </c>
      <c r="Q201" s="242" t="e">
        <f>'Calculs dispo Données FA'!S189</f>
        <v>#DIV/0!</v>
      </c>
      <c r="R201" s="249" t="e">
        <f>'Calculs dispo Données FA'!T189</f>
        <v>#DIV/0!</v>
      </c>
      <c r="S201" s="250" t="e">
        <f>'Calculs dispo Données FA'!U189</f>
        <v>#DIV/0!</v>
      </c>
      <c r="U201" s="232" t="str">
        <f>'Calculs dispo Données FA'!W189</f>
        <v/>
      </c>
      <c r="V201" s="236" t="str">
        <f>'Calculs dispo Données FA'!X189</f>
        <v/>
      </c>
      <c r="W201" s="242" t="str">
        <f>'Calculs dispo Données FA'!Y189</f>
        <v/>
      </c>
      <c r="X201" s="249" t="str">
        <f>'Calculs dispo Données FA'!Z189</f>
        <v/>
      </c>
      <c r="Y201" s="250" t="str">
        <f>'Calculs dispo Données FA'!AA189</f>
        <v/>
      </c>
      <c r="AA201" s="232" t="e">
        <f>'Calculs dispo Données FA'!AC189</f>
        <v>#DIV/0!</v>
      </c>
      <c r="AB201" s="236" t="e">
        <f>'Calculs dispo Données FA'!AD189</f>
        <v>#DIV/0!</v>
      </c>
      <c r="AC201" s="242" t="e">
        <f>'Calculs dispo Données FA'!AE189</f>
        <v>#DIV/0!</v>
      </c>
      <c r="AD201" s="242" t="e">
        <f>'Calculs dispo Données FA'!AF189</f>
        <v>#DIV/0!</v>
      </c>
      <c r="AE201" s="249" t="e">
        <f>'Calculs dispo Données FA'!AG189</f>
        <v>#DIV/0!</v>
      </c>
      <c r="AF201" s="250" t="e">
        <f>'Calculs dispo Données FA'!AH189</f>
        <v>#DIV/0!</v>
      </c>
      <c r="AH201" s="232" t="str">
        <f>'Calculs dispo Données FA'!AO189</f>
        <v/>
      </c>
      <c r="AI201" s="236" t="str">
        <f>'Calculs dispo Données FA'!AP189</f>
        <v/>
      </c>
      <c r="AJ201" s="242" t="str">
        <f>'Calculs dispo Données FA'!AQ189</f>
        <v/>
      </c>
      <c r="AK201" s="242" t="str">
        <f>'Calculs dispo Données FA'!AR189</f>
        <v/>
      </c>
      <c r="AL201" s="249" t="str">
        <f>'Calculs dispo Données FA'!AS189</f>
        <v/>
      </c>
      <c r="AM201" s="250" t="str">
        <f>'Calculs dispo Données FA'!AT189</f>
        <v/>
      </c>
      <c r="AO201" s="232"/>
      <c r="AP201" s="555"/>
      <c r="AQ201" s="564"/>
      <c r="AR201" s="565"/>
      <c r="AS201" s="566"/>
      <c r="AT201" s="500"/>
      <c r="AU201" s="232"/>
      <c r="AV201" s="555"/>
      <c r="AW201" s="564"/>
      <c r="AX201" s="565"/>
      <c r="AY201" s="566"/>
      <c r="AZ201" s="500"/>
      <c r="BA201" s="232"/>
      <c r="BB201" s="555"/>
      <c r="BC201" s="564"/>
      <c r="BD201" s="564"/>
      <c r="BE201" s="565"/>
      <c r="BF201" s="566"/>
      <c r="BG201" s="500"/>
      <c r="BH201" s="232"/>
      <c r="BI201" s="555"/>
      <c r="BJ201" s="564"/>
      <c r="BK201" s="564"/>
      <c r="BL201" s="565"/>
      <c r="BM201" s="566"/>
    </row>
    <row r="202" spans="3:65" s="358" customFormat="1" x14ac:dyDescent="0.2">
      <c r="C202" s="374"/>
      <c r="D202" s="375"/>
      <c r="E202" s="382"/>
      <c r="F202" s="383"/>
      <c r="G202" s="383"/>
      <c r="H202" s="384"/>
      <c r="I202" s="384"/>
      <c r="J202" s="385"/>
      <c r="K202" s="386"/>
      <c r="L202" s="386"/>
      <c r="M202" s="115"/>
      <c r="N202" s="387"/>
      <c r="O202" s="232"/>
      <c r="P202" s="555"/>
      <c r="Q202" s="564"/>
      <c r="R202" s="565"/>
      <c r="S202" s="566"/>
      <c r="U202" s="232"/>
      <c r="V202" s="555"/>
      <c r="W202" s="564"/>
      <c r="X202" s="565"/>
      <c r="Y202" s="566"/>
      <c r="AA202" s="232"/>
      <c r="AB202" s="555"/>
      <c r="AC202" s="564"/>
      <c r="AD202" s="564"/>
      <c r="AE202" s="565"/>
      <c r="AF202" s="566"/>
      <c r="AH202" s="232"/>
      <c r="AI202" s="555"/>
      <c r="AJ202" s="564"/>
      <c r="AK202" s="564"/>
      <c r="AL202" s="565"/>
      <c r="AM202" s="566"/>
      <c r="AO202" s="232" t="e">
        <f>'Calculs dispo Données conso'!Q191</f>
        <v>#DIV/0!</v>
      </c>
      <c r="AP202" s="236" t="e">
        <f>'Calculs dispo Données conso'!R191</f>
        <v>#DIV/0!</v>
      </c>
      <c r="AQ202" s="242" t="e">
        <f>'Calculs dispo Données conso'!S191</f>
        <v>#DIV/0!</v>
      </c>
      <c r="AR202" s="851" t="e">
        <f>'Calculs dispo Données conso'!T191</f>
        <v>#DIV/0!</v>
      </c>
      <c r="AS202" s="852" t="e">
        <f>'Calculs dispo Données conso'!U191</f>
        <v>#DIV/0!</v>
      </c>
      <c r="AT202" s="500"/>
      <c r="AU202" s="232" t="str">
        <f>'Calculs dispo Données conso'!W191</f>
        <v/>
      </c>
      <c r="AV202" s="236" t="str">
        <f>'Calculs dispo Données conso'!X191</f>
        <v/>
      </c>
      <c r="AW202" s="242" t="str">
        <f>'Calculs dispo Données conso'!Y191</f>
        <v/>
      </c>
      <c r="AX202" s="851" t="str">
        <f>'Calculs dispo Données conso'!Z191</f>
        <v/>
      </c>
      <c r="AY202" s="852" t="str">
        <f>'Calculs dispo Données conso'!AA191</f>
        <v/>
      </c>
      <c r="AZ202" s="500"/>
      <c r="BA202" s="232" t="e">
        <f>'Calculs dispo Données conso'!AC191</f>
        <v>#DIV/0!</v>
      </c>
      <c r="BB202" s="236" t="e">
        <f>'Calculs dispo Données conso'!AD191</f>
        <v>#DIV/0!</v>
      </c>
      <c r="BC202" s="242" t="e">
        <f>'Calculs dispo Données conso'!AE191</f>
        <v>#DIV/0!</v>
      </c>
      <c r="BD202" s="242" t="e">
        <f>'Calculs dispo Données conso'!AF191</f>
        <v>#DIV/0!</v>
      </c>
      <c r="BE202" s="851" t="e">
        <f>'Calculs dispo Données conso'!AG191</f>
        <v>#DIV/0!</v>
      </c>
      <c r="BF202" s="852" t="e">
        <f>'Calculs dispo Données conso'!AH191</f>
        <v>#DIV/0!</v>
      </c>
      <c r="BG202" s="500"/>
      <c r="BH202" s="232" t="str">
        <f>'Calculs dispo Données conso'!AO191</f>
        <v/>
      </c>
      <c r="BI202" s="236" t="str">
        <f>'Calculs dispo Données conso'!AP191</f>
        <v/>
      </c>
      <c r="BJ202" s="242" t="str">
        <f>'Calculs dispo Données conso'!AQ191</f>
        <v/>
      </c>
      <c r="BK202" s="242" t="str">
        <f>'Calculs dispo Données conso'!AR191</f>
        <v/>
      </c>
      <c r="BL202" s="851" t="str">
        <f>'Calculs dispo Données conso'!AS191</f>
        <v/>
      </c>
      <c r="BM202" s="852" t="str">
        <f>'Calculs dispo Données conso'!AT191</f>
        <v/>
      </c>
    </row>
    <row r="203" spans="3:65" s="358" customFormat="1" ht="25.5" x14ac:dyDescent="0.2">
      <c r="C203" s="374"/>
      <c r="D203" s="375"/>
      <c r="E203" s="382" t="s">
        <v>2</v>
      </c>
      <c r="F203" s="383" t="str">
        <f>'TRAD-Calculs dispo confrontatio'!B42</f>
        <v>Cp</v>
      </c>
      <c r="G203" s="383" t="s">
        <v>102</v>
      </c>
      <c r="H203" s="385"/>
      <c r="I203" s="385" t="str">
        <f t="shared" si="64"/>
        <v>D4T+3TC+NVP - 6/30/50 mg - Bte/60</v>
      </c>
      <c r="J203" s="385" t="s">
        <v>103</v>
      </c>
      <c r="K203" s="386">
        <v>2</v>
      </c>
      <c r="L203" s="386">
        <f t="shared" si="66"/>
        <v>60</v>
      </c>
      <c r="M203" s="115">
        <v>60</v>
      </c>
      <c r="N203" s="387">
        <f t="shared" si="65"/>
        <v>1</v>
      </c>
      <c r="O203" s="232" t="e">
        <f>'Calculs dispo Données FA'!Q190</f>
        <v>#DIV/0!</v>
      </c>
      <c r="P203" s="237" t="e">
        <f>'Calculs dispo Données FA'!R190</f>
        <v>#DIV/0!</v>
      </c>
      <c r="Q203" s="242" t="e">
        <f>'Calculs dispo Données FA'!S190</f>
        <v>#DIV/0!</v>
      </c>
      <c r="R203" s="249" t="e">
        <f>'Calculs dispo Données FA'!T190</f>
        <v>#DIV/0!</v>
      </c>
      <c r="S203" s="250" t="e">
        <f>'Calculs dispo Données FA'!U190</f>
        <v>#DIV/0!</v>
      </c>
      <c r="U203" s="232" t="str">
        <f>'Calculs dispo Données FA'!W190</f>
        <v/>
      </c>
      <c r="V203" s="237" t="str">
        <f>'Calculs dispo Données FA'!X190</f>
        <v/>
      </c>
      <c r="W203" s="242" t="str">
        <f>'Calculs dispo Données FA'!Y190</f>
        <v/>
      </c>
      <c r="X203" s="249" t="str">
        <f>'Calculs dispo Données FA'!Z190</f>
        <v/>
      </c>
      <c r="Y203" s="250" t="str">
        <f>'Calculs dispo Données FA'!AA190</f>
        <v>121B &amp; conso =0</v>
      </c>
      <c r="AA203" s="232" t="e">
        <f>'Calculs dispo Données FA'!AC190</f>
        <v>#DIV/0!</v>
      </c>
      <c r="AB203" s="237" t="e">
        <f>'Calculs dispo Données FA'!AD190</f>
        <v>#DIV/0!</v>
      </c>
      <c r="AC203" s="242" t="e">
        <f>'Calculs dispo Données FA'!AE190</f>
        <v>#DIV/0!</v>
      </c>
      <c r="AD203" s="242" t="e">
        <f>'Calculs dispo Données FA'!AF190</f>
        <v>#DIV/0!</v>
      </c>
      <c r="AE203" s="249" t="e">
        <f>'Calculs dispo Données FA'!AG190</f>
        <v>#DIV/0!</v>
      </c>
      <c r="AF203" s="250" t="e">
        <f>'Calculs dispo Données FA'!AH190</f>
        <v>#DIV/0!</v>
      </c>
      <c r="AH203" s="232" t="str">
        <f>'Calculs dispo Données FA'!AO190</f>
        <v/>
      </c>
      <c r="AI203" s="237" t="str">
        <f>'Calculs dispo Données FA'!AP190</f>
        <v/>
      </c>
      <c r="AJ203" s="242" t="str">
        <f>'Calculs dispo Données FA'!AQ190</f>
        <v/>
      </c>
      <c r="AK203" s="242" t="str">
        <f>'Calculs dispo Données FA'!AR190</f>
        <v/>
      </c>
      <c r="AL203" s="249" t="str">
        <f>'Calculs dispo Données FA'!AS190</f>
        <v/>
      </c>
      <c r="AM203" s="250" t="str">
        <f>'Calculs dispo Données FA'!AT190</f>
        <v/>
      </c>
      <c r="AO203" s="232"/>
      <c r="AP203" s="563"/>
      <c r="AQ203" s="564"/>
      <c r="AR203" s="565"/>
      <c r="AS203" s="566"/>
      <c r="AT203" s="500"/>
      <c r="AU203" s="232"/>
      <c r="AV203" s="563"/>
      <c r="AW203" s="564"/>
      <c r="AX203" s="565"/>
      <c r="AY203" s="566"/>
      <c r="AZ203" s="500"/>
      <c r="BA203" s="232"/>
      <c r="BB203" s="563"/>
      <c r="BC203" s="564"/>
      <c r="BD203" s="564"/>
      <c r="BE203" s="565"/>
      <c r="BF203" s="566"/>
      <c r="BG203" s="500"/>
      <c r="BH203" s="232"/>
      <c r="BI203" s="563"/>
      <c r="BJ203" s="564"/>
      <c r="BK203" s="564"/>
      <c r="BL203" s="565"/>
      <c r="BM203" s="566"/>
    </row>
    <row r="204" spans="3:65" s="358" customFormat="1" x14ac:dyDescent="0.2">
      <c r="C204" s="374"/>
      <c r="D204" s="375"/>
      <c r="E204" s="382"/>
      <c r="F204" s="383"/>
      <c r="G204" s="383"/>
      <c r="H204" s="379"/>
      <c r="I204" s="379"/>
      <c r="J204" s="385"/>
      <c r="K204" s="386"/>
      <c r="L204" s="386"/>
      <c r="M204" s="115"/>
      <c r="N204" s="387"/>
      <c r="O204" s="232"/>
      <c r="P204" s="563"/>
      <c r="Q204" s="564"/>
      <c r="R204" s="565"/>
      <c r="S204" s="566"/>
      <c r="U204" s="232"/>
      <c r="V204" s="563"/>
      <c r="W204" s="564"/>
      <c r="X204" s="565"/>
      <c r="Y204" s="566"/>
      <c r="AA204" s="232"/>
      <c r="AB204" s="563"/>
      <c r="AC204" s="564"/>
      <c r="AD204" s="564"/>
      <c r="AE204" s="565"/>
      <c r="AF204" s="566"/>
      <c r="AH204" s="232"/>
      <c r="AI204" s="563"/>
      <c r="AJ204" s="564"/>
      <c r="AK204" s="564"/>
      <c r="AL204" s="565"/>
      <c r="AM204" s="566"/>
      <c r="AO204" s="232">
        <f>'Calculs dispo Données conso'!Q192</f>
        <v>1.1219178082191781</v>
      </c>
      <c r="AP204" s="237">
        <f>'Calculs dispo Données conso'!R192</f>
        <v>-1.8780821917808219</v>
      </c>
      <c r="AQ204" s="242">
        <f>'Calculs dispo Données conso'!S192</f>
        <v>1.1219178082191781</v>
      </c>
      <c r="AR204" s="851">
        <f>'Calculs dispo Données conso'!T192</f>
        <v>41862.657534246573</v>
      </c>
      <c r="AS204" s="852">
        <f>'Calculs dispo Données conso'!U192</f>
        <v>41952.657534246573</v>
      </c>
      <c r="AT204" s="500"/>
      <c r="AU204" s="232">
        <f>'Calculs dispo Données conso'!W192</f>
        <v>1.1219178082191781</v>
      </c>
      <c r="AV204" s="237">
        <f>'Calculs dispo Données conso'!X192</f>
        <v>-1.8780821917808219</v>
      </c>
      <c r="AW204" s="242">
        <f>'Calculs dispo Données conso'!Y192</f>
        <v>1.1219178082191781</v>
      </c>
      <c r="AX204" s="851">
        <f>'Calculs dispo Données conso'!Z192</f>
        <v>41862.657534246573</v>
      </c>
      <c r="AY204" s="852">
        <f>'Calculs dispo Données conso'!AA192</f>
        <v>41952.657534246573</v>
      </c>
      <c r="AZ204" s="500"/>
      <c r="BA204" s="232">
        <f>'Calculs dispo Données conso'!AC192</f>
        <v>0</v>
      </c>
      <c r="BB204" s="237">
        <f>'Calculs dispo Données conso'!AD192</f>
        <v>-3</v>
      </c>
      <c r="BC204" s="242">
        <f>'Calculs dispo Données conso'!AE192</f>
        <v>0</v>
      </c>
      <c r="BD204" s="242">
        <f>'Calculs dispo Données conso'!AF192</f>
        <v>0</v>
      </c>
      <c r="BE204" s="851">
        <f>'Calculs dispo Données conso'!AG192</f>
        <v>41829</v>
      </c>
      <c r="BF204" s="852">
        <f>'Calculs dispo Données conso'!AH192</f>
        <v>41919</v>
      </c>
      <c r="BG204" s="500"/>
      <c r="BH204" s="232" t="str">
        <f>'Calculs dispo Données conso'!AO192</f>
        <v/>
      </c>
      <c r="BI204" s="237" t="str">
        <f>'Calculs dispo Données conso'!AP192</f>
        <v/>
      </c>
      <c r="BJ204" s="242" t="str">
        <f>'Calculs dispo Données conso'!AQ192</f>
        <v/>
      </c>
      <c r="BK204" s="242" t="str">
        <f>'Calculs dispo Données conso'!AR192</f>
        <v/>
      </c>
      <c r="BL204" s="851" t="str">
        <f>'Calculs dispo Données conso'!AS192</f>
        <v/>
      </c>
      <c r="BM204" s="852" t="str">
        <f>'Calculs dispo Données conso'!AT192</f>
        <v/>
      </c>
    </row>
    <row r="205" spans="3:65" s="358" customFormat="1" ht="25.5" x14ac:dyDescent="0.2">
      <c r="C205" s="374"/>
      <c r="D205" s="375"/>
      <c r="E205" s="382" t="s">
        <v>22</v>
      </c>
      <c r="F205" s="383" t="str">
        <f>'TRAD-Calculs dispo confrontatio'!B42</f>
        <v>Cp</v>
      </c>
      <c r="G205" s="383" t="s">
        <v>23</v>
      </c>
      <c r="H205" s="379"/>
      <c r="I205" s="379" t="str">
        <f t="shared" si="64"/>
        <v>D4T+3TC - 30/150 mg - Bte/60</v>
      </c>
      <c r="J205" s="385" t="s">
        <v>124</v>
      </c>
      <c r="K205" s="386">
        <v>2</v>
      </c>
      <c r="L205" s="386">
        <f t="shared" si="66"/>
        <v>60</v>
      </c>
      <c r="M205" s="115">
        <v>60</v>
      </c>
      <c r="N205" s="387">
        <f t="shared" si="65"/>
        <v>1</v>
      </c>
      <c r="O205" s="232" t="e">
        <f>'Calculs dispo Données FA'!Q191</f>
        <v>#DIV/0!</v>
      </c>
      <c r="P205" s="237" t="e">
        <f>'Calculs dispo Données FA'!R191</f>
        <v>#DIV/0!</v>
      </c>
      <c r="Q205" s="242" t="e">
        <f>'Calculs dispo Données FA'!S191</f>
        <v>#DIV/0!</v>
      </c>
      <c r="R205" s="249" t="e">
        <f>'Calculs dispo Données FA'!T191</f>
        <v>#DIV/0!</v>
      </c>
      <c r="S205" s="250" t="e">
        <f>'Calculs dispo Données FA'!U191</f>
        <v>#DIV/0!</v>
      </c>
      <c r="U205" s="232" t="str">
        <f>'Calculs dispo Données FA'!W191</f>
        <v/>
      </c>
      <c r="V205" s="237" t="str">
        <f>'Calculs dispo Données FA'!X191</f>
        <v/>
      </c>
      <c r="W205" s="242" t="str">
        <f>'Calculs dispo Données FA'!Y191</f>
        <v/>
      </c>
      <c r="X205" s="249" t="str">
        <f>'Calculs dispo Données FA'!Z191</f>
        <v/>
      </c>
      <c r="Y205" s="250" t="str">
        <f>'Calculs dispo Données FA'!AA191</f>
        <v>16B &amp; conso =0</v>
      </c>
      <c r="AA205" s="232" t="e">
        <f>'Calculs dispo Données FA'!AC191</f>
        <v>#DIV/0!</v>
      </c>
      <c r="AB205" s="237" t="e">
        <f>'Calculs dispo Données FA'!AD191</f>
        <v>#DIV/0!</v>
      </c>
      <c r="AC205" s="242" t="e">
        <f>'Calculs dispo Données FA'!AE191</f>
        <v>#DIV/0!</v>
      </c>
      <c r="AD205" s="242" t="e">
        <f>'Calculs dispo Données FA'!AF191</f>
        <v>#DIV/0!</v>
      </c>
      <c r="AE205" s="249" t="e">
        <f>'Calculs dispo Données FA'!AG191</f>
        <v>#DIV/0!</v>
      </c>
      <c r="AF205" s="250" t="e">
        <f>'Calculs dispo Données FA'!AH191</f>
        <v>#DIV/0!</v>
      </c>
      <c r="AH205" s="232" t="str">
        <f>'Calculs dispo Données FA'!AO191</f>
        <v/>
      </c>
      <c r="AI205" s="237" t="str">
        <f>'Calculs dispo Données FA'!AP191</f>
        <v/>
      </c>
      <c r="AJ205" s="242" t="str">
        <f>'Calculs dispo Données FA'!AQ191</f>
        <v/>
      </c>
      <c r="AK205" s="242" t="str">
        <f>'Calculs dispo Données FA'!AR191</f>
        <v/>
      </c>
      <c r="AL205" s="249" t="str">
        <f>'Calculs dispo Données FA'!AS191</f>
        <v/>
      </c>
      <c r="AM205" s="250" t="str">
        <f>'Calculs dispo Données FA'!AT191</f>
        <v/>
      </c>
      <c r="AO205" s="232"/>
      <c r="AP205" s="563"/>
      <c r="AQ205" s="564"/>
      <c r="AR205" s="565"/>
      <c r="AS205" s="566"/>
      <c r="AT205" s="500"/>
      <c r="AU205" s="232"/>
      <c r="AV205" s="563"/>
      <c r="AW205" s="564"/>
      <c r="AX205" s="565"/>
      <c r="AY205" s="566"/>
      <c r="AZ205" s="500"/>
      <c r="BA205" s="232"/>
      <c r="BB205" s="563"/>
      <c r="BC205" s="564"/>
      <c r="BD205" s="564"/>
      <c r="BE205" s="565"/>
      <c r="BF205" s="566"/>
      <c r="BG205" s="500"/>
      <c r="BH205" s="232"/>
      <c r="BI205" s="563"/>
      <c r="BJ205" s="564"/>
      <c r="BK205" s="564"/>
      <c r="BL205" s="565"/>
      <c r="BM205" s="566"/>
    </row>
    <row r="206" spans="3:65" s="358" customFormat="1" x14ac:dyDescent="0.2">
      <c r="C206" s="374"/>
      <c r="D206" s="375"/>
      <c r="E206" s="382"/>
      <c r="F206" s="383"/>
      <c r="G206" s="383"/>
      <c r="H206" s="379"/>
      <c r="I206" s="379"/>
      <c r="J206" s="385"/>
      <c r="K206" s="386"/>
      <c r="L206" s="386"/>
      <c r="M206" s="115"/>
      <c r="N206" s="387"/>
      <c r="O206" s="232"/>
      <c r="P206" s="563"/>
      <c r="Q206" s="564"/>
      <c r="R206" s="565"/>
      <c r="S206" s="566"/>
      <c r="U206" s="232"/>
      <c r="V206" s="563"/>
      <c r="W206" s="564"/>
      <c r="X206" s="565"/>
      <c r="Y206" s="566"/>
      <c r="AA206" s="232"/>
      <c r="AB206" s="563"/>
      <c r="AC206" s="564"/>
      <c r="AD206" s="564"/>
      <c r="AE206" s="565"/>
      <c r="AF206" s="566"/>
      <c r="AH206" s="232"/>
      <c r="AI206" s="563"/>
      <c r="AJ206" s="564"/>
      <c r="AK206" s="564"/>
      <c r="AL206" s="565"/>
      <c r="AM206" s="566"/>
      <c r="AO206" s="232">
        <f>'Calculs dispo Données conso'!Q193</f>
        <v>0.35555555555555557</v>
      </c>
      <c r="AP206" s="237">
        <f>'Calculs dispo Données conso'!R193</f>
        <v>-2.6444444444444444</v>
      </c>
      <c r="AQ206" s="242">
        <f>'Calculs dispo Données conso'!S193</f>
        <v>0.35555555555555557</v>
      </c>
      <c r="AR206" s="851">
        <f>'Calculs dispo Données conso'!T193</f>
        <v>41839.666666666664</v>
      </c>
      <c r="AS206" s="852">
        <f>'Calculs dispo Données conso'!U193</f>
        <v>41929.666666666664</v>
      </c>
      <c r="AT206" s="500"/>
      <c r="AU206" s="232">
        <f>'Calculs dispo Données conso'!W193</f>
        <v>0.35555555555555557</v>
      </c>
      <c r="AV206" s="237">
        <f>'Calculs dispo Données conso'!X193</f>
        <v>-2.6444444444444444</v>
      </c>
      <c r="AW206" s="242">
        <f>'Calculs dispo Données conso'!Y193</f>
        <v>0.35555555555555557</v>
      </c>
      <c r="AX206" s="851">
        <f>'Calculs dispo Données conso'!Z193</f>
        <v>41839.666666666664</v>
      </c>
      <c r="AY206" s="852">
        <f>'Calculs dispo Données conso'!AA193</f>
        <v>41929.666666666664</v>
      </c>
      <c r="AZ206" s="500"/>
      <c r="BA206" s="232">
        <f>'Calculs dispo Données conso'!AC193</f>
        <v>0</v>
      </c>
      <c r="BB206" s="237">
        <f>'Calculs dispo Données conso'!AD193</f>
        <v>-3</v>
      </c>
      <c r="BC206" s="242">
        <f>'Calculs dispo Données conso'!AE193</f>
        <v>0</v>
      </c>
      <c r="BD206" s="242">
        <f>'Calculs dispo Données conso'!AF193</f>
        <v>0</v>
      </c>
      <c r="BE206" s="851">
        <f>'Calculs dispo Données conso'!AG193</f>
        <v>41829</v>
      </c>
      <c r="BF206" s="852">
        <f>'Calculs dispo Données conso'!AH193</f>
        <v>41919</v>
      </c>
      <c r="BG206" s="500"/>
      <c r="BH206" s="232" t="str">
        <f>'Calculs dispo Données conso'!AO193</f>
        <v/>
      </c>
      <c r="BI206" s="237" t="str">
        <f>'Calculs dispo Données conso'!AP193</f>
        <v/>
      </c>
      <c r="BJ206" s="242" t="str">
        <f>'Calculs dispo Données conso'!AQ193</f>
        <v/>
      </c>
      <c r="BK206" s="242" t="str">
        <f>'Calculs dispo Données conso'!AR193</f>
        <v/>
      </c>
      <c r="BL206" s="851" t="str">
        <f>'Calculs dispo Données conso'!AS193</f>
        <v/>
      </c>
      <c r="BM206" s="852" t="str">
        <f>'Calculs dispo Données conso'!AT193</f>
        <v/>
      </c>
    </row>
    <row r="207" spans="3:65" s="358" customFormat="1" ht="25.5" x14ac:dyDescent="0.2">
      <c r="C207" s="374"/>
      <c r="D207" s="375"/>
      <c r="E207" s="382" t="s">
        <v>9</v>
      </c>
      <c r="F207" s="383" t="str">
        <f>'TRAD-Calculs dispo confrontatio'!B42</f>
        <v>Cp</v>
      </c>
      <c r="G207" s="383" t="s">
        <v>130</v>
      </c>
      <c r="H207" s="379" t="s">
        <v>123</v>
      </c>
      <c r="I207" s="379" t="str">
        <f t="shared" si="64"/>
        <v>TDF+FTC+EFV - 300/200/600 mg - Bte/30</v>
      </c>
      <c r="J207" s="385"/>
      <c r="K207" s="386">
        <v>1</v>
      </c>
      <c r="L207" s="386">
        <f>K207*30</f>
        <v>30</v>
      </c>
      <c r="M207" s="115">
        <v>30</v>
      </c>
      <c r="N207" s="387">
        <f t="shared" si="65"/>
        <v>1</v>
      </c>
      <c r="O207" s="232" t="e">
        <f>'Calculs dispo Données FA'!Q192</f>
        <v>#DIV/0!</v>
      </c>
      <c r="P207" s="237" t="e">
        <f>'Calculs dispo Données FA'!R192</f>
        <v>#DIV/0!</v>
      </c>
      <c r="Q207" s="242" t="e">
        <f>'Calculs dispo Données FA'!S192</f>
        <v>#DIV/0!</v>
      </c>
      <c r="R207" s="249" t="e">
        <f>'Calculs dispo Données FA'!T192</f>
        <v>#DIV/0!</v>
      </c>
      <c r="S207" s="250" t="e">
        <f>'Calculs dispo Données FA'!U192</f>
        <v>#DIV/0!</v>
      </c>
      <c r="U207" s="232" t="str">
        <f>'Calculs dispo Données FA'!W192</f>
        <v/>
      </c>
      <c r="V207" s="237" t="str">
        <f>'Calculs dispo Données FA'!X192</f>
        <v/>
      </c>
      <c r="W207" s="242" t="str">
        <f>'Calculs dispo Données FA'!Y192</f>
        <v/>
      </c>
      <c r="X207" s="249" t="str">
        <f>'Calculs dispo Données FA'!Z192</f>
        <v/>
      </c>
      <c r="Y207" s="250" t="str">
        <f>'Calculs dispo Données FA'!AA192</f>
        <v/>
      </c>
      <c r="AA207" s="232" t="e">
        <f>'Calculs dispo Données FA'!AC192</f>
        <v>#DIV/0!</v>
      </c>
      <c r="AB207" s="237" t="e">
        <f>'Calculs dispo Données FA'!AD192</f>
        <v>#DIV/0!</v>
      </c>
      <c r="AC207" s="242" t="e">
        <f>'Calculs dispo Données FA'!AE192</f>
        <v>#DIV/0!</v>
      </c>
      <c r="AD207" s="242" t="e">
        <f>'Calculs dispo Données FA'!AF192</f>
        <v>#DIV/0!</v>
      </c>
      <c r="AE207" s="249" t="e">
        <f>'Calculs dispo Données FA'!AG192</f>
        <v>#DIV/0!</v>
      </c>
      <c r="AF207" s="250" t="e">
        <f>'Calculs dispo Données FA'!AH192</f>
        <v>#DIV/0!</v>
      </c>
      <c r="AH207" s="232" t="str">
        <f>'Calculs dispo Données FA'!AO192</f>
        <v/>
      </c>
      <c r="AI207" s="237" t="str">
        <f>'Calculs dispo Données FA'!AP192</f>
        <v/>
      </c>
      <c r="AJ207" s="242" t="str">
        <f>'Calculs dispo Données FA'!AQ192</f>
        <v/>
      </c>
      <c r="AK207" s="242" t="str">
        <f>'Calculs dispo Données FA'!AR192</f>
        <v/>
      </c>
      <c r="AL207" s="249" t="str">
        <f>'Calculs dispo Données FA'!AS192</f>
        <v/>
      </c>
      <c r="AM207" s="250" t="str">
        <f>'Calculs dispo Données FA'!AT192</f>
        <v/>
      </c>
      <c r="AO207" s="232"/>
      <c r="AP207" s="563"/>
      <c r="AQ207" s="564"/>
      <c r="AR207" s="565"/>
      <c r="AS207" s="566"/>
      <c r="AT207" s="500"/>
      <c r="AU207" s="232"/>
      <c r="AV207" s="563"/>
      <c r="AW207" s="564"/>
      <c r="AX207" s="565"/>
      <c r="AY207" s="566"/>
      <c r="AZ207" s="500"/>
      <c r="BA207" s="232"/>
      <c r="BB207" s="563"/>
      <c r="BC207" s="564"/>
      <c r="BD207" s="564"/>
      <c r="BE207" s="565"/>
      <c r="BF207" s="566"/>
      <c r="BG207" s="500"/>
      <c r="BH207" s="232"/>
      <c r="BI207" s="563"/>
      <c r="BJ207" s="564"/>
      <c r="BK207" s="564"/>
      <c r="BL207" s="565"/>
      <c r="BM207" s="566"/>
    </row>
    <row r="208" spans="3:65" s="358" customFormat="1" x14ac:dyDescent="0.2">
      <c r="C208" s="374"/>
      <c r="D208" s="375"/>
      <c r="E208" s="382"/>
      <c r="F208" s="383"/>
      <c r="G208" s="383"/>
      <c r="H208" s="379"/>
      <c r="I208" s="379"/>
      <c r="J208" s="385"/>
      <c r="K208" s="386"/>
      <c r="L208" s="386"/>
      <c r="M208" s="115"/>
      <c r="N208" s="387"/>
      <c r="O208" s="232"/>
      <c r="P208" s="563"/>
      <c r="Q208" s="564"/>
      <c r="R208" s="565"/>
      <c r="S208" s="566"/>
      <c r="U208" s="232"/>
      <c r="V208" s="563"/>
      <c r="W208" s="564"/>
      <c r="X208" s="565"/>
      <c r="Y208" s="566"/>
      <c r="AA208" s="232"/>
      <c r="AB208" s="563"/>
      <c r="AC208" s="564"/>
      <c r="AD208" s="564"/>
      <c r="AE208" s="565"/>
      <c r="AF208" s="566"/>
      <c r="AH208" s="232"/>
      <c r="AI208" s="563"/>
      <c r="AJ208" s="564"/>
      <c r="AK208" s="564"/>
      <c r="AL208" s="565"/>
      <c r="AM208" s="566"/>
      <c r="AO208" s="232" t="e">
        <f>'Calculs dispo Données conso'!Q194</f>
        <v>#DIV/0!</v>
      </c>
      <c r="AP208" s="237" t="e">
        <f>'Calculs dispo Données conso'!R194</f>
        <v>#DIV/0!</v>
      </c>
      <c r="AQ208" s="242" t="e">
        <f>'Calculs dispo Données conso'!S194</f>
        <v>#DIV/0!</v>
      </c>
      <c r="AR208" s="851" t="e">
        <f>'Calculs dispo Données conso'!T194</f>
        <v>#DIV/0!</v>
      </c>
      <c r="AS208" s="852" t="e">
        <f>'Calculs dispo Données conso'!U194</f>
        <v>#DIV/0!</v>
      </c>
      <c r="AT208" s="500"/>
      <c r="AU208" s="232" t="str">
        <f>'Calculs dispo Données conso'!W194</f>
        <v/>
      </c>
      <c r="AV208" s="237" t="str">
        <f>'Calculs dispo Données conso'!X194</f>
        <v/>
      </c>
      <c r="AW208" s="242" t="str">
        <f>'Calculs dispo Données conso'!Y194</f>
        <v/>
      </c>
      <c r="AX208" s="851" t="str">
        <f>'Calculs dispo Données conso'!Z194</f>
        <v/>
      </c>
      <c r="AY208" s="852" t="str">
        <f>'Calculs dispo Données conso'!AA194</f>
        <v/>
      </c>
      <c r="AZ208" s="500"/>
      <c r="BA208" s="232" t="e">
        <f>'Calculs dispo Données conso'!AC194</f>
        <v>#DIV/0!</v>
      </c>
      <c r="BB208" s="237" t="e">
        <f>'Calculs dispo Données conso'!AD194</f>
        <v>#DIV/0!</v>
      </c>
      <c r="BC208" s="242" t="e">
        <f>'Calculs dispo Données conso'!AE194</f>
        <v>#DIV/0!</v>
      </c>
      <c r="BD208" s="242" t="e">
        <f>'Calculs dispo Données conso'!AF194</f>
        <v>#DIV/0!</v>
      </c>
      <c r="BE208" s="851" t="e">
        <f>'Calculs dispo Données conso'!AG194</f>
        <v>#DIV/0!</v>
      </c>
      <c r="BF208" s="852" t="e">
        <f>'Calculs dispo Données conso'!AH194</f>
        <v>#DIV/0!</v>
      </c>
      <c r="BG208" s="500"/>
      <c r="BH208" s="232" t="str">
        <f>'Calculs dispo Données conso'!AO194</f>
        <v/>
      </c>
      <c r="BI208" s="237" t="str">
        <f>'Calculs dispo Données conso'!AP194</f>
        <v/>
      </c>
      <c r="BJ208" s="242" t="str">
        <f>'Calculs dispo Données conso'!AQ194</f>
        <v/>
      </c>
      <c r="BK208" s="242" t="str">
        <f>'Calculs dispo Données conso'!AR194</f>
        <v/>
      </c>
      <c r="BL208" s="851" t="str">
        <f>'Calculs dispo Données conso'!AS194</f>
        <v/>
      </c>
      <c r="BM208" s="852" t="str">
        <f>'Calculs dispo Données conso'!AT194</f>
        <v/>
      </c>
    </row>
    <row r="209" spans="3:65" s="358" customFormat="1" ht="25.5" x14ac:dyDescent="0.2">
      <c r="C209" s="374"/>
      <c r="D209" s="375"/>
      <c r="E209" s="382" t="s">
        <v>121</v>
      </c>
      <c r="F209" s="383" t="str">
        <f>'TRAD-Calculs dispo confrontatio'!B42</f>
        <v>Cp</v>
      </c>
      <c r="G209" s="383" t="s">
        <v>25</v>
      </c>
      <c r="H209" s="379" t="s">
        <v>24</v>
      </c>
      <c r="I209" s="379" t="str">
        <f t="shared" si="64"/>
        <v>TDF+FTC - 300/200 mg - Bte/30</v>
      </c>
      <c r="J209" s="385"/>
      <c r="K209" s="386">
        <v>1</v>
      </c>
      <c r="L209" s="386">
        <f>K209*30</f>
        <v>30</v>
      </c>
      <c r="M209" s="115">
        <v>30</v>
      </c>
      <c r="N209" s="387">
        <f t="shared" si="65"/>
        <v>1</v>
      </c>
      <c r="O209" s="232" t="e">
        <f>'Calculs dispo Données FA'!Q193</f>
        <v>#DIV/0!</v>
      </c>
      <c r="P209" s="237" t="e">
        <f>'Calculs dispo Données FA'!R193</f>
        <v>#DIV/0!</v>
      </c>
      <c r="Q209" s="242" t="e">
        <f>'Calculs dispo Données FA'!S193</f>
        <v>#DIV/0!</v>
      </c>
      <c r="R209" s="249" t="e">
        <f>'Calculs dispo Données FA'!T193</f>
        <v>#DIV/0!</v>
      </c>
      <c r="S209" s="250" t="e">
        <f>'Calculs dispo Données FA'!U193</f>
        <v>#DIV/0!</v>
      </c>
      <c r="U209" s="232" t="str">
        <f>'Calculs dispo Données FA'!W193</f>
        <v/>
      </c>
      <c r="V209" s="237" t="str">
        <f>'Calculs dispo Données FA'!X193</f>
        <v/>
      </c>
      <c r="W209" s="242" t="str">
        <f>'Calculs dispo Données FA'!Y193</f>
        <v/>
      </c>
      <c r="X209" s="249" t="str">
        <f>'Calculs dispo Données FA'!Z193</f>
        <v/>
      </c>
      <c r="Y209" s="250" t="str">
        <f>'Calculs dispo Données FA'!AA193</f>
        <v/>
      </c>
      <c r="AA209" s="232" t="e">
        <f>'Calculs dispo Données FA'!AC193</f>
        <v>#DIV/0!</v>
      </c>
      <c r="AB209" s="237" t="e">
        <f>'Calculs dispo Données FA'!AD193</f>
        <v>#DIV/0!</v>
      </c>
      <c r="AC209" s="242" t="e">
        <f>'Calculs dispo Données FA'!AE193</f>
        <v>#DIV/0!</v>
      </c>
      <c r="AD209" s="242" t="e">
        <f>'Calculs dispo Données FA'!AF193</f>
        <v>#DIV/0!</v>
      </c>
      <c r="AE209" s="249" t="e">
        <f>'Calculs dispo Données FA'!AG193</f>
        <v>#DIV/0!</v>
      </c>
      <c r="AF209" s="250" t="e">
        <f>'Calculs dispo Données FA'!AH193</f>
        <v>#DIV/0!</v>
      </c>
      <c r="AH209" s="232" t="str">
        <f>'Calculs dispo Données FA'!AO193</f>
        <v/>
      </c>
      <c r="AI209" s="237" t="str">
        <f>'Calculs dispo Données FA'!AP193</f>
        <v/>
      </c>
      <c r="AJ209" s="242" t="str">
        <f>'Calculs dispo Données FA'!AQ193</f>
        <v/>
      </c>
      <c r="AK209" s="242" t="str">
        <f>'Calculs dispo Données FA'!AR193</f>
        <v/>
      </c>
      <c r="AL209" s="249" t="str">
        <f>'Calculs dispo Données FA'!AS193</f>
        <v/>
      </c>
      <c r="AM209" s="250" t="str">
        <f>'Calculs dispo Données FA'!AT193</f>
        <v/>
      </c>
      <c r="AO209" s="232"/>
      <c r="AP209" s="563"/>
      <c r="AQ209" s="564"/>
      <c r="AR209" s="565"/>
      <c r="AS209" s="566"/>
      <c r="AT209" s="500"/>
      <c r="AU209" s="232"/>
      <c r="AV209" s="563"/>
      <c r="AW209" s="564"/>
      <c r="AX209" s="565"/>
      <c r="AY209" s="566"/>
      <c r="AZ209" s="500"/>
      <c r="BA209" s="232"/>
      <c r="BB209" s="563"/>
      <c r="BC209" s="564"/>
      <c r="BD209" s="564"/>
      <c r="BE209" s="565"/>
      <c r="BF209" s="566"/>
      <c r="BG209" s="500"/>
      <c r="BH209" s="232"/>
      <c r="BI209" s="563"/>
      <c r="BJ209" s="564"/>
      <c r="BK209" s="564"/>
      <c r="BL209" s="565"/>
      <c r="BM209" s="566"/>
    </row>
    <row r="210" spans="3:65" s="358" customFormat="1" x14ac:dyDescent="0.2">
      <c r="C210" s="374"/>
      <c r="D210" s="375"/>
      <c r="E210" s="382"/>
      <c r="F210" s="383"/>
      <c r="G210" s="383"/>
      <c r="H210" s="379"/>
      <c r="I210" s="379"/>
      <c r="J210" s="385"/>
      <c r="K210" s="386"/>
      <c r="L210" s="386"/>
      <c r="M210" s="115"/>
      <c r="N210" s="387"/>
      <c r="O210" s="232"/>
      <c r="P210" s="563"/>
      <c r="Q210" s="564"/>
      <c r="R210" s="565"/>
      <c r="S210" s="566"/>
      <c r="U210" s="232"/>
      <c r="V210" s="563"/>
      <c r="W210" s="564"/>
      <c r="X210" s="565"/>
      <c r="Y210" s="566"/>
      <c r="AA210" s="232"/>
      <c r="AB210" s="563"/>
      <c r="AC210" s="564"/>
      <c r="AD210" s="564"/>
      <c r="AE210" s="565"/>
      <c r="AF210" s="566"/>
      <c r="AH210" s="232"/>
      <c r="AI210" s="563"/>
      <c r="AJ210" s="564"/>
      <c r="AK210" s="564"/>
      <c r="AL210" s="565"/>
      <c r="AM210" s="566"/>
      <c r="AO210" s="232" t="e">
        <f>'Calculs dispo Données conso'!Q195</f>
        <v>#DIV/0!</v>
      </c>
      <c r="AP210" s="237" t="e">
        <f>'Calculs dispo Données conso'!R195</f>
        <v>#DIV/0!</v>
      </c>
      <c r="AQ210" s="242" t="e">
        <f>'Calculs dispo Données conso'!S195</f>
        <v>#DIV/0!</v>
      </c>
      <c r="AR210" s="851" t="e">
        <f>'Calculs dispo Données conso'!T195</f>
        <v>#DIV/0!</v>
      </c>
      <c r="AS210" s="852" t="e">
        <f>'Calculs dispo Données conso'!U195</f>
        <v>#DIV/0!</v>
      </c>
      <c r="AT210" s="500"/>
      <c r="AU210" s="232" t="str">
        <f>'Calculs dispo Données conso'!W195</f>
        <v/>
      </c>
      <c r="AV210" s="237" t="str">
        <f>'Calculs dispo Données conso'!X195</f>
        <v/>
      </c>
      <c r="AW210" s="242" t="str">
        <f>'Calculs dispo Données conso'!Y195</f>
        <v/>
      </c>
      <c r="AX210" s="851" t="str">
        <f>'Calculs dispo Données conso'!Z195</f>
        <v/>
      </c>
      <c r="AY210" s="852" t="str">
        <f>'Calculs dispo Données conso'!AA195</f>
        <v/>
      </c>
      <c r="AZ210" s="500"/>
      <c r="BA210" s="232" t="e">
        <f>'Calculs dispo Données conso'!AC195</f>
        <v>#DIV/0!</v>
      </c>
      <c r="BB210" s="237" t="e">
        <f>'Calculs dispo Données conso'!AD195</f>
        <v>#DIV/0!</v>
      </c>
      <c r="BC210" s="242" t="e">
        <f>'Calculs dispo Données conso'!AE195</f>
        <v>#DIV/0!</v>
      </c>
      <c r="BD210" s="242" t="e">
        <f>'Calculs dispo Données conso'!AF195</f>
        <v>#DIV/0!</v>
      </c>
      <c r="BE210" s="851" t="e">
        <f>'Calculs dispo Données conso'!AG195</f>
        <v>#DIV/0!</v>
      </c>
      <c r="BF210" s="852" t="e">
        <f>'Calculs dispo Données conso'!AH195</f>
        <v>#DIV/0!</v>
      </c>
      <c r="BG210" s="500"/>
      <c r="BH210" s="232" t="str">
        <f>'Calculs dispo Données conso'!AO195</f>
        <v/>
      </c>
      <c r="BI210" s="237" t="str">
        <f>'Calculs dispo Données conso'!AP195</f>
        <v/>
      </c>
      <c r="BJ210" s="242" t="str">
        <f>'Calculs dispo Données conso'!AQ195</f>
        <v/>
      </c>
      <c r="BK210" s="242" t="str">
        <f>'Calculs dispo Données conso'!AR195</f>
        <v/>
      </c>
      <c r="BL210" s="851" t="str">
        <f>'Calculs dispo Données conso'!AS195</f>
        <v/>
      </c>
      <c r="BM210" s="852" t="str">
        <f>'Calculs dispo Données conso'!AT195</f>
        <v/>
      </c>
    </row>
    <row r="211" spans="3:65" s="358" customFormat="1" ht="25.5" x14ac:dyDescent="0.2">
      <c r="C211" s="374"/>
      <c r="D211" s="375"/>
      <c r="E211" s="382" t="s">
        <v>4</v>
      </c>
      <c r="F211" s="383" t="str">
        <f>'TRAD-Calculs dispo confrontatio'!B42</f>
        <v>Cp</v>
      </c>
      <c r="G211" s="383" t="s">
        <v>130</v>
      </c>
      <c r="H211" s="379"/>
      <c r="I211" s="385" t="str">
        <f t="shared" si="64"/>
        <v>TDF+3TC+EFV - 300/200/600 mg - Bte/30</v>
      </c>
      <c r="J211" s="386"/>
      <c r="K211" s="386">
        <v>1</v>
      </c>
      <c r="L211" s="386">
        <f>K211*30</f>
        <v>30</v>
      </c>
      <c r="M211" s="115">
        <v>30</v>
      </c>
      <c r="N211" s="387">
        <f t="shared" si="65"/>
        <v>1</v>
      </c>
      <c r="O211" s="232" t="e">
        <f>'Calculs dispo Données FA'!Q194</f>
        <v>#DIV/0!</v>
      </c>
      <c r="P211" s="237" t="e">
        <f>'Calculs dispo Données FA'!R194</f>
        <v>#DIV/0!</v>
      </c>
      <c r="Q211" s="242" t="e">
        <f>'Calculs dispo Données FA'!S194</f>
        <v>#DIV/0!</v>
      </c>
      <c r="R211" s="249" t="e">
        <f>'Calculs dispo Données FA'!T194</f>
        <v>#DIV/0!</v>
      </c>
      <c r="S211" s="250" t="e">
        <f>'Calculs dispo Données FA'!U194</f>
        <v>#DIV/0!</v>
      </c>
      <c r="U211" s="232" t="str">
        <f>'Calculs dispo Données FA'!W194</f>
        <v/>
      </c>
      <c r="V211" s="237" t="str">
        <f>'Calculs dispo Données FA'!X194</f>
        <v/>
      </c>
      <c r="W211" s="242" t="str">
        <f>'Calculs dispo Données FA'!Y194</f>
        <v/>
      </c>
      <c r="X211" s="249" t="str">
        <f>'Calculs dispo Données FA'!Z194</f>
        <v/>
      </c>
      <c r="Y211" s="250" t="str">
        <f>'Calculs dispo Données FA'!AA194</f>
        <v>38746B &amp; conso =0</v>
      </c>
      <c r="AA211" s="232" t="e">
        <f>'Calculs dispo Données FA'!AC194</f>
        <v>#DIV/0!</v>
      </c>
      <c r="AB211" s="237" t="e">
        <f>'Calculs dispo Données FA'!AD194</f>
        <v>#DIV/0!</v>
      </c>
      <c r="AC211" s="242" t="e">
        <f>'Calculs dispo Données FA'!AE194</f>
        <v>#DIV/0!</v>
      </c>
      <c r="AD211" s="242" t="e">
        <f>'Calculs dispo Données FA'!AF194</f>
        <v>#DIV/0!</v>
      </c>
      <c r="AE211" s="249" t="e">
        <f>'Calculs dispo Données FA'!AG194</f>
        <v>#DIV/0!</v>
      </c>
      <c r="AF211" s="250" t="e">
        <f>'Calculs dispo Données FA'!AH194</f>
        <v>#DIV/0!</v>
      </c>
      <c r="AH211" s="232" t="str">
        <f>'Calculs dispo Données FA'!AO194</f>
        <v/>
      </c>
      <c r="AI211" s="237" t="str">
        <f>'Calculs dispo Données FA'!AP194</f>
        <v/>
      </c>
      <c r="AJ211" s="242" t="str">
        <f>'Calculs dispo Données FA'!AQ194</f>
        <v/>
      </c>
      <c r="AK211" s="242" t="str">
        <f>'Calculs dispo Données FA'!AR194</f>
        <v/>
      </c>
      <c r="AL211" s="249" t="str">
        <f>'Calculs dispo Données FA'!AS194</f>
        <v/>
      </c>
      <c r="AM211" s="250" t="str">
        <f>'Calculs dispo Données FA'!AT194</f>
        <v/>
      </c>
      <c r="AO211" s="232"/>
      <c r="AP211" s="563"/>
      <c r="AQ211" s="564"/>
      <c r="AR211" s="565"/>
      <c r="AS211" s="566"/>
      <c r="AT211" s="500"/>
      <c r="AU211" s="232"/>
      <c r="AV211" s="563"/>
      <c r="AW211" s="564"/>
      <c r="AX211" s="565"/>
      <c r="AY211" s="566"/>
      <c r="AZ211" s="500"/>
      <c r="BA211" s="232"/>
      <c r="BB211" s="563"/>
      <c r="BC211" s="564"/>
      <c r="BD211" s="564"/>
      <c r="BE211" s="565"/>
      <c r="BF211" s="566"/>
      <c r="BG211" s="500"/>
      <c r="BH211" s="232"/>
      <c r="BI211" s="563"/>
      <c r="BJ211" s="564"/>
      <c r="BK211" s="564"/>
      <c r="BL211" s="565"/>
      <c r="BM211" s="566"/>
    </row>
    <row r="212" spans="3:65" s="358" customFormat="1" x14ac:dyDescent="0.2">
      <c r="C212" s="374"/>
      <c r="D212" s="375"/>
      <c r="E212" s="382"/>
      <c r="F212" s="383"/>
      <c r="G212" s="383"/>
      <c r="H212" s="385"/>
      <c r="I212" s="385"/>
      <c r="J212" s="386"/>
      <c r="K212" s="399"/>
      <c r="L212" s="399"/>
      <c r="M212" s="117"/>
      <c r="N212" s="400"/>
      <c r="O212" s="234"/>
      <c r="P212" s="563"/>
      <c r="Q212" s="594"/>
      <c r="R212" s="587"/>
      <c r="S212" s="588"/>
      <c r="U212" s="234"/>
      <c r="V212" s="563"/>
      <c r="W212" s="594"/>
      <c r="X212" s="587"/>
      <c r="Y212" s="588"/>
      <c r="AA212" s="234"/>
      <c r="AB212" s="563"/>
      <c r="AC212" s="594"/>
      <c r="AD212" s="594"/>
      <c r="AE212" s="587"/>
      <c r="AF212" s="588"/>
      <c r="AH212" s="234"/>
      <c r="AI212" s="563"/>
      <c r="AJ212" s="594"/>
      <c r="AK212" s="594"/>
      <c r="AL212" s="587"/>
      <c r="AM212" s="588"/>
      <c r="AO212" s="234">
        <f>'Calculs dispo Données conso'!Q196</f>
        <v>15.635712439537718</v>
      </c>
      <c r="AP212" s="237">
        <f>'Calculs dispo Données conso'!R196</f>
        <v>12.635712439537718</v>
      </c>
      <c r="AQ212" s="244">
        <f>'Calculs dispo Données conso'!S196</f>
        <v>3</v>
      </c>
      <c r="AR212" s="853">
        <f>'Calculs dispo Données conso'!T196</f>
        <v>42298.071373186132</v>
      </c>
      <c r="AS212" s="854">
        <f>'Calculs dispo Données conso'!U196</f>
        <v>42388.071373186132</v>
      </c>
      <c r="AT212" s="500"/>
      <c r="AU212" s="234">
        <f>'Calculs dispo Données conso'!W196</f>
        <v>15.635712439537718</v>
      </c>
      <c r="AV212" s="237">
        <f>'Calculs dispo Données conso'!X196</f>
        <v>12.635712439537718</v>
      </c>
      <c r="AW212" s="244">
        <f>'Calculs dispo Données conso'!Y196</f>
        <v>3</v>
      </c>
      <c r="AX212" s="853">
        <f>'Calculs dispo Données conso'!Z196</f>
        <v>42298.071373186132</v>
      </c>
      <c r="AY212" s="854">
        <f>'Calculs dispo Données conso'!AA196</f>
        <v>42388.071373186132</v>
      </c>
      <c r="AZ212" s="500"/>
      <c r="BA212" s="234">
        <f>'Calculs dispo Données conso'!AC196</f>
        <v>0</v>
      </c>
      <c r="BB212" s="237">
        <f>'Calculs dispo Données conso'!AD196</f>
        <v>-3</v>
      </c>
      <c r="BC212" s="244">
        <f>'Calculs dispo Données conso'!AE196</f>
        <v>0</v>
      </c>
      <c r="BD212" s="244">
        <f>'Calculs dispo Données conso'!AF196</f>
        <v>0</v>
      </c>
      <c r="BE212" s="853">
        <f>'Calculs dispo Données conso'!AG196</f>
        <v>41829</v>
      </c>
      <c r="BF212" s="854">
        <f>'Calculs dispo Données conso'!AH196</f>
        <v>41919</v>
      </c>
      <c r="BG212" s="500"/>
      <c r="BH212" s="234" t="str">
        <f>'Calculs dispo Données conso'!AO196</f>
        <v/>
      </c>
      <c r="BI212" s="237" t="str">
        <f>'Calculs dispo Données conso'!AP196</f>
        <v/>
      </c>
      <c r="BJ212" s="244" t="str">
        <f>'Calculs dispo Données conso'!AQ196</f>
        <v/>
      </c>
      <c r="BK212" s="244" t="str">
        <f>'Calculs dispo Données conso'!AR196</f>
        <v/>
      </c>
      <c r="BL212" s="853" t="str">
        <f>'Calculs dispo Données conso'!AS196</f>
        <v/>
      </c>
      <c r="BM212" s="854" t="str">
        <f>'Calculs dispo Données conso'!AT196</f>
        <v/>
      </c>
    </row>
    <row r="213" spans="3:65" s="358" customFormat="1" ht="25.5" x14ac:dyDescent="0.2">
      <c r="C213" s="374"/>
      <c r="D213" s="375"/>
      <c r="E213" s="534" t="s">
        <v>228</v>
      </c>
      <c r="F213" s="535" t="str">
        <f>'TRAD-Calculs dispo confrontatio'!B42</f>
        <v>Cp</v>
      </c>
      <c r="G213" s="535" t="s">
        <v>25</v>
      </c>
      <c r="H213" s="544"/>
      <c r="I213" s="544" t="str">
        <f t="shared" si="64"/>
        <v>TDF+3TC - 300/200 mg - Bte/30</v>
      </c>
      <c r="J213" s="544"/>
      <c r="K213" s="399">
        <v>1</v>
      </c>
      <c r="L213" s="399">
        <f>K213*30</f>
        <v>30</v>
      </c>
      <c r="M213" s="117">
        <v>30</v>
      </c>
      <c r="N213" s="400">
        <f t="shared" si="65"/>
        <v>1</v>
      </c>
      <c r="O213" s="232" t="e">
        <f>'Calculs dispo Données FA'!Q195</f>
        <v>#DIV/0!</v>
      </c>
      <c r="P213" s="237" t="e">
        <f>'Calculs dispo Données FA'!R195</f>
        <v>#DIV/0!</v>
      </c>
      <c r="Q213" s="242" t="e">
        <f>'Calculs dispo Données FA'!S195</f>
        <v>#DIV/0!</v>
      </c>
      <c r="R213" s="249" t="e">
        <f>'Calculs dispo Données FA'!T195</f>
        <v>#DIV/0!</v>
      </c>
      <c r="S213" s="250" t="e">
        <f>'Calculs dispo Données FA'!U195</f>
        <v>#DIV/0!</v>
      </c>
      <c r="U213" s="232" t="str">
        <f>'Calculs dispo Données FA'!W195</f>
        <v/>
      </c>
      <c r="V213" s="237" t="str">
        <f>'Calculs dispo Données FA'!X195</f>
        <v/>
      </c>
      <c r="W213" s="242" t="str">
        <f>'Calculs dispo Données FA'!Y195</f>
        <v/>
      </c>
      <c r="X213" s="249" t="str">
        <f>'Calculs dispo Données FA'!Z195</f>
        <v/>
      </c>
      <c r="Y213" s="250" t="str">
        <f>'Calculs dispo Données FA'!AA195</f>
        <v>505B &amp; conso =0</v>
      </c>
      <c r="AA213" s="232" t="e">
        <f>'Calculs dispo Données FA'!AC195</f>
        <v>#DIV/0!</v>
      </c>
      <c r="AB213" s="237" t="e">
        <f>'Calculs dispo Données FA'!AD195</f>
        <v>#DIV/0!</v>
      </c>
      <c r="AC213" s="242" t="e">
        <f>'Calculs dispo Données FA'!AE195</f>
        <v>#DIV/0!</v>
      </c>
      <c r="AD213" s="242" t="e">
        <f>'Calculs dispo Données FA'!AF195</f>
        <v>#DIV/0!</v>
      </c>
      <c r="AE213" s="249" t="e">
        <f>'Calculs dispo Données FA'!AG195</f>
        <v>#DIV/0!</v>
      </c>
      <c r="AF213" s="250" t="e">
        <f>'Calculs dispo Données FA'!AH195</f>
        <v>#DIV/0!</v>
      </c>
      <c r="AH213" s="232" t="str">
        <f>'Calculs dispo Données FA'!AO195</f>
        <v/>
      </c>
      <c r="AI213" s="237" t="str">
        <f>'Calculs dispo Données FA'!AP195</f>
        <v/>
      </c>
      <c r="AJ213" s="242" t="str">
        <f>'Calculs dispo Données FA'!AQ195</f>
        <v/>
      </c>
      <c r="AK213" s="242" t="str">
        <f>'Calculs dispo Données FA'!AR195</f>
        <v/>
      </c>
      <c r="AL213" s="249" t="str">
        <f>'Calculs dispo Données FA'!AS195</f>
        <v/>
      </c>
      <c r="AM213" s="250" t="str">
        <f>'Calculs dispo Données FA'!AT195</f>
        <v/>
      </c>
      <c r="AO213" s="232"/>
      <c r="AP213" s="563"/>
      <c r="AQ213" s="564"/>
      <c r="AR213" s="565"/>
      <c r="AS213" s="566"/>
      <c r="AT213" s="500"/>
      <c r="AU213" s="232"/>
      <c r="AV213" s="563"/>
      <c r="AW213" s="564"/>
      <c r="AX213" s="565"/>
      <c r="AY213" s="566"/>
      <c r="AZ213" s="500"/>
      <c r="BA213" s="232"/>
      <c r="BB213" s="563"/>
      <c r="BC213" s="564"/>
      <c r="BD213" s="564"/>
      <c r="BE213" s="565"/>
      <c r="BF213" s="566"/>
      <c r="BG213" s="500"/>
      <c r="BH213" s="232"/>
      <c r="BI213" s="563"/>
      <c r="BJ213" s="564"/>
      <c r="BK213" s="564"/>
      <c r="BL213" s="565"/>
      <c r="BM213" s="566"/>
    </row>
    <row r="214" spans="3:65" s="358" customFormat="1" x14ac:dyDescent="0.2">
      <c r="C214" s="374"/>
      <c r="D214" s="609"/>
      <c r="E214" s="390"/>
      <c r="F214" s="391"/>
      <c r="G214" s="391"/>
      <c r="H214" s="401"/>
      <c r="I214" s="401"/>
      <c r="J214" s="401"/>
      <c r="K214" s="401"/>
      <c r="L214" s="401"/>
      <c r="M214" s="116"/>
      <c r="N214" s="311"/>
      <c r="O214" s="233"/>
      <c r="P214" s="589"/>
      <c r="Q214" s="590"/>
      <c r="R214" s="591"/>
      <c r="S214" s="592"/>
      <c r="U214" s="233"/>
      <c r="V214" s="589"/>
      <c r="W214" s="590"/>
      <c r="X214" s="591"/>
      <c r="Y214" s="592"/>
      <c r="AA214" s="233"/>
      <c r="AB214" s="589"/>
      <c r="AC214" s="590"/>
      <c r="AD214" s="590"/>
      <c r="AE214" s="591"/>
      <c r="AF214" s="592"/>
      <c r="AH214" s="233"/>
      <c r="AI214" s="589"/>
      <c r="AJ214" s="590"/>
      <c r="AK214" s="590"/>
      <c r="AL214" s="591"/>
      <c r="AM214" s="592"/>
      <c r="AO214" s="233">
        <f>'Calculs dispo Données conso'!Q197</f>
        <v>4.7671232876712324</v>
      </c>
      <c r="AP214" s="238">
        <f>'Calculs dispo Données conso'!R197</f>
        <v>1.7671232876712324</v>
      </c>
      <c r="AQ214" s="243">
        <f>'Calculs dispo Données conso'!S197</f>
        <v>3</v>
      </c>
      <c r="AR214" s="855">
        <f>'Calculs dispo Données conso'!T197</f>
        <v>41972.013698630137</v>
      </c>
      <c r="AS214" s="856">
        <f>'Calculs dispo Données conso'!U197</f>
        <v>42062.013698630137</v>
      </c>
      <c r="AT214" s="500"/>
      <c r="AU214" s="233">
        <f>'Calculs dispo Données conso'!W197</f>
        <v>4.7671232876712324</v>
      </c>
      <c r="AV214" s="238">
        <f>'Calculs dispo Données conso'!X197</f>
        <v>1.7671232876712324</v>
      </c>
      <c r="AW214" s="243">
        <f>'Calculs dispo Données conso'!Y197</f>
        <v>3</v>
      </c>
      <c r="AX214" s="855">
        <f>'Calculs dispo Données conso'!Z197</f>
        <v>41972.013698630137</v>
      </c>
      <c r="AY214" s="856">
        <f>'Calculs dispo Données conso'!AA197</f>
        <v>42062.013698630137</v>
      </c>
      <c r="AZ214" s="500"/>
      <c r="BA214" s="233">
        <f>'Calculs dispo Données conso'!AC197</f>
        <v>0</v>
      </c>
      <c r="BB214" s="238">
        <f>'Calculs dispo Données conso'!AD197</f>
        <v>-3</v>
      </c>
      <c r="BC214" s="243">
        <f>'Calculs dispo Données conso'!AE197</f>
        <v>0</v>
      </c>
      <c r="BD214" s="243">
        <f>'Calculs dispo Données conso'!AF197</f>
        <v>0</v>
      </c>
      <c r="BE214" s="855">
        <f>'Calculs dispo Données conso'!AG197</f>
        <v>41829</v>
      </c>
      <c r="BF214" s="856">
        <f>'Calculs dispo Données conso'!AH197</f>
        <v>41919</v>
      </c>
      <c r="BG214" s="500"/>
      <c r="BH214" s="233" t="str">
        <f>'Calculs dispo Données conso'!AO197</f>
        <v/>
      </c>
      <c r="BI214" s="238" t="str">
        <f>'Calculs dispo Données conso'!AP197</f>
        <v/>
      </c>
      <c r="BJ214" s="243" t="str">
        <f>'Calculs dispo Données conso'!AQ197</f>
        <v/>
      </c>
      <c r="BK214" s="243" t="str">
        <f>'Calculs dispo Données conso'!AR197</f>
        <v/>
      </c>
      <c r="BL214" s="855" t="str">
        <f>'Calculs dispo Données conso'!AS197</f>
        <v/>
      </c>
      <c r="BM214" s="856" t="str">
        <f>'Calculs dispo Données conso'!AT197</f>
        <v/>
      </c>
    </row>
    <row r="215" spans="3:65" s="358" customFormat="1" x14ac:dyDescent="0.2">
      <c r="C215" s="374"/>
      <c r="D215" s="610" t="s">
        <v>26</v>
      </c>
      <c r="E215" s="376" t="s">
        <v>27</v>
      </c>
      <c r="F215" s="377" t="s">
        <v>104</v>
      </c>
      <c r="G215" s="377" t="s">
        <v>105</v>
      </c>
      <c r="H215" s="378" t="s">
        <v>87</v>
      </c>
      <c r="I215" s="378" t="str">
        <f t="shared" si="64"/>
        <v>EFV - 50 mg - Bte/30</v>
      </c>
      <c r="J215" s="378"/>
      <c r="K215" s="612"/>
      <c r="L215" s="612"/>
      <c r="M215" s="114">
        <v>30</v>
      </c>
      <c r="N215" s="308"/>
      <c r="O215" s="231" t="e">
        <f>'Calculs dispo Données FA'!Q197</f>
        <v>#DIV/0!</v>
      </c>
      <c r="P215" s="236" t="e">
        <f>'Calculs dispo Données FA'!R197</f>
        <v>#DIV/0!</v>
      </c>
      <c r="Q215" s="241" t="e">
        <f>'Calculs dispo Données FA'!S197</f>
        <v>#DIV/0!</v>
      </c>
      <c r="R215" s="247" t="e">
        <f>'Calculs dispo Données FA'!T197</f>
        <v>#DIV/0!</v>
      </c>
      <c r="S215" s="248" t="e">
        <f>'Calculs dispo Données FA'!U197</f>
        <v>#DIV/0!</v>
      </c>
      <c r="U215" s="231" t="str">
        <f>'Calculs dispo Données FA'!W197</f>
        <v/>
      </c>
      <c r="V215" s="236" t="str">
        <f>'Calculs dispo Données FA'!X197</f>
        <v/>
      </c>
      <c r="W215" s="241" t="str">
        <f>'Calculs dispo Données FA'!Y197</f>
        <v/>
      </c>
      <c r="X215" s="247" t="str">
        <f>'Calculs dispo Données FA'!Z197</f>
        <v/>
      </c>
      <c r="Y215" s="248" t="str">
        <f>'Calculs dispo Données FA'!AA197</f>
        <v/>
      </c>
      <c r="AA215" s="231" t="e">
        <f>'Calculs dispo Données FA'!AC197</f>
        <v>#DIV/0!</v>
      </c>
      <c r="AB215" s="236" t="e">
        <f>'Calculs dispo Données FA'!AD197</f>
        <v>#DIV/0!</v>
      </c>
      <c r="AC215" s="241" t="e">
        <f>'Calculs dispo Données FA'!AE197</f>
        <v>#DIV/0!</v>
      </c>
      <c r="AD215" s="241" t="e">
        <f>'Calculs dispo Données FA'!AF197</f>
        <v>#DIV/0!</v>
      </c>
      <c r="AE215" s="247" t="e">
        <f>'Calculs dispo Données FA'!AG197</f>
        <v>#DIV/0!</v>
      </c>
      <c r="AF215" s="248" t="e">
        <f>'Calculs dispo Données FA'!AH197</f>
        <v>#DIV/0!</v>
      </c>
      <c r="AH215" s="231" t="str">
        <f>'Calculs dispo Données FA'!AO197</f>
        <v/>
      </c>
      <c r="AI215" s="236" t="str">
        <f>'Calculs dispo Données FA'!AP197</f>
        <v/>
      </c>
      <c r="AJ215" s="241" t="str">
        <f>'Calculs dispo Données FA'!AQ197</f>
        <v/>
      </c>
      <c r="AK215" s="241" t="str">
        <f>'Calculs dispo Données FA'!AR197</f>
        <v/>
      </c>
      <c r="AL215" s="247" t="str">
        <f>'Calculs dispo Données FA'!AS197</f>
        <v/>
      </c>
      <c r="AM215" s="248" t="str">
        <f>'Calculs dispo Données FA'!AT197</f>
        <v/>
      </c>
      <c r="AO215" s="231"/>
      <c r="AP215" s="555"/>
      <c r="AQ215" s="556"/>
      <c r="AR215" s="557"/>
      <c r="AS215" s="558"/>
      <c r="AT215" s="500"/>
      <c r="AU215" s="231"/>
      <c r="AV215" s="555"/>
      <c r="AW215" s="556"/>
      <c r="AX215" s="557"/>
      <c r="AY215" s="558"/>
      <c r="AZ215" s="500"/>
      <c r="BA215" s="231"/>
      <c r="BB215" s="555"/>
      <c r="BC215" s="556"/>
      <c r="BD215" s="556"/>
      <c r="BE215" s="557"/>
      <c r="BF215" s="558"/>
      <c r="BG215" s="500"/>
      <c r="BH215" s="231"/>
      <c r="BI215" s="555"/>
      <c r="BJ215" s="556"/>
      <c r="BK215" s="556"/>
      <c r="BL215" s="557"/>
      <c r="BM215" s="558"/>
    </row>
    <row r="216" spans="3:65" s="358" customFormat="1" x14ac:dyDescent="0.2">
      <c r="C216" s="374"/>
      <c r="D216" s="375"/>
      <c r="E216" s="534"/>
      <c r="F216" s="535"/>
      <c r="G216" s="535"/>
      <c r="H216" s="544"/>
      <c r="I216" s="544"/>
      <c r="J216" s="533"/>
      <c r="K216" s="536"/>
      <c r="L216" s="536"/>
      <c r="M216" s="537"/>
      <c r="N216" s="538"/>
      <c r="O216" s="231"/>
      <c r="P216" s="563"/>
      <c r="Q216" s="556"/>
      <c r="R216" s="557"/>
      <c r="S216" s="558"/>
      <c r="U216" s="231"/>
      <c r="V216" s="563"/>
      <c r="W216" s="556"/>
      <c r="X216" s="557"/>
      <c r="Y216" s="558"/>
      <c r="AA216" s="231"/>
      <c r="AB216" s="563"/>
      <c r="AC216" s="556"/>
      <c r="AD216" s="556"/>
      <c r="AE216" s="557"/>
      <c r="AF216" s="558"/>
      <c r="AH216" s="231"/>
      <c r="AI216" s="563"/>
      <c r="AJ216" s="556"/>
      <c r="AK216" s="556"/>
      <c r="AL216" s="557"/>
      <c r="AM216" s="558"/>
      <c r="AO216" s="231" t="e">
        <f>'Calculs dispo Données conso'!Q199</f>
        <v>#DIV/0!</v>
      </c>
      <c r="AP216" s="237" t="e">
        <f>'Calculs dispo Données conso'!R199</f>
        <v>#DIV/0!</v>
      </c>
      <c r="AQ216" s="241" t="e">
        <f>'Calculs dispo Données conso'!S199</f>
        <v>#DIV/0!</v>
      </c>
      <c r="AR216" s="849" t="e">
        <f>'Calculs dispo Données conso'!T199</f>
        <v>#DIV/0!</v>
      </c>
      <c r="AS216" s="850" t="e">
        <f>'Calculs dispo Données conso'!U199</f>
        <v>#DIV/0!</v>
      </c>
      <c r="AT216" s="500"/>
      <c r="AU216" s="231" t="str">
        <f>'Calculs dispo Données conso'!W199</f>
        <v/>
      </c>
      <c r="AV216" s="237" t="str">
        <f>'Calculs dispo Données conso'!X199</f>
        <v/>
      </c>
      <c r="AW216" s="241" t="str">
        <f>'Calculs dispo Données conso'!Y199</f>
        <v/>
      </c>
      <c r="AX216" s="849" t="str">
        <f>'Calculs dispo Données conso'!Z199</f>
        <v/>
      </c>
      <c r="AY216" s="850" t="str">
        <f>'Calculs dispo Données conso'!AA199</f>
        <v/>
      </c>
      <c r="AZ216" s="500"/>
      <c r="BA216" s="231" t="e">
        <f>'Calculs dispo Données conso'!AC199</f>
        <v>#DIV/0!</v>
      </c>
      <c r="BB216" s="237" t="e">
        <f>'Calculs dispo Données conso'!AD199</f>
        <v>#DIV/0!</v>
      </c>
      <c r="BC216" s="241" t="e">
        <f>'Calculs dispo Données conso'!AE199</f>
        <v>#DIV/0!</v>
      </c>
      <c r="BD216" s="241" t="e">
        <f>'Calculs dispo Données conso'!AF199</f>
        <v>#DIV/0!</v>
      </c>
      <c r="BE216" s="849" t="e">
        <f>'Calculs dispo Données conso'!AG199</f>
        <v>#DIV/0!</v>
      </c>
      <c r="BF216" s="850" t="e">
        <f>'Calculs dispo Données conso'!AH199</f>
        <v>#DIV/0!</v>
      </c>
      <c r="BG216" s="500"/>
      <c r="BH216" s="231" t="str">
        <f>'Calculs dispo Données conso'!AO199</f>
        <v/>
      </c>
      <c r="BI216" s="237" t="str">
        <f>'Calculs dispo Données conso'!AP199</f>
        <v/>
      </c>
      <c r="BJ216" s="241" t="str">
        <f>'Calculs dispo Données conso'!AQ199</f>
        <v/>
      </c>
      <c r="BK216" s="241" t="str">
        <f>'Calculs dispo Données conso'!AR199</f>
        <v/>
      </c>
      <c r="BL216" s="849" t="str">
        <f>'Calculs dispo Données conso'!AS199</f>
        <v/>
      </c>
      <c r="BM216" s="850" t="str">
        <f>'Calculs dispo Données conso'!AT199</f>
        <v/>
      </c>
    </row>
    <row r="217" spans="3:65" s="358" customFormat="1" ht="25.5" x14ac:dyDescent="0.2">
      <c r="C217" s="374"/>
      <c r="D217" s="375"/>
      <c r="E217" s="382" t="s">
        <v>27</v>
      </c>
      <c r="F217" s="383" t="s">
        <v>104</v>
      </c>
      <c r="G217" s="383" t="s">
        <v>30</v>
      </c>
      <c r="H217" s="379" t="s">
        <v>87</v>
      </c>
      <c r="I217" s="379" t="str">
        <f t="shared" si="64"/>
        <v>EFV - 200 mg - Bte/90</v>
      </c>
      <c r="J217" s="385"/>
      <c r="K217" s="386"/>
      <c r="L217" s="386"/>
      <c r="M217" s="115">
        <v>90</v>
      </c>
      <c r="N217" s="387"/>
      <c r="O217" s="232" t="e">
        <f>'Calculs dispo Données FA'!Q198</f>
        <v>#DIV/0!</v>
      </c>
      <c r="P217" s="237" t="e">
        <f>'Calculs dispo Données FA'!R198</f>
        <v>#DIV/0!</v>
      </c>
      <c r="Q217" s="242" t="e">
        <f>'Calculs dispo Données FA'!S198</f>
        <v>#DIV/0!</v>
      </c>
      <c r="R217" s="249" t="e">
        <f>'Calculs dispo Données FA'!T198</f>
        <v>#DIV/0!</v>
      </c>
      <c r="S217" s="250" t="e">
        <f>'Calculs dispo Données FA'!U198</f>
        <v>#DIV/0!</v>
      </c>
      <c r="U217" s="232" t="str">
        <f>'Calculs dispo Données FA'!W198</f>
        <v/>
      </c>
      <c r="V217" s="237" t="str">
        <f>'Calculs dispo Données FA'!X198</f>
        <v/>
      </c>
      <c r="W217" s="242" t="str">
        <f>'Calculs dispo Données FA'!Y198</f>
        <v/>
      </c>
      <c r="X217" s="249" t="str">
        <f>'Calculs dispo Données FA'!Z198</f>
        <v/>
      </c>
      <c r="Y217" s="250" t="str">
        <f>'Calculs dispo Données FA'!AA198</f>
        <v>110B &amp; conso =0</v>
      </c>
      <c r="AA217" s="232" t="e">
        <f>'Calculs dispo Données FA'!AC198</f>
        <v>#DIV/0!</v>
      </c>
      <c r="AB217" s="237" t="e">
        <f>'Calculs dispo Données FA'!AD198</f>
        <v>#DIV/0!</v>
      </c>
      <c r="AC217" s="242" t="e">
        <f>'Calculs dispo Données FA'!AE198</f>
        <v>#DIV/0!</v>
      </c>
      <c r="AD217" s="242" t="e">
        <f>'Calculs dispo Données FA'!AF198</f>
        <v>#DIV/0!</v>
      </c>
      <c r="AE217" s="249" t="e">
        <f>'Calculs dispo Données FA'!AG198</f>
        <v>#DIV/0!</v>
      </c>
      <c r="AF217" s="250" t="e">
        <f>'Calculs dispo Données FA'!AH198</f>
        <v>#DIV/0!</v>
      </c>
      <c r="AH217" s="232" t="str">
        <f>'Calculs dispo Données FA'!AO198</f>
        <v/>
      </c>
      <c r="AI217" s="237" t="str">
        <f>'Calculs dispo Données FA'!AP198</f>
        <v/>
      </c>
      <c r="AJ217" s="242" t="str">
        <f>'Calculs dispo Données FA'!AQ198</f>
        <v/>
      </c>
      <c r="AK217" s="242" t="str">
        <f>'Calculs dispo Données FA'!AR198</f>
        <v/>
      </c>
      <c r="AL217" s="249" t="str">
        <f>'Calculs dispo Données FA'!AS198</f>
        <v/>
      </c>
      <c r="AM217" s="250" t="str">
        <f>'Calculs dispo Données FA'!AT198</f>
        <v/>
      </c>
      <c r="AO217" s="232"/>
      <c r="AP217" s="563"/>
      <c r="AQ217" s="564"/>
      <c r="AR217" s="565"/>
      <c r="AS217" s="566"/>
      <c r="AT217" s="500"/>
      <c r="AU217" s="232"/>
      <c r="AV217" s="563"/>
      <c r="AW217" s="564"/>
      <c r="AX217" s="565"/>
      <c r="AY217" s="566"/>
      <c r="AZ217" s="500"/>
      <c r="BA217" s="232"/>
      <c r="BB217" s="563"/>
      <c r="BC217" s="564"/>
      <c r="BD217" s="564"/>
      <c r="BE217" s="565"/>
      <c r="BF217" s="566"/>
      <c r="BG217" s="500"/>
      <c r="BH217" s="232"/>
      <c r="BI217" s="563"/>
      <c r="BJ217" s="564"/>
      <c r="BK217" s="564"/>
      <c r="BL217" s="565"/>
      <c r="BM217" s="566"/>
    </row>
    <row r="218" spans="3:65" s="358" customFormat="1" x14ac:dyDescent="0.2">
      <c r="C218" s="374"/>
      <c r="D218" s="375"/>
      <c r="E218" s="396"/>
      <c r="F218" s="397"/>
      <c r="G218" s="397"/>
      <c r="H218" s="379"/>
      <c r="I218" s="379"/>
      <c r="J218" s="398"/>
      <c r="K218" s="399"/>
      <c r="L218" s="399"/>
      <c r="M218" s="117"/>
      <c r="N218" s="400"/>
      <c r="O218" s="234"/>
      <c r="P218" s="563"/>
      <c r="Q218" s="594"/>
      <c r="R218" s="587"/>
      <c r="S218" s="588"/>
      <c r="U218" s="234"/>
      <c r="V218" s="563"/>
      <c r="W218" s="594"/>
      <c r="X218" s="587"/>
      <c r="Y218" s="588"/>
      <c r="AA218" s="234"/>
      <c r="AB218" s="563"/>
      <c r="AC218" s="594"/>
      <c r="AD218" s="594"/>
      <c r="AE218" s="587"/>
      <c r="AF218" s="588"/>
      <c r="AH218" s="234"/>
      <c r="AI218" s="563"/>
      <c r="AJ218" s="594"/>
      <c r="AK218" s="594"/>
      <c r="AL218" s="587"/>
      <c r="AM218" s="588"/>
      <c r="AO218" s="234">
        <f>'Calculs dispo Données conso'!Q200</f>
        <v>5.2380952380952381</v>
      </c>
      <c r="AP218" s="237">
        <f>'Calculs dispo Données conso'!R200</f>
        <v>2.2380952380952381</v>
      </c>
      <c r="AQ218" s="244">
        <f>'Calculs dispo Données conso'!S200</f>
        <v>3</v>
      </c>
      <c r="AR218" s="853">
        <f>'Calculs dispo Données conso'!T200</f>
        <v>41986.142857142855</v>
      </c>
      <c r="AS218" s="854">
        <f>'Calculs dispo Données conso'!U200</f>
        <v>42076.142857142855</v>
      </c>
      <c r="AT218" s="500"/>
      <c r="AU218" s="234">
        <f>'Calculs dispo Données conso'!W200</f>
        <v>5.2380952380952381</v>
      </c>
      <c r="AV218" s="237">
        <f>'Calculs dispo Données conso'!X200</f>
        <v>2.2380952380952381</v>
      </c>
      <c r="AW218" s="244">
        <f>'Calculs dispo Données conso'!Y200</f>
        <v>3</v>
      </c>
      <c r="AX218" s="853">
        <f>'Calculs dispo Données conso'!Z200</f>
        <v>41986.142857142855</v>
      </c>
      <c r="AY218" s="854">
        <f>'Calculs dispo Données conso'!AA200</f>
        <v>42076.142857142855</v>
      </c>
      <c r="AZ218" s="500"/>
      <c r="BA218" s="234">
        <f>'Calculs dispo Données conso'!AC200</f>
        <v>5.1428571428571432</v>
      </c>
      <c r="BB218" s="237">
        <f>'Calculs dispo Données conso'!AD200</f>
        <v>2.1428571428571432</v>
      </c>
      <c r="BC218" s="244">
        <f>'Calculs dispo Données conso'!AE200</f>
        <v>3</v>
      </c>
      <c r="BD218" s="244">
        <f>'Calculs dispo Données conso'!AF200</f>
        <v>2.1428571428571428</v>
      </c>
      <c r="BE218" s="853">
        <f>'Calculs dispo Données conso'!AG200</f>
        <v>41983.285714285717</v>
      </c>
      <c r="BF218" s="854">
        <f>'Calculs dispo Données conso'!AH200</f>
        <v>42073.285714285717</v>
      </c>
      <c r="BG218" s="500"/>
      <c r="BH218" s="234">
        <f>'Calculs dispo Données conso'!AO200</f>
        <v>5.1428571428571432</v>
      </c>
      <c r="BI218" s="237">
        <f>'Calculs dispo Données conso'!AP200</f>
        <v>2.1428571428571432</v>
      </c>
      <c r="BJ218" s="244">
        <f>'Calculs dispo Données conso'!AQ200</f>
        <v>3</v>
      </c>
      <c r="BK218" s="244">
        <f>'Calculs dispo Données conso'!AR200</f>
        <v>2.1428571428571428</v>
      </c>
      <c r="BL218" s="853">
        <f>'Calculs dispo Données conso'!AS200</f>
        <v>41983.285714285717</v>
      </c>
      <c r="BM218" s="854">
        <f>'Calculs dispo Données conso'!AT200</f>
        <v>42073.285714285717</v>
      </c>
    </row>
    <row r="219" spans="3:65" s="358" customFormat="1" ht="25.5" x14ac:dyDescent="0.2">
      <c r="C219" s="374"/>
      <c r="D219" s="375"/>
      <c r="E219" s="396" t="s">
        <v>27</v>
      </c>
      <c r="F219" s="397" t="str">
        <f>'TRAD-Calculs dispo confrontatio'!B42</f>
        <v>Cp</v>
      </c>
      <c r="G219" s="397" t="s">
        <v>28</v>
      </c>
      <c r="H219" s="379" t="s">
        <v>87</v>
      </c>
      <c r="I219" s="379" t="str">
        <f t="shared" si="64"/>
        <v>EFV - 600 mg - Bte/30</v>
      </c>
      <c r="J219" s="398"/>
      <c r="K219" s="399">
        <v>1</v>
      </c>
      <c r="L219" s="399">
        <f t="shared" ref="L219:L253" si="68">K219*30</f>
        <v>30</v>
      </c>
      <c r="M219" s="117">
        <v>30</v>
      </c>
      <c r="N219" s="400">
        <f>L219/M219</f>
        <v>1</v>
      </c>
      <c r="O219" s="234" t="e">
        <f>'Calculs dispo Données FA'!Q199</f>
        <v>#DIV/0!</v>
      </c>
      <c r="P219" s="237" t="e">
        <f>'Calculs dispo Données FA'!R199</f>
        <v>#DIV/0!</v>
      </c>
      <c r="Q219" s="244" t="e">
        <f>'Calculs dispo Données FA'!S199</f>
        <v>#DIV/0!</v>
      </c>
      <c r="R219" s="253" t="e">
        <f>'Calculs dispo Données FA'!T199</f>
        <v>#DIV/0!</v>
      </c>
      <c r="S219" s="254" t="e">
        <f>'Calculs dispo Données FA'!U199</f>
        <v>#DIV/0!</v>
      </c>
      <c r="U219" s="234" t="str">
        <f>'Calculs dispo Données FA'!W199</f>
        <v/>
      </c>
      <c r="V219" s="237" t="str">
        <f>'Calculs dispo Données FA'!X199</f>
        <v/>
      </c>
      <c r="W219" s="244" t="str">
        <f>'Calculs dispo Données FA'!Y199</f>
        <v/>
      </c>
      <c r="X219" s="253" t="str">
        <f>'Calculs dispo Données FA'!Z199</f>
        <v/>
      </c>
      <c r="Y219" s="254" t="str">
        <f>'Calculs dispo Données FA'!AA199</f>
        <v>11566B &amp; conso =0</v>
      </c>
      <c r="AA219" s="234" t="e">
        <f>'Calculs dispo Données FA'!AC199</f>
        <v>#DIV/0!</v>
      </c>
      <c r="AB219" s="237" t="e">
        <f>'Calculs dispo Données FA'!AD199</f>
        <v>#DIV/0!</v>
      </c>
      <c r="AC219" s="244" t="e">
        <f>'Calculs dispo Données FA'!AE199</f>
        <v>#DIV/0!</v>
      </c>
      <c r="AD219" s="244" t="e">
        <f>'Calculs dispo Données FA'!AF199</f>
        <v>#DIV/0!</v>
      </c>
      <c r="AE219" s="253" t="e">
        <f>'Calculs dispo Données FA'!AG199</f>
        <v>#DIV/0!</v>
      </c>
      <c r="AF219" s="254" t="e">
        <f>'Calculs dispo Données FA'!AH199</f>
        <v>#DIV/0!</v>
      </c>
      <c r="AH219" s="234" t="str">
        <f>'Calculs dispo Données FA'!AO199</f>
        <v/>
      </c>
      <c r="AI219" s="237" t="str">
        <f>'Calculs dispo Données FA'!AP199</f>
        <v/>
      </c>
      <c r="AJ219" s="244" t="str">
        <f>'Calculs dispo Données FA'!AQ199</f>
        <v/>
      </c>
      <c r="AK219" s="244" t="str">
        <f>'Calculs dispo Données FA'!AR199</f>
        <v/>
      </c>
      <c r="AL219" s="253" t="str">
        <f>'Calculs dispo Données FA'!AS199</f>
        <v/>
      </c>
      <c r="AM219" s="254" t="str">
        <f>'Calculs dispo Données FA'!AT199</f>
        <v/>
      </c>
      <c r="AO219" s="234"/>
      <c r="AP219" s="563"/>
      <c r="AQ219" s="594"/>
      <c r="AR219" s="587"/>
      <c r="AS219" s="588"/>
      <c r="AT219" s="500"/>
      <c r="AU219" s="234"/>
      <c r="AV219" s="563"/>
      <c r="AW219" s="594"/>
      <c r="AX219" s="587"/>
      <c r="AY219" s="588"/>
      <c r="AZ219" s="500"/>
      <c r="BA219" s="234"/>
      <c r="BB219" s="563"/>
      <c r="BC219" s="594"/>
      <c r="BD219" s="594"/>
      <c r="BE219" s="587"/>
      <c r="BF219" s="588"/>
      <c r="BG219" s="500"/>
      <c r="BH219" s="234"/>
      <c r="BI219" s="563"/>
      <c r="BJ219" s="594"/>
      <c r="BK219" s="594"/>
      <c r="BL219" s="587"/>
      <c r="BM219" s="588"/>
    </row>
    <row r="220" spans="3:65" s="358" customFormat="1" x14ac:dyDescent="0.2">
      <c r="C220" s="374"/>
      <c r="D220" s="375"/>
      <c r="E220" s="396"/>
      <c r="F220" s="397"/>
      <c r="G220" s="397"/>
      <c r="H220" s="533"/>
      <c r="I220" s="533"/>
      <c r="J220" s="398"/>
      <c r="K220" s="399"/>
      <c r="L220" s="399"/>
      <c r="M220" s="117"/>
      <c r="N220" s="400"/>
      <c r="O220" s="234"/>
      <c r="P220" s="563"/>
      <c r="Q220" s="594"/>
      <c r="R220" s="587"/>
      <c r="S220" s="588"/>
      <c r="U220" s="234"/>
      <c r="V220" s="563"/>
      <c r="W220" s="594"/>
      <c r="X220" s="587"/>
      <c r="Y220" s="588"/>
      <c r="AA220" s="234"/>
      <c r="AB220" s="563"/>
      <c r="AC220" s="594"/>
      <c r="AD220" s="594"/>
      <c r="AE220" s="587"/>
      <c r="AF220" s="588"/>
      <c r="AH220" s="234"/>
      <c r="AI220" s="563"/>
      <c r="AJ220" s="594"/>
      <c r="AK220" s="594"/>
      <c r="AL220" s="587"/>
      <c r="AM220" s="588"/>
      <c r="AO220" s="234">
        <f>'Calculs dispo Données conso'!Q201</f>
        <v>7.7885521885521882</v>
      </c>
      <c r="AP220" s="237">
        <f>'Calculs dispo Données conso'!R201</f>
        <v>4.7885521885521882</v>
      </c>
      <c r="AQ220" s="244">
        <f>'Calculs dispo Données conso'!S201</f>
        <v>3</v>
      </c>
      <c r="AR220" s="853">
        <f>'Calculs dispo Données conso'!T201</f>
        <v>42062.656565656565</v>
      </c>
      <c r="AS220" s="854">
        <f>'Calculs dispo Données conso'!U201</f>
        <v>42152.656565656565</v>
      </c>
      <c r="AT220" s="500"/>
      <c r="AU220" s="234">
        <f>'Calculs dispo Données conso'!W201</f>
        <v>7.7885521885521882</v>
      </c>
      <c r="AV220" s="237">
        <f>'Calculs dispo Données conso'!X201</f>
        <v>4.7885521885521882</v>
      </c>
      <c r="AW220" s="244">
        <f>'Calculs dispo Données conso'!Y201</f>
        <v>3</v>
      </c>
      <c r="AX220" s="853">
        <f>'Calculs dispo Données conso'!Z201</f>
        <v>42062.656565656565</v>
      </c>
      <c r="AY220" s="854">
        <f>'Calculs dispo Données conso'!AA201</f>
        <v>42152.656565656565</v>
      </c>
      <c r="AZ220" s="500"/>
      <c r="BA220" s="234">
        <f>'Calculs dispo Données conso'!AC201</f>
        <v>0</v>
      </c>
      <c r="BB220" s="237">
        <f>'Calculs dispo Données conso'!AD201</f>
        <v>-3</v>
      </c>
      <c r="BC220" s="244">
        <f>'Calculs dispo Données conso'!AE201</f>
        <v>0</v>
      </c>
      <c r="BD220" s="244">
        <f>'Calculs dispo Données conso'!AF201</f>
        <v>0</v>
      </c>
      <c r="BE220" s="853">
        <f>'Calculs dispo Données conso'!AG201</f>
        <v>41829</v>
      </c>
      <c r="BF220" s="854">
        <f>'Calculs dispo Données conso'!AH201</f>
        <v>41919</v>
      </c>
      <c r="BG220" s="500"/>
      <c r="BH220" s="234" t="str">
        <f>'Calculs dispo Données conso'!AO201</f>
        <v/>
      </c>
      <c r="BI220" s="237" t="str">
        <f>'Calculs dispo Données conso'!AP201</f>
        <v/>
      </c>
      <c r="BJ220" s="244" t="str">
        <f>'Calculs dispo Données conso'!AQ201</f>
        <v/>
      </c>
      <c r="BK220" s="244" t="str">
        <f>'Calculs dispo Données conso'!AR201</f>
        <v/>
      </c>
      <c r="BL220" s="853" t="str">
        <f>'Calculs dispo Données conso'!AS201</f>
        <v/>
      </c>
      <c r="BM220" s="854" t="str">
        <f>'Calculs dispo Données conso'!AT201</f>
        <v/>
      </c>
    </row>
    <row r="221" spans="3:65" s="358" customFormat="1" x14ac:dyDescent="0.2">
      <c r="C221" s="374"/>
      <c r="D221" s="375"/>
      <c r="E221" s="534" t="s">
        <v>29</v>
      </c>
      <c r="F221" s="535" t="str">
        <f>'TRAD-Calculs dispo confrontatio'!B42</f>
        <v>Cp</v>
      </c>
      <c r="G221" s="397" t="s">
        <v>30</v>
      </c>
      <c r="H221" s="544" t="s">
        <v>85</v>
      </c>
      <c r="I221" s="544" t="str">
        <f t="shared" si="64"/>
        <v>NVP - 200 mg - Bte/60</v>
      </c>
      <c r="J221" s="544"/>
      <c r="K221" s="399">
        <v>2</v>
      </c>
      <c r="L221" s="399">
        <f t="shared" si="68"/>
        <v>60</v>
      </c>
      <c r="M221" s="117">
        <v>60</v>
      </c>
      <c r="N221" s="400">
        <f t="shared" ref="N221:N253" si="69">L221/M221</f>
        <v>1</v>
      </c>
      <c r="O221" s="232" t="e">
        <f>'Calculs dispo Données FA'!Q201</f>
        <v>#DIV/0!</v>
      </c>
      <c r="P221" s="237" t="e">
        <f>'Calculs dispo Données FA'!R201</f>
        <v>#DIV/0!</v>
      </c>
      <c r="Q221" s="242" t="e">
        <f>'Calculs dispo Données FA'!S201</f>
        <v>#DIV/0!</v>
      </c>
      <c r="R221" s="249" t="e">
        <f>'Calculs dispo Données FA'!T201</f>
        <v>#DIV/0!</v>
      </c>
      <c r="S221" s="250" t="e">
        <f>'Calculs dispo Données FA'!U201</f>
        <v>#DIV/0!</v>
      </c>
      <c r="U221" s="232" t="str">
        <f>'Calculs dispo Données FA'!W201</f>
        <v/>
      </c>
      <c r="V221" s="237" t="str">
        <f>'Calculs dispo Données FA'!X201</f>
        <v/>
      </c>
      <c r="W221" s="242" t="str">
        <f>'Calculs dispo Données FA'!Y201</f>
        <v/>
      </c>
      <c r="X221" s="249" t="str">
        <f>'Calculs dispo Données FA'!Z201</f>
        <v/>
      </c>
      <c r="Y221" s="250" t="str">
        <f>'Calculs dispo Données FA'!AA201</f>
        <v/>
      </c>
      <c r="AA221" s="232" t="e">
        <f>'Calculs dispo Données FA'!AC201</f>
        <v>#DIV/0!</v>
      </c>
      <c r="AB221" s="237" t="e">
        <f>'Calculs dispo Données FA'!AD201</f>
        <v>#DIV/0!</v>
      </c>
      <c r="AC221" s="242" t="e">
        <f>'Calculs dispo Données FA'!AE201</f>
        <v>#DIV/0!</v>
      </c>
      <c r="AD221" s="242" t="e">
        <f>'Calculs dispo Données FA'!AF201</f>
        <v>#DIV/0!</v>
      </c>
      <c r="AE221" s="249" t="e">
        <f>'Calculs dispo Données FA'!AG201</f>
        <v>#DIV/0!</v>
      </c>
      <c r="AF221" s="250" t="e">
        <f>'Calculs dispo Données FA'!AH201</f>
        <v>#DIV/0!</v>
      </c>
      <c r="AH221" s="232" t="str">
        <f>'Calculs dispo Données FA'!AO201</f>
        <v/>
      </c>
      <c r="AI221" s="237" t="str">
        <f>'Calculs dispo Données FA'!AP201</f>
        <v/>
      </c>
      <c r="AJ221" s="242" t="str">
        <f>'Calculs dispo Données FA'!AQ201</f>
        <v/>
      </c>
      <c r="AK221" s="242" t="str">
        <f>'Calculs dispo Données FA'!AR201</f>
        <v/>
      </c>
      <c r="AL221" s="249" t="str">
        <f>'Calculs dispo Données FA'!AS201</f>
        <v/>
      </c>
      <c r="AM221" s="250" t="str">
        <f>'Calculs dispo Données FA'!AT201</f>
        <v/>
      </c>
      <c r="AO221" s="232"/>
      <c r="AP221" s="563"/>
      <c r="AQ221" s="564"/>
      <c r="AR221" s="565"/>
      <c r="AS221" s="566"/>
      <c r="AT221" s="500"/>
      <c r="AU221" s="232"/>
      <c r="AV221" s="563"/>
      <c r="AW221" s="564"/>
      <c r="AX221" s="565"/>
      <c r="AY221" s="566"/>
      <c r="AZ221" s="500"/>
      <c r="BA221" s="232"/>
      <c r="BB221" s="563"/>
      <c r="BC221" s="564"/>
      <c r="BD221" s="564"/>
      <c r="BE221" s="565"/>
      <c r="BF221" s="566"/>
      <c r="BG221" s="500"/>
      <c r="BH221" s="232"/>
      <c r="BI221" s="563"/>
      <c r="BJ221" s="564"/>
      <c r="BK221" s="564"/>
      <c r="BL221" s="565"/>
      <c r="BM221" s="566"/>
    </row>
    <row r="222" spans="3:65" s="358" customFormat="1" x14ac:dyDescent="0.2">
      <c r="C222" s="374"/>
      <c r="D222" s="609"/>
      <c r="E222" s="390"/>
      <c r="F222" s="391"/>
      <c r="G222" s="391"/>
      <c r="H222" s="401"/>
      <c r="I222" s="401"/>
      <c r="J222" s="401"/>
      <c r="K222" s="401"/>
      <c r="L222" s="401"/>
      <c r="M222" s="116"/>
      <c r="N222" s="311"/>
      <c r="O222" s="233"/>
      <c r="P222" s="589"/>
      <c r="Q222" s="590"/>
      <c r="R222" s="591"/>
      <c r="S222" s="592"/>
      <c r="U222" s="233"/>
      <c r="V222" s="589"/>
      <c r="W222" s="590"/>
      <c r="X222" s="591"/>
      <c r="Y222" s="592"/>
      <c r="AA222" s="233"/>
      <c r="AB222" s="589"/>
      <c r="AC222" s="590"/>
      <c r="AD222" s="590"/>
      <c r="AE222" s="591"/>
      <c r="AF222" s="592"/>
      <c r="AH222" s="233"/>
      <c r="AI222" s="589"/>
      <c r="AJ222" s="590"/>
      <c r="AK222" s="590"/>
      <c r="AL222" s="591"/>
      <c r="AM222" s="592"/>
      <c r="AO222" s="233" t="e">
        <f>'Calculs dispo Données conso'!Q203</f>
        <v>#DIV/0!</v>
      </c>
      <c r="AP222" s="238" t="e">
        <f>'Calculs dispo Données conso'!R203</f>
        <v>#DIV/0!</v>
      </c>
      <c r="AQ222" s="243" t="e">
        <f>'Calculs dispo Données conso'!S203</f>
        <v>#DIV/0!</v>
      </c>
      <c r="AR222" s="855" t="e">
        <f>'Calculs dispo Données conso'!T203</f>
        <v>#DIV/0!</v>
      </c>
      <c r="AS222" s="856" t="e">
        <f>'Calculs dispo Données conso'!U203</f>
        <v>#DIV/0!</v>
      </c>
      <c r="AT222" s="500"/>
      <c r="AU222" s="233" t="str">
        <f>'Calculs dispo Données conso'!W203</f>
        <v/>
      </c>
      <c r="AV222" s="238" t="str">
        <f>'Calculs dispo Données conso'!X203</f>
        <v/>
      </c>
      <c r="AW222" s="243" t="str">
        <f>'Calculs dispo Données conso'!Y203</f>
        <v/>
      </c>
      <c r="AX222" s="855" t="str">
        <f>'Calculs dispo Données conso'!Z203</f>
        <v/>
      </c>
      <c r="AY222" s="856" t="str">
        <f>'Calculs dispo Données conso'!AA203</f>
        <v/>
      </c>
      <c r="AZ222" s="500"/>
      <c r="BA222" s="233" t="e">
        <f>'Calculs dispo Données conso'!AC203</f>
        <v>#DIV/0!</v>
      </c>
      <c r="BB222" s="238" t="e">
        <f>'Calculs dispo Données conso'!AD203</f>
        <v>#DIV/0!</v>
      </c>
      <c r="BC222" s="243" t="e">
        <f>'Calculs dispo Données conso'!AE203</f>
        <v>#DIV/0!</v>
      </c>
      <c r="BD222" s="243" t="e">
        <f>'Calculs dispo Données conso'!AF203</f>
        <v>#DIV/0!</v>
      </c>
      <c r="BE222" s="855" t="e">
        <f>'Calculs dispo Données conso'!AG203</f>
        <v>#DIV/0!</v>
      </c>
      <c r="BF222" s="856" t="e">
        <f>'Calculs dispo Données conso'!AH203</f>
        <v>#DIV/0!</v>
      </c>
      <c r="BG222" s="500"/>
      <c r="BH222" s="233" t="str">
        <f>'Calculs dispo Données conso'!AO203</f>
        <v/>
      </c>
      <c r="BI222" s="238" t="str">
        <f>'Calculs dispo Données conso'!AP203</f>
        <v/>
      </c>
      <c r="BJ222" s="243" t="str">
        <f>'Calculs dispo Données conso'!AQ203</f>
        <v/>
      </c>
      <c r="BK222" s="243" t="str">
        <f>'Calculs dispo Données conso'!AR203</f>
        <v/>
      </c>
      <c r="BL222" s="855" t="str">
        <f>'Calculs dispo Données conso'!AS203</f>
        <v/>
      </c>
      <c r="BM222" s="856" t="str">
        <f>'Calculs dispo Données conso'!AT203</f>
        <v/>
      </c>
    </row>
    <row r="223" spans="3:65" s="358" customFormat="1" x14ac:dyDescent="0.2">
      <c r="C223" s="374"/>
      <c r="D223" s="610" t="s">
        <v>31</v>
      </c>
      <c r="E223" s="376" t="s">
        <v>36</v>
      </c>
      <c r="F223" s="377" t="str">
        <f>'TRAD-Calculs dispo confrontatio'!B42</f>
        <v>Cp</v>
      </c>
      <c r="G223" s="377" t="s">
        <v>33</v>
      </c>
      <c r="H223" s="378" t="s">
        <v>89</v>
      </c>
      <c r="I223" s="378" t="str">
        <f t="shared" si="64"/>
        <v>ABC - 300 mg - Bte/60</v>
      </c>
      <c r="J223" s="378" t="s">
        <v>106</v>
      </c>
      <c r="K223" s="612">
        <v>2</v>
      </c>
      <c r="L223" s="612">
        <f t="shared" si="68"/>
        <v>60</v>
      </c>
      <c r="M223" s="114">
        <v>60</v>
      </c>
      <c r="N223" s="308">
        <f t="shared" si="69"/>
        <v>1</v>
      </c>
      <c r="O223" s="231" t="e">
        <f>'Calculs dispo Données FA'!Q203</f>
        <v>#DIV/0!</v>
      </c>
      <c r="P223" s="236" t="e">
        <f>'Calculs dispo Données FA'!R203</f>
        <v>#DIV/0!</v>
      </c>
      <c r="Q223" s="241" t="e">
        <f>'Calculs dispo Données FA'!S203</f>
        <v>#DIV/0!</v>
      </c>
      <c r="R223" s="247" t="e">
        <f>'Calculs dispo Données FA'!T203</f>
        <v>#DIV/0!</v>
      </c>
      <c r="S223" s="248" t="e">
        <f>'Calculs dispo Données FA'!U203</f>
        <v>#DIV/0!</v>
      </c>
      <c r="U223" s="231" t="str">
        <f>'Calculs dispo Données FA'!W203</f>
        <v/>
      </c>
      <c r="V223" s="236" t="str">
        <f>'Calculs dispo Données FA'!X203</f>
        <v/>
      </c>
      <c r="W223" s="241" t="str">
        <f>'Calculs dispo Données FA'!Y203</f>
        <v/>
      </c>
      <c r="X223" s="247" t="str">
        <f>'Calculs dispo Données FA'!Z203</f>
        <v/>
      </c>
      <c r="Y223" s="248" t="str">
        <f>'Calculs dispo Données FA'!AA203</f>
        <v>1093B &amp; conso =0</v>
      </c>
      <c r="AA223" s="231" t="e">
        <f>'Calculs dispo Données FA'!AC203</f>
        <v>#DIV/0!</v>
      </c>
      <c r="AB223" s="236" t="e">
        <f>'Calculs dispo Données FA'!AD203</f>
        <v>#DIV/0!</v>
      </c>
      <c r="AC223" s="241" t="e">
        <f>'Calculs dispo Données FA'!AE203</f>
        <v>#DIV/0!</v>
      </c>
      <c r="AD223" s="241" t="e">
        <f>'Calculs dispo Données FA'!AF203</f>
        <v>#DIV/0!</v>
      </c>
      <c r="AE223" s="247" t="e">
        <f>'Calculs dispo Données FA'!AG203</f>
        <v>#DIV/0!</v>
      </c>
      <c r="AF223" s="248" t="e">
        <f>'Calculs dispo Données FA'!AH203</f>
        <v>#DIV/0!</v>
      </c>
      <c r="AH223" s="231" t="str">
        <f>'Calculs dispo Données FA'!AO203</f>
        <v/>
      </c>
      <c r="AI223" s="236" t="str">
        <f>'Calculs dispo Données FA'!AP203</f>
        <v/>
      </c>
      <c r="AJ223" s="241" t="str">
        <f>'Calculs dispo Données FA'!AQ203</f>
        <v/>
      </c>
      <c r="AK223" s="241" t="str">
        <f>'Calculs dispo Données FA'!AR203</f>
        <v/>
      </c>
      <c r="AL223" s="247" t="str">
        <f>'Calculs dispo Données FA'!AS203</f>
        <v/>
      </c>
      <c r="AM223" s="248" t="str">
        <f>'Calculs dispo Données FA'!AT203</f>
        <v/>
      </c>
      <c r="AO223" s="231"/>
      <c r="AP223" s="555"/>
      <c r="AQ223" s="556"/>
      <c r="AR223" s="557"/>
      <c r="AS223" s="558"/>
      <c r="AT223" s="500"/>
      <c r="AU223" s="231"/>
      <c r="AV223" s="555"/>
      <c r="AW223" s="556"/>
      <c r="AX223" s="557"/>
      <c r="AY223" s="558"/>
      <c r="AZ223" s="500"/>
      <c r="BA223" s="231"/>
      <c r="BB223" s="555"/>
      <c r="BC223" s="556"/>
      <c r="BD223" s="556"/>
      <c r="BE223" s="557"/>
      <c r="BF223" s="558"/>
      <c r="BG223" s="500"/>
      <c r="BH223" s="231"/>
      <c r="BI223" s="555"/>
      <c r="BJ223" s="556"/>
      <c r="BK223" s="556"/>
      <c r="BL223" s="557"/>
      <c r="BM223" s="558"/>
    </row>
    <row r="224" spans="3:65" s="358" customFormat="1" x14ac:dyDescent="0.2">
      <c r="C224" s="374"/>
      <c r="D224" s="375"/>
      <c r="E224" s="376"/>
      <c r="F224" s="377"/>
      <c r="G224" s="383"/>
      <c r="H224" s="378"/>
      <c r="I224" s="378"/>
      <c r="J224" s="379"/>
      <c r="K224" s="380"/>
      <c r="L224" s="380"/>
      <c r="M224" s="114"/>
      <c r="N224" s="381"/>
      <c r="O224" s="231"/>
      <c r="P224" s="555"/>
      <c r="Q224" s="556"/>
      <c r="R224" s="557"/>
      <c r="S224" s="558"/>
      <c r="U224" s="231"/>
      <c r="V224" s="555"/>
      <c r="W224" s="556"/>
      <c r="X224" s="557"/>
      <c r="Y224" s="558"/>
      <c r="AA224" s="231"/>
      <c r="AB224" s="555"/>
      <c r="AC224" s="556"/>
      <c r="AD224" s="556"/>
      <c r="AE224" s="557"/>
      <c r="AF224" s="558"/>
      <c r="AH224" s="231"/>
      <c r="AI224" s="555"/>
      <c r="AJ224" s="556"/>
      <c r="AK224" s="556"/>
      <c r="AL224" s="557"/>
      <c r="AM224" s="558"/>
      <c r="AO224" s="231">
        <f>'Calculs dispo Données conso'!Q205</f>
        <v>3.8465753424657123</v>
      </c>
      <c r="AP224" s="236">
        <f>'Calculs dispo Données conso'!R205</f>
        <v>0.84657534246571231</v>
      </c>
      <c r="AQ224" s="241">
        <f>'Calculs dispo Données conso'!S205</f>
        <v>3</v>
      </c>
      <c r="AR224" s="849">
        <f>'Calculs dispo Données conso'!T205</f>
        <v>41944.397260273974</v>
      </c>
      <c r="AS224" s="850">
        <f>'Calculs dispo Données conso'!U205</f>
        <v>42034.397260273974</v>
      </c>
      <c r="AT224" s="500"/>
      <c r="AU224" s="231">
        <f>'Calculs dispo Données conso'!W205</f>
        <v>3.8465753424657123</v>
      </c>
      <c r="AV224" s="236">
        <f>'Calculs dispo Données conso'!X205</f>
        <v>0.84657534246571231</v>
      </c>
      <c r="AW224" s="241">
        <f>'Calculs dispo Données conso'!Y205</f>
        <v>3</v>
      </c>
      <c r="AX224" s="849">
        <f>'Calculs dispo Données conso'!Z205</f>
        <v>41944.397260273974</v>
      </c>
      <c r="AY224" s="850">
        <f>'Calculs dispo Données conso'!AA205</f>
        <v>42034.397260273974</v>
      </c>
      <c r="AZ224" s="500"/>
      <c r="BA224" s="231">
        <f>'Calculs dispo Données conso'!AC205</f>
        <v>0</v>
      </c>
      <c r="BB224" s="236">
        <f>'Calculs dispo Données conso'!AD205</f>
        <v>-3</v>
      </c>
      <c r="BC224" s="241">
        <f>'Calculs dispo Données conso'!AE205</f>
        <v>0</v>
      </c>
      <c r="BD224" s="241">
        <f>'Calculs dispo Données conso'!AF205</f>
        <v>0</v>
      </c>
      <c r="BE224" s="849">
        <f>'Calculs dispo Données conso'!AG205</f>
        <v>41829</v>
      </c>
      <c r="BF224" s="850">
        <f>'Calculs dispo Données conso'!AH205</f>
        <v>41919</v>
      </c>
      <c r="BG224" s="500"/>
      <c r="BH224" s="231" t="str">
        <f>'Calculs dispo Données conso'!AO205</f>
        <v/>
      </c>
      <c r="BI224" s="236" t="str">
        <f>'Calculs dispo Données conso'!AP205</f>
        <v/>
      </c>
      <c r="BJ224" s="241" t="str">
        <f>'Calculs dispo Données conso'!AQ205</f>
        <v/>
      </c>
      <c r="BK224" s="241" t="str">
        <f>'Calculs dispo Données conso'!AR205</f>
        <v/>
      </c>
      <c r="BL224" s="849" t="str">
        <f>'Calculs dispo Données conso'!AS205</f>
        <v/>
      </c>
      <c r="BM224" s="850" t="str">
        <f>'Calculs dispo Données conso'!AT205</f>
        <v/>
      </c>
    </row>
    <row r="225" spans="3:65" s="358" customFormat="1" x14ac:dyDescent="0.2">
      <c r="C225" s="374"/>
      <c r="D225" s="375"/>
      <c r="E225" s="376" t="s">
        <v>32</v>
      </c>
      <c r="F225" s="377" t="str">
        <f>'TRAD-Calculs dispo confrontatio'!B42</f>
        <v>Cp</v>
      </c>
      <c r="G225" s="383" t="s">
        <v>33</v>
      </c>
      <c r="H225" s="378" t="s">
        <v>81</v>
      </c>
      <c r="I225" s="378" t="str">
        <f t="shared" si="64"/>
        <v>AZT - 300 mg - Bte/60</v>
      </c>
      <c r="J225" s="379"/>
      <c r="K225" s="380">
        <v>2</v>
      </c>
      <c r="L225" s="380">
        <f t="shared" si="68"/>
        <v>60</v>
      </c>
      <c r="M225" s="114">
        <v>60</v>
      </c>
      <c r="N225" s="381">
        <f t="shared" si="69"/>
        <v>1</v>
      </c>
      <c r="O225" s="231" t="e">
        <f>'Calculs dispo Données FA'!Q205</f>
        <v>#DIV/0!</v>
      </c>
      <c r="P225" s="236" t="e">
        <f>'Calculs dispo Données FA'!R205</f>
        <v>#DIV/0!</v>
      </c>
      <c r="Q225" s="241" t="e">
        <f>'Calculs dispo Données FA'!S205</f>
        <v>#DIV/0!</v>
      </c>
      <c r="R225" s="247" t="e">
        <f>'Calculs dispo Données FA'!T205</f>
        <v>#DIV/0!</v>
      </c>
      <c r="S225" s="248" t="e">
        <f>'Calculs dispo Données FA'!U205</f>
        <v>#DIV/0!</v>
      </c>
      <c r="U225" s="231" t="str">
        <f>'Calculs dispo Données FA'!W205</f>
        <v/>
      </c>
      <c r="V225" s="236" t="str">
        <f>'Calculs dispo Données FA'!X205</f>
        <v/>
      </c>
      <c r="W225" s="241" t="str">
        <f>'Calculs dispo Données FA'!Y205</f>
        <v/>
      </c>
      <c r="X225" s="247" t="str">
        <f>'Calculs dispo Données FA'!Z205</f>
        <v/>
      </c>
      <c r="Y225" s="248" t="str">
        <f>'Calculs dispo Données FA'!AA205</f>
        <v/>
      </c>
      <c r="AA225" s="231" t="e">
        <f>'Calculs dispo Données FA'!AC205</f>
        <v>#DIV/0!</v>
      </c>
      <c r="AB225" s="236" t="e">
        <f>'Calculs dispo Données FA'!AD205</f>
        <v>#DIV/0!</v>
      </c>
      <c r="AC225" s="241" t="e">
        <f>'Calculs dispo Données FA'!AE205</f>
        <v>#DIV/0!</v>
      </c>
      <c r="AD225" s="241" t="e">
        <f>'Calculs dispo Données FA'!AF205</f>
        <v>#DIV/0!</v>
      </c>
      <c r="AE225" s="247" t="e">
        <f>'Calculs dispo Données FA'!AG205</f>
        <v>#DIV/0!</v>
      </c>
      <c r="AF225" s="248" t="e">
        <f>'Calculs dispo Données FA'!AH205</f>
        <v>#DIV/0!</v>
      </c>
      <c r="AH225" s="231" t="str">
        <f>'Calculs dispo Données FA'!AO205</f>
        <v/>
      </c>
      <c r="AI225" s="236" t="str">
        <f>'Calculs dispo Données FA'!AP205</f>
        <v/>
      </c>
      <c r="AJ225" s="241" t="str">
        <f>'Calculs dispo Données FA'!AQ205</f>
        <v/>
      </c>
      <c r="AK225" s="241" t="str">
        <f>'Calculs dispo Données FA'!AR205</f>
        <v/>
      </c>
      <c r="AL225" s="247" t="str">
        <f>'Calculs dispo Données FA'!AS205</f>
        <v/>
      </c>
      <c r="AM225" s="248" t="str">
        <f>'Calculs dispo Données FA'!AT205</f>
        <v/>
      </c>
      <c r="AO225" s="231"/>
      <c r="AP225" s="555"/>
      <c r="AQ225" s="556"/>
      <c r="AR225" s="557"/>
      <c r="AS225" s="558"/>
      <c r="AT225" s="500"/>
      <c r="AU225" s="231"/>
      <c r="AV225" s="555"/>
      <c r="AW225" s="556"/>
      <c r="AX225" s="557"/>
      <c r="AY225" s="558"/>
      <c r="AZ225" s="500"/>
      <c r="BA225" s="231"/>
      <c r="BB225" s="555"/>
      <c r="BC225" s="556"/>
      <c r="BD225" s="556"/>
      <c r="BE225" s="557"/>
      <c r="BF225" s="558"/>
      <c r="BG225" s="500"/>
      <c r="BH225" s="231"/>
      <c r="BI225" s="555"/>
      <c r="BJ225" s="556"/>
      <c r="BK225" s="556"/>
      <c r="BL225" s="557"/>
      <c r="BM225" s="558"/>
    </row>
    <row r="226" spans="3:65" s="358" customFormat="1" x14ac:dyDescent="0.2">
      <c r="C226" s="374"/>
      <c r="D226" s="375"/>
      <c r="E226" s="376"/>
      <c r="F226" s="377"/>
      <c r="G226" s="383"/>
      <c r="H226" s="378"/>
      <c r="I226" s="378"/>
      <c r="J226" s="379"/>
      <c r="K226" s="380"/>
      <c r="L226" s="380"/>
      <c r="M226" s="114"/>
      <c r="N226" s="381"/>
      <c r="O226" s="231"/>
      <c r="P226" s="555"/>
      <c r="Q226" s="556"/>
      <c r="R226" s="557"/>
      <c r="S226" s="558"/>
      <c r="U226" s="231"/>
      <c r="V226" s="555"/>
      <c r="W226" s="556"/>
      <c r="X226" s="557"/>
      <c r="Y226" s="558"/>
      <c r="AA226" s="231"/>
      <c r="AB226" s="555"/>
      <c r="AC226" s="556"/>
      <c r="AD226" s="556"/>
      <c r="AE226" s="557"/>
      <c r="AF226" s="558"/>
      <c r="AH226" s="231"/>
      <c r="AI226" s="555"/>
      <c r="AJ226" s="556"/>
      <c r="AK226" s="556"/>
      <c r="AL226" s="557"/>
      <c r="AM226" s="558"/>
      <c r="AO226" s="231" t="e">
        <f>'Calculs dispo Données conso'!Q207</f>
        <v>#DIV/0!</v>
      </c>
      <c r="AP226" s="236" t="e">
        <f>'Calculs dispo Données conso'!R207</f>
        <v>#DIV/0!</v>
      </c>
      <c r="AQ226" s="241" t="e">
        <f>'Calculs dispo Données conso'!S207</f>
        <v>#DIV/0!</v>
      </c>
      <c r="AR226" s="849" t="e">
        <f>'Calculs dispo Données conso'!T207</f>
        <v>#DIV/0!</v>
      </c>
      <c r="AS226" s="850" t="e">
        <f>'Calculs dispo Données conso'!U207</f>
        <v>#DIV/0!</v>
      </c>
      <c r="AT226" s="500"/>
      <c r="AU226" s="231" t="str">
        <f>'Calculs dispo Données conso'!W207</f>
        <v/>
      </c>
      <c r="AV226" s="236" t="str">
        <f>'Calculs dispo Données conso'!X207</f>
        <v/>
      </c>
      <c r="AW226" s="241" t="str">
        <f>'Calculs dispo Données conso'!Y207</f>
        <v/>
      </c>
      <c r="AX226" s="849" t="str">
        <f>'Calculs dispo Données conso'!Z207</f>
        <v/>
      </c>
      <c r="AY226" s="850" t="str">
        <f>'Calculs dispo Données conso'!AA207</f>
        <v/>
      </c>
      <c r="AZ226" s="500"/>
      <c r="BA226" s="231" t="e">
        <f>'Calculs dispo Données conso'!AC207</f>
        <v>#DIV/0!</v>
      </c>
      <c r="BB226" s="236" t="e">
        <f>'Calculs dispo Données conso'!AD207</f>
        <v>#DIV/0!</v>
      </c>
      <c r="BC226" s="241" t="e">
        <f>'Calculs dispo Données conso'!AE207</f>
        <v>#DIV/0!</v>
      </c>
      <c r="BD226" s="241" t="e">
        <f>'Calculs dispo Données conso'!AF207</f>
        <v>#DIV/0!</v>
      </c>
      <c r="BE226" s="849" t="e">
        <f>'Calculs dispo Données conso'!AG207</f>
        <v>#DIV/0!</v>
      </c>
      <c r="BF226" s="850" t="e">
        <f>'Calculs dispo Données conso'!AH207</f>
        <v>#DIV/0!</v>
      </c>
      <c r="BG226" s="500"/>
      <c r="BH226" s="231" t="str">
        <f>'Calculs dispo Données conso'!AO207</f>
        <v/>
      </c>
      <c r="BI226" s="236" t="str">
        <f>'Calculs dispo Données conso'!AP207</f>
        <v/>
      </c>
      <c r="BJ226" s="241" t="str">
        <f>'Calculs dispo Données conso'!AQ207</f>
        <v/>
      </c>
      <c r="BK226" s="241" t="str">
        <f>'Calculs dispo Données conso'!AR207</f>
        <v/>
      </c>
      <c r="BL226" s="849" t="str">
        <f>'Calculs dispo Données conso'!AS207</f>
        <v/>
      </c>
      <c r="BM226" s="850" t="str">
        <f>'Calculs dispo Données conso'!AT207</f>
        <v/>
      </c>
    </row>
    <row r="227" spans="3:65" s="358" customFormat="1" x14ac:dyDescent="0.2">
      <c r="C227" s="374"/>
      <c r="D227" s="375"/>
      <c r="E227" s="376" t="s">
        <v>32</v>
      </c>
      <c r="F227" s="377" t="str">
        <f>'TRAD-Calculs dispo confrontatio'!B42</f>
        <v>Cp</v>
      </c>
      <c r="G227" s="383" t="s">
        <v>46</v>
      </c>
      <c r="H227" s="378" t="s">
        <v>81</v>
      </c>
      <c r="I227" s="378" t="str">
        <f t="shared" si="64"/>
        <v>AZT - 100 mg - Bte/100</v>
      </c>
      <c r="J227" s="379"/>
      <c r="K227" s="380"/>
      <c r="L227" s="380"/>
      <c r="M227" s="114">
        <v>100</v>
      </c>
      <c r="N227" s="381"/>
      <c r="O227" s="231" t="e">
        <f>'Calculs dispo Données FA'!Q206</f>
        <v>#DIV/0!</v>
      </c>
      <c r="P227" s="236" t="e">
        <f>'Calculs dispo Données FA'!R206</f>
        <v>#DIV/0!</v>
      </c>
      <c r="Q227" s="241" t="e">
        <f>'Calculs dispo Données FA'!S206</f>
        <v>#DIV/0!</v>
      </c>
      <c r="R227" s="247" t="e">
        <f>'Calculs dispo Données FA'!T206</f>
        <v>#DIV/0!</v>
      </c>
      <c r="S227" s="248" t="e">
        <f>'Calculs dispo Données FA'!U206</f>
        <v>#DIV/0!</v>
      </c>
      <c r="U227" s="231" t="str">
        <f>'Calculs dispo Données FA'!W206</f>
        <v/>
      </c>
      <c r="V227" s="236" t="str">
        <f>'Calculs dispo Données FA'!X206</f>
        <v/>
      </c>
      <c r="W227" s="241" t="str">
        <f>'Calculs dispo Données FA'!Y206</f>
        <v/>
      </c>
      <c r="X227" s="247" t="str">
        <f>'Calculs dispo Données FA'!Z206</f>
        <v/>
      </c>
      <c r="Y227" s="248" t="str">
        <f>'Calculs dispo Données FA'!AA206</f>
        <v/>
      </c>
      <c r="AA227" s="231" t="e">
        <f>'Calculs dispo Données FA'!AC206</f>
        <v>#DIV/0!</v>
      </c>
      <c r="AB227" s="236" t="e">
        <f>'Calculs dispo Données FA'!AD206</f>
        <v>#DIV/0!</v>
      </c>
      <c r="AC227" s="241" t="e">
        <f>'Calculs dispo Données FA'!AE206</f>
        <v>#DIV/0!</v>
      </c>
      <c r="AD227" s="241" t="e">
        <f>'Calculs dispo Données FA'!AF206</f>
        <v>#DIV/0!</v>
      </c>
      <c r="AE227" s="247" t="e">
        <f>'Calculs dispo Données FA'!AG206</f>
        <v>#DIV/0!</v>
      </c>
      <c r="AF227" s="248" t="e">
        <f>'Calculs dispo Données FA'!AH206</f>
        <v>#DIV/0!</v>
      </c>
      <c r="AH227" s="231" t="str">
        <f>'Calculs dispo Données FA'!AO206</f>
        <v/>
      </c>
      <c r="AI227" s="236" t="str">
        <f>'Calculs dispo Données FA'!AP206</f>
        <v/>
      </c>
      <c r="AJ227" s="241" t="str">
        <f>'Calculs dispo Données FA'!AQ206</f>
        <v/>
      </c>
      <c r="AK227" s="241" t="str">
        <f>'Calculs dispo Données FA'!AR206</f>
        <v/>
      </c>
      <c r="AL227" s="247" t="str">
        <f>'Calculs dispo Données FA'!AS206</f>
        <v/>
      </c>
      <c r="AM227" s="248" t="str">
        <f>'Calculs dispo Données FA'!AT206</f>
        <v/>
      </c>
      <c r="AO227" s="231"/>
      <c r="AP227" s="555"/>
      <c r="AQ227" s="556"/>
      <c r="AR227" s="557"/>
      <c r="AS227" s="558"/>
      <c r="AT227" s="500"/>
      <c r="AU227" s="231"/>
      <c r="AV227" s="555"/>
      <c r="AW227" s="556"/>
      <c r="AX227" s="557"/>
      <c r="AY227" s="558"/>
      <c r="AZ227" s="500"/>
      <c r="BA227" s="231"/>
      <c r="BB227" s="555"/>
      <c r="BC227" s="556"/>
      <c r="BD227" s="556"/>
      <c r="BE227" s="557"/>
      <c r="BF227" s="558"/>
      <c r="BG227" s="500"/>
      <c r="BH227" s="231"/>
      <c r="BI227" s="555"/>
      <c r="BJ227" s="556"/>
      <c r="BK227" s="556"/>
      <c r="BL227" s="557"/>
      <c r="BM227" s="558"/>
    </row>
    <row r="228" spans="3:65" s="358" customFormat="1" x14ac:dyDescent="0.2">
      <c r="C228" s="374"/>
      <c r="D228" s="375"/>
      <c r="E228" s="376"/>
      <c r="F228" s="377"/>
      <c r="G228" s="383"/>
      <c r="H228" s="378"/>
      <c r="I228" s="378"/>
      <c r="J228" s="379"/>
      <c r="K228" s="380"/>
      <c r="L228" s="380"/>
      <c r="M228" s="114"/>
      <c r="N228" s="381"/>
      <c r="O228" s="231"/>
      <c r="P228" s="555"/>
      <c r="Q228" s="556"/>
      <c r="R228" s="557"/>
      <c r="S228" s="558"/>
      <c r="U228" s="231"/>
      <c r="V228" s="555"/>
      <c r="W228" s="556"/>
      <c r="X228" s="557"/>
      <c r="Y228" s="558"/>
      <c r="AA228" s="231"/>
      <c r="AB228" s="555"/>
      <c r="AC228" s="556"/>
      <c r="AD228" s="556"/>
      <c r="AE228" s="557"/>
      <c r="AF228" s="558"/>
      <c r="AH228" s="231"/>
      <c r="AI228" s="555"/>
      <c r="AJ228" s="556"/>
      <c r="AK228" s="556"/>
      <c r="AL228" s="557"/>
      <c r="AM228" s="558"/>
      <c r="AO228" s="231" t="e">
        <f>'Calculs dispo Données conso'!Q208</f>
        <v>#DIV/0!</v>
      </c>
      <c r="AP228" s="236" t="e">
        <f>'Calculs dispo Données conso'!R208</f>
        <v>#DIV/0!</v>
      </c>
      <c r="AQ228" s="241" t="e">
        <f>'Calculs dispo Données conso'!S208</f>
        <v>#DIV/0!</v>
      </c>
      <c r="AR228" s="849" t="e">
        <f>'Calculs dispo Données conso'!T208</f>
        <v>#DIV/0!</v>
      </c>
      <c r="AS228" s="850" t="e">
        <f>'Calculs dispo Données conso'!U208</f>
        <v>#DIV/0!</v>
      </c>
      <c r="AT228" s="500"/>
      <c r="AU228" s="231" t="str">
        <f>'Calculs dispo Données conso'!W208</f>
        <v/>
      </c>
      <c r="AV228" s="236" t="str">
        <f>'Calculs dispo Données conso'!X208</f>
        <v/>
      </c>
      <c r="AW228" s="241" t="str">
        <f>'Calculs dispo Données conso'!Y208</f>
        <v/>
      </c>
      <c r="AX228" s="849" t="str">
        <f>'Calculs dispo Données conso'!Z208</f>
        <v/>
      </c>
      <c r="AY228" s="850" t="str">
        <f>'Calculs dispo Données conso'!AA208</f>
        <v/>
      </c>
      <c r="AZ228" s="500"/>
      <c r="BA228" s="231" t="e">
        <f>'Calculs dispo Données conso'!AC208</f>
        <v>#DIV/0!</v>
      </c>
      <c r="BB228" s="236" t="e">
        <f>'Calculs dispo Données conso'!AD208</f>
        <v>#DIV/0!</v>
      </c>
      <c r="BC228" s="241" t="e">
        <f>'Calculs dispo Données conso'!AE208</f>
        <v>#DIV/0!</v>
      </c>
      <c r="BD228" s="241" t="e">
        <f>'Calculs dispo Données conso'!AF208</f>
        <v>#DIV/0!</v>
      </c>
      <c r="BE228" s="849" t="e">
        <f>'Calculs dispo Données conso'!AG208</f>
        <v>#DIV/0!</v>
      </c>
      <c r="BF228" s="850" t="e">
        <f>'Calculs dispo Données conso'!AH208</f>
        <v>#DIV/0!</v>
      </c>
      <c r="BG228" s="500"/>
      <c r="BH228" s="231" t="str">
        <f>'Calculs dispo Données conso'!AO208</f>
        <v/>
      </c>
      <c r="BI228" s="236" t="str">
        <f>'Calculs dispo Données conso'!AP208</f>
        <v/>
      </c>
      <c r="BJ228" s="241" t="str">
        <f>'Calculs dispo Données conso'!AQ208</f>
        <v/>
      </c>
      <c r="BK228" s="241" t="str">
        <f>'Calculs dispo Données conso'!AR208</f>
        <v/>
      </c>
      <c r="BL228" s="849" t="str">
        <f>'Calculs dispo Données conso'!AS208</f>
        <v/>
      </c>
      <c r="BM228" s="850" t="str">
        <f>'Calculs dispo Données conso'!AT208</f>
        <v/>
      </c>
    </row>
    <row r="229" spans="3:65" s="358" customFormat="1" x14ac:dyDescent="0.2">
      <c r="C229" s="374"/>
      <c r="D229" s="375"/>
      <c r="E229" s="376" t="s">
        <v>82</v>
      </c>
      <c r="F229" s="377" t="str">
        <f>'TRAD-Calculs dispo confrontatio'!B42</f>
        <v>Cp</v>
      </c>
      <c r="G229" s="383" t="s">
        <v>222</v>
      </c>
      <c r="H229" s="378" t="s">
        <v>83</v>
      </c>
      <c r="I229" s="378" t="str">
        <f t="shared" si="64"/>
        <v>D4T - 30 mg - Bte/60</v>
      </c>
      <c r="J229" s="379" t="s">
        <v>223</v>
      </c>
      <c r="K229" s="380">
        <v>2</v>
      </c>
      <c r="L229" s="380">
        <f t="shared" si="68"/>
        <v>60</v>
      </c>
      <c r="M229" s="114">
        <v>60</v>
      </c>
      <c r="N229" s="381">
        <f t="shared" si="69"/>
        <v>1</v>
      </c>
      <c r="O229" s="231" t="e">
        <f>'Calculs dispo Données FA'!Q208</f>
        <v>#DIV/0!</v>
      </c>
      <c r="P229" s="236" t="e">
        <f>'Calculs dispo Données FA'!R208</f>
        <v>#DIV/0!</v>
      </c>
      <c r="Q229" s="241" t="e">
        <f>'Calculs dispo Données FA'!S208</f>
        <v>#DIV/0!</v>
      </c>
      <c r="R229" s="247" t="e">
        <f>'Calculs dispo Données FA'!T208</f>
        <v>#DIV/0!</v>
      </c>
      <c r="S229" s="248" t="e">
        <f>'Calculs dispo Données FA'!U208</f>
        <v>#DIV/0!</v>
      </c>
      <c r="U229" s="231" t="str">
        <f>'Calculs dispo Données FA'!W208</f>
        <v/>
      </c>
      <c r="V229" s="236" t="str">
        <f>'Calculs dispo Données FA'!X208</f>
        <v/>
      </c>
      <c r="W229" s="241" t="str">
        <f>'Calculs dispo Données FA'!Y208</f>
        <v/>
      </c>
      <c r="X229" s="247" t="str">
        <f>'Calculs dispo Données FA'!Z208</f>
        <v/>
      </c>
      <c r="Y229" s="248" t="str">
        <f>'Calculs dispo Données FA'!AA208</f>
        <v/>
      </c>
      <c r="AA229" s="231" t="e">
        <f>'Calculs dispo Données FA'!AC208</f>
        <v>#DIV/0!</v>
      </c>
      <c r="AB229" s="236" t="e">
        <f>'Calculs dispo Données FA'!AD208</f>
        <v>#DIV/0!</v>
      </c>
      <c r="AC229" s="241" t="e">
        <f>'Calculs dispo Données FA'!AE208</f>
        <v>#DIV/0!</v>
      </c>
      <c r="AD229" s="241" t="e">
        <f>'Calculs dispo Données FA'!AF208</f>
        <v>#DIV/0!</v>
      </c>
      <c r="AE229" s="247" t="e">
        <f>'Calculs dispo Données FA'!AG208</f>
        <v>#DIV/0!</v>
      </c>
      <c r="AF229" s="248" t="e">
        <f>'Calculs dispo Données FA'!AH208</f>
        <v>#DIV/0!</v>
      </c>
      <c r="AH229" s="231" t="str">
        <f>'Calculs dispo Données FA'!AO208</f>
        <v/>
      </c>
      <c r="AI229" s="236" t="str">
        <f>'Calculs dispo Données FA'!AP208</f>
        <v/>
      </c>
      <c r="AJ229" s="241" t="str">
        <f>'Calculs dispo Données FA'!AQ208</f>
        <v/>
      </c>
      <c r="AK229" s="241" t="str">
        <f>'Calculs dispo Données FA'!AR208</f>
        <v/>
      </c>
      <c r="AL229" s="247" t="str">
        <f>'Calculs dispo Données FA'!AS208</f>
        <v/>
      </c>
      <c r="AM229" s="248" t="str">
        <f>'Calculs dispo Données FA'!AT208</f>
        <v/>
      </c>
      <c r="AO229" s="231"/>
      <c r="AP229" s="555"/>
      <c r="AQ229" s="556"/>
      <c r="AR229" s="557"/>
      <c r="AS229" s="558"/>
      <c r="AT229" s="500"/>
      <c r="AU229" s="231"/>
      <c r="AV229" s="555"/>
      <c r="AW229" s="556"/>
      <c r="AX229" s="557"/>
      <c r="AY229" s="558"/>
      <c r="AZ229" s="500"/>
      <c r="BA229" s="231"/>
      <c r="BB229" s="555"/>
      <c r="BC229" s="556"/>
      <c r="BD229" s="556"/>
      <c r="BE229" s="557"/>
      <c r="BF229" s="558"/>
      <c r="BG229" s="500"/>
      <c r="BH229" s="231"/>
      <c r="BI229" s="555"/>
      <c r="BJ229" s="556"/>
      <c r="BK229" s="556"/>
      <c r="BL229" s="557"/>
      <c r="BM229" s="558"/>
    </row>
    <row r="230" spans="3:65" s="358" customFormat="1" x14ac:dyDescent="0.2">
      <c r="C230" s="374"/>
      <c r="D230" s="375"/>
      <c r="E230" s="376"/>
      <c r="F230" s="377"/>
      <c r="G230" s="383"/>
      <c r="H230" s="378"/>
      <c r="I230" s="378"/>
      <c r="J230" s="379"/>
      <c r="K230" s="380"/>
      <c r="L230" s="380"/>
      <c r="M230" s="114"/>
      <c r="N230" s="381"/>
      <c r="O230" s="231"/>
      <c r="P230" s="555"/>
      <c r="Q230" s="556"/>
      <c r="R230" s="557"/>
      <c r="S230" s="558"/>
      <c r="U230" s="231"/>
      <c r="V230" s="555"/>
      <c r="W230" s="556"/>
      <c r="X230" s="557"/>
      <c r="Y230" s="558"/>
      <c r="AA230" s="231"/>
      <c r="AB230" s="555"/>
      <c r="AC230" s="556"/>
      <c r="AD230" s="556"/>
      <c r="AE230" s="557"/>
      <c r="AF230" s="558"/>
      <c r="AH230" s="231"/>
      <c r="AI230" s="555"/>
      <c r="AJ230" s="556"/>
      <c r="AK230" s="556"/>
      <c r="AL230" s="557"/>
      <c r="AM230" s="558"/>
      <c r="AO230" s="231" t="e">
        <f>'Calculs dispo Données conso'!Q210</f>
        <v>#DIV/0!</v>
      </c>
      <c r="AP230" s="236" t="e">
        <f>'Calculs dispo Données conso'!R210</f>
        <v>#DIV/0!</v>
      </c>
      <c r="AQ230" s="241" t="e">
        <f>'Calculs dispo Données conso'!S210</f>
        <v>#DIV/0!</v>
      </c>
      <c r="AR230" s="849" t="e">
        <f>'Calculs dispo Données conso'!T210</f>
        <v>#DIV/0!</v>
      </c>
      <c r="AS230" s="850" t="e">
        <f>'Calculs dispo Données conso'!U210</f>
        <v>#DIV/0!</v>
      </c>
      <c r="AT230" s="500"/>
      <c r="AU230" s="231" t="str">
        <f>'Calculs dispo Données conso'!W210</f>
        <v/>
      </c>
      <c r="AV230" s="236" t="str">
        <f>'Calculs dispo Données conso'!X210</f>
        <v/>
      </c>
      <c r="AW230" s="241" t="str">
        <f>'Calculs dispo Données conso'!Y210</f>
        <v/>
      </c>
      <c r="AX230" s="849" t="str">
        <f>'Calculs dispo Données conso'!Z210</f>
        <v/>
      </c>
      <c r="AY230" s="850" t="str">
        <f>'Calculs dispo Données conso'!AA210</f>
        <v/>
      </c>
      <c r="AZ230" s="500"/>
      <c r="BA230" s="231" t="e">
        <f>'Calculs dispo Données conso'!AC210</f>
        <v>#DIV/0!</v>
      </c>
      <c r="BB230" s="236" t="e">
        <f>'Calculs dispo Données conso'!AD210</f>
        <v>#DIV/0!</v>
      </c>
      <c r="BC230" s="241" t="e">
        <f>'Calculs dispo Données conso'!AE210</f>
        <v>#DIV/0!</v>
      </c>
      <c r="BD230" s="241" t="e">
        <f>'Calculs dispo Données conso'!AF210</f>
        <v>#DIV/0!</v>
      </c>
      <c r="BE230" s="849" t="e">
        <f>'Calculs dispo Données conso'!AG210</f>
        <v>#DIV/0!</v>
      </c>
      <c r="BF230" s="850" t="e">
        <f>'Calculs dispo Données conso'!AH210</f>
        <v>#DIV/0!</v>
      </c>
      <c r="BG230" s="500"/>
      <c r="BH230" s="231" t="str">
        <f>'Calculs dispo Données conso'!AO210</f>
        <v/>
      </c>
      <c r="BI230" s="236" t="str">
        <f>'Calculs dispo Données conso'!AP210</f>
        <v/>
      </c>
      <c r="BJ230" s="241" t="str">
        <f>'Calculs dispo Données conso'!AQ210</f>
        <v/>
      </c>
      <c r="BK230" s="241" t="str">
        <f>'Calculs dispo Données conso'!AR210</f>
        <v/>
      </c>
      <c r="BL230" s="849" t="str">
        <f>'Calculs dispo Données conso'!AS210</f>
        <v/>
      </c>
      <c r="BM230" s="850" t="str">
        <f>'Calculs dispo Données conso'!AT210</f>
        <v/>
      </c>
    </row>
    <row r="231" spans="3:65" s="358" customFormat="1" x14ac:dyDescent="0.2">
      <c r="C231" s="374"/>
      <c r="D231" s="375"/>
      <c r="E231" s="376" t="s">
        <v>34</v>
      </c>
      <c r="F231" s="377" t="str">
        <f>'TRAD-Calculs dispo confrontatio'!B42</f>
        <v>Cp</v>
      </c>
      <c r="G231" s="383" t="s">
        <v>35</v>
      </c>
      <c r="H231" s="378" t="s">
        <v>132</v>
      </c>
      <c r="I231" s="378" t="str">
        <f t="shared" si="64"/>
        <v>3TC - 150 mg - Bte/60</v>
      </c>
      <c r="J231" s="379" t="s">
        <v>131</v>
      </c>
      <c r="K231" s="380">
        <v>2</v>
      </c>
      <c r="L231" s="380">
        <f t="shared" si="68"/>
        <v>60</v>
      </c>
      <c r="M231" s="114">
        <v>60</v>
      </c>
      <c r="N231" s="381">
        <f t="shared" si="69"/>
        <v>1</v>
      </c>
      <c r="O231" s="231" t="e">
        <f>'Calculs dispo Données FA'!Q209</f>
        <v>#DIV/0!</v>
      </c>
      <c r="P231" s="236" t="e">
        <f>'Calculs dispo Données FA'!R209</f>
        <v>#DIV/0!</v>
      </c>
      <c r="Q231" s="241" t="e">
        <f>'Calculs dispo Données FA'!S209</f>
        <v>#DIV/0!</v>
      </c>
      <c r="R231" s="247" t="e">
        <f>'Calculs dispo Données FA'!T209</f>
        <v>#DIV/0!</v>
      </c>
      <c r="S231" s="248" t="e">
        <f>'Calculs dispo Données FA'!U209</f>
        <v>#DIV/0!</v>
      </c>
      <c r="U231" s="231" t="str">
        <f>'Calculs dispo Données FA'!W209</f>
        <v/>
      </c>
      <c r="V231" s="236" t="str">
        <f>'Calculs dispo Données FA'!X209</f>
        <v/>
      </c>
      <c r="W231" s="241" t="str">
        <f>'Calculs dispo Données FA'!Y209</f>
        <v/>
      </c>
      <c r="X231" s="247" t="str">
        <f>'Calculs dispo Données FA'!Z209</f>
        <v/>
      </c>
      <c r="Y231" s="248" t="str">
        <f>'Calculs dispo Données FA'!AA209</f>
        <v/>
      </c>
      <c r="AA231" s="231" t="e">
        <f>'Calculs dispo Données FA'!AC209</f>
        <v>#DIV/0!</v>
      </c>
      <c r="AB231" s="236" t="e">
        <f>'Calculs dispo Données FA'!AD209</f>
        <v>#DIV/0!</v>
      </c>
      <c r="AC231" s="241" t="e">
        <f>'Calculs dispo Données FA'!AE209</f>
        <v>#DIV/0!</v>
      </c>
      <c r="AD231" s="241" t="e">
        <f>'Calculs dispo Données FA'!AF209</f>
        <v>#DIV/0!</v>
      </c>
      <c r="AE231" s="247" t="e">
        <f>'Calculs dispo Données FA'!AG209</f>
        <v>#DIV/0!</v>
      </c>
      <c r="AF231" s="248" t="e">
        <f>'Calculs dispo Données FA'!AH209</f>
        <v>#DIV/0!</v>
      </c>
      <c r="AH231" s="231" t="str">
        <f>'Calculs dispo Données FA'!AO209</f>
        <v/>
      </c>
      <c r="AI231" s="236" t="str">
        <f>'Calculs dispo Données FA'!AP209</f>
        <v/>
      </c>
      <c r="AJ231" s="241" t="str">
        <f>'Calculs dispo Données FA'!AQ209</f>
        <v/>
      </c>
      <c r="AK231" s="241" t="str">
        <f>'Calculs dispo Données FA'!AR209</f>
        <v/>
      </c>
      <c r="AL231" s="247" t="str">
        <f>'Calculs dispo Données FA'!AS209</f>
        <v/>
      </c>
      <c r="AM231" s="248" t="str">
        <f>'Calculs dispo Données FA'!AT209</f>
        <v/>
      </c>
      <c r="AO231" s="231"/>
      <c r="AP231" s="555"/>
      <c r="AQ231" s="556"/>
      <c r="AR231" s="557"/>
      <c r="AS231" s="558"/>
      <c r="AT231" s="500"/>
      <c r="AU231" s="231"/>
      <c r="AV231" s="555"/>
      <c r="AW231" s="556"/>
      <c r="AX231" s="557"/>
      <c r="AY231" s="558"/>
      <c r="AZ231" s="500"/>
      <c r="BA231" s="231"/>
      <c r="BB231" s="555"/>
      <c r="BC231" s="556"/>
      <c r="BD231" s="556"/>
      <c r="BE231" s="557"/>
      <c r="BF231" s="558"/>
      <c r="BG231" s="500"/>
      <c r="BH231" s="231"/>
      <c r="BI231" s="555"/>
      <c r="BJ231" s="556"/>
      <c r="BK231" s="556"/>
      <c r="BL231" s="557"/>
      <c r="BM231" s="558"/>
    </row>
    <row r="232" spans="3:65" s="358" customFormat="1" x14ac:dyDescent="0.2">
      <c r="C232" s="374"/>
      <c r="D232" s="375"/>
      <c r="E232" s="376"/>
      <c r="F232" s="377"/>
      <c r="G232" s="383"/>
      <c r="H232" s="378"/>
      <c r="I232" s="378"/>
      <c r="J232" s="379"/>
      <c r="K232" s="380"/>
      <c r="L232" s="380"/>
      <c r="M232" s="114"/>
      <c r="N232" s="381"/>
      <c r="O232" s="231"/>
      <c r="P232" s="555"/>
      <c r="Q232" s="556"/>
      <c r="R232" s="557"/>
      <c r="S232" s="558"/>
      <c r="U232" s="231"/>
      <c r="V232" s="555"/>
      <c r="W232" s="556"/>
      <c r="X232" s="557"/>
      <c r="Y232" s="558"/>
      <c r="AA232" s="231"/>
      <c r="AB232" s="555"/>
      <c r="AC232" s="556"/>
      <c r="AD232" s="556"/>
      <c r="AE232" s="557"/>
      <c r="AF232" s="558"/>
      <c r="AH232" s="231"/>
      <c r="AI232" s="555"/>
      <c r="AJ232" s="556"/>
      <c r="AK232" s="556"/>
      <c r="AL232" s="557"/>
      <c r="AM232" s="558"/>
      <c r="AO232" s="231" t="e">
        <f>'Calculs dispo Données conso'!Q211</f>
        <v>#DIV/0!</v>
      </c>
      <c r="AP232" s="236" t="e">
        <f>'Calculs dispo Données conso'!R211</f>
        <v>#DIV/0!</v>
      </c>
      <c r="AQ232" s="241" t="e">
        <f>'Calculs dispo Données conso'!S211</f>
        <v>#DIV/0!</v>
      </c>
      <c r="AR232" s="849" t="e">
        <f>'Calculs dispo Données conso'!T211</f>
        <v>#DIV/0!</v>
      </c>
      <c r="AS232" s="850" t="e">
        <f>'Calculs dispo Données conso'!U211</f>
        <v>#DIV/0!</v>
      </c>
      <c r="AT232" s="500"/>
      <c r="AU232" s="231" t="str">
        <f>'Calculs dispo Données conso'!W211</f>
        <v/>
      </c>
      <c r="AV232" s="236" t="str">
        <f>'Calculs dispo Données conso'!X211</f>
        <v/>
      </c>
      <c r="AW232" s="241" t="str">
        <f>'Calculs dispo Données conso'!Y211</f>
        <v/>
      </c>
      <c r="AX232" s="849" t="str">
        <f>'Calculs dispo Données conso'!Z211</f>
        <v/>
      </c>
      <c r="AY232" s="850" t="str">
        <f>'Calculs dispo Données conso'!AA211</f>
        <v/>
      </c>
      <c r="AZ232" s="500"/>
      <c r="BA232" s="231" t="e">
        <f>'Calculs dispo Données conso'!AC211</f>
        <v>#DIV/0!</v>
      </c>
      <c r="BB232" s="236" t="e">
        <f>'Calculs dispo Données conso'!AD211</f>
        <v>#DIV/0!</v>
      </c>
      <c r="BC232" s="241" t="e">
        <f>'Calculs dispo Données conso'!AE211</f>
        <v>#DIV/0!</v>
      </c>
      <c r="BD232" s="241" t="e">
        <f>'Calculs dispo Données conso'!AF211</f>
        <v>#DIV/0!</v>
      </c>
      <c r="BE232" s="849" t="e">
        <f>'Calculs dispo Données conso'!AG211</f>
        <v>#DIV/0!</v>
      </c>
      <c r="BF232" s="850" t="e">
        <f>'Calculs dispo Données conso'!AH211</f>
        <v>#DIV/0!</v>
      </c>
      <c r="BG232" s="500"/>
      <c r="BH232" s="231" t="str">
        <f>'Calculs dispo Données conso'!AO211</f>
        <v/>
      </c>
      <c r="BI232" s="236" t="str">
        <f>'Calculs dispo Données conso'!AP211</f>
        <v/>
      </c>
      <c r="BJ232" s="241" t="str">
        <f>'Calculs dispo Données conso'!AQ211</f>
        <v/>
      </c>
      <c r="BK232" s="241" t="str">
        <f>'Calculs dispo Données conso'!AR211</f>
        <v/>
      </c>
      <c r="BL232" s="849" t="str">
        <f>'Calculs dispo Données conso'!AS211</f>
        <v/>
      </c>
      <c r="BM232" s="850" t="str">
        <f>'Calculs dispo Données conso'!AT211</f>
        <v/>
      </c>
    </row>
    <row r="233" spans="3:65" s="358" customFormat="1" ht="38.25" x14ac:dyDescent="0.2">
      <c r="C233" s="374"/>
      <c r="D233" s="375"/>
      <c r="E233" s="382" t="s">
        <v>37</v>
      </c>
      <c r="F233" s="383" t="str">
        <f>'TRAD-Calculs dispo confrontatio'!B42</f>
        <v>Cp</v>
      </c>
      <c r="G233" s="383" t="s">
        <v>38</v>
      </c>
      <c r="H233" s="384" t="s">
        <v>92</v>
      </c>
      <c r="I233" s="384" t="str">
        <f t="shared" si="64"/>
        <v>DDI - 250 mg - Bte/30</v>
      </c>
      <c r="J233" s="385" t="s">
        <v>107</v>
      </c>
      <c r="K233" s="386">
        <v>1</v>
      </c>
      <c r="L233" s="386">
        <f t="shared" si="68"/>
        <v>30</v>
      </c>
      <c r="M233" s="115">
        <v>30</v>
      </c>
      <c r="N233" s="387">
        <f t="shared" si="69"/>
        <v>1</v>
      </c>
      <c r="O233" s="231" t="e">
        <f>'Calculs dispo Données FA'!Q211</f>
        <v>#DIV/0!</v>
      </c>
      <c r="P233" s="237" t="e">
        <f>'Calculs dispo Données FA'!R211</f>
        <v>#DIV/0!</v>
      </c>
      <c r="Q233" s="242" t="e">
        <f>'Calculs dispo Données FA'!S211</f>
        <v>#DIV/0!</v>
      </c>
      <c r="R233" s="249" t="e">
        <f>'Calculs dispo Données FA'!T211</f>
        <v>#DIV/0!</v>
      </c>
      <c r="S233" s="250" t="e">
        <f>'Calculs dispo Données FA'!U211</f>
        <v>#DIV/0!</v>
      </c>
      <c r="U233" s="231" t="str">
        <f>'Calculs dispo Données FA'!W211</f>
        <v/>
      </c>
      <c r="V233" s="237" t="str">
        <f>'Calculs dispo Données FA'!X211</f>
        <v/>
      </c>
      <c r="W233" s="242" t="str">
        <f>'Calculs dispo Données FA'!Y211</f>
        <v/>
      </c>
      <c r="X233" s="249" t="str">
        <f>'Calculs dispo Données FA'!Z211</f>
        <v/>
      </c>
      <c r="Y233" s="250" t="str">
        <f>'Calculs dispo Données FA'!AA211</f>
        <v/>
      </c>
      <c r="AA233" s="231" t="e">
        <f>'Calculs dispo Données FA'!AC211</f>
        <v>#DIV/0!</v>
      </c>
      <c r="AB233" s="237" t="e">
        <f>'Calculs dispo Données FA'!AD211</f>
        <v>#DIV/0!</v>
      </c>
      <c r="AC233" s="242" t="e">
        <f>'Calculs dispo Données FA'!AE211</f>
        <v>#DIV/0!</v>
      </c>
      <c r="AD233" s="242" t="e">
        <f>'Calculs dispo Données FA'!AF211</f>
        <v>#DIV/0!</v>
      </c>
      <c r="AE233" s="249" t="e">
        <f>'Calculs dispo Données FA'!AG211</f>
        <v>#DIV/0!</v>
      </c>
      <c r="AF233" s="250" t="e">
        <f>'Calculs dispo Données FA'!AH211</f>
        <v>#DIV/0!</v>
      </c>
      <c r="AH233" s="231" t="str">
        <f>'Calculs dispo Données FA'!AO211</f>
        <v/>
      </c>
      <c r="AI233" s="237" t="str">
        <f>'Calculs dispo Données FA'!AP211</f>
        <v/>
      </c>
      <c r="AJ233" s="242" t="str">
        <f>'Calculs dispo Données FA'!AQ211</f>
        <v/>
      </c>
      <c r="AK233" s="242" t="str">
        <f>'Calculs dispo Données FA'!AR211</f>
        <v/>
      </c>
      <c r="AL233" s="249" t="str">
        <f>'Calculs dispo Données FA'!AS211</f>
        <v/>
      </c>
      <c r="AM233" s="250" t="str">
        <f>'Calculs dispo Données FA'!AT211</f>
        <v/>
      </c>
      <c r="AO233" s="231"/>
      <c r="AP233" s="563"/>
      <c r="AQ233" s="564"/>
      <c r="AR233" s="565"/>
      <c r="AS233" s="566"/>
      <c r="AT233" s="500"/>
      <c r="AU233" s="231"/>
      <c r="AV233" s="563"/>
      <c r="AW233" s="564"/>
      <c r="AX233" s="565"/>
      <c r="AY233" s="566"/>
      <c r="AZ233" s="500"/>
      <c r="BA233" s="231"/>
      <c r="BB233" s="563"/>
      <c r="BC233" s="564"/>
      <c r="BD233" s="564"/>
      <c r="BE233" s="565"/>
      <c r="BF233" s="566"/>
      <c r="BG233" s="500"/>
      <c r="BH233" s="231"/>
      <c r="BI233" s="563"/>
      <c r="BJ233" s="564"/>
      <c r="BK233" s="564"/>
      <c r="BL233" s="565"/>
      <c r="BM233" s="566"/>
    </row>
    <row r="234" spans="3:65" s="358" customFormat="1" x14ac:dyDescent="0.2">
      <c r="C234" s="374"/>
      <c r="D234" s="375"/>
      <c r="E234" s="382"/>
      <c r="F234" s="383"/>
      <c r="G234" s="397"/>
      <c r="H234" s="384"/>
      <c r="I234" s="384"/>
      <c r="J234" s="385"/>
      <c r="K234" s="399"/>
      <c r="L234" s="399"/>
      <c r="M234" s="117"/>
      <c r="N234" s="400"/>
      <c r="O234" s="539"/>
      <c r="P234" s="563"/>
      <c r="Q234" s="564"/>
      <c r="R234" s="587"/>
      <c r="S234" s="588"/>
      <c r="U234" s="539"/>
      <c r="V234" s="563"/>
      <c r="W234" s="564"/>
      <c r="X234" s="587"/>
      <c r="Y234" s="588"/>
      <c r="AA234" s="539"/>
      <c r="AB234" s="563"/>
      <c r="AC234" s="564"/>
      <c r="AD234" s="564"/>
      <c r="AE234" s="587"/>
      <c r="AF234" s="588"/>
      <c r="AH234" s="539"/>
      <c r="AI234" s="563"/>
      <c r="AJ234" s="564"/>
      <c r="AK234" s="564"/>
      <c r="AL234" s="587"/>
      <c r="AM234" s="588"/>
      <c r="AO234" s="539" t="e">
        <f>'Calculs dispo Données conso'!Q213</f>
        <v>#DIV/0!</v>
      </c>
      <c r="AP234" s="237" t="e">
        <f>'Calculs dispo Données conso'!R213</f>
        <v>#DIV/0!</v>
      </c>
      <c r="AQ234" s="242" t="e">
        <f>'Calculs dispo Données conso'!S213</f>
        <v>#DIV/0!</v>
      </c>
      <c r="AR234" s="853" t="e">
        <f>'Calculs dispo Données conso'!T213</f>
        <v>#DIV/0!</v>
      </c>
      <c r="AS234" s="854" t="e">
        <f>'Calculs dispo Données conso'!U213</f>
        <v>#DIV/0!</v>
      </c>
      <c r="AT234" s="500"/>
      <c r="AU234" s="539" t="str">
        <f>'Calculs dispo Données conso'!W213</f>
        <v/>
      </c>
      <c r="AV234" s="237" t="str">
        <f>'Calculs dispo Données conso'!X213</f>
        <v/>
      </c>
      <c r="AW234" s="242" t="str">
        <f>'Calculs dispo Données conso'!Y213</f>
        <v/>
      </c>
      <c r="AX234" s="853" t="str">
        <f>'Calculs dispo Données conso'!Z213</f>
        <v/>
      </c>
      <c r="AY234" s="854" t="str">
        <f>'Calculs dispo Données conso'!AA213</f>
        <v/>
      </c>
      <c r="AZ234" s="500"/>
      <c r="BA234" s="539" t="e">
        <f>'Calculs dispo Données conso'!AC213</f>
        <v>#DIV/0!</v>
      </c>
      <c r="BB234" s="237" t="e">
        <f>'Calculs dispo Données conso'!AD213</f>
        <v>#DIV/0!</v>
      </c>
      <c r="BC234" s="242" t="e">
        <f>'Calculs dispo Données conso'!AE213</f>
        <v>#DIV/0!</v>
      </c>
      <c r="BD234" s="242" t="e">
        <f>'Calculs dispo Données conso'!AF213</f>
        <v>#DIV/0!</v>
      </c>
      <c r="BE234" s="853" t="e">
        <f>'Calculs dispo Données conso'!AG213</f>
        <v>#DIV/0!</v>
      </c>
      <c r="BF234" s="854" t="e">
        <f>'Calculs dispo Données conso'!AH213</f>
        <v>#DIV/0!</v>
      </c>
      <c r="BG234" s="500"/>
      <c r="BH234" s="539" t="str">
        <f>'Calculs dispo Données conso'!AO213</f>
        <v/>
      </c>
      <c r="BI234" s="237" t="str">
        <f>'Calculs dispo Données conso'!AP213</f>
        <v/>
      </c>
      <c r="BJ234" s="242" t="str">
        <f>'Calculs dispo Données conso'!AQ213</f>
        <v/>
      </c>
      <c r="BK234" s="242" t="str">
        <f>'Calculs dispo Données conso'!AR213</f>
        <v/>
      </c>
      <c r="BL234" s="853" t="str">
        <f>'Calculs dispo Données conso'!AS213</f>
        <v/>
      </c>
      <c r="BM234" s="854" t="str">
        <f>'Calculs dispo Données conso'!AT213</f>
        <v/>
      </c>
    </row>
    <row r="235" spans="3:65" s="358" customFormat="1" ht="38.25" x14ac:dyDescent="0.2">
      <c r="C235" s="374"/>
      <c r="D235" s="375"/>
      <c r="E235" s="382" t="s">
        <v>37</v>
      </c>
      <c r="F235" s="383" t="str">
        <f>'TRAD-Calculs dispo confrontatio'!B42</f>
        <v>Cp</v>
      </c>
      <c r="G235" s="397" t="s">
        <v>39</v>
      </c>
      <c r="H235" s="384" t="s">
        <v>92</v>
      </c>
      <c r="I235" s="384" t="str">
        <f t="shared" si="64"/>
        <v>DDI - 400 mg - Bte/30</v>
      </c>
      <c r="J235" s="385" t="s">
        <v>107</v>
      </c>
      <c r="K235" s="399">
        <v>1</v>
      </c>
      <c r="L235" s="399">
        <f t="shared" si="68"/>
        <v>30</v>
      </c>
      <c r="M235" s="117">
        <v>30</v>
      </c>
      <c r="N235" s="400">
        <f t="shared" si="69"/>
        <v>1</v>
      </c>
      <c r="O235" s="234" t="e">
        <f>'Calculs dispo Données FA'!Q212</f>
        <v>#DIV/0!</v>
      </c>
      <c r="P235" s="237" t="e">
        <f>'Calculs dispo Données FA'!R212</f>
        <v>#DIV/0!</v>
      </c>
      <c r="Q235" s="242" t="e">
        <f>'Calculs dispo Données FA'!S212</f>
        <v>#DIV/0!</v>
      </c>
      <c r="R235" s="253" t="e">
        <f>'Calculs dispo Données FA'!T212</f>
        <v>#DIV/0!</v>
      </c>
      <c r="S235" s="254" t="e">
        <f>'Calculs dispo Données FA'!U212</f>
        <v>#DIV/0!</v>
      </c>
      <c r="U235" s="234" t="str">
        <f>'Calculs dispo Données FA'!W212</f>
        <v/>
      </c>
      <c r="V235" s="237" t="str">
        <f>'Calculs dispo Données FA'!X212</f>
        <v/>
      </c>
      <c r="W235" s="242" t="str">
        <f>'Calculs dispo Données FA'!Y212</f>
        <v/>
      </c>
      <c r="X235" s="253" t="str">
        <f>'Calculs dispo Données FA'!Z212</f>
        <v/>
      </c>
      <c r="Y235" s="254" t="str">
        <f>'Calculs dispo Données FA'!AA212</f>
        <v>956B &amp; conso =0</v>
      </c>
      <c r="AA235" s="234" t="e">
        <f>'Calculs dispo Données FA'!AC212</f>
        <v>#DIV/0!</v>
      </c>
      <c r="AB235" s="237" t="e">
        <f>'Calculs dispo Données FA'!AD212</f>
        <v>#DIV/0!</v>
      </c>
      <c r="AC235" s="242" t="e">
        <f>'Calculs dispo Données FA'!AE212</f>
        <v>#DIV/0!</v>
      </c>
      <c r="AD235" s="242" t="e">
        <f>'Calculs dispo Données FA'!AF212</f>
        <v>#DIV/0!</v>
      </c>
      <c r="AE235" s="253" t="e">
        <f>'Calculs dispo Données FA'!AG212</f>
        <v>#DIV/0!</v>
      </c>
      <c r="AF235" s="254" t="e">
        <f>'Calculs dispo Données FA'!AH212</f>
        <v>#DIV/0!</v>
      </c>
      <c r="AH235" s="234" t="str">
        <f>'Calculs dispo Données FA'!AO212</f>
        <v/>
      </c>
      <c r="AI235" s="237" t="str">
        <f>'Calculs dispo Données FA'!AP212</f>
        <v/>
      </c>
      <c r="AJ235" s="242" t="str">
        <f>'Calculs dispo Données FA'!AQ212</f>
        <v/>
      </c>
      <c r="AK235" s="242" t="str">
        <f>'Calculs dispo Données FA'!AR212</f>
        <v/>
      </c>
      <c r="AL235" s="253" t="str">
        <f>'Calculs dispo Données FA'!AS212</f>
        <v/>
      </c>
      <c r="AM235" s="254" t="str">
        <f>'Calculs dispo Données FA'!AT212</f>
        <v/>
      </c>
      <c r="AO235" s="234"/>
      <c r="AP235" s="563"/>
      <c r="AQ235" s="564"/>
      <c r="AR235" s="587"/>
      <c r="AS235" s="588"/>
      <c r="AT235" s="500"/>
      <c r="AU235" s="234"/>
      <c r="AV235" s="563"/>
      <c r="AW235" s="564"/>
      <c r="AX235" s="587"/>
      <c r="AY235" s="588"/>
      <c r="AZ235" s="500"/>
      <c r="BA235" s="234"/>
      <c r="BB235" s="563"/>
      <c r="BC235" s="564"/>
      <c r="BD235" s="564"/>
      <c r="BE235" s="587"/>
      <c r="BF235" s="588"/>
      <c r="BG235" s="500"/>
      <c r="BH235" s="234"/>
      <c r="BI235" s="563"/>
      <c r="BJ235" s="564"/>
      <c r="BK235" s="564"/>
      <c r="BL235" s="587"/>
      <c r="BM235" s="588"/>
    </row>
    <row r="236" spans="3:65" s="358" customFormat="1" x14ac:dyDescent="0.2">
      <c r="C236" s="374"/>
      <c r="D236" s="375"/>
      <c r="E236" s="382"/>
      <c r="F236" s="383"/>
      <c r="G236" s="383"/>
      <c r="H236" s="384"/>
      <c r="I236" s="384"/>
      <c r="J236" s="385"/>
      <c r="K236" s="386"/>
      <c r="L236" s="386"/>
      <c r="M236" s="115"/>
      <c r="N236" s="611"/>
      <c r="O236" s="234"/>
      <c r="P236" s="593"/>
      <c r="Q236" s="594"/>
      <c r="R236" s="587"/>
      <c r="S236" s="588"/>
      <c r="U236" s="234"/>
      <c r="V236" s="593"/>
      <c r="W236" s="594"/>
      <c r="X236" s="587"/>
      <c r="Y236" s="588"/>
      <c r="AA236" s="234"/>
      <c r="AB236" s="593"/>
      <c r="AC236" s="594"/>
      <c r="AD236" s="594"/>
      <c r="AE236" s="587"/>
      <c r="AF236" s="588"/>
      <c r="AH236" s="234"/>
      <c r="AI236" s="593"/>
      <c r="AJ236" s="594"/>
      <c r="AK236" s="594"/>
      <c r="AL236" s="587"/>
      <c r="AM236" s="588"/>
      <c r="AO236" s="234">
        <f>'Calculs dispo Données conso'!Q214</f>
        <v>9.7972602739726042</v>
      </c>
      <c r="AP236" s="239">
        <f>'Calculs dispo Données conso'!R214</f>
        <v>6.7972602739726042</v>
      </c>
      <c r="AQ236" s="244">
        <f>'Calculs dispo Données conso'!S214</f>
        <v>3</v>
      </c>
      <c r="AR236" s="853">
        <f>'Calculs dispo Données conso'!T214</f>
        <v>42122.917808219179</v>
      </c>
      <c r="AS236" s="854">
        <f>'Calculs dispo Données conso'!U214</f>
        <v>42212.917808219179</v>
      </c>
      <c r="AT236" s="500"/>
      <c r="AU236" s="234">
        <f>'Calculs dispo Données conso'!W214</f>
        <v>9.7972602739726042</v>
      </c>
      <c r="AV236" s="239">
        <f>'Calculs dispo Données conso'!X214</f>
        <v>6.7972602739726042</v>
      </c>
      <c r="AW236" s="244">
        <f>'Calculs dispo Données conso'!Y214</f>
        <v>3</v>
      </c>
      <c r="AX236" s="853">
        <f>'Calculs dispo Données conso'!Z214</f>
        <v>42122.917808219179</v>
      </c>
      <c r="AY236" s="854">
        <f>'Calculs dispo Données conso'!AA214</f>
        <v>42212.917808219179</v>
      </c>
      <c r="AZ236" s="500"/>
      <c r="BA236" s="234">
        <f>'Calculs dispo Données conso'!AC214</f>
        <v>0</v>
      </c>
      <c r="BB236" s="239">
        <f>'Calculs dispo Données conso'!AD214</f>
        <v>-3</v>
      </c>
      <c r="BC236" s="244">
        <f>'Calculs dispo Données conso'!AE214</f>
        <v>0</v>
      </c>
      <c r="BD236" s="244">
        <f>'Calculs dispo Données conso'!AF214</f>
        <v>0</v>
      </c>
      <c r="BE236" s="853">
        <f>'Calculs dispo Données conso'!AG214</f>
        <v>41829</v>
      </c>
      <c r="BF236" s="854">
        <f>'Calculs dispo Données conso'!AH214</f>
        <v>41919</v>
      </c>
      <c r="BG236" s="500"/>
      <c r="BH236" s="234" t="str">
        <f>'Calculs dispo Données conso'!AO214</f>
        <v/>
      </c>
      <c r="BI236" s="239" t="str">
        <f>'Calculs dispo Données conso'!AP214</f>
        <v/>
      </c>
      <c r="BJ236" s="244" t="str">
        <f>'Calculs dispo Données conso'!AQ214</f>
        <v/>
      </c>
      <c r="BK236" s="244" t="str">
        <f>'Calculs dispo Données conso'!AR214</f>
        <v/>
      </c>
      <c r="BL236" s="853" t="str">
        <f>'Calculs dispo Données conso'!AS214</f>
        <v/>
      </c>
      <c r="BM236" s="854" t="str">
        <f>'Calculs dispo Données conso'!AT214</f>
        <v/>
      </c>
    </row>
    <row r="237" spans="3:65" s="358" customFormat="1" x14ac:dyDescent="0.2">
      <c r="C237" s="374"/>
      <c r="D237" s="375"/>
      <c r="E237" s="534" t="s">
        <v>40</v>
      </c>
      <c r="F237" s="535" t="str">
        <f>'TRAD-Calculs dispo confrontatio'!B42</f>
        <v>Cp</v>
      </c>
      <c r="G237" s="397" t="s">
        <v>33</v>
      </c>
      <c r="H237" s="544" t="s">
        <v>125</v>
      </c>
      <c r="I237" s="544" t="str">
        <f t="shared" si="64"/>
        <v>TDF - 300 mg - Bte/30</v>
      </c>
      <c r="J237" s="544"/>
      <c r="K237" s="399">
        <v>1</v>
      </c>
      <c r="L237" s="399">
        <f t="shared" si="68"/>
        <v>30</v>
      </c>
      <c r="M237" s="117">
        <v>30</v>
      </c>
      <c r="N237" s="400">
        <f t="shared" si="69"/>
        <v>1</v>
      </c>
      <c r="O237" s="232" t="e">
        <f>'Calculs dispo Données FA'!Q213</f>
        <v>#DIV/0!</v>
      </c>
      <c r="P237" s="237" t="e">
        <f>'Calculs dispo Données FA'!R213</f>
        <v>#DIV/0!</v>
      </c>
      <c r="Q237" s="242" t="e">
        <f>'Calculs dispo Données FA'!S213</f>
        <v>#DIV/0!</v>
      </c>
      <c r="R237" s="249" t="e">
        <f>'Calculs dispo Données FA'!T213</f>
        <v>#DIV/0!</v>
      </c>
      <c r="S237" s="250" t="e">
        <f>'Calculs dispo Données FA'!U213</f>
        <v>#DIV/0!</v>
      </c>
      <c r="U237" s="232" t="str">
        <f>'Calculs dispo Données FA'!W213</f>
        <v/>
      </c>
      <c r="V237" s="237" t="str">
        <f>'Calculs dispo Données FA'!X213</f>
        <v/>
      </c>
      <c r="W237" s="242" t="str">
        <f>'Calculs dispo Données FA'!Y213</f>
        <v/>
      </c>
      <c r="X237" s="249" t="str">
        <f>'Calculs dispo Données FA'!Z213</f>
        <v/>
      </c>
      <c r="Y237" s="250" t="str">
        <f>'Calculs dispo Données FA'!AA213</f>
        <v/>
      </c>
      <c r="AA237" s="232" t="e">
        <f>'Calculs dispo Données FA'!AC213</f>
        <v>#DIV/0!</v>
      </c>
      <c r="AB237" s="237" t="e">
        <f>'Calculs dispo Données FA'!AD213</f>
        <v>#DIV/0!</v>
      </c>
      <c r="AC237" s="242" t="e">
        <f>'Calculs dispo Données FA'!AE213</f>
        <v>#DIV/0!</v>
      </c>
      <c r="AD237" s="242" t="e">
        <f>'Calculs dispo Données FA'!AF213</f>
        <v>#DIV/0!</v>
      </c>
      <c r="AE237" s="249" t="e">
        <f>'Calculs dispo Données FA'!AG213</f>
        <v>#DIV/0!</v>
      </c>
      <c r="AF237" s="250" t="e">
        <f>'Calculs dispo Données FA'!AH213</f>
        <v>#DIV/0!</v>
      </c>
      <c r="AH237" s="232" t="str">
        <f>'Calculs dispo Données FA'!AO213</f>
        <v/>
      </c>
      <c r="AI237" s="237" t="str">
        <f>'Calculs dispo Données FA'!AP213</f>
        <v/>
      </c>
      <c r="AJ237" s="242" t="str">
        <f>'Calculs dispo Données FA'!AQ213</f>
        <v/>
      </c>
      <c r="AK237" s="242" t="str">
        <f>'Calculs dispo Données FA'!AR213</f>
        <v/>
      </c>
      <c r="AL237" s="249" t="str">
        <f>'Calculs dispo Données FA'!AS213</f>
        <v/>
      </c>
      <c r="AM237" s="250" t="str">
        <f>'Calculs dispo Données FA'!AT213</f>
        <v/>
      </c>
      <c r="AO237" s="232"/>
      <c r="AP237" s="563"/>
      <c r="AQ237" s="564"/>
      <c r="AR237" s="565"/>
      <c r="AS237" s="566"/>
      <c r="AT237" s="500"/>
      <c r="AU237" s="232"/>
      <c r="AV237" s="563"/>
      <c r="AW237" s="564"/>
      <c r="AX237" s="565"/>
      <c r="AY237" s="566"/>
      <c r="AZ237" s="500"/>
      <c r="BA237" s="232"/>
      <c r="BB237" s="563"/>
      <c r="BC237" s="564"/>
      <c r="BD237" s="564"/>
      <c r="BE237" s="565"/>
      <c r="BF237" s="566"/>
      <c r="BG237" s="500"/>
      <c r="BH237" s="232"/>
      <c r="BI237" s="563"/>
      <c r="BJ237" s="564"/>
      <c r="BK237" s="564"/>
      <c r="BL237" s="565"/>
      <c r="BM237" s="566"/>
    </row>
    <row r="238" spans="3:65" s="358" customFormat="1" x14ac:dyDescent="0.2">
      <c r="C238" s="374"/>
      <c r="D238" s="609"/>
      <c r="E238" s="390"/>
      <c r="F238" s="391"/>
      <c r="G238" s="391"/>
      <c r="H238" s="401"/>
      <c r="I238" s="401"/>
      <c r="J238" s="401"/>
      <c r="K238" s="401"/>
      <c r="L238" s="401"/>
      <c r="M238" s="116"/>
      <c r="N238" s="311"/>
      <c r="O238" s="233"/>
      <c r="P238" s="589"/>
      <c r="Q238" s="590"/>
      <c r="R238" s="591"/>
      <c r="S238" s="592"/>
      <c r="U238" s="233"/>
      <c r="V238" s="589"/>
      <c r="W238" s="590"/>
      <c r="X238" s="591"/>
      <c r="Y238" s="592"/>
      <c r="AA238" s="233"/>
      <c r="AB238" s="589"/>
      <c r="AC238" s="590"/>
      <c r="AD238" s="590"/>
      <c r="AE238" s="591"/>
      <c r="AF238" s="592"/>
      <c r="AH238" s="233"/>
      <c r="AI238" s="589"/>
      <c r="AJ238" s="590"/>
      <c r="AK238" s="590"/>
      <c r="AL238" s="591"/>
      <c r="AM238" s="592"/>
      <c r="AO238" s="233" t="e">
        <f>'Calculs dispo Données conso'!Q215</f>
        <v>#DIV/0!</v>
      </c>
      <c r="AP238" s="238" t="e">
        <f>'Calculs dispo Données conso'!R215</f>
        <v>#DIV/0!</v>
      </c>
      <c r="AQ238" s="243" t="e">
        <f>'Calculs dispo Données conso'!S215</f>
        <v>#DIV/0!</v>
      </c>
      <c r="AR238" s="855" t="e">
        <f>'Calculs dispo Données conso'!T215</f>
        <v>#DIV/0!</v>
      </c>
      <c r="AS238" s="856" t="e">
        <f>'Calculs dispo Données conso'!U215</f>
        <v>#DIV/0!</v>
      </c>
      <c r="AT238" s="500"/>
      <c r="AU238" s="233" t="str">
        <f>'Calculs dispo Données conso'!W215</f>
        <v/>
      </c>
      <c r="AV238" s="238" t="str">
        <f>'Calculs dispo Données conso'!X215</f>
        <v/>
      </c>
      <c r="AW238" s="243" t="str">
        <f>'Calculs dispo Données conso'!Y215</f>
        <v/>
      </c>
      <c r="AX238" s="855" t="str">
        <f>'Calculs dispo Données conso'!Z215</f>
        <v/>
      </c>
      <c r="AY238" s="856" t="str">
        <f>'Calculs dispo Données conso'!AA215</f>
        <v/>
      </c>
      <c r="AZ238" s="500"/>
      <c r="BA238" s="233" t="e">
        <f>'Calculs dispo Données conso'!AC215</f>
        <v>#DIV/0!</v>
      </c>
      <c r="BB238" s="238" t="e">
        <f>'Calculs dispo Données conso'!AD215</f>
        <v>#DIV/0!</v>
      </c>
      <c r="BC238" s="243" t="e">
        <f>'Calculs dispo Données conso'!AE215</f>
        <v>#DIV/0!</v>
      </c>
      <c r="BD238" s="243" t="e">
        <f>'Calculs dispo Données conso'!AF215</f>
        <v>#DIV/0!</v>
      </c>
      <c r="BE238" s="855" t="e">
        <f>'Calculs dispo Données conso'!AG215</f>
        <v>#DIV/0!</v>
      </c>
      <c r="BF238" s="856" t="e">
        <f>'Calculs dispo Données conso'!AH215</f>
        <v>#DIV/0!</v>
      </c>
      <c r="BG238" s="500"/>
      <c r="BH238" s="233" t="str">
        <f>'Calculs dispo Données conso'!AO215</f>
        <v/>
      </c>
      <c r="BI238" s="238" t="str">
        <f>'Calculs dispo Données conso'!AP215</f>
        <v/>
      </c>
      <c r="BJ238" s="243" t="str">
        <f>'Calculs dispo Données conso'!AQ215</f>
        <v/>
      </c>
      <c r="BK238" s="243" t="str">
        <f>'Calculs dispo Données conso'!AR215</f>
        <v/>
      </c>
      <c r="BL238" s="855" t="str">
        <f>'Calculs dispo Données conso'!AS215</f>
        <v/>
      </c>
      <c r="BM238" s="856" t="str">
        <f>'Calculs dispo Données conso'!AT215</f>
        <v/>
      </c>
    </row>
    <row r="239" spans="3:65" s="358" customFormat="1" x14ac:dyDescent="0.2">
      <c r="C239" s="374"/>
      <c r="D239" s="610" t="s">
        <v>41</v>
      </c>
      <c r="E239" s="376" t="s">
        <v>42</v>
      </c>
      <c r="F239" s="377" t="str">
        <f>'TRAD-Calculs dispo confrontatio'!B42</f>
        <v>Cp</v>
      </c>
      <c r="G239" s="377" t="s">
        <v>43</v>
      </c>
      <c r="H239" s="378" t="s">
        <v>108</v>
      </c>
      <c r="I239" s="378" t="str">
        <f t="shared" si="64"/>
        <v>LPV/r - 200/50 mg - Bte/120</v>
      </c>
      <c r="J239" s="378" t="s">
        <v>109</v>
      </c>
      <c r="K239" s="612">
        <v>4</v>
      </c>
      <c r="L239" s="612">
        <f t="shared" si="68"/>
        <v>120</v>
      </c>
      <c r="M239" s="114">
        <v>120</v>
      </c>
      <c r="N239" s="308">
        <f t="shared" si="69"/>
        <v>1</v>
      </c>
      <c r="O239" s="231" t="e">
        <f>'Calculs dispo Données FA'!Q214</f>
        <v>#DIV/0!</v>
      </c>
      <c r="P239" s="236" t="e">
        <f>'Calculs dispo Données FA'!R214</f>
        <v>#DIV/0!</v>
      </c>
      <c r="Q239" s="241" t="e">
        <f>'Calculs dispo Données FA'!S214</f>
        <v>#DIV/0!</v>
      </c>
      <c r="R239" s="247" t="e">
        <f>'Calculs dispo Données FA'!T214</f>
        <v>#DIV/0!</v>
      </c>
      <c r="S239" s="248" t="e">
        <f>'Calculs dispo Données FA'!U214</f>
        <v>#DIV/0!</v>
      </c>
      <c r="U239" s="231" t="str">
        <f>'Calculs dispo Données FA'!W214</f>
        <v/>
      </c>
      <c r="V239" s="236" t="str">
        <f>'Calculs dispo Données FA'!X214</f>
        <v/>
      </c>
      <c r="W239" s="241" t="str">
        <f>'Calculs dispo Données FA'!Y214</f>
        <v/>
      </c>
      <c r="X239" s="247" t="str">
        <f>'Calculs dispo Données FA'!Z214</f>
        <v/>
      </c>
      <c r="Y239" s="248" t="str">
        <f>'Calculs dispo Données FA'!AA214</f>
        <v>750B &amp; conso =0</v>
      </c>
      <c r="AA239" s="231" t="e">
        <f>'Calculs dispo Données FA'!AC214</f>
        <v>#DIV/0!</v>
      </c>
      <c r="AB239" s="236" t="e">
        <f>'Calculs dispo Données FA'!AD214</f>
        <v>#DIV/0!</v>
      </c>
      <c r="AC239" s="241" t="e">
        <f>'Calculs dispo Données FA'!AE214</f>
        <v>#DIV/0!</v>
      </c>
      <c r="AD239" s="241" t="e">
        <f>'Calculs dispo Données FA'!AF214</f>
        <v>#DIV/0!</v>
      </c>
      <c r="AE239" s="247" t="e">
        <f>'Calculs dispo Données FA'!AG214</f>
        <v>#DIV/0!</v>
      </c>
      <c r="AF239" s="248" t="e">
        <f>'Calculs dispo Données FA'!AH214</f>
        <v>#DIV/0!</v>
      </c>
      <c r="AH239" s="231" t="str">
        <f>'Calculs dispo Données FA'!AO214</f>
        <v/>
      </c>
      <c r="AI239" s="236" t="str">
        <f>'Calculs dispo Données FA'!AP214</f>
        <v/>
      </c>
      <c r="AJ239" s="241" t="str">
        <f>'Calculs dispo Données FA'!AQ214</f>
        <v/>
      </c>
      <c r="AK239" s="241" t="str">
        <f>'Calculs dispo Données FA'!AR214</f>
        <v/>
      </c>
      <c r="AL239" s="247" t="str">
        <f>'Calculs dispo Données FA'!AS214</f>
        <v/>
      </c>
      <c r="AM239" s="248" t="str">
        <f>'Calculs dispo Données FA'!AT214</f>
        <v/>
      </c>
      <c r="AO239" s="231"/>
      <c r="AP239" s="555"/>
      <c r="AQ239" s="556"/>
      <c r="AR239" s="557"/>
      <c r="AS239" s="558"/>
      <c r="AT239" s="500"/>
      <c r="AU239" s="231"/>
      <c r="AV239" s="555"/>
      <c r="AW239" s="556"/>
      <c r="AX239" s="557"/>
      <c r="AY239" s="558"/>
      <c r="AZ239" s="500"/>
      <c r="BA239" s="231"/>
      <c r="BB239" s="555"/>
      <c r="BC239" s="556"/>
      <c r="BD239" s="556"/>
      <c r="BE239" s="557"/>
      <c r="BF239" s="558"/>
      <c r="BG239" s="500"/>
      <c r="BH239" s="231"/>
      <c r="BI239" s="555"/>
      <c r="BJ239" s="556"/>
      <c r="BK239" s="556"/>
      <c r="BL239" s="557"/>
      <c r="BM239" s="558"/>
    </row>
    <row r="240" spans="3:65" s="358" customFormat="1" x14ac:dyDescent="0.2">
      <c r="C240" s="374"/>
      <c r="D240" s="375"/>
      <c r="E240" s="534"/>
      <c r="F240" s="535"/>
      <c r="G240" s="535"/>
      <c r="H240" s="544"/>
      <c r="I240" s="544"/>
      <c r="J240" s="533"/>
      <c r="K240" s="536"/>
      <c r="L240" s="536"/>
      <c r="M240" s="537"/>
      <c r="N240" s="538"/>
      <c r="O240" s="539"/>
      <c r="P240" s="595"/>
      <c r="Q240" s="556"/>
      <c r="R240" s="597"/>
      <c r="S240" s="598"/>
      <c r="U240" s="539"/>
      <c r="V240" s="595"/>
      <c r="W240" s="556"/>
      <c r="X240" s="597"/>
      <c r="Y240" s="598"/>
      <c r="AA240" s="539"/>
      <c r="AB240" s="595"/>
      <c r="AC240" s="556"/>
      <c r="AD240" s="556"/>
      <c r="AE240" s="597"/>
      <c r="AF240" s="598"/>
      <c r="AH240" s="539"/>
      <c r="AI240" s="595"/>
      <c r="AJ240" s="556"/>
      <c r="AK240" s="556"/>
      <c r="AL240" s="597"/>
      <c r="AM240" s="598"/>
      <c r="AO240" s="539">
        <f>'Calculs dispo Données conso'!Q216</f>
        <v>7.0754716981132075</v>
      </c>
      <c r="AP240" s="543">
        <f>'Calculs dispo Données conso'!R216</f>
        <v>4.0754716981132075</v>
      </c>
      <c r="AQ240" s="241">
        <f>'Calculs dispo Données conso'!S216</f>
        <v>3</v>
      </c>
      <c r="AR240" s="857">
        <f>'Calculs dispo Données conso'!T216</f>
        <v>42041.264150943396</v>
      </c>
      <c r="AS240" s="858">
        <f>'Calculs dispo Données conso'!U216</f>
        <v>42131.264150943396</v>
      </c>
      <c r="AT240" s="500"/>
      <c r="AU240" s="539">
        <f>'Calculs dispo Données conso'!W216</f>
        <v>7.0754716981132075</v>
      </c>
      <c r="AV240" s="543">
        <f>'Calculs dispo Données conso'!X216</f>
        <v>4.0754716981132075</v>
      </c>
      <c r="AW240" s="241">
        <f>'Calculs dispo Données conso'!Y216</f>
        <v>3</v>
      </c>
      <c r="AX240" s="857">
        <f>'Calculs dispo Données conso'!Z216</f>
        <v>42041.264150943396</v>
      </c>
      <c r="AY240" s="858">
        <f>'Calculs dispo Données conso'!AA216</f>
        <v>42131.264150943396</v>
      </c>
      <c r="AZ240" s="500"/>
      <c r="BA240" s="539">
        <f>'Calculs dispo Données conso'!AC216</f>
        <v>0</v>
      </c>
      <c r="BB240" s="543">
        <f>'Calculs dispo Données conso'!AD216</f>
        <v>-3</v>
      </c>
      <c r="BC240" s="241">
        <f>'Calculs dispo Données conso'!AE216</f>
        <v>0</v>
      </c>
      <c r="BD240" s="241">
        <f>'Calculs dispo Données conso'!AF216</f>
        <v>0</v>
      </c>
      <c r="BE240" s="857">
        <f>'Calculs dispo Données conso'!AG216</f>
        <v>41829</v>
      </c>
      <c r="BF240" s="858">
        <f>'Calculs dispo Données conso'!AH216</f>
        <v>41919</v>
      </c>
      <c r="BG240" s="500"/>
      <c r="BH240" s="539" t="str">
        <f>'Calculs dispo Données conso'!AO216</f>
        <v/>
      </c>
      <c r="BI240" s="543" t="str">
        <f>'Calculs dispo Données conso'!AP216</f>
        <v/>
      </c>
      <c r="BJ240" s="241" t="str">
        <f>'Calculs dispo Données conso'!AQ216</f>
        <v/>
      </c>
      <c r="BK240" s="241" t="str">
        <f>'Calculs dispo Données conso'!AR216</f>
        <v/>
      </c>
      <c r="BL240" s="857" t="str">
        <f>'Calculs dispo Données conso'!AS216</f>
        <v/>
      </c>
      <c r="BM240" s="858" t="str">
        <f>'Calculs dispo Données conso'!AT216</f>
        <v/>
      </c>
    </row>
    <row r="241" spans="3:65" s="358" customFormat="1" x14ac:dyDescent="0.2">
      <c r="C241" s="374"/>
      <c r="D241" s="402"/>
      <c r="E241" s="396" t="s">
        <v>42</v>
      </c>
      <c r="F241" s="397" t="str">
        <f>'TRAD-Calculs dispo confrontatio'!B42</f>
        <v>Cp</v>
      </c>
      <c r="G241" s="397" t="s">
        <v>496</v>
      </c>
      <c r="H241" s="403" t="s">
        <v>108</v>
      </c>
      <c r="I241" s="403" t="str">
        <f t="shared" si="64"/>
        <v>LPV/r - 100/25 mg - Bte/60</v>
      </c>
      <c r="J241" s="398"/>
      <c r="K241" s="399">
        <v>2</v>
      </c>
      <c r="L241" s="399">
        <f t="shared" ref="L241" si="70">K241*30</f>
        <v>60</v>
      </c>
      <c r="M241" s="117">
        <v>60</v>
      </c>
      <c r="N241" s="400">
        <f t="shared" ref="N241" si="71">L241/M241</f>
        <v>1</v>
      </c>
      <c r="O241" s="234" t="e">
        <f>'Calculs dispo Données FA'!Q215</f>
        <v>#DIV/0!</v>
      </c>
      <c r="P241" s="239" t="e">
        <f>'Calculs dispo Données FA'!R215</f>
        <v>#DIV/0!</v>
      </c>
      <c r="Q241" s="241" t="e">
        <f>'Calculs dispo Données FA'!S215</f>
        <v>#DIV/0!</v>
      </c>
      <c r="R241" s="253" t="e">
        <f>'Calculs dispo Données FA'!T215</f>
        <v>#DIV/0!</v>
      </c>
      <c r="S241" s="254" t="e">
        <f>'Calculs dispo Données FA'!U215</f>
        <v>#DIV/0!</v>
      </c>
      <c r="U241" s="234" t="str">
        <f>'Calculs dispo Données FA'!W215</f>
        <v/>
      </c>
      <c r="V241" s="239" t="str">
        <f>'Calculs dispo Données FA'!X215</f>
        <v/>
      </c>
      <c r="W241" s="241" t="str">
        <f>'Calculs dispo Données FA'!Y215</f>
        <v/>
      </c>
      <c r="X241" s="253" t="str">
        <f>'Calculs dispo Données FA'!Z215</f>
        <v/>
      </c>
      <c r="Y241" s="254" t="str">
        <f>'Calculs dispo Données FA'!AA215</f>
        <v>770B &amp; conso =0</v>
      </c>
      <c r="AA241" s="234" t="e">
        <f>'Calculs dispo Données FA'!AC215</f>
        <v>#DIV/0!</v>
      </c>
      <c r="AB241" s="239" t="e">
        <f>'Calculs dispo Données FA'!AD215</f>
        <v>#DIV/0!</v>
      </c>
      <c r="AC241" s="241" t="e">
        <f>'Calculs dispo Données FA'!AE215</f>
        <v>#DIV/0!</v>
      </c>
      <c r="AD241" s="241" t="e">
        <f>'Calculs dispo Données FA'!AF215</f>
        <v>#DIV/0!</v>
      </c>
      <c r="AE241" s="253" t="e">
        <f>'Calculs dispo Données FA'!AG215</f>
        <v>#DIV/0!</v>
      </c>
      <c r="AF241" s="254" t="e">
        <f>'Calculs dispo Données FA'!AH215</f>
        <v>#DIV/0!</v>
      </c>
      <c r="AH241" s="234" t="str">
        <f>'Calculs dispo Données FA'!AO215</f>
        <v/>
      </c>
      <c r="AI241" s="239" t="str">
        <f>'Calculs dispo Données FA'!AP215</f>
        <v/>
      </c>
      <c r="AJ241" s="241" t="str">
        <f>'Calculs dispo Données FA'!AQ215</f>
        <v/>
      </c>
      <c r="AK241" s="241" t="str">
        <f>'Calculs dispo Données FA'!AR215</f>
        <v/>
      </c>
      <c r="AL241" s="253" t="str">
        <f>'Calculs dispo Données FA'!AS215</f>
        <v/>
      </c>
      <c r="AM241" s="254" t="str">
        <f>'Calculs dispo Données FA'!AT215</f>
        <v/>
      </c>
      <c r="AO241" s="234"/>
      <c r="AP241" s="593"/>
      <c r="AQ241" s="556"/>
      <c r="AR241" s="587"/>
      <c r="AS241" s="588"/>
      <c r="AT241" s="500"/>
      <c r="AU241" s="234"/>
      <c r="AV241" s="593"/>
      <c r="AW241" s="556"/>
      <c r="AX241" s="587"/>
      <c r="AY241" s="588"/>
      <c r="AZ241" s="500"/>
      <c r="BA241" s="234"/>
      <c r="BB241" s="593"/>
      <c r="BC241" s="556"/>
      <c r="BD241" s="556"/>
      <c r="BE241" s="587"/>
      <c r="BF241" s="588"/>
      <c r="BG241" s="500"/>
      <c r="BH241" s="234"/>
      <c r="BI241" s="593"/>
      <c r="BJ241" s="556"/>
      <c r="BK241" s="556"/>
      <c r="BL241" s="587"/>
      <c r="BM241" s="588"/>
    </row>
    <row r="242" spans="3:65" s="358" customFormat="1" x14ac:dyDescent="0.2">
      <c r="C242" s="374"/>
      <c r="D242" s="402"/>
      <c r="E242" s="396"/>
      <c r="F242" s="397"/>
      <c r="G242" s="397"/>
      <c r="H242" s="403"/>
      <c r="I242" s="403"/>
      <c r="J242" s="398"/>
      <c r="K242" s="399"/>
      <c r="L242" s="399"/>
      <c r="M242" s="117"/>
      <c r="N242" s="400"/>
      <c r="O242" s="234"/>
      <c r="P242" s="593"/>
      <c r="Q242" s="596"/>
      <c r="R242" s="587"/>
      <c r="S242" s="588"/>
      <c r="U242" s="234"/>
      <c r="V242" s="593"/>
      <c r="W242" s="596"/>
      <c r="X242" s="587"/>
      <c r="Y242" s="588"/>
      <c r="AA242" s="234"/>
      <c r="AB242" s="593"/>
      <c r="AC242" s="596"/>
      <c r="AD242" s="596"/>
      <c r="AE242" s="587"/>
      <c r="AF242" s="588"/>
      <c r="AH242" s="234"/>
      <c r="AI242" s="593"/>
      <c r="AJ242" s="596"/>
      <c r="AK242" s="596"/>
      <c r="AL242" s="587"/>
      <c r="AM242" s="588"/>
      <c r="AO242" s="234">
        <f>'Calculs dispo Données conso'!Q217</f>
        <v>10.397412480974127</v>
      </c>
      <c r="AP242" s="239">
        <f>'Calculs dispo Données conso'!R217</f>
        <v>7.3974124809741273</v>
      </c>
      <c r="AQ242" s="540">
        <f>'Calculs dispo Données conso'!S217</f>
        <v>3</v>
      </c>
      <c r="AR242" s="853">
        <f>'Calculs dispo Données conso'!T217</f>
        <v>42140.922374429225</v>
      </c>
      <c r="AS242" s="854">
        <f>'Calculs dispo Données conso'!U217</f>
        <v>42230.922374429225</v>
      </c>
      <c r="AT242" s="500"/>
      <c r="AU242" s="234">
        <f>'Calculs dispo Données conso'!W217</f>
        <v>10.397412480974127</v>
      </c>
      <c r="AV242" s="239">
        <f>'Calculs dispo Données conso'!X217</f>
        <v>7.3974124809741273</v>
      </c>
      <c r="AW242" s="540">
        <f>'Calculs dispo Données conso'!Y217</f>
        <v>3</v>
      </c>
      <c r="AX242" s="853">
        <f>'Calculs dispo Données conso'!Z217</f>
        <v>42140.922374429225</v>
      </c>
      <c r="AY242" s="854">
        <f>'Calculs dispo Données conso'!AA217</f>
        <v>42230.922374429225</v>
      </c>
      <c r="AZ242" s="500"/>
      <c r="BA242" s="234">
        <f>'Calculs dispo Données conso'!AC217</f>
        <v>0</v>
      </c>
      <c r="BB242" s="239">
        <f>'Calculs dispo Données conso'!AD217</f>
        <v>-3</v>
      </c>
      <c r="BC242" s="540">
        <f>'Calculs dispo Données conso'!AE217</f>
        <v>0</v>
      </c>
      <c r="BD242" s="540">
        <f>'Calculs dispo Données conso'!AF217</f>
        <v>0</v>
      </c>
      <c r="BE242" s="853">
        <f>'Calculs dispo Données conso'!AG217</f>
        <v>41829</v>
      </c>
      <c r="BF242" s="854">
        <f>'Calculs dispo Données conso'!AH217</f>
        <v>41919</v>
      </c>
      <c r="BG242" s="500"/>
      <c r="BH242" s="234" t="str">
        <f>'Calculs dispo Données conso'!AO217</f>
        <v/>
      </c>
      <c r="BI242" s="239" t="str">
        <f>'Calculs dispo Données conso'!AP217</f>
        <v/>
      </c>
      <c r="BJ242" s="540" t="str">
        <f>'Calculs dispo Données conso'!AQ217</f>
        <v/>
      </c>
      <c r="BK242" s="540" t="str">
        <f>'Calculs dispo Données conso'!AR217</f>
        <v/>
      </c>
      <c r="BL242" s="853" t="str">
        <f>'Calculs dispo Données conso'!AS217</f>
        <v/>
      </c>
      <c r="BM242" s="854" t="str">
        <f>'Calculs dispo Données conso'!AT217</f>
        <v/>
      </c>
    </row>
    <row r="243" spans="3:65" s="358" customFormat="1" x14ac:dyDescent="0.2">
      <c r="C243" s="374"/>
      <c r="D243" s="402"/>
      <c r="E243" s="396" t="s">
        <v>44</v>
      </c>
      <c r="F243" s="397" t="s">
        <v>104</v>
      </c>
      <c r="G243" s="397" t="s">
        <v>39</v>
      </c>
      <c r="H243" s="403" t="s">
        <v>127</v>
      </c>
      <c r="I243" s="403" t="str">
        <f t="shared" si="64"/>
        <v>IDV - 400 mg - Bte/180</v>
      </c>
      <c r="J243" s="398"/>
      <c r="K243" s="399">
        <v>6</v>
      </c>
      <c r="L243" s="399">
        <f t="shared" si="68"/>
        <v>180</v>
      </c>
      <c r="M243" s="117">
        <v>180</v>
      </c>
      <c r="N243" s="400">
        <f t="shared" si="69"/>
        <v>1</v>
      </c>
      <c r="O243" s="234" t="e">
        <f>'Calculs dispo Données FA'!Q218</f>
        <v>#DIV/0!</v>
      </c>
      <c r="P243" s="239" t="e">
        <f>'Calculs dispo Données FA'!R218</f>
        <v>#DIV/0!</v>
      </c>
      <c r="Q243" s="241" t="e">
        <f>'Calculs dispo Données FA'!S218</f>
        <v>#DIV/0!</v>
      </c>
      <c r="R243" s="253" t="e">
        <f>'Calculs dispo Données FA'!T218</f>
        <v>#DIV/0!</v>
      </c>
      <c r="S243" s="254" t="e">
        <f>'Calculs dispo Données FA'!U218</f>
        <v>#DIV/0!</v>
      </c>
      <c r="U243" s="234" t="str">
        <f>'Calculs dispo Données FA'!W218</f>
        <v/>
      </c>
      <c r="V243" s="239" t="str">
        <f>'Calculs dispo Données FA'!X218</f>
        <v/>
      </c>
      <c r="W243" s="241" t="str">
        <f>'Calculs dispo Données FA'!Y218</f>
        <v/>
      </c>
      <c r="X243" s="253" t="str">
        <f>'Calculs dispo Données FA'!Z218</f>
        <v/>
      </c>
      <c r="Y243" s="254" t="str">
        <f>'Calculs dispo Données FA'!AA218</f>
        <v/>
      </c>
      <c r="AA243" s="234" t="e">
        <f>'Calculs dispo Données FA'!AC218</f>
        <v>#DIV/0!</v>
      </c>
      <c r="AB243" s="239" t="e">
        <f>'Calculs dispo Données FA'!AD218</f>
        <v>#DIV/0!</v>
      </c>
      <c r="AC243" s="241" t="e">
        <f>'Calculs dispo Données FA'!AE218</f>
        <v>#DIV/0!</v>
      </c>
      <c r="AD243" s="241" t="e">
        <f>'Calculs dispo Données FA'!AF218</f>
        <v>#DIV/0!</v>
      </c>
      <c r="AE243" s="253" t="e">
        <f>'Calculs dispo Données FA'!AG218</f>
        <v>#DIV/0!</v>
      </c>
      <c r="AF243" s="254" t="e">
        <f>'Calculs dispo Données FA'!AH218</f>
        <v>#DIV/0!</v>
      </c>
      <c r="AH243" s="234" t="str">
        <f>'Calculs dispo Données FA'!AO218</f>
        <v/>
      </c>
      <c r="AI243" s="239" t="str">
        <f>'Calculs dispo Données FA'!AP218</f>
        <v/>
      </c>
      <c r="AJ243" s="241" t="str">
        <f>'Calculs dispo Données FA'!AQ218</f>
        <v/>
      </c>
      <c r="AK243" s="241" t="str">
        <f>'Calculs dispo Données FA'!AR218</f>
        <v/>
      </c>
      <c r="AL243" s="253" t="str">
        <f>'Calculs dispo Données FA'!AS218</f>
        <v/>
      </c>
      <c r="AM243" s="254" t="str">
        <f>'Calculs dispo Données FA'!AT218</f>
        <v/>
      </c>
      <c r="AO243" s="234"/>
      <c r="AP243" s="593"/>
      <c r="AQ243" s="556"/>
      <c r="AR243" s="587"/>
      <c r="AS243" s="588"/>
      <c r="AT243" s="500"/>
      <c r="AU243" s="234"/>
      <c r="AV243" s="593"/>
      <c r="AW243" s="556"/>
      <c r="AX243" s="587"/>
      <c r="AY243" s="588"/>
      <c r="AZ243" s="500"/>
      <c r="BA243" s="234"/>
      <c r="BB243" s="593"/>
      <c r="BC243" s="556"/>
      <c r="BD243" s="556"/>
      <c r="BE243" s="587"/>
      <c r="BF243" s="588"/>
      <c r="BG243" s="500"/>
      <c r="BH243" s="234"/>
      <c r="BI243" s="593"/>
      <c r="BJ243" s="556"/>
      <c r="BK243" s="556"/>
      <c r="BL243" s="587"/>
      <c r="BM243" s="588"/>
    </row>
    <row r="244" spans="3:65" s="358" customFormat="1" x14ac:dyDescent="0.2">
      <c r="C244" s="374"/>
      <c r="D244" s="402"/>
      <c r="E244" s="396"/>
      <c r="F244" s="397"/>
      <c r="G244" s="397"/>
      <c r="H244" s="403"/>
      <c r="I244" s="403"/>
      <c r="J244" s="398"/>
      <c r="K244" s="399"/>
      <c r="L244" s="399"/>
      <c r="M244" s="117"/>
      <c r="N244" s="400"/>
      <c r="O244" s="234"/>
      <c r="P244" s="593"/>
      <c r="Q244" s="596"/>
      <c r="R244" s="587"/>
      <c r="S244" s="588"/>
      <c r="U244" s="234"/>
      <c r="V244" s="593"/>
      <c r="W244" s="596"/>
      <c r="X244" s="587"/>
      <c r="Y244" s="588"/>
      <c r="AA244" s="234"/>
      <c r="AB244" s="593"/>
      <c r="AC244" s="596"/>
      <c r="AD244" s="596"/>
      <c r="AE244" s="587"/>
      <c r="AF244" s="588"/>
      <c r="AH244" s="234"/>
      <c r="AI244" s="593"/>
      <c r="AJ244" s="596"/>
      <c r="AK244" s="596"/>
      <c r="AL244" s="587"/>
      <c r="AM244" s="588"/>
      <c r="AO244" s="234" t="e">
        <f>'Calculs dispo Données conso'!Q220</f>
        <v>#DIV/0!</v>
      </c>
      <c r="AP244" s="239" t="e">
        <f>'Calculs dispo Données conso'!R220</f>
        <v>#DIV/0!</v>
      </c>
      <c r="AQ244" s="540" t="e">
        <f>'Calculs dispo Données conso'!S220</f>
        <v>#DIV/0!</v>
      </c>
      <c r="AR244" s="853" t="e">
        <f>'Calculs dispo Données conso'!T220</f>
        <v>#DIV/0!</v>
      </c>
      <c r="AS244" s="854" t="e">
        <f>'Calculs dispo Données conso'!U220</f>
        <v>#DIV/0!</v>
      </c>
      <c r="AT244" s="500"/>
      <c r="AU244" s="234" t="str">
        <f>'Calculs dispo Données conso'!W220</f>
        <v/>
      </c>
      <c r="AV244" s="239" t="str">
        <f>'Calculs dispo Données conso'!X220</f>
        <v/>
      </c>
      <c r="AW244" s="540" t="str">
        <f>'Calculs dispo Données conso'!Y220</f>
        <v/>
      </c>
      <c r="AX244" s="853" t="str">
        <f>'Calculs dispo Données conso'!Z220</f>
        <v/>
      </c>
      <c r="AY244" s="854" t="str">
        <f>'Calculs dispo Données conso'!AA220</f>
        <v/>
      </c>
      <c r="AZ244" s="500"/>
      <c r="BA244" s="234" t="e">
        <f>'Calculs dispo Données conso'!AC220</f>
        <v>#DIV/0!</v>
      </c>
      <c r="BB244" s="239" t="e">
        <f>'Calculs dispo Données conso'!AD220</f>
        <v>#DIV/0!</v>
      </c>
      <c r="BC244" s="540" t="e">
        <f>'Calculs dispo Données conso'!AE220</f>
        <v>#DIV/0!</v>
      </c>
      <c r="BD244" s="540" t="e">
        <f>'Calculs dispo Données conso'!AF220</f>
        <v>#DIV/0!</v>
      </c>
      <c r="BE244" s="853" t="e">
        <f>'Calculs dispo Données conso'!AG220</f>
        <v>#DIV/0!</v>
      </c>
      <c r="BF244" s="854" t="e">
        <f>'Calculs dispo Données conso'!AH220</f>
        <v>#DIV/0!</v>
      </c>
      <c r="BG244" s="500"/>
      <c r="BH244" s="234" t="str">
        <f>'Calculs dispo Données conso'!AO220</f>
        <v/>
      </c>
      <c r="BI244" s="239" t="str">
        <f>'Calculs dispo Données conso'!AP220</f>
        <v/>
      </c>
      <c r="BJ244" s="540" t="str">
        <f>'Calculs dispo Données conso'!AQ220</f>
        <v/>
      </c>
      <c r="BK244" s="540" t="str">
        <f>'Calculs dispo Données conso'!AR220</f>
        <v/>
      </c>
      <c r="BL244" s="853" t="str">
        <f>'Calculs dispo Données conso'!AS220</f>
        <v/>
      </c>
      <c r="BM244" s="854" t="str">
        <f>'Calculs dispo Données conso'!AT220</f>
        <v/>
      </c>
    </row>
    <row r="245" spans="3:65" s="358" customFormat="1" x14ac:dyDescent="0.2">
      <c r="C245" s="374"/>
      <c r="D245" s="402"/>
      <c r="E245" s="396" t="s">
        <v>126</v>
      </c>
      <c r="F245" s="397" t="str">
        <f>'TRAD-Calculs dispo confrontatio'!B42</f>
        <v>Cp</v>
      </c>
      <c r="G245" s="397" t="s">
        <v>134</v>
      </c>
      <c r="H245" s="403" t="s">
        <v>129</v>
      </c>
      <c r="I245" s="403" t="str">
        <f t="shared" si="64"/>
        <v>SQV - 500 mg - Bte/120</v>
      </c>
      <c r="J245" s="398"/>
      <c r="K245" s="399">
        <v>4</v>
      </c>
      <c r="L245" s="399">
        <f t="shared" si="68"/>
        <v>120</v>
      </c>
      <c r="M245" s="117">
        <v>120</v>
      </c>
      <c r="N245" s="400">
        <f t="shared" si="69"/>
        <v>1</v>
      </c>
      <c r="O245" s="234" t="e">
        <f>'Calculs dispo Données FA'!Q220</f>
        <v>#DIV/0!</v>
      </c>
      <c r="P245" s="239" t="e">
        <f>'Calculs dispo Données FA'!R220</f>
        <v>#DIV/0!</v>
      </c>
      <c r="Q245" s="244" t="e">
        <f>'Calculs dispo Données FA'!S220</f>
        <v>#DIV/0!</v>
      </c>
      <c r="R245" s="253" t="e">
        <f>'Calculs dispo Données FA'!T220</f>
        <v>#DIV/0!</v>
      </c>
      <c r="S245" s="254" t="e">
        <f>'Calculs dispo Données FA'!U220</f>
        <v>#DIV/0!</v>
      </c>
      <c r="U245" s="234" t="str">
        <f>'Calculs dispo Données FA'!W220</f>
        <v/>
      </c>
      <c r="V245" s="239" t="str">
        <f>'Calculs dispo Données FA'!X220</f>
        <v/>
      </c>
      <c r="W245" s="244" t="str">
        <f>'Calculs dispo Données FA'!Y220</f>
        <v/>
      </c>
      <c r="X245" s="253" t="str">
        <f>'Calculs dispo Données FA'!Z220</f>
        <v/>
      </c>
      <c r="Y245" s="254" t="str">
        <f>'Calculs dispo Données FA'!AA220</f>
        <v/>
      </c>
      <c r="AA245" s="234" t="e">
        <f>'Calculs dispo Données FA'!AC220</f>
        <v>#DIV/0!</v>
      </c>
      <c r="AB245" s="239" t="e">
        <f>'Calculs dispo Données FA'!AD220</f>
        <v>#DIV/0!</v>
      </c>
      <c r="AC245" s="244" t="e">
        <f>'Calculs dispo Données FA'!AE220</f>
        <v>#DIV/0!</v>
      </c>
      <c r="AD245" s="244" t="e">
        <f>'Calculs dispo Données FA'!AF220</f>
        <v>#DIV/0!</v>
      </c>
      <c r="AE245" s="253" t="e">
        <f>'Calculs dispo Données FA'!AG220</f>
        <v>#DIV/0!</v>
      </c>
      <c r="AF245" s="254" t="e">
        <f>'Calculs dispo Données FA'!AH220</f>
        <v>#DIV/0!</v>
      </c>
      <c r="AH245" s="234" t="str">
        <f>'Calculs dispo Données FA'!AO220</f>
        <v/>
      </c>
      <c r="AI245" s="239" t="str">
        <f>'Calculs dispo Données FA'!AP220</f>
        <v/>
      </c>
      <c r="AJ245" s="244" t="str">
        <f>'Calculs dispo Données FA'!AQ220</f>
        <v/>
      </c>
      <c r="AK245" s="244" t="str">
        <f>'Calculs dispo Données FA'!AR220</f>
        <v/>
      </c>
      <c r="AL245" s="253" t="str">
        <f>'Calculs dispo Données FA'!AS220</f>
        <v/>
      </c>
      <c r="AM245" s="254" t="str">
        <f>'Calculs dispo Données FA'!AT220</f>
        <v/>
      </c>
      <c r="AO245" s="234"/>
      <c r="AP245" s="593"/>
      <c r="AQ245" s="594"/>
      <c r="AR245" s="587"/>
      <c r="AS245" s="588"/>
      <c r="AT245" s="500"/>
      <c r="AU245" s="234"/>
      <c r="AV245" s="593"/>
      <c r="AW245" s="594"/>
      <c r="AX245" s="587"/>
      <c r="AY245" s="588"/>
      <c r="AZ245" s="500"/>
      <c r="BA245" s="234"/>
      <c r="BB245" s="593"/>
      <c r="BC245" s="594"/>
      <c r="BD245" s="594"/>
      <c r="BE245" s="587"/>
      <c r="BF245" s="588"/>
      <c r="BG245" s="500"/>
      <c r="BH245" s="234"/>
      <c r="BI245" s="593"/>
      <c r="BJ245" s="594"/>
      <c r="BK245" s="594"/>
      <c r="BL245" s="587"/>
      <c r="BM245" s="588"/>
    </row>
    <row r="246" spans="3:65" s="358" customFormat="1" x14ac:dyDescent="0.2">
      <c r="C246" s="374"/>
      <c r="D246" s="402"/>
      <c r="E246" s="396"/>
      <c r="F246" s="397"/>
      <c r="G246" s="397"/>
      <c r="H246" s="403"/>
      <c r="I246" s="403"/>
      <c r="J246" s="398"/>
      <c r="K246" s="399"/>
      <c r="L246" s="399"/>
      <c r="M246" s="117"/>
      <c r="N246" s="400"/>
      <c r="O246" s="234"/>
      <c r="P246" s="593"/>
      <c r="Q246" s="594"/>
      <c r="R246" s="587"/>
      <c r="S246" s="588"/>
      <c r="U246" s="234"/>
      <c r="V246" s="593"/>
      <c r="W246" s="594"/>
      <c r="X246" s="587"/>
      <c r="Y246" s="588"/>
      <c r="AA246" s="234"/>
      <c r="AB246" s="593"/>
      <c r="AC246" s="594"/>
      <c r="AD246" s="594"/>
      <c r="AE246" s="587"/>
      <c r="AF246" s="588"/>
      <c r="AH246" s="234"/>
      <c r="AI246" s="593"/>
      <c r="AJ246" s="594"/>
      <c r="AK246" s="594"/>
      <c r="AL246" s="587"/>
      <c r="AM246" s="588"/>
      <c r="AO246" s="234" t="e">
        <f>'Calculs dispo Données conso'!Q222</f>
        <v>#DIV/0!</v>
      </c>
      <c r="AP246" s="239" t="e">
        <f>'Calculs dispo Données conso'!R222</f>
        <v>#DIV/0!</v>
      </c>
      <c r="AQ246" s="244" t="e">
        <f>'Calculs dispo Données conso'!S222</f>
        <v>#DIV/0!</v>
      </c>
      <c r="AR246" s="853" t="e">
        <f>'Calculs dispo Données conso'!T222</f>
        <v>#DIV/0!</v>
      </c>
      <c r="AS246" s="854" t="e">
        <f>'Calculs dispo Données conso'!U222</f>
        <v>#DIV/0!</v>
      </c>
      <c r="AT246" s="500"/>
      <c r="AU246" s="234" t="str">
        <f>'Calculs dispo Données conso'!W222</f>
        <v/>
      </c>
      <c r="AV246" s="239" t="str">
        <f>'Calculs dispo Données conso'!X222</f>
        <v/>
      </c>
      <c r="AW246" s="244" t="str">
        <f>'Calculs dispo Données conso'!Y222</f>
        <v/>
      </c>
      <c r="AX246" s="853" t="str">
        <f>'Calculs dispo Données conso'!Z222</f>
        <v/>
      </c>
      <c r="AY246" s="854" t="str">
        <f>'Calculs dispo Données conso'!AA222</f>
        <v/>
      </c>
      <c r="AZ246" s="500"/>
      <c r="BA246" s="234" t="e">
        <f>'Calculs dispo Données conso'!AC222</f>
        <v>#DIV/0!</v>
      </c>
      <c r="BB246" s="239" t="e">
        <f>'Calculs dispo Données conso'!AD222</f>
        <v>#DIV/0!</v>
      </c>
      <c r="BC246" s="244" t="e">
        <f>'Calculs dispo Données conso'!AE222</f>
        <v>#DIV/0!</v>
      </c>
      <c r="BD246" s="244" t="e">
        <f>'Calculs dispo Données conso'!AF222</f>
        <v>#DIV/0!</v>
      </c>
      <c r="BE246" s="853" t="e">
        <f>'Calculs dispo Données conso'!AG222</f>
        <v>#DIV/0!</v>
      </c>
      <c r="BF246" s="854" t="e">
        <f>'Calculs dispo Données conso'!AH222</f>
        <v>#DIV/0!</v>
      </c>
      <c r="BG246" s="500"/>
      <c r="BH246" s="234" t="str">
        <f>'Calculs dispo Données conso'!AO222</f>
        <v/>
      </c>
      <c r="BI246" s="239" t="str">
        <f>'Calculs dispo Données conso'!AP222</f>
        <v/>
      </c>
      <c r="BJ246" s="244" t="str">
        <f>'Calculs dispo Données conso'!AQ222</f>
        <v/>
      </c>
      <c r="BK246" s="244" t="str">
        <f>'Calculs dispo Données conso'!AR222</f>
        <v/>
      </c>
      <c r="BL246" s="853" t="str">
        <f>'Calculs dispo Données conso'!AS222</f>
        <v/>
      </c>
      <c r="BM246" s="854" t="str">
        <f>'Calculs dispo Données conso'!AT222</f>
        <v/>
      </c>
    </row>
    <row r="247" spans="3:65" s="358" customFormat="1" x14ac:dyDescent="0.2">
      <c r="C247" s="374"/>
      <c r="D247" s="402"/>
      <c r="E247" s="507" t="s">
        <v>262</v>
      </c>
      <c r="F247" s="508" t="s">
        <v>104</v>
      </c>
      <c r="G247" s="509" t="s">
        <v>30</v>
      </c>
      <c r="H247" s="510" t="s">
        <v>263</v>
      </c>
      <c r="I247" s="403" t="str">
        <f t="shared" si="64"/>
        <v>ATV - 200 mg - Bte/60</v>
      </c>
      <c r="J247" s="398"/>
      <c r="K247" s="512">
        <v>2</v>
      </c>
      <c r="L247" s="399">
        <f t="shared" si="68"/>
        <v>60</v>
      </c>
      <c r="M247" s="512">
        <v>60</v>
      </c>
      <c r="N247" s="400">
        <f t="shared" si="69"/>
        <v>1</v>
      </c>
      <c r="O247" s="234" t="e">
        <f>'Calculs dispo Données FA'!Q216</f>
        <v>#DIV/0!</v>
      </c>
      <c r="P247" s="239" t="e">
        <f>'Calculs dispo Données FA'!R216</f>
        <v>#DIV/0!</v>
      </c>
      <c r="Q247" s="244" t="e">
        <f>'Calculs dispo Données FA'!S216</f>
        <v>#DIV/0!</v>
      </c>
      <c r="R247" s="253" t="e">
        <f>'Calculs dispo Données FA'!T216</f>
        <v>#DIV/0!</v>
      </c>
      <c r="S247" s="254" t="e">
        <f>'Calculs dispo Données FA'!U216</f>
        <v>#DIV/0!</v>
      </c>
      <c r="U247" s="234" t="str">
        <f>'Calculs dispo Données FA'!W216</f>
        <v/>
      </c>
      <c r="V247" s="239" t="str">
        <f>'Calculs dispo Données FA'!X216</f>
        <v/>
      </c>
      <c r="W247" s="244" t="str">
        <f>'Calculs dispo Données FA'!Y216</f>
        <v/>
      </c>
      <c r="X247" s="253" t="str">
        <f>'Calculs dispo Données FA'!Z216</f>
        <v/>
      </c>
      <c r="Y247" s="254" t="str">
        <f>'Calculs dispo Données FA'!AA216</f>
        <v>1705B &amp; conso =0</v>
      </c>
      <c r="AA247" s="234" t="e">
        <f>'Calculs dispo Données FA'!AC216</f>
        <v>#DIV/0!</v>
      </c>
      <c r="AB247" s="239" t="e">
        <f>'Calculs dispo Données FA'!AD216</f>
        <v>#DIV/0!</v>
      </c>
      <c r="AC247" s="244" t="e">
        <f>'Calculs dispo Données FA'!AE216</f>
        <v>#DIV/0!</v>
      </c>
      <c r="AD247" s="244" t="e">
        <f>'Calculs dispo Données FA'!AF216</f>
        <v>#DIV/0!</v>
      </c>
      <c r="AE247" s="253" t="e">
        <f>'Calculs dispo Données FA'!AG216</f>
        <v>#DIV/0!</v>
      </c>
      <c r="AF247" s="254" t="e">
        <f>'Calculs dispo Données FA'!AH216</f>
        <v>#DIV/0!</v>
      </c>
      <c r="AH247" s="234" t="str">
        <f>'Calculs dispo Données FA'!AO216</f>
        <v/>
      </c>
      <c r="AI247" s="239" t="str">
        <f>'Calculs dispo Données FA'!AP216</f>
        <v/>
      </c>
      <c r="AJ247" s="244" t="str">
        <f>'Calculs dispo Données FA'!AQ216</f>
        <v/>
      </c>
      <c r="AK247" s="244" t="str">
        <f>'Calculs dispo Données FA'!AR216</f>
        <v/>
      </c>
      <c r="AL247" s="253" t="str">
        <f>'Calculs dispo Données FA'!AS216</f>
        <v/>
      </c>
      <c r="AM247" s="254" t="str">
        <f>'Calculs dispo Données FA'!AT216</f>
        <v/>
      </c>
      <c r="AO247" s="234"/>
      <c r="AP247" s="593"/>
      <c r="AQ247" s="594"/>
      <c r="AR247" s="587"/>
      <c r="AS247" s="588"/>
      <c r="AT247" s="500"/>
      <c r="AU247" s="234"/>
      <c r="AV247" s="593"/>
      <c r="AW247" s="594"/>
      <c r="AX247" s="587"/>
      <c r="AY247" s="588"/>
      <c r="AZ247" s="500"/>
      <c r="BA247" s="234"/>
      <c r="BB247" s="593"/>
      <c r="BC247" s="594"/>
      <c r="BD247" s="594"/>
      <c r="BE247" s="587"/>
      <c r="BF247" s="588"/>
      <c r="BG247" s="500"/>
      <c r="BH247" s="234"/>
      <c r="BI247" s="593"/>
      <c r="BJ247" s="594"/>
      <c r="BK247" s="594"/>
      <c r="BL247" s="587"/>
      <c r="BM247" s="588"/>
    </row>
    <row r="248" spans="3:65" s="358" customFormat="1" x14ac:dyDescent="0.2">
      <c r="C248" s="374"/>
      <c r="D248" s="402"/>
      <c r="E248" s="545"/>
      <c r="F248" s="509"/>
      <c r="G248" s="509"/>
      <c r="H248" s="546"/>
      <c r="I248" s="403"/>
      <c r="J248" s="398"/>
      <c r="K248" s="512"/>
      <c r="L248" s="399"/>
      <c r="M248" s="512"/>
      <c r="N248" s="400"/>
      <c r="O248" s="234"/>
      <c r="P248" s="593"/>
      <c r="Q248" s="594"/>
      <c r="R248" s="587"/>
      <c r="S248" s="588"/>
      <c r="U248" s="234"/>
      <c r="V248" s="593"/>
      <c r="W248" s="594"/>
      <c r="X248" s="587"/>
      <c r="Y248" s="588"/>
      <c r="AA248" s="234"/>
      <c r="AB248" s="593"/>
      <c r="AC248" s="594"/>
      <c r="AD248" s="594"/>
      <c r="AE248" s="587"/>
      <c r="AF248" s="588"/>
      <c r="AH248" s="234"/>
      <c r="AI248" s="593"/>
      <c r="AJ248" s="594"/>
      <c r="AK248" s="594"/>
      <c r="AL248" s="587"/>
      <c r="AM248" s="588"/>
      <c r="AO248" s="234" t="e">
        <f>'Calculs dispo Données conso'!Q218</f>
        <v>#DIV/0!</v>
      </c>
      <c r="AP248" s="239" t="e">
        <f>'Calculs dispo Données conso'!R218</f>
        <v>#DIV/0!</v>
      </c>
      <c r="AQ248" s="244" t="e">
        <f>'Calculs dispo Données conso'!S218</f>
        <v>#DIV/0!</v>
      </c>
      <c r="AR248" s="853" t="e">
        <f>'Calculs dispo Données conso'!T218</f>
        <v>#DIV/0!</v>
      </c>
      <c r="AS248" s="854" t="e">
        <f>'Calculs dispo Données conso'!U218</f>
        <v>#DIV/0!</v>
      </c>
      <c r="AT248" s="500"/>
      <c r="AU248" s="234" t="str">
        <f>'Calculs dispo Données conso'!W218</f>
        <v/>
      </c>
      <c r="AV248" s="239" t="str">
        <f>'Calculs dispo Données conso'!X218</f>
        <v/>
      </c>
      <c r="AW248" s="244" t="str">
        <f>'Calculs dispo Données conso'!Y218</f>
        <v/>
      </c>
      <c r="AX248" s="853" t="str">
        <f>'Calculs dispo Données conso'!Z218</f>
        <v/>
      </c>
      <c r="AY248" s="854" t="str">
        <f>'Calculs dispo Données conso'!AA218</f>
        <v>1705B &amp; conso =0</v>
      </c>
      <c r="AZ248" s="500"/>
      <c r="BA248" s="234" t="e">
        <f>'Calculs dispo Données conso'!AC218</f>
        <v>#DIV/0!</v>
      </c>
      <c r="BB248" s="239" t="e">
        <f>'Calculs dispo Données conso'!AD218</f>
        <v>#DIV/0!</v>
      </c>
      <c r="BC248" s="244" t="e">
        <f>'Calculs dispo Données conso'!AE218</f>
        <v>#DIV/0!</v>
      </c>
      <c r="BD248" s="244" t="e">
        <f>'Calculs dispo Données conso'!AF218</f>
        <v>#DIV/0!</v>
      </c>
      <c r="BE248" s="853" t="e">
        <f>'Calculs dispo Données conso'!AG218</f>
        <v>#DIV/0!</v>
      </c>
      <c r="BF248" s="854" t="e">
        <f>'Calculs dispo Données conso'!AH218</f>
        <v>#DIV/0!</v>
      </c>
      <c r="BG248" s="500"/>
      <c r="BH248" s="234" t="str">
        <f>'Calculs dispo Données conso'!AO218</f>
        <v/>
      </c>
      <c r="BI248" s="239" t="str">
        <f>'Calculs dispo Données conso'!AP218</f>
        <v/>
      </c>
      <c r="BJ248" s="244" t="str">
        <f>'Calculs dispo Données conso'!AQ218</f>
        <v/>
      </c>
      <c r="BK248" s="244" t="str">
        <f>'Calculs dispo Données conso'!AR218</f>
        <v/>
      </c>
      <c r="BL248" s="853" t="str">
        <f>'Calculs dispo Données conso'!AS218</f>
        <v/>
      </c>
      <c r="BM248" s="854" t="str">
        <f>'Calculs dispo Données conso'!AT218</f>
        <v/>
      </c>
    </row>
    <row r="249" spans="3:65" s="358" customFormat="1" x14ac:dyDescent="0.2">
      <c r="C249" s="374"/>
      <c r="D249" s="402"/>
      <c r="E249" s="93" t="s">
        <v>264</v>
      </c>
      <c r="F249" s="94" t="str">
        <f>'TRAD-Calculs dispo confrontatio'!B42</f>
        <v>Cp</v>
      </c>
      <c r="G249" s="94" t="s">
        <v>28</v>
      </c>
      <c r="H249" s="95" t="s">
        <v>265</v>
      </c>
      <c r="I249" s="403" t="str">
        <f t="shared" si="64"/>
        <v>DRV - 600 mg - Bte/60</v>
      </c>
      <c r="J249" s="398"/>
      <c r="K249" s="117">
        <v>2</v>
      </c>
      <c r="L249" s="399">
        <f t="shared" si="68"/>
        <v>60</v>
      </c>
      <c r="M249" s="117">
        <v>60</v>
      </c>
      <c r="N249" s="400">
        <f t="shared" si="69"/>
        <v>1</v>
      </c>
      <c r="O249" s="234" t="e">
        <f>'Calculs dispo Données FA'!Q219</f>
        <v>#DIV/0!</v>
      </c>
      <c r="P249" s="239" t="e">
        <f>'Calculs dispo Données FA'!R219</f>
        <v>#DIV/0!</v>
      </c>
      <c r="Q249" s="244" t="e">
        <f>'Calculs dispo Données FA'!S219</f>
        <v>#DIV/0!</v>
      </c>
      <c r="R249" s="253" t="e">
        <f>'Calculs dispo Données FA'!T219</f>
        <v>#DIV/0!</v>
      </c>
      <c r="S249" s="254" t="e">
        <f>'Calculs dispo Données FA'!U219</f>
        <v>#DIV/0!</v>
      </c>
      <c r="U249" s="234" t="str">
        <f>'Calculs dispo Données FA'!W219</f>
        <v/>
      </c>
      <c r="V249" s="239" t="str">
        <f>'Calculs dispo Données FA'!X219</f>
        <v/>
      </c>
      <c r="W249" s="244" t="str">
        <f>'Calculs dispo Données FA'!Y219</f>
        <v/>
      </c>
      <c r="X249" s="253" t="str">
        <f>'Calculs dispo Données FA'!Z219</f>
        <v/>
      </c>
      <c r="Y249" s="254" t="str">
        <f>'Calculs dispo Données FA'!AA219</f>
        <v/>
      </c>
      <c r="AA249" s="234" t="e">
        <f>'Calculs dispo Données FA'!AC219</f>
        <v>#DIV/0!</v>
      </c>
      <c r="AB249" s="239" t="e">
        <f>'Calculs dispo Données FA'!AD219</f>
        <v>#DIV/0!</v>
      </c>
      <c r="AC249" s="244" t="e">
        <f>'Calculs dispo Données FA'!AE219</f>
        <v>#DIV/0!</v>
      </c>
      <c r="AD249" s="244" t="e">
        <f>'Calculs dispo Données FA'!AF219</f>
        <v>#DIV/0!</v>
      </c>
      <c r="AE249" s="253" t="e">
        <f>'Calculs dispo Données FA'!AG219</f>
        <v>#DIV/0!</v>
      </c>
      <c r="AF249" s="254" t="e">
        <f>'Calculs dispo Données FA'!AH219</f>
        <v>#DIV/0!</v>
      </c>
      <c r="AH249" s="234" t="str">
        <f>'Calculs dispo Données FA'!AO219</f>
        <v/>
      </c>
      <c r="AI249" s="239" t="str">
        <f>'Calculs dispo Données FA'!AP219</f>
        <v/>
      </c>
      <c r="AJ249" s="244" t="str">
        <f>'Calculs dispo Données FA'!AQ219</f>
        <v/>
      </c>
      <c r="AK249" s="244" t="str">
        <f>'Calculs dispo Données FA'!AR219</f>
        <v/>
      </c>
      <c r="AL249" s="253" t="str">
        <f>'Calculs dispo Données FA'!AS219</f>
        <v/>
      </c>
      <c r="AM249" s="254" t="str">
        <f>'Calculs dispo Données FA'!AT219</f>
        <v/>
      </c>
      <c r="AO249" s="234"/>
      <c r="AP249" s="593"/>
      <c r="AQ249" s="594"/>
      <c r="AR249" s="587"/>
      <c r="AS249" s="588"/>
      <c r="AT249" s="500"/>
      <c r="AU249" s="234"/>
      <c r="AV249" s="593"/>
      <c r="AW249" s="594"/>
      <c r="AX249" s="587"/>
      <c r="AY249" s="588"/>
      <c r="AZ249" s="500"/>
      <c r="BA249" s="234"/>
      <c r="BB249" s="593"/>
      <c r="BC249" s="594"/>
      <c r="BD249" s="594"/>
      <c r="BE249" s="587"/>
      <c r="BF249" s="588"/>
      <c r="BG249" s="500"/>
      <c r="BH249" s="234"/>
      <c r="BI249" s="593"/>
      <c r="BJ249" s="594"/>
      <c r="BK249" s="594"/>
      <c r="BL249" s="587"/>
      <c r="BM249" s="588"/>
    </row>
    <row r="250" spans="3:65" s="358" customFormat="1" x14ac:dyDescent="0.2">
      <c r="C250" s="374"/>
      <c r="D250" s="402"/>
      <c r="E250" s="90"/>
      <c r="F250" s="91"/>
      <c r="G250" s="91"/>
      <c r="H250" s="41"/>
      <c r="I250" s="384"/>
      <c r="J250" s="385"/>
      <c r="K250" s="115"/>
      <c r="L250" s="386"/>
      <c r="M250" s="115"/>
      <c r="N250" s="611"/>
      <c r="O250" s="234"/>
      <c r="P250" s="593"/>
      <c r="Q250" s="594"/>
      <c r="R250" s="587"/>
      <c r="S250" s="588"/>
      <c r="U250" s="234"/>
      <c r="V250" s="593"/>
      <c r="W250" s="594"/>
      <c r="X250" s="587"/>
      <c r="Y250" s="588"/>
      <c r="AA250" s="234"/>
      <c r="AB250" s="593"/>
      <c r="AC250" s="594"/>
      <c r="AD250" s="594"/>
      <c r="AE250" s="587"/>
      <c r="AF250" s="588"/>
      <c r="AH250" s="234"/>
      <c r="AI250" s="593"/>
      <c r="AJ250" s="594"/>
      <c r="AK250" s="594"/>
      <c r="AL250" s="587"/>
      <c r="AM250" s="588"/>
      <c r="AO250" s="234" t="e">
        <f>'Calculs dispo Données conso'!Q221</f>
        <v>#DIV/0!</v>
      </c>
      <c r="AP250" s="239" t="e">
        <f>'Calculs dispo Données conso'!R221</f>
        <v>#DIV/0!</v>
      </c>
      <c r="AQ250" s="244" t="e">
        <f>'Calculs dispo Données conso'!S221</f>
        <v>#DIV/0!</v>
      </c>
      <c r="AR250" s="853" t="e">
        <f>'Calculs dispo Données conso'!T221</f>
        <v>#DIV/0!</v>
      </c>
      <c r="AS250" s="854" t="e">
        <f>'Calculs dispo Données conso'!U221</f>
        <v>#DIV/0!</v>
      </c>
      <c r="AT250" s="500"/>
      <c r="AU250" s="234" t="str">
        <f>'Calculs dispo Données conso'!W221</f>
        <v/>
      </c>
      <c r="AV250" s="239" t="str">
        <f>'Calculs dispo Données conso'!X221</f>
        <v/>
      </c>
      <c r="AW250" s="244" t="str">
        <f>'Calculs dispo Données conso'!Y221</f>
        <v/>
      </c>
      <c r="AX250" s="853" t="str">
        <f>'Calculs dispo Données conso'!Z221</f>
        <v/>
      </c>
      <c r="AY250" s="854" t="str">
        <f>'Calculs dispo Données conso'!AA221</f>
        <v/>
      </c>
      <c r="AZ250" s="500"/>
      <c r="BA250" s="234" t="e">
        <f>'Calculs dispo Données conso'!AC221</f>
        <v>#DIV/0!</v>
      </c>
      <c r="BB250" s="239" t="e">
        <f>'Calculs dispo Données conso'!AD221</f>
        <v>#DIV/0!</v>
      </c>
      <c r="BC250" s="244" t="e">
        <f>'Calculs dispo Données conso'!AE221</f>
        <v>#DIV/0!</v>
      </c>
      <c r="BD250" s="244" t="e">
        <f>'Calculs dispo Données conso'!AF221</f>
        <v>#DIV/0!</v>
      </c>
      <c r="BE250" s="853" t="e">
        <f>'Calculs dispo Données conso'!AG221</f>
        <v>#DIV/0!</v>
      </c>
      <c r="BF250" s="854" t="e">
        <f>'Calculs dispo Données conso'!AH221</f>
        <v>#DIV/0!</v>
      </c>
      <c r="BG250" s="500"/>
      <c r="BH250" s="234" t="str">
        <f>'Calculs dispo Données conso'!AO221</f>
        <v/>
      </c>
      <c r="BI250" s="239" t="str">
        <f>'Calculs dispo Données conso'!AP221</f>
        <v/>
      </c>
      <c r="BJ250" s="244" t="str">
        <f>'Calculs dispo Données conso'!AQ221</f>
        <v/>
      </c>
      <c r="BK250" s="244" t="str">
        <f>'Calculs dispo Données conso'!AR221</f>
        <v/>
      </c>
      <c r="BL250" s="853" t="str">
        <f>'Calculs dispo Données conso'!AS221</f>
        <v/>
      </c>
      <c r="BM250" s="854" t="str">
        <f>'Calculs dispo Données conso'!AT221</f>
        <v/>
      </c>
    </row>
    <row r="251" spans="3:65" s="358" customFormat="1" x14ac:dyDescent="0.2">
      <c r="C251" s="374"/>
      <c r="D251" s="375"/>
      <c r="E251" s="534" t="s">
        <v>45</v>
      </c>
      <c r="F251" s="535" t="s">
        <v>133</v>
      </c>
      <c r="G251" s="535" t="s">
        <v>46</v>
      </c>
      <c r="H251" s="544" t="s">
        <v>128</v>
      </c>
      <c r="I251" s="544" t="str">
        <f t="shared" si="64"/>
        <v>RTV - 100 mg - Bte/84</v>
      </c>
      <c r="J251" s="544"/>
      <c r="K251" s="399">
        <v>2</v>
      </c>
      <c r="L251" s="399">
        <f t="shared" si="68"/>
        <v>60</v>
      </c>
      <c r="M251" s="117">
        <v>84</v>
      </c>
      <c r="N251" s="400">
        <f t="shared" si="69"/>
        <v>0.7142857142857143</v>
      </c>
      <c r="O251" s="232" t="e">
        <f>'Calculs dispo Données FA'!Q221</f>
        <v>#DIV/0!</v>
      </c>
      <c r="P251" s="237" t="e">
        <f>'Calculs dispo Données FA'!R221</f>
        <v>#DIV/0!</v>
      </c>
      <c r="Q251" s="242" t="e">
        <f>'Calculs dispo Données FA'!S221</f>
        <v>#DIV/0!</v>
      </c>
      <c r="R251" s="249" t="e">
        <f>'Calculs dispo Données FA'!T221</f>
        <v>#DIV/0!</v>
      </c>
      <c r="S251" s="250" t="e">
        <f>'Calculs dispo Données FA'!U221</f>
        <v>#DIV/0!</v>
      </c>
      <c r="U251" s="232" t="str">
        <f>'Calculs dispo Données FA'!W221</f>
        <v/>
      </c>
      <c r="V251" s="237" t="str">
        <f>'Calculs dispo Données FA'!X221</f>
        <v/>
      </c>
      <c r="W251" s="242" t="str">
        <f>'Calculs dispo Données FA'!Y221</f>
        <v/>
      </c>
      <c r="X251" s="249" t="str">
        <f>'Calculs dispo Données FA'!Z221</f>
        <v/>
      </c>
      <c r="Y251" s="250" t="str">
        <f>'Calculs dispo Données FA'!AA221</f>
        <v/>
      </c>
      <c r="AA251" s="232" t="e">
        <f>'Calculs dispo Données FA'!AC221</f>
        <v>#DIV/0!</v>
      </c>
      <c r="AB251" s="237" t="e">
        <f>'Calculs dispo Données FA'!AD221</f>
        <v>#DIV/0!</v>
      </c>
      <c r="AC251" s="242" t="e">
        <f>'Calculs dispo Données FA'!AE221</f>
        <v>#DIV/0!</v>
      </c>
      <c r="AD251" s="242" t="e">
        <f>'Calculs dispo Données FA'!AF221</f>
        <v>#DIV/0!</v>
      </c>
      <c r="AE251" s="249" t="e">
        <f>'Calculs dispo Données FA'!AG221</f>
        <v>#DIV/0!</v>
      </c>
      <c r="AF251" s="250" t="e">
        <f>'Calculs dispo Données FA'!AH221</f>
        <v>#DIV/0!</v>
      </c>
      <c r="AH251" s="232" t="str">
        <f>'Calculs dispo Données FA'!AO221</f>
        <v/>
      </c>
      <c r="AI251" s="237" t="str">
        <f>'Calculs dispo Données FA'!AP221</f>
        <v/>
      </c>
      <c r="AJ251" s="242" t="str">
        <f>'Calculs dispo Données FA'!AQ221</f>
        <v/>
      </c>
      <c r="AK251" s="242" t="str">
        <f>'Calculs dispo Données FA'!AR221</f>
        <v/>
      </c>
      <c r="AL251" s="249" t="str">
        <f>'Calculs dispo Données FA'!AS221</f>
        <v/>
      </c>
      <c r="AM251" s="250" t="str">
        <f>'Calculs dispo Données FA'!AT221</f>
        <v/>
      </c>
      <c r="AO251" s="232"/>
      <c r="AP251" s="563"/>
      <c r="AQ251" s="564"/>
      <c r="AR251" s="565"/>
      <c r="AS251" s="566"/>
      <c r="AT251" s="500"/>
      <c r="AU251" s="232"/>
      <c r="AV251" s="563"/>
      <c r="AW251" s="564"/>
      <c r="AX251" s="565"/>
      <c r="AY251" s="566"/>
      <c r="AZ251" s="500"/>
      <c r="BA251" s="232"/>
      <c r="BB251" s="563"/>
      <c r="BC251" s="564"/>
      <c r="BD251" s="564"/>
      <c r="BE251" s="565"/>
      <c r="BF251" s="566"/>
      <c r="BG251" s="500"/>
      <c r="BH251" s="232"/>
      <c r="BI251" s="563"/>
      <c r="BJ251" s="564"/>
      <c r="BK251" s="564"/>
      <c r="BL251" s="565"/>
      <c r="BM251" s="566"/>
    </row>
    <row r="252" spans="3:65" s="358" customFormat="1" x14ac:dyDescent="0.2">
      <c r="C252" s="374"/>
      <c r="D252" s="609"/>
      <c r="E252" s="390"/>
      <c r="F252" s="391"/>
      <c r="G252" s="391"/>
      <c r="H252" s="401"/>
      <c r="I252" s="401"/>
      <c r="J252" s="401"/>
      <c r="K252" s="401"/>
      <c r="L252" s="401"/>
      <c r="M252" s="116"/>
      <c r="N252" s="311"/>
      <c r="O252" s="624"/>
      <c r="P252" s="629"/>
      <c r="Q252" s="621"/>
      <c r="R252" s="622"/>
      <c r="S252" s="623"/>
      <c r="U252" s="624"/>
      <c r="V252" s="629"/>
      <c r="W252" s="621"/>
      <c r="X252" s="622"/>
      <c r="Y252" s="623"/>
      <c r="AA252" s="624"/>
      <c r="AB252" s="629"/>
      <c r="AC252" s="621"/>
      <c r="AD252" s="621"/>
      <c r="AE252" s="622"/>
      <c r="AF252" s="623"/>
      <c r="AH252" s="624"/>
      <c r="AI252" s="629"/>
      <c r="AJ252" s="621"/>
      <c r="AK252" s="621"/>
      <c r="AL252" s="622"/>
      <c r="AM252" s="623"/>
      <c r="AO252" s="624" t="e">
        <f>'Calculs dispo Données conso'!Q223</f>
        <v>#DIV/0!</v>
      </c>
      <c r="AP252" s="625" t="e">
        <f>'Calculs dispo Données conso'!R223</f>
        <v>#DIV/0!</v>
      </c>
      <c r="AQ252" s="632" t="e">
        <f>'Calculs dispo Données conso'!S223</f>
        <v>#DIV/0!</v>
      </c>
      <c r="AR252" s="859" t="e">
        <f>'Calculs dispo Données conso'!T223</f>
        <v>#DIV/0!</v>
      </c>
      <c r="AS252" s="860" t="e">
        <f>'Calculs dispo Données conso'!U223</f>
        <v>#DIV/0!</v>
      </c>
      <c r="AT252" s="500"/>
      <c r="AU252" s="624" t="str">
        <f>'Calculs dispo Données conso'!W223</f>
        <v/>
      </c>
      <c r="AV252" s="625" t="str">
        <f>'Calculs dispo Données conso'!X223</f>
        <v/>
      </c>
      <c r="AW252" s="632" t="str">
        <f>'Calculs dispo Données conso'!Y223</f>
        <v/>
      </c>
      <c r="AX252" s="859" t="str">
        <f>'Calculs dispo Données conso'!Z223</f>
        <v/>
      </c>
      <c r="AY252" s="860" t="str">
        <f>'Calculs dispo Données conso'!AA223</f>
        <v/>
      </c>
      <c r="AZ252" s="500"/>
      <c r="BA252" s="624" t="e">
        <f>'Calculs dispo Données conso'!AC223</f>
        <v>#DIV/0!</v>
      </c>
      <c r="BB252" s="625" t="e">
        <f>'Calculs dispo Données conso'!AD223</f>
        <v>#DIV/0!</v>
      </c>
      <c r="BC252" s="632" t="e">
        <f>'Calculs dispo Données conso'!AE223</f>
        <v>#DIV/0!</v>
      </c>
      <c r="BD252" s="632" t="e">
        <f>'Calculs dispo Données conso'!AF223</f>
        <v>#DIV/0!</v>
      </c>
      <c r="BE252" s="859" t="e">
        <f>'Calculs dispo Données conso'!AG223</f>
        <v>#DIV/0!</v>
      </c>
      <c r="BF252" s="860" t="e">
        <f>'Calculs dispo Données conso'!AH223</f>
        <v>#DIV/0!</v>
      </c>
      <c r="BG252" s="500"/>
      <c r="BH252" s="624" t="str">
        <f>'Calculs dispo Données conso'!AO223</f>
        <v/>
      </c>
      <c r="BI252" s="625" t="str">
        <f>'Calculs dispo Données conso'!AP223</f>
        <v/>
      </c>
      <c r="BJ252" s="632" t="str">
        <f>'Calculs dispo Données conso'!AQ223</f>
        <v/>
      </c>
      <c r="BK252" s="632" t="str">
        <f>'Calculs dispo Données conso'!AR223</f>
        <v/>
      </c>
      <c r="BL252" s="859" t="str">
        <f>'Calculs dispo Données conso'!AS223</f>
        <v/>
      </c>
      <c r="BM252" s="860" t="str">
        <f>'Calculs dispo Données conso'!AT223</f>
        <v/>
      </c>
    </row>
    <row r="253" spans="3:65" s="358" customFormat="1" x14ac:dyDescent="0.2">
      <c r="C253" s="374"/>
      <c r="D253" s="610" t="s">
        <v>266</v>
      </c>
      <c r="E253" s="376" t="s">
        <v>269</v>
      </c>
      <c r="F253" s="377" t="str">
        <f>'TRAD-Calculs dispo confrontatio'!B42</f>
        <v>Cp</v>
      </c>
      <c r="G253" s="377" t="s">
        <v>39</v>
      </c>
      <c r="H253" s="378" t="s">
        <v>268</v>
      </c>
      <c r="I253" s="378" t="str">
        <f t="shared" ref="I253" si="72">CONCATENATE(E253, " - ", G253, " - Bte/", M253)</f>
        <v>RLT - 400 mg - Bte/60</v>
      </c>
      <c r="J253" s="378"/>
      <c r="K253" s="612">
        <v>2</v>
      </c>
      <c r="L253" s="612">
        <f t="shared" si="68"/>
        <v>60</v>
      </c>
      <c r="M253" s="613">
        <v>60</v>
      </c>
      <c r="N253" s="614">
        <f t="shared" si="69"/>
        <v>1</v>
      </c>
      <c r="O253" s="231" t="e">
        <f>'Calculs dispo Données FA'!Q222</f>
        <v>#DIV/0!</v>
      </c>
      <c r="P253" s="236" t="e">
        <f>'Calculs dispo Données FA'!R222</f>
        <v>#DIV/0!</v>
      </c>
      <c r="Q253" s="425" t="e">
        <f>'Calculs dispo Données FA'!S222</f>
        <v>#DIV/0!</v>
      </c>
      <c r="R253" s="247" t="e">
        <f>'Calculs dispo Données FA'!T222</f>
        <v>#DIV/0!</v>
      </c>
      <c r="S253" s="248" t="e">
        <f>'Calculs dispo Données FA'!U222</f>
        <v>#DIV/0!</v>
      </c>
      <c r="U253" s="231" t="str">
        <f>'Calculs dispo Données FA'!W222</f>
        <v/>
      </c>
      <c r="V253" s="236" t="str">
        <f>'Calculs dispo Données FA'!X222</f>
        <v/>
      </c>
      <c r="W253" s="425" t="str">
        <f>'Calculs dispo Données FA'!Y222</f>
        <v/>
      </c>
      <c r="X253" s="247" t="str">
        <f>'Calculs dispo Données FA'!Z222</f>
        <v/>
      </c>
      <c r="Y253" s="248" t="str">
        <f>'Calculs dispo Données FA'!AA222</f>
        <v/>
      </c>
      <c r="AA253" s="231" t="e">
        <f>'Calculs dispo Données FA'!AC222</f>
        <v>#DIV/0!</v>
      </c>
      <c r="AB253" s="236" t="e">
        <f>'Calculs dispo Données FA'!AD222</f>
        <v>#DIV/0!</v>
      </c>
      <c r="AC253" s="425" t="e">
        <f>'Calculs dispo Données FA'!AE222</f>
        <v>#DIV/0!</v>
      </c>
      <c r="AD253" s="425" t="e">
        <f>'Calculs dispo Données FA'!AF222</f>
        <v>#DIV/0!</v>
      </c>
      <c r="AE253" s="247" t="e">
        <f>'Calculs dispo Données FA'!AG222</f>
        <v>#DIV/0!</v>
      </c>
      <c r="AF253" s="248" t="e">
        <f>'Calculs dispo Données FA'!AH222</f>
        <v>#DIV/0!</v>
      </c>
      <c r="AH253" s="231" t="str">
        <f>'Calculs dispo Données FA'!AO222</f>
        <v/>
      </c>
      <c r="AI253" s="236" t="str">
        <f>'Calculs dispo Données FA'!AP222</f>
        <v/>
      </c>
      <c r="AJ253" s="425" t="str">
        <f>'Calculs dispo Données FA'!AQ222</f>
        <v/>
      </c>
      <c r="AK253" s="425" t="str">
        <f>'Calculs dispo Données FA'!AR222</f>
        <v/>
      </c>
      <c r="AL253" s="247" t="str">
        <f>'Calculs dispo Données FA'!AS222</f>
        <v/>
      </c>
      <c r="AM253" s="248" t="str">
        <f>'Calculs dispo Données FA'!AT222</f>
        <v/>
      </c>
      <c r="AO253" s="231"/>
      <c r="AP253" s="555"/>
      <c r="AQ253" s="606"/>
      <c r="AR253" s="557"/>
      <c r="AS253" s="558"/>
      <c r="AT253" s="500"/>
      <c r="AU253" s="231"/>
      <c r="AV253" s="555"/>
      <c r="AW253" s="606"/>
      <c r="AX253" s="557"/>
      <c r="AY253" s="558"/>
      <c r="AZ253" s="500"/>
      <c r="BA253" s="231"/>
      <c r="BB253" s="555"/>
      <c r="BC253" s="606"/>
      <c r="BD253" s="606"/>
      <c r="BE253" s="557"/>
      <c r="BF253" s="558"/>
      <c r="BG253" s="500"/>
      <c r="BH253" s="231"/>
      <c r="BI253" s="555"/>
      <c r="BJ253" s="606"/>
      <c r="BK253" s="606"/>
      <c r="BL253" s="557"/>
      <c r="BM253" s="558"/>
    </row>
    <row r="254" spans="3:65" s="358" customFormat="1" ht="13.5" thickBot="1" x14ac:dyDescent="0.25">
      <c r="C254" s="404"/>
      <c r="D254" s="408"/>
      <c r="E254" s="409"/>
      <c r="F254" s="410"/>
      <c r="G254" s="410"/>
      <c r="H254" s="411"/>
      <c r="I254" s="411"/>
      <c r="J254" s="411"/>
      <c r="K254" s="411"/>
      <c r="L254" s="411"/>
      <c r="M254" s="312"/>
      <c r="N254" s="313"/>
      <c r="O254" s="539"/>
      <c r="P254" s="619"/>
      <c r="Q254" s="596"/>
      <c r="R254" s="608"/>
      <c r="S254" s="598"/>
      <c r="U254" s="539"/>
      <c r="V254" s="619"/>
      <c r="W254" s="596"/>
      <c r="X254" s="608"/>
      <c r="Y254" s="598"/>
      <c r="AA254" s="539"/>
      <c r="AB254" s="619"/>
      <c r="AC254" s="596"/>
      <c r="AD254" s="596"/>
      <c r="AE254" s="608"/>
      <c r="AF254" s="598"/>
      <c r="AH254" s="539"/>
      <c r="AI254" s="619"/>
      <c r="AJ254" s="596"/>
      <c r="AK254" s="596"/>
      <c r="AL254" s="608"/>
      <c r="AM254" s="598"/>
      <c r="AO254" s="539" t="e">
        <f>'Calculs dispo Données conso'!Q224</f>
        <v>#DIV/0!</v>
      </c>
      <c r="AP254" s="548" t="e">
        <f>'Calculs dispo Données conso'!R224</f>
        <v>#DIV/0!</v>
      </c>
      <c r="AQ254" s="540" t="e">
        <f>'Calculs dispo Données conso'!S224</f>
        <v>#DIV/0!</v>
      </c>
      <c r="AR254" s="861" t="e">
        <f>'Calculs dispo Données conso'!T224</f>
        <v>#DIV/0!</v>
      </c>
      <c r="AS254" s="858" t="e">
        <f>'Calculs dispo Données conso'!U224</f>
        <v>#DIV/0!</v>
      </c>
      <c r="AT254" s="500"/>
      <c r="AU254" s="539" t="str">
        <f>'Calculs dispo Données conso'!W224</f>
        <v/>
      </c>
      <c r="AV254" s="548" t="str">
        <f>'Calculs dispo Données conso'!X224</f>
        <v/>
      </c>
      <c r="AW254" s="540" t="str">
        <f>'Calculs dispo Données conso'!Y224</f>
        <v/>
      </c>
      <c r="AX254" s="861" t="str">
        <f>'Calculs dispo Données conso'!Z224</f>
        <v/>
      </c>
      <c r="AY254" s="858" t="str">
        <f>'Calculs dispo Données conso'!AA224</f>
        <v/>
      </c>
      <c r="AZ254" s="500"/>
      <c r="BA254" s="539" t="e">
        <f>'Calculs dispo Données conso'!AC224</f>
        <v>#DIV/0!</v>
      </c>
      <c r="BB254" s="548" t="e">
        <f>'Calculs dispo Données conso'!AD224</f>
        <v>#DIV/0!</v>
      </c>
      <c r="BC254" s="540" t="e">
        <f>'Calculs dispo Données conso'!AE224</f>
        <v>#DIV/0!</v>
      </c>
      <c r="BD254" s="540" t="e">
        <f>'Calculs dispo Données conso'!AF224</f>
        <v>#DIV/0!</v>
      </c>
      <c r="BE254" s="861" t="e">
        <f>'Calculs dispo Données conso'!AG224</f>
        <v>#DIV/0!</v>
      </c>
      <c r="BF254" s="858" t="e">
        <f>'Calculs dispo Données conso'!AH224</f>
        <v>#DIV/0!</v>
      </c>
      <c r="BG254" s="500"/>
      <c r="BH254" s="539" t="str">
        <f>'Calculs dispo Données conso'!AO224</f>
        <v/>
      </c>
      <c r="BI254" s="548" t="str">
        <f>'Calculs dispo Données conso'!AP224</f>
        <v/>
      </c>
      <c r="BJ254" s="540" t="str">
        <f>'Calculs dispo Données conso'!AQ224</f>
        <v/>
      </c>
      <c r="BK254" s="540" t="str">
        <f>'Calculs dispo Données conso'!AR224</f>
        <v/>
      </c>
      <c r="BL254" s="861" t="str">
        <f>'Calculs dispo Données conso'!AS224</f>
        <v/>
      </c>
      <c r="BM254" s="858" t="str">
        <f>'Calculs dispo Données conso'!AT224</f>
        <v/>
      </c>
    </row>
    <row r="255" spans="3:65" s="358" customFormat="1" ht="77.25" thickBot="1" x14ac:dyDescent="0.25">
      <c r="C255" s="405" t="str">
        <f>'TRAD-Calculs dispo confrontatio'!B30</f>
        <v>Classe forme galénique</v>
      </c>
      <c r="D255" s="406" t="str">
        <f>'TRAD-Calculs dispo confrontatio'!B31</f>
        <v>Classe thérapeutique</v>
      </c>
      <c r="E255" s="364" t="str">
        <f>'TRAD-Calculs dispo confrontatio'!B5</f>
        <v>Composition</v>
      </c>
      <c r="F255" s="365" t="str">
        <f>'TRAD-Calculs dispo confrontatio'!B6</f>
        <v>Forme galénique</v>
      </c>
      <c r="G255" s="365" t="str">
        <f>'TRAD-Calculs dispo confrontatio'!B7</f>
        <v>Dosage</v>
      </c>
      <c r="H255" s="365" t="str">
        <f>'TRAD-Calculs dispo confrontatio'!B8</f>
        <v>Nom de spécialité</v>
      </c>
      <c r="I255" s="365" t="str">
        <f>'TRAD-Calculs dispo confrontatio'!B9</f>
        <v>Nom pour représentation graphique</v>
      </c>
      <c r="J255" s="365"/>
      <c r="K255" s="365"/>
      <c r="L255" s="365"/>
      <c r="M255" s="365" t="str">
        <f>'TRAD-Calculs dispo confrontatio'!B22</f>
        <v>Volume conditionnement primaire (mL)</v>
      </c>
      <c r="N255" s="327" t="str">
        <f>'TRAD-Calculs dispo confrontatio'!B23</f>
        <v>Conditionement secondaire</v>
      </c>
      <c r="O255" s="347" t="str">
        <f>'TRAD-Calculs dispo confrontatio'!B15</f>
        <v>Nb mois dispo - Données FA</v>
      </c>
      <c r="P255" s="347" t="str">
        <f>'TRAD-Calculs dispo confrontatio'!B16</f>
        <v>Nb mois dispo hors SS - Données FA</v>
      </c>
      <c r="Q255" s="327" t="str">
        <f>'TRAD-Calculs dispo confrontatio'!B17</f>
        <v>Nb mois dispo SS - Données FA</v>
      </c>
      <c r="R255" s="348" t="str">
        <f>'TRAD-Calculs dispo confrontatio'!B18</f>
        <v>Date d'entrée en stock de sécurité</v>
      </c>
      <c r="S255" s="349" t="str">
        <f>'TRAD-Calculs dispo confrontatio'!B19</f>
        <v>Date de rupture attendue</v>
      </c>
      <c r="U255" s="347" t="str">
        <f>'TRAD-Calculs dispo confrontatio'!B15</f>
        <v>Nb mois dispo - Données FA</v>
      </c>
      <c r="V255" s="347" t="str">
        <f>'TRAD-Calculs dispo confrontatio'!B16</f>
        <v>Nb mois dispo hors SS - Données FA</v>
      </c>
      <c r="W255" s="327" t="str">
        <f>'TRAD-Calculs dispo confrontatio'!B17</f>
        <v>Nb mois dispo SS - Données FA</v>
      </c>
      <c r="X255" s="348" t="str">
        <f>'TRAD-Calculs dispo confrontatio'!B18</f>
        <v>Date d'entrée en stock de sécurité</v>
      </c>
      <c r="Y255" s="349" t="str">
        <f>'TRAD-Calculs dispo confrontatio'!B19</f>
        <v>Date de rupture attendue</v>
      </c>
      <c r="AA255" s="347" t="str">
        <f>'TRAD-Calculs dispo confrontatio'!B32</f>
        <v>Nb mois stock / commande attendue - Données FA</v>
      </c>
      <c r="AB255" s="347" t="str">
        <f>'TRAD-Calculs dispo confrontatio'!B33</f>
        <v>Nb mois dispo hors SS / Commande - Données FA</v>
      </c>
      <c r="AC255" s="327" t="str">
        <f>'TRAD-Calculs dispo confrontatio'!B34</f>
        <v>Nb mois dispo SS / Commande - Données FA</v>
      </c>
      <c r="AD255" s="327" t="str">
        <f>'TRAD-Calculs dispo confrontatio'!B35</f>
        <v>Delta sur commande / SS</v>
      </c>
      <c r="AE255" s="348" t="str">
        <f>'TRAD-Calculs dispo confrontatio'!B18</f>
        <v>Date d'entrée en stock de sécurité</v>
      </c>
      <c r="AF255" s="349" t="str">
        <f>'TRAD-Calculs dispo confrontatio'!B19</f>
        <v>Date de rupture attendue</v>
      </c>
      <c r="AH255" s="347" t="str">
        <f>'TRAD-Calculs dispo confrontatio'!B32</f>
        <v>Nb mois stock / commande attendue - Données FA</v>
      </c>
      <c r="AI255" s="347" t="str">
        <f>'TRAD-Calculs dispo confrontatio'!B33</f>
        <v>Nb mois dispo hors SS / Commande - Données FA</v>
      </c>
      <c r="AJ255" s="327" t="str">
        <f>'TRAD-Calculs dispo confrontatio'!B34</f>
        <v>Nb mois dispo SS / Commande - Données FA</v>
      </c>
      <c r="AK255" s="327" t="str">
        <f>'TRAD-Calculs dispo confrontatio'!B35</f>
        <v>Delta sur commande / SS</v>
      </c>
      <c r="AL255" s="348" t="str">
        <f>'TRAD-Calculs dispo confrontatio'!B18</f>
        <v>Date d'entrée en stock de sécurité</v>
      </c>
      <c r="AM255" s="349" t="str">
        <f>'TRAD-Calculs dispo confrontatio'!B19</f>
        <v>Date de rupture attendue</v>
      </c>
      <c r="AO255" s="347" t="str">
        <f>'TRAD-Calculs dispo confrontatio'!B24</f>
        <v>Nb mois dispo - Données Conso/Distri</v>
      </c>
      <c r="AP255" s="347" t="str">
        <f>'TRAD-Calculs dispo confrontatio'!B25</f>
        <v>Nb mois dispo hors SS - Données Conso/Distri</v>
      </c>
      <c r="AQ255" s="327" t="str">
        <f>'TRAD-Calculs dispo confrontatio'!B26</f>
        <v>Nb mois dispo SS - Données Conso/Distri</v>
      </c>
      <c r="AR255" s="348" t="str">
        <f>'Calculs dispo Données conso'!T225</f>
        <v>Date d'entrée en stock tampon</v>
      </c>
      <c r="AS255" s="349" t="str">
        <f>'Calculs dispo Données conso'!U225</f>
        <v>Date de rupture attendue</v>
      </c>
      <c r="AT255" s="500"/>
      <c r="AU255" s="347" t="str">
        <f>'TRAD-Calculs dispo confrontatio'!B24</f>
        <v>Nb mois dispo - Données Conso/Distri</v>
      </c>
      <c r="AV255" s="347" t="str">
        <f>'TRAD-Calculs dispo confrontatio'!B25</f>
        <v>Nb mois dispo hors SS - Données Conso/Distri</v>
      </c>
      <c r="AW255" s="327" t="str">
        <f>'TRAD-Calculs dispo confrontatio'!B26</f>
        <v>Nb mois dispo SS - Données Conso/Distri</v>
      </c>
      <c r="AX255" s="348" t="str">
        <f>'Calculs dispo Données conso'!Z225</f>
        <v>Date d'entrée en stock tampon</v>
      </c>
      <c r="AY255" s="349" t="str">
        <f>'Calculs dispo Données conso'!AA225</f>
        <v>Date de rupture attendue</v>
      </c>
      <c r="AZ255" s="500"/>
      <c r="BA255" s="347" t="str">
        <f>'TRAD-Calculs dispo confrontatio'!B36</f>
        <v>Nb mois stock / commande attendue - Données Conso/Distri</v>
      </c>
      <c r="BB255" s="347" t="str">
        <f>'Calculs dispo Données conso'!AD225</f>
        <v>Nombre de mois de disponibilité de produits hors ST</v>
      </c>
      <c r="BC255" s="327" t="str">
        <f>'Calculs dispo Données conso'!AE225</f>
        <v>Nombre de mois de stock tampon (ST)</v>
      </c>
      <c r="BD255" s="327" t="str">
        <f>'Calculs dispo Données conso'!AF225</f>
        <v>Delta sur commande / ST</v>
      </c>
      <c r="BE255" s="348" t="str">
        <f>'Calculs dispo Données conso'!AG225</f>
        <v>Date d'entrée en stock tampon</v>
      </c>
      <c r="BF255" s="349" t="str">
        <f>'Calculs dispo Données conso'!AH225</f>
        <v>Date de rupture attendue</v>
      </c>
      <c r="BG255" s="500"/>
      <c r="BH255" s="347" t="str">
        <f>'TRAD-Calculs dispo confrontatio'!B36</f>
        <v>Nb mois stock / commande attendue - Données Conso/Distri</v>
      </c>
      <c r="BI255" s="347" t="str">
        <f>'Calculs dispo Données conso'!AP225</f>
        <v>Nombre de mois de disponibilité de produits hors ST</v>
      </c>
      <c r="BJ255" s="327" t="str">
        <f>'Calculs dispo Données conso'!AQ225</f>
        <v>Nombre de mois de stock tampon (ST)</v>
      </c>
      <c r="BK255" s="327" t="str">
        <f>'Calculs dispo Données conso'!AR225</f>
        <v>Delta sur commande / ST</v>
      </c>
      <c r="BL255" s="348" t="str">
        <f>'Calculs dispo Données conso'!AS225</f>
        <v>Date d'entrée en stock tampon</v>
      </c>
      <c r="BM255" s="349" t="str">
        <f>'Calculs dispo Données conso'!AT225</f>
        <v>Date de rupture attendue</v>
      </c>
    </row>
    <row r="256" spans="3:65" s="358" customFormat="1" x14ac:dyDescent="0.2">
      <c r="C256" s="366" t="str">
        <f>'TRAD-Calculs dispo confrontatio'!B39</f>
        <v>Solutions buvables</v>
      </c>
      <c r="D256" s="367" t="s">
        <v>31</v>
      </c>
      <c r="E256" s="368" t="s">
        <v>32</v>
      </c>
      <c r="F256" s="369" t="str">
        <f>'TRAD-Calculs dispo confrontatio'!B41</f>
        <v>sol buv</v>
      </c>
      <c r="G256" s="369" t="s">
        <v>80</v>
      </c>
      <c r="H256" s="370" t="s">
        <v>81</v>
      </c>
      <c r="I256" s="370" t="str">
        <f t="shared" ref="I256:I270" si="73">CONCATENATE(E256, " - ", G256, " - Fl/", M256, "mL")</f>
        <v>AZT - 10 mg/mL - Fl/30mL</v>
      </c>
      <c r="J256" s="370"/>
      <c r="K256" s="370"/>
      <c r="L256" s="370"/>
      <c r="M256" s="113">
        <f>'Saisie données stocks'!L94</f>
        <v>30</v>
      </c>
      <c r="N256" s="300">
        <f>'Saisie données stocks'!M94</f>
        <v>0</v>
      </c>
      <c r="O256" s="231" t="e">
        <f>'Calculs dispo Données FA'!Q224</f>
        <v>#DIV/0!</v>
      </c>
      <c r="P256" s="235" t="e">
        <f>'Calculs dispo Données FA'!R224</f>
        <v>#DIV/0!</v>
      </c>
      <c r="Q256" s="240" t="e">
        <f>'Calculs dispo Données FA'!S224</f>
        <v>#DIV/0!</v>
      </c>
      <c r="R256" s="245" t="e">
        <f>'Calculs dispo Données FA'!T224</f>
        <v>#DIV/0!</v>
      </c>
      <c r="S256" s="246" t="e">
        <f>'Calculs dispo Données FA'!U224</f>
        <v>#DIV/0!</v>
      </c>
      <c r="U256" s="231" t="str">
        <f>'Calculs dispo Données FA'!W224</f>
        <v/>
      </c>
      <c r="V256" s="235" t="str">
        <f>'Calculs dispo Données FA'!X224</f>
        <v/>
      </c>
      <c r="W256" s="240" t="str">
        <f>'Calculs dispo Données FA'!Y224</f>
        <v/>
      </c>
      <c r="X256" s="245" t="str">
        <f>'Calculs dispo Données FA'!Z224</f>
        <v/>
      </c>
      <c r="Y256" s="246" t="str">
        <f>'Calculs dispo Données FA'!AA224</f>
        <v/>
      </c>
      <c r="AA256" s="231" t="e">
        <f>'Calculs dispo Données FA'!AC224</f>
        <v>#DIV/0!</v>
      </c>
      <c r="AB256" s="235" t="e">
        <f>'Calculs dispo Données FA'!AD224</f>
        <v>#DIV/0!</v>
      </c>
      <c r="AC256" s="240" t="e">
        <f>'Calculs dispo Données FA'!AE224</f>
        <v>#DIV/0!</v>
      </c>
      <c r="AD256" s="240" t="e">
        <f>'Calculs dispo Données FA'!AF224</f>
        <v>#VALUE!</v>
      </c>
      <c r="AE256" s="245" t="e">
        <f>'Calculs dispo Données FA'!AG224</f>
        <v>#DIV/0!</v>
      </c>
      <c r="AF256" s="246" t="e">
        <f>'Calculs dispo Données FA'!AH224</f>
        <v>#DIV/0!</v>
      </c>
      <c r="AH256" s="231" t="str">
        <f>'Calculs dispo Données FA'!AO224</f>
        <v/>
      </c>
      <c r="AI256" s="235" t="str">
        <f>'Calculs dispo Données FA'!AP224</f>
        <v/>
      </c>
      <c r="AJ256" s="240" t="str">
        <f>'Calculs dispo Données FA'!AQ224</f>
        <v/>
      </c>
      <c r="AK256" s="240" t="str">
        <f>'Calculs dispo Données FA'!AR224</f>
        <v/>
      </c>
      <c r="AL256" s="245" t="str">
        <f>'Calculs dispo Données FA'!AS224</f>
        <v/>
      </c>
      <c r="AM256" s="246" t="str">
        <f>'Calculs dispo Données FA'!AT224</f>
        <v/>
      </c>
      <c r="AO256" s="231"/>
      <c r="AP256" s="559"/>
      <c r="AQ256" s="560"/>
      <c r="AR256" s="561"/>
      <c r="AS256" s="562"/>
      <c r="AT256" s="500"/>
      <c r="AU256" s="231"/>
      <c r="AV256" s="559"/>
      <c r="AW256" s="560"/>
      <c r="AX256" s="561"/>
      <c r="AY256" s="562"/>
      <c r="AZ256" s="500"/>
      <c r="BA256" s="231"/>
      <c r="BB256" s="559"/>
      <c r="BC256" s="560"/>
      <c r="BD256" s="560"/>
      <c r="BE256" s="561"/>
      <c r="BF256" s="562"/>
      <c r="BG256" s="500"/>
      <c r="BH256" s="231"/>
      <c r="BI256" s="559"/>
      <c r="BJ256" s="560"/>
      <c r="BK256" s="560"/>
      <c r="BL256" s="561"/>
      <c r="BM256" s="562"/>
    </row>
    <row r="257" spans="1:65" s="358" customFormat="1" x14ac:dyDescent="0.2">
      <c r="C257" s="374"/>
      <c r="D257" s="375"/>
      <c r="E257" s="376"/>
      <c r="F257" s="377"/>
      <c r="G257" s="377"/>
      <c r="H257" s="378"/>
      <c r="I257" s="378"/>
      <c r="J257" s="378"/>
      <c r="K257" s="378"/>
      <c r="L257" s="378"/>
      <c r="M257" s="114"/>
      <c r="N257" s="308"/>
      <c r="O257" s="231"/>
      <c r="P257" s="555"/>
      <c r="Q257" s="556"/>
      <c r="R257" s="557"/>
      <c r="S257" s="558"/>
      <c r="U257" s="231"/>
      <c r="V257" s="555"/>
      <c r="W257" s="556"/>
      <c r="X257" s="557"/>
      <c r="Y257" s="558"/>
      <c r="AA257" s="231"/>
      <c r="AB257" s="555"/>
      <c r="AC257" s="556"/>
      <c r="AD257" s="556"/>
      <c r="AE257" s="557"/>
      <c r="AF257" s="558"/>
      <c r="AH257" s="231"/>
      <c r="AI257" s="555"/>
      <c r="AJ257" s="556"/>
      <c r="AK257" s="556"/>
      <c r="AL257" s="557"/>
      <c r="AM257" s="558"/>
      <c r="AO257" s="231" t="e">
        <f>'Calculs dispo Données conso'!Q226</f>
        <v>#DIV/0!</v>
      </c>
      <c r="AP257" s="236" t="e">
        <f>'Calculs dispo Données conso'!R226</f>
        <v>#DIV/0!</v>
      </c>
      <c r="AQ257" s="241" t="e">
        <f>'Calculs dispo Données conso'!S226</f>
        <v>#DIV/0!</v>
      </c>
      <c r="AR257" s="849" t="e">
        <f>'Calculs dispo Données conso'!T226</f>
        <v>#DIV/0!</v>
      </c>
      <c r="AS257" s="850" t="e">
        <f>'Calculs dispo Données conso'!U226</f>
        <v>#DIV/0!</v>
      </c>
      <c r="AT257" s="500"/>
      <c r="AU257" s="231" t="str">
        <f>'Calculs dispo Données conso'!W226</f>
        <v/>
      </c>
      <c r="AV257" s="236" t="str">
        <f>'Calculs dispo Données conso'!X226</f>
        <v/>
      </c>
      <c r="AW257" s="241" t="str">
        <f>'Calculs dispo Données conso'!Y226</f>
        <v/>
      </c>
      <c r="AX257" s="849" t="str">
        <f>'Calculs dispo Données conso'!Z226</f>
        <v/>
      </c>
      <c r="AY257" s="850" t="str">
        <f>'Calculs dispo Données conso'!AA226</f>
        <v/>
      </c>
      <c r="AZ257" s="500"/>
      <c r="BA257" s="231" t="e">
        <f>'Calculs dispo Données conso'!AC226</f>
        <v>#DIV/0!</v>
      </c>
      <c r="BB257" s="236" t="e">
        <f>'Calculs dispo Données conso'!AD226</f>
        <v>#DIV/0!</v>
      </c>
      <c r="BC257" s="241" t="e">
        <f>'Calculs dispo Données conso'!AE226</f>
        <v>#DIV/0!</v>
      </c>
      <c r="BD257" s="241" t="e">
        <f>'Calculs dispo Données conso'!AF226</f>
        <v>#VALUE!</v>
      </c>
      <c r="BE257" s="849" t="e">
        <f>'Calculs dispo Données conso'!AG226</f>
        <v>#DIV/0!</v>
      </c>
      <c r="BF257" s="850" t="e">
        <f>'Calculs dispo Données conso'!AH226</f>
        <v>#DIV/0!</v>
      </c>
      <c r="BG257" s="500"/>
      <c r="BH257" s="231" t="str">
        <f>'Calculs dispo Données conso'!AO226</f>
        <v/>
      </c>
      <c r="BI257" s="236" t="str">
        <f>'Calculs dispo Données conso'!AP226</f>
        <v/>
      </c>
      <c r="BJ257" s="241" t="str">
        <f>'Calculs dispo Données conso'!AQ226</f>
        <v/>
      </c>
      <c r="BK257" s="241" t="str">
        <f>'Calculs dispo Données conso'!AR226</f>
        <v/>
      </c>
      <c r="BL257" s="849" t="str">
        <f>'Calculs dispo Données conso'!AS226</f>
        <v/>
      </c>
      <c r="BM257" s="850" t="str">
        <f>'Calculs dispo Données conso'!AT226</f>
        <v/>
      </c>
    </row>
    <row r="258" spans="1:65" s="358" customFormat="1" x14ac:dyDescent="0.2">
      <c r="C258" s="374"/>
      <c r="D258" s="375"/>
      <c r="E258" s="376" t="s">
        <v>82</v>
      </c>
      <c r="F258" s="377" t="str">
        <f>'TRAD-Calculs dispo confrontatio'!B41</f>
        <v>sol buv</v>
      </c>
      <c r="G258" s="377" t="s">
        <v>80</v>
      </c>
      <c r="H258" s="378" t="s">
        <v>83</v>
      </c>
      <c r="I258" s="378" t="str">
        <f t="shared" si="73"/>
        <v>D4T - 10 mg/mL - Fl/30mL</v>
      </c>
      <c r="J258" s="378"/>
      <c r="K258" s="378"/>
      <c r="L258" s="378"/>
      <c r="M258" s="114">
        <f>'Saisie données stocks'!L95</f>
        <v>30</v>
      </c>
      <c r="N258" s="308">
        <f>'Saisie données stocks'!M95</f>
        <v>0</v>
      </c>
      <c r="O258" s="231" t="e">
        <f>'Calculs dispo Données FA'!Q225</f>
        <v>#DIV/0!</v>
      </c>
      <c r="P258" s="236" t="e">
        <f>'Calculs dispo Données FA'!R225</f>
        <v>#DIV/0!</v>
      </c>
      <c r="Q258" s="241" t="e">
        <f>'Calculs dispo Données FA'!S225</f>
        <v>#DIV/0!</v>
      </c>
      <c r="R258" s="247" t="e">
        <f>'Calculs dispo Données FA'!T225</f>
        <v>#DIV/0!</v>
      </c>
      <c r="S258" s="248" t="e">
        <f>'Calculs dispo Données FA'!U225</f>
        <v>#DIV/0!</v>
      </c>
      <c r="U258" s="231" t="str">
        <f>'Calculs dispo Données FA'!W225</f>
        <v/>
      </c>
      <c r="V258" s="236" t="str">
        <f>'Calculs dispo Données FA'!X225</f>
        <v/>
      </c>
      <c r="W258" s="241" t="str">
        <f>'Calculs dispo Données FA'!Y225</f>
        <v/>
      </c>
      <c r="X258" s="247" t="str">
        <f>'Calculs dispo Données FA'!Z225</f>
        <v/>
      </c>
      <c r="Y258" s="248" t="str">
        <f>'Calculs dispo Données FA'!AA225</f>
        <v/>
      </c>
      <c r="AA258" s="231" t="e">
        <f>'Calculs dispo Données FA'!AC225</f>
        <v>#DIV/0!</v>
      </c>
      <c r="AB258" s="236" t="e">
        <f>'Calculs dispo Données FA'!AD225</f>
        <v>#DIV/0!</v>
      </c>
      <c r="AC258" s="241" t="e">
        <f>'Calculs dispo Données FA'!AE225</f>
        <v>#DIV/0!</v>
      </c>
      <c r="AD258" s="241" t="e">
        <f>'Calculs dispo Données FA'!AF225</f>
        <v>#VALUE!</v>
      </c>
      <c r="AE258" s="247" t="e">
        <f>'Calculs dispo Données FA'!AG225</f>
        <v>#DIV/0!</v>
      </c>
      <c r="AF258" s="248" t="e">
        <f>'Calculs dispo Données FA'!AH225</f>
        <v>#DIV/0!</v>
      </c>
      <c r="AH258" s="231" t="str">
        <f>'Calculs dispo Données FA'!AO225</f>
        <v/>
      </c>
      <c r="AI258" s="236" t="str">
        <f>'Calculs dispo Données FA'!AP225</f>
        <v/>
      </c>
      <c r="AJ258" s="241" t="str">
        <f>'Calculs dispo Données FA'!AQ225</f>
        <v/>
      </c>
      <c r="AK258" s="241" t="str">
        <f>'Calculs dispo Données FA'!AR225</f>
        <v/>
      </c>
      <c r="AL258" s="247" t="str">
        <f>'Calculs dispo Données FA'!AS225</f>
        <v/>
      </c>
      <c r="AM258" s="248" t="str">
        <f>'Calculs dispo Données FA'!AT225</f>
        <v/>
      </c>
      <c r="AO258" s="231"/>
      <c r="AP258" s="555"/>
      <c r="AQ258" s="556"/>
      <c r="AR258" s="557"/>
      <c r="AS258" s="558"/>
      <c r="AT258" s="500"/>
      <c r="AU258" s="231"/>
      <c r="AV258" s="555"/>
      <c r="AW258" s="556"/>
      <c r="AX258" s="557"/>
      <c r="AY258" s="558"/>
      <c r="AZ258" s="500"/>
      <c r="BA258" s="231"/>
      <c r="BB258" s="555"/>
      <c r="BC258" s="556"/>
      <c r="BD258" s="556"/>
      <c r="BE258" s="557"/>
      <c r="BF258" s="558"/>
      <c r="BG258" s="500"/>
      <c r="BH258" s="231"/>
      <c r="BI258" s="555"/>
      <c r="BJ258" s="556"/>
      <c r="BK258" s="556"/>
      <c r="BL258" s="557"/>
      <c r="BM258" s="558"/>
    </row>
    <row r="259" spans="1:65" s="358" customFormat="1" x14ac:dyDescent="0.2">
      <c r="C259" s="374"/>
      <c r="D259" s="375"/>
      <c r="E259" s="376"/>
      <c r="F259" s="377"/>
      <c r="G259" s="377"/>
      <c r="H259" s="378"/>
      <c r="I259" s="378"/>
      <c r="J259" s="378"/>
      <c r="K259" s="378"/>
      <c r="L259" s="378"/>
      <c r="M259" s="114"/>
      <c r="N259" s="308"/>
      <c r="O259" s="231"/>
      <c r="P259" s="555"/>
      <c r="Q259" s="556"/>
      <c r="R259" s="557"/>
      <c r="S259" s="558"/>
      <c r="U259" s="231"/>
      <c r="V259" s="555"/>
      <c r="W259" s="556"/>
      <c r="X259" s="557"/>
      <c r="Y259" s="558"/>
      <c r="AA259" s="231"/>
      <c r="AB259" s="555"/>
      <c r="AC259" s="556"/>
      <c r="AD259" s="556"/>
      <c r="AE259" s="557"/>
      <c r="AF259" s="558"/>
      <c r="AH259" s="231"/>
      <c r="AI259" s="555"/>
      <c r="AJ259" s="556"/>
      <c r="AK259" s="556"/>
      <c r="AL259" s="557"/>
      <c r="AM259" s="558"/>
      <c r="AO259" s="231" t="e">
        <f>'Calculs dispo Données conso'!Q227</f>
        <v>#DIV/0!</v>
      </c>
      <c r="AP259" s="236" t="e">
        <f>'Calculs dispo Données conso'!R227</f>
        <v>#DIV/0!</v>
      </c>
      <c r="AQ259" s="241" t="e">
        <f>'Calculs dispo Données conso'!S227</f>
        <v>#DIV/0!</v>
      </c>
      <c r="AR259" s="849" t="e">
        <f>'Calculs dispo Données conso'!T227</f>
        <v>#DIV/0!</v>
      </c>
      <c r="AS259" s="850" t="e">
        <f>'Calculs dispo Données conso'!U227</f>
        <v>#DIV/0!</v>
      </c>
      <c r="AT259" s="500"/>
      <c r="AU259" s="231" t="str">
        <f>'Calculs dispo Données conso'!W227</f>
        <v/>
      </c>
      <c r="AV259" s="236" t="str">
        <f>'Calculs dispo Données conso'!X227</f>
        <v/>
      </c>
      <c r="AW259" s="241" t="str">
        <f>'Calculs dispo Données conso'!Y227</f>
        <v/>
      </c>
      <c r="AX259" s="849" t="str">
        <f>'Calculs dispo Données conso'!Z227</f>
        <v/>
      </c>
      <c r="AY259" s="850" t="str">
        <f>'Calculs dispo Données conso'!AA227</f>
        <v/>
      </c>
      <c r="AZ259" s="500"/>
      <c r="BA259" s="231" t="e">
        <f>'Calculs dispo Données conso'!AC227</f>
        <v>#DIV/0!</v>
      </c>
      <c r="BB259" s="236" t="e">
        <f>'Calculs dispo Données conso'!AD227</f>
        <v>#DIV/0!</v>
      </c>
      <c r="BC259" s="241" t="e">
        <f>'Calculs dispo Données conso'!AE227</f>
        <v>#DIV/0!</v>
      </c>
      <c r="BD259" s="241" t="e">
        <f>'Calculs dispo Données conso'!AF227</f>
        <v>#VALUE!</v>
      </c>
      <c r="BE259" s="849" t="e">
        <f>'Calculs dispo Données conso'!AG227</f>
        <v>#DIV/0!</v>
      </c>
      <c r="BF259" s="850" t="e">
        <f>'Calculs dispo Données conso'!AH227</f>
        <v>#DIV/0!</v>
      </c>
      <c r="BG259" s="500"/>
      <c r="BH259" s="231" t="str">
        <f>'Calculs dispo Données conso'!AO227</f>
        <v/>
      </c>
      <c r="BI259" s="236" t="str">
        <f>'Calculs dispo Données conso'!AP227</f>
        <v/>
      </c>
      <c r="BJ259" s="241" t="str">
        <f>'Calculs dispo Données conso'!AQ227</f>
        <v/>
      </c>
      <c r="BK259" s="241" t="str">
        <f>'Calculs dispo Données conso'!AR227</f>
        <v/>
      </c>
      <c r="BL259" s="849" t="str">
        <f>'Calculs dispo Données conso'!AS227</f>
        <v/>
      </c>
      <c r="BM259" s="850" t="str">
        <f>'Calculs dispo Données conso'!AT227</f>
        <v/>
      </c>
    </row>
    <row r="260" spans="1:65" s="358" customFormat="1" x14ac:dyDescent="0.2">
      <c r="C260" s="374"/>
      <c r="D260" s="375"/>
      <c r="E260" s="382" t="s">
        <v>34</v>
      </c>
      <c r="F260" s="383" t="str">
        <f>'TRAD-Calculs dispo confrontatio'!B41</f>
        <v>sol buv</v>
      </c>
      <c r="G260" s="383" t="s">
        <v>80</v>
      </c>
      <c r="H260" s="384" t="s">
        <v>84</v>
      </c>
      <c r="I260" s="384" t="str">
        <f t="shared" si="73"/>
        <v>3TC - 10 mg/mL - Fl/30mL</v>
      </c>
      <c r="J260" s="384"/>
      <c r="K260" s="384"/>
      <c r="L260" s="384"/>
      <c r="M260" s="115">
        <f>'Saisie données stocks'!L96</f>
        <v>30</v>
      </c>
      <c r="N260" s="304">
        <f>'Saisie données stocks'!M96</f>
        <v>0</v>
      </c>
      <c r="O260" s="231" t="e">
        <f>'Calculs dispo Données FA'!Q226</f>
        <v>#DIV/0!</v>
      </c>
      <c r="P260" s="237" t="e">
        <f>'Calculs dispo Données FA'!R226</f>
        <v>#DIV/0!</v>
      </c>
      <c r="Q260" s="242" t="e">
        <f>'Calculs dispo Données FA'!S226</f>
        <v>#DIV/0!</v>
      </c>
      <c r="R260" s="249" t="e">
        <f>'Calculs dispo Données FA'!T226</f>
        <v>#DIV/0!</v>
      </c>
      <c r="S260" s="250" t="e">
        <f>'Calculs dispo Données FA'!U226</f>
        <v>#DIV/0!</v>
      </c>
      <c r="U260" s="231" t="str">
        <f>'Calculs dispo Données FA'!W226</f>
        <v/>
      </c>
      <c r="V260" s="237" t="str">
        <f>'Calculs dispo Données FA'!X226</f>
        <v/>
      </c>
      <c r="W260" s="242" t="str">
        <f>'Calculs dispo Données FA'!Y226</f>
        <v/>
      </c>
      <c r="X260" s="249" t="str">
        <f>'Calculs dispo Données FA'!Z226</f>
        <v/>
      </c>
      <c r="Y260" s="250" t="str">
        <f>'Calculs dispo Données FA'!AA226</f>
        <v/>
      </c>
      <c r="AA260" s="231" t="e">
        <f>'Calculs dispo Données FA'!AC226</f>
        <v>#DIV/0!</v>
      </c>
      <c r="AB260" s="237" t="e">
        <f>'Calculs dispo Données FA'!AD226</f>
        <v>#DIV/0!</v>
      </c>
      <c r="AC260" s="242" t="e">
        <f>'Calculs dispo Données FA'!AE226</f>
        <v>#DIV/0!</v>
      </c>
      <c r="AD260" s="242" t="e">
        <f>'Calculs dispo Données FA'!AF226</f>
        <v>#VALUE!</v>
      </c>
      <c r="AE260" s="249" t="e">
        <f>'Calculs dispo Données FA'!AG226</f>
        <v>#DIV/0!</v>
      </c>
      <c r="AF260" s="250" t="e">
        <f>'Calculs dispo Données FA'!AH226</f>
        <v>#DIV/0!</v>
      </c>
      <c r="AH260" s="231" t="str">
        <f>'Calculs dispo Données FA'!AO226</f>
        <v/>
      </c>
      <c r="AI260" s="237" t="str">
        <f>'Calculs dispo Données FA'!AP226</f>
        <v/>
      </c>
      <c r="AJ260" s="242" t="str">
        <f>'Calculs dispo Données FA'!AQ226</f>
        <v/>
      </c>
      <c r="AK260" s="242" t="str">
        <f>'Calculs dispo Données FA'!AR226</f>
        <v/>
      </c>
      <c r="AL260" s="249" t="str">
        <f>'Calculs dispo Données FA'!AS226</f>
        <v/>
      </c>
      <c r="AM260" s="250" t="str">
        <f>'Calculs dispo Données FA'!AT226</f>
        <v/>
      </c>
      <c r="AO260" s="231"/>
      <c r="AP260" s="563"/>
      <c r="AQ260" s="564"/>
      <c r="AR260" s="565"/>
      <c r="AS260" s="566"/>
      <c r="AT260" s="500"/>
      <c r="AU260" s="231"/>
      <c r="AV260" s="563"/>
      <c r="AW260" s="564"/>
      <c r="AX260" s="565"/>
      <c r="AY260" s="566"/>
      <c r="AZ260" s="500"/>
      <c r="BA260" s="231"/>
      <c r="BB260" s="563"/>
      <c r="BC260" s="564"/>
      <c r="BD260" s="564"/>
      <c r="BE260" s="565"/>
      <c r="BF260" s="566"/>
      <c r="BG260" s="500"/>
      <c r="BH260" s="231"/>
      <c r="BI260" s="563"/>
      <c r="BJ260" s="564"/>
      <c r="BK260" s="564"/>
      <c r="BL260" s="565"/>
      <c r="BM260" s="566"/>
    </row>
    <row r="261" spans="1:65" s="358" customFormat="1" x14ac:dyDescent="0.2">
      <c r="C261" s="374"/>
      <c r="D261" s="375"/>
      <c r="E261" s="376"/>
      <c r="F261" s="377"/>
      <c r="G261" s="377"/>
      <c r="H261" s="378"/>
      <c r="I261" s="378"/>
      <c r="J261" s="378"/>
      <c r="K261" s="378"/>
      <c r="L261" s="378"/>
      <c r="M261" s="114"/>
      <c r="N261" s="308"/>
      <c r="O261" s="231"/>
      <c r="P261" s="555"/>
      <c r="Q261" s="556"/>
      <c r="R261" s="557"/>
      <c r="S261" s="558"/>
      <c r="U261" s="231"/>
      <c r="V261" s="555"/>
      <c r="W261" s="556"/>
      <c r="X261" s="557"/>
      <c r="Y261" s="558"/>
      <c r="AA261" s="231"/>
      <c r="AB261" s="555"/>
      <c r="AC261" s="556"/>
      <c r="AD261" s="556"/>
      <c r="AE261" s="557"/>
      <c r="AF261" s="558"/>
      <c r="AH261" s="231"/>
      <c r="AI261" s="555"/>
      <c r="AJ261" s="556"/>
      <c r="AK261" s="556"/>
      <c r="AL261" s="557"/>
      <c r="AM261" s="558"/>
      <c r="AO261" s="231" t="e">
        <f>'Calculs dispo Données conso'!Q228</f>
        <v>#DIV/0!</v>
      </c>
      <c r="AP261" s="236" t="e">
        <f>'Calculs dispo Données conso'!R228</f>
        <v>#DIV/0!</v>
      </c>
      <c r="AQ261" s="241" t="e">
        <f>'Calculs dispo Données conso'!S228</f>
        <v>#DIV/0!</v>
      </c>
      <c r="AR261" s="849" t="e">
        <f>'Calculs dispo Données conso'!T228</f>
        <v>#DIV/0!</v>
      </c>
      <c r="AS261" s="850" t="e">
        <f>'Calculs dispo Données conso'!U228</f>
        <v>#DIV/0!</v>
      </c>
      <c r="AT261" s="500"/>
      <c r="AU261" s="231" t="str">
        <f>'Calculs dispo Données conso'!W228</f>
        <v/>
      </c>
      <c r="AV261" s="236" t="str">
        <f>'Calculs dispo Données conso'!X228</f>
        <v/>
      </c>
      <c r="AW261" s="241" t="str">
        <f>'Calculs dispo Données conso'!Y228</f>
        <v/>
      </c>
      <c r="AX261" s="849" t="str">
        <f>'Calculs dispo Données conso'!Z228</f>
        <v/>
      </c>
      <c r="AY261" s="850" t="str">
        <f>'Calculs dispo Données conso'!AA228</f>
        <v/>
      </c>
      <c r="AZ261" s="500"/>
      <c r="BA261" s="231" t="e">
        <f>'Calculs dispo Données conso'!AC228</f>
        <v>#DIV/0!</v>
      </c>
      <c r="BB261" s="236" t="e">
        <f>'Calculs dispo Données conso'!AD228</f>
        <v>#DIV/0!</v>
      </c>
      <c r="BC261" s="241" t="e">
        <f>'Calculs dispo Données conso'!AE228</f>
        <v>#DIV/0!</v>
      </c>
      <c r="BD261" s="241" t="e">
        <f>'Calculs dispo Données conso'!AF228</f>
        <v>#VALUE!</v>
      </c>
      <c r="BE261" s="849" t="e">
        <f>'Calculs dispo Données conso'!AG228</f>
        <v>#DIV/0!</v>
      </c>
      <c r="BF261" s="850" t="e">
        <f>'Calculs dispo Données conso'!AH228</f>
        <v>#DIV/0!</v>
      </c>
      <c r="BG261" s="500"/>
      <c r="BH261" s="231" t="str">
        <f>'Calculs dispo Données conso'!AO228</f>
        <v/>
      </c>
      <c r="BI261" s="236" t="str">
        <f>'Calculs dispo Données conso'!AP228</f>
        <v/>
      </c>
      <c r="BJ261" s="241" t="str">
        <f>'Calculs dispo Données conso'!AQ228</f>
        <v/>
      </c>
      <c r="BK261" s="241" t="str">
        <f>'Calculs dispo Données conso'!AR228</f>
        <v/>
      </c>
      <c r="BL261" s="849" t="str">
        <f>'Calculs dispo Données conso'!AS228</f>
        <v/>
      </c>
      <c r="BM261" s="850" t="str">
        <f>'Calculs dispo Données conso'!AT228</f>
        <v/>
      </c>
    </row>
    <row r="262" spans="1:65" s="358" customFormat="1" x14ac:dyDescent="0.2">
      <c r="C262" s="374"/>
      <c r="D262" s="407"/>
      <c r="E262" s="376" t="s">
        <v>36</v>
      </c>
      <c r="F262" s="377" t="str">
        <f>'TRAD-Calculs dispo confrontatio'!B41</f>
        <v>sol buv</v>
      </c>
      <c r="G262" s="377" t="s">
        <v>88</v>
      </c>
      <c r="H262" s="378" t="s">
        <v>89</v>
      </c>
      <c r="I262" s="378" t="str">
        <f t="shared" si="73"/>
        <v>ABC - 20 mg/mL - Fl/30mL</v>
      </c>
      <c r="J262" s="378"/>
      <c r="K262" s="378"/>
      <c r="L262" s="378"/>
      <c r="M262" s="114">
        <f>'Saisie données stocks'!L98</f>
        <v>30</v>
      </c>
      <c r="N262" s="308">
        <f>'Saisie données stocks'!M98</f>
        <v>0</v>
      </c>
      <c r="O262" s="231" t="e">
        <f>'Calculs dispo Données FA'!Q227</f>
        <v>#DIV/0!</v>
      </c>
      <c r="P262" s="236" t="e">
        <f>'Calculs dispo Données FA'!R227</f>
        <v>#DIV/0!</v>
      </c>
      <c r="Q262" s="241" t="e">
        <f>'Calculs dispo Données FA'!S227</f>
        <v>#DIV/0!</v>
      </c>
      <c r="R262" s="247" t="e">
        <f>'Calculs dispo Données FA'!T227</f>
        <v>#DIV/0!</v>
      </c>
      <c r="S262" s="248" t="e">
        <f>'Calculs dispo Données FA'!U227</f>
        <v>#DIV/0!</v>
      </c>
      <c r="U262" s="231" t="str">
        <f>'Calculs dispo Données FA'!W227</f>
        <v/>
      </c>
      <c r="V262" s="236" t="str">
        <f>'Calculs dispo Données FA'!X227</f>
        <v/>
      </c>
      <c r="W262" s="241" t="str">
        <f>'Calculs dispo Données FA'!Y227</f>
        <v/>
      </c>
      <c r="X262" s="247" t="str">
        <f>'Calculs dispo Données FA'!Z227</f>
        <v/>
      </c>
      <c r="Y262" s="248" t="str">
        <f>'Calculs dispo Données FA'!AA227</f>
        <v/>
      </c>
      <c r="AA262" s="231" t="e">
        <f>'Calculs dispo Données FA'!AC227</f>
        <v>#DIV/0!</v>
      </c>
      <c r="AB262" s="236" t="e">
        <f>'Calculs dispo Données FA'!AD227</f>
        <v>#DIV/0!</v>
      </c>
      <c r="AC262" s="241" t="e">
        <f>'Calculs dispo Données FA'!AE227</f>
        <v>#DIV/0!</v>
      </c>
      <c r="AD262" s="241" t="e">
        <f>'Calculs dispo Données FA'!AF227</f>
        <v>#VALUE!</v>
      </c>
      <c r="AE262" s="247" t="e">
        <f>'Calculs dispo Données FA'!AG227</f>
        <v>#DIV/0!</v>
      </c>
      <c r="AF262" s="248" t="e">
        <f>'Calculs dispo Données FA'!AH227</f>
        <v>#DIV/0!</v>
      </c>
      <c r="AH262" s="231" t="str">
        <f>'Calculs dispo Données FA'!AO227</f>
        <v/>
      </c>
      <c r="AI262" s="236" t="str">
        <f>'Calculs dispo Données FA'!AP227</f>
        <v/>
      </c>
      <c r="AJ262" s="241" t="str">
        <f>'Calculs dispo Données FA'!AQ227</f>
        <v/>
      </c>
      <c r="AK262" s="241" t="str">
        <f>'Calculs dispo Données FA'!AR227</f>
        <v/>
      </c>
      <c r="AL262" s="247" t="str">
        <f>'Calculs dispo Données FA'!AS227</f>
        <v/>
      </c>
      <c r="AM262" s="248" t="str">
        <f>'Calculs dispo Données FA'!AT227</f>
        <v/>
      </c>
      <c r="AO262" s="231"/>
      <c r="AP262" s="555"/>
      <c r="AQ262" s="556"/>
      <c r="AR262" s="557"/>
      <c r="AS262" s="558"/>
      <c r="AT262" s="500"/>
      <c r="AU262" s="231"/>
      <c r="AV262" s="555"/>
      <c r="AW262" s="556"/>
      <c r="AX262" s="557"/>
      <c r="AY262" s="558"/>
      <c r="AZ262" s="500"/>
      <c r="BA262" s="231"/>
      <c r="BB262" s="555"/>
      <c r="BC262" s="556"/>
      <c r="BD262" s="556"/>
      <c r="BE262" s="557"/>
      <c r="BF262" s="558"/>
      <c r="BG262" s="500"/>
      <c r="BH262" s="231"/>
      <c r="BI262" s="555"/>
      <c r="BJ262" s="556"/>
      <c r="BK262" s="556"/>
      <c r="BL262" s="557"/>
      <c r="BM262" s="558"/>
    </row>
    <row r="263" spans="1:65" s="358" customFormat="1" x14ac:dyDescent="0.2">
      <c r="C263" s="374"/>
      <c r="D263" s="375"/>
      <c r="E263" s="376"/>
      <c r="F263" s="377"/>
      <c r="G263" s="377"/>
      <c r="H263" s="378"/>
      <c r="I263" s="378"/>
      <c r="J263" s="378"/>
      <c r="K263" s="378"/>
      <c r="L263" s="378"/>
      <c r="M263" s="114"/>
      <c r="N263" s="308"/>
      <c r="O263" s="539"/>
      <c r="P263" s="595"/>
      <c r="Q263" s="596"/>
      <c r="R263" s="597"/>
      <c r="S263" s="598"/>
      <c r="U263" s="539"/>
      <c r="V263" s="595"/>
      <c r="W263" s="596"/>
      <c r="X263" s="597"/>
      <c r="Y263" s="598"/>
      <c r="AA263" s="539"/>
      <c r="AB263" s="595"/>
      <c r="AC263" s="596"/>
      <c r="AD263" s="596"/>
      <c r="AE263" s="597"/>
      <c r="AF263" s="598"/>
      <c r="AH263" s="539"/>
      <c r="AI263" s="595"/>
      <c r="AJ263" s="596"/>
      <c r="AK263" s="596"/>
      <c r="AL263" s="597"/>
      <c r="AM263" s="598"/>
      <c r="AO263" s="539" t="e">
        <f>'Calculs dispo Données conso'!Q229</f>
        <v>#DIV/0!</v>
      </c>
      <c r="AP263" s="543" t="e">
        <f>'Calculs dispo Données conso'!R229</f>
        <v>#DIV/0!</v>
      </c>
      <c r="AQ263" s="540" t="e">
        <f>'Calculs dispo Données conso'!S229</f>
        <v>#DIV/0!</v>
      </c>
      <c r="AR263" s="857" t="e">
        <f>'Calculs dispo Données conso'!T229</f>
        <v>#DIV/0!</v>
      </c>
      <c r="AS263" s="858" t="e">
        <f>'Calculs dispo Données conso'!U229</f>
        <v>#DIV/0!</v>
      </c>
      <c r="AT263" s="500"/>
      <c r="AU263" s="539" t="str">
        <f>'Calculs dispo Données conso'!W229</f>
        <v/>
      </c>
      <c r="AV263" s="543" t="str">
        <f>'Calculs dispo Données conso'!X229</f>
        <v/>
      </c>
      <c r="AW263" s="540" t="str">
        <f>'Calculs dispo Données conso'!Y229</f>
        <v/>
      </c>
      <c r="AX263" s="857" t="str">
        <f>'Calculs dispo Données conso'!Z229</f>
        <v/>
      </c>
      <c r="AY263" s="858" t="str">
        <f>'Calculs dispo Données conso'!AA229</f>
        <v/>
      </c>
      <c r="AZ263" s="500"/>
      <c r="BA263" s="539" t="e">
        <f>'Calculs dispo Données conso'!AC229</f>
        <v>#DIV/0!</v>
      </c>
      <c r="BB263" s="543" t="e">
        <f>'Calculs dispo Données conso'!AD229</f>
        <v>#DIV/0!</v>
      </c>
      <c r="BC263" s="540" t="e">
        <f>'Calculs dispo Données conso'!AE229</f>
        <v>#DIV/0!</v>
      </c>
      <c r="BD263" s="540" t="e">
        <f>'Calculs dispo Données conso'!AF229</f>
        <v>#VALUE!</v>
      </c>
      <c r="BE263" s="857" t="e">
        <f>'Calculs dispo Données conso'!AG229</f>
        <v>#DIV/0!</v>
      </c>
      <c r="BF263" s="858" t="e">
        <f>'Calculs dispo Données conso'!AH229</f>
        <v>#DIV/0!</v>
      </c>
      <c r="BG263" s="500"/>
      <c r="BH263" s="539" t="str">
        <f>'Calculs dispo Données conso'!AO229</f>
        <v/>
      </c>
      <c r="BI263" s="543" t="str">
        <f>'Calculs dispo Données conso'!AP229</f>
        <v/>
      </c>
      <c r="BJ263" s="540" t="str">
        <f>'Calculs dispo Données conso'!AQ229</f>
        <v/>
      </c>
      <c r="BK263" s="540" t="str">
        <f>'Calculs dispo Données conso'!AR229</f>
        <v/>
      </c>
      <c r="BL263" s="857" t="str">
        <f>'Calculs dispo Données conso'!AS229</f>
        <v/>
      </c>
      <c r="BM263" s="858" t="str">
        <f>'Calculs dispo Données conso'!AT229</f>
        <v/>
      </c>
    </row>
    <row r="264" spans="1:65" s="358" customFormat="1" x14ac:dyDescent="0.2">
      <c r="C264" s="374"/>
      <c r="D264" s="375"/>
      <c r="E264" s="534" t="s">
        <v>37</v>
      </c>
      <c r="F264" s="535" t="str">
        <f>'TRAD-Calculs dispo confrontatio'!B43</f>
        <v>pdre buv</v>
      </c>
      <c r="G264" s="535" t="s">
        <v>91</v>
      </c>
      <c r="H264" s="544" t="s">
        <v>92</v>
      </c>
      <c r="I264" s="544" t="str">
        <f t="shared" si="73"/>
        <v>DDI - 2 g - Fl/90mL</v>
      </c>
      <c r="J264" s="544"/>
      <c r="K264" s="544"/>
      <c r="L264" s="544"/>
      <c r="M264" s="537">
        <f>'Saisie données stocks'!L99</f>
        <v>90</v>
      </c>
      <c r="N264" s="549">
        <f>'Saisie données stocks'!M99</f>
        <v>0</v>
      </c>
      <c r="O264" s="232" t="e">
        <f>'Calculs dispo Données FA'!Q228</f>
        <v>#DIV/0!</v>
      </c>
      <c r="P264" s="237" t="e">
        <f>'Calculs dispo Données FA'!R228</f>
        <v>#DIV/0!</v>
      </c>
      <c r="Q264" s="242" t="e">
        <f>'Calculs dispo Données FA'!S228</f>
        <v>#DIV/0!</v>
      </c>
      <c r="R264" s="249" t="e">
        <f>'Calculs dispo Données FA'!T228</f>
        <v>#DIV/0!</v>
      </c>
      <c r="S264" s="250" t="e">
        <f>'Calculs dispo Données FA'!U228</f>
        <v>#DIV/0!</v>
      </c>
      <c r="U264" s="232" t="str">
        <f>'Calculs dispo Données FA'!W228</f>
        <v/>
      </c>
      <c r="V264" s="237" t="str">
        <f>'Calculs dispo Données FA'!X228</f>
        <v/>
      </c>
      <c r="W264" s="242" t="str">
        <f>'Calculs dispo Données FA'!Y228</f>
        <v/>
      </c>
      <c r="X264" s="249" t="str">
        <f>'Calculs dispo Données FA'!Z228</f>
        <v/>
      </c>
      <c r="Y264" s="250" t="str">
        <f>'Calculs dispo Données FA'!AA228</f>
        <v/>
      </c>
      <c r="AA264" s="232" t="e">
        <f>'Calculs dispo Données FA'!AC228</f>
        <v>#DIV/0!</v>
      </c>
      <c r="AB264" s="237" t="e">
        <f>'Calculs dispo Données FA'!AD228</f>
        <v>#DIV/0!</v>
      </c>
      <c r="AC264" s="242" t="e">
        <f>'Calculs dispo Données FA'!AE228</f>
        <v>#DIV/0!</v>
      </c>
      <c r="AD264" s="242" t="e">
        <f>'Calculs dispo Données FA'!AF228</f>
        <v>#VALUE!</v>
      </c>
      <c r="AE264" s="249" t="e">
        <f>'Calculs dispo Données FA'!AG228</f>
        <v>#DIV/0!</v>
      </c>
      <c r="AF264" s="250" t="e">
        <f>'Calculs dispo Données FA'!AH228</f>
        <v>#DIV/0!</v>
      </c>
      <c r="AH264" s="232" t="str">
        <f>'Calculs dispo Données FA'!AO228</f>
        <v/>
      </c>
      <c r="AI264" s="237" t="str">
        <f>'Calculs dispo Données FA'!AP228</f>
        <v/>
      </c>
      <c r="AJ264" s="242" t="str">
        <f>'Calculs dispo Données FA'!AQ228</f>
        <v/>
      </c>
      <c r="AK264" s="242" t="str">
        <f>'Calculs dispo Données FA'!AR228</f>
        <v/>
      </c>
      <c r="AL264" s="249" t="str">
        <f>'Calculs dispo Données FA'!AS228</f>
        <v/>
      </c>
      <c r="AM264" s="250" t="str">
        <f>'Calculs dispo Données FA'!AT228</f>
        <v/>
      </c>
      <c r="AO264" s="232"/>
      <c r="AP264" s="563"/>
      <c r="AQ264" s="564"/>
      <c r="AR264" s="565"/>
      <c r="AS264" s="566"/>
      <c r="AT264" s="500"/>
      <c r="AU264" s="232"/>
      <c r="AV264" s="563"/>
      <c r="AW264" s="564"/>
      <c r="AX264" s="565"/>
      <c r="AY264" s="566"/>
      <c r="AZ264" s="500"/>
      <c r="BA264" s="232"/>
      <c r="BB264" s="563"/>
      <c r="BC264" s="564"/>
      <c r="BD264" s="564"/>
      <c r="BE264" s="565"/>
      <c r="BF264" s="566"/>
      <c r="BG264" s="500"/>
      <c r="BH264" s="232"/>
      <c r="BI264" s="563"/>
      <c r="BJ264" s="564"/>
      <c r="BK264" s="564"/>
      <c r="BL264" s="565"/>
      <c r="BM264" s="566"/>
    </row>
    <row r="265" spans="1:65" s="358" customFormat="1" x14ac:dyDescent="0.2">
      <c r="C265" s="374"/>
      <c r="D265" s="389"/>
      <c r="E265" s="390"/>
      <c r="F265" s="391"/>
      <c r="G265" s="391"/>
      <c r="H265" s="401"/>
      <c r="I265" s="401"/>
      <c r="J265" s="401"/>
      <c r="K265" s="401"/>
      <c r="L265" s="401"/>
      <c r="M265" s="116"/>
      <c r="N265" s="311"/>
      <c r="O265" s="539"/>
      <c r="P265" s="595"/>
      <c r="Q265" s="596"/>
      <c r="R265" s="597"/>
      <c r="S265" s="598"/>
      <c r="U265" s="539"/>
      <c r="V265" s="595"/>
      <c r="W265" s="596"/>
      <c r="X265" s="597"/>
      <c r="Y265" s="598"/>
      <c r="AA265" s="539"/>
      <c r="AB265" s="595"/>
      <c r="AC265" s="596"/>
      <c r="AD265" s="596"/>
      <c r="AE265" s="597"/>
      <c r="AF265" s="598"/>
      <c r="AH265" s="539"/>
      <c r="AI265" s="595"/>
      <c r="AJ265" s="596"/>
      <c r="AK265" s="596"/>
      <c r="AL265" s="597"/>
      <c r="AM265" s="598"/>
      <c r="AO265" s="539" t="e">
        <f>'Calculs dispo Données conso'!Q230</f>
        <v>#DIV/0!</v>
      </c>
      <c r="AP265" s="543" t="e">
        <f>'Calculs dispo Données conso'!R230</f>
        <v>#DIV/0!</v>
      </c>
      <c r="AQ265" s="540" t="e">
        <f>'Calculs dispo Données conso'!S230</f>
        <v>#DIV/0!</v>
      </c>
      <c r="AR265" s="857" t="e">
        <f>'Calculs dispo Données conso'!T230</f>
        <v>#DIV/0!</v>
      </c>
      <c r="AS265" s="858" t="e">
        <f>'Calculs dispo Données conso'!U230</f>
        <v>#DIV/0!</v>
      </c>
      <c r="AT265" s="500"/>
      <c r="AU265" s="539" t="str">
        <f>'Calculs dispo Données conso'!W230</f>
        <v/>
      </c>
      <c r="AV265" s="543" t="str">
        <f>'Calculs dispo Données conso'!X230</f>
        <v/>
      </c>
      <c r="AW265" s="540" t="str">
        <f>'Calculs dispo Données conso'!Y230</f>
        <v/>
      </c>
      <c r="AX265" s="857" t="str">
        <f>'Calculs dispo Données conso'!Z230</f>
        <v/>
      </c>
      <c r="AY265" s="858" t="str">
        <f>'Calculs dispo Données conso'!AA230</f>
        <v/>
      </c>
      <c r="AZ265" s="500"/>
      <c r="BA265" s="539" t="e">
        <f>'Calculs dispo Données conso'!AC230</f>
        <v>#DIV/0!</v>
      </c>
      <c r="BB265" s="543" t="e">
        <f>'Calculs dispo Données conso'!AD230</f>
        <v>#DIV/0!</v>
      </c>
      <c r="BC265" s="540" t="e">
        <f>'Calculs dispo Données conso'!AE230</f>
        <v>#DIV/0!</v>
      </c>
      <c r="BD265" s="540" t="e">
        <f>'Calculs dispo Données conso'!AF230</f>
        <v>#VALUE!</v>
      </c>
      <c r="BE265" s="857" t="e">
        <f>'Calculs dispo Données conso'!AG230</f>
        <v>#DIV/0!</v>
      </c>
      <c r="BF265" s="858" t="e">
        <f>'Calculs dispo Données conso'!AH230</f>
        <v>#DIV/0!</v>
      </c>
      <c r="BG265" s="500"/>
      <c r="BH265" s="539" t="str">
        <f>'Calculs dispo Données conso'!AO230</f>
        <v/>
      </c>
      <c r="BI265" s="543" t="str">
        <f>'Calculs dispo Données conso'!AP230</f>
        <v/>
      </c>
      <c r="BJ265" s="540" t="str">
        <f>'Calculs dispo Données conso'!AQ230</f>
        <v/>
      </c>
      <c r="BK265" s="540" t="str">
        <f>'Calculs dispo Données conso'!AR230</f>
        <v/>
      </c>
      <c r="BL265" s="857" t="str">
        <f>'Calculs dispo Données conso'!AS230</f>
        <v/>
      </c>
      <c r="BM265" s="858" t="str">
        <f>'Calculs dispo Données conso'!AT230</f>
        <v/>
      </c>
    </row>
    <row r="266" spans="1:65" s="358" customFormat="1" x14ac:dyDescent="0.2">
      <c r="C266" s="374"/>
      <c r="D266" s="375" t="s">
        <v>26</v>
      </c>
      <c r="E266" s="376" t="s">
        <v>29</v>
      </c>
      <c r="F266" s="377" t="str">
        <f>'TRAD-Calculs dispo confrontatio'!B41</f>
        <v>sol buv</v>
      </c>
      <c r="G266" s="377" t="s">
        <v>80</v>
      </c>
      <c r="H266" s="378" t="s">
        <v>85</v>
      </c>
      <c r="I266" s="378" t="str">
        <f t="shared" si="73"/>
        <v>NVP - 10 mg/mL - Fl/30mL</v>
      </c>
      <c r="J266" s="378"/>
      <c r="K266" s="378"/>
      <c r="L266" s="378"/>
      <c r="M266" s="114">
        <f>'Saisie données stocks'!L100</f>
        <v>30</v>
      </c>
      <c r="N266" s="308">
        <f>'Saisie données stocks'!M100</f>
        <v>0</v>
      </c>
      <c r="O266" s="617" t="e">
        <f>'Calculs dispo Données FA'!Q229</f>
        <v>#DIV/0!</v>
      </c>
      <c r="P266" s="574" t="e">
        <f>'Calculs dispo Données FA'!R229</f>
        <v>#DIV/0!</v>
      </c>
      <c r="Q266" s="630" t="e">
        <f>'Calculs dispo Données FA'!S229</f>
        <v>#DIV/0!</v>
      </c>
      <c r="R266" s="628" t="e">
        <f>'Calculs dispo Données FA'!T229</f>
        <v>#DIV/0!</v>
      </c>
      <c r="S266" s="631" t="e">
        <f>'Calculs dispo Données FA'!U229</f>
        <v>#DIV/0!</v>
      </c>
      <c r="U266" s="617" t="str">
        <f>'Calculs dispo Données FA'!W229</f>
        <v/>
      </c>
      <c r="V266" s="574" t="str">
        <f>'Calculs dispo Données FA'!X229</f>
        <v/>
      </c>
      <c r="W266" s="630" t="str">
        <f>'Calculs dispo Données FA'!Y229</f>
        <v/>
      </c>
      <c r="X266" s="628" t="str">
        <f>'Calculs dispo Données FA'!Z229</f>
        <v/>
      </c>
      <c r="Y266" s="631" t="str">
        <f>'Calculs dispo Données FA'!AA229</f>
        <v>3990B &amp; conso =0</v>
      </c>
      <c r="AA266" s="617" t="e">
        <f>'Calculs dispo Données FA'!AC229</f>
        <v>#DIV/0!</v>
      </c>
      <c r="AB266" s="574" t="e">
        <f>'Calculs dispo Données FA'!AD229</f>
        <v>#DIV/0!</v>
      </c>
      <c r="AC266" s="630" t="e">
        <f>'Calculs dispo Données FA'!AE229</f>
        <v>#DIV/0!</v>
      </c>
      <c r="AD266" s="630" t="e">
        <f>'Calculs dispo Données FA'!AF229</f>
        <v>#VALUE!</v>
      </c>
      <c r="AE266" s="628" t="e">
        <f>'Calculs dispo Données FA'!AG229</f>
        <v>#DIV/0!</v>
      </c>
      <c r="AF266" s="631" t="e">
        <f>'Calculs dispo Données FA'!AH229</f>
        <v>#DIV/0!</v>
      </c>
      <c r="AH266" s="617" t="str">
        <f>'Calculs dispo Données FA'!AO229</f>
        <v/>
      </c>
      <c r="AI266" s="574" t="str">
        <f>'Calculs dispo Données FA'!AP229</f>
        <v/>
      </c>
      <c r="AJ266" s="630" t="str">
        <f>'Calculs dispo Données FA'!AQ229</f>
        <v/>
      </c>
      <c r="AK266" s="630" t="str">
        <f>'Calculs dispo Données FA'!AR229</f>
        <v/>
      </c>
      <c r="AL266" s="628" t="str">
        <f>'Calculs dispo Données FA'!AS229</f>
        <v/>
      </c>
      <c r="AM266" s="631" t="str">
        <f>'Calculs dispo Données FA'!AT229</f>
        <v/>
      </c>
      <c r="AO266" s="617"/>
      <c r="AP266" s="618"/>
      <c r="AQ266" s="641"/>
      <c r="AR266" s="642"/>
      <c r="AS266" s="644"/>
      <c r="AT266" s="500"/>
      <c r="AU266" s="617"/>
      <c r="AV266" s="618"/>
      <c r="AW266" s="641"/>
      <c r="AX266" s="642"/>
      <c r="AY266" s="644"/>
      <c r="AZ266" s="500"/>
      <c r="BA266" s="617"/>
      <c r="BB266" s="618"/>
      <c r="BC266" s="641"/>
      <c r="BD266" s="641"/>
      <c r="BE266" s="642"/>
      <c r="BF266" s="644"/>
      <c r="BG266" s="500"/>
      <c r="BH266" s="617"/>
      <c r="BI266" s="618"/>
      <c r="BJ266" s="641"/>
      <c r="BK266" s="641"/>
      <c r="BL266" s="642"/>
      <c r="BM266" s="644"/>
    </row>
    <row r="267" spans="1:65" s="358" customFormat="1" x14ac:dyDescent="0.2">
      <c r="C267" s="374"/>
      <c r="D267" s="375"/>
      <c r="E267" s="376"/>
      <c r="F267" s="377"/>
      <c r="G267" s="377"/>
      <c r="H267" s="378"/>
      <c r="I267" s="378"/>
      <c r="J267" s="378"/>
      <c r="K267" s="378"/>
      <c r="L267" s="378"/>
      <c r="M267" s="114"/>
      <c r="N267" s="308"/>
      <c r="O267" s="232"/>
      <c r="P267" s="563"/>
      <c r="Q267" s="564"/>
      <c r="R267" s="565"/>
      <c r="S267" s="566"/>
      <c r="U267" s="232"/>
      <c r="V267" s="563"/>
      <c r="W267" s="564"/>
      <c r="X267" s="565"/>
      <c r="Y267" s="566"/>
      <c r="AA267" s="232"/>
      <c r="AB267" s="563"/>
      <c r="AC267" s="564"/>
      <c r="AD267" s="564"/>
      <c r="AE267" s="565"/>
      <c r="AF267" s="566"/>
      <c r="AH267" s="232"/>
      <c r="AI267" s="563"/>
      <c r="AJ267" s="564"/>
      <c r="AK267" s="564"/>
      <c r="AL267" s="565"/>
      <c r="AM267" s="566"/>
      <c r="AO267" s="232">
        <f>'Calculs dispo Données conso'!Q231</f>
        <v>4.8072289156626509</v>
      </c>
      <c r="AP267" s="237">
        <f>'Calculs dispo Données conso'!R231</f>
        <v>1.8072289156626509</v>
      </c>
      <c r="AQ267" s="242">
        <f>'Calculs dispo Données conso'!S231</f>
        <v>3</v>
      </c>
      <c r="AR267" s="851">
        <f>'Calculs dispo Données conso'!T231</f>
        <v>41973.216867469877</v>
      </c>
      <c r="AS267" s="852">
        <f>'Calculs dispo Données conso'!U231</f>
        <v>42063.216867469877</v>
      </c>
      <c r="AT267" s="500"/>
      <c r="AU267" s="232">
        <f>'Calculs dispo Données conso'!W231</f>
        <v>4.8072289156626509</v>
      </c>
      <c r="AV267" s="237">
        <f>'Calculs dispo Données conso'!X231</f>
        <v>1.8072289156626509</v>
      </c>
      <c r="AW267" s="242">
        <f>'Calculs dispo Données conso'!Y231</f>
        <v>3</v>
      </c>
      <c r="AX267" s="851">
        <f>'Calculs dispo Données conso'!Z231</f>
        <v>41973.216867469877</v>
      </c>
      <c r="AY267" s="852">
        <f>'Calculs dispo Données conso'!AA231</f>
        <v>42063.216867469877</v>
      </c>
      <c r="AZ267" s="500"/>
      <c r="BA267" s="232">
        <f>'Calculs dispo Données conso'!AC231</f>
        <v>0</v>
      </c>
      <c r="BB267" s="237">
        <f>'Calculs dispo Données conso'!AD231</f>
        <v>-3</v>
      </c>
      <c r="BC267" s="242">
        <f>'Calculs dispo Données conso'!AE231</f>
        <v>0</v>
      </c>
      <c r="BD267" s="242">
        <f>'Calculs dispo Données conso'!AF231</f>
        <v>0</v>
      </c>
      <c r="BE267" s="851">
        <f>'Calculs dispo Données conso'!AG231</f>
        <v>41829</v>
      </c>
      <c r="BF267" s="852">
        <f>'Calculs dispo Données conso'!AH231</f>
        <v>41919</v>
      </c>
      <c r="BG267" s="500"/>
      <c r="BH267" s="232" t="str">
        <f>'Calculs dispo Données conso'!AO231</f>
        <v/>
      </c>
      <c r="BI267" s="237" t="str">
        <f>'Calculs dispo Données conso'!AP231</f>
        <v/>
      </c>
      <c r="BJ267" s="242" t="str">
        <f>'Calculs dispo Données conso'!AQ231</f>
        <v/>
      </c>
      <c r="BK267" s="242" t="str">
        <f>'Calculs dispo Données conso'!AR231</f>
        <v/>
      </c>
      <c r="BL267" s="851" t="str">
        <f>'Calculs dispo Données conso'!AS231</f>
        <v/>
      </c>
      <c r="BM267" s="852" t="str">
        <f>'Calculs dispo Données conso'!AT231</f>
        <v/>
      </c>
    </row>
    <row r="268" spans="1:65" s="358" customFormat="1" x14ac:dyDescent="0.2">
      <c r="C268" s="374"/>
      <c r="D268" s="375"/>
      <c r="E268" s="534" t="s">
        <v>27</v>
      </c>
      <c r="F268" s="535" t="str">
        <f>'TRAD-Calculs dispo confrontatio'!B41</f>
        <v>sol buv</v>
      </c>
      <c r="G268" s="535" t="s">
        <v>86</v>
      </c>
      <c r="H268" s="544" t="s">
        <v>87</v>
      </c>
      <c r="I268" s="544" t="str">
        <f t="shared" si="73"/>
        <v>EFV - 30 mg/mL - Fl/60mL</v>
      </c>
      <c r="J268" s="544"/>
      <c r="K268" s="544"/>
      <c r="L268" s="544"/>
      <c r="M268" s="537">
        <f>'Saisie données stocks'!L102</f>
        <v>60</v>
      </c>
      <c r="N268" s="549">
        <f>'Saisie données stocks'!M102</f>
        <v>0</v>
      </c>
      <c r="O268" s="232" t="e">
        <f>'Calculs dispo Données FA'!Q230</f>
        <v>#DIV/0!</v>
      </c>
      <c r="P268" s="237" t="e">
        <f>'Calculs dispo Données FA'!R230</f>
        <v>#DIV/0!</v>
      </c>
      <c r="Q268" s="242" t="e">
        <f>'Calculs dispo Données FA'!S230</f>
        <v>#DIV/0!</v>
      </c>
      <c r="R268" s="249" t="e">
        <f>'Calculs dispo Données FA'!T230</f>
        <v>#DIV/0!</v>
      </c>
      <c r="S268" s="250" t="e">
        <f>'Calculs dispo Données FA'!U230</f>
        <v>#DIV/0!</v>
      </c>
      <c r="U268" s="232" t="str">
        <f>'Calculs dispo Données FA'!W230</f>
        <v/>
      </c>
      <c r="V268" s="237" t="str">
        <f>'Calculs dispo Données FA'!X230</f>
        <v/>
      </c>
      <c r="W268" s="242" t="str">
        <f>'Calculs dispo Données FA'!Y230</f>
        <v/>
      </c>
      <c r="X268" s="249" t="str">
        <f>'Calculs dispo Données FA'!Z230</f>
        <v/>
      </c>
      <c r="Y268" s="250" t="str">
        <f>'Calculs dispo Données FA'!AA230</f>
        <v/>
      </c>
      <c r="AA268" s="232" t="e">
        <f>'Calculs dispo Données FA'!AC230</f>
        <v>#DIV/0!</v>
      </c>
      <c r="AB268" s="237" t="e">
        <f>'Calculs dispo Données FA'!AD230</f>
        <v>#DIV/0!</v>
      </c>
      <c r="AC268" s="242" t="e">
        <f>'Calculs dispo Données FA'!AE230</f>
        <v>#DIV/0!</v>
      </c>
      <c r="AD268" s="242" t="e">
        <f>'Calculs dispo Données FA'!AF230</f>
        <v>#VALUE!</v>
      </c>
      <c r="AE268" s="249" t="e">
        <f>'Calculs dispo Données FA'!AG230</f>
        <v>#DIV/0!</v>
      </c>
      <c r="AF268" s="250" t="e">
        <f>'Calculs dispo Données FA'!AH230</f>
        <v>#DIV/0!</v>
      </c>
      <c r="AH268" s="232" t="str">
        <f>'Calculs dispo Données FA'!AO230</f>
        <v/>
      </c>
      <c r="AI268" s="237" t="str">
        <f>'Calculs dispo Données FA'!AP230</f>
        <v/>
      </c>
      <c r="AJ268" s="242" t="str">
        <f>'Calculs dispo Données FA'!AQ230</f>
        <v/>
      </c>
      <c r="AK268" s="242" t="str">
        <f>'Calculs dispo Données FA'!AR230</f>
        <v/>
      </c>
      <c r="AL268" s="249" t="str">
        <f>'Calculs dispo Données FA'!AS230</f>
        <v/>
      </c>
      <c r="AM268" s="250" t="str">
        <f>'Calculs dispo Données FA'!AT230</f>
        <v/>
      </c>
      <c r="AO268" s="232"/>
      <c r="AP268" s="563"/>
      <c r="AQ268" s="564"/>
      <c r="AR268" s="565"/>
      <c r="AS268" s="566"/>
      <c r="AT268" s="500"/>
      <c r="AU268" s="232"/>
      <c r="AV268" s="563"/>
      <c r="AW268" s="564"/>
      <c r="AX268" s="565"/>
      <c r="AY268" s="566"/>
      <c r="AZ268" s="500"/>
      <c r="BA268" s="232"/>
      <c r="BB268" s="563"/>
      <c r="BC268" s="564"/>
      <c r="BD268" s="564"/>
      <c r="BE268" s="565"/>
      <c r="BF268" s="566"/>
      <c r="BG268" s="500"/>
      <c r="BH268" s="232"/>
      <c r="BI268" s="563"/>
      <c r="BJ268" s="564"/>
      <c r="BK268" s="564"/>
      <c r="BL268" s="565"/>
      <c r="BM268" s="566"/>
    </row>
    <row r="269" spans="1:65" s="358" customFormat="1" x14ac:dyDescent="0.2">
      <c r="C269" s="374"/>
      <c r="D269" s="609"/>
      <c r="E269" s="390"/>
      <c r="F269" s="391"/>
      <c r="G269" s="391"/>
      <c r="H269" s="401"/>
      <c r="I269" s="401"/>
      <c r="J269" s="401"/>
      <c r="K269" s="401"/>
      <c r="L269" s="401"/>
      <c r="M269" s="116"/>
      <c r="N269" s="311"/>
      <c r="O269" s="624"/>
      <c r="P269" s="629"/>
      <c r="Q269" s="621"/>
      <c r="R269" s="622"/>
      <c r="S269" s="623"/>
      <c r="U269" s="624"/>
      <c r="V269" s="629"/>
      <c r="W269" s="621"/>
      <c r="X269" s="622"/>
      <c r="Y269" s="623"/>
      <c r="AA269" s="624"/>
      <c r="AB269" s="629"/>
      <c r="AC269" s="621"/>
      <c r="AD269" s="621"/>
      <c r="AE269" s="622"/>
      <c r="AF269" s="623"/>
      <c r="AH269" s="624"/>
      <c r="AI269" s="629"/>
      <c r="AJ269" s="621"/>
      <c r="AK269" s="621"/>
      <c r="AL269" s="622"/>
      <c r="AM269" s="623"/>
      <c r="AO269" s="624" t="e">
        <f>'Calculs dispo Données conso'!Q232</f>
        <v>#DIV/0!</v>
      </c>
      <c r="AP269" s="625" t="e">
        <f>'Calculs dispo Données conso'!R232</f>
        <v>#DIV/0!</v>
      </c>
      <c r="AQ269" s="632" t="e">
        <f>'Calculs dispo Données conso'!S232</f>
        <v>#DIV/0!</v>
      </c>
      <c r="AR269" s="859" t="e">
        <f>'Calculs dispo Données conso'!T232</f>
        <v>#DIV/0!</v>
      </c>
      <c r="AS269" s="860" t="e">
        <f>'Calculs dispo Données conso'!U232</f>
        <v>#DIV/0!</v>
      </c>
      <c r="AT269" s="500"/>
      <c r="AU269" s="624" t="str">
        <f>'Calculs dispo Données conso'!W232</f>
        <v/>
      </c>
      <c r="AV269" s="625" t="str">
        <f>'Calculs dispo Données conso'!X232</f>
        <v/>
      </c>
      <c r="AW269" s="632" t="str">
        <f>'Calculs dispo Données conso'!Y232</f>
        <v/>
      </c>
      <c r="AX269" s="859" t="str">
        <f>'Calculs dispo Données conso'!Z232</f>
        <v/>
      </c>
      <c r="AY269" s="860" t="str">
        <f>'Calculs dispo Données conso'!AA232</f>
        <v/>
      </c>
      <c r="AZ269" s="500"/>
      <c r="BA269" s="624" t="e">
        <f>'Calculs dispo Données conso'!AC232</f>
        <v>#DIV/0!</v>
      </c>
      <c r="BB269" s="625" t="e">
        <f>'Calculs dispo Données conso'!AD232</f>
        <v>#DIV/0!</v>
      </c>
      <c r="BC269" s="632" t="e">
        <f>'Calculs dispo Données conso'!AE232</f>
        <v>#DIV/0!</v>
      </c>
      <c r="BD269" s="632" t="e">
        <f>'Calculs dispo Données conso'!AF232</f>
        <v>#VALUE!</v>
      </c>
      <c r="BE269" s="859" t="e">
        <f>'Calculs dispo Données conso'!AG232</f>
        <v>#DIV/0!</v>
      </c>
      <c r="BF269" s="860" t="e">
        <f>'Calculs dispo Données conso'!AH232</f>
        <v>#DIV/0!</v>
      </c>
      <c r="BG269" s="500"/>
      <c r="BH269" s="624" t="str">
        <f>'Calculs dispo Données conso'!AO232</f>
        <v/>
      </c>
      <c r="BI269" s="625" t="str">
        <f>'Calculs dispo Données conso'!AP232</f>
        <v/>
      </c>
      <c r="BJ269" s="632" t="str">
        <f>'Calculs dispo Données conso'!AQ232</f>
        <v/>
      </c>
      <c r="BK269" s="632" t="str">
        <f>'Calculs dispo Données conso'!AR232</f>
        <v/>
      </c>
      <c r="BL269" s="859" t="str">
        <f>'Calculs dispo Données conso'!AS232</f>
        <v/>
      </c>
      <c r="BM269" s="860" t="str">
        <f>'Calculs dispo Données conso'!AT232</f>
        <v/>
      </c>
    </row>
    <row r="270" spans="1:65" s="358" customFormat="1" ht="25.5" x14ac:dyDescent="0.2">
      <c r="C270" s="374"/>
      <c r="D270" s="610" t="s">
        <v>41</v>
      </c>
      <c r="E270" s="376" t="s">
        <v>42</v>
      </c>
      <c r="F270" s="377" t="str">
        <f>'TRAD-Calculs dispo confrontatio'!B41</f>
        <v>sol buv</v>
      </c>
      <c r="G270" s="377" t="s">
        <v>93</v>
      </c>
      <c r="H270" s="378" t="s">
        <v>94</v>
      </c>
      <c r="I270" s="378" t="str">
        <f t="shared" si="73"/>
        <v>LPV/r - 80/20 mg/mL - Fl/60mL</v>
      </c>
      <c r="J270" s="378"/>
      <c r="K270" s="378"/>
      <c r="L270" s="378"/>
      <c r="M270" s="114">
        <f>'Saisie données stocks'!L104</f>
        <v>60</v>
      </c>
      <c r="N270" s="308">
        <f>'Saisie données stocks'!M104</f>
        <v>0</v>
      </c>
      <c r="O270" s="617" t="e">
        <f>'Calculs dispo Données FA'!Q231</f>
        <v>#DIV/0!</v>
      </c>
      <c r="P270" s="574" t="e">
        <f>'Calculs dispo Données FA'!R231</f>
        <v>#DIV/0!</v>
      </c>
      <c r="Q270" s="630" t="e">
        <f>'Calculs dispo Données FA'!S231</f>
        <v>#DIV/0!</v>
      </c>
      <c r="R270" s="628" t="e">
        <f>'Calculs dispo Données FA'!T231</f>
        <v>#DIV/0!</v>
      </c>
      <c r="S270" s="620" t="e">
        <f>'Calculs dispo Données FA'!U231</f>
        <v>#DIV/0!</v>
      </c>
      <c r="U270" s="617" t="str">
        <f>'Calculs dispo Données FA'!W231</f>
        <v/>
      </c>
      <c r="V270" s="574" t="str">
        <f>'Calculs dispo Données FA'!X231</f>
        <v/>
      </c>
      <c r="W270" s="630" t="str">
        <f>'Calculs dispo Données FA'!Y231</f>
        <v/>
      </c>
      <c r="X270" s="628" t="str">
        <f>'Calculs dispo Données FA'!Z231</f>
        <v/>
      </c>
      <c r="Y270" s="620" t="str">
        <f>'Calculs dispo Données FA'!AA231</f>
        <v>2168B &amp; conso =0</v>
      </c>
      <c r="AA270" s="617" t="e">
        <f>'Calculs dispo Données FA'!AC231</f>
        <v>#DIV/0!</v>
      </c>
      <c r="AB270" s="574" t="e">
        <f>'Calculs dispo Données FA'!AD231</f>
        <v>#DIV/0!</v>
      </c>
      <c r="AC270" s="630" t="e">
        <f>'Calculs dispo Données FA'!AE231</f>
        <v>#DIV/0!</v>
      </c>
      <c r="AD270" s="630" t="e">
        <f>'Calculs dispo Données FA'!AF231</f>
        <v>#VALUE!</v>
      </c>
      <c r="AE270" s="628" t="e">
        <f>'Calculs dispo Données FA'!AG231</f>
        <v>#DIV/0!</v>
      </c>
      <c r="AF270" s="620" t="e">
        <f>'Calculs dispo Données FA'!AH231</f>
        <v>#DIV/0!</v>
      </c>
      <c r="AH270" s="617" t="str">
        <f>'Calculs dispo Données FA'!AO231</f>
        <v/>
      </c>
      <c r="AI270" s="574" t="str">
        <f>'Calculs dispo Données FA'!AP231</f>
        <v/>
      </c>
      <c r="AJ270" s="630" t="str">
        <f>'Calculs dispo Données FA'!AQ231</f>
        <v/>
      </c>
      <c r="AK270" s="630" t="str">
        <f>'Calculs dispo Données FA'!AR231</f>
        <v/>
      </c>
      <c r="AL270" s="628" t="str">
        <f>'Calculs dispo Données FA'!AS231</f>
        <v/>
      </c>
      <c r="AM270" s="620" t="str">
        <f>'Calculs dispo Données FA'!AT231</f>
        <v/>
      </c>
      <c r="AO270" s="617"/>
      <c r="AP270" s="618"/>
      <c r="AQ270" s="641"/>
      <c r="AR270" s="642"/>
      <c r="AS270" s="643"/>
      <c r="AT270" s="500"/>
      <c r="AU270" s="617"/>
      <c r="AV270" s="618"/>
      <c r="AW270" s="641"/>
      <c r="AX270" s="642"/>
      <c r="AY270" s="643"/>
      <c r="AZ270" s="500"/>
      <c r="BA270" s="617"/>
      <c r="BB270" s="618"/>
      <c r="BC270" s="641"/>
      <c r="BD270" s="641"/>
      <c r="BE270" s="642"/>
      <c r="BF270" s="643"/>
      <c r="BG270" s="500"/>
      <c r="BH270" s="617"/>
      <c r="BI270" s="618"/>
      <c r="BJ270" s="641"/>
      <c r="BK270" s="641"/>
      <c r="BL270" s="642"/>
      <c r="BM270" s="643"/>
    </row>
    <row r="271" spans="1:65" s="358" customFormat="1" ht="13.5" thickBot="1" x14ac:dyDescent="0.25">
      <c r="C271" s="404"/>
      <c r="D271" s="408"/>
      <c r="E271" s="409"/>
      <c r="F271" s="410"/>
      <c r="G271" s="410"/>
      <c r="H271" s="411"/>
      <c r="I271" s="411"/>
      <c r="J271" s="411"/>
      <c r="K271" s="411"/>
      <c r="L271" s="411"/>
      <c r="M271" s="312"/>
      <c r="N271" s="313"/>
      <c r="O271" s="633"/>
      <c r="P271" s="634"/>
      <c r="Q271" s="615"/>
      <c r="R271" s="636"/>
      <c r="S271" s="637"/>
      <c r="U271" s="633"/>
      <c r="V271" s="634"/>
      <c r="W271" s="615"/>
      <c r="X271" s="636"/>
      <c r="Y271" s="637"/>
      <c r="AA271" s="633"/>
      <c r="AB271" s="634"/>
      <c r="AC271" s="615"/>
      <c r="AD271" s="615"/>
      <c r="AE271" s="636"/>
      <c r="AF271" s="637"/>
      <c r="AH271" s="633"/>
      <c r="AI271" s="634"/>
      <c r="AJ271" s="615"/>
      <c r="AK271" s="615"/>
      <c r="AL271" s="636"/>
      <c r="AM271" s="637"/>
      <c r="AO271" s="633">
        <f>'Calculs dispo Données conso'!Q233</f>
        <v>35.540983606557376</v>
      </c>
      <c r="AP271" s="638">
        <f>'Calculs dispo Données conso'!R233</f>
        <v>32.540983606557376</v>
      </c>
      <c r="AQ271" s="616">
        <f>'Calculs dispo Données conso'!S233</f>
        <v>3</v>
      </c>
      <c r="AR271" s="862">
        <f>'Calculs dispo Données conso'!T233</f>
        <v>42895.229508196724</v>
      </c>
      <c r="AS271" s="863">
        <f>'Calculs dispo Données conso'!U233</f>
        <v>42985.229508196724</v>
      </c>
      <c r="AT271" s="500"/>
      <c r="AU271" s="633">
        <f>'Calculs dispo Données conso'!W233</f>
        <v>35.540983606557376</v>
      </c>
      <c r="AV271" s="638">
        <f>'Calculs dispo Données conso'!X233</f>
        <v>32.540983606557376</v>
      </c>
      <c r="AW271" s="616">
        <f>'Calculs dispo Données conso'!Y233</f>
        <v>3</v>
      </c>
      <c r="AX271" s="862">
        <f>'Calculs dispo Données conso'!Z233</f>
        <v>42895.229508196724</v>
      </c>
      <c r="AY271" s="863">
        <f>'Calculs dispo Données conso'!AA233</f>
        <v>42985.229508196724</v>
      </c>
      <c r="AZ271" s="500"/>
      <c r="BA271" s="633">
        <f>'Calculs dispo Données conso'!AC233</f>
        <v>35.540983606557376</v>
      </c>
      <c r="BB271" s="638">
        <f>'Calculs dispo Données conso'!AD233</f>
        <v>32.540983606557376</v>
      </c>
      <c r="BC271" s="616">
        <f>'Calculs dispo Données conso'!AE233</f>
        <v>3</v>
      </c>
      <c r="BD271" s="616">
        <f>'Calculs dispo Données conso'!AF233</f>
        <v>0</v>
      </c>
      <c r="BE271" s="862">
        <f>'Calculs dispo Données conso'!AG233</f>
        <v>42895.229508196724</v>
      </c>
      <c r="BF271" s="863">
        <f>'Calculs dispo Données conso'!AH233</f>
        <v>42985.229508196724</v>
      </c>
      <c r="BG271" s="500"/>
      <c r="BH271" s="633">
        <f>'Calculs dispo Données conso'!AO233</f>
        <v>6</v>
      </c>
      <c r="BI271" s="638">
        <f>'Calculs dispo Données conso'!AP233</f>
        <v>3</v>
      </c>
      <c r="BJ271" s="616">
        <f>'Calculs dispo Données conso'!AQ233</f>
        <v>3</v>
      </c>
      <c r="BK271" s="616" t="str">
        <f>'Calculs dispo Données conso'!AR233</f>
        <v/>
      </c>
      <c r="BL271" s="862">
        <f>'Calculs dispo Données conso'!AS233</f>
        <v>42010.25</v>
      </c>
      <c r="BM271" s="863" t="str">
        <f>'Calculs dispo Données conso'!AT233</f>
        <v>DLU - 7/4/2015</v>
      </c>
    </row>
    <row r="272" spans="1:65" x14ac:dyDescent="0.2">
      <c r="A272" s="358"/>
      <c r="AT272" s="499"/>
      <c r="AZ272" s="499"/>
      <c r="BG272" s="499"/>
      <c r="BI272" s="499"/>
      <c r="BJ272" s="499"/>
      <c r="BK272" s="499"/>
      <c r="BL272" s="499"/>
      <c r="BM272" s="499"/>
    </row>
    <row r="273" spans="1:59" x14ac:dyDescent="0.2">
      <c r="A273" s="358"/>
      <c r="AT273" s="499"/>
      <c r="AZ273" s="499"/>
      <c r="BG273" s="499"/>
    </row>
    <row r="274" spans="1:59" x14ac:dyDescent="0.2">
      <c r="A274" s="358"/>
      <c r="AT274" s="499"/>
      <c r="AZ274" s="499"/>
      <c r="BG274" s="499"/>
    </row>
    <row r="275" spans="1:59" x14ac:dyDescent="0.2">
      <c r="AT275" s="499"/>
      <c r="AZ275" s="499"/>
      <c r="BG275" s="499"/>
    </row>
    <row r="276" spans="1:59" x14ac:dyDescent="0.2">
      <c r="AZ276" s="499"/>
      <c r="BG276" s="499"/>
    </row>
    <row r="277" spans="1:59" x14ac:dyDescent="0.2">
      <c r="AZ277" s="499"/>
      <c r="BG277" s="499"/>
    </row>
    <row r="278" spans="1:59" x14ac:dyDescent="0.2">
      <c r="AZ278" s="499"/>
      <c r="BG278" s="499"/>
    </row>
    <row r="279" spans="1:59" x14ac:dyDescent="0.2">
      <c r="AZ279" s="499"/>
    </row>
    <row r="280" spans="1:59" x14ac:dyDescent="0.2">
      <c r="AZ280" s="499"/>
    </row>
    <row r="281" spans="1:59" x14ac:dyDescent="0.2">
      <c r="AZ281" s="499"/>
    </row>
    <row r="282" spans="1:59" x14ac:dyDescent="0.2">
      <c r="AZ282" s="499"/>
    </row>
    <row r="283" spans="1:59" x14ac:dyDescent="0.2">
      <c r="AZ283" s="499"/>
    </row>
    <row r="284" spans="1:59" x14ac:dyDescent="0.2">
      <c r="AZ284" s="499"/>
    </row>
    <row r="285" spans="1:59" x14ac:dyDescent="0.2">
      <c r="AZ285" s="499"/>
    </row>
    <row r="286" spans="1:59" x14ac:dyDescent="0.2">
      <c r="AZ286" s="499"/>
    </row>
    <row r="287" spans="1:59" x14ac:dyDescent="0.2">
      <c r="AZ287" s="499"/>
    </row>
    <row r="288" spans="1:59" x14ac:dyDescent="0.2">
      <c r="AZ288" s="499"/>
    </row>
    <row r="289" spans="52:52" x14ac:dyDescent="0.2">
      <c r="AZ289" s="499"/>
    </row>
  </sheetData>
  <sheetProtection password="DEE7" sheet="1" objects="1" scenarios="1" selectLockedCells="1"/>
  <mergeCells count="21">
    <mergeCell ref="AO186:AY186"/>
    <mergeCell ref="BA186:BM186"/>
    <mergeCell ref="AP187:AQ187"/>
    <mergeCell ref="AU187:AY187"/>
    <mergeCell ref="BH187:BM187"/>
    <mergeCell ref="O186:Y186"/>
    <mergeCell ref="AA186:AM186"/>
    <mergeCell ref="P187:Q187"/>
    <mergeCell ref="U187:Y187"/>
    <mergeCell ref="AH187:AM187"/>
    <mergeCell ref="A2:N2"/>
    <mergeCell ref="O6:Y6"/>
    <mergeCell ref="AA6:AK6"/>
    <mergeCell ref="P97:Q97"/>
    <mergeCell ref="U97:Y97"/>
    <mergeCell ref="AG7:AK7"/>
    <mergeCell ref="AG97:AK97"/>
    <mergeCell ref="P7:Q7"/>
    <mergeCell ref="U7:Y7"/>
    <mergeCell ref="O96:Y96"/>
    <mergeCell ref="AA96:AK9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theme="0"/>
  </sheetPr>
  <dimension ref="B1:AO47"/>
  <sheetViews>
    <sheetView topLeftCell="B40" workbookViewId="0">
      <selection sqref="A1:XFD1048576"/>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40" s="2586" customFormat="1" x14ac:dyDescent="0.2">
      <c r="B1" s="2586" t="s">
        <v>865</v>
      </c>
      <c r="D1" s="2586" t="s">
        <v>866</v>
      </c>
      <c r="F1" s="2586" t="s">
        <v>867</v>
      </c>
    </row>
    <row r="2" spans="2:40" x14ac:dyDescent="0.2">
      <c r="D2" s="2553"/>
    </row>
    <row r="3" spans="2:40" ht="25.5" x14ac:dyDescent="0.2">
      <c r="B3" s="2586" t="str">
        <f>IF(Présentation!$E$2="Français",'TRAD-Calculs dispo confrontatio'!D3,IF(Présentation!$E$2="Anglais",'TRAD-Calculs dispo confrontatio'!F3,""))</f>
        <v>Résultats - Périodes de disponibilité des produits - Durées &amp; dates</v>
      </c>
      <c r="D3" s="2554" t="s">
        <v>253</v>
      </c>
      <c r="E3" s="2554"/>
      <c r="F3" s="2554" t="s">
        <v>1532</v>
      </c>
      <c r="G3" s="2554"/>
      <c r="H3" s="2554"/>
      <c r="I3" s="2554"/>
      <c r="J3" s="2554"/>
      <c r="K3" s="2554"/>
      <c r="L3" s="2554"/>
      <c r="M3" s="2554"/>
      <c r="N3" s="2554"/>
      <c r="O3" s="2554"/>
      <c r="P3" s="2554"/>
      <c r="Q3" s="2554"/>
      <c r="R3" s="2555"/>
      <c r="S3" s="2555"/>
      <c r="T3" s="2555"/>
      <c r="U3" s="2578"/>
      <c r="V3" s="2578"/>
      <c r="W3" s="2555"/>
      <c r="X3" s="2555"/>
      <c r="Y3" s="2555"/>
      <c r="Z3" s="2555"/>
      <c r="AA3" s="2555"/>
      <c r="AB3" s="2555"/>
      <c r="AC3" s="2555"/>
      <c r="AD3" s="2555"/>
      <c r="AE3" s="2555"/>
      <c r="AF3" s="2555"/>
      <c r="AG3" s="2578"/>
      <c r="AH3" s="2578"/>
      <c r="AJ3" s="2555"/>
      <c r="AK3" s="2555"/>
      <c r="AL3" s="2555"/>
      <c r="AM3" s="2555"/>
      <c r="AN3" s="2555"/>
    </row>
    <row r="4" spans="2:40" ht="38.25" x14ac:dyDescent="0.2">
      <c r="B4" s="2586" t="str">
        <f>IF(Présentation!$E$2="Français",'TRAD-Calculs dispo confrontatio'!D4,IF(Présentation!$E$2="Anglais",'TRAD-Calculs dispo confrontatio'!F4,""))</f>
        <v>A. Avec les stocks actuellement disponibles (niveau central &amp; périphériques)</v>
      </c>
      <c r="D4" s="2554" t="s">
        <v>254</v>
      </c>
      <c r="E4" s="2555"/>
      <c r="F4" s="2555" t="s">
        <v>1533</v>
      </c>
      <c r="G4" s="2555"/>
      <c r="H4" s="2555"/>
      <c r="I4" s="2555"/>
      <c r="J4" s="2555"/>
      <c r="K4" s="2555"/>
      <c r="L4" s="2555"/>
      <c r="M4" s="2555"/>
      <c r="N4" s="2555"/>
      <c r="O4" s="2555"/>
      <c r="P4" s="2555"/>
      <c r="Q4" s="2555"/>
      <c r="R4" s="2555"/>
      <c r="S4" s="2555"/>
      <c r="T4" s="2555"/>
      <c r="U4" s="2578"/>
      <c r="V4" s="2578"/>
      <c r="W4" s="2555"/>
      <c r="X4" s="2555"/>
      <c r="Y4" s="2555"/>
      <c r="Z4" s="2555"/>
      <c r="AA4" s="2555"/>
      <c r="AB4" s="2555"/>
      <c r="AC4" s="2555"/>
      <c r="AD4" s="2555"/>
      <c r="AE4" s="2555"/>
      <c r="AF4" s="2555"/>
      <c r="AG4" s="2578"/>
      <c r="AH4" s="2578"/>
      <c r="AJ4" s="2555"/>
      <c r="AK4" s="2555"/>
      <c r="AL4" s="2555"/>
      <c r="AM4" s="2555"/>
      <c r="AN4" s="2555"/>
    </row>
    <row r="5" spans="2:40" x14ac:dyDescent="0.2">
      <c r="B5" s="2586" t="str">
        <f>IF(Présentation!$E$2="Français",'TRAD-Calculs dispo confrontatio'!D5,IF(Présentation!$E$2="Anglais",'TRAD-Calculs dispo confrontatio'!F5,""))</f>
        <v>Composition</v>
      </c>
      <c r="D5" s="2554" t="s">
        <v>12</v>
      </c>
      <c r="F5" s="2554" t="s">
        <v>1152</v>
      </c>
      <c r="G5" s="2554"/>
      <c r="H5" s="2554"/>
      <c r="I5" s="2554"/>
      <c r="J5" s="2554"/>
      <c r="K5" s="2554"/>
      <c r="L5" s="2554"/>
      <c r="M5" s="2554"/>
      <c r="N5" s="2554"/>
      <c r="O5" s="2554"/>
      <c r="P5" s="2554"/>
      <c r="Q5" s="2554"/>
      <c r="R5" s="2554"/>
      <c r="S5" s="2554"/>
      <c r="T5" s="2554"/>
      <c r="U5" s="2573"/>
      <c r="V5" s="2573"/>
      <c r="W5" s="2554"/>
      <c r="X5" s="2554"/>
      <c r="Y5" s="2554"/>
      <c r="Z5" s="2554"/>
      <c r="AA5" s="2554"/>
      <c r="AB5" s="2554"/>
      <c r="AC5" s="2554"/>
      <c r="AD5" s="2554"/>
      <c r="AE5" s="2554"/>
      <c r="AF5" s="2554"/>
      <c r="AG5" s="2573"/>
      <c r="AH5" s="2573"/>
      <c r="AJ5" s="2554"/>
      <c r="AK5" s="2554"/>
      <c r="AL5" s="2554"/>
      <c r="AM5" s="2554"/>
      <c r="AN5" s="2554"/>
    </row>
    <row r="6" spans="2:40" x14ac:dyDescent="0.2">
      <c r="B6" s="2586" t="str">
        <f>IF(Présentation!$E$2="Français",'TRAD-Calculs dispo confrontatio'!D6,IF(Présentation!$E$2="Anglais",'TRAD-Calculs dispo confrontatio'!F6,""))</f>
        <v>Forme galénique</v>
      </c>
      <c r="D6" s="2554" t="s">
        <v>13</v>
      </c>
      <c r="E6" s="2555"/>
      <c r="F6" s="2555" t="s">
        <v>1153</v>
      </c>
      <c r="G6" s="2555"/>
      <c r="H6" s="2555"/>
      <c r="I6" s="2555"/>
      <c r="J6" s="2555"/>
      <c r="K6" s="2555"/>
      <c r="L6" s="2555"/>
      <c r="M6" s="2555"/>
      <c r="N6" s="2555"/>
      <c r="O6" s="2555"/>
      <c r="P6" s="2555"/>
      <c r="Q6" s="2555"/>
      <c r="R6" s="2555"/>
      <c r="S6" s="2555"/>
      <c r="T6" s="2555"/>
      <c r="U6" s="2578"/>
      <c r="V6" s="2578"/>
      <c r="W6" s="2555"/>
      <c r="X6" s="2555"/>
      <c r="Y6" s="2555"/>
      <c r="Z6" s="2555"/>
      <c r="AA6" s="2555"/>
      <c r="AB6" s="2555"/>
      <c r="AC6" s="2555"/>
      <c r="AD6" s="2555"/>
      <c r="AE6" s="2555"/>
      <c r="AF6" s="2555"/>
      <c r="AG6" s="2578"/>
      <c r="AH6" s="2578"/>
      <c r="AJ6" s="2555"/>
      <c r="AK6" s="2555"/>
      <c r="AL6" s="2555"/>
      <c r="AM6" s="2555"/>
      <c r="AN6" s="2555"/>
    </row>
    <row r="7" spans="2:40" ht="409.5" x14ac:dyDescent="0.2">
      <c r="B7" s="2586" t="str">
        <f>IF(Présentation!$E$2="Français",'TRAD-Calculs dispo confrontatio'!D7,IF(Présentation!$E$2="Anglais",'TRAD-Calculs dispo confrontatio'!F7,""))</f>
        <v>Dosage</v>
      </c>
      <c r="D7" s="2554" t="s">
        <v>14</v>
      </c>
      <c r="E7" s="2555"/>
      <c r="F7" s="2555" t="s">
        <v>1379</v>
      </c>
      <c r="G7" s="2555"/>
      <c r="H7" s="2555"/>
      <c r="I7" s="2555"/>
      <c r="J7" s="2555"/>
      <c r="K7" s="2555"/>
      <c r="L7" s="2555"/>
      <c r="M7" s="2555"/>
      <c r="N7" s="2555"/>
      <c r="O7" s="2555"/>
      <c r="P7" s="2555"/>
      <c r="Q7" s="2555"/>
      <c r="AC7" s="2555"/>
      <c r="AD7" s="2555" t="s">
        <v>462</v>
      </c>
      <c r="AE7" s="2555"/>
      <c r="AF7" s="2555"/>
      <c r="AG7" s="2555"/>
      <c r="AH7" s="2555"/>
      <c r="AI7" s="2555"/>
      <c r="AJ7" s="2555"/>
      <c r="AK7" s="2555"/>
      <c r="AL7" s="2555"/>
      <c r="AM7" s="2555"/>
      <c r="AN7" s="2555"/>
    </row>
    <row r="8" spans="2:40" ht="409.5" x14ac:dyDescent="0.2">
      <c r="B8" s="2586" t="str">
        <f>IF(Présentation!$E$2="Français",'TRAD-Calculs dispo confrontatio'!D8,IF(Présentation!$E$2="Anglais",'TRAD-Calculs dispo confrontatio'!F8,""))</f>
        <v>Nom de spécialité</v>
      </c>
      <c r="D8" s="2554" t="s">
        <v>75</v>
      </c>
      <c r="E8" s="2555"/>
      <c r="F8" s="2555" t="s">
        <v>983</v>
      </c>
      <c r="G8" s="2555"/>
      <c r="H8" s="2555"/>
      <c r="I8" s="2555"/>
      <c r="J8" s="2555"/>
      <c r="K8" s="2555"/>
      <c r="L8" s="2555"/>
      <c r="M8" s="2555"/>
      <c r="N8" s="2555"/>
      <c r="O8" s="2555"/>
      <c r="P8" s="2555"/>
      <c r="Q8" s="2555"/>
      <c r="AC8" s="2555"/>
      <c r="AD8" s="2555"/>
      <c r="AE8" s="2555"/>
      <c r="AF8" s="2555"/>
      <c r="AG8" s="2578"/>
      <c r="AH8" s="2578"/>
      <c r="AJ8" s="2555" t="s">
        <v>463</v>
      </c>
      <c r="AK8" s="2555"/>
      <c r="AL8" s="2555"/>
      <c r="AM8" s="2555"/>
      <c r="AN8" s="2555"/>
    </row>
    <row r="9" spans="2:40" ht="409.5" x14ac:dyDescent="0.2">
      <c r="B9" s="2586" t="str">
        <f>IF(Présentation!$E$2="Français",'TRAD-Calculs dispo confrontatio'!D9,IF(Présentation!$E$2="Anglais",'TRAD-Calculs dispo confrontatio'!F9,""))</f>
        <v>Nom pour représentation graphique</v>
      </c>
      <c r="D9" s="2554" t="s">
        <v>189</v>
      </c>
      <c r="E9" s="2554"/>
      <c r="F9" s="2558" t="s">
        <v>1372</v>
      </c>
      <c r="G9" s="2555"/>
      <c r="AC9" s="2554"/>
      <c r="AD9" s="2554" t="s">
        <v>464</v>
      </c>
      <c r="AE9" s="2554" t="s">
        <v>465</v>
      </c>
      <c r="AF9" s="2554" t="s">
        <v>466</v>
      </c>
      <c r="AG9" s="2573" t="s">
        <v>186</v>
      </c>
      <c r="AH9" s="2573" t="s">
        <v>187</v>
      </c>
      <c r="AJ9" s="2554" t="s">
        <v>464</v>
      </c>
      <c r="AK9" s="2554" t="s">
        <v>465</v>
      </c>
      <c r="AL9" s="2554" t="s">
        <v>466</v>
      </c>
      <c r="AM9" s="2573" t="s">
        <v>186</v>
      </c>
      <c r="AN9" s="2573" t="s">
        <v>187</v>
      </c>
    </row>
    <row r="10" spans="2:40" x14ac:dyDescent="0.2">
      <c r="B10" s="2586" t="str">
        <f>IF(Présentation!$E$2="Français",'TRAD-Calculs dispo confrontatio'!D10,IF(Présentation!$E$2="Anglais",'TRAD-Calculs dispo confrontatio'!F10,""))</f>
        <v>Nom de générique possible</v>
      </c>
      <c r="D10" s="2554" t="s">
        <v>95</v>
      </c>
      <c r="F10" s="2558" t="s">
        <v>1250</v>
      </c>
    </row>
    <row r="11" spans="2:40" x14ac:dyDescent="0.2">
      <c r="B11" s="2586" t="str">
        <f>IF(Présentation!$E$2="Français",'TRAD-Calculs dispo confrontatio'!D11,IF(Présentation!$E$2="Anglais",'TRAD-Calculs dispo confrontatio'!F11,""))</f>
        <v>Nb de prise / jour</v>
      </c>
      <c r="D11" s="2554" t="s">
        <v>1449</v>
      </c>
      <c r="F11" s="2555" t="s">
        <v>1479</v>
      </c>
      <c r="G11" s="2555"/>
      <c r="H11" s="2555"/>
      <c r="I11" s="2555"/>
      <c r="J11" s="2555"/>
      <c r="K11" s="2555"/>
      <c r="L11" s="2555"/>
      <c r="M11" s="2555"/>
      <c r="N11" s="2555"/>
      <c r="O11" s="2555"/>
    </row>
    <row r="12" spans="2:40" x14ac:dyDescent="0.2">
      <c r="B12" s="2586" t="str">
        <f>IF(Présentation!$E$2="Français",'TRAD-Calculs dispo confrontatio'!D12,IF(Présentation!$E$2="Anglais",'TRAD-Calculs dispo confrontatio'!F12,""))</f>
        <v>Nb de prise / mois</v>
      </c>
      <c r="D12" s="2554" t="s">
        <v>1450</v>
      </c>
      <c r="E12" s="2555"/>
      <c r="F12" s="2555" t="s">
        <v>1480</v>
      </c>
      <c r="G12" s="2555"/>
      <c r="H12" s="2578"/>
      <c r="I12" s="2578"/>
      <c r="J12" s="2555"/>
    </row>
    <row r="13" spans="2:40" x14ac:dyDescent="0.2">
      <c r="B13" s="2586" t="str">
        <f>IF(Présentation!$E$2="Français",'TRAD-Calculs dispo confrontatio'!D13,IF(Présentation!$E$2="Anglais",'TRAD-Calculs dispo confrontatio'!F13,""))</f>
        <v>Conditionnement</v>
      </c>
      <c r="D13" s="2554" t="s">
        <v>96</v>
      </c>
      <c r="F13" s="2558" t="s">
        <v>1154</v>
      </c>
      <c r="J13" s="2554"/>
      <c r="L13" s="2554"/>
      <c r="M13" s="2554"/>
      <c r="N13" s="2573"/>
      <c r="O13" s="2573"/>
    </row>
    <row r="14" spans="2:40" ht="25.5" x14ac:dyDescent="0.2">
      <c r="B14" s="2586" t="str">
        <f>IF(Présentation!$E$2="Français",'TRAD-Calculs dispo confrontatio'!D14,IF(Présentation!$E$2="Anglais",'TRAD-Calculs dispo confrontatio'!F14,""))</f>
        <v>Nb de boites nécessaire pour 1 mois pour 1 patient</v>
      </c>
      <c r="D14" s="2554" t="s">
        <v>140</v>
      </c>
      <c r="F14" s="2558" t="s">
        <v>1542</v>
      </c>
    </row>
    <row r="15" spans="2:40" x14ac:dyDescent="0.2">
      <c r="B15" s="2586" t="str">
        <f>IF(Présentation!$E$2="Français",'TRAD-Calculs dispo confrontatio'!D15,IF(Présentation!$E$2="Anglais",'TRAD-Calculs dispo confrontatio'!F15,""))</f>
        <v>Nb mois dispo - Données FA</v>
      </c>
      <c r="D15" s="2554" t="s">
        <v>290</v>
      </c>
      <c r="F15" s="2558" t="s">
        <v>1543</v>
      </c>
    </row>
    <row r="16" spans="2:40" x14ac:dyDescent="0.2">
      <c r="B16" s="2586" t="str">
        <f>IF(Présentation!$E$2="Français",'TRAD-Calculs dispo confrontatio'!D16,IF(Présentation!$E$2="Anglais",'TRAD-Calculs dispo confrontatio'!F16,""))</f>
        <v>Nb mois dispo hors SS - Données FA</v>
      </c>
      <c r="D16" s="2554" t="s">
        <v>289</v>
      </c>
      <c r="F16" s="2558" t="s">
        <v>1544</v>
      </c>
    </row>
    <row r="17" spans="2:41" x14ac:dyDescent="0.2">
      <c r="B17" s="2586" t="str">
        <f>IF(Présentation!$E$2="Français",'TRAD-Calculs dispo confrontatio'!D17,IF(Présentation!$E$2="Anglais",'TRAD-Calculs dispo confrontatio'!F17,""))</f>
        <v>Nb mois dispo SS - Données FA</v>
      </c>
      <c r="D17" s="2554" t="s">
        <v>298</v>
      </c>
      <c r="F17" s="2558" t="s">
        <v>1545</v>
      </c>
    </row>
    <row r="18" spans="2:41" x14ac:dyDescent="0.2">
      <c r="B18" s="2586" t="str">
        <f>IF(Présentation!$E$2="Français",'TRAD-Calculs dispo confrontatio'!D18,IF(Présentation!$E$2="Anglais",'TRAD-Calculs dispo confrontatio'!F18,""))</f>
        <v>Date d'entrée en stock de sécurité</v>
      </c>
      <c r="D18" s="2573" t="s">
        <v>186</v>
      </c>
      <c r="F18" s="2558" t="s">
        <v>1487</v>
      </c>
    </row>
    <row r="19" spans="2:41" x14ac:dyDescent="0.2">
      <c r="B19" s="2586" t="str">
        <f>IF(Présentation!$E$2="Français",'TRAD-Calculs dispo confrontatio'!D19,IF(Présentation!$E$2="Anglais",'TRAD-Calculs dispo confrontatio'!F19,""))</f>
        <v>Date de rupture attendue</v>
      </c>
      <c r="D19" s="2573" t="s">
        <v>187</v>
      </c>
      <c r="F19" s="2558" t="s">
        <v>1534</v>
      </c>
    </row>
    <row r="20" spans="2:41" x14ac:dyDescent="0.2">
      <c r="B20" s="2586" t="str">
        <f>IF(Présentation!$E$2="Français",'TRAD-Calculs dispo confrontatio'!D20,IF(Présentation!$E$2="Anglais",'TRAD-Calculs dispo confrontatio'!F20,""))</f>
        <v>CALCULS à partir des données de FA</v>
      </c>
      <c r="D20" s="2555" t="s">
        <v>270</v>
      </c>
      <c r="F20" s="2558" t="s">
        <v>1535</v>
      </c>
    </row>
    <row r="21" spans="2:41" ht="25.5" x14ac:dyDescent="0.2">
      <c r="B21" s="2586" t="str">
        <f>IF(Présentation!$E$2="Français",'TRAD-Calculs dispo confrontatio'!D21,IF(Présentation!$E$2="Anglais",'TRAD-Calculs dispo confrontatio'!F21,""))</f>
        <v>Pour représentation graphique avec données FA</v>
      </c>
      <c r="D21" s="2555" t="s">
        <v>1528</v>
      </c>
      <c r="E21" s="2555"/>
      <c r="F21" s="2555" t="s">
        <v>1536</v>
      </c>
      <c r="G21" s="2555"/>
      <c r="H21" s="2555"/>
    </row>
    <row r="22" spans="2:41" x14ac:dyDescent="0.2">
      <c r="B22" s="2586" t="str">
        <f>IF(Présentation!$E$2="Français",'TRAD-Calculs dispo confrontatio'!D22,IF(Présentation!$E$2="Anglais",'TRAD-Calculs dispo confrontatio'!F22,""))</f>
        <v>Volume conditionnement primaire (mL)</v>
      </c>
      <c r="D22" s="2554" t="s">
        <v>76</v>
      </c>
      <c r="E22" s="2554"/>
      <c r="F22" s="2554" t="s">
        <v>1173</v>
      </c>
      <c r="G22" s="2554"/>
      <c r="H22" s="2554"/>
      <c r="J22" s="2573"/>
      <c r="K22" s="2554"/>
      <c r="N22" s="2554"/>
    </row>
    <row r="23" spans="2:41" x14ac:dyDescent="0.2">
      <c r="B23" s="2586" t="str">
        <f>IF(Présentation!$E$2="Français",'TRAD-Calculs dispo confrontatio'!D23,IF(Présentation!$E$2="Anglais",'TRAD-Calculs dispo confrontatio'!F23,""))</f>
        <v>Conditionement secondaire</v>
      </c>
      <c r="D23" s="2554" t="s">
        <v>77</v>
      </c>
      <c r="F23" s="2558" t="s">
        <v>1010</v>
      </c>
    </row>
    <row r="24" spans="2:41" ht="25.5" x14ac:dyDescent="0.2">
      <c r="B24" s="2586" t="str">
        <f>IF(Présentation!$E$2="Français",'TRAD-Calculs dispo confrontatio'!D24,IF(Présentation!$E$2="Anglais",'TRAD-Calculs dispo confrontatio'!F24,""))</f>
        <v>Nb mois dispo - Données Conso/Distri</v>
      </c>
      <c r="D24" s="2554" t="s">
        <v>464</v>
      </c>
      <c r="F24" s="2558" t="s">
        <v>1546</v>
      </c>
    </row>
    <row r="25" spans="2:41" ht="25.5" x14ac:dyDescent="0.2">
      <c r="B25" s="2586" t="str">
        <f>IF(Présentation!$E$2="Français",'TRAD-Calculs dispo confrontatio'!D25,IF(Présentation!$E$2="Anglais",'TRAD-Calculs dispo confrontatio'!F25,""))</f>
        <v>Nb mois dispo hors SS - Données Conso/Distri</v>
      </c>
      <c r="D25" s="2554" t="s">
        <v>465</v>
      </c>
      <c r="F25" s="2558" t="s">
        <v>1547</v>
      </c>
    </row>
    <row r="26" spans="2:41" ht="25.5" x14ac:dyDescent="0.2">
      <c r="B26" s="2586" t="str">
        <f>IF(Présentation!$E$2="Français",'TRAD-Calculs dispo confrontatio'!D26,IF(Présentation!$E$2="Anglais",'TRAD-Calculs dispo confrontatio'!F26,""))</f>
        <v>Nb mois dispo SS - Données Conso/Distri</v>
      </c>
      <c r="D26" s="2554" t="s">
        <v>466</v>
      </c>
      <c r="F26" s="2558" t="s">
        <v>1548</v>
      </c>
    </row>
    <row r="27" spans="2:41" ht="51" x14ac:dyDescent="0.2">
      <c r="B27" s="2586" t="str">
        <f>IF(Présentation!$E$2="Français",'TRAD-Calculs dispo confrontatio'!D27,IF(Présentation!$E$2="Anglais",'TRAD-Calculs dispo confrontatio'!F27,""))</f>
        <v>B. Avec les stocks actuellement disponibles (niveau central &amp; périphériques) &amp; les commandes attendues à cours termes.</v>
      </c>
      <c r="D27" s="2554" t="s">
        <v>255</v>
      </c>
      <c r="E27" s="2554"/>
      <c r="F27" s="2554" t="s">
        <v>1537</v>
      </c>
      <c r="G27" s="2554"/>
      <c r="H27" s="2554"/>
      <c r="I27" s="2554"/>
      <c r="J27" s="2554"/>
      <c r="K27" s="2554"/>
      <c r="L27" s="2554"/>
      <c r="M27" s="2554"/>
      <c r="N27" s="2554"/>
      <c r="O27" s="2554"/>
      <c r="P27" s="2554"/>
      <c r="Q27" s="2554"/>
      <c r="R27" s="2554"/>
      <c r="S27" s="2554"/>
      <c r="T27" s="2573"/>
      <c r="U27" s="2573"/>
      <c r="V27" s="2554"/>
      <c r="W27" s="2554"/>
      <c r="X27" s="2554"/>
      <c r="Y27" s="2554"/>
      <c r="Z27" s="2554"/>
      <c r="AA27" s="2554"/>
      <c r="AB27" s="2554"/>
      <c r="AC27" s="2554"/>
      <c r="AD27" s="2554"/>
      <c r="AE27" s="2554"/>
      <c r="AF27" s="2573"/>
      <c r="AG27" s="2573"/>
      <c r="AI27" s="2554"/>
      <c r="AJ27" s="2554"/>
      <c r="AK27" s="2554"/>
      <c r="AL27" s="2554"/>
      <c r="AM27" s="2554"/>
    </row>
    <row r="28" spans="2:41" ht="25.5" x14ac:dyDescent="0.2">
      <c r="B28" s="2586" t="str">
        <f>IF(Présentation!$E$2="Français",'TRAD-Calculs dispo confrontatio'!D28,IF(Présentation!$E$2="Anglais",'TRAD-Calculs dispo confrontatio'!F28,""))</f>
        <v>CALCULS à partir des données de Conso/Distri</v>
      </c>
      <c r="D28" s="2555" t="s">
        <v>462</v>
      </c>
      <c r="E28" s="2555"/>
      <c r="F28" s="2555" t="s">
        <v>1538</v>
      </c>
      <c r="G28" s="2555"/>
      <c r="H28" s="2555"/>
      <c r="I28" s="2555"/>
      <c r="J28" s="2555"/>
      <c r="K28" s="2555"/>
      <c r="L28" s="2555"/>
      <c r="M28" s="2555"/>
      <c r="N28" s="2555"/>
      <c r="O28" s="2555"/>
      <c r="P28" s="2555"/>
      <c r="Q28" s="2555"/>
      <c r="R28" s="2555"/>
      <c r="S28" s="2555"/>
      <c r="T28" s="2578"/>
      <c r="U28" s="2578"/>
      <c r="V28" s="2555"/>
      <c r="X28" s="2555"/>
      <c r="Y28" s="2555"/>
      <c r="Z28" s="2555"/>
      <c r="AA28" s="2555"/>
      <c r="AB28" s="2555"/>
      <c r="AC28" s="2555"/>
      <c r="AD28" s="2555"/>
      <c r="AE28" s="2555"/>
      <c r="AF28" s="2578"/>
      <c r="AG28" s="2578"/>
      <c r="AJ28" s="2555"/>
      <c r="AK28" s="2555"/>
      <c r="AL28" s="2555"/>
      <c r="AM28" s="2555"/>
    </row>
    <row r="29" spans="2:41" ht="25.5" x14ac:dyDescent="0.2">
      <c r="B29" s="2586" t="str">
        <f>IF(Présentation!$E$2="Français",'TRAD-Calculs dispo confrontatio'!D29,IF(Présentation!$E$2="Anglais",'TRAD-Calculs dispo confrontatio'!F29,""))</f>
        <v>Pour représentation graphique avec données Conso/Distri</v>
      </c>
      <c r="D29" s="2555" t="s">
        <v>1529</v>
      </c>
      <c r="F29" s="2558" t="s">
        <v>1539</v>
      </c>
    </row>
    <row r="30" spans="2:41" x14ac:dyDescent="0.2">
      <c r="B30" s="2586" t="str">
        <f>IF(Présentation!$E$2="Français",'TRAD-Calculs dispo confrontatio'!D30,IF(Présentation!$E$2="Anglais",'TRAD-Calculs dispo confrontatio'!F30,""))</f>
        <v>Classe forme galénique</v>
      </c>
      <c r="D30" s="2554" t="s">
        <v>280</v>
      </c>
      <c r="E30" s="2554"/>
      <c r="F30" s="2554" t="s">
        <v>1530</v>
      </c>
      <c r="G30" s="2554"/>
      <c r="H30" s="2573"/>
      <c r="I30" s="2573"/>
      <c r="J30" s="2554"/>
      <c r="K30" s="2554"/>
      <c r="L30" s="2554"/>
      <c r="M30" s="2554"/>
      <c r="N30" s="2573"/>
      <c r="O30" s="2573"/>
      <c r="P30" s="2554"/>
      <c r="U30" s="2573"/>
      <c r="V30" s="2573"/>
      <c r="W30" s="2554"/>
      <c r="X30" s="2554"/>
      <c r="Y30" s="2554"/>
      <c r="Z30" s="2554"/>
      <c r="AA30" s="2554"/>
      <c r="AB30" s="2573"/>
      <c r="AO30" s="2573"/>
    </row>
    <row r="31" spans="2:41" x14ac:dyDescent="0.2">
      <c r="B31" s="2586" t="str">
        <f>IF(Présentation!$E$2="Français",'TRAD-Calculs dispo confrontatio'!D31,IF(Présentation!$E$2="Anglais",'TRAD-Calculs dispo confrontatio'!F31,""))</f>
        <v>Classe thérapeutique</v>
      </c>
      <c r="D31" s="2555" t="s">
        <v>281</v>
      </c>
      <c r="F31" s="2558" t="s">
        <v>1531</v>
      </c>
    </row>
    <row r="32" spans="2:41" ht="25.5" x14ac:dyDescent="0.2">
      <c r="B32" s="2586" t="str">
        <f>IF(Présentation!$E$2="Français",'TRAD-Calculs dispo confrontatio'!D32,IF(Présentation!$E$2="Anglais",'TRAD-Calculs dispo confrontatio'!F32,""))</f>
        <v>Nb mois stock / commande attendue - Données FA</v>
      </c>
      <c r="D32" s="2554" t="s">
        <v>457</v>
      </c>
      <c r="F32" s="2558" t="s">
        <v>1549</v>
      </c>
    </row>
    <row r="33" spans="2:6" ht="25.5" x14ac:dyDescent="0.2">
      <c r="B33" s="2586" t="str">
        <f>IF(Présentation!$E$2="Français",'TRAD-Calculs dispo confrontatio'!D33,IF(Présentation!$E$2="Anglais",'TRAD-Calculs dispo confrontatio'!F33,""))</f>
        <v>Nb mois dispo hors SS / Commande - Données FA</v>
      </c>
      <c r="D33" s="2554" t="s">
        <v>458</v>
      </c>
      <c r="F33" s="2558" t="s">
        <v>1550</v>
      </c>
    </row>
    <row r="34" spans="2:6" ht="25.5" x14ac:dyDescent="0.2">
      <c r="B34" s="2586" t="str">
        <f>IF(Présentation!$E$2="Français",'TRAD-Calculs dispo confrontatio'!D34,IF(Présentation!$E$2="Anglais",'TRAD-Calculs dispo confrontatio'!F34,""))</f>
        <v>Nb mois dispo SS / Commande - Données FA</v>
      </c>
      <c r="D34" s="2554" t="s">
        <v>459</v>
      </c>
      <c r="F34" s="2558" t="s">
        <v>1551</v>
      </c>
    </row>
    <row r="35" spans="2:6" x14ac:dyDescent="0.2">
      <c r="B35" s="2586" t="str">
        <f>IF(Présentation!$E$2="Français",'TRAD-Calculs dispo confrontatio'!D35,IF(Présentation!$E$2="Anglais",'TRAD-Calculs dispo confrontatio'!F35,""))</f>
        <v>Delta sur commande / SS</v>
      </c>
      <c r="D35" s="2554" t="s">
        <v>285</v>
      </c>
      <c r="F35" s="2558" t="s">
        <v>1540</v>
      </c>
    </row>
    <row r="36" spans="2:6" ht="25.5" x14ac:dyDescent="0.2">
      <c r="B36" s="2586" t="str">
        <f>IF(Présentation!$E$2="Français",'TRAD-Calculs dispo confrontatio'!D36,IF(Présentation!$E$2="Anglais",'TRAD-Calculs dispo confrontatio'!F36,""))</f>
        <v>Nb mois stock / commande attendue - Données Conso/Distri</v>
      </c>
      <c r="D36" s="2554" t="s">
        <v>461</v>
      </c>
      <c r="F36" s="2558" t="s">
        <v>1552</v>
      </c>
    </row>
    <row r="37" spans="2:6" ht="25.5" x14ac:dyDescent="0.2">
      <c r="B37" s="2586" t="str">
        <f>IF(Présentation!$E$2="Français",'TRAD-Calculs dispo confrontatio'!D37,IF(Présentation!$E$2="Anglais",'TRAD-Calculs dispo confrontatio'!F37,""))</f>
        <v>Nombre de mois de disponibilité de produits hors SS</v>
      </c>
      <c r="D37" s="2554" t="s">
        <v>197</v>
      </c>
      <c r="F37" s="2558" t="s">
        <v>1541</v>
      </c>
    </row>
    <row r="38" spans="2:6" x14ac:dyDescent="0.2">
      <c r="B38" s="2586" t="str">
        <f>IF(Présentation!$E$2="Français",'TRAD-Calculs dispo confrontatio'!D38,IF(Présentation!$E$2="Anglais",'TRAD-Calculs dispo confrontatio'!F38,""))</f>
        <v>Nombre de mois de stock de sécurité</v>
      </c>
      <c r="D38" s="2554" t="s">
        <v>196</v>
      </c>
      <c r="F38" s="2558" t="s">
        <v>1555</v>
      </c>
    </row>
    <row r="39" spans="2:6" x14ac:dyDescent="0.2">
      <c r="B39" s="2586" t="str">
        <f>IF(Présentation!$E$2="Français",'TRAD-Calculs dispo confrontatio'!D39,IF(Présentation!$E$2="Anglais",'TRAD-Calculs dispo confrontatio'!F39,""))</f>
        <v>Solutions buvables</v>
      </c>
      <c r="D39" s="2554" t="s">
        <v>78</v>
      </c>
      <c r="F39" s="2558" t="s">
        <v>1553</v>
      </c>
    </row>
    <row r="40" spans="2:6" x14ac:dyDescent="0.2">
      <c r="B40" s="2586" t="str">
        <f>IF(Présentation!$E$2="Français",'TRAD-Calculs dispo confrontatio'!D40,IF(Présentation!$E$2="Anglais",'TRAD-Calculs dispo confrontatio'!F40,""))</f>
        <v>Comprimés</v>
      </c>
      <c r="D40" s="2558" t="s">
        <v>97</v>
      </c>
      <c r="F40" s="2558" t="s">
        <v>1112</v>
      </c>
    </row>
    <row r="41" spans="2:6" x14ac:dyDescent="0.2">
      <c r="B41" s="2586" t="str">
        <f>IF(Présentation!$E$2="Français",'TRAD-Calculs dispo confrontatio'!D41,IF(Présentation!$E$2="Anglais",'TRAD-Calculs dispo confrontatio'!F41,""))</f>
        <v>sol buv</v>
      </c>
      <c r="D41" s="2554" t="s">
        <v>79</v>
      </c>
      <c r="F41" s="2558" t="s">
        <v>1442</v>
      </c>
    </row>
    <row r="42" spans="2:6" x14ac:dyDescent="0.2">
      <c r="B42" s="2586" t="str">
        <f>IF(Présentation!$E$2="Français",'TRAD-Calculs dispo confrontatio'!D42,IF(Présentation!$E$2="Anglais",'TRAD-Calculs dispo confrontatio'!F42,""))</f>
        <v>Cp</v>
      </c>
      <c r="D42" s="2554" t="s">
        <v>98</v>
      </c>
      <c r="F42" s="2558" t="s">
        <v>752</v>
      </c>
    </row>
    <row r="43" spans="2:6" x14ac:dyDescent="0.2">
      <c r="B43" s="2586" t="str">
        <f>IF(Présentation!$E$2="Français",'TRAD-Calculs dispo confrontatio'!D43,IF(Présentation!$E$2="Anglais",'TRAD-Calculs dispo confrontatio'!F43,""))</f>
        <v>pdre buv</v>
      </c>
      <c r="D43" s="2554" t="s">
        <v>90</v>
      </c>
      <c r="F43" s="2558" t="s">
        <v>1554</v>
      </c>
    </row>
    <row r="44" spans="2:6" ht="38.25" x14ac:dyDescent="0.2">
      <c r="B44" s="2586" t="str">
        <f>IF(Présentation!$E$2="Français",'TRAD-Calculs dispo confrontatio'!D44,IF(Présentation!$E$2="Anglais",'TRAD-Calculs dispo confrontatio'!F44,""))</f>
        <v>CALCULS avec croissance des besoins / Stocks dispo centraux et périph &amp; commandes</v>
      </c>
      <c r="D44" s="2561" t="s">
        <v>278</v>
      </c>
      <c r="F44" s="2555" t="s">
        <v>1505</v>
      </c>
    </row>
    <row r="45" spans="2:6" ht="38.25" x14ac:dyDescent="0.2">
      <c r="B45" s="2586" t="str">
        <f>IF(Présentation!$E$2="Français",'TRAD-Calculs dispo confrontatio'!D45,IF(Présentation!$E$2="Anglais",'TRAD-Calculs dispo confrontatio'!F45,""))</f>
        <v>CALCULS de la période couverte par les commandes seules avec croissance des besoins</v>
      </c>
      <c r="D45" s="2561" t="s">
        <v>575</v>
      </c>
      <c r="F45" s="2555" t="s">
        <v>1506</v>
      </c>
    </row>
    <row r="46" spans="2:6" ht="25.5" x14ac:dyDescent="0.2">
      <c r="B46" s="2586" t="str">
        <f>IF(Présentation!$E$2="Français",'TRAD-Calculs dispo confrontatio'!D46,IF(Présentation!$E$2="Anglais",'TRAD-Calculs dispo confrontatio'!F46,""))</f>
        <v>Stocks centraux, périphériques et commandes</v>
      </c>
      <c r="D46" s="2561" t="s">
        <v>283</v>
      </c>
      <c r="F46" s="2558" t="s">
        <v>1507</v>
      </c>
    </row>
    <row r="47" spans="2:6" ht="25.5" x14ac:dyDescent="0.2">
      <c r="B47" s="2586" t="str">
        <f>IF(Présentation!$E$2="Français",'TRAD-Calculs dispo confrontatio'!D47,IF(Présentation!$E$2="Anglais",'TRAD-Calculs dispo confrontatio'!F47,""))</f>
        <v>Données nettoyées pour représentation graphique</v>
      </c>
      <c r="D47" s="2555" t="s">
        <v>743</v>
      </c>
      <c r="E47" s="2555"/>
      <c r="F47" s="2555" t="s">
        <v>1456</v>
      </c>
    </row>
  </sheetData>
  <sheetProtection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9"/>
  </sheetPr>
  <dimension ref="A2:I35"/>
  <sheetViews>
    <sheetView showGridLines="0" zoomScale="90" zoomScaleNormal="90" workbookViewId="0">
      <selection activeCell="B22" sqref="B22"/>
    </sheetView>
  </sheetViews>
  <sheetFormatPr defaultColWidth="11.42578125" defaultRowHeight="12.75" x14ac:dyDescent="0.2"/>
  <cols>
    <col min="1" max="1" width="3.7109375" style="599" customWidth="1"/>
    <col min="2" max="2" width="94.140625" style="599" bestFit="1" customWidth="1"/>
    <col min="3" max="3" width="3.7109375" style="599" customWidth="1"/>
    <col min="4" max="16384" width="11.42578125" style="599"/>
  </cols>
  <sheetData>
    <row r="2" spans="1:9" ht="15.75" thickBot="1" x14ac:dyDescent="0.25">
      <c r="A2" s="3211" t="str">
        <f>'TRAD-Menu Résultats'!B3</f>
        <v>Résultats Quanti</v>
      </c>
      <c r="B2" s="3211"/>
      <c r="C2" s="3211"/>
      <c r="D2" s="3211"/>
      <c r="E2" s="3211"/>
      <c r="F2" s="3211"/>
      <c r="G2" s="3211"/>
      <c r="H2" s="3211"/>
      <c r="I2" s="3211"/>
    </row>
    <row r="3" spans="1:9" x14ac:dyDescent="0.2">
      <c r="D3" s="600"/>
      <c r="F3" s="600"/>
      <c r="G3" s="600"/>
    </row>
    <row r="4" spans="1:9" x14ac:dyDescent="0.2">
      <c r="B4" s="599" t="str">
        <f>'TRAD-Menu Résultats'!B4</f>
        <v>Feuille de l'onglet bleu</v>
      </c>
      <c r="D4" s="600"/>
      <c r="F4" s="600"/>
      <c r="G4" s="600"/>
    </row>
    <row r="5" spans="1:9" x14ac:dyDescent="0.2">
      <c r="D5" s="600"/>
      <c r="F5" s="600"/>
      <c r="G5" s="600"/>
    </row>
    <row r="6" spans="1:9" ht="15.75" thickBot="1" x14ac:dyDescent="0.25">
      <c r="A6" s="3211" t="str">
        <f>'TRAD-Menu Résultats'!B5</f>
        <v>Synthèse des stocks &amp; disponibilités</v>
      </c>
      <c r="B6" s="3211"/>
      <c r="C6" s="3211"/>
      <c r="D6" s="3211"/>
      <c r="E6" s="3211"/>
      <c r="F6" s="3211"/>
      <c r="G6" s="3211"/>
      <c r="H6" s="3211"/>
      <c r="I6" s="3211"/>
    </row>
    <row r="8" spans="1:9" x14ac:dyDescent="0.2">
      <c r="B8" s="600" t="str">
        <f>'TRAD-Menu Résultats'!B6</f>
        <v>Synthèse Résultats disponibilités</v>
      </c>
    </row>
    <row r="9" spans="1:9" x14ac:dyDescent="0.2">
      <c r="D9" s="600"/>
      <c r="F9" s="600"/>
      <c r="G9" s="600"/>
    </row>
    <row r="10" spans="1:9" ht="15.75" thickBot="1" x14ac:dyDescent="0.25">
      <c r="A10" s="3211" t="str">
        <f>'TRAD-Menu Résultats'!B7</f>
        <v>Résultats Visuels</v>
      </c>
      <c r="B10" s="3211"/>
      <c r="C10" s="3211"/>
      <c r="D10" s="3211"/>
      <c r="E10" s="3211"/>
      <c r="F10" s="3211"/>
      <c r="G10" s="3211"/>
      <c r="H10" s="3211"/>
      <c r="I10" s="3211"/>
    </row>
    <row r="11" spans="1:9" x14ac:dyDescent="0.2">
      <c r="D11" s="600"/>
      <c r="F11" s="600"/>
      <c r="G11" s="600"/>
    </row>
    <row r="12" spans="1:9" s="655" customFormat="1" ht="24.75" customHeight="1" x14ac:dyDescent="0.2">
      <c r="D12" s="3296" t="str">
        <f>'TRAD-Menu Résultats'!B8</f>
        <v>Comprimés - Combinaisons à doses fixes</v>
      </c>
      <c r="E12" s="3296"/>
      <c r="F12" s="3296" t="str">
        <f>'TRAD-Menu Résultats'!B9</f>
        <v>Comprimés - 
Formes simples</v>
      </c>
      <c r="G12" s="3296"/>
      <c r="H12" s="3296" t="str">
        <f>'TRAD-Menu Résultats'!B10</f>
        <v>Solutions buvables</v>
      </c>
      <c r="I12" s="3296"/>
    </row>
    <row r="13" spans="1:9" x14ac:dyDescent="0.2">
      <c r="B13" s="603" t="str">
        <f>'TRAD-Menu Résultats'!B11</f>
        <v>Méthode / Données de File active : A</v>
      </c>
      <c r="C13" s="604"/>
      <c r="D13" s="604"/>
      <c r="E13" s="604"/>
      <c r="F13" s="604"/>
      <c r="G13" s="604"/>
      <c r="H13" s="604"/>
      <c r="I13" s="604"/>
    </row>
    <row r="14" spans="1:9" x14ac:dyDescent="0.2">
      <c r="B14" s="2528" t="str">
        <f>'TRAD-Menu Résultats'!B12</f>
        <v>1. Disponibilité à partir des stocks disponibles centraux et périphériques</v>
      </c>
      <c r="D14" s="601" t="s">
        <v>675</v>
      </c>
      <c r="E14" s="601"/>
      <c r="F14" s="601" t="s">
        <v>679</v>
      </c>
      <c r="G14" s="601"/>
      <c r="H14" s="601" t="s">
        <v>295</v>
      </c>
      <c r="I14" s="601"/>
    </row>
    <row r="15" spans="1:9" x14ac:dyDescent="0.2">
      <c r="B15" s="2528" t="str">
        <f>'TRAD-Menu Résultats'!B13</f>
        <v>2. Conséquence de la réception des commandes sur la couverture des besoins</v>
      </c>
      <c r="D15" s="601" t="s">
        <v>692</v>
      </c>
      <c r="E15" s="601"/>
      <c r="F15" s="601" t="s">
        <v>693</v>
      </c>
      <c r="G15" s="601"/>
      <c r="H15" s="601" t="s">
        <v>694</v>
      </c>
      <c r="I15" s="601"/>
    </row>
    <row r="16" spans="1:9" x14ac:dyDescent="0.2">
      <c r="B16" s="602"/>
      <c r="D16" s="601"/>
      <c r="E16" s="601"/>
      <c r="F16" s="601"/>
      <c r="G16" s="601"/>
      <c r="H16" s="601"/>
      <c r="I16" s="601"/>
    </row>
    <row r="17" spans="1:9" x14ac:dyDescent="0.2">
      <c r="D17" s="601"/>
      <c r="E17" s="601"/>
      <c r="F17" s="601"/>
      <c r="G17" s="601"/>
      <c r="H17" s="601"/>
      <c r="I17" s="601"/>
    </row>
    <row r="18" spans="1:9" x14ac:dyDescent="0.2">
      <c r="B18" s="603" t="str">
        <f>'TRAD-Menu Résultats'!B14</f>
        <v>Méthode / Données de Consommation-Distribution : B</v>
      </c>
      <c r="C18" s="604"/>
      <c r="D18" s="605"/>
      <c r="E18" s="605"/>
      <c r="F18" s="605"/>
      <c r="G18" s="605"/>
      <c r="H18" s="605"/>
      <c r="I18" s="605"/>
    </row>
    <row r="19" spans="1:9" x14ac:dyDescent="0.2">
      <c r="B19" s="602" t="str">
        <f>'TRAD-Menu Résultats'!B15</f>
        <v>1. Couverture à partir des stocks disponibles centraux et périphériques</v>
      </c>
      <c r="D19" s="601" t="s">
        <v>676</v>
      </c>
      <c r="E19" s="601"/>
      <c r="F19" s="601" t="s">
        <v>680</v>
      </c>
      <c r="G19" s="601"/>
      <c r="H19" s="601" t="s">
        <v>296</v>
      </c>
      <c r="I19" s="601"/>
    </row>
    <row r="20" spans="1:9" x14ac:dyDescent="0.2">
      <c r="B20" s="602" t="str">
        <f>'TRAD-Menu Résultats'!B13</f>
        <v>2. Conséquence de la réception des commandes sur la couverture des besoins</v>
      </c>
      <c r="D20" s="601" t="s">
        <v>695</v>
      </c>
      <c r="E20" s="601"/>
      <c r="F20" s="601" t="s">
        <v>696</v>
      </c>
      <c r="G20" s="601"/>
      <c r="H20" s="601" t="s">
        <v>697</v>
      </c>
      <c r="I20" s="601"/>
    </row>
    <row r="21" spans="1:9" x14ac:dyDescent="0.2">
      <c r="D21" s="601"/>
      <c r="E21" s="601"/>
      <c r="F21" s="601"/>
      <c r="G21" s="601"/>
      <c r="H21" s="601"/>
      <c r="I21" s="601"/>
    </row>
    <row r="22" spans="1:9" x14ac:dyDescent="0.2">
      <c r="D22" s="601"/>
      <c r="E22" s="601"/>
      <c r="F22" s="601"/>
      <c r="G22" s="601"/>
      <c r="H22" s="601"/>
      <c r="I22" s="601"/>
    </row>
    <row r="23" spans="1:9" hidden="1" x14ac:dyDescent="0.2">
      <c r="B23" s="603" t="s">
        <v>300</v>
      </c>
      <c r="C23" s="604"/>
      <c r="D23" s="605"/>
      <c r="E23" s="605"/>
      <c r="F23" s="605"/>
      <c r="G23" s="605"/>
      <c r="H23" s="605"/>
      <c r="I23" s="605"/>
    </row>
    <row r="24" spans="1:9" hidden="1" x14ac:dyDescent="0.2">
      <c r="B24" s="602" t="s">
        <v>294</v>
      </c>
      <c r="D24" s="601" t="s">
        <v>677</v>
      </c>
      <c r="E24" s="601"/>
      <c r="F24" s="601" t="s">
        <v>681</v>
      </c>
      <c r="G24" s="601"/>
      <c r="H24" s="601" t="s">
        <v>297</v>
      </c>
      <c r="I24" s="601"/>
    </row>
    <row r="25" spans="1:9" hidden="1" x14ac:dyDescent="0.2">
      <c r="B25" s="602" t="s">
        <v>467</v>
      </c>
      <c r="D25" s="601" t="s">
        <v>678</v>
      </c>
      <c r="E25" s="601"/>
      <c r="F25" s="601" t="s">
        <v>682</v>
      </c>
      <c r="G25" s="601"/>
      <c r="H25" s="601" t="s">
        <v>468</v>
      </c>
      <c r="I25" s="601"/>
    </row>
    <row r="26" spans="1:9" hidden="1" x14ac:dyDescent="0.2">
      <c r="B26" s="602"/>
      <c r="D26" s="601"/>
      <c r="E26" s="601"/>
      <c r="F26" s="601"/>
      <c r="G26" s="601"/>
      <c r="H26" s="601"/>
      <c r="I26" s="601"/>
    </row>
    <row r="27" spans="1:9" hidden="1" x14ac:dyDescent="0.2"/>
    <row r="28" spans="1:9" x14ac:dyDescent="0.2">
      <c r="B28" s="603" t="str">
        <f>'TRAD-Menu Résultats'!B18</f>
        <v>Tableau de bord gestion des dates de péremptions (surstocks et périmés)</v>
      </c>
      <c r="C28" s="604"/>
      <c r="D28" s="605"/>
      <c r="E28" s="605"/>
      <c r="F28" s="605"/>
      <c r="G28" s="605"/>
      <c r="H28" s="605"/>
      <c r="I28" s="605"/>
    </row>
    <row r="30" spans="1:9" ht="15.75" thickBot="1" x14ac:dyDescent="0.25">
      <c r="A30" s="3211" t="str">
        <f>'TRAD-Menu Résultats'!B19</f>
        <v>Données prises en compte pour la méthode basée sur les files actives (versions imprimables)</v>
      </c>
      <c r="B30" s="3211"/>
      <c r="C30" s="3211"/>
      <c r="D30" s="3211"/>
      <c r="E30" s="3211"/>
      <c r="F30" s="3211"/>
      <c r="G30" s="3211"/>
      <c r="H30" s="3211"/>
      <c r="I30" s="3211"/>
    </row>
    <row r="32" spans="1:9" x14ac:dyDescent="0.2">
      <c r="B32" s="600" t="str">
        <f>'TRAD-Menu Résultats'!B20</f>
        <v>Impression données adultes</v>
      </c>
    </row>
    <row r="33" spans="2:2" x14ac:dyDescent="0.2">
      <c r="B33" s="600" t="str">
        <f>'TRAD-Menu Résultats'!B21</f>
        <v>Impression sélection adultes</v>
      </c>
    </row>
    <row r="34" spans="2:2" x14ac:dyDescent="0.2">
      <c r="B34" s="600" t="str">
        <f>'TRAD-Menu Résultats'!B22</f>
        <v>Impression données pédiatriques</v>
      </c>
    </row>
    <row r="35" spans="2:2" x14ac:dyDescent="0.2">
      <c r="B35" s="600" t="str">
        <f>'TRAD-Menu Résultats'!B23</f>
        <v>Impression sélection enfants</v>
      </c>
    </row>
  </sheetData>
  <sheetProtection password="D0E7" sheet="1" objects="1" scenarios="1"/>
  <mergeCells count="7">
    <mergeCell ref="A6:I6"/>
    <mergeCell ref="A30:I30"/>
    <mergeCell ref="A10:I10"/>
    <mergeCell ref="D12:E12"/>
    <mergeCell ref="A2:I2"/>
    <mergeCell ref="H12:I12"/>
    <mergeCell ref="F12:G1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0"/>
  </sheetPr>
  <dimension ref="B1:L29"/>
  <sheetViews>
    <sheetView workbookViewId="0">
      <selection sqref="A1:XFD1048576"/>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12" s="2586" customFormat="1" x14ac:dyDescent="0.2">
      <c r="B1" s="2586" t="s">
        <v>865</v>
      </c>
      <c r="D1" s="2586" t="s">
        <v>866</v>
      </c>
      <c r="F1" s="2586" t="s">
        <v>867</v>
      </c>
    </row>
    <row r="3" spans="2:12" x14ac:dyDescent="0.2">
      <c r="B3" s="2586" t="str">
        <f>IF(Présentation!$E$2="Français",'TRAD-Menu Résultats'!D3,IF(Présentation!$E$2="Anglais",'TRAD-Menu Résultats'!F3,""))</f>
        <v>Résultats Quanti</v>
      </c>
      <c r="D3" s="2563" t="s">
        <v>554</v>
      </c>
      <c r="E3" s="2563"/>
      <c r="F3" s="2563" t="s">
        <v>1190</v>
      </c>
      <c r="G3" s="2563"/>
      <c r="H3" s="2563"/>
      <c r="I3" s="2563"/>
      <c r="J3" s="2563"/>
      <c r="K3" s="2563"/>
      <c r="L3" s="2563"/>
    </row>
    <row r="4" spans="2:12" x14ac:dyDescent="0.2">
      <c r="B4" s="2586" t="str">
        <f>IF(Présentation!$E$2="Français",'TRAD-Menu Résultats'!D4,IF(Présentation!$E$2="Anglais",'TRAD-Menu Résultats'!F4,""))</f>
        <v>Feuille de l'onglet bleu</v>
      </c>
      <c r="D4" s="2558" t="s">
        <v>555</v>
      </c>
      <c r="F4" s="2558" t="s">
        <v>1191</v>
      </c>
    </row>
    <row r="5" spans="2:12" x14ac:dyDescent="0.2">
      <c r="B5" s="2586" t="str">
        <f>IF(Présentation!$E$2="Français",'TRAD-Menu Résultats'!D5,IF(Présentation!$E$2="Anglais",'TRAD-Menu Résultats'!F5,""))</f>
        <v>Synthèse des stocks &amp; disponibilités</v>
      </c>
      <c r="D5" s="2563" t="s">
        <v>805</v>
      </c>
      <c r="F5" s="2558" t="s">
        <v>1192</v>
      </c>
    </row>
    <row r="6" spans="2:12" x14ac:dyDescent="0.2">
      <c r="B6" s="2586" t="str">
        <f>IF(Présentation!$E$2="Français",'TRAD-Menu Résultats'!D6,IF(Présentation!$E$2="Anglais",'TRAD-Menu Résultats'!F6,""))</f>
        <v>Synthèse Résultats disponibilités</v>
      </c>
      <c r="D6" s="2558" t="s">
        <v>810</v>
      </c>
      <c r="F6" s="2558" t="s">
        <v>1200</v>
      </c>
    </row>
    <row r="7" spans="2:12" x14ac:dyDescent="0.2">
      <c r="B7" s="2586" t="str">
        <f>IF(Présentation!$E$2="Français",'TRAD-Menu Résultats'!D7,IF(Présentation!$E$2="Anglais",'TRAD-Menu Résultats'!F7,""))</f>
        <v>Résultats Visuels</v>
      </c>
      <c r="D7" s="2563" t="s">
        <v>803</v>
      </c>
      <c r="E7" s="2563"/>
      <c r="F7" s="2563" t="s">
        <v>1193</v>
      </c>
      <c r="G7" s="2563"/>
      <c r="H7" s="2563"/>
      <c r="I7" s="2563"/>
      <c r="J7" s="2563"/>
      <c r="K7" s="2563"/>
      <c r="L7" s="2563"/>
    </row>
    <row r="8" spans="2:12" x14ac:dyDescent="0.2">
      <c r="B8" s="2586" t="str">
        <f>IF(Présentation!$E$2="Français",'TRAD-Menu Résultats'!D8,IF(Présentation!$E$2="Anglais",'TRAD-Menu Résultats'!F8,""))</f>
        <v>Comprimés - Combinaisons à doses fixes</v>
      </c>
      <c r="D8" s="2558" t="s">
        <v>674</v>
      </c>
      <c r="F8" s="2558" t="s">
        <v>1194</v>
      </c>
    </row>
    <row r="9" spans="2:12" ht="25.5" x14ac:dyDescent="0.2">
      <c r="B9" s="2586" t="str">
        <f>IF(Présentation!$E$2="Français",'TRAD-Menu Résultats'!D9,IF(Présentation!$E$2="Anglais",'TRAD-Menu Résultats'!F9,""))</f>
        <v>Comprimés - 
Formes simples</v>
      </c>
      <c r="D9" s="2558" t="s">
        <v>683</v>
      </c>
      <c r="F9" s="2558" t="s">
        <v>1201</v>
      </c>
    </row>
    <row r="10" spans="2:12" x14ac:dyDescent="0.2">
      <c r="B10" s="2586" t="str">
        <f>IF(Présentation!$E$2="Français",'TRAD-Menu Résultats'!D10,IF(Présentation!$E$2="Anglais",'TRAD-Menu Résultats'!F10,""))</f>
        <v>Solutions buvables</v>
      </c>
      <c r="D10" s="2558" t="s">
        <v>78</v>
      </c>
      <c r="F10" s="2558" t="s">
        <v>1110</v>
      </c>
    </row>
    <row r="11" spans="2:12" x14ac:dyDescent="0.2">
      <c r="B11" s="2586" t="str">
        <f>IF(Présentation!$E$2="Français",'TRAD-Menu Résultats'!D11,IF(Présentation!$E$2="Anglais",'TRAD-Menu Résultats'!F11,""))</f>
        <v>Méthode / Données de File active : A</v>
      </c>
      <c r="D11" s="2558" t="s">
        <v>1187</v>
      </c>
      <c r="E11" s="2563"/>
      <c r="F11" s="2563" t="s">
        <v>1202</v>
      </c>
      <c r="G11" s="2563"/>
      <c r="H11" s="2563"/>
      <c r="I11" s="2563"/>
      <c r="J11" s="2563"/>
      <c r="K11" s="2563"/>
      <c r="L11" s="2563"/>
    </row>
    <row r="12" spans="2:12" ht="25.5" x14ac:dyDescent="0.2">
      <c r="B12" s="2586" t="str">
        <f>IF(Présentation!$E$2="Français",'TRAD-Menu Résultats'!D12,IF(Présentation!$E$2="Anglais",'TRAD-Menu Résultats'!F12,""))</f>
        <v>1. Disponibilité à partir des stocks disponibles centraux et périphériques</v>
      </c>
      <c r="D12" s="2558" t="s">
        <v>689</v>
      </c>
      <c r="F12" s="2558" t="s">
        <v>1203</v>
      </c>
    </row>
    <row r="13" spans="2:12" ht="38.25" x14ac:dyDescent="0.2">
      <c r="B13" s="2586" t="str">
        <f>IF(Présentation!$E$2="Français",'TRAD-Menu Résultats'!D13,IF(Présentation!$E$2="Anglais",'TRAD-Menu Résultats'!F13,""))</f>
        <v>2. Conséquence de la réception des commandes sur la couverture des besoins</v>
      </c>
      <c r="D13" s="2558" t="s">
        <v>691</v>
      </c>
      <c r="F13" s="2558" t="s">
        <v>1209</v>
      </c>
    </row>
    <row r="14" spans="2:12" ht="25.5" x14ac:dyDescent="0.2">
      <c r="B14" s="2586" t="str">
        <f>IF(Présentation!$E$2="Français",'TRAD-Menu Résultats'!D14,IF(Présentation!$E$2="Anglais",'TRAD-Menu Résultats'!F14,""))</f>
        <v>Méthode / Données de Consommation-Distribution : B</v>
      </c>
      <c r="D14" s="2558" t="s">
        <v>1188</v>
      </c>
      <c r="F14" s="2558" t="s">
        <v>1204</v>
      </c>
    </row>
    <row r="15" spans="2:12" ht="25.5" x14ac:dyDescent="0.2">
      <c r="B15" s="2586" t="str">
        <f>IF(Présentation!$E$2="Français",'TRAD-Menu Résultats'!D15,IF(Présentation!$E$2="Anglais",'TRAD-Menu Résultats'!F15,""))</f>
        <v>1. Couverture à partir des stocks disponibles centraux et périphériques</v>
      </c>
      <c r="D15" s="2558" t="s">
        <v>294</v>
      </c>
      <c r="F15" s="2558" t="s">
        <v>1205</v>
      </c>
    </row>
    <row r="16" spans="2:12" x14ac:dyDescent="0.2">
      <c r="B16" s="2586" t="str">
        <f>IF(Présentation!$E$2="Français",'TRAD-Menu Résultats'!D16,IF(Présentation!$E$2="Anglais",'TRAD-Menu Résultats'!F16,""))</f>
        <v>Confrontation des méthodes : C</v>
      </c>
      <c r="D16" s="2558" t="s">
        <v>1189</v>
      </c>
      <c r="F16" s="2558" t="s">
        <v>1195</v>
      </c>
    </row>
    <row r="17" spans="2:12" ht="25.5" x14ac:dyDescent="0.2">
      <c r="B17" s="2586" t="str">
        <f>IF(Présentation!$E$2="Français",'TRAD-Menu Résultats'!D17,IF(Présentation!$E$2="Anglais",'TRAD-Menu Résultats'!F17,""))</f>
        <v>2. Couverture à partir des stocks disponibles et des commandes</v>
      </c>
      <c r="D17" s="2558" t="s">
        <v>467</v>
      </c>
      <c r="F17" s="2558" t="s">
        <v>1206</v>
      </c>
    </row>
    <row r="18" spans="2:12" ht="25.5" x14ac:dyDescent="0.2">
      <c r="B18" s="2586" t="str">
        <f>IF(Présentation!$E$2="Français",'TRAD-Menu Résultats'!D18,IF(Présentation!$E$2="Anglais",'TRAD-Menu Résultats'!F18,""))</f>
        <v>Tableau de bord gestion des dates de péremptions (surstocks et périmés)</v>
      </c>
      <c r="D18" s="2558" t="s">
        <v>303</v>
      </c>
      <c r="F18" s="2558" t="s">
        <v>1210</v>
      </c>
    </row>
    <row r="19" spans="2:12" ht="38.25" x14ac:dyDescent="0.2">
      <c r="B19" s="2586" t="str">
        <f>IF(Présentation!$E$2="Français",'TRAD-Menu Résultats'!D19,IF(Présentation!$E$2="Anglais",'TRAD-Menu Résultats'!F19,""))</f>
        <v>Données prises en compte pour la méthode basée sur les files actives (versions imprimables)</v>
      </c>
      <c r="D19" s="2563" t="s">
        <v>809</v>
      </c>
      <c r="F19" s="2558" t="s">
        <v>1196</v>
      </c>
    </row>
    <row r="20" spans="2:12" x14ac:dyDescent="0.2">
      <c r="B20" s="2586" t="str">
        <f>IF(Présentation!$E$2="Français",'TRAD-Menu Résultats'!D20,IF(Présentation!$E$2="Anglais",'TRAD-Menu Résultats'!F20,""))</f>
        <v>Impression données adultes</v>
      </c>
      <c r="D20" s="2558" t="s">
        <v>804</v>
      </c>
      <c r="F20" s="2558" t="s">
        <v>1197</v>
      </c>
    </row>
    <row r="21" spans="2:12" x14ac:dyDescent="0.2">
      <c r="B21" s="2586" t="str">
        <f>IF(Présentation!$E$2="Français",'TRAD-Menu Résultats'!D21,IF(Présentation!$E$2="Anglais",'TRAD-Menu Résultats'!F21,""))</f>
        <v>Impression sélection adultes</v>
      </c>
      <c r="D21" s="2558" t="s">
        <v>806</v>
      </c>
      <c r="F21" s="2558" t="s">
        <v>1207</v>
      </c>
    </row>
    <row r="22" spans="2:12" x14ac:dyDescent="0.2">
      <c r="B22" s="2586" t="str">
        <f>IF(Présentation!$E$2="Français",'TRAD-Menu Résultats'!D22,IF(Présentation!$E$2="Anglais",'TRAD-Menu Résultats'!F22,""))</f>
        <v>Impression données pédiatriques</v>
      </c>
      <c r="D22" s="2558" t="s">
        <v>807</v>
      </c>
      <c r="F22" s="2558" t="s">
        <v>1198</v>
      </c>
    </row>
    <row r="23" spans="2:12" x14ac:dyDescent="0.2">
      <c r="B23" s="2586" t="str">
        <f>IF(Présentation!$E$2="Français",'TRAD-Menu Résultats'!D23,IF(Présentation!$E$2="Anglais",'TRAD-Menu Résultats'!F23,""))</f>
        <v>Impression sélection enfants</v>
      </c>
      <c r="D23" s="2558" t="s">
        <v>808</v>
      </c>
      <c r="F23" s="2558" t="s">
        <v>1199</v>
      </c>
    </row>
    <row r="29" spans="2:12" x14ac:dyDescent="0.2">
      <c r="E29" s="2563"/>
      <c r="F29" s="2563"/>
      <c r="G29" s="2563"/>
      <c r="H29" s="2563"/>
      <c r="I29" s="2563"/>
      <c r="J29" s="2563"/>
      <c r="K29" s="2563"/>
      <c r="L29" s="2563"/>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9"/>
  </sheetPr>
  <dimension ref="A1:N66"/>
  <sheetViews>
    <sheetView showGridLines="0" workbookViewId="0">
      <selection activeCell="L2" sqref="L2"/>
    </sheetView>
  </sheetViews>
  <sheetFormatPr defaultColWidth="11.42578125" defaultRowHeight="12.75" x14ac:dyDescent="0.2"/>
  <cols>
    <col min="1" max="1" width="3.42578125" customWidth="1"/>
    <col min="2" max="2" width="11.7109375" customWidth="1"/>
    <col min="3" max="3" width="7.28515625" customWidth="1"/>
    <col min="4" max="4" width="14.140625" customWidth="1"/>
    <col min="6" max="6" width="16.85546875" customWidth="1"/>
    <col min="7" max="7" width="37" customWidth="1"/>
    <col min="8" max="8" width="11.5703125" bestFit="1" customWidth="1"/>
    <col min="9" max="9" width="12.7109375" bestFit="1" customWidth="1"/>
    <col min="10" max="14" width="11.5703125" bestFit="1" customWidth="1"/>
  </cols>
  <sheetData>
    <row r="1" spans="1:14" ht="13.5" thickBot="1" x14ac:dyDescent="0.25">
      <c r="B1" s="434" t="str">
        <f>'TRAD-Synthèse résultats dispo'!B4</f>
        <v>Tableau d'évaluation des besoins en ARV</v>
      </c>
      <c r="C1" s="433"/>
      <c r="D1" s="433"/>
      <c r="E1" s="433"/>
      <c r="F1" s="433"/>
      <c r="G1" s="1296" t="str">
        <f>'TRAD-Synthèse résultats dispo'!B6</f>
        <v>Pays / Région</v>
      </c>
      <c r="H1" s="1298"/>
      <c r="I1" s="2465" t="str">
        <f>Paramétrage!D11:D11</f>
        <v>TEST</v>
      </c>
    </row>
    <row r="2" spans="1:14" ht="13.5" thickBot="1" x14ac:dyDescent="0.25">
      <c r="B2" s="434" t="str">
        <f>'TRAD-Synthèse résultats dispo'!B5</f>
        <v>Synthèse des données &amp; hypothèses prises en compte</v>
      </c>
      <c r="C2" s="433"/>
      <c r="D2" s="433"/>
      <c r="E2" s="433"/>
      <c r="F2" s="433"/>
      <c r="G2" s="1296" t="str">
        <f>'TRAD-Synthèse résultats dispo'!B7</f>
        <v>Date de mise à jour des données</v>
      </c>
      <c r="H2" s="1298"/>
      <c r="I2" s="3201">
        <f>Paramétrage!H19</f>
        <v>41919</v>
      </c>
    </row>
    <row r="3" spans="1:14" ht="13.5" thickBot="1" x14ac:dyDescent="0.25">
      <c r="B3" s="434"/>
      <c r="C3" s="433"/>
      <c r="D3" s="433"/>
      <c r="E3" s="433"/>
      <c r="F3" s="433"/>
      <c r="G3" s="434"/>
      <c r="H3" s="433"/>
      <c r="I3" s="433"/>
      <c r="J3" s="1344"/>
    </row>
    <row r="4" spans="1:14" ht="15.75" thickBot="1" x14ac:dyDescent="0.3">
      <c r="B4" s="434" t="str">
        <f>'TRAD-Synthèse résultats dispo'!B8</f>
        <v>Sélection des données/méthode que vous souhaitez utiliser</v>
      </c>
      <c r="C4" s="433"/>
      <c r="D4" s="433"/>
      <c r="F4" s="2763" t="s">
        <v>224</v>
      </c>
      <c r="G4" s="2762" t="str">
        <f>'TRAD-Synthèse résultats dispo'!B2</f>
        <v>Consommations/Distributions</v>
      </c>
    </row>
    <row r="5" spans="1:14" s="2530" customFormat="1" ht="15.75" thickBot="1" x14ac:dyDescent="0.3">
      <c r="B5" s="434"/>
      <c r="C5" s="433"/>
      <c r="D5" s="433"/>
      <c r="F5" s="2761"/>
      <c r="G5" s="2762" t="str">
        <f>'TRAD-Synthèse résultats dispo'!B3</f>
        <v>File active</v>
      </c>
    </row>
    <row r="6" spans="1:14" ht="13.5" thickBot="1" x14ac:dyDescent="0.25"/>
    <row r="7" spans="1:14" ht="13.5" thickBot="1" x14ac:dyDescent="0.25">
      <c r="B7" s="1296" t="str">
        <f>'TRAD-Synthèse résultats dispo'!B9</f>
        <v xml:space="preserve">Le paramétrage prend il en compte les dates limites d'utilisation : </v>
      </c>
      <c r="C7" s="1298"/>
      <c r="D7" s="1298"/>
      <c r="E7" s="1298"/>
      <c r="F7" s="1298"/>
      <c r="G7" s="2431" t="str">
        <f>IF('Saisie données stocks'!O10='TRAD-Saisie données stocks'!$B$51, Calculs!F502, IF('Saisie données stocks'!O10="NON", Calculs!D509, Calculs!D509))</f>
        <v>Prises en compte</v>
      </c>
      <c r="H7" s="1298"/>
      <c r="I7" s="1297"/>
      <c r="J7" s="1344"/>
    </row>
    <row r="8" spans="1:14" ht="13.5" thickBot="1" x14ac:dyDescent="0.25">
      <c r="B8" s="1296" t="str">
        <f>'TRAD-Synthèse résultats dispo'!B10</f>
        <v>Durée maximale d'utilisation prise en compte</v>
      </c>
      <c r="C8" s="1298"/>
      <c r="D8" s="1298"/>
      <c r="E8" s="1298"/>
      <c r="F8" s="1298"/>
      <c r="G8" s="2431" t="str">
        <f>CONCATENATE('Saisie données stocks'!N14, " ", 'TRAD-Synthèse résultats dispo'!B22)</f>
        <v>6 mois</v>
      </c>
      <c r="H8" s="1298"/>
      <c r="I8" s="1297"/>
      <c r="J8" s="1344"/>
    </row>
    <row r="9" spans="1:14" x14ac:dyDescent="0.2">
      <c r="C9" s="434"/>
      <c r="D9" s="433"/>
      <c r="E9" s="433"/>
      <c r="F9" s="433"/>
      <c r="G9" s="433"/>
      <c r="H9" s="433"/>
      <c r="I9" s="433"/>
      <c r="J9" s="433"/>
      <c r="K9" s="1292"/>
    </row>
    <row r="10" spans="1:14" x14ac:dyDescent="0.2">
      <c r="A10" s="3297" t="str">
        <f>'TRAD-Synthèse résultats dispo'!B12</f>
        <v>Résultats de disponibilité</v>
      </c>
      <c r="B10" s="3297"/>
      <c r="C10" s="3297"/>
      <c r="D10" s="3297"/>
      <c r="E10" s="3297"/>
      <c r="F10" s="3297"/>
      <c r="G10" s="3297"/>
      <c r="H10" s="3297"/>
      <c r="I10" s="3297"/>
      <c r="J10" s="3297"/>
      <c r="K10" s="3297"/>
      <c r="L10" s="3297"/>
      <c r="M10" s="3297"/>
      <c r="N10" s="3297"/>
    </row>
    <row r="11" spans="1:14" ht="13.5" thickBot="1" x14ac:dyDescent="0.25">
      <c r="A11" s="433"/>
      <c r="B11" s="433"/>
      <c r="C11" s="433"/>
      <c r="D11" s="433"/>
      <c r="E11" s="433"/>
      <c r="F11" s="433"/>
      <c r="G11" s="433"/>
      <c r="H11" s="433"/>
      <c r="I11" s="433"/>
      <c r="J11" s="433"/>
      <c r="K11" s="433"/>
      <c r="L11" s="433"/>
      <c r="M11" s="433"/>
    </row>
    <row r="12" spans="1:14" ht="84.75" thickBot="1" x14ac:dyDescent="0.25">
      <c r="A12" s="444"/>
      <c r="B12" s="451"/>
      <c r="C12" s="459"/>
      <c r="D12" s="453" t="str">
        <f>Calculs!E261</f>
        <v>Composition</v>
      </c>
      <c r="E12" s="453" t="str">
        <f>Calculs!F261</f>
        <v>Forme galénique</v>
      </c>
      <c r="F12" s="453" t="str">
        <f>Calculs!G261</f>
        <v>Dosage</v>
      </c>
      <c r="G12" s="453" t="str">
        <f>Calculs!H261</f>
        <v>DCI</v>
      </c>
      <c r="H12" s="2464" t="str">
        <f>Calculs!K261</f>
        <v>Conditionnement</v>
      </c>
      <c r="I12" s="2468" t="str">
        <f>'TRAD-Synthèse résultats dispo'!B13</f>
        <v>CMM ou estimation du besoin moyen mensuel à baseline selon méthode</v>
      </c>
      <c r="J12" s="2529" t="str">
        <f>'TRAD-Synthèse résultats dispo'!B14</f>
        <v>Quantités totales en stock (nb de boites) [1]</v>
      </c>
      <c r="K12" s="2432" t="str">
        <f>'TRAD-Synthèse résultats dispo'!B15</f>
        <v>Quantités totales UTILISABLES avant péremption (nb de boites)</v>
      </c>
      <c r="L12" s="2434" t="str">
        <f>'TRAD-Synthèse résultats dispo'!B16</f>
        <v>Nombre de mois de disponibilité de produits sur Stock disponible UTILISABLE [2]</v>
      </c>
      <c r="M12" s="2433" t="str">
        <f>Calculs!P261</f>
        <v>Commandes attendues à court termes (nb de boites)</v>
      </c>
      <c r="N12" s="2434" t="str">
        <f>'TRAD-Synthèse résultats dispo'!B17</f>
        <v>Nombre de mois de disponibilité de produits sur quantités sur commandes attendues [3]</v>
      </c>
    </row>
    <row r="13" spans="1:14" x14ac:dyDescent="0.2">
      <c r="A13" s="433"/>
      <c r="B13" s="449" t="str">
        <f>Calculs!C262</f>
        <v>Comprimés</v>
      </c>
      <c r="C13" s="445" t="str">
        <f>Calculs!D262</f>
        <v>CDF</v>
      </c>
      <c r="D13" s="452" t="str">
        <f>Calculs!E262</f>
        <v>AZT+3TC+NVP</v>
      </c>
      <c r="E13" s="452" t="str">
        <f>Calculs!F262</f>
        <v>Cp</v>
      </c>
      <c r="F13" s="452" t="str">
        <f>Calculs!G262</f>
        <v>300/150/200 mg</v>
      </c>
      <c r="G13" s="452" t="str">
        <f>Calculs!H262</f>
        <v>Zidovudine+ Lamivudine+ Nevirapine</v>
      </c>
      <c r="H13" s="1265">
        <f>Calculs!K262</f>
        <v>60</v>
      </c>
      <c r="I13" s="3177">
        <f>IF($F$5="X", 'Calculs dispo Données FA'!N125, IF($F$4="X", 'Calculs dispo Données conso'!N127, "0"))</f>
        <v>6338</v>
      </c>
      <c r="J13" s="1270">
        <f>Calculs!L372+Calculs!M372</f>
        <v>71892</v>
      </c>
      <c r="K13" s="1271">
        <f>IF($F$5="X", 'Calculs dispo Données FA'!M125, IF($F$4="X", 'Calculs dispo Données conso'!M127, "0"))</f>
        <v>71892</v>
      </c>
      <c r="L13" s="2435">
        <f>IF($F$5="X", 'Calculs dispo Données FA'!W125, IF($F$4="X", 'Calculs dispo Données conso'!W127, "0"))</f>
        <v>11.343010413379615</v>
      </c>
      <c r="M13" s="2438">
        <f>Calculs!N372</f>
        <v>0</v>
      </c>
      <c r="N13" s="2435" t="str">
        <f>IF($F$5="X", 'Calculs dispo Données FA'!AO182, IF($F$4="X", 'Calculs dispo Données conso'!AO184, "0"))</f>
        <v/>
      </c>
    </row>
    <row r="14" spans="1:14" x14ac:dyDescent="0.2">
      <c r="A14" s="433"/>
      <c r="B14" s="449"/>
      <c r="C14" s="445"/>
      <c r="D14" s="452" t="str">
        <f>Calculs!E263</f>
        <v>AZT+3TC+NVP</v>
      </c>
      <c r="E14" s="452" t="str">
        <f>Calculs!F263</f>
        <v>Cp</v>
      </c>
      <c r="F14" s="452" t="str">
        <f>Calculs!G263</f>
        <v>60/30/50 mg</v>
      </c>
      <c r="G14" s="452" t="str">
        <f>Calculs!H263</f>
        <v>Zidovudine+ Lamivudine+ Nevirapine</v>
      </c>
      <c r="H14" s="1265">
        <f>Calculs!K263</f>
        <v>60</v>
      </c>
      <c r="I14" s="3177">
        <f>IF($F$5="X", 'Calculs dispo Données FA'!N126, IF($F$4="X", 'Calculs dispo Données conso'!N128, "0"))</f>
        <v>546</v>
      </c>
      <c r="J14" s="1270">
        <f>Calculs!L373+Calculs!M373</f>
        <v>1522</v>
      </c>
      <c r="K14" s="1271">
        <f>IF($F$5="X", 'Calculs dispo Données FA'!M126, IF($F$4="X", 'Calculs dispo Données conso'!M128, "0"))</f>
        <v>1522</v>
      </c>
      <c r="L14" s="2435">
        <f>IF($F$5="X", 'Calculs dispo Données FA'!W126, IF($F$4="X", 'Calculs dispo Données conso'!W128, "0"))</f>
        <v>2.7875457875457874</v>
      </c>
      <c r="M14" s="2438">
        <f>Calculs!N373</f>
        <v>0</v>
      </c>
      <c r="N14" s="2435" t="str">
        <f>IF($F$5="X", 'Calculs dispo Données FA'!AO183, IF($F$4="X", 'Calculs dispo Données conso'!AO185, "0"))</f>
        <v/>
      </c>
    </row>
    <row r="15" spans="1:14" x14ac:dyDescent="0.2">
      <c r="A15" s="433"/>
      <c r="B15" s="449"/>
      <c r="C15" s="445"/>
      <c r="D15" s="446" t="str">
        <f>Calculs!E264</f>
        <v>AZT+3TC+ABC</v>
      </c>
      <c r="E15" s="446" t="str">
        <f>Calculs!F264</f>
        <v>Cp</v>
      </c>
      <c r="F15" s="446" t="str">
        <f>Calculs!G264</f>
        <v>300/150/300 mg</v>
      </c>
      <c r="G15" s="446" t="str">
        <f>Calculs!H264</f>
        <v>Zidovudine+ Lamivudine+ Abacavir</v>
      </c>
      <c r="H15" s="1266">
        <f>Calculs!K264</f>
        <v>60</v>
      </c>
      <c r="I15" s="3178">
        <f>IF($F$5="X", 'Calculs dispo Données FA'!N127, IF($F$4="X", 'Calculs dispo Données conso'!N129, "0"))</f>
        <v>27</v>
      </c>
      <c r="J15" s="1272">
        <f>Calculs!L374+Calculs!M374</f>
        <v>666</v>
      </c>
      <c r="K15" s="1273">
        <f>IF($F$5="X", 'Calculs dispo Données FA'!M127, IF($F$4="X", 'Calculs dispo Données conso'!M129, "0"))</f>
        <v>237.00821917808219</v>
      </c>
      <c r="L15" s="2436">
        <f>IF($F$5="X", 'Calculs dispo Données FA'!W127, IF($F$4="X", 'Calculs dispo Données conso'!W129, "0"))</f>
        <v>8.7780821917808218</v>
      </c>
      <c r="M15" s="2439">
        <f>Calculs!N374</f>
        <v>0</v>
      </c>
      <c r="N15" s="2436" t="str">
        <f>IF($F$5="X", 'Calculs dispo Données FA'!AO184, IF($F$4="X", 'Calculs dispo Données conso'!AO186, "0"))</f>
        <v/>
      </c>
    </row>
    <row r="16" spans="1:14" x14ac:dyDescent="0.2">
      <c r="A16" s="433"/>
      <c r="B16" s="449"/>
      <c r="C16" s="445"/>
      <c r="D16" s="446" t="str">
        <f>Calculs!E265</f>
        <v>AZT+3TC</v>
      </c>
      <c r="E16" s="446" t="str">
        <f>Calculs!F265</f>
        <v>Cp</v>
      </c>
      <c r="F16" s="446" t="str">
        <f>Calculs!G265</f>
        <v>300/150 mg</v>
      </c>
      <c r="G16" s="446" t="str">
        <f>Calculs!H265</f>
        <v>Zidovudine+ Lamivudine</v>
      </c>
      <c r="H16" s="1266">
        <f>Calculs!K265</f>
        <v>60</v>
      </c>
      <c r="I16" s="3178">
        <f>IF($F$5="X", 'Calculs dispo Données FA'!N128, IF($F$4="X", 'Calculs dispo Données conso'!N130, "0"))</f>
        <v>1267</v>
      </c>
      <c r="J16" s="1272">
        <f>Calculs!L375+Calculs!M375</f>
        <v>12350</v>
      </c>
      <c r="K16" s="1273">
        <f>IF($F$5="X", 'Calculs dispo Données FA'!M128, IF($F$4="X", 'Calculs dispo Données conso'!M130, "0"))</f>
        <v>12350</v>
      </c>
      <c r="L16" s="2436">
        <f>IF($F$5="X", 'Calculs dispo Données FA'!W128, IF($F$4="X", 'Calculs dispo Données conso'!W130, "0"))</f>
        <v>9.7474348855564319</v>
      </c>
      <c r="M16" s="2439">
        <f>Calculs!N375</f>
        <v>0</v>
      </c>
      <c r="N16" s="2436" t="str">
        <f>IF($F$5="X", 'Calculs dispo Données FA'!AO185, IF($F$4="X", 'Calculs dispo Données conso'!AO187, "0"))</f>
        <v/>
      </c>
    </row>
    <row r="17" spans="1:14" x14ac:dyDescent="0.2">
      <c r="A17" s="433"/>
      <c r="B17" s="449"/>
      <c r="C17" s="445"/>
      <c r="D17" s="446" t="str">
        <f>Calculs!E266</f>
        <v>AZT+3TC</v>
      </c>
      <c r="E17" s="446" t="str">
        <f>Calculs!F266</f>
        <v>Cp</v>
      </c>
      <c r="F17" s="446" t="str">
        <f>Calculs!G266</f>
        <v>60/30 mg</v>
      </c>
      <c r="G17" s="446" t="str">
        <f>Calculs!H266</f>
        <v>Zidovudine+ Lamivudine</v>
      </c>
      <c r="H17" s="1266">
        <f>Calculs!K266</f>
        <v>60</v>
      </c>
      <c r="I17" s="3178">
        <f>IF($F$5="X", 'Calculs dispo Données FA'!N129, IF($F$4="X", 'Calculs dispo Données conso'!N131, "0"))</f>
        <v>146</v>
      </c>
      <c r="J17" s="1272">
        <f>Calculs!L376+Calculs!M376</f>
        <v>903</v>
      </c>
      <c r="K17" s="1273">
        <f>IF($F$5="X", 'Calculs dispo Données FA'!M129, IF($F$4="X", 'Calculs dispo Données conso'!M131, "0"))</f>
        <v>903</v>
      </c>
      <c r="L17" s="2436">
        <f>IF($F$5="X", 'Calculs dispo Données FA'!W129, IF($F$4="X", 'Calculs dispo Données conso'!W131, "0"))</f>
        <v>6.1849315068493151</v>
      </c>
      <c r="M17" s="2439">
        <f>Calculs!N376</f>
        <v>0</v>
      </c>
      <c r="N17" s="2436" t="str">
        <f>IF($F$5="X", 'Calculs dispo Données FA'!AO186, IF($F$4="X", 'Calculs dispo Données conso'!AO188, "0"))</f>
        <v/>
      </c>
    </row>
    <row r="18" spans="1:14" x14ac:dyDescent="0.2">
      <c r="A18" s="433"/>
      <c r="B18" s="449"/>
      <c r="C18" s="445"/>
      <c r="D18" s="446" t="str">
        <f>Calculs!E267</f>
        <v>3TC+ABC</v>
      </c>
      <c r="E18" s="446" t="str">
        <f>Calculs!F267</f>
        <v>Cp</v>
      </c>
      <c r="F18" s="446" t="str">
        <f>Calculs!G267</f>
        <v>300/600 mg</v>
      </c>
      <c r="G18" s="446" t="str">
        <f>Calculs!H267</f>
        <v>Lamivudine+ Abacavir</v>
      </c>
      <c r="H18" s="1266">
        <f>Calculs!K267</f>
        <v>30</v>
      </c>
      <c r="I18" s="3178">
        <f>IF($F$5="X", 'Calculs dispo Données FA'!N130, IF($F$4="X", 'Calculs dispo Données conso'!N132, "0"))</f>
        <v>56</v>
      </c>
      <c r="J18" s="1272">
        <f>Calculs!L377+Calculs!M377</f>
        <v>187</v>
      </c>
      <c r="K18" s="1273">
        <f>IF($F$5="X", 'Calculs dispo Données FA'!M130, IF($F$4="X", 'Calculs dispo Données conso'!M132, "0"))</f>
        <v>187</v>
      </c>
      <c r="L18" s="2436">
        <f>IF($F$5="X", 'Calculs dispo Données FA'!W130, IF($F$4="X", 'Calculs dispo Données conso'!W132, "0"))</f>
        <v>3.3392857142857144</v>
      </c>
      <c r="M18" s="2439">
        <f>Calculs!N377</f>
        <v>305</v>
      </c>
      <c r="N18" s="2436">
        <f>IF($F$5="X", 'Calculs dispo Données FA'!AO187, IF($F$4="X", 'Calculs dispo Données conso'!AO189, "0"))</f>
        <v>5.4464285714285721</v>
      </c>
    </row>
    <row r="19" spans="1:14" x14ac:dyDescent="0.2">
      <c r="A19" s="433"/>
      <c r="B19" s="449"/>
      <c r="C19" s="445"/>
      <c r="D19" s="446" t="str">
        <f>Calculs!E268</f>
        <v>3TC+ABC</v>
      </c>
      <c r="E19" s="446" t="str">
        <f>Calculs!F268</f>
        <v>Cp</v>
      </c>
      <c r="F19" s="446" t="str">
        <f>Calculs!G268</f>
        <v>30/60 mg</v>
      </c>
      <c r="G19" s="446" t="str">
        <f>Calculs!H268</f>
        <v>Lamivudine+ Abacavir</v>
      </c>
      <c r="H19" s="1266">
        <f>Calculs!K268</f>
        <v>60</v>
      </c>
      <c r="I19" s="3178">
        <f>IF($F$5="X", 'Calculs dispo Données FA'!N131, IF($F$4="X", 'Calculs dispo Données conso'!N133, "0"))</f>
        <v>22</v>
      </c>
      <c r="J19" s="1272">
        <f>Calculs!L378+Calculs!M378</f>
        <v>231</v>
      </c>
      <c r="K19" s="1273">
        <f>IF($F$5="X", 'Calculs dispo Données FA'!M131, IF($F$4="X", 'Calculs dispo Données conso'!M133, "0"))</f>
        <v>84.62465753424658</v>
      </c>
      <c r="L19" s="2436">
        <f>IF($F$5="X", 'Calculs dispo Données FA'!W131, IF($F$4="X", 'Calculs dispo Données conso'!W133, "0"))</f>
        <v>3.8465753424657536</v>
      </c>
      <c r="M19" s="2439">
        <f>Calculs!N378</f>
        <v>0</v>
      </c>
      <c r="N19" s="2436" t="str">
        <f>IF($F$5="X", 'Calculs dispo Données FA'!AO188, IF($F$4="X", 'Calculs dispo Données conso'!AO190, "0"))</f>
        <v/>
      </c>
    </row>
    <row r="20" spans="1:14" x14ac:dyDescent="0.2">
      <c r="A20" s="433"/>
      <c r="B20" s="449"/>
      <c r="C20" s="445"/>
      <c r="D20" s="446" t="str">
        <f>Calculs!E269</f>
        <v>D4T+3TC+NVP</v>
      </c>
      <c r="E20" s="446" t="str">
        <f>Calculs!F269</f>
        <v>Cp</v>
      </c>
      <c r="F20" s="446" t="str">
        <f>Calculs!G269</f>
        <v>30/150/200 mg</v>
      </c>
      <c r="G20" s="446" t="str">
        <f>Calculs!H269</f>
        <v>Stavudine+ Lamivudine+ Nevirapine</v>
      </c>
      <c r="H20" s="1266">
        <f>Calculs!K269</f>
        <v>60</v>
      </c>
      <c r="I20" s="3178">
        <f>IF($F$5="X", 'Calculs dispo Données FA'!N132, IF($F$4="X", 'Calculs dispo Données conso'!N134, "0"))</f>
        <v>0</v>
      </c>
      <c r="J20" s="1272">
        <f>Calculs!L379+Calculs!M379</f>
        <v>0</v>
      </c>
      <c r="K20" s="1273">
        <f>IF($F$5="X", 'Calculs dispo Données FA'!M132, IF($F$4="X", 'Calculs dispo Données conso'!M134, "0"))</f>
        <v>0</v>
      </c>
      <c r="L20" s="2436" t="str">
        <f>IF($F$5="X", 'Calculs dispo Données FA'!W132, IF($F$4="X", 'Calculs dispo Données conso'!W134, "0"))</f>
        <v/>
      </c>
      <c r="M20" s="2439">
        <f>Calculs!N379</f>
        <v>0</v>
      </c>
      <c r="N20" s="2436" t="str">
        <f>IF($F$5="X", 'Calculs dispo Données FA'!AO189, IF($F$4="X", 'Calculs dispo Données conso'!AO191, "0"))</f>
        <v/>
      </c>
    </row>
    <row r="21" spans="1:14" x14ac:dyDescent="0.2">
      <c r="A21" s="433"/>
      <c r="B21" s="449"/>
      <c r="C21" s="445"/>
      <c r="D21" s="446" t="str">
        <f>Calculs!E270</f>
        <v>D4T+3TC+NVP</v>
      </c>
      <c r="E21" s="446" t="str">
        <f>Calculs!F270</f>
        <v>Cp</v>
      </c>
      <c r="F21" s="446" t="str">
        <f>Calculs!G270</f>
        <v>6/30/50 mg</v>
      </c>
      <c r="G21" s="446" t="str">
        <f>Calculs!H270</f>
        <v>Stavudine+ Lamivudine+ Nevirapine</v>
      </c>
      <c r="H21" s="1266">
        <f>Calculs!K270</f>
        <v>60</v>
      </c>
      <c r="I21" s="3178">
        <f>IF($F$5="X", 'Calculs dispo Données FA'!N133, IF($F$4="X", 'Calculs dispo Données conso'!N135, "0"))</f>
        <v>100</v>
      </c>
      <c r="J21" s="1272">
        <f>Calculs!L380+Calculs!M380</f>
        <v>121</v>
      </c>
      <c r="K21" s="1273">
        <f>IF($F$5="X", 'Calculs dispo Données FA'!M133, IF($F$4="X", 'Calculs dispo Données conso'!M135, "0"))</f>
        <v>112.1917808219178</v>
      </c>
      <c r="L21" s="2436">
        <f>IF($F$5="X", 'Calculs dispo Données FA'!W133, IF($F$4="X", 'Calculs dispo Données conso'!W135, "0"))</f>
        <v>0.82191780821917804</v>
      </c>
      <c r="M21" s="2439">
        <f>Calculs!N380</f>
        <v>0</v>
      </c>
      <c r="N21" s="2436" t="str">
        <f>IF($F$5="X", 'Calculs dispo Données FA'!AO190, IF($F$4="X", 'Calculs dispo Données conso'!AO192, "0"))</f>
        <v/>
      </c>
    </row>
    <row r="22" spans="1:14" x14ac:dyDescent="0.2">
      <c r="A22" s="433"/>
      <c r="B22" s="449"/>
      <c r="C22" s="445"/>
      <c r="D22" s="446" t="str">
        <f>Calculs!E271</f>
        <v>D4T+3TC</v>
      </c>
      <c r="E22" s="446" t="str">
        <f>Calculs!F271</f>
        <v>Cp</v>
      </c>
      <c r="F22" s="446" t="str">
        <f>Calculs!G271</f>
        <v>30/150 mg</v>
      </c>
      <c r="G22" s="446" t="str">
        <f>Calculs!H271</f>
        <v>Stavudine+ Lamivudine</v>
      </c>
      <c r="H22" s="1266">
        <f>Calculs!K271</f>
        <v>60</v>
      </c>
      <c r="I22" s="3178">
        <f>IF($F$5="X", 'Calculs dispo Données FA'!N134, IF($F$4="X", 'Calculs dispo Données conso'!N136, "0"))</f>
        <v>45</v>
      </c>
      <c r="J22" s="1272">
        <f>Calculs!L381+Calculs!M381</f>
        <v>16</v>
      </c>
      <c r="K22" s="1273">
        <f>IF($F$5="X", 'Calculs dispo Données FA'!M134, IF($F$4="X", 'Calculs dispo Données conso'!M136, "0"))</f>
        <v>16</v>
      </c>
      <c r="L22" s="2436">
        <f>IF($F$5="X", 'Calculs dispo Données FA'!W134, IF($F$4="X", 'Calculs dispo Données conso'!W136, "0"))</f>
        <v>0.35555555555555557</v>
      </c>
      <c r="M22" s="2439">
        <f>Calculs!N381</f>
        <v>0</v>
      </c>
      <c r="N22" s="2436" t="str">
        <f>IF($F$5="X", 'Calculs dispo Données FA'!AO191, IF($F$4="X", 'Calculs dispo Données conso'!AO193, "0"))</f>
        <v/>
      </c>
    </row>
    <row r="23" spans="1:14" x14ac:dyDescent="0.2">
      <c r="A23" s="433"/>
      <c r="B23" s="449"/>
      <c r="C23" s="445"/>
      <c r="D23" s="446" t="str">
        <f>Calculs!E272</f>
        <v>TDF+FTC+EFV</v>
      </c>
      <c r="E23" s="446" t="str">
        <f>Calculs!F272</f>
        <v>Cp</v>
      </c>
      <c r="F23" s="446" t="str">
        <f>Calculs!G272</f>
        <v>300/200/600 mg</v>
      </c>
      <c r="G23" s="446" t="str">
        <f>Calculs!H272</f>
        <v>Tenofovir+ Emtricitabine+ Efavirenz</v>
      </c>
      <c r="H23" s="1266">
        <f>Calculs!K272</f>
        <v>30</v>
      </c>
      <c r="I23" s="3178">
        <f>IF($F$5="X", 'Calculs dispo Données FA'!N135, IF($F$4="X", 'Calculs dispo Données conso'!N137, "0"))</f>
        <v>0</v>
      </c>
      <c r="J23" s="1272">
        <f>Calculs!L382+Calculs!M382</f>
        <v>0</v>
      </c>
      <c r="K23" s="1273">
        <f>IF($F$5="X", 'Calculs dispo Données FA'!M135, IF($F$4="X", 'Calculs dispo Données conso'!M137, "0"))</f>
        <v>0</v>
      </c>
      <c r="L23" s="2436" t="str">
        <f>IF($F$5="X", 'Calculs dispo Données FA'!W135, IF($F$4="X", 'Calculs dispo Données conso'!W137, "0"))</f>
        <v/>
      </c>
      <c r="M23" s="2439">
        <f>Calculs!N382</f>
        <v>0</v>
      </c>
      <c r="N23" s="2436" t="str">
        <f>IF($F$5="X", 'Calculs dispo Données FA'!AO192, IF($F$4="X", 'Calculs dispo Données conso'!AO194, "0"))</f>
        <v/>
      </c>
    </row>
    <row r="24" spans="1:14" x14ac:dyDescent="0.2">
      <c r="A24" s="433"/>
      <c r="B24" s="449"/>
      <c r="C24" s="445"/>
      <c r="D24" s="446" t="str">
        <f>Calculs!E273</f>
        <v>TDF+FTC</v>
      </c>
      <c r="E24" s="446" t="str">
        <f>Calculs!F273</f>
        <v>Cp</v>
      </c>
      <c r="F24" s="446" t="str">
        <f>Calculs!G273</f>
        <v>300/200 mg</v>
      </c>
      <c r="G24" s="446" t="str">
        <f>Calculs!H273</f>
        <v>Tenofovir+ Emtricitabine</v>
      </c>
      <c r="H24" s="1266">
        <f>Calculs!K273</f>
        <v>30</v>
      </c>
      <c r="I24" s="3178">
        <f>IF($F$5="X", 'Calculs dispo Données FA'!N136, IF($F$4="X", 'Calculs dispo Données conso'!N138, "0"))</f>
        <v>0</v>
      </c>
      <c r="J24" s="1272">
        <f>Calculs!L383+Calculs!M383</f>
        <v>0</v>
      </c>
      <c r="K24" s="1273">
        <f>IF($F$5="X", 'Calculs dispo Données FA'!M136, IF($F$4="X", 'Calculs dispo Données conso'!M138, "0"))</f>
        <v>0</v>
      </c>
      <c r="L24" s="2436" t="str">
        <f>IF($F$5="X", 'Calculs dispo Données FA'!W136, IF($F$4="X", 'Calculs dispo Données conso'!W138, "0"))</f>
        <v/>
      </c>
      <c r="M24" s="2439">
        <f>Calculs!N383</f>
        <v>0</v>
      </c>
      <c r="N24" s="2436" t="str">
        <f>IF($F$5="X", 'Calculs dispo Données FA'!AO193, IF($F$4="X", 'Calculs dispo Données conso'!AO195, "0"))</f>
        <v/>
      </c>
    </row>
    <row r="25" spans="1:14" x14ac:dyDescent="0.2">
      <c r="A25" s="433"/>
      <c r="B25" s="449"/>
      <c r="C25" s="445"/>
      <c r="D25" s="446" t="str">
        <f>Calculs!E274</f>
        <v>TDF+3TC+EFV</v>
      </c>
      <c r="E25" s="446" t="str">
        <f>Calculs!F274</f>
        <v>Cp</v>
      </c>
      <c r="F25" s="446" t="str">
        <f>Calculs!G274</f>
        <v>300/200/600 mg</v>
      </c>
      <c r="G25" s="446" t="str">
        <f>Calculs!H274</f>
        <v>Tenofovir+ Lamivudine+ Efavirenz</v>
      </c>
      <c r="H25" s="1266">
        <f>Calculs!K274</f>
        <v>30</v>
      </c>
      <c r="I25" s="3178">
        <f>IF($F$5="X", 'Calculs dispo Données FA'!N137, IF($F$4="X", 'Calculs dispo Données conso'!N139, "0"))</f>
        <v>1484</v>
      </c>
      <c r="J25" s="1272">
        <f>Calculs!L384+Calculs!M384</f>
        <v>38746</v>
      </c>
      <c r="K25" s="1273">
        <f>IF($F$5="X", 'Calculs dispo Données FA'!M137, IF($F$4="X", 'Calculs dispo Données conso'!M139, "0"))</f>
        <v>23203.397260273974</v>
      </c>
      <c r="L25" s="2436">
        <f>IF($F$5="X", 'Calculs dispo Données FA'!W137, IF($F$4="X", 'Calculs dispo Données conso'!W139, "0"))</f>
        <v>13.808219178082192</v>
      </c>
      <c r="M25" s="2439">
        <f>Calculs!N384</f>
        <v>0</v>
      </c>
      <c r="N25" s="2436" t="str">
        <f>IF($F$5="X", 'Calculs dispo Données FA'!AO194, IF($F$4="X", 'Calculs dispo Données conso'!AO196, "0"))</f>
        <v/>
      </c>
    </row>
    <row r="26" spans="1:14" x14ac:dyDescent="0.2">
      <c r="A26" s="433"/>
      <c r="B26" s="449"/>
      <c r="C26" s="445"/>
      <c r="D26" s="446" t="str">
        <f>Calculs!E275</f>
        <v>TDF+3TC</v>
      </c>
      <c r="E26" s="446" t="str">
        <f>Calculs!F275</f>
        <v>Cp</v>
      </c>
      <c r="F26" s="446" t="str">
        <f>Calculs!G275</f>
        <v>300/200 mg</v>
      </c>
      <c r="G26" s="446" t="str">
        <f>Calculs!H275</f>
        <v>Tenofovir+ Lamivudine</v>
      </c>
      <c r="H26" s="1266">
        <f>Calculs!K275</f>
        <v>30</v>
      </c>
      <c r="I26" s="3178">
        <f>IF($F$5="X", 'Calculs dispo Données FA'!N138, IF($F$4="X", 'Calculs dispo Données conso'!N140, "0"))</f>
        <v>104</v>
      </c>
      <c r="J26" s="1272">
        <f>Calculs!L385+Calculs!M385</f>
        <v>505</v>
      </c>
      <c r="K26" s="1273">
        <f>IF($F$5="X", 'Calculs dispo Données FA'!M138, IF($F$4="X", 'Calculs dispo Données conso'!M140, "0"))</f>
        <v>495.78082191780817</v>
      </c>
      <c r="L26" s="2436">
        <f>IF($F$5="X", 'Calculs dispo Données FA'!W138, IF($F$4="X", 'Calculs dispo Données conso'!W140, "0"))</f>
        <v>4.7671232876712324</v>
      </c>
      <c r="M26" s="2439">
        <f>Calculs!N385</f>
        <v>0</v>
      </c>
      <c r="N26" s="2436" t="str">
        <f>IF($F$5="X", 'Calculs dispo Données FA'!AO195, IF($F$4="X", 'Calculs dispo Données conso'!AO197, "0"))</f>
        <v/>
      </c>
    </row>
    <row r="27" spans="1:14" x14ac:dyDescent="0.2">
      <c r="A27" s="433"/>
      <c r="B27" s="449"/>
      <c r="C27" s="445"/>
      <c r="D27" s="446" t="str">
        <f>Calculs!E276</f>
        <v>[TDF+3TC]+ATV/r</v>
      </c>
      <c r="E27" s="446" t="str">
        <f>Calculs!F276</f>
        <v>Cp coblister</v>
      </c>
      <c r="F27" s="446" t="str">
        <f>Calculs!G276</f>
        <v>[300/300]+300/100 mg</v>
      </c>
      <c r="G27" s="446" t="str">
        <f>Calculs!H276</f>
        <v>[Tenofovir+ Lamivudine]+ Atazanavir/Ritonavir</v>
      </c>
      <c r="H27" s="1266">
        <f>Calculs!K276</f>
        <v>30</v>
      </c>
      <c r="I27" s="3178">
        <f>IF($F$5="X", 'Calculs dispo Données FA'!N139, IF($F$4="X", 'Calculs dispo Données conso'!N141, "0"))</f>
        <v>0</v>
      </c>
      <c r="J27" s="1272">
        <f>Calculs!L386+Calculs!M386</f>
        <v>0</v>
      </c>
      <c r="K27" s="1273">
        <f>IF($F$5="X", 'Calculs dispo Données FA'!M139, IF($F$4="X", 'Calculs dispo Données conso'!M141, "0"))</f>
        <v>0</v>
      </c>
      <c r="L27" s="2436" t="str">
        <f>IF($F$5="X", 'Calculs dispo Données FA'!W139, IF($F$4="X", 'Calculs dispo Données conso'!W141, "0"))</f>
        <v/>
      </c>
      <c r="M27" s="2439">
        <f>Calculs!N386</f>
        <v>0</v>
      </c>
      <c r="N27" s="2436" t="str">
        <f>IF($F$5="X", 'Calculs dispo Données FA'!AO196, IF($F$4="X", 'Calculs dispo Données conso'!AO198, "0"))</f>
        <v/>
      </c>
    </row>
    <row r="28" spans="1:14" x14ac:dyDescent="0.2">
      <c r="A28" s="433"/>
      <c r="B28" s="449"/>
      <c r="C28" s="457" t="str">
        <f>Calculs!D277</f>
        <v>INNTI</v>
      </c>
      <c r="D28" s="446" t="str">
        <f>Calculs!E277</f>
        <v>EFV</v>
      </c>
      <c r="E28" s="446" t="str">
        <f>Calculs!F277</f>
        <v>Gél</v>
      </c>
      <c r="F28" s="446" t="str">
        <f>Calculs!G277</f>
        <v>50 mg</v>
      </c>
      <c r="G28" s="446" t="str">
        <f>Calculs!H277</f>
        <v>Efavirenz</v>
      </c>
      <c r="H28" s="1266">
        <f>Calculs!K277</f>
        <v>30</v>
      </c>
      <c r="I28" s="3178">
        <f>IF($F$5="X", 'Calculs dispo Données FA'!N140, IF($F$4="X", 'Calculs dispo Données conso'!N142, "0"))</f>
        <v>0</v>
      </c>
      <c r="J28" s="1272">
        <f>Calculs!L387+Calculs!M387</f>
        <v>0</v>
      </c>
      <c r="K28" s="1273">
        <f>IF($F$5="X", 'Calculs dispo Données FA'!M140, IF($F$4="X", 'Calculs dispo Données conso'!M142, "0"))</f>
        <v>0</v>
      </c>
      <c r="L28" s="2436" t="str">
        <f>IF($F$5="X", 'Calculs dispo Données FA'!W140, IF($F$4="X", 'Calculs dispo Données conso'!W142, "0"))</f>
        <v/>
      </c>
      <c r="M28" s="2439">
        <f>Calculs!N387</f>
        <v>0</v>
      </c>
      <c r="N28" s="2436" t="str">
        <f>IF($F$5="X", 'Calculs dispo Données FA'!AO197, IF($F$4="X", 'Calculs dispo Données conso'!AO199, "0"))</f>
        <v/>
      </c>
    </row>
    <row r="29" spans="1:14" x14ac:dyDescent="0.2">
      <c r="A29" s="433"/>
      <c r="B29" s="449"/>
      <c r="C29" s="445"/>
      <c r="D29" s="446" t="str">
        <f>Calculs!E278</f>
        <v>EFV</v>
      </c>
      <c r="E29" s="446" t="str">
        <f>Calculs!F278</f>
        <v>Gél</v>
      </c>
      <c r="F29" s="446" t="str">
        <f>Calculs!G278</f>
        <v>200 mg</v>
      </c>
      <c r="G29" s="446" t="str">
        <f>Calculs!H278</f>
        <v>Efavirenz</v>
      </c>
      <c r="H29" s="1266">
        <f>Calculs!K278</f>
        <v>90</v>
      </c>
      <c r="I29" s="3178">
        <f>IF($F$5="X", 'Calculs dispo Données FA'!N141, IF($F$4="X", 'Calculs dispo Données conso'!N143, "0"))</f>
        <v>21</v>
      </c>
      <c r="J29" s="1272">
        <f>Calculs!L388+Calculs!M388</f>
        <v>2</v>
      </c>
      <c r="K29" s="1273">
        <f>IF($F$5="X", 'Calculs dispo Données FA'!M141, IF($F$4="X", 'Calculs dispo Données conso'!M143, "0"))</f>
        <v>2</v>
      </c>
      <c r="L29" s="2436">
        <f>IF($F$5="X", 'Calculs dispo Données FA'!W141, IF($F$4="X", 'Calculs dispo Données conso'!W143, "0"))</f>
        <v>9.5238095238095233E-2</v>
      </c>
      <c r="M29" s="2439">
        <f>Calculs!N388</f>
        <v>108</v>
      </c>
      <c r="N29" s="2436">
        <f>IF($F$5="X", 'Calculs dispo Données FA'!AO198, IF($F$4="X", 'Calculs dispo Données conso'!AO200, "0"))</f>
        <v>5.1428571428571432</v>
      </c>
    </row>
    <row r="30" spans="1:14" x14ac:dyDescent="0.2">
      <c r="A30" s="433"/>
      <c r="B30" s="449"/>
      <c r="C30" s="445"/>
      <c r="D30" s="446" t="str">
        <f>Calculs!E279</f>
        <v>EFV</v>
      </c>
      <c r="E30" s="446" t="str">
        <f>Calculs!F279</f>
        <v>Cp</v>
      </c>
      <c r="F30" s="446" t="str">
        <f>Calculs!G279</f>
        <v>600 mg</v>
      </c>
      <c r="G30" s="446" t="str">
        <f>Calculs!H279</f>
        <v>Efavirenz</v>
      </c>
      <c r="H30" s="1266">
        <f>Calculs!K279</f>
        <v>30</v>
      </c>
      <c r="I30" s="3178">
        <f>IF($F$5="X", 'Calculs dispo Données FA'!N142, IF($F$4="X", 'Calculs dispo Données conso'!N144, "0"))</f>
        <v>1485</v>
      </c>
      <c r="J30" s="1272">
        <f>Calculs!L389+Calculs!M389</f>
        <v>11566</v>
      </c>
      <c r="K30" s="1273">
        <f>IF($F$5="X", 'Calculs dispo Données FA'!M142, IF($F$4="X", 'Calculs dispo Données conso'!M144, "0"))</f>
        <v>11566</v>
      </c>
      <c r="L30" s="2436">
        <f>IF($F$5="X", 'Calculs dispo Données FA'!W142, IF($F$4="X", 'Calculs dispo Données conso'!W144, "0"))</f>
        <v>7.7885521885521882</v>
      </c>
      <c r="M30" s="2439">
        <f>Calculs!N389</f>
        <v>0</v>
      </c>
      <c r="N30" s="2436" t="str">
        <f>IF($F$5="X", 'Calculs dispo Données FA'!AO199, IF($F$4="X", 'Calculs dispo Données conso'!AO201, "0"))</f>
        <v/>
      </c>
    </row>
    <row r="31" spans="1:14" x14ac:dyDescent="0.2">
      <c r="A31" s="433"/>
      <c r="B31" s="449"/>
      <c r="C31" s="445"/>
      <c r="D31" s="446" t="str">
        <f>Calculs!E280</f>
        <v>ETV</v>
      </c>
      <c r="E31" s="446" t="str">
        <f>Calculs!F280</f>
        <v>Cp</v>
      </c>
      <c r="F31" s="446" t="str">
        <f>Calculs!G280</f>
        <v>200 mg</v>
      </c>
      <c r="G31" s="446" t="str">
        <f>Calculs!H280</f>
        <v>Etravirine</v>
      </c>
      <c r="H31" s="1266">
        <f>Calculs!K280</f>
        <v>60</v>
      </c>
      <c r="I31" s="3178">
        <f>IF($F$5="X", 'Calculs dispo Données FA'!N143, IF($F$4="X", 'Calculs dispo Données conso'!N145, "0"))</f>
        <v>0</v>
      </c>
      <c r="J31" s="1272">
        <f>Calculs!L390+Calculs!M390</f>
        <v>0</v>
      </c>
      <c r="K31" s="1273">
        <f>IF($F$5="X", 'Calculs dispo Données FA'!M143, IF($F$4="X", 'Calculs dispo Données conso'!M145, "0"))</f>
        <v>0</v>
      </c>
      <c r="L31" s="2436" t="str">
        <f>IF($F$5="X", 'Calculs dispo Données FA'!W143, IF($F$4="X", 'Calculs dispo Données conso'!W145, "0"))</f>
        <v/>
      </c>
      <c r="M31" s="2439">
        <f>Calculs!N390</f>
        <v>0</v>
      </c>
      <c r="N31" s="2436" t="str">
        <f>IF($F$5="X", 'Calculs dispo Données FA'!AO200, IF($F$4="X", 'Calculs dispo Données conso'!AO202, "0"))</f>
        <v/>
      </c>
    </row>
    <row r="32" spans="1:14" x14ac:dyDescent="0.2">
      <c r="A32" s="433"/>
      <c r="B32" s="449"/>
      <c r="C32" s="445"/>
      <c r="D32" s="446" t="str">
        <f>Calculs!E281</f>
        <v>NVP</v>
      </c>
      <c r="E32" s="446" t="str">
        <f>Calculs!F281</f>
        <v>Cp</v>
      </c>
      <c r="F32" s="446" t="str">
        <f>Calculs!G281</f>
        <v>200 mg</v>
      </c>
      <c r="G32" s="446" t="str">
        <f>Calculs!H281</f>
        <v>Nevirapine</v>
      </c>
      <c r="H32" s="1266">
        <f>Calculs!K281</f>
        <v>60</v>
      </c>
      <c r="I32" s="3178">
        <f>IF($F$5="X", 'Calculs dispo Données FA'!N144, IF($F$4="X", 'Calculs dispo Données conso'!N146, "0"))</f>
        <v>0</v>
      </c>
      <c r="J32" s="1272">
        <f>Calculs!L391+Calculs!M391</f>
        <v>0</v>
      </c>
      <c r="K32" s="1273">
        <f>IF($F$5="X", 'Calculs dispo Données FA'!M144, IF($F$4="X", 'Calculs dispo Données conso'!M146, "0"))</f>
        <v>0</v>
      </c>
      <c r="L32" s="2436" t="str">
        <f>IF($F$5="X", 'Calculs dispo Données FA'!W144, IF($F$4="X", 'Calculs dispo Données conso'!W146, "0"))</f>
        <v/>
      </c>
      <c r="M32" s="2439">
        <f>Calculs!N391</f>
        <v>0</v>
      </c>
      <c r="N32" s="2436" t="str">
        <f>IF($F$5="X", 'Calculs dispo Données FA'!AO201, IF($F$4="X", 'Calculs dispo Données conso'!AO203, "0"))</f>
        <v/>
      </c>
    </row>
    <row r="33" spans="1:14" x14ac:dyDescent="0.2">
      <c r="A33" s="433"/>
      <c r="B33" s="449"/>
      <c r="C33" s="445"/>
      <c r="D33" s="446" t="str">
        <f>Calculs!E282</f>
        <v>RPV</v>
      </c>
      <c r="E33" s="446" t="str">
        <f>Calculs!F282</f>
        <v>Cp</v>
      </c>
      <c r="F33" s="446" t="str">
        <f>Calculs!G282</f>
        <v>25 mg</v>
      </c>
      <c r="G33" s="446" t="str">
        <f>Calculs!H282</f>
        <v>Rilpivirine</v>
      </c>
      <c r="H33" s="1266">
        <f>Calculs!K282</f>
        <v>30</v>
      </c>
      <c r="I33" s="3178">
        <f>IF($F$5="X", 'Calculs dispo Données FA'!N145, IF($F$4="X", 'Calculs dispo Données conso'!N147, "0"))</f>
        <v>0</v>
      </c>
      <c r="J33" s="1272">
        <f>Calculs!L392+Calculs!M392</f>
        <v>0</v>
      </c>
      <c r="K33" s="1273">
        <f>IF($F$5="X", 'Calculs dispo Données FA'!M145, IF($F$4="X", 'Calculs dispo Données conso'!M147, "0"))</f>
        <v>0</v>
      </c>
      <c r="L33" s="2436" t="str">
        <f>IF($F$5="X", 'Calculs dispo Données FA'!W145, IF($F$4="X", 'Calculs dispo Données conso'!W147, "0"))</f>
        <v/>
      </c>
      <c r="M33" s="2439">
        <f>Calculs!N392</f>
        <v>0</v>
      </c>
      <c r="N33" s="2436" t="str">
        <f>IF($F$5="X", 'Calculs dispo Données FA'!AO202, IF($F$4="X", 'Calculs dispo Données conso'!AO204, "0"))</f>
        <v/>
      </c>
    </row>
    <row r="34" spans="1:14" x14ac:dyDescent="0.2">
      <c r="A34" s="433"/>
      <c r="B34" s="449"/>
      <c r="C34" s="457" t="str">
        <f>Calculs!D283</f>
        <v>INTI</v>
      </c>
      <c r="D34" s="446" t="str">
        <f>Calculs!E283</f>
        <v>ABC</v>
      </c>
      <c r="E34" s="446" t="str">
        <f>Calculs!F283</f>
        <v>Cp</v>
      </c>
      <c r="F34" s="446" t="str">
        <f>Calculs!G283</f>
        <v>300 mg</v>
      </c>
      <c r="G34" s="446" t="str">
        <f>Calculs!H283</f>
        <v>Abacavir</v>
      </c>
      <c r="H34" s="1266">
        <f>Calculs!K283</f>
        <v>60</v>
      </c>
      <c r="I34" s="3178">
        <f>IF($F$5="X", 'Calculs dispo Données FA'!N146, IF($F$4="X", 'Calculs dispo Données conso'!N148, "0"))</f>
        <v>2</v>
      </c>
      <c r="J34" s="1272">
        <f>Calculs!L393+Calculs!M393</f>
        <v>1093</v>
      </c>
      <c r="K34" s="1273">
        <f>IF($F$5="X", 'Calculs dispo Données FA'!M146, IF($F$4="X", 'Calculs dispo Données conso'!M148, "0"))</f>
        <v>7.6931506849314246</v>
      </c>
      <c r="L34" s="2436">
        <f>IF($F$5="X", 'Calculs dispo Données FA'!W146, IF($F$4="X", 'Calculs dispo Données conso'!W148, "0"))</f>
        <v>3.8465753424657123</v>
      </c>
      <c r="M34" s="2439">
        <f>Calculs!N393</f>
        <v>0</v>
      </c>
      <c r="N34" s="2436" t="str">
        <f>IF($F$5="X", 'Calculs dispo Données FA'!AO203, IF($F$4="X", 'Calculs dispo Données conso'!AO205, "0"))</f>
        <v/>
      </c>
    </row>
    <row r="35" spans="1:14" x14ac:dyDescent="0.2">
      <c r="A35" s="433"/>
      <c r="B35" s="449"/>
      <c r="C35" s="445"/>
      <c r="D35" s="446" t="str">
        <f>Calculs!E284</f>
        <v>ABC</v>
      </c>
      <c r="E35" s="446" t="str">
        <f>Calculs!F284</f>
        <v>Cp</v>
      </c>
      <c r="F35" s="446" t="str">
        <f>Calculs!G284</f>
        <v>60 mg</v>
      </c>
      <c r="G35" s="446" t="str">
        <f>Calculs!H284</f>
        <v>Abacavir</v>
      </c>
      <c r="H35" s="1266">
        <f>Calculs!K284</f>
        <v>60</v>
      </c>
      <c r="I35" s="3178">
        <f>IF($F$5="X", 'Calculs dispo Données FA'!N147, IF($F$4="X", 'Calculs dispo Données conso'!N149, "0"))</f>
        <v>0</v>
      </c>
      <c r="J35" s="1272">
        <f>Calculs!L394+Calculs!M394</f>
        <v>0</v>
      </c>
      <c r="K35" s="1273">
        <f>IF($F$5="X", 'Calculs dispo Données FA'!M147, IF($F$4="X", 'Calculs dispo Données conso'!M149, "0"))</f>
        <v>0</v>
      </c>
      <c r="L35" s="2436" t="str">
        <f>IF($F$5="X", 'Calculs dispo Données FA'!W147, IF($F$4="X", 'Calculs dispo Données conso'!W149, "0"))</f>
        <v/>
      </c>
      <c r="M35" s="2439">
        <f>Calculs!N394</f>
        <v>0</v>
      </c>
      <c r="N35" s="2436" t="str">
        <f>IF($F$5="X", 'Calculs dispo Données FA'!AO204, IF($F$4="X", 'Calculs dispo Données conso'!AO206, "0"))</f>
        <v/>
      </c>
    </row>
    <row r="36" spans="1:14" x14ac:dyDescent="0.2">
      <c r="A36" s="433"/>
      <c r="B36" s="449"/>
      <c r="C36" s="445"/>
      <c r="D36" s="446" t="str">
        <f>Calculs!E285</f>
        <v>AZT</v>
      </c>
      <c r="E36" s="446" t="str">
        <f>Calculs!F285</f>
        <v>Cp</v>
      </c>
      <c r="F36" s="446" t="str">
        <f>Calculs!G285</f>
        <v>300 mg</v>
      </c>
      <c r="G36" s="446" t="str">
        <f>Calculs!H285</f>
        <v>Zidovudine</v>
      </c>
      <c r="H36" s="1266">
        <f>Calculs!K285</f>
        <v>60</v>
      </c>
      <c r="I36" s="3178">
        <f>IF($F$5="X", 'Calculs dispo Données FA'!N148, IF($F$4="X", 'Calculs dispo Données conso'!N150, "0"))</f>
        <v>0</v>
      </c>
      <c r="J36" s="1272">
        <f>Calculs!L395+Calculs!M395</f>
        <v>0</v>
      </c>
      <c r="K36" s="1273">
        <f>IF($F$5="X", 'Calculs dispo Données FA'!M148, IF($F$4="X", 'Calculs dispo Données conso'!M150, "0"))</f>
        <v>0</v>
      </c>
      <c r="L36" s="2436" t="str">
        <f>IF($F$5="X", 'Calculs dispo Données FA'!W148, IF($F$4="X", 'Calculs dispo Données conso'!W150, "0"))</f>
        <v/>
      </c>
      <c r="M36" s="2439">
        <f>Calculs!N395</f>
        <v>0</v>
      </c>
      <c r="N36" s="2436" t="str">
        <f>IF($F$5="X", 'Calculs dispo Données FA'!AO205, IF($F$4="X", 'Calculs dispo Données conso'!AO207, "0"))</f>
        <v/>
      </c>
    </row>
    <row r="37" spans="1:14" x14ac:dyDescent="0.2">
      <c r="A37" s="433"/>
      <c r="B37" s="449"/>
      <c r="C37" s="445"/>
      <c r="D37" s="446" t="str">
        <f>Calculs!E286</f>
        <v>AZT</v>
      </c>
      <c r="E37" s="446" t="str">
        <f>Calculs!F286</f>
        <v>Cp</v>
      </c>
      <c r="F37" s="446" t="str">
        <f>Calculs!G286</f>
        <v>100 mg</v>
      </c>
      <c r="G37" s="446" t="str">
        <f>Calculs!H286</f>
        <v>Zidovudine</v>
      </c>
      <c r="H37" s="1266">
        <f>Calculs!K286</f>
        <v>100</v>
      </c>
      <c r="I37" s="3178">
        <f>IF($F$5="X", 'Calculs dispo Données FA'!N149, IF($F$4="X", 'Calculs dispo Données conso'!N151, "0"))</f>
        <v>0</v>
      </c>
      <c r="J37" s="1272">
        <f>Calculs!L396+Calculs!M396</f>
        <v>0</v>
      </c>
      <c r="K37" s="1273">
        <f>IF($F$5="X", 'Calculs dispo Données FA'!M149, IF($F$4="X", 'Calculs dispo Données conso'!M151, "0"))</f>
        <v>0</v>
      </c>
      <c r="L37" s="2436" t="str">
        <f>IF($F$5="X", 'Calculs dispo Données FA'!W149, IF($F$4="X", 'Calculs dispo Données conso'!W151, "0"))</f>
        <v/>
      </c>
      <c r="M37" s="2439">
        <f>Calculs!N396</f>
        <v>0</v>
      </c>
      <c r="N37" s="2436" t="str">
        <f>IF($F$5="X", 'Calculs dispo Données FA'!AO206, IF($F$4="X", 'Calculs dispo Données conso'!AO208, "0"))</f>
        <v/>
      </c>
    </row>
    <row r="38" spans="1:14" x14ac:dyDescent="0.2">
      <c r="A38" s="433"/>
      <c r="B38" s="449"/>
      <c r="C38" s="445"/>
      <c r="D38" s="446" t="str">
        <f>Calculs!E287</f>
        <v>AZT</v>
      </c>
      <c r="E38" s="446" t="str">
        <f>Calculs!F287</f>
        <v>Cp</v>
      </c>
      <c r="F38" s="446" t="str">
        <f>Calculs!G287</f>
        <v>60 mg</v>
      </c>
      <c r="G38" s="446" t="str">
        <f>Calculs!H287</f>
        <v>Zidovudine</v>
      </c>
      <c r="H38" s="1266">
        <f>Calculs!K287</f>
        <v>60</v>
      </c>
      <c r="I38" s="3178">
        <f>IF($F$5="X", 'Calculs dispo Données FA'!N150, IF($F$4="X", 'Calculs dispo Données conso'!N152, "0"))</f>
        <v>0</v>
      </c>
      <c r="J38" s="1272">
        <f>Calculs!L397+Calculs!M397</f>
        <v>0</v>
      </c>
      <c r="K38" s="1273">
        <f>IF($F$5="X", 'Calculs dispo Données FA'!M150, IF($F$4="X", 'Calculs dispo Données conso'!M152, "0"))</f>
        <v>0</v>
      </c>
      <c r="L38" s="2436" t="str">
        <f>IF($F$5="X", 'Calculs dispo Données FA'!W150, IF($F$4="X", 'Calculs dispo Données conso'!W152, "0"))</f>
        <v/>
      </c>
      <c r="M38" s="2439">
        <f>Calculs!N397</f>
        <v>0</v>
      </c>
      <c r="N38" s="2436" t="str">
        <f>IF($F$5="X", 'Calculs dispo Données FA'!AO207, IF($F$4="X", 'Calculs dispo Données conso'!AO209, "0"))</f>
        <v/>
      </c>
    </row>
    <row r="39" spans="1:14" x14ac:dyDescent="0.2">
      <c r="A39" s="433"/>
      <c r="B39" s="449"/>
      <c r="C39" s="445"/>
      <c r="D39" s="446" t="str">
        <f>Calculs!E288</f>
        <v>D4T</v>
      </c>
      <c r="E39" s="446" t="str">
        <f>Calculs!F288</f>
        <v>Cp</v>
      </c>
      <c r="F39" s="446" t="str">
        <f>Calculs!G288</f>
        <v>30 mg</v>
      </c>
      <c r="G39" s="446" t="str">
        <f>Calculs!H288</f>
        <v>Stavudine</v>
      </c>
      <c r="H39" s="1266">
        <f>Calculs!K288</f>
        <v>60</v>
      </c>
      <c r="I39" s="3178">
        <f>IF($F$5="X", 'Calculs dispo Données FA'!N151, IF($F$4="X", 'Calculs dispo Données conso'!N153, "0"))</f>
        <v>0</v>
      </c>
      <c r="J39" s="1272">
        <f>Calculs!L398+Calculs!M398</f>
        <v>0</v>
      </c>
      <c r="K39" s="1273">
        <f>IF($F$5="X", 'Calculs dispo Données FA'!M151, IF($F$4="X", 'Calculs dispo Données conso'!M153, "0"))</f>
        <v>0</v>
      </c>
      <c r="L39" s="2436" t="str">
        <f>IF($F$5="X", 'Calculs dispo Données FA'!W151, IF($F$4="X", 'Calculs dispo Données conso'!W153, "0"))</f>
        <v/>
      </c>
      <c r="M39" s="2439">
        <f>Calculs!N398</f>
        <v>0</v>
      </c>
      <c r="N39" s="2436" t="str">
        <f>IF($F$5="X", 'Calculs dispo Données FA'!AO208, IF($F$4="X", 'Calculs dispo Données conso'!AO210, "0"))</f>
        <v/>
      </c>
    </row>
    <row r="40" spans="1:14" x14ac:dyDescent="0.2">
      <c r="A40" s="433"/>
      <c r="B40" s="449"/>
      <c r="C40" s="445"/>
      <c r="D40" s="446" t="str">
        <f>Calculs!E289</f>
        <v>3TC</v>
      </c>
      <c r="E40" s="446" t="str">
        <f>Calculs!F289</f>
        <v>Cp</v>
      </c>
      <c r="F40" s="446" t="str">
        <f>Calculs!G289</f>
        <v>150 mg</v>
      </c>
      <c r="G40" s="446" t="str">
        <f>Calculs!H289</f>
        <v>Lamivudine</v>
      </c>
      <c r="H40" s="1266">
        <f>Calculs!K289</f>
        <v>60</v>
      </c>
      <c r="I40" s="3178">
        <f>IF($F$5="X", 'Calculs dispo Données FA'!N152, IF($F$4="X", 'Calculs dispo Données conso'!N154, "0"))</f>
        <v>0</v>
      </c>
      <c r="J40" s="1272">
        <f>Calculs!L399+Calculs!M399</f>
        <v>0</v>
      </c>
      <c r="K40" s="1273">
        <f>IF($F$5="X", 'Calculs dispo Données FA'!M152, IF($F$4="X", 'Calculs dispo Données conso'!M154, "0"))</f>
        <v>0</v>
      </c>
      <c r="L40" s="2436" t="str">
        <f>IF($F$5="X", 'Calculs dispo Données FA'!W152, IF($F$4="X", 'Calculs dispo Données conso'!W154, "0"))</f>
        <v/>
      </c>
      <c r="M40" s="2439">
        <f>Calculs!N399</f>
        <v>0</v>
      </c>
      <c r="N40" s="2436" t="str">
        <f>IF($F$5="X", 'Calculs dispo Données FA'!AO209, IF($F$4="X", 'Calculs dispo Données conso'!AO211, "0"))</f>
        <v/>
      </c>
    </row>
    <row r="41" spans="1:14" x14ac:dyDescent="0.2">
      <c r="A41" s="433"/>
      <c r="B41" s="449"/>
      <c r="C41" s="445"/>
      <c r="D41" s="446" t="str">
        <f>Calculs!E290</f>
        <v>3TC</v>
      </c>
      <c r="E41" s="446" t="str">
        <f>Calculs!F290</f>
        <v>Cp</v>
      </c>
      <c r="F41" s="446" t="str">
        <f>Calculs!G290</f>
        <v>30 mg</v>
      </c>
      <c r="G41" s="446" t="str">
        <f>Calculs!H290</f>
        <v>Lamivudine</v>
      </c>
      <c r="H41" s="1266">
        <f>Calculs!K290</f>
        <v>60</v>
      </c>
      <c r="I41" s="3178">
        <f>IF($F$5="X", 'Calculs dispo Données FA'!N153, IF($F$4="X", 'Calculs dispo Données conso'!N155, "0"))</f>
        <v>0</v>
      </c>
      <c r="J41" s="1272">
        <f>Calculs!L400+Calculs!M400</f>
        <v>0</v>
      </c>
      <c r="K41" s="1273">
        <f>IF($F$5="X", 'Calculs dispo Données FA'!M153, IF($F$4="X", 'Calculs dispo Données conso'!M155, "0"))</f>
        <v>0</v>
      </c>
      <c r="L41" s="2436" t="str">
        <f>IF($F$5="X", 'Calculs dispo Données FA'!W153, IF($F$4="X", 'Calculs dispo Données conso'!W155, "0"))</f>
        <v/>
      </c>
      <c r="M41" s="2439">
        <f>Calculs!N400</f>
        <v>0</v>
      </c>
      <c r="N41" s="2436" t="str">
        <f>IF($F$5="X", 'Calculs dispo Données FA'!AO210, IF($F$4="X", 'Calculs dispo Données conso'!AO212, "0"))</f>
        <v/>
      </c>
    </row>
    <row r="42" spans="1:14" x14ac:dyDescent="0.2">
      <c r="A42" s="433"/>
      <c r="B42" s="449"/>
      <c r="C42" s="445"/>
      <c r="D42" s="446" t="str">
        <f>Calculs!E291</f>
        <v>DDI</v>
      </c>
      <c r="E42" s="446" t="str">
        <f>Calculs!F291</f>
        <v>Cp</v>
      </c>
      <c r="F42" s="446" t="str">
        <f>Calculs!G291</f>
        <v>250 mg</v>
      </c>
      <c r="G42" s="446" t="str">
        <f>Calculs!H291</f>
        <v>Didanosine</v>
      </c>
      <c r="H42" s="1266">
        <f>Calculs!K291</f>
        <v>30</v>
      </c>
      <c r="I42" s="3178">
        <f>IF($F$5="X", 'Calculs dispo Données FA'!N154, IF($F$4="X", 'Calculs dispo Données conso'!N156, "0"))</f>
        <v>0</v>
      </c>
      <c r="J42" s="1272">
        <f>Calculs!L401+Calculs!M401</f>
        <v>0</v>
      </c>
      <c r="K42" s="1273">
        <f>IF($F$5="X", 'Calculs dispo Données FA'!M154, IF($F$4="X", 'Calculs dispo Données conso'!M156, "0"))</f>
        <v>0</v>
      </c>
      <c r="L42" s="2436" t="str">
        <f>IF($F$5="X", 'Calculs dispo Données FA'!W154, IF($F$4="X", 'Calculs dispo Données conso'!W156, "0"))</f>
        <v/>
      </c>
      <c r="M42" s="2439">
        <f>Calculs!N401</f>
        <v>0</v>
      </c>
      <c r="N42" s="2436" t="str">
        <f>IF($F$5="X", 'Calculs dispo Données FA'!AO211, IF($F$4="X", 'Calculs dispo Données conso'!AO213, "0"))</f>
        <v/>
      </c>
    </row>
    <row r="43" spans="1:14" x14ac:dyDescent="0.2">
      <c r="A43" s="433"/>
      <c r="B43" s="449"/>
      <c r="C43" s="445"/>
      <c r="D43" s="446" t="str">
        <f>Calculs!E292</f>
        <v>DDI</v>
      </c>
      <c r="E43" s="446" t="str">
        <f>Calculs!F292</f>
        <v>Cp</v>
      </c>
      <c r="F43" s="446" t="str">
        <f>Calculs!G292</f>
        <v>400 mg</v>
      </c>
      <c r="G43" s="446" t="str">
        <f>Calculs!H292</f>
        <v>Didanosine</v>
      </c>
      <c r="H43" s="1266">
        <f>Calculs!K292</f>
        <v>30</v>
      </c>
      <c r="I43" s="3178">
        <f>IF($F$5="X", 'Calculs dispo Données FA'!N155, IF($F$4="X", 'Calculs dispo Données conso'!N157, "0"))</f>
        <v>2</v>
      </c>
      <c r="J43" s="1272">
        <f>Calculs!L402+Calculs!M402</f>
        <v>956</v>
      </c>
      <c r="K43" s="1273">
        <f>IF($F$5="X", 'Calculs dispo Données FA'!M155, IF($F$4="X", 'Calculs dispo Données conso'!M157, "0"))</f>
        <v>19.594520547945208</v>
      </c>
      <c r="L43" s="2436">
        <f>IF($F$5="X", 'Calculs dispo Données FA'!W155, IF($F$4="X", 'Calculs dispo Données conso'!W157, "0"))</f>
        <v>9.7972602739726042</v>
      </c>
      <c r="M43" s="2439">
        <f>Calculs!N402</f>
        <v>0</v>
      </c>
      <c r="N43" s="2436" t="str">
        <f>IF($F$5="X", 'Calculs dispo Données FA'!AO212, IF($F$4="X", 'Calculs dispo Données conso'!AO214, "0"))</f>
        <v/>
      </c>
    </row>
    <row r="44" spans="1:14" x14ac:dyDescent="0.2">
      <c r="A44" s="433"/>
      <c r="B44" s="449"/>
      <c r="C44" s="445"/>
      <c r="D44" s="446" t="str">
        <f>Calculs!E293</f>
        <v>TDF</v>
      </c>
      <c r="E44" s="446" t="str">
        <f>Calculs!F293</f>
        <v>Cp</v>
      </c>
      <c r="F44" s="446" t="str">
        <f>Calculs!G293</f>
        <v>300 mg</v>
      </c>
      <c r="G44" s="446" t="str">
        <f>Calculs!H293</f>
        <v>Tenofovir</v>
      </c>
      <c r="H44" s="1266">
        <f>Calculs!K293</f>
        <v>30</v>
      </c>
      <c r="I44" s="3178">
        <f>IF($F$5="X", 'Calculs dispo Données FA'!N156, IF($F$4="X", 'Calculs dispo Données conso'!N158, "0"))</f>
        <v>0</v>
      </c>
      <c r="J44" s="1272">
        <f>Calculs!L403+Calculs!M403</f>
        <v>0</v>
      </c>
      <c r="K44" s="1273">
        <f>IF($F$5="X", 'Calculs dispo Données FA'!M156, IF($F$4="X", 'Calculs dispo Données conso'!M158, "0"))</f>
        <v>0</v>
      </c>
      <c r="L44" s="2436" t="str">
        <f>IF($F$5="X", 'Calculs dispo Données FA'!W156, IF($F$4="X", 'Calculs dispo Données conso'!W158, "0"))</f>
        <v/>
      </c>
      <c r="M44" s="2439">
        <f>Calculs!N403</f>
        <v>0</v>
      </c>
      <c r="N44" s="2436" t="str">
        <f>IF($F$5="X", 'Calculs dispo Données FA'!AO213, IF($F$4="X", 'Calculs dispo Données conso'!AO215, "0"))</f>
        <v/>
      </c>
    </row>
    <row r="45" spans="1:14" x14ac:dyDescent="0.2">
      <c r="A45" s="433"/>
      <c r="B45" s="449"/>
      <c r="C45" s="457" t="str">
        <f>Calculs!D294</f>
        <v>IP</v>
      </c>
      <c r="D45" s="446" t="str">
        <f>Calculs!E294</f>
        <v>LPV/r</v>
      </c>
      <c r="E45" s="446" t="str">
        <f>Calculs!F294</f>
        <v>Cp</v>
      </c>
      <c r="F45" s="446" t="str">
        <f>Calculs!G294</f>
        <v>200/50 mg</v>
      </c>
      <c r="G45" s="446" t="str">
        <f>Calculs!H294</f>
        <v>Lopinavir/ Ritonavir</v>
      </c>
      <c r="H45" s="1266">
        <f>Calculs!K294</f>
        <v>120</v>
      </c>
      <c r="I45" s="3178">
        <f>IF($F$5="X", 'Calculs dispo Données FA'!N157, IF($F$4="X", 'Calculs dispo Données conso'!N159, "0"))</f>
        <v>106</v>
      </c>
      <c r="J45" s="1272">
        <f>Calculs!L404+Calculs!M404</f>
        <v>750</v>
      </c>
      <c r="K45" s="1273">
        <f>IF($F$5="X", 'Calculs dispo Données FA'!M157, IF($F$4="X", 'Calculs dispo Données conso'!M159, "0"))</f>
        <v>750</v>
      </c>
      <c r="L45" s="2436">
        <f>IF($F$5="X", 'Calculs dispo Données FA'!W157, IF($F$4="X", 'Calculs dispo Données conso'!W159, "0"))</f>
        <v>7.0754716981132075</v>
      </c>
      <c r="M45" s="2439">
        <f>Calculs!N404</f>
        <v>0</v>
      </c>
      <c r="N45" s="2436" t="str">
        <f>IF($F$5="X", 'Calculs dispo Données FA'!AO214, IF($F$4="X", 'Calculs dispo Données conso'!AO216, "0"))</f>
        <v/>
      </c>
    </row>
    <row r="46" spans="1:14" x14ac:dyDescent="0.2">
      <c r="A46" s="433"/>
      <c r="B46" s="449"/>
      <c r="C46" s="445"/>
      <c r="D46" s="446" t="str">
        <f>Calculs!E295</f>
        <v>LPV/r</v>
      </c>
      <c r="E46" s="446" t="str">
        <f>Calculs!F295</f>
        <v>Cp coblister</v>
      </c>
      <c r="F46" s="446" t="str">
        <f>Calculs!G295</f>
        <v>100/25 mg</v>
      </c>
      <c r="G46" s="446" t="str">
        <f>Calculs!H295</f>
        <v>Lopinavir/ Ritonavir</v>
      </c>
      <c r="H46" s="1266">
        <f>Calculs!K295</f>
        <v>60</v>
      </c>
      <c r="I46" s="3178">
        <f>IF($F$5="X", 'Calculs dispo Données FA'!N158, IF($F$4="X", 'Calculs dispo Données conso'!N160, "0"))</f>
        <v>18</v>
      </c>
      <c r="J46" s="1272">
        <f>Calculs!L405+Calculs!M405</f>
        <v>770</v>
      </c>
      <c r="K46" s="1273">
        <f>IF($F$5="X", 'Calculs dispo Données FA'!M158, IF($F$4="X", 'Calculs dispo Données conso'!M160, "0"))</f>
        <v>187.15342465753429</v>
      </c>
      <c r="L46" s="2436">
        <f>IF($F$5="X", 'Calculs dispo Données FA'!W158, IF($F$4="X", 'Calculs dispo Données conso'!W160, "0"))</f>
        <v>5.7863013698630139</v>
      </c>
      <c r="M46" s="2439">
        <f>Calculs!N405</f>
        <v>0</v>
      </c>
      <c r="N46" s="2436" t="str">
        <f>IF($F$5="X", 'Calculs dispo Données FA'!AO215, IF($F$4="X", 'Calculs dispo Données conso'!AO217, "0"))</f>
        <v/>
      </c>
    </row>
    <row r="47" spans="1:14" x14ac:dyDescent="0.2">
      <c r="A47" s="433"/>
      <c r="B47" s="449"/>
      <c r="C47" s="445"/>
      <c r="D47" s="446" t="str">
        <f>Calculs!E296</f>
        <v>ATV/r</v>
      </c>
      <c r="E47" s="446" t="str">
        <f>Calculs!F296</f>
        <v>Cp</v>
      </c>
      <c r="F47" s="446" t="str">
        <f>Calculs!G296</f>
        <v>300/100 mg</v>
      </c>
      <c r="G47" s="446" t="str">
        <f>Calculs!H296</f>
        <v>Atazanavir/ Ritonavir</v>
      </c>
      <c r="H47" s="1266">
        <f>Calculs!K296</f>
        <v>30</v>
      </c>
      <c r="I47" s="3178">
        <f>IF($F$5="X", 'Calculs dispo Données FA'!N159, IF($F$4="X", 'Calculs dispo Données conso'!N161, "0"))</f>
        <v>0</v>
      </c>
      <c r="J47" s="1272">
        <f>Calculs!L406+Calculs!M406</f>
        <v>1705</v>
      </c>
      <c r="K47" s="1273">
        <f>IF($F$5="X", 'Calculs dispo Données FA'!M159, IF($F$4="X", 'Calculs dispo Données conso'!M161, "0"))</f>
        <v>0</v>
      </c>
      <c r="L47" s="2436" t="str">
        <f>IF($F$5="X", 'Calculs dispo Données FA'!W159, IF($F$4="X", 'Calculs dispo Données conso'!W161, "0"))</f>
        <v/>
      </c>
      <c r="M47" s="2439">
        <f>Calculs!N406</f>
        <v>0</v>
      </c>
      <c r="N47" s="2436" t="str">
        <f>IF($F$5="X", 'Calculs dispo Données FA'!AO216, IF($F$4="X", 'Calculs dispo Données conso'!AO218, "0"))</f>
        <v/>
      </c>
    </row>
    <row r="48" spans="1:14" x14ac:dyDescent="0.2">
      <c r="A48" s="433"/>
      <c r="B48" s="449"/>
      <c r="C48" s="445"/>
      <c r="D48" s="446" t="str">
        <f>Calculs!E297</f>
        <v>FPV</v>
      </c>
      <c r="E48" s="446" t="str">
        <f>Calculs!F297</f>
        <v>Cp</v>
      </c>
      <c r="F48" s="446" t="str">
        <f>Calculs!G297</f>
        <v>700 mg</v>
      </c>
      <c r="G48" s="446" t="str">
        <f>Calculs!H297</f>
        <v>Fosamprenavir</v>
      </c>
      <c r="H48" s="1266">
        <f>Calculs!K297</f>
        <v>60</v>
      </c>
      <c r="I48" s="3178">
        <f>IF($F$5="X", 'Calculs dispo Données FA'!N160, IF($F$4="X", 'Calculs dispo Données conso'!N162, "0"))</f>
        <v>0</v>
      </c>
      <c r="J48" s="1272">
        <f>Calculs!L407+Calculs!M407</f>
        <v>0</v>
      </c>
      <c r="K48" s="1273">
        <f>IF($F$5="X", 'Calculs dispo Données FA'!M160, IF($F$4="X", 'Calculs dispo Données conso'!M162, "0"))</f>
        <v>0</v>
      </c>
      <c r="L48" s="2436" t="str">
        <f>IF($F$5="X", 'Calculs dispo Données FA'!W160, IF($F$4="X", 'Calculs dispo Données conso'!W162, "0"))</f>
        <v/>
      </c>
      <c r="M48" s="2439">
        <f>Calculs!N407</f>
        <v>0</v>
      </c>
      <c r="N48" s="2436" t="str">
        <f>IF($F$5="X", 'Calculs dispo Données FA'!AO217, IF($F$4="X", 'Calculs dispo Données conso'!AO219, "0"))</f>
        <v/>
      </c>
    </row>
    <row r="49" spans="1:14" x14ac:dyDescent="0.2">
      <c r="A49" s="433"/>
      <c r="B49" s="449"/>
      <c r="C49" s="445"/>
      <c r="D49" s="446" t="str">
        <f>Calculs!E298</f>
        <v>IDV</v>
      </c>
      <c r="E49" s="446" t="str">
        <f>Calculs!F298</f>
        <v>Gel</v>
      </c>
      <c r="F49" s="446" t="str">
        <f>Calculs!G298</f>
        <v>400 mg</v>
      </c>
      <c r="G49" s="446" t="str">
        <f>Calculs!H298</f>
        <v>Indinavir</v>
      </c>
      <c r="H49" s="1266">
        <f>Calculs!K298</f>
        <v>180</v>
      </c>
      <c r="I49" s="3178">
        <f>IF($F$5="X", 'Calculs dispo Données FA'!N161, IF($F$4="X", 'Calculs dispo Données conso'!N163, "0"))</f>
        <v>0</v>
      </c>
      <c r="J49" s="1272">
        <f>Calculs!L408+Calculs!M408</f>
        <v>0</v>
      </c>
      <c r="K49" s="1273">
        <f>IF($F$5="X", 'Calculs dispo Données FA'!M161, IF($F$4="X", 'Calculs dispo Données conso'!M163, "0"))</f>
        <v>0</v>
      </c>
      <c r="L49" s="2436" t="str">
        <f>IF($F$5="X", 'Calculs dispo Données FA'!W161, IF($F$4="X", 'Calculs dispo Données conso'!W163, "0"))</f>
        <v/>
      </c>
      <c r="M49" s="2439">
        <f>Calculs!N408</f>
        <v>0</v>
      </c>
      <c r="N49" s="2436" t="str">
        <f>IF($F$5="X", 'Calculs dispo Données FA'!AO218, IF($F$4="X", 'Calculs dispo Données conso'!AO220, "0"))</f>
        <v/>
      </c>
    </row>
    <row r="50" spans="1:14" x14ac:dyDescent="0.2">
      <c r="A50" s="433"/>
      <c r="B50" s="449"/>
      <c r="C50" s="445"/>
      <c r="D50" s="446" t="str">
        <f>Calculs!E299</f>
        <v>DRV</v>
      </c>
      <c r="E50" s="446" t="str">
        <f>Calculs!F299</f>
        <v>Cp</v>
      </c>
      <c r="F50" s="446" t="str">
        <f>Calculs!G299</f>
        <v>300 mg</v>
      </c>
      <c r="G50" s="446" t="str">
        <f>Calculs!H299</f>
        <v>Darunavir</v>
      </c>
      <c r="H50" s="1266">
        <f>Calculs!K299</f>
        <v>60</v>
      </c>
      <c r="I50" s="3178">
        <f>IF($F$5="X", 'Calculs dispo Données FA'!N162, IF($F$4="X", 'Calculs dispo Données conso'!N164, "0"))</f>
        <v>0</v>
      </c>
      <c r="J50" s="1272">
        <f>Calculs!L409+Calculs!M409</f>
        <v>0</v>
      </c>
      <c r="K50" s="1273">
        <f>IF($F$5="X", 'Calculs dispo Données FA'!M162, IF($F$4="X", 'Calculs dispo Données conso'!M164, "0"))</f>
        <v>0</v>
      </c>
      <c r="L50" s="2436" t="str">
        <f>IF($F$5="X", 'Calculs dispo Données FA'!W162, IF($F$4="X", 'Calculs dispo Données conso'!W164, "0"))</f>
        <v/>
      </c>
      <c r="M50" s="2439">
        <f>Calculs!N409</f>
        <v>0</v>
      </c>
      <c r="N50" s="2436" t="str">
        <f>IF($F$5="X", 'Calculs dispo Données FA'!AO219, IF($F$4="X", 'Calculs dispo Données conso'!AO221, "0"))</f>
        <v/>
      </c>
    </row>
    <row r="51" spans="1:14" x14ac:dyDescent="0.2">
      <c r="A51" s="433"/>
      <c r="B51" s="449"/>
      <c r="C51" s="445"/>
      <c r="D51" s="446" t="str">
        <f>Calculs!E300</f>
        <v>SQV</v>
      </c>
      <c r="E51" s="446" t="str">
        <f>Calculs!F300</f>
        <v>Cp</v>
      </c>
      <c r="F51" s="446" t="str">
        <f>Calculs!G300</f>
        <v>500 mg</v>
      </c>
      <c r="G51" s="446" t="str">
        <f>Calculs!H300</f>
        <v>Saquinavir</v>
      </c>
      <c r="H51" s="1266">
        <f>Calculs!K300</f>
        <v>120</v>
      </c>
      <c r="I51" s="3178">
        <f>IF($F$5="X", 'Calculs dispo Données FA'!N163, IF($F$4="X", 'Calculs dispo Données conso'!N165, "0"))</f>
        <v>0</v>
      </c>
      <c r="J51" s="1272">
        <f>Calculs!L410+Calculs!M410</f>
        <v>0</v>
      </c>
      <c r="K51" s="1273">
        <f>IF($F$5="X", 'Calculs dispo Données FA'!M163, IF($F$4="X", 'Calculs dispo Données conso'!M165, "0"))</f>
        <v>0</v>
      </c>
      <c r="L51" s="2436" t="str">
        <f>IF($F$5="X", 'Calculs dispo Données FA'!W163, IF($F$4="X", 'Calculs dispo Données conso'!W165, "0"))</f>
        <v/>
      </c>
      <c r="M51" s="2439">
        <f>Calculs!N410</f>
        <v>0</v>
      </c>
      <c r="N51" s="2436" t="str">
        <f>IF($F$5="X", 'Calculs dispo Données FA'!AO220, IF($F$4="X", 'Calculs dispo Données conso'!AO222, "0"))</f>
        <v/>
      </c>
    </row>
    <row r="52" spans="1:14" x14ac:dyDescent="0.2">
      <c r="A52" s="433"/>
      <c r="B52" s="449"/>
      <c r="C52" s="445"/>
      <c r="D52" s="446" t="str">
        <f>Calculs!E301</f>
        <v>RTV</v>
      </c>
      <c r="E52" s="446" t="str">
        <f>Calculs!F301</f>
        <v>Caps</v>
      </c>
      <c r="F52" s="446" t="str">
        <f>Calculs!G301</f>
        <v>100 mg</v>
      </c>
      <c r="G52" s="446" t="str">
        <f>Calculs!H301</f>
        <v>Ritonavir</v>
      </c>
      <c r="H52" s="1266">
        <f>Calculs!K301</f>
        <v>84</v>
      </c>
      <c r="I52" s="3178">
        <f>IF($F$5="X", 'Calculs dispo Données FA'!N164, IF($F$4="X", 'Calculs dispo Données conso'!N166, "0"))</f>
        <v>0</v>
      </c>
      <c r="J52" s="1272">
        <f>Calculs!L411+Calculs!M411</f>
        <v>0</v>
      </c>
      <c r="K52" s="1273">
        <f>IF($F$5="X", 'Calculs dispo Données FA'!M164, IF($F$4="X", 'Calculs dispo Données conso'!M166, "0"))</f>
        <v>0</v>
      </c>
      <c r="L52" s="2436" t="str">
        <f>IF($F$5="X", 'Calculs dispo Données FA'!W164, IF($F$4="X", 'Calculs dispo Données conso'!W166, "0"))</f>
        <v/>
      </c>
      <c r="M52" s="2439">
        <f>Calculs!N411</f>
        <v>0</v>
      </c>
      <c r="N52" s="2436" t="str">
        <f>IF($F$5="X", 'Calculs dispo Données FA'!AO221, IF($F$4="X", 'Calculs dispo Données conso'!AO223, "0"))</f>
        <v/>
      </c>
    </row>
    <row r="53" spans="1:14" ht="13.5" thickBot="1" x14ac:dyDescent="0.25">
      <c r="A53" s="433"/>
      <c r="B53" s="449"/>
      <c r="C53" s="457" t="str">
        <f>Calculs!D302</f>
        <v>Inh Integrase</v>
      </c>
      <c r="D53" s="2469" t="str">
        <f>Calculs!E302</f>
        <v>RLT = RAL</v>
      </c>
      <c r="E53" s="2469" t="str">
        <f>Calculs!F302</f>
        <v>Cp</v>
      </c>
      <c r="F53" s="2469" t="str">
        <f>Calculs!G302</f>
        <v>400 mg</v>
      </c>
      <c r="G53" s="2469" t="str">
        <f>Calculs!H302</f>
        <v>Raltegravir</v>
      </c>
      <c r="H53" s="2470">
        <f>Calculs!K302</f>
        <v>60</v>
      </c>
      <c r="I53" s="3179">
        <f>IF($F$5="X", 'Calculs dispo Données FA'!N165, IF($F$4="X", 'Calculs dispo Données conso'!N167, "0"))</f>
        <v>0</v>
      </c>
      <c r="J53" s="2471">
        <f>Calculs!L412+Calculs!M412</f>
        <v>0</v>
      </c>
      <c r="K53" s="2472">
        <f>IF($F$5="X", 'Calculs dispo Données FA'!M165, IF($F$4="X", 'Calculs dispo Données conso'!M167, "0"))</f>
        <v>0</v>
      </c>
      <c r="L53" s="2473" t="str">
        <f>IF($F$5="X", 'Calculs dispo Données FA'!W165, IF($F$4="X", 'Calculs dispo Données conso'!W167, "0"))</f>
        <v/>
      </c>
      <c r="M53" s="2474">
        <f>Calculs!N412</f>
        <v>0</v>
      </c>
      <c r="N53" s="2473" t="str">
        <f>IF($F$5="X", 'Calculs dispo Données FA'!AO222, IF($F$4="X", 'Calculs dispo Données conso'!AO224, "0"))</f>
        <v/>
      </c>
    </row>
    <row r="54" spans="1:14" ht="24" x14ac:dyDescent="0.2">
      <c r="A54" s="433"/>
      <c r="B54" s="2475" t="str">
        <f>Calculs!C304</f>
        <v>Solutions buvables</v>
      </c>
      <c r="C54" s="2476" t="str">
        <f>Calculs!D304</f>
        <v>INTI</v>
      </c>
      <c r="D54" s="2477" t="str">
        <f>Calculs!E304</f>
        <v>AZT</v>
      </c>
      <c r="E54" s="2477" t="str">
        <f>Calculs!F304</f>
        <v>Sol buv</v>
      </c>
      <c r="F54" s="2477" t="str">
        <f>Calculs!G304</f>
        <v>10 mg/mL</v>
      </c>
      <c r="G54" s="2477" t="str">
        <f>Calculs!H304</f>
        <v>Zidovudine</v>
      </c>
      <c r="H54" s="2478">
        <f>Calculs!K304</f>
        <v>240</v>
      </c>
      <c r="I54" s="3180">
        <f>IF($F$5="X", 'Calculs dispo Données FA'!N167, IF($F$4="X", 'Calculs dispo Données conso'!N169, "0"))</f>
        <v>0</v>
      </c>
      <c r="J54" s="2984">
        <f>Calculs!L414+Calculs!M414</f>
        <v>0</v>
      </c>
      <c r="K54" s="2479">
        <f>IF($F$5="X", 'Calculs dispo Données FA'!M167, IF($F$4="X", 'Calculs dispo Données conso'!M169, "0"))</f>
        <v>0</v>
      </c>
      <c r="L54" s="2480" t="str">
        <f>IF($F$5="X", 'Calculs dispo Données FA'!W167, IF($F$4="X", 'Calculs dispo Données conso'!W169, "0"))</f>
        <v/>
      </c>
      <c r="M54" s="2982">
        <f>Calculs!N414</f>
        <v>0</v>
      </c>
      <c r="N54" s="2480" t="str">
        <f>IF($F$5="X", 'Calculs dispo Données FA'!AO224, IF($F$4="X", 'Calculs dispo Données conso'!AO226, "0"))</f>
        <v/>
      </c>
    </row>
    <row r="55" spans="1:14" x14ac:dyDescent="0.2">
      <c r="A55" s="433"/>
      <c r="B55" s="449"/>
      <c r="C55" s="445"/>
      <c r="D55" s="446" t="str">
        <f>Calculs!E305</f>
        <v>D4T</v>
      </c>
      <c r="E55" s="446" t="str">
        <f>Calculs!F305</f>
        <v>Sol buv</v>
      </c>
      <c r="F55" s="446" t="str">
        <f>Calculs!G305</f>
        <v>10 mg/mL</v>
      </c>
      <c r="G55" s="446" t="str">
        <f>Calculs!H305</f>
        <v>Stavudine</v>
      </c>
      <c r="H55" s="1266">
        <f>Calculs!K305</f>
        <v>240</v>
      </c>
      <c r="I55" s="3178">
        <f>IF($F$5="X", 'Calculs dispo Données FA'!N168, IF($F$4="X", 'Calculs dispo Données conso'!N170, "0"))</f>
        <v>0</v>
      </c>
      <c r="J55" s="1268">
        <f>Calculs!L415+Calculs!M415</f>
        <v>0</v>
      </c>
      <c r="K55" s="460">
        <f>IF($F$5="X", 'Calculs dispo Données FA'!M168, IF($F$4="X", 'Calculs dispo Données conso'!M170, "0"))</f>
        <v>0</v>
      </c>
      <c r="L55" s="2436" t="str">
        <f>IF($F$5="X", 'Calculs dispo Données FA'!W168, IF($F$4="X", 'Calculs dispo Données conso'!W170, "0"))</f>
        <v/>
      </c>
      <c r="M55" s="2440">
        <f>Calculs!N415</f>
        <v>0</v>
      </c>
      <c r="N55" s="2436" t="str">
        <f>IF($F$5="X", 'Calculs dispo Données FA'!AO225, IF($F$4="X", 'Calculs dispo Données conso'!AO227, "0"))</f>
        <v/>
      </c>
    </row>
    <row r="56" spans="1:14" x14ac:dyDescent="0.2">
      <c r="A56" s="433"/>
      <c r="B56" s="449"/>
      <c r="C56" s="445"/>
      <c r="D56" s="446" t="str">
        <f>Calculs!E306</f>
        <v>3TC</v>
      </c>
      <c r="E56" s="446" t="str">
        <f>Calculs!F306</f>
        <v>Sol buv</v>
      </c>
      <c r="F56" s="446" t="str">
        <f>Calculs!G306</f>
        <v>10 mg/mL</v>
      </c>
      <c r="G56" s="446" t="str">
        <f>Calculs!H306</f>
        <v>Lamivudine</v>
      </c>
      <c r="H56" s="1266">
        <f>Calculs!K306</f>
        <v>240</v>
      </c>
      <c r="I56" s="3178">
        <f>IF($F$5="X", 'Calculs dispo Données FA'!N169, IF($F$4="X", 'Calculs dispo Données conso'!N171, "0"))</f>
        <v>0</v>
      </c>
      <c r="J56" s="1268">
        <f>Calculs!L416+Calculs!M416</f>
        <v>0</v>
      </c>
      <c r="K56" s="460">
        <f>IF($F$5="X", 'Calculs dispo Données FA'!M169, IF($F$4="X", 'Calculs dispo Données conso'!M171, "0"))</f>
        <v>0</v>
      </c>
      <c r="L56" s="2436" t="str">
        <f>IF($F$5="X", 'Calculs dispo Données FA'!W169, IF($F$4="X", 'Calculs dispo Données conso'!W171, "0"))</f>
        <v/>
      </c>
      <c r="M56" s="2440">
        <f>Calculs!N416</f>
        <v>0</v>
      </c>
      <c r="N56" s="2436" t="str">
        <f>IF($F$5="X", 'Calculs dispo Données FA'!AO226, IF($F$4="X", 'Calculs dispo Données conso'!AO228, "0"))</f>
        <v/>
      </c>
    </row>
    <row r="57" spans="1:14" x14ac:dyDescent="0.2">
      <c r="A57" s="433"/>
      <c r="B57" s="449"/>
      <c r="C57" s="445"/>
      <c r="D57" s="446" t="str">
        <f>Calculs!E307</f>
        <v>ABC</v>
      </c>
      <c r="E57" s="446" t="str">
        <f>Calculs!F307</f>
        <v>Sol buv</v>
      </c>
      <c r="F57" s="446" t="str">
        <f>Calculs!G307</f>
        <v>20 mg/mL</v>
      </c>
      <c r="G57" s="446" t="str">
        <f>Calculs!H307</f>
        <v>Abacavir</v>
      </c>
      <c r="H57" s="1266">
        <f>Calculs!K307</f>
        <v>240</v>
      </c>
      <c r="I57" s="3178">
        <f>IF($F$5="X", 'Calculs dispo Données FA'!N170, IF($F$4="X", 'Calculs dispo Données conso'!N172, "0"))</f>
        <v>0</v>
      </c>
      <c r="J57" s="1268">
        <f>Calculs!L417+Calculs!M417</f>
        <v>0</v>
      </c>
      <c r="K57" s="460">
        <f>IF($F$5="X", 'Calculs dispo Données FA'!M170, IF($F$4="X", 'Calculs dispo Données conso'!M172, "0"))</f>
        <v>0</v>
      </c>
      <c r="L57" s="2436" t="str">
        <f>IF($F$5="X", 'Calculs dispo Données FA'!W170, IF($F$4="X", 'Calculs dispo Données conso'!W172, "0"))</f>
        <v/>
      </c>
      <c r="M57" s="2440">
        <f>Calculs!N417</f>
        <v>0</v>
      </c>
      <c r="N57" s="2436" t="str">
        <f>IF($F$5="X", 'Calculs dispo Données FA'!AO227, IF($F$4="X", 'Calculs dispo Données conso'!AO229, "0"))</f>
        <v/>
      </c>
    </row>
    <row r="58" spans="1:14" x14ac:dyDescent="0.2">
      <c r="A58" s="433"/>
      <c r="B58" s="449"/>
      <c r="C58" s="445"/>
      <c r="D58" s="446" t="str">
        <f>Calculs!E308</f>
        <v>DDI</v>
      </c>
      <c r="E58" s="446" t="str">
        <f>Calculs!F308</f>
        <v>Poudre buvable</v>
      </c>
      <c r="F58" s="446" t="str">
        <f>Calculs!G308</f>
        <v>2 g</v>
      </c>
      <c r="G58" s="446" t="str">
        <f>Calculs!H308</f>
        <v>Didanosine</v>
      </c>
      <c r="H58" s="1266">
        <f>Calculs!K308</f>
        <v>200</v>
      </c>
      <c r="I58" s="3178">
        <f>IF($F$5="X", 'Calculs dispo Données FA'!N171, IF($F$4="X", 'Calculs dispo Données conso'!N173, "0"))</f>
        <v>0</v>
      </c>
      <c r="J58" s="1268">
        <f>Calculs!L418+Calculs!M418</f>
        <v>0</v>
      </c>
      <c r="K58" s="460">
        <f>IF($F$5="X", 'Calculs dispo Données FA'!M171, IF($F$4="X", 'Calculs dispo Données conso'!M173, "0"))</f>
        <v>0</v>
      </c>
      <c r="L58" s="2436" t="str">
        <f>IF($F$5="X", 'Calculs dispo Données FA'!W171, IF($F$4="X", 'Calculs dispo Données conso'!W173, "0"))</f>
        <v/>
      </c>
      <c r="M58" s="2440">
        <f>Calculs!N418</f>
        <v>0</v>
      </c>
      <c r="N58" s="2436" t="str">
        <f>IF($F$5="X", 'Calculs dispo Données FA'!AO228, IF($F$4="X", 'Calculs dispo Données conso'!AO230, "0"))</f>
        <v/>
      </c>
    </row>
    <row r="59" spans="1:14" x14ac:dyDescent="0.2">
      <c r="A59" s="433"/>
      <c r="B59" s="449"/>
      <c r="C59" s="457" t="str">
        <f>Calculs!D309</f>
        <v>INNTI</v>
      </c>
      <c r="D59" s="446" t="str">
        <f>Calculs!E309</f>
        <v>NVP</v>
      </c>
      <c r="E59" s="446" t="str">
        <f>Calculs!F309</f>
        <v>Sol buv</v>
      </c>
      <c r="F59" s="446" t="str">
        <f>Calculs!G309</f>
        <v>10 mg/mL</v>
      </c>
      <c r="G59" s="446" t="str">
        <f>Calculs!H309</f>
        <v>Nevirapine</v>
      </c>
      <c r="H59" s="1266">
        <f>Calculs!K309</f>
        <v>240</v>
      </c>
      <c r="I59" s="3178">
        <f>IF($F$5="X", 'Calculs dispo Données FA'!N172, IF($F$4="X", 'Calculs dispo Données conso'!N174, "0"))</f>
        <v>830</v>
      </c>
      <c r="J59" s="1268">
        <f>Calculs!L419+Calculs!M419</f>
        <v>3990</v>
      </c>
      <c r="K59" s="460">
        <f>IF($F$5="X", 'Calculs dispo Données FA'!M172, IF($F$4="X", 'Calculs dispo Données conso'!M174, "0"))</f>
        <v>3990</v>
      </c>
      <c r="L59" s="2436">
        <f>IF($F$5="X", 'Calculs dispo Données FA'!W172, IF($F$4="X", 'Calculs dispo Données conso'!W174, "0"))</f>
        <v>4.8072289156626509</v>
      </c>
      <c r="M59" s="2440">
        <f>Calculs!N419</f>
        <v>0</v>
      </c>
      <c r="N59" s="2436" t="str">
        <f>IF($F$5="X", 'Calculs dispo Données FA'!AO229, IF($F$4="X", 'Calculs dispo Données conso'!AO231, "0"))</f>
        <v/>
      </c>
    </row>
    <row r="60" spans="1:14" x14ac:dyDescent="0.2">
      <c r="A60" s="433"/>
      <c r="B60" s="449"/>
      <c r="C60" s="445"/>
      <c r="D60" s="446" t="str">
        <f>Calculs!E310</f>
        <v>EFV</v>
      </c>
      <c r="E60" s="446" t="str">
        <f>Calculs!F310</f>
        <v>Sol buv</v>
      </c>
      <c r="F60" s="446" t="str">
        <f>Calculs!G310</f>
        <v>30 mg/mL</v>
      </c>
      <c r="G60" s="446" t="str">
        <f>Calculs!H310</f>
        <v>Efavirenz</v>
      </c>
      <c r="H60" s="1266">
        <f>Calculs!K310</f>
        <v>180</v>
      </c>
      <c r="I60" s="3178">
        <f>IF($F$5="X", 'Calculs dispo Données FA'!N173, IF($F$4="X", 'Calculs dispo Données conso'!N175, "0"))</f>
        <v>0</v>
      </c>
      <c r="J60" s="1268">
        <f>Calculs!L420+Calculs!M420</f>
        <v>0</v>
      </c>
      <c r="K60" s="460">
        <f>IF($F$5="X", 'Calculs dispo Données FA'!M173, IF($F$4="X", 'Calculs dispo Données conso'!M175, "0"))</f>
        <v>0</v>
      </c>
      <c r="L60" s="2436" t="str">
        <f>IF($F$5="X", 'Calculs dispo Données FA'!W173, IF($F$4="X", 'Calculs dispo Données conso'!W175, "0"))</f>
        <v/>
      </c>
      <c r="M60" s="2440">
        <f>Calculs!N420</f>
        <v>0</v>
      </c>
      <c r="N60" s="2436" t="str">
        <f>IF($F$5="X", 'Calculs dispo Données FA'!AO230, IF($F$4="X", 'Calculs dispo Données conso'!AO232, "0"))</f>
        <v/>
      </c>
    </row>
    <row r="61" spans="1:14" ht="13.5" thickBot="1" x14ac:dyDescent="0.25">
      <c r="A61" s="433"/>
      <c r="B61" s="450"/>
      <c r="C61" s="458" t="str">
        <f>Calculs!D311</f>
        <v>IP</v>
      </c>
      <c r="D61" s="456" t="str">
        <f>Calculs!E311</f>
        <v>LPV/r</v>
      </c>
      <c r="E61" s="456" t="str">
        <f>Calculs!F311</f>
        <v>Sol buv</v>
      </c>
      <c r="F61" s="456" t="str">
        <f>Calculs!G311</f>
        <v>80/20 mg/mL</v>
      </c>
      <c r="G61" s="456" t="str">
        <f>Calculs!H311</f>
        <v>Lopinavir/Ritonavir</v>
      </c>
      <c r="H61" s="1267">
        <f>Calculs!K311</f>
        <v>60</v>
      </c>
      <c r="I61" s="3181">
        <f>IF($F$5="X", 'Calculs dispo Données FA'!N174, IF($F$4="X", 'Calculs dispo Données conso'!N176, "0"))</f>
        <v>61</v>
      </c>
      <c r="J61" s="1269">
        <f>Calculs!L421+Calculs!M421</f>
        <v>0</v>
      </c>
      <c r="K61" s="461">
        <f>IF($F$5="X", 'Calculs dispo Données FA'!M174, IF($F$4="X", 'Calculs dispo Données conso'!M176, "0"))</f>
        <v>0</v>
      </c>
      <c r="L61" s="2437" t="str">
        <f>IF($F$5="X", 'Calculs dispo Données FA'!W174, IF($F$4="X", 'Calculs dispo Données conso'!W176, "0"))</f>
        <v/>
      </c>
      <c r="M61" s="2441">
        <f>Calculs!N421</f>
        <v>2168</v>
      </c>
      <c r="N61" s="2437">
        <f>IF($F$5="X", 'Calculs dispo Données FA'!AO231, IF($F$4="X", 'Calculs dispo Données conso'!AO233, "0"))</f>
        <v>6</v>
      </c>
    </row>
    <row r="62" spans="1:14" x14ac:dyDescent="0.2">
      <c r="A62" s="433"/>
      <c r="B62" s="433"/>
      <c r="C62" s="433"/>
      <c r="D62" s="433"/>
      <c r="E62" s="433"/>
      <c r="F62" s="433"/>
      <c r="G62" s="433"/>
      <c r="H62" s="433"/>
      <c r="I62" s="433"/>
      <c r="J62" s="433"/>
      <c r="K62" s="433"/>
      <c r="L62" s="433"/>
      <c r="M62" s="433"/>
    </row>
    <row r="63" spans="1:14" s="433" customFormat="1" ht="12" x14ac:dyDescent="0.2">
      <c r="C63" s="775" t="s">
        <v>357</v>
      </c>
      <c r="D63" s="776"/>
      <c r="E63" s="776"/>
      <c r="F63" s="776"/>
      <c r="G63" s="776"/>
      <c r="H63" s="776"/>
      <c r="I63" s="776"/>
      <c r="J63" s="776"/>
      <c r="K63" s="776"/>
      <c r="L63" s="776"/>
      <c r="M63" s="776"/>
    </row>
    <row r="64" spans="1:14" s="433" customFormat="1" ht="12" x14ac:dyDescent="0.2">
      <c r="C64" s="433" t="s">
        <v>358</v>
      </c>
      <c r="D64" s="433" t="str">
        <f>'TRAD-Synthèse résultats dispo'!B19</f>
        <v>Comme défini dans l'outil, il s'agit uniquement des quantités disponibles au niveau central</v>
      </c>
    </row>
    <row r="65" spans="3:4" x14ac:dyDescent="0.2">
      <c r="C65" s="433" t="s">
        <v>349</v>
      </c>
      <c r="D65" s="433" t="str">
        <f>'TRAD-Synthèse résultats dispo'!B20</f>
        <v>Les périodes de disponibilités sont limitées aux dates de péremption quand elles sont renseignées ou à la durée maximale d'utilisation quand celle-ci est définie</v>
      </c>
    </row>
    <row r="66" spans="3:4" x14ac:dyDescent="0.2">
      <c r="C66" s="2467" t="s">
        <v>351</v>
      </c>
      <c r="D66" s="433" t="str">
        <f>'TRAD-Synthèse résultats dispo'!B21</f>
        <v>Attention, ces disponibilités ne tiennent pas compte des dates de réception de produits</v>
      </c>
    </row>
  </sheetData>
  <sheetProtection sheet="1" objects="1" scenarios="1"/>
  <mergeCells count="1">
    <mergeCell ref="A10:N10"/>
  </mergeCells>
  <printOptions horizontalCentered="1"/>
  <pageMargins left="0.39370078740157483" right="0.39370078740157483" top="0.31496062992125984" bottom="0.31496062992125984" header="0.31496062992125984" footer="0.31496062992125984"/>
  <pageSetup paperSize="9" scale="77" orientation="landscape" r:id="rId1"/>
  <headerFooter>
    <oddFooter>&amp;R&amp;P/&amp;N</oddFooter>
  </headerFooter>
  <rowBreaks count="1" manualBreakCount="1">
    <brk id="4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0"/>
  </sheetPr>
  <dimension ref="B1:R22"/>
  <sheetViews>
    <sheetView topLeftCell="A21" workbookViewId="0">
      <selection activeCell="B22" sqref="B22"/>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18" s="2586" customFormat="1" x14ac:dyDescent="0.2">
      <c r="B1" s="2586" t="s">
        <v>865</v>
      </c>
      <c r="D1" s="2586" t="s">
        <v>866</v>
      </c>
      <c r="F1" s="2586" t="s">
        <v>867</v>
      </c>
    </row>
    <row r="2" spans="2:18" x14ac:dyDescent="0.2">
      <c r="B2" s="2586" t="str">
        <f>IF(Présentation!$E$2="Français",'TRAD-Synthèse résultats dispo'!D2,IF(Présentation!$E$2="Anglais",'TRAD-Synthèse résultats dispo'!F2,""))</f>
        <v>Consommations/Distributions</v>
      </c>
      <c r="D2" s="2558" t="s">
        <v>784</v>
      </c>
      <c r="F2" s="2558" t="s">
        <v>1839</v>
      </c>
    </row>
    <row r="3" spans="2:18" x14ac:dyDescent="0.2">
      <c r="B3" s="2586" t="str">
        <f>IF(Présentation!$E$2="Français",'TRAD-Synthèse résultats dispo'!D3,IF(Présentation!$E$2="Anglais",'TRAD-Synthèse résultats dispo'!F3,""))</f>
        <v>File active</v>
      </c>
      <c r="D3" s="2558" t="s">
        <v>1837</v>
      </c>
      <c r="F3" s="2558" t="s">
        <v>1838</v>
      </c>
    </row>
    <row r="4" spans="2:18" x14ac:dyDescent="0.2">
      <c r="B4" s="2586" t="str">
        <f>IF(Présentation!$E$2="Français",'TRAD-Synthèse résultats dispo'!D4,IF(Présentation!$E$2="Anglais",'TRAD-Synthèse résultats dispo'!F4,""))</f>
        <v>Tableau d'évaluation des besoins en ARV</v>
      </c>
      <c r="D4" s="2553" t="s">
        <v>525</v>
      </c>
      <c r="E4" s="2553"/>
      <c r="F4" s="2553" t="s">
        <v>1217</v>
      </c>
      <c r="G4" s="2553"/>
      <c r="H4" s="2553"/>
      <c r="I4" s="2553"/>
      <c r="J4" s="2553"/>
      <c r="K4" s="2553"/>
      <c r="L4" s="2616"/>
      <c r="M4" s="2553"/>
      <c r="N4" s="2553"/>
      <c r="O4" s="2553"/>
      <c r="P4" s="2553"/>
      <c r="Q4" s="2553"/>
      <c r="R4" s="2553"/>
    </row>
    <row r="5" spans="2:18" ht="25.5" x14ac:dyDescent="0.2">
      <c r="B5" s="2586" t="str">
        <f>IF(Présentation!$E$2="Français",'TRAD-Synthèse résultats dispo'!D5,IF(Présentation!$E$2="Anglais",'TRAD-Synthèse résultats dispo'!F5,""))</f>
        <v>Synthèse des données &amp; hypothèses prises en compte</v>
      </c>
      <c r="D5" s="2553" t="s">
        <v>245</v>
      </c>
      <c r="E5" s="2553"/>
      <c r="F5" s="2553" t="s">
        <v>1218</v>
      </c>
      <c r="G5" s="2553"/>
      <c r="H5" s="2553"/>
      <c r="I5" s="2553"/>
      <c r="J5" s="2553"/>
      <c r="K5" s="2553"/>
      <c r="L5" s="2617"/>
      <c r="M5" s="2553"/>
      <c r="N5" s="2553"/>
      <c r="O5" s="2553"/>
      <c r="P5" s="2553"/>
      <c r="Q5" s="2553"/>
      <c r="R5" s="2553"/>
    </row>
    <row r="6" spans="2:18" x14ac:dyDescent="0.2">
      <c r="B6" s="2586" t="str">
        <f>IF(Présentation!$E$2="Français",'TRAD-Synthèse résultats dispo'!D6,IF(Présentation!$E$2="Anglais",'TRAD-Synthèse résultats dispo'!F6,""))</f>
        <v>Pays / Région</v>
      </c>
      <c r="D6" s="2553" t="s">
        <v>523</v>
      </c>
      <c r="E6" s="2553"/>
      <c r="F6" s="2553" t="s">
        <v>1211</v>
      </c>
      <c r="G6" s="2553"/>
      <c r="H6" s="2553"/>
      <c r="I6" s="2553"/>
      <c r="J6" s="2553"/>
      <c r="K6" s="2553"/>
      <c r="L6" s="2553"/>
      <c r="M6" s="2617"/>
      <c r="N6" s="2553"/>
      <c r="O6" s="2553"/>
      <c r="P6" s="2553"/>
      <c r="Q6" s="2553"/>
      <c r="R6" s="2553"/>
    </row>
    <row r="7" spans="2:18" x14ac:dyDescent="0.2">
      <c r="B7" s="2586" t="str">
        <f>IF(Présentation!$E$2="Français",'TRAD-Synthèse résultats dispo'!D7,IF(Présentation!$E$2="Anglais",'TRAD-Synthèse résultats dispo'!F7,""))</f>
        <v>Date de mise à jour des données</v>
      </c>
      <c r="D7" s="2553" t="s">
        <v>524</v>
      </c>
      <c r="E7" s="2553"/>
      <c r="F7" s="2553" t="s">
        <v>1212</v>
      </c>
      <c r="G7" s="2553"/>
      <c r="H7" s="2553"/>
      <c r="I7" s="2553"/>
      <c r="J7" s="2553"/>
      <c r="K7" s="2564"/>
      <c r="L7" s="2553"/>
      <c r="M7" s="2553"/>
      <c r="N7" s="2553"/>
      <c r="O7" s="2553"/>
      <c r="P7" s="2553"/>
      <c r="Q7" s="2553"/>
      <c r="R7" s="2553"/>
    </row>
    <row r="8" spans="2:18" ht="25.5" x14ac:dyDescent="0.2">
      <c r="B8" s="2586" t="str">
        <f>IF(Présentation!$E$2="Français",'TRAD-Synthèse résultats dispo'!D8,IF(Présentation!$E$2="Anglais",'TRAD-Synthèse résultats dispo'!F8,""))</f>
        <v>Sélection des données/méthode que vous souhaitez utiliser</v>
      </c>
      <c r="D8" s="2553" t="s">
        <v>799</v>
      </c>
      <c r="E8" s="2553"/>
      <c r="F8" s="2553" t="s">
        <v>1213</v>
      </c>
      <c r="G8" s="2553"/>
      <c r="H8" s="2553"/>
      <c r="I8" s="2553"/>
      <c r="J8" s="2553"/>
      <c r="K8" s="2553"/>
      <c r="L8" s="2553"/>
      <c r="M8" s="2553"/>
      <c r="N8" s="2553"/>
      <c r="O8" s="2553"/>
      <c r="P8" s="2553"/>
      <c r="Q8" s="2553"/>
      <c r="R8" s="2553"/>
    </row>
    <row r="9" spans="2:18" ht="25.5" x14ac:dyDescent="0.2">
      <c r="B9" s="2586" t="str">
        <f>IF(Présentation!$E$2="Français",'TRAD-Synthèse résultats dispo'!D9,IF(Présentation!$E$2="Anglais",'TRAD-Synthèse résultats dispo'!F9,""))</f>
        <v xml:space="preserve">Le paramétrage prend il en compte les dates limites d'utilisation : </v>
      </c>
      <c r="D9" s="2553" t="s">
        <v>785</v>
      </c>
      <c r="E9" s="2553"/>
      <c r="F9" s="2553" t="s">
        <v>1219</v>
      </c>
      <c r="G9" s="2553"/>
      <c r="H9" s="2553"/>
      <c r="I9" s="2553"/>
      <c r="J9" s="2553"/>
      <c r="K9" s="2553"/>
      <c r="L9" s="2553"/>
      <c r="M9" s="2617"/>
      <c r="N9" s="2553"/>
      <c r="O9" s="2553"/>
      <c r="P9" s="2553"/>
      <c r="Q9" s="2553"/>
      <c r="R9" s="2553"/>
    </row>
    <row r="10" spans="2:18" ht="25.5" x14ac:dyDescent="0.2">
      <c r="B10" s="2586" t="str">
        <f>IF(Présentation!$E$2="Français",'TRAD-Synthèse résultats dispo'!D10,IF(Présentation!$E$2="Anglais",'TRAD-Synthèse résultats dispo'!F10,""))</f>
        <v>Durée maximale d'utilisation prise en compte</v>
      </c>
      <c r="D10" s="2553" t="s">
        <v>788</v>
      </c>
      <c r="E10" s="2553"/>
      <c r="F10" s="2553" t="s">
        <v>1220</v>
      </c>
      <c r="G10" s="2553"/>
      <c r="H10" s="2553"/>
      <c r="I10" s="2553"/>
      <c r="J10" s="2553"/>
      <c r="K10" s="2553"/>
      <c r="L10" s="2553"/>
      <c r="M10" s="2617"/>
      <c r="N10" s="2553"/>
      <c r="O10" s="2553"/>
      <c r="P10" s="2553"/>
      <c r="Q10" s="2553"/>
      <c r="R10" s="2553"/>
    </row>
    <row r="11" spans="2:18" x14ac:dyDescent="0.2">
      <c r="B11" s="2586" t="str">
        <f>IF(Présentation!$E$2="Français",'TRAD-Synthèse résultats dispo'!D11,IF(Présentation!$E$2="Anglais",'TRAD-Synthèse résultats dispo'!F11,""))</f>
        <v>Consommations/Distributions</v>
      </c>
      <c r="D11" s="2553" t="s">
        <v>784</v>
      </c>
      <c r="E11" s="2553"/>
      <c r="F11" s="2553" t="s">
        <v>1226</v>
      </c>
      <c r="G11" s="2553"/>
      <c r="H11" s="2553"/>
      <c r="I11" s="2553"/>
      <c r="J11" s="2553"/>
      <c r="K11" s="2553"/>
      <c r="L11" s="2553"/>
      <c r="M11" s="2553"/>
      <c r="N11" s="2617"/>
      <c r="O11" s="2553"/>
      <c r="P11" s="2553"/>
      <c r="Q11" s="2553"/>
      <c r="R11" s="2553"/>
    </row>
    <row r="12" spans="2:18" x14ac:dyDescent="0.2">
      <c r="B12" s="2586" t="str">
        <f>IF(Présentation!$E$2="Français",'TRAD-Synthèse résultats dispo'!D12,IF(Présentation!$E$2="Anglais",'TRAD-Synthèse résultats dispo'!F12,""))</f>
        <v>Résultats de disponibilité</v>
      </c>
      <c r="D12" s="2553" t="s">
        <v>800</v>
      </c>
      <c r="E12" s="2562"/>
      <c r="F12" s="2553" t="s">
        <v>1221</v>
      </c>
      <c r="G12" s="2562"/>
      <c r="H12" s="2562"/>
      <c r="I12" s="2562"/>
      <c r="J12" s="2562"/>
      <c r="K12" s="2562"/>
      <c r="L12" s="2562"/>
      <c r="M12" s="2562"/>
      <c r="N12" s="2562"/>
      <c r="O12" s="2562"/>
      <c r="P12" s="2562"/>
      <c r="Q12" s="2562"/>
      <c r="R12" s="2553"/>
    </row>
    <row r="13" spans="2:18" ht="25.5" x14ac:dyDescent="0.2">
      <c r="B13" s="2586" t="str">
        <f>IF(Présentation!$E$2="Français",'TRAD-Synthèse résultats dispo'!D13,IF(Présentation!$E$2="Anglais",'TRAD-Synthèse résultats dispo'!F13,""))</f>
        <v>CMM ou estimation du besoin moyen mensuel à baseline selon méthode</v>
      </c>
      <c r="D13" s="2553" t="s">
        <v>798</v>
      </c>
      <c r="E13" s="2553"/>
      <c r="F13" s="2553" t="s">
        <v>1222</v>
      </c>
      <c r="G13" s="2553"/>
      <c r="H13" s="2553"/>
      <c r="I13" s="2553"/>
      <c r="J13" s="2553"/>
      <c r="K13" s="2553"/>
      <c r="L13" s="2553"/>
      <c r="M13" s="2553"/>
      <c r="N13" s="2553"/>
      <c r="O13" s="2553"/>
      <c r="P13" s="2553"/>
      <c r="Q13" s="2553"/>
      <c r="R13" s="2553"/>
    </row>
    <row r="14" spans="2:18" ht="25.5" x14ac:dyDescent="0.2">
      <c r="B14" s="2586" t="str">
        <f>IF(Présentation!$E$2="Français",'TRAD-Synthèse résultats dispo'!D14,IF(Présentation!$E$2="Anglais",'TRAD-Synthèse résultats dispo'!F14,""))</f>
        <v>Quantités totales en stock (nb de boites) [1]</v>
      </c>
      <c r="D14" s="2553" t="s">
        <v>795</v>
      </c>
      <c r="E14" s="2553"/>
      <c r="F14" s="2553" t="s">
        <v>1214</v>
      </c>
      <c r="G14" s="2553"/>
      <c r="H14" s="2553"/>
      <c r="I14" s="2553"/>
      <c r="J14" s="2553"/>
      <c r="K14" s="2553"/>
      <c r="L14" s="2553"/>
      <c r="M14" s="2616"/>
      <c r="N14" s="2616"/>
      <c r="O14" s="2626"/>
      <c r="P14" s="2616"/>
      <c r="Q14" s="2626"/>
      <c r="R14" s="2553"/>
    </row>
    <row r="15" spans="2:18" ht="25.5" x14ac:dyDescent="0.2">
      <c r="B15" s="2586" t="str">
        <f>IF(Présentation!$E$2="Français",'TRAD-Synthèse résultats dispo'!D15,IF(Présentation!$E$2="Anglais",'TRAD-Synthèse résultats dispo'!F15,""))</f>
        <v>Quantités totales UTILISABLES avant péremption (nb de boites)</v>
      </c>
      <c r="D15" s="2553" t="s">
        <v>787</v>
      </c>
      <c r="E15" s="2553"/>
      <c r="F15" s="2553" t="s">
        <v>1223</v>
      </c>
      <c r="G15" s="2553"/>
      <c r="H15" s="2553"/>
      <c r="I15" s="2553"/>
      <c r="J15" s="2553"/>
      <c r="K15" s="2553"/>
      <c r="L15" s="2553"/>
      <c r="M15" s="2616"/>
      <c r="N15" s="2616"/>
      <c r="O15" s="2626"/>
      <c r="P15" s="2616"/>
      <c r="Q15" s="2626"/>
      <c r="R15" s="2553"/>
    </row>
    <row r="16" spans="2:18" ht="38.25" x14ac:dyDescent="0.2">
      <c r="B16" s="2586" t="str">
        <f>IF(Présentation!$E$2="Français",'TRAD-Synthèse résultats dispo'!D16,IF(Présentation!$E$2="Anglais",'TRAD-Synthèse résultats dispo'!F16,""))</f>
        <v>Nombre de mois de disponibilité de produits sur Stock disponible UTILISABLE [2]</v>
      </c>
      <c r="D16" s="2553" t="s">
        <v>796</v>
      </c>
      <c r="E16" s="2553"/>
      <c r="F16" s="2553" t="s">
        <v>1224</v>
      </c>
      <c r="G16" s="2553"/>
      <c r="H16" s="2553"/>
      <c r="I16" s="2553"/>
      <c r="J16" s="2553"/>
      <c r="K16" s="2553"/>
      <c r="L16" s="2553"/>
      <c r="M16" s="2616"/>
      <c r="N16" s="2616"/>
      <c r="O16" s="2626"/>
      <c r="P16" s="2616"/>
      <c r="Q16" s="2626"/>
      <c r="R16" s="2553"/>
    </row>
    <row r="17" spans="2:18" ht="38.25" x14ac:dyDescent="0.2">
      <c r="B17" s="2586" t="str">
        <f>IF(Présentation!$E$2="Français",'TRAD-Synthèse résultats dispo'!D17,IF(Présentation!$E$2="Anglais",'TRAD-Synthèse résultats dispo'!F17,""))</f>
        <v>Nombre de mois de disponibilité de produits sur quantités sur commandes attendues [3]</v>
      </c>
      <c r="D17" s="2553" t="s">
        <v>797</v>
      </c>
      <c r="E17" s="2553"/>
      <c r="F17" s="2553" t="s">
        <v>1215</v>
      </c>
      <c r="G17" s="2553"/>
      <c r="H17" s="2553"/>
      <c r="I17" s="2553"/>
      <c r="J17" s="2553"/>
      <c r="K17" s="2553"/>
      <c r="L17" s="2553"/>
      <c r="M17" s="2616"/>
      <c r="N17" s="2616"/>
      <c r="O17" s="2626"/>
      <c r="P17" s="2616"/>
      <c r="Q17" s="2626"/>
      <c r="R17" s="2553"/>
    </row>
    <row r="18" spans="2:18" x14ac:dyDescent="0.2">
      <c r="B18" s="2586" t="str">
        <f>IF(Présentation!$E$2="Français",'TRAD-Synthèse résultats dispo'!D18,IF(Présentation!$E$2="Anglais",'TRAD-Synthèse résultats dispo'!F18,""))</f>
        <v>Notes</v>
      </c>
      <c r="D18" s="2553" t="s">
        <v>357</v>
      </c>
      <c r="E18" s="2553"/>
      <c r="F18" s="2553" t="s">
        <v>357</v>
      </c>
      <c r="G18" s="2553"/>
      <c r="H18" s="2553"/>
      <c r="I18" s="2553"/>
      <c r="J18" s="2553"/>
      <c r="K18" s="2553"/>
      <c r="L18" s="2553"/>
      <c r="M18" s="2616"/>
      <c r="N18" s="2616"/>
      <c r="O18" s="2626"/>
      <c r="P18" s="2616"/>
      <c r="Q18" s="2626"/>
      <c r="R18" s="2553"/>
    </row>
    <row r="19" spans="2:18" ht="51" x14ac:dyDescent="0.2">
      <c r="B19" s="2586" t="str">
        <f>IF(Présentation!$E$2="Français",'TRAD-Synthèse résultats dispo'!D19,IF(Présentation!$E$2="Anglais",'TRAD-Synthèse résultats dispo'!F19,""))</f>
        <v>Comme défini dans l'outil, il s'agit uniquement des quantités disponibles au niveau central</v>
      </c>
      <c r="D19" s="2553" t="str">
        <f>IF('Saisie données stocks'!P78='TRAD-Saisie données stocks'!$B$51, "Les quantités totales intègrent les quantités disponibles au niveau central et au niveau périphérique", "Comme défini dans l'outil, il s'agit uniquement des quantités disponibles au niveau central")</f>
        <v>Comme défini dans l'outil, il s'agit uniquement des quantités disponibles au niveau central</v>
      </c>
      <c r="E19" s="2553"/>
      <c r="F19" s="2553" t="s">
        <v>1225</v>
      </c>
      <c r="G19" s="2553"/>
      <c r="H19" s="2553"/>
      <c r="I19" s="2553"/>
      <c r="J19" s="2553"/>
      <c r="K19" s="2553"/>
      <c r="L19" s="2553"/>
      <c r="M19" s="2553"/>
      <c r="N19" s="2553"/>
      <c r="O19" s="2553"/>
      <c r="P19" s="2553"/>
      <c r="Q19" s="2553"/>
      <c r="R19" s="2553"/>
    </row>
    <row r="20" spans="2:18" ht="63.75" x14ac:dyDescent="0.2">
      <c r="B20" s="2586" t="str">
        <f>IF(Présentation!$E$2="Français",'TRAD-Synthèse résultats dispo'!D20,IF(Présentation!$E$2="Anglais",'TRAD-Synthèse résultats dispo'!F20,""))</f>
        <v>Les périodes de disponibilités sont limitées aux dates de péremption quand elles sont renseignées ou à la durée maximale d'utilisation quand celle-ci est définie</v>
      </c>
      <c r="D20" s="2553" t="s">
        <v>794</v>
      </c>
      <c r="E20" s="2553"/>
      <c r="F20" s="2553" t="s">
        <v>1216</v>
      </c>
      <c r="G20" s="2553"/>
      <c r="H20" s="2553"/>
      <c r="I20" s="2553"/>
      <c r="J20" s="2553"/>
      <c r="K20" s="2553"/>
      <c r="L20" s="2553"/>
      <c r="M20" s="2553"/>
      <c r="N20" s="2553"/>
      <c r="O20" s="2553"/>
      <c r="P20" s="2553"/>
      <c r="Q20" s="2553"/>
      <c r="R20" s="2553"/>
    </row>
    <row r="21" spans="2:18" ht="38.25" x14ac:dyDescent="0.2">
      <c r="B21" s="2586" t="str">
        <f>IF(Présentation!$E$2="Français",'TRAD-Synthèse résultats dispo'!D21,IF(Présentation!$E$2="Anglais",'TRAD-Synthèse résultats dispo'!F21,""))</f>
        <v>Attention, ces disponibilités ne tiennent pas compte des dates de réception de produits</v>
      </c>
      <c r="D21" s="2553" t="s">
        <v>789</v>
      </c>
      <c r="E21" s="2553"/>
      <c r="F21" s="2553" t="s">
        <v>1745</v>
      </c>
      <c r="G21" s="2553"/>
      <c r="H21" s="2553"/>
      <c r="I21" s="2553"/>
      <c r="J21" s="2553"/>
      <c r="K21" s="2553"/>
      <c r="L21" s="2553"/>
      <c r="M21" s="2553"/>
      <c r="N21" s="2553"/>
      <c r="O21" s="2553"/>
      <c r="P21" s="2553"/>
      <c r="Q21" s="2553"/>
      <c r="R21" s="2553"/>
    </row>
    <row r="22" spans="2:18" x14ac:dyDescent="0.2">
      <c r="B22" s="2586" t="str">
        <f>IF(Présentation!$E$2="Français",'TRAD-Synthèse résultats dispo'!D22,IF(Présentation!$E$2="Anglais",'TRAD-Synthèse résultats dispo'!F22,""))</f>
        <v>mois</v>
      </c>
      <c r="D22" s="2558" t="s">
        <v>184</v>
      </c>
      <c r="F22" s="2558" t="s">
        <v>1806</v>
      </c>
    </row>
  </sheetData>
  <sheetProtection sheet="1" objects="1" scenarios="1"/>
  <dataValidations count="2">
    <dataValidation type="list" allowBlank="1" showInputMessage="1" showErrorMessage="1" sqref="D11">
      <formula1>"File active, Consommations/Distributions"</formula1>
    </dataValidation>
    <dataValidation type="list" allowBlank="1" showInputMessage="1" showErrorMessage="1" sqref="F11">
      <formula1>"Consumption/ Distributions,Active file"</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tabColor theme="0"/>
  </sheetPr>
  <dimension ref="B1:F14"/>
  <sheetViews>
    <sheetView workbookViewId="0">
      <selection sqref="A1:XFD1048576"/>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6" s="2586" customFormat="1" x14ac:dyDescent="0.2">
      <c r="B1" s="2586" t="s">
        <v>865</v>
      </c>
      <c r="D1" s="2586" t="s">
        <v>866</v>
      </c>
      <c r="F1" s="2586" t="s">
        <v>867</v>
      </c>
    </row>
    <row r="2" spans="2:6" x14ac:dyDescent="0.2">
      <c r="B2" s="2663" t="str">
        <f>IF(Présentation!$E$2="Français",'TRAD-visualiz'!D2,IF(Présentation!$E$2="Anglais",'TRAD-visualiz'!F2,""))</f>
        <v>ESTIMATION DE LA DISPONIBILITE</v>
      </c>
      <c r="C2" s="2553"/>
      <c r="D2" s="2553" t="s">
        <v>1796</v>
      </c>
      <c r="E2" s="2553"/>
      <c r="F2" s="2553" t="s">
        <v>1797</v>
      </c>
    </row>
    <row r="3" spans="2:6" x14ac:dyDescent="0.2">
      <c r="B3" s="2663" t="str">
        <f>IF(Présentation!$E$2="Français",'TRAD-visualiz'!D3,IF(Présentation!$E$2="Anglais",'TRAD-visualiz'!F3,""))</f>
        <v xml:space="preserve">Pays et/ou structure </v>
      </c>
      <c r="C3" s="2553"/>
      <c r="D3" s="2553" t="s">
        <v>1663</v>
      </c>
      <c r="E3" s="2553"/>
      <c r="F3" s="2553" t="s">
        <v>1674</v>
      </c>
    </row>
    <row r="4" spans="2:6" x14ac:dyDescent="0.2">
      <c r="B4" s="2663" t="str">
        <f>IF(Présentation!$E$2="Français",'TRAD-visualiz'!D4,IF(Présentation!$E$2="Anglais",'TRAD-visualiz'!F4,""))</f>
        <v xml:space="preserve">Date de mise à jour des données </v>
      </c>
      <c r="C4" s="2553"/>
      <c r="D4" s="2553" t="s">
        <v>1664</v>
      </c>
      <c r="E4" s="2553"/>
      <c r="F4" s="2553" t="s">
        <v>1212</v>
      </c>
    </row>
    <row r="5" spans="2:6" x14ac:dyDescent="0.2">
      <c r="B5" s="2663" t="str">
        <f>IF(Présentation!$E$2="Français",'TRAD-visualiz'!D5,IF(Présentation!$E$2="Anglais",'TRAD-visualiz'!F5,""))</f>
        <v xml:space="preserve">Méthode / type de données utilisées </v>
      </c>
      <c r="C5" s="2553"/>
      <c r="D5" s="2553" t="s">
        <v>1665</v>
      </c>
      <c r="E5" s="2553"/>
      <c r="F5" s="2553" t="s">
        <v>1675</v>
      </c>
    </row>
    <row r="6" spans="2:6" x14ac:dyDescent="0.2">
      <c r="B6" s="2663" t="str">
        <f>IF(Présentation!$E$2="Français",'TRAD-visualiz'!D6,IF(Présentation!$E$2="Anglais",'TRAD-visualiz'!F6,""))</f>
        <v xml:space="preserve">Nature des stocks considérés </v>
      </c>
      <c r="C6" s="2553"/>
      <c r="D6" s="2553" t="s">
        <v>1666</v>
      </c>
      <c r="E6" s="2553"/>
      <c r="F6" s="2553" t="s">
        <v>1676</v>
      </c>
    </row>
    <row r="7" spans="2:6" x14ac:dyDescent="0.2">
      <c r="B7" s="2663" t="str">
        <f>IF(Présentation!$E$2="Français",'TRAD-visualiz'!D7,IF(Présentation!$E$2="Anglais",'TRAD-visualiz'!F7,""))</f>
        <v xml:space="preserve">Dates de péremption </v>
      </c>
      <c r="C7" s="2553"/>
      <c r="D7" s="2553" t="s">
        <v>1667</v>
      </c>
      <c r="E7" s="2553"/>
      <c r="F7" s="2553" t="s">
        <v>1274</v>
      </c>
    </row>
    <row r="8" spans="2:6" x14ac:dyDescent="0.2">
      <c r="B8" s="2663" t="str">
        <f>IF(Présentation!$E$2="Français",'TRAD-visualiz'!D8,IF(Présentation!$E$2="Anglais",'TRAD-visualiz'!F8,""))</f>
        <v>Nb de patients concernés / mois</v>
      </c>
      <c r="C8" s="2553"/>
      <c r="D8" s="2553" t="s">
        <v>1668</v>
      </c>
      <c r="E8" s="2553"/>
      <c r="F8" s="2553" t="s">
        <v>1679</v>
      </c>
    </row>
    <row r="9" spans="2:6" x14ac:dyDescent="0.2">
      <c r="B9" s="2663" t="str">
        <f>IF(Présentation!$E$2="Français",'TRAD-visualiz'!D9,IF(Présentation!$E$2="Anglais",'TRAD-visualiz'!F9,""))</f>
        <v>Nombre de mois de stock disponible</v>
      </c>
      <c r="C9" s="2553"/>
      <c r="D9" s="2625" t="s">
        <v>1672</v>
      </c>
      <c r="E9" s="2553"/>
      <c r="F9" s="2553" t="s">
        <v>1677</v>
      </c>
    </row>
    <row r="10" spans="2:6" ht="25.5" x14ac:dyDescent="0.2">
      <c r="B10" s="2663" t="str">
        <f>IF(Présentation!$E$2="Français",'TRAD-visualiz'!D10,IF(Présentation!$E$2="Anglais",'TRAD-visualiz'!F10,""))</f>
        <v xml:space="preserve">Période pendant laquelle le ST a été utilisé </v>
      </c>
      <c r="C10" s="2553"/>
      <c r="D10" s="2553" t="s">
        <v>1673</v>
      </c>
      <c r="E10" s="2553"/>
      <c r="F10" s="2553" t="s">
        <v>1678</v>
      </c>
    </row>
    <row r="11" spans="2:6" x14ac:dyDescent="0.2">
      <c r="B11" s="2663" t="str">
        <f>IF(Présentation!$E$2="Français",'TRAD-visualiz'!D11,IF(Présentation!$E$2="Anglais",'TRAD-visualiz'!F11,""))</f>
        <v xml:space="preserve"> Comprimés - Formes simples</v>
      </c>
      <c r="C11" s="2553"/>
      <c r="D11" s="2553" t="s">
        <v>1793</v>
      </c>
      <c r="E11" s="2553"/>
      <c r="F11" s="2553" t="s">
        <v>1808</v>
      </c>
    </row>
    <row r="12" spans="2:6" x14ac:dyDescent="0.2">
      <c r="B12" s="2663" t="str">
        <f>IF(Présentation!$E$2="Français",'TRAD-visualiz'!D12,IF(Présentation!$E$2="Anglais",'TRAD-visualiz'!F12,""))</f>
        <v xml:space="preserve"> Solutions buvables </v>
      </c>
      <c r="C12" s="2553"/>
      <c r="D12" s="2553" t="s">
        <v>1794</v>
      </c>
      <c r="E12" s="2553"/>
      <c r="F12" s="2553" t="s">
        <v>1809</v>
      </c>
    </row>
    <row r="13" spans="2:6" ht="63.75" x14ac:dyDescent="0.2">
      <c r="B13" s="2663" t="str">
        <f>IF(Présentation!$E$2="Français",'TRAD-visualiz'!D13,IF(Présentation!$E$2="Anglais",'TRAD-visualiz'!F13,""))</f>
        <v xml:space="preserve">Attention, le nombre de patients présentés ici dépend des options thérapeutiques retenues, notemment l'utilisation de CDF pédiatriques - Voir paramétrage dans "Données à saisir" </v>
      </c>
      <c r="D13" s="2553" t="s">
        <v>1680</v>
      </c>
      <c r="E13" s="2553"/>
      <c r="F13" s="2553" t="s">
        <v>1681</v>
      </c>
    </row>
    <row r="14" spans="2:6" x14ac:dyDescent="0.2">
      <c r="B14" s="2663" t="str">
        <f>IF(Présentation!$E$2="Français",'TRAD-visualiz'!D14,IF(Présentation!$E$2="Anglais",'TRAD-visualiz'!F14,""))</f>
        <v xml:space="preserve"> Comprimés - CDF</v>
      </c>
      <c r="D14" s="2553" t="s">
        <v>1795</v>
      </c>
      <c r="E14" s="2553"/>
      <c r="F14" s="2553" t="s">
        <v>1807</v>
      </c>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tabColor theme="9"/>
  </sheetPr>
  <dimension ref="A2:AW123"/>
  <sheetViews>
    <sheetView showGridLines="0" topLeftCell="A23" workbookViewId="0">
      <selection activeCell="E29" sqref="E29"/>
    </sheetView>
  </sheetViews>
  <sheetFormatPr defaultColWidth="11.42578125" defaultRowHeight="12" x14ac:dyDescent="0.2"/>
  <cols>
    <col min="1" max="1" width="3.85546875" style="433" customWidth="1"/>
    <col min="2" max="2" width="36.7109375" style="433" customWidth="1"/>
    <col min="3" max="3" width="11.140625" style="433" customWidth="1"/>
    <col min="4" max="4" width="17.140625" style="761" customWidth="1"/>
    <col min="5" max="5" width="11.140625" style="433" customWidth="1"/>
    <col min="6" max="6" width="17.140625" style="433" customWidth="1"/>
    <col min="7" max="7" width="12.42578125" style="433" customWidth="1"/>
    <col min="8" max="8" width="17.140625" style="433" customWidth="1"/>
    <col min="9" max="9" width="11.140625" style="433" customWidth="1"/>
    <col min="10" max="10" width="17.140625" style="433" customWidth="1"/>
    <col min="11" max="11" width="11.140625" style="433" customWidth="1"/>
    <col min="12" max="12" width="17.140625" style="433" customWidth="1"/>
    <col min="13" max="13" width="11.140625" style="433" customWidth="1"/>
    <col min="14" max="14" width="17.140625" style="433" customWidth="1"/>
    <col min="15" max="15" width="11.140625" style="433" customWidth="1"/>
    <col min="16" max="16" width="17.140625" style="433" customWidth="1"/>
    <col min="17" max="16384" width="11.42578125" style="433"/>
  </cols>
  <sheetData>
    <row r="2" spans="1:49" s="356" customFormat="1" ht="15.75" thickBot="1" x14ac:dyDescent="0.25">
      <c r="A2" s="3257" t="str">
        <f>'TRAD-Quanti et TdB Péremptions'!B60</f>
        <v>Résultats - Tableau de bord Gestion de péremptions</v>
      </c>
      <c r="B2" s="3257"/>
      <c r="C2" s="3257"/>
      <c r="D2" s="3257"/>
      <c r="E2" s="3257"/>
      <c r="F2" s="3257"/>
      <c r="G2" s="3257"/>
      <c r="H2" s="3257"/>
      <c r="I2" s="3257"/>
      <c r="J2" s="3257"/>
      <c r="K2" s="3257"/>
      <c r="L2" s="3257"/>
      <c r="M2" s="3257"/>
      <c r="N2" s="3257"/>
      <c r="O2" s="3257"/>
      <c r="P2" s="3257"/>
      <c r="R2" s="357"/>
      <c r="S2" s="357"/>
      <c r="AD2" s="357"/>
      <c r="AE2" s="357"/>
      <c r="AI2" s="499"/>
      <c r="AV2" s="357"/>
      <c r="AW2" s="357"/>
    </row>
    <row r="4" spans="1:49" x14ac:dyDescent="0.2">
      <c r="B4" s="775" t="str">
        <f>'TRAD-Quanti et TdB Péremptions'!B61</f>
        <v>Paramétrage</v>
      </c>
      <c r="C4" s="776"/>
      <c r="D4" s="777"/>
      <c r="E4" s="776"/>
      <c r="F4" s="776"/>
      <c r="G4" s="776"/>
      <c r="H4" s="776"/>
      <c r="I4" s="776"/>
      <c r="J4" s="776"/>
      <c r="K4" s="776"/>
      <c r="L4" s="776"/>
    </row>
    <row r="5" spans="1:49" ht="12.75" thickBot="1" x14ac:dyDescent="0.25">
      <c r="C5" s="433" t="str">
        <f>'TRAD-Quanti et TdB Péremptions'!B62</f>
        <v>Sélectionnez dans le menu ci-dessous les données /méthode que vous souhaitez utiliser pour l'estimation des besoins</v>
      </c>
    </row>
    <row r="6" spans="1:49" ht="13.5" thickBot="1" x14ac:dyDescent="0.25">
      <c r="D6" s="1059" t="s">
        <v>224</v>
      </c>
      <c r="E6" s="2764" t="str">
        <f>'TRAD-Quanti et TdB Péremptions'!B6</f>
        <v>Données de consommation ou distribution</v>
      </c>
    </row>
    <row r="7" spans="1:49" ht="13.5" thickBot="1" x14ac:dyDescent="0.25">
      <c r="D7" s="1059"/>
      <c r="E7" s="2764" t="str">
        <f>'TRAD-Quanti et TdB Péremptions'!B4</f>
        <v>Données de morbidité, suivi de la file active</v>
      </c>
    </row>
    <row r="8" spans="1:49" customFormat="1" ht="13.5" thickBot="1" x14ac:dyDescent="0.25"/>
    <row r="9" spans="1:49" customFormat="1" ht="13.5" thickBot="1" x14ac:dyDescent="0.25">
      <c r="C9" s="433" t="str">
        <f>'TRAD-Quanti et TdB Péremptions'!B71</f>
        <v>Quel type de prix souhaitez vous prendre en compte ? (1 seule case/4)</v>
      </c>
      <c r="G9" s="434" t="str">
        <f>'TRAD-Quanti et TdB Péremptions'!B64</f>
        <v>Prix GPRM</v>
      </c>
      <c r="H9" s="1618"/>
      <c r="I9" s="434" t="str">
        <f>'TRAD-Quanti et TdB Péremptions'!B66</f>
        <v>Prix médian</v>
      </c>
    </row>
    <row r="10" spans="1:49" s="2530" customFormat="1" ht="13.5" thickBot="1" x14ac:dyDescent="0.25">
      <c r="C10" s="433"/>
      <c r="G10" s="433"/>
      <c r="H10" s="1618"/>
      <c r="I10" s="434" t="str">
        <f>'TRAD-Quanti et TdB Péremptions'!B67</f>
        <v>Prix interquartile 75</v>
      </c>
    </row>
    <row r="11" spans="1:49" s="2530" customFormat="1" ht="13.5" thickBot="1" x14ac:dyDescent="0.25">
      <c r="C11" s="433"/>
      <c r="G11" s="434" t="str">
        <f>'TRAD-Quanti et TdB Péremptions'!B65</f>
        <v>Prix VPP</v>
      </c>
      <c r="H11" s="1618"/>
      <c r="I11" s="434" t="str">
        <f>'TRAD-Quanti et TdB Péremptions'!B69</f>
        <v>Prix moyen</v>
      </c>
    </row>
    <row r="12" spans="1:49" s="2530" customFormat="1" ht="13.5" thickBot="1" x14ac:dyDescent="0.25">
      <c r="C12" s="433"/>
      <c r="G12" s="433"/>
      <c r="H12" s="1618"/>
      <c r="I12" s="434" t="str">
        <f>'TRAD-Quanti et TdB Péremptions'!B70</f>
        <v>Prix maximum</v>
      </c>
    </row>
    <row r="13" spans="1:49" s="2530" customFormat="1" ht="13.5" thickBot="1" x14ac:dyDescent="0.25">
      <c r="C13" s="433"/>
      <c r="G13" s="434" t="str">
        <f>'Prix spécifiques'!H4</f>
        <v>Prix Source autre</v>
      </c>
      <c r="H13" s="1618" t="s">
        <v>224</v>
      </c>
      <c r="I13" s="434"/>
    </row>
    <row r="14" spans="1:49" ht="13.5" thickBot="1" x14ac:dyDescent="0.25">
      <c r="C14" s="433" t="str">
        <f>'TRAD-Quanti et TdB Péremptions'!B72</f>
        <v>précisez la marge que vous souhaitez (frais de transport/frais de gestion) ?</v>
      </c>
      <c r="H14" s="1059">
        <v>0.1</v>
      </c>
    </row>
    <row r="15" spans="1:49" customFormat="1" ht="12.75" x14ac:dyDescent="0.2"/>
    <row r="16" spans="1:49" x14ac:dyDescent="0.2">
      <c r="B16" s="775" t="str">
        <f>'TRAD-Quanti et TdB Péremptions'!B73</f>
        <v>Remarque</v>
      </c>
      <c r="C16" s="776"/>
      <c r="D16" s="777"/>
      <c r="E16" s="776"/>
      <c r="F16" s="776"/>
      <c r="G16" s="776"/>
      <c r="H16" s="776"/>
      <c r="I16" s="776"/>
      <c r="J16" s="776"/>
      <c r="K16" s="776"/>
      <c r="L16" s="776"/>
    </row>
    <row r="17" spans="2:16" x14ac:dyDescent="0.2">
      <c r="C17" s="433" t="str">
        <f>'TRAD-Quanti et TdB Péremptions'!B74</f>
        <v>DLU = Date Limite d'Utilisation</v>
      </c>
    </row>
    <row r="18" spans="2:16" x14ac:dyDescent="0.2">
      <c r="C18" s="433" t="str">
        <f>'TRAD-Quanti et TdB Péremptions'!B75</f>
        <v>Ce tableau tient compte de l'ensemble des données saisies dans l'onglet de saisie</v>
      </c>
    </row>
    <row r="19" spans="2:16" x14ac:dyDescent="0.2">
      <c r="C19" s="433" t="str">
        <f>'TRAD-Quanti et TdB Péremptions'!B76</f>
        <v>Les estimations sont faites en considérant que le retrait à lieu au moment de la DLU et non quelques semaines ou mois avant, ce qui aurait pour conséquence d'augmenter les pertes mentionnées ci-dessous.</v>
      </c>
    </row>
    <row r="20" spans="2:16" x14ac:dyDescent="0.2">
      <c r="C20" s="433" t="str">
        <f>'TRAD-Quanti et TdB Péremptions'!B77</f>
        <v>Lorsque la première colonne indique "saisie incomplète des DLU et Qtés", cela veut dire que la saisie des DLU ne représente pas la quantité totale en stock.</v>
      </c>
    </row>
    <row r="21" spans="2:16" x14ac:dyDescent="0.2">
      <c r="C21" s="433" t="str">
        <f>'TRAD-Quanti et TdB Péremptions'!B78</f>
        <v>Lorsqu'une date apparaît dans une cellule orange, c'est que la DLU est dans moins de 6 mois</v>
      </c>
    </row>
    <row r="22" spans="2:16" ht="12.75" thickBot="1" x14ac:dyDescent="0.25"/>
    <row r="23" spans="2:16" ht="24.75" thickBot="1" x14ac:dyDescent="0.25">
      <c r="B23" s="757" t="str">
        <f>'TRAD-Quanti et TdB Péremptions'!B79</f>
        <v>Nom</v>
      </c>
      <c r="C23" s="758" t="str">
        <f>'TRAD-Quanti et TdB Péremptions'!B80</f>
        <v>DLU n°1</v>
      </c>
      <c r="D23" s="759" t="str">
        <f>'TRAD-Quanti et TdB Péremptions'!B87</f>
        <v>Indicateur Utilisation DLU n°1</v>
      </c>
      <c r="E23" s="758" t="str">
        <f>'TRAD-Quanti et TdB Péremptions'!B81</f>
        <v>DLU n°2</v>
      </c>
      <c r="F23" s="759" t="str">
        <f>'TRAD-Quanti et TdB Péremptions'!B88</f>
        <v>Indicateur Utilisation DLU n°2</v>
      </c>
      <c r="G23" s="758" t="str">
        <f>'TRAD-Quanti et TdB Péremptions'!B82</f>
        <v>DLU n°3</v>
      </c>
      <c r="H23" s="759" t="str">
        <f>'TRAD-Quanti et TdB Péremptions'!B89</f>
        <v>Indicateur Utilisation DLU n°3</v>
      </c>
      <c r="I23" s="758" t="str">
        <f>'TRAD-Quanti et TdB Péremptions'!B83</f>
        <v>DLU n°4</v>
      </c>
      <c r="J23" s="759" t="str">
        <f>'TRAD-Quanti et TdB Péremptions'!B90</f>
        <v>Indicateur Utilisation DLU n°4</v>
      </c>
      <c r="K23" s="758" t="str">
        <f>'TRAD-Quanti et TdB Péremptions'!B84</f>
        <v>DLU n°5</v>
      </c>
      <c r="L23" s="759" t="str">
        <f>'TRAD-Quanti et TdB Péremptions'!B91</f>
        <v>Indicateur Utilisation DLU n°5</v>
      </c>
      <c r="M23" s="758" t="str">
        <f>'TRAD-Quanti et TdB Péremptions'!B85</f>
        <v>DLU n°6</v>
      </c>
      <c r="N23" s="759" t="str">
        <f>'TRAD-Quanti et TdB Péremptions'!B92</f>
        <v>Indicateur Utilisation DLU n°6</v>
      </c>
      <c r="O23" s="758" t="str">
        <f>'TRAD-Quanti et TdB Péremptions'!B86</f>
        <v>DLU n°7</v>
      </c>
      <c r="P23" s="759" t="str">
        <f>'TRAD-Quanti et TdB Péremptions'!B93</f>
        <v>Indicateur Utilisation DLU n°7</v>
      </c>
    </row>
    <row r="24" spans="2:16" ht="12.75" thickBot="1" x14ac:dyDescent="0.25">
      <c r="B24" s="3298" t="str">
        <f>'TRAD-Quanti et TdB Péremptions'!B94</f>
        <v>Comprimés</v>
      </c>
      <c r="C24" s="3299"/>
      <c r="D24" s="3299"/>
      <c r="E24" s="3299"/>
      <c r="F24" s="3299"/>
      <c r="G24" s="3299"/>
      <c r="H24" s="3299"/>
      <c r="I24" s="3299"/>
      <c r="J24" s="3299"/>
      <c r="K24" s="3299"/>
      <c r="L24" s="3299"/>
      <c r="M24" s="3299"/>
      <c r="N24" s="3299"/>
      <c r="O24" s="3299"/>
      <c r="P24" s="3300"/>
    </row>
    <row r="25" spans="2:16" x14ac:dyDescent="0.2">
      <c r="B25" s="1809" t="str">
        <f>CONCATENATE('Calculs Péremption FA'!D7, " - ", 'Calculs Péremption FA'!F7, " - ", 'Calculs Péremption FA'!E7, " - B/", 'Calculs Péremption FA'!I7)</f>
        <v>AZT+3TC+NVP - 300/150/200 mg - Cp - B/60</v>
      </c>
      <c r="C25" s="1810"/>
      <c r="D25" s="1811"/>
      <c r="E25" s="1810"/>
      <c r="F25" s="1811"/>
      <c r="G25" s="1810"/>
      <c r="H25" s="1811"/>
      <c r="I25" s="1810"/>
      <c r="J25" s="1811"/>
      <c r="K25" s="1810"/>
      <c r="L25" s="1811"/>
      <c r="M25" s="1810"/>
      <c r="N25" s="1811"/>
      <c r="O25" s="1810"/>
      <c r="P25" s="1811"/>
    </row>
    <row r="26" spans="2:16" ht="36" customHeight="1" x14ac:dyDescent="0.2">
      <c r="B26" s="767" t="str">
        <f>IF('Calculs Péremption FA'!P7="OK", "", 'TRAD-Quanti et TdB Péremptions'!$B$97)</f>
        <v/>
      </c>
      <c r="C26" s="768">
        <f>IF('Saisie données stocks'!Q19="", "", 'Saisie données stocks'!Q19)</f>
        <v>42856</v>
      </c>
      <c r="D26" s="769" t="str">
        <f>IF($D$7="X", IF('Calculs Péremption FA'!V7="ND", "", IF('Calculs Péremption FA'!W7="OK", "OK", CONCATENATE('TRAD-Quanti et TdB Péremptions'!$B$95, ROUNDUP('Calculs Péremption FA'!V7, 0), " ", 'TRAD-Quanti et TdB Péremptions'!$B$96, ROUNDUP('Calculs Péremption FA'!X7, 0), " US$"))), IF($D$6="X", IF('Calculs Péremption conso'!V7="ND", "", IF('Calculs Péremption conso'!W7="OK", "OK", CONCATENATE('TRAD-Quanti et TdB Péremptions'!$B$95, ROUNDUP('Calculs Péremption conso'!V7, 0), " ", 'TRAD-Quanti et TdB Péremptions'!$B$96, ROUNDUP('Calculs Péremption conso'!X7, 0), " US$"))), "ND"))</f>
        <v>OK</v>
      </c>
      <c r="E26" s="768" t="str">
        <f>IF('Saisie données stocks'!S19="", "", 'Saisie données stocks'!S19)</f>
        <v/>
      </c>
      <c r="F26" s="769" t="str">
        <f>IF($D$7="X", IF('Calculs Péremption FA'!AD7="ND", "", IF('Calculs Péremption FA'!AE7="OK", "OK", CONCATENATE('TRAD-Quanti et TdB Péremptions'!$B$95, ROUNDUP('Calculs Péremption FA'!AD7, 0), " ", 'TRAD-Quanti et TdB Péremptions'!$B$96, ROUNDUP('Calculs Péremption FA'!AF7, 0), " US$"))), IF($D$6="X", IF('Calculs Péremption conso'!AD7="ND", "", IF('Calculs Péremption conso'!AE7="OK", "OK", CONCATENATE('TRAD-Quanti et TdB Péremptions'!$B$95, ROUNDUP('Calculs Péremption conso'!AD7, 0), " ", 'TRAD-Quanti et TdB Péremptions'!$B$96, ROUNDUP('Calculs Péremption conso'!AF7, 0), " US$"))), "ND"))</f>
        <v/>
      </c>
      <c r="G26" s="768" t="str">
        <f>IF('Saisie données stocks'!U19="", "", 'Saisie données stocks'!U19)</f>
        <v/>
      </c>
      <c r="H26" s="769" t="str">
        <f>IF($D$7="X", IF('Calculs Péremption FA'!AL7="ND", "", IF('Calculs Péremption FA'!AM7="OK", "OK", CONCATENATE('TRAD-Quanti et TdB Péremptions'!$B$95, ROUNDUP('Calculs Péremption FA'!AL7, 0), " ", 'TRAD-Quanti et TdB Péremptions'!$B$96, ROUNDUP('Calculs Péremption FA'!AN7, 0), " US$"))), IF($D$6="X", IF('Calculs Péremption conso'!AL7="ND", "", IF('Calculs Péremption conso'!AM7="OK", "OK", CONCATENATE('TRAD-Quanti et TdB Péremptions'!$B$95, ROUNDUP('Calculs Péremption conso'!AL7, 0), " ", 'TRAD-Quanti et TdB Péremptions'!$B$96, ROUNDUP('Calculs Péremption conso'!AN7, 0), " US$"))), "ND"))</f>
        <v/>
      </c>
      <c r="I26" s="768" t="str">
        <f>IF('Saisie données stocks'!W19="", "", 'Saisie données stocks'!W19)</f>
        <v/>
      </c>
      <c r="J26" s="769" t="str">
        <f>IF($D$7="X", IF('Calculs Péremption FA'!AT7="ND", "", IF('Calculs Péremption FA'!AU7="OK", "OK", CONCATENATE('TRAD-Quanti et TdB Péremptions'!$B$95, ROUNDUP('Calculs Péremption FA'!AT7, 0), " ", 'TRAD-Quanti et TdB Péremptions'!$B$96, ROUNDUP('Calculs Péremption FA'!AV7, 0), " US$"))), IF($D$6="X", IF('Calculs Péremption conso'!AT7="ND", "", IF('Calculs Péremption conso'!AU7="OK", "OK", CONCATENATE('TRAD-Quanti et TdB Péremptions'!$B$95, ROUNDUP('Calculs Péremption conso'!AT7, 0), " ", 'TRAD-Quanti et TdB Péremptions'!$B$96, ROUNDUP('Calculs Péremption conso'!AV7, 0), " US$"))), "ND"))</f>
        <v/>
      </c>
      <c r="K26" s="768" t="str">
        <f>IF('Saisie données stocks'!Y19="", "", 'Saisie données stocks'!Y19)</f>
        <v/>
      </c>
      <c r="L26" s="769" t="str">
        <f>IF($D$7="X", IF('Calculs Péremption FA'!BB7="ND", "", IF('Calculs Péremption FA'!BC7="OK", "OK", CONCATENATE('TRAD-Quanti et TdB Péremptions'!$B$95, ROUNDUP('Calculs Péremption FA'!BB7, 0), " ", 'TRAD-Quanti et TdB Péremptions'!$B$96, ROUNDUP('Calculs Péremption FA'!BD7, 0), " US$"))), IF($D$6="X", IF('Calculs Péremption conso'!BB7="ND", "", IF('Calculs Péremption conso'!BC7="OK", "OK", CONCATENATE('TRAD-Quanti et TdB Péremptions'!$B$95, ROUNDUP('Calculs Péremption conso'!BB7, 0), " ", 'TRAD-Quanti et TdB Péremptions'!$B$96, ROUNDUP('Calculs Péremption conso'!BD7, 0), " US$"))), "ND"))</f>
        <v/>
      </c>
      <c r="M26" s="768" t="str">
        <f>IF('Saisie données stocks'!AA19="", "", 'Saisie données stocks'!AA19)</f>
        <v/>
      </c>
      <c r="N26" s="769" t="str">
        <f>IF($D$7="X", IF('Calculs Péremption FA'!BJ7="ND", "", IF('Calculs Péremption FA'!BK7="OK", "OK", CONCATENATE('TRAD-Quanti et TdB Péremptions'!$B$95, ROUNDUP('Calculs Péremption FA'!BJ7, 0), " ", 'TRAD-Quanti et TdB Péremptions'!$B$96, ROUNDUP('Calculs Péremption FA'!BL7, 0), " US$"))), IF($D$6="X", IF('Calculs Péremption conso'!BJ7="ND", "", IF('Calculs Péremption conso'!BK7="OK", "OK", CONCATENATE('TRAD-Quanti et TdB Péremptions'!$B$95, ROUNDUP('Calculs Péremption conso'!BJ7, 0), " ", 'TRAD-Quanti et TdB Péremptions'!$B$96, ROUNDUP('Calculs Péremption conso'!BL7, 0), " US$"))), "ND"))</f>
        <v/>
      </c>
      <c r="O26" s="768" t="str">
        <f>IF('Saisie données stocks'!AC19="", "", 'Saisie données stocks'!AC19)</f>
        <v/>
      </c>
      <c r="P26" s="769" t="str">
        <f>IF($D$7="X", IF('Calculs Péremption FA'!BR7="ND", "", IF('Calculs Péremption FA'!BS7="OK", "OK", CONCATENATE('TRAD-Quanti et TdB Péremptions'!$B$95, ROUNDUP('Calculs Péremption FA'!BR7, 0), " ", 'TRAD-Quanti et TdB Péremptions'!$B$96, ROUNDUP('Calculs Péremption FA'!BT7, 0), " US$"))), IF($D$6="X", IF('Calculs Péremption conso'!BR7="ND", "", IF('Calculs Péremption conso'!BS7="OK", "OK", CONCATENATE('TRAD-Quanti et TdB Péremptions'!$B$95, ROUNDUP('Calculs Péremption conso'!BR7, 0), " ", 'TRAD-Quanti et TdB Péremptions'!$B$96, ROUNDUP('Calculs Péremption conso'!BT7, 0), " US$"))), "ND"))</f>
        <v/>
      </c>
    </row>
    <row r="27" spans="2:16" x14ac:dyDescent="0.2">
      <c r="B27" s="770" t="str">
        <f>CONCATENATE('Calculs Péremption FA'!D8, " - ", 'Calculs Péremption FA'!F8, " - ", 'Calculs Péremption FA'!E8, " - B/", 'Calculs Péremption FA'!I8)</f>
        <v>AZT+3TC+NVP - 60/30/50 mg - Cp - B/60</v>
      </c>
      <c r="C27" s="771"/>
      <c r="D27" s="772"/>
      <c r="E27" s="771"/>
      <c r="F27" s="772"/>
      <c r="G27" s="771"/>
      <c r="H27" s="772"/>
      <c r="I27" s="771"/>
      <c r="J27" s="772"/>
      <c r="K27" s="771"/>
      <c r="L27" s="772"/>
      <c r="M27" s="771"/>
      <c r="N27" s="772"/>
      <c r="O27" s="771"/>
      <c r="P27" s="772"/>
    </row>
    <row r="28" spans="2:16" ht="36" customHeight="1" x14ac:dyDescent="0.2">
      <c r="B28" s="773" t="str">
        <f>IF('Calculs Péremption FA'!P8="OK", "", 'TRAD-Quanti et TdB Péremptions'!$B$97)</f>
        <v/>
      </c>
      <c r="C28" s="768">
        <f>IF('Saisie données stocks'!Q20="", "", 'Saisie données stocks'!Q20)</f>
        <v>42339</v>
      </c>
      <c r="D28" s="769" t="str">
        <f>IF($D$7="X", IF('Calculs Péremption FA'!V8="ND", "", IF('Calculs Péremption FA'!W8="OK", "OK", CONCATENATE('TRAD-Quanti et TdB Péremptions'!$B$95, ROUNDUP('Calculs Péremption FA'!V8, 0), " ", 'TRAD-Quanti et TdB Péremptions'!$B$96, ROUNDUP('Calculs Péremption FA'!X8, 0), " US$"))), IF($D$6="X", IF('Calculs Péremption conso'!V8="ND", "", IF('Calculs Péremption conso'!W8="OK", "OK", CONCATENATE('TRAD-Quanti et TdB Péremptions'!$B$95, ROUNDUP('Calculs Péremption conso'!V8, 0), " ", 'TRAD-Quanti et TdB Péremptions'!$B$96, ROUNDUP('Calculs Péremption conso'!X8, 0), " US$"))), "ND"))</f>
        <v>OK</v>
      </c>
      <c r="E28" s="768" t="str">
        <f>IF('Saisie données stocks'!S20="", "", 'Saisie données stocks'!S20)</f>
        <v/>
      </c>
      <c r="F28" s="769" t="str">
        <f>IF($D$7="X", IF('Calculs Péremption FA'!AD8="ND", "", IF('Calculs Péremption FA'!AE8="OK", "OK", CONCATENATE('TRAD-Quanti et TdB Péremptions'!$B$95, ROUNDUP('Calculs Péremption FA'!AD8, 0), " ", 'TRAD-Quanti et TdB Péremptions'!$B$96, ROUNDUP('Calculs Péremption FA'!AF8, 0), " US$"))), IF($D$6="X", IF('Calculs Péremption conso'!AD8="ND", "", IF('Calculs Péremption conso'!AE8="OK", "OK", CONCATENATE('TRAD-Quanti et TdB Péremptions'!$B$95, ROUNDUP('Calculs Péremption conso'!AD8, 0), " ", 'TRAD-Quanti et TdB Péremptions'!$B$96, ROUNDUP('Calculs Péremption conso'!AF8, 0), " US$"))), "ND"))</f>
        <v/>
      </c>
      <c r="G28" s="768" t="str">
        <f>IF('Saisie données stocks'!U20="", "", 'Saisie données stocks'!U20)</f>
        <v/>
      </c>
      <c r="H28" s="769" t="str">
        <f>IF($D$7="X", IF('Calculs Péremption FA'!AL8="ND", "", IF('Calculs Péremption FA'!AM8="OK", "OK", CONCATENATE('TRAD-Quanti et TdB Péremptions'!$B$95, ROUNDUP('Calculs Péremption FA'!AL8, 0), " ", 'TRAD-Quanti et TdB Péremptions'!$B$96, ROUNDUP('Calculs Péremption FA'!AN8, 0), " US$"))), IF($D$6="X", IF('Calculs Péremption conso'!AL8="ND", "", IF('Calculs Péremption conso'!AM8="OK", "OK", CONCATENATE('TRAD-Quanti et TdB Péremptions'!$B$95, ROUNDUP('Calculs Péremption conso'!AL8, 0), " ", 'TRAD-Quanti et TdB Péremptions'!$B$96, ROUNDUP('Calculs Péremption conso'!AN8, 0), " US$"))), "ND"))</f>
        <v/>
      </c>
      <c r="I28" s="768" t="str">
        <f>IF('Saisie données stocks'!W20="", "", 'Saisie données stocks'!W20)</f>
        <v/>
      </c>
      <c r="J28" s="769" t="str">
        <f>IF($D$7="X", IF('Calculs Péremption FA'!AT8="ND", "", IF('Calculs Péremption FA'!AU8="OK", "OK", CONCATENATE('TRAD-Quanti et TdB Péremptions'!$B$95, ROUNDUP('Calculs Péremption FA'!AT8, 0), " ", 'TRAD-Quanti et TdB Péremptions'!$B$96, ROUNDUP('Calculs Péremption FA'!AV8, 0), " US$"))), IF($D$6="X", IF('Calculs Péremption conso'!AT8="ND", "", IF('Calculs Péremption conso'!AU8="OK", "OK", CONCATENATE('TRAD-Quanti et TdB Péremptions'!$B$95, ROUNDUP('Calculs Péremption conso'!AT8, 0), " ", 'TRAD-Quanti et TdB Péremptions'!$B$96, ROUNDUP('Calculs Péremption conso'!AV8, 0), " US$"))), "ND"))</f>
        <v/>
      </c>
      <c r="K28" s="768" t="str">
        <f>IF('Saisie données stocks'!Y20="", "", 'Saisie données stocks'!Y20)</f>
        <v/>
      </c>
      <c r="L28" s="769" t="str">
        <f>IF($D$7="X", IF('Calculs Péremption FA'!BB8="ND", "", IF('Calculs Péremption FA'!BC8="OK", "OK", CONCATENATE('TRAD-Quanti et TdB Péremptions'!$B$95, ROUNDUP('Calculs Péremption FA'!BB8, 0), " ", 'TRAD-Quanti et TdB Péremptions'!$B$96, ROUNDUP('Calculs Péremption FA'!BD8, 0), " US$"))), IF($D$6="X", IF('Calculs Péremption conso'!BB8="ND", "", IF('Calculs Péremption conso'!BC8="OK", "OK", CONCATENATE('TRAD-Quanti et TdB Péremptions'!$B$95, ROUNDUP('Calculs Péremption conso'!BB8, 0), " ", 'TRAD-Quanti et TdB Péremptions'!$B$96, ROUNDUP('Calculs Péremption conso'!BD8, 0), " US$"))), "ND"))</f>
        <v/>
      </c>
      <c r="M28" s="768" t="str">
        <f>IF('Saisie données stocks'!AA20="", "", 'Saisie données stocks'!AA20)</f>
        <v/>
      </c>
      <c r="N28" s="769" t="str">
        <f>IF($D$7="X", IF('Calculs Péremption FA'!BJ8="ND", "", IF('Calculs Péremption FA'!BK8="OK", "OK", CONCATENATE('TRAD-Quanti et TdB Péremptions'!$B$95, ROUNDUP('Calculs Péremption FA'!BJ8, 0), " ", 'TRAD-Quanti et TdB Péremptions'!$B$96, ROUNDUP('Calculs Péremption FA'!BL8, 0), " US$"))), IF($D$6="X", IF('Calculs Péremption conso'!BJ8="ND", "", IF('Calculs Péremption conso'!BK8="OK", "OK", CONCATENATE('TRAD-Quanti et TdB Péremptions'!$B$95, ROUNDUP('Calculs Péremption conso'!BJ8, 0), " ", 'TRAD-Quanti et TdB Péremptions'!$B$96, ROUNDUP('Calculs Péremption conso'!BL8, 0), " US$"))), "ND"))</f>
        <v/>
      </c>
      <c r="O28" s="768" t="str">
        <f>IF('Saisie données stocks'!AC20="", "", 'Saisie données stocks'!AC20)</f>
        <v/>
      </c>
      <c r="P28" s="769" t="str">
        <f>IF($D$7="X", IF('Calculs Péremption FA'!BR8="ND", "", IF('Calculs Péremption FA'!BS8="OK", "OK", CONCATENATE('TRAD-Quanti et TdB Péremptions'!$B$95, ROUNDUP('Calculs Péremption FA'!BR8, 0), " ", 'TRAD-Quanti et TdB Péremptions'!$B$96, ROUNDUP('Calculs Péremption FA'!BT8, 0), " US$"))), IF($D$6="X", IF('Calculs Péremption conso'!BR8="ND", "", IF('Calculs Péremption conso'!BS8="OK", "OK", CONCATENATE('TRAD-Quanti et TdB Péremptions'!$B$95, ROUNDUP('Calculs Péremption conso'!BR8, 0), " ", 'TRAD-Quanti et TdB Péremptions'!$B$96, ROUNDUP('Calculs Péremption conso'!BT8, 0), " US$"))), "ND"))</f>
        <v/>
      </c>
    </row>
    <row r="29" spans="2:16" x14ac:dyDescent="0.2">
      <c r="B29" s="774" t="str">
        <f>CONCATENATE('Calculs Péremption FA'!D9, " - ", 'Calculs Péremption FA'!F9, " - ", 'Calculs Péremption FA'!E9, " - B/", 'Calculs Péremption FA'!I9)</f>
        <v>AZT+3TC+ABC - 300/150/300 mg - Cp - B/60</v>
      </c>
      <c r="C29" s="771"/>
      <c r="D29" s="772"/>
      <c r="E29" s="771"/>
      <c r="F29" s="772"/>
      <c r="G29" s="771"/>
      <c r="H29" s="772"/>
      <c r="I29" s="771"/>
      <c r="J29" s="772"/>
      <c r="K29" s="771"/>
      <c r="L29" s="772"/>
      <c r="M29" s="771"/>
      <c r="N29" s="772"/>
      <c r="O29" s="771"/>
      <c r="P29" s="772"/>
    </row>
    <row r="30" spans="2:16" ht="36" customHeight="1" x14ac:dyDescent="0.2">
      <c r="B30" s="2550" t="str">
        <f>IF('Calculs Péremption FA'!P9="OK", "", 'TRAD-Quanti et TdB Péremptions'!$B$97)</f>
        <v/>
      </c>
      <c r="C30" s="768">
        <f>IF('Saisie données stocks'!Q21="", "", 'Saisie données stocks'!Q21)</f>
        <v>42186</v>
      </c>
      <c r="D30" s="769" t="str">
        <f>IF($D$7="X", IF('Calculs Péremption FA'!V9="ND", "", IF('Calculs Péremption FA'!W9="OK", "OK", CONCATENATE('TRAD-Quanti et TdB Péremptions'!$B$95, ROUNDUP('Calculs Péremption FA'!V9, 0), " ", 'TRAD-Quanti et TdB Péremptions'!$B$96, ROUNDUP('Calculs Péremption FA'!X9, 0), " US$"))), IF($D$6="X", IF('Calculs Péremption conso'!V9="ND", "", IF('Calculs Péremption conso'!W9="OK", "OK", CONCATENATE('TRAD-Quanti et TdB Péremptions'!$B$95, ROUNDUP('Calculs Péremption conso'!V9, 0), " ", 'TRAD-Quanti et TdB Péremptions'!$B$96, ROUNDUP('Calculs Péremption conso'!X9, 0), " US$"))), "ND"))</f>
        <v>Attention - pertes-429 Btes - 15573 US$</v>
      </c>
      <c r="E30" s="768" t="str">
        <f>IF('Saisie données stocks'!S21="", "", 'Saisie données stocks'!S21)</f>
        <v/>
      </c>
      <c r="F30" s="769" t="str">
        <f>IF($D$7="X", IF('Calculs Péremption FA'!AD9="ND", "", IF('Calculs Péremption FA'!AE9="OK", "OK", CONCATENATE('TRAD-Quanti et TdB Péremptions'!$B$95, ROUNDUP('Calculs Péremption FA'!AD9, 0), " ", 'TRAD-Quanti et TdB Péremptions'!$B$96, ROUNDUP('Calculs Péremption FA'!AF9, 0), " US$"))), IF($D$6="X", IF('Calculs Péremption conso'!AD9="ND", "", IF('Calculs Péremption conso'!AE9="OK", "OK", CONCATENATE('TRAD-Quanti et TdB Péremptions'!$B$95, ROUNDUP('Calculs Péremption conso'!AD9, 0), " ", 'TRAD-Quanti et TdB Péremptions'!$B$96, ROUNDUP('Calculs Péremption conso'!AF9, 0), " US$"))), "ND"))</f>
        <v/>
      </c>
      <c r="G30" s="768" t="str">
        <f>IF('Saisie données stocks'!U21="", "", 'Saisie données stocks'!U21)</f>
        <v/>
      </c>
      <c r="H30" s="769" t="str">
        <f>IF($D$7="X", IF('Calculs Péremption FA'!AL9="ND", "", IF('Calculs Péremption FA'!AM9="OK", "OK", CONCATENATE('TRAD-Quanti et TdB Péremptions'!$B$95, ROUNDUP('Calculs Péremption FA'!AL9, 0), " ", 'TRAD-Quanti et TdB Péremptions'!$B$96, ROUNDUP('Calculs Péremption FA'!AN9, 0), " US$"))), IF($D$6="X", IF('Calculs Péremption conso'!AL9="ND", "", IF('Calculs Péremption conso'!AM9="OK", "OK", CONCATENATE('TRAD-Quanti et TdB Péremptions'!$B$95, ROUNDUP('Calculs Péremption conso'!AL9, 0), " ", 'TRAD-Quanti et TdB Péremptions'!$B$96, ROUNDUP('Calculs Péremption conso'!AN9, 0), " US$"))), "ND"))</f>
        <v/>
      </c>
      <c r="I30" s="768" t="str">
        <f>IF('Saisie données stocks'!W21="", "", 'Saisie données stocks'!W21)</f>
        <v/>
      </c>
      <c r="J30" s="769" t="str">
        <f>IF($D$7="X", IF('Calculs Péremption FA'!AT9="ND", "", IF('Calculs Péremption FA'!AU9="OK", "OK", CONCATENATE('TRAD-Quanti et TdB Péremptions'!$B$95, ROUNDUP('Calculs Péremption FA'!AT9, 0), " ", 'TRAD-Quanti et TdB Péremptions'!$B$96, ROUNDUP('Calculs Péremption FA'!AV9, 0), " US$"))), IF($D$6="X", IF('Calculs Péremption conso'!AT9="ND", "", IF('Calculs Péremption conso'!AU9="OK", "OK", CONCATENATE('TRAD-Quanti et TdB Péremptions'!$B$95, ROUNDUP('Calculs Péremption conso'!AT9, 0), " ", 'TRAD-Quanti et TdB Péremptions'!$B$96, ROUNDUP('Calculs Péremption conso'!AV9, 0), " US$"))), "ND"))</f>
        <v/>
      </c>
      <c r="K30" s="768" t="str">
        <f>IF('Saisie données stocks'!Y21="", "", 'Saisie données stocks'!Y21)</f>
        <v/>
      </c>
      <c r="L30" s="769" t="str">
        <f>IF($D$7="X", IF('Calculs Péremption FA'!BB9="ND", "", IF('Calculs Péremption FA'!BC9="OK", "OK", CONCATENATE('TRAD-Quanti et TdB Péremptions'!$B$95, ROUNDUP('Calculs Péremption FA'!BB9, 0), " ", 'TRAD-Quanti et TdB Péremptions'!$B$96, ROUNDUP('Calculs Péremption FA'!BD9, 0), " US$"))), IF($D$6="X", IF('Calculs Péremption conso'!BB9="ND", "", IF('Calculs Péremption conso'!BC9="OK", "OK", CONCATENATE('TRAD-Quanti et TdB Péremptions'!$B$95, ROUNDUP('Calculs Péremption conso'!BB9, 0), " ", 'TRAD-Quanti et TdB Péremptions'!$B$96, ROUNDUP('Calculs Péremption conso'!BD9, 0), " US$"))), "ND"))</f>
        <v/>
      </c>
      <c r="M30" s="768" t="str">
        <f>IF('Saisie données stocks'!AA21="", "", 'Saisie données stocks'!AA21)</f>
        <v/>
      </c>
      <c r="N30" s="769" t="str">
        <f>IF($D$7="X", IF('Calculs Péremption FA'!BJ9="ND", "", IF('Calculs Péremption FA'!BK9="OK", "OK", CONCATENATE('TRAD-Quanti et TdB Péremptions'!$B$95, ROUNDUP('Calculs Péremption FA'!BJ9, 0), " ", 'TRAD-Quanti et TdB Péremptions'!$B$96, ROUNDUP('Calculs Péremption FA'!BL9, 0), " US$"))), IF($D$6="X", IF('Calculs Péremption conso'!BJ9="ND", "", IF('Calculs Péremption conso'!BK9="OK", "OK", CONCATENATE('TRAD-Quanti et TdB Péremptions'!$B$95, ROUNDUP('Calculs Péremption conso'!BJ9, 0), " ", 'TRAD-Quanti et TdB Péremptions'!$B$96, ROUNDUP('Calculs Péremption conso'!BL9, 0), " US$"))), "ND"))</f>
        <v/>
      </c>
      <c r="O30" s="768" t="str">
        <f>IF('Saisie données stocks'!AC21="", "", 'Saisie données stocks'!AC21)</f>
        <v/>
      </c>
      <c r="P30" s="769" t="str">
        <f>IF($D$7="X", IF('Calculs Péremption FA'!BR9="ND", "", IF('Calculs Péremption FA'!BS9="OK", "OK", CONCATENATE('TRAD-Quanti et TdB Péremptions'!$B$95, ROUNDUP('Calculs Péremption FA'!BR9, 0), " ", 'TRAD-Quanti et TdB Péremptions'!$B$96, ROUNDUP('Calculs Péremption FA'!BT9, 0), " US$"))), IF($D$6="X", IF('Calculs Péremption conso'!BR9="ND", "", IF('Calculs Péremption conso'!BS9="OK", "OK", CONCATENATE('TRAD-Quanti et TdB Péremptions'!$B$95, ROUNDUP('Calculs Péremption conso'!BR9, 0), " ", 'TRAD-Quanti et TdB Péremptions'!$B$96, ROUNDUP('Calculs Péremption conso'!BT9, 0), " US$"))), "ND"))</f>
        <v/>
      </c>
    </row>
    <row r="31" spans="2:16" x14ac:dyDescent="0.2">
      <c r="B31" s="774" t="str">
        <f>CONCATENATE('Calculs Péremption FA'!D10, " - ", 'Calculs Péremption FA'!F10, " - ", 'Calculs Péremption FA'!E10, " - B/", 'Calculs Péremption FA'!I10)</f>
        <v>AZT+3TC - 300/150 mg - Cp - B/60</v>
      </c>
      <c r="C31" s="771"/>
      <c r="D31" s="772"/>
      <c r="E31" s="771"/>
      <c r="F31" s="772"/>
      <c r="G31" s="771"/>
      <c r="H31" s="772"/>
      <c r="I31" s="771"/>
      <c r="J31" s="772"/>
      <c r="K31" s="771"/>
      <c r="L31" s="772"/>
      <c r="M31" s="771"/>
      <c r="N31" s="772"/>
      <c r="O31" s="771"/>
      <c r="P31" s="772"/>
    </row>
    <row r="32" spans="2:16" ht="36" customHeight="1" x14ac:dyDescent="0.2">
      <c r="B32" s="767" t="str">
        <f>IF('Calculs Péremption FA'!P10="OK", "", 'TRAD-Quanti et TdB Péremptions'!$B$97)</f>
        <v/>
      </c>
      <c r="C32" s="768">
        <f>IF('Saisie données stocks'!Q22="", "", 'Saisie données stocks'!Q22)</f>
        <v>42430</v>
      </c>
      <c r="D32" s="769" t="str">
        <f>IF($D$7="X", IF('Calculs Péremption FA'!V10="ND", "", IF('Calculs Péremption FA'!W10="OK", "OK", CONCATENATE('TRAD-Quanti et TdB Péremptions'!$B$95, ROUNDUP('Calculs Péremption FA'!V10, 0), " ", 'TRAD-Quanti et TdB Péremptions'!$B$96, ROUNDUP('Calculs Péremption FA'!X10, 0), " US$"))), IF($D$6="X", IF('Calculs Péremption conso'!V10="ND", "", IF('Calculs Péremption conso'!W10="OK", "OK", CONCATENATE('TRAD-Quanti et TdB Péremptions'!$B$95, ROUNDUP('Calculs Péremption conso'!V10, 0), " ", 'TRAD-Quanti et TdB Péremptions'!$B$96, ROUNDUP('Calculs Péremption conso'!X10, 0), " US$"))), "ND"))</f>
        <v>OK</v>
      </c>
      <c r="E32" s="768">
        <f>IF('Saisie données stocks'!S22="", "", 'Saisie données stocks'!S22)</f>
        <v>42705</v>
      </c>
      <c r="F32" s="769" t="str">
        <f>IF($D$7="X", IF('Calculs Péremption FA'!AD10="ND", "", IF('Calculs Péremption FA'!AE10="OK", "OK", CONCATENATE('TRAD-Quanti et TdB Péremptions'!$B$95, ROUNDUP('Calculs Péremption FA'!AD10, 0), " ", 'TRAD-Quanti et TdB Péremptions'!$B$96, ROUNDUP('Calculs Péremption FA'!AF10, 0), " US$"))), IF($D$6="X", IF('Calculs Péremption conso'!AD10="ND", "", IF('Calculs Péremption conso'!AE10="OK", "OK", CONCATENATE('TRAD-Quanti et TdB Péremptions'!$B$95, ROUNDUP('Calculs Péremption conso'!AD10, 0), " ", 'TRAD-Quanti et TdB Péremptions'!$B$96, ROUNDUP('Calculs Péremption conso'!AF10, 0), " US$"))), "ND"))</f>
        <v>OK</v>
      </c>
      <c r="G32" s="768" t="str">
        <f>IF('Saisie données stocks'!U22="", "", 'Saisie données stocks'!U22)</f>
        <v/>
      </c>
      <c r="H32" s="769" t="str">
        <f>IF($D$7="X", IF('Calculs Péremption FA'!AL10="ND", "", IF('Calculs Péremption FA'!AM10="OK", "OK", CONCATENATE('TRAD-Quanti et TdB Péremptions'!$B$95, ROUNDUP('Calculs Péremption FA'!AL10, 0), " ", 'TRAD-Quanti et TdB Péremptions'!$B$96, ROUNDUP('Calculs Péremption FA'!AN10, 0), " US$"))), IF($D$6="X", IF('Calculs Péremption conso'!AL10="ND", "", IF('Calculs Péremption conso'!AM10="OK", "OK", CONCATENATE('TRAD-Quanti et TdB Péremptions'!$B$95, ROUNDUP('Calculs Péremption conso'!AL10, 0), " ", 'TRAD-Quanti et TdB Péremptions'!$B$96, ROUNDUP('Calculs Péremption conso'!AN10, 0), " US$"))), "ND"))</f>
        <v/>
      </c>
      <c r="I32" s="768" t="str">
        <f>IF('Saisie données stocks'!W22="", "", 'Saisie données stocks'!W22)</f>
        <v/>
      </c>
      <c r="J32" s="769" t="str">
        <f>IF($D$7="X", IF('Calculs Péremption FA'!AT10="ND", "", IF('Calculs Péremption FA'!AU10="OK", "OK", CONCATENATE('TRAD-Quanti et TdB Péremptions'!$B$95, ROUNDUP('Calculs Péremption FA'!AT10, 0), " ", 'TRAD-Quanti et TdB Péremptions'!$B$96, ROUNDUP('Calculs Péremption FA'!AV10, 0), " US$"))), IF($D$6="X", IF('Calculs Péremption conso'!AT10="ND", "", IF('Calculs Péremption conso'!AU10="OK", "OK", CONCATENATE('TRAD-Quanti et TdB Péremptions'!$B$95, ROUNDUP('Calculs Péremption conso'!AT10, 0), " ", 'TRAD-Quanti et TdB Péremptions'!$B$96, ROUNDUP('Calculs Péremption conso'!AV10, 0), " US$"))), "ND"))</f>
        <v/>
      </c>
      <c r="K32" s="768" t="str">
        <f>IF('Saisie données stocks'!Y22="", "", 'Saisie données stocks'!Y22)</f>
        <v/>
      </c>
      <c r="L32" s="769" t="str">
        <f>IF($D$7="X", IF('Calculs Péremption FA'!BB10="ND", "", IF('Calculs Péremption FA'!BC10="OK", "OK", CONCATENATE('TRAD-Quanti et TdB Péremptions'!$B$95, ROUNDUP('Calculs Péremption FA'!BB10, 0), " ", 'TRAD-Quanti et TdB Péremptions'!$B$96, ROUNDUP('Calculs Péremption FA'!BD10, 0), " US$"))), IF($D$6="X", IF('Calculs Péremption conso'!BB10="ND", "", IF('Calculs Péremption conso'!BC10="OK", "OK", CONCATENATE('TRAD-Quanti et TdB Péremptions'!$B$95, ROUNDUP('Calculs Péremption conso'!BB10, 0), " ", 'TRAD-Quanti et TdB Péremptions'!$B$96, ROUNDUP('Calculs Péremption conso'!BD10, 0), " US$"))), "ND"))</f>
        <v/>
      </c>
      <c r="M32" s="768" t="str">
        <f>IF('Saisie données stocks'!AA22="", "", 'Saisie données stocks'!AA22)</f>
        <v/>
      </c>
      <c r="N32" s="769" t="str">
        <f>IF($D$7="X", IF('Calculs Péremption FA'!BJ10="ND", "", IF('Calculs Péremption FA'!BK10="OK", "OK", CONCATENATE('TRAD-Quanti et TdB Péremptions'!$B$95, ROUNDUP('Calculs Péremption FA'!BJ10, 0), " ", 'TRAD-Quanti et TdB Péremptions'!$B$96, ROUNDUP('Calculs Péremption FA'!BL10, 0), " US$"))), IF($D$6="X", IF('Calculs Péremption conso'!BJ10="ND", "", IF('Calculs Péremption conso'!BK10="OK", "OK", CONCATENATE('TRAD-Quanti et TdB Péremptions'!$B$95, ROUNDUP('Calculs Péremption conso'!BJ10, 0), " ", 'TRAD-Quanti et TdB Péremptions'!$B$96, ROUNDUP('Calculs Péremption conso'!BL10, 0), " US$"))), "ND"))</f>
        <v/>
      </c>
      <c r="O32" s="768" t="str">
        <f>IF('Saisie données stocks'!AC22="", "", 'Saisie données stocks'!AC22)</f>
        <v/>
      </c>
      <c r="P32" s="769" t="str">
        <f>IF($D$7="X", IF('Calculs Péremption FA'!BR10="ND", "", IF('Calculs Péremption FA'!BS10="OK", "OK", CONCATENATE('TRAD-Quanti et TdB Péremptions'!$B$95, ROUNDUP('Calculs Péremption FA'!BR10, 0), " ", 'TRAD-Quanti et TdB Péremptions'!$B$96, ROUNDUP('Calculs Péremption FA'!BT10, 0), " US$"))), IF($D$6="X", IF('Calculs Péremption conso'!BR10="ND", "", IF('Calculs Péremption conso'!BS10="OK", "OK", CONCATENATE('TRAD-Quanti et TdB Péremptions'!$B$95, ROUNDUP('Calculs Péremption conso'!BR10, 0), " ", 'TRAD-Quanti et TdB Péremptions'!$B$96, ROUNDUP('Calculs Péremption conso'!BT10, 0), " US$"))), "ND"))</f>
        <v/>
      </c>
    </row>
    <row r="33" spans="2:16" x14ac:dyDescent="0.2">
      <c r="B33" s="774" t="str">
        <f>CONCATENATE('Calculs Péremption FA'!D11, " - ", 'Calculs Péremption FA'!F11, " - ", 'Calculs Péremption FA'!E11, " - B/", 'Calculs Péremption FA'!I11)</f>
        <v>AZT+3TC - 60/30 mg - Cp - B/60</v>
      </c>
      <c r="C33" s="771"/>
      <c r="D33" s="772"/>
      <c r="E33" s="771"/>
      <c r="F33" s="772"/>
      <c r="G33" s="771"/>
      <c r="H33" s="772"/>
      <c r="I33" s="771"/>
      <c r="J33" s="772"/>
      <c r="K33" s="771"/>
      <c r="L33" s="772"/>
      <c r="M33" s="771"/>
      <c r="N33" s="772"/>
      <c r="O33" s="771"/>
      <c r="P33" s="772"/>
    </row>
    <row r="34" spans="2:16" ht="36" customHeight="1" x14ac:dyDescent="0.2">
      <c r="B34" s="767" t="str">
        <f>IF('Calculs Péremption FA'!P11="OK", "", 'TRAD-Quanti et TdB Péremptions'!$B$97)</f>
        <v/>
      </c>
      <c r="C34" s="768">
        <f>IF('Saisie données stocks'!Q23="", "", 'Saisie données stocks'!Q23)</f>
        <v>42186</v>
      </c>
      <c r="D34" s="769" t="str">
        <f>IF($D$7="X", IF('Calculs Péremption FA'!V11="ND", "", IF('Calculs Péremption FA'!W11="OK", "OK", CONCATENATE('TRAD-Quanti et TdB Péremptions'!$B$95, ROUNDUP('Calculs Péremption FA'!V11, 0), " ", 'TRAD-Quanti et TdB Péremptions'!$B$96, ROUNDUP('Calculs Péremption FA'!X11, 0), " US$"))), IF($D$6="X", IF('Calculs Péremption conso'!V11="ND", "", IF('Calculs Péremption conso'!W11="OK", "OK", CONCATENATE('TRAD-Quanti et TdB Péremptions'!$B$95, ROUNDUP('Calculs Péremption conso'!V11, 0), " ", 'TRAD-Quanti et TdB Péremptions'!$B$96, ROUNDUP('Calculs Péremption conso'!X11, 0), " US$"))), "ND"))</f>
        <v>OK</v>
      </c>
      <c r="E34" s="768" t="str">
        <f>IF('Saisie données stocks'!S23="", "", 'Saisie données stocks'!S23)</f>
        <v/>
      </c>
      <c r="F34" s="769" t="str">
        <f>IF($D$7="X", IF('Calculs Péremption FA'!AD11="ND", "", IF('Calculs Péremption FA'!AE11="OK", "OK", CONCATENATE('TRAD-Quanti et TdB Péremptions'!$B$95, ROUNDUP('Calculs Péremption FA'!AD11, 0), " ", 'TRAD-Quanti et TdB Péremptions'!$B$96, ROUNDUP('Calculs Péremption FA'!AF11, 0), " US$"))), IF($D$6="X", IF('Calculs Péremption conso'!AD11="ND", "", IF('Calculs Péremption conso'!AE11="OK", "OK", CONCATENATE('TRAD-Quanti et TdB Péremptions'!$B$95, ROUNDUP('Calculs Péremption conso'!AD11, 0), " ", 'TRAD-Quanti et TdB Péremptions'!$B$96, ROUNDUP('Calculs Péremption conso'!AF11, 0), " US$"))), "ND"))</f>
        <v/>
      </c>
      <c r="G34" s="768" t="str">
        <f>IF('Saisie données stocks'!U23="", "", 'Saisie données stocks'!U23)</f>
        <v/>
      </c>
      <c r="H34" s="769" t="str">
        <f>IF($D$7="X", IF('Calculs Péremption FA'!AL11="ND", "", IF('Calculs Péremption FA'!AM11="OK", "OK", CONCATENATE('TRAD-Quanti et TdB Péremptions'!$B$95, ROUNDUP('Calculs Péremption FA'!AL11, 0), " ", 'TRAD-Quanti et TdB Péremptions'!$B$96, ROUNDUP('Calculs Péremption FA'!AN11, 0), " US$"))), IF($D$6="X", IF('Calculs Péremption conso'!AL11="ND", "", IF('Calculs Péremption conso'!AM11="OK", "OK", CONCATENATE('TRAD-Quanti et TdB Péremptions'!$B$95, ROUNDUP('Calculs Péremption conso'!AL11, 0), " ", 'TRAD-Quanti et TdB Péremptions'!$B$96, ROUNDUP('Calculs Péremption conso'!AN11, 0), " US$"))), "ND"))</f>
        <v/>
      </c>
      <c r="I34" s="768" t="str">
        <f>IF('Saisie données stocks'!W23="", "", 'Saisie données stocks'!W23)</f>
        <v/>
      </c>
      <c r="J34" s="769" t="str">
        <f>IF($D$7="X", IF('Calculs Péremption FA'!AT11="ND", "", IF('Calculs Péremption FA'!AU11="OK", "OK", CONCATENATE('TRAD-Quanti et TdB Péremptions'!$B$95, ROUNDUP('Calculs Péremption FA'!AT11, 0), " ", 'TRAD-Quanti et TdB Péremptions'!$B$96, ROUNDUP('Calculs Péremption FA'!AV11, 0), " US$"))), IF($D$6="X", IF('Calculs Péremption conso'!AT11="ND", "", IF('Calculs Péremption conso'!AU11="OK", "OK", CONCATENATE('TRAD-Quanti et TdB Péremptions'!$B$95, ROUNDUP('Calculs Péremption conso'!AT11, 0), " ", 'TRAD-Quanti et TdB Péremptions'!$B$96, ROUNDUP('Calculs Péremption conso'!AV11, 0), " US$"))), "ND"))</f>
        <v/>
      </c>
      <c r="K34" s="768" t="str">
        <f>IF('Saisie données stocks'!Y23="", "", 'Saisie données stocks'!Y23)</f>
        <v/>
      </c>
      <c r="L34" s="769" t="str">
        <f>IF($D$7="X", IF('Calculs Péremption FA'!BB11="ND", "", IF('Calculs Péremption FA'!BC11="OK", "OK", CONCATENATE('TRAD-Quanti et TdB Péremptions'!$B$95, ROUNDUP('Calculs Péremption FA'!BB11, 0), " ", 'TRAD-Quanti et TdB Péremptions'!$B$96, ROUNDUP('Calculs Péremption FA'!BD11, 0), " US$"))), IF($D$6="X", IF('Calculs Péremption conso'!BB11="ND", "", IF('Calculs Péremption conso'!BC11="OK", "OK", CONCATENATE('TRAD-Quanti et TdB Péremptions'!$B$95, ROUNDUP('Calculs Péremption conso'!BB11, 0), " ", 'TRAD-Quanti et TdB Péremptions'!$B$96, ROUNDUP('Calculs Péremption conso'!BD11, 0), " US$"))), "ND"))</f>
        <v/>
      </c>
      <c r="M34" s="768" t="str">
        <f>IF('Saisie données stocks'!AA23="", "", 'Saisie données stocks'!AA23)</f>
        <v/>
      </c>
      <c r="N34" s="769" t="str">
        <f>IF($D$7="X", IF('Calculs Péremption FA'!BJ11="ND", "", IF('Calculs Péremption FA'!BK11="OK", "OK", CONCATENATE('TRAD-Quanti et TdB Péremptions'!$B$95, ROUNDUP('Calculs Péremption FA'!BJ11, 0), " ", 'TRAD-Quanti et TdB Péremptions'!$B$96, ROUNDUP('Calculs Péremption FA'!BL11, 0), " US$"))), IF($D$6="X", IF('Calculs Péremption conso'!BJ11="ND", "", IF('Calculs Péremption conso'!BK11="OK", "OK", CONCATENATE('TRAD-Quanti et TdB Péremptions'!$B$95, ROUNDUP('Calculs Péremption conso'!BJ11, 0), " ", 'TRAD-Quanti et TdB Péremptions'!$B$96, ROUNDUP('Calculs Péremption conso'!BL11, 0), " US$"))), "ND"))</f>
        <v/>
      </c>
      <c r="O34" s="768" t="str">
        <f>IF('Saisie données stocks'!AC23="", "", 'Saisie données stocks'!AC23)</f>
        <v/>
      </c>
      <c r="P34" s="769" t="str">
        <f>IF($D$7="X", IF('Calculs Péremption FA'!BR11="ND", "", IF('Calculs Péremption FA'!BS11="OK", "OK", CONCATENATE('TRAD-Quanti et TdB Péremptions'!$B$95, ROUNDUP('Calculs Péremption FA'!BR11, 0), " ", 'TRAD-Quanti et TdB Péremptions'!$B$96, ROUNDUP('Calculs Péremption FA'!BT11, 0), " US$"))), IF($D$6="X", IF('Calculs Péremption conso'!BR11="ND", "", IF('Calculs Péremption conso'!BS11="OK", "OK", CONCATENATE('TRAD-Quanti et TdB Péremptions'!$B$95, ROUNDUP('Calculs Péremption conso'!BR11, 0), " ", 'TRAD-Quanti et TdB Péremptions'!$B$96, ROUNDUP('Calculs Péremption conso'!BT11, 0), " US$"))), "ND"))</f>
        <v/>
      </c>
    </row>
    <row r="35" spans="2:16" x14ac:dyDescent="0.2">
      <c r="B35" s="774" t="str">
        <f>CONCATENATE('Calculs Péremption FA'!D12, " - ", 'Calculs Péremption FA'!F12, " - ", 'Calculs Péremption FA'!E12, " - B/", 'Calculs Péremption FA'!I12)</f>
        <v>3TC+ABC - 300/600 mg - Cp - B/30</v>
      </c>
      <c r="C35" s="771"/>
      <c r="D35" s="772"/>
      <c r="E35" s="771"/>
      <c r="F35" s="772"/>
      <c r="G35" s="771"/>
      <c r="H35" s="772"/>
      <c r="I35" s="771"/>
      <c r="J35" s="772"/>
      <c r="K35" s="771"/>
      <c r="L35" s="772"/>
      <c r="M35" s="771"/>
      <c r="N35" s="772"/>
      <c r="O35" s="771"/>
      <c r="P35" s="772"/>
    </row>
    <row r="36" spans="2:16" ht="36" customHeight="1" x14ac:dyDescent="0.2">
      <c r="B36" s="767" t="str">
        <f>IF('Calculs Péremption FA'!P12="OK", "", 'TRAD-Quanti et TdB Péremptions'!$B$97)</f>
        <v/>
      </c>
      <c r="C36" s="768">
        <f>IF('Saisie données stocks'!Q24="", "", 'Saisie données stocks'!Q24)</f>
        <v>42461</v>
      </c>
      <c r="D36" s="769" t="str">
        <f>IF($D$7="X", IF('Calculs Péremption FA'!V12="ND", "", IF('Calculs Péremption FA'!W12="OK", "OK", CONCATENATE('TRAD-Quanti et TdB Péremptions'!$B$95, ROUNDUP('Calculs Péremption FA'!V12, 0), " ", 'TRAD-Quanti et TdB Péremptions'!$B$96, ROUNDUP('Calculs Péremption FA'!X12, 0), " US$"))), IF($D$6="X", IF('Calculs Péremption conso'!V12="ND", "", IF('Calculs Péremption conso'!W12="OK", "OK", CONCATENATE('TRAD-Quanti et TdB Péremptions'!$B$95, ROUNDUP('Calculs Péremption conso'!V12, 0), " ", 'TRAD-Quanti et TdB Péremptions'!$B$96, ROUNDUP('Calculs Péremption conso'!X12, 0), " US$"))), "ND"))</f>
        <v>OK</v>
      </c>
      <c r="E36" s="768" t="str">
        <f>IF('Saisie données stocks'!S24="", "", 'Saisie données stocks'!S24)</f>
        <v/>
      </c>
      <c r="F36" s="769" t="str">
        <f>IF($D$7="X", IF('Calculs Péremption FA'!AD12="ND", "", IF('Calculs Péremption FA'!AE12="OK", "OK", CONCATENATE('TRAD-Quanti et TdB Péremptions'!$B$95, ROUNDUP('Calculs Péremption FA'!AD12, 0), " ", 'TRAD-Quanti et TdB Péremptions'!$B$96, ROUNDUP('Calculs Péremption FA'!AF12, 0), " US$"))), IF($D$6="X", IF('Calculs Péremption conso'!AD12="ND", "", IF('Calculs Péremption conso'!AE12="OK", "OK", CONCATENATE('TRAD-Quanti et TdB Péremptions'!$B$95, ROUNDUP('Calculs Péremption conso'!AD12, 0), " ", 'TRAD-Quanti et TdB Péremptions'!$B$96, ROUNDUP('Calculs Péremption conso'!AF12, 0), " US$"))), "ND"))</f>
        <v/>
      </c>
      <c r="G36" s="768" t="str">
        <f>IF('Saisie données stocks'!U24="", "", 'Saisie données stocks'!U24)</f>
        <v/>
      </c>
      <c r="H36" s="769" t="str">
        <f>IF($D$7="X", IF('Calculs Péremption FA'!AL12="ND", "", IF('Calculs Péremption FA'!AM12="OK", "OK", CONCATENATE('TRAD-Quanti et TdB Péremptions'!$B$95, ROUNDUP('Calculs Péremption FA'!AL12, 0), " ", 'TRAD-Quanti et TdB Péremptions'!$B$96, ROUNDUP('Calculs Péremption FA'!AN12, 0), " US$"))), IF($D$6="X", IF('Calculs Péremption conso'!AL12="ND", "", IF('Calculs Péremption conso'!AM12="OK", "OK", CONCATENATE('TRAD-Quanti et TdB Péremptions'!$B$95, ROUNDUP('Calculs Péremption conso'!AL12, 0), " ", 'TRAD-Quanti et TdB Péremptions'!$B$96, ROUNDUP('Calculs Péremption conso'!AN12, 0), " US$"))), "ND"))</f>
        <v/>
      </c>
      <c r="I36" s="768" t="str">
        <f>IF('Saisie données stocks'!W24="", "", 'Saisie données stocks'!W24)</f>
        <v/>
      </c>
      <c r="J36" s="769" t="str">
        <f>IF($D$7="X", IF('Calculs Péremption FA'!AT12="ND", "", IF('Calculs Péremption FA'!AU12="OK", "OK", CONCATENATE('TRAD-Quanti et TdB Péremptions'!$B$95, ROUNDUP('Calculs Péremption FA'!AT12, 0), " ", 'TRAD-Quanti et TdB Péremptions'!$B$96, ROUNDUP('Calculs Péremption FA'!AV12, 0), " US$"))), IF($D$6="X", IF('Calculs Péremption conso'!AT12="ND", "", IF('Calculs Péremption conso'!AU12="OK", "OK", CONCATENATE('TRAD-Quanti et TdB Péremptions'!$B$95, ROUNDUP('Calculs Péremption conso'!AT12, 0), " ", 'TRAD-Quanti et TdB Péremptions'!$B$96, ROUNDUP('Calculs Péremption conso'!AV12, 0), " US$"))), "ND"))</f>
        <v/>
      </c>
      <c r="K36" s="768" t="str">
        <f>IF('Saisie données stocks'!Y24="", "", 'Saisie données stocks'!Y24)</f>
        <v/>
      </c>
      <c r="L36" s="769" t="str">
        <f>IF($D$7="X", IF('Calculs Péremption FA'!BB12="ND", "", IF('Calculs Péremption FA'!BC12="OK", "OK", CONCATENATE('TRAD-Quanti et TdB Péremptions'!$B$95, ROUNDUP('Calculs Péremption FA'!BB12, 0), " ", 'TRAD-Quanti et TdB Péremptions'!$B$96, ROUNDUP('Calculs Péremption FA'!BD12, 0), " US$"))), IF($D$6="X", IF('Calculs Péremption conso'!BB12="ND", "", IF('Calculs Péremption conso'!BC12="OK", "OK", CONCATENATE('TRAD-Quanti et TdB Péremptions'!$B$95, ROUNDUP('Calculs Péremption conso'!BB12, 0), " ", 'TRAD-Quanti et TdB Péremptions'!$B$96, ROUNDUP('Calculs Péremption conso'!BD12, 0), " US$"))), "ND"))</f>
        <v/>
      </c>
      <c r="M36" s="768" t="str">
        <f>IF('Saisie données stocks'!AA24="", "", 'Saisie données stocks'!AA24)</f>
        <v/>
      </c>
      <c r="N36" s="769" t="str">
        <f>IF($D$7="X", IF('Calculs Péremption FA'!BJ12="ND", "", IF('Calculs Péremption FA'!BK12="OK", "OK", CONCATENATE('TRAD-Quanti et TdB Péremptions'!$B$95, ROUNDUP('Calculs Péremption FA'!BJ12, 0), " ", 'TRAD-Quanti et TdB Péremptions'!$B$96, ROUNDUP('Calculs Péremption FA'!BL12, 0), " US$"))), IF($D$6="X", IF('Calculs Péremption conso'!BJ12="ND", "", IF('Calculs Péremption conso'!BK12="OK", "OK", CONCATENATE('TRAD-Quanti et TdB Péremptions'!$B$95, ROUNDUP('Calculs Péremption conso'!BJ12, 0), " ", 'TRAD-Quanti et TdB Péremptions'!$B$96, ROUNDUP('Calculs Péremption conso'!BL12, 0), " US$"))), "ND"))</f>
        <v/>
      </c>
      <c r="O36" s="768" t="str">
        <f>IF('Saisie données stocks'!AC24="", "", 'Saisie données stocks'!AC24)</f>
        <v/>
      </c>
      <c r="P36" s="769" t="str">
        <f>IF($D$7="X", IF('Calculs Péremption FA'!BR12="ND", "", IF('Calculs Péremption FA'!BS12="OK", "OK", CONCATENATE('TRAD-Quanti et TdB Péremptions'!$B$95, ROUNDUP('Calculs Péremption FA'!BR12, 0), " ", 'TRAD-Quanti et TdB Péremptions'!$B$96, ROUNDUP('Calculs Péremption FA'!BT12, 0), " US$"))), IF($D$6="X", IF('Calculs Péremption conso'!BR12="ND", "", IF('Calculs Péremption conso'!BS12="OK", "OK", CONCATENATE('TRAD-Quanti et TdB Péremptions'!$B$95, ROUNDUP('Calculs Péremption conso'!BR12, 0), " ", 'TRAD-Quanti et TdB Péremptions'!$B$96, ROUNDUP('Calculs Péremption conso'!BT12, 0), " US$"))), "ND"))</f>
        <v/>
      </c>
    </row>
    <row r="37" spans="2:16" x14ac:dyDescent="0.2">
      <c r="B37" s="774" t="str">
        <f>CONCATENATE('Calculs Péremption FA'!D13, " - ", 'Calculs Péremption FA'!F13, " - ", 'Calculs Péremption FA'!E13, " - B/", 'Calculs Péremption FA'!I13)</f>
        <v>3TC+ABC - 30/60 mg - Cp - B/60</v>
      </c>
      <c r="C37" s="771"/>
      <c r="D37" s="772"/>
      <c r="E37" s="771"/>
      <c r="F37" s="772"/>
      <c r="G37" s="771"/>
      <c r="H37" s="772"/>
      <c r="I37" s="771"/>
      <c r="J37" s="772"/>
      <c r="K37" s="771"/>
      <c r="L37" s="772"/>
      <c r="M37" s="771"/>
      <c r="N37" s="772"/>
      <c r="O37" s="771"/>
      <c r="P37" s="772"/>
    </row>
    <row r="38" spans="2:16" ht="36" customHeight="1" x14ac:dyDescent="0.2">
      <c r="B38" s="767" t="str">
        <f>IF('Calculs Péremption FA'!P13="OK", "", 'TRAD-Quanti et TdB Péremptions'!$B$97)</f>
        <v/>
      </c>
      <c r="C38" s="768">
        <f>IF('Saisie données stocks'!Q25="", "", 'Saisie données stocks'!Q25)</f>
        <v>42036</v>
      </c>
      <c r="D38" s="769" t="str">
        <f>IF($D$7="X", IF('Calculs Péremption FA'!V13="ND", "", IF('Calculs Péremption FA'!W13="OK", "OK", CONCATENATE('TRAD-Quanti et TdB Péremptions'!$B$95, ROUNDUP('Calculs Péremption FA'!V13, 0), " ", 'TRAD-Quanti et TdB Péremptions'!$B$96, ROUNDUP('Calculs Péremption FA'!X13, 0), " US$"))), IF($D$6="X", IF('Calculs Péremption conso'!V13="ND", "", IF('Calculs Péremption conso'!W13="OK", "OK", CONCATENATE('TRAD-Quanti et TdB Péremptions'!$B$95, ROUNDUP('Calculs Péremption conso'!V13, 0), " ", 'TRAD-Quanti et TdB Péremptions'!$B$96, ROUNDUP('Calculs Péremption conso'!X13, 0), " US$"))), "ND"))</f>
        <v>Attention - pertes-147 Btes - 934 US$</v>
      </c>
      <c r="E38" s="768" t="str">
        <f>IF('Saisie données stocks'!S25="", "", 'Saisie données stocks'!S25)</f>
        <v/>
      </c>
      <c r="F38" s="769" t="str">
        <f>IF($D$7="X", IF('Calculs Péremption FA'!AD13="ND", "", IF('Calculs Péremption FA'!AE13="OK", "OK", CONCATENATE('TRAD-Quanti et TdB Péremptions'!$B$95, ROUNDUP('Calculs Péremption FA'!AD13, 0), " ", 'TRAD-Quanti et TdB Péremptions'!$B$96, ROUNDUP('Calculs Péremption FA'!AF13, 0), " US$"))), IF($D$6="X", IF('Calculs Péremption conso'!AD13="ND", "", IF('Calculs Péremption conso'!AE13="OK", "OK", CONCATENATE('TRAD-Quanti et TdB Péremptions'!$B$95, ROUNDUP('Calculs Péremption conso'!AD13, 0), " ", 'TRAD-Quanti et TdB Péremptions'!$B$96, ROUNDUP('Calculs Péremption conso'!AF13, 0), " US$"))), "ND"))</f>
        <v/>
      </c>
      <c r="G38" s="768" t="str">
        <f>IF('Saisie données stocks'!U25="", "", 'Saisie données stocks'!U25)</f>
        <v/>
      </c>
      <c r="H38" s="769" t="str">
        <f>IF($D$7="X", IF('Calculs Péremption FA'!AL13="ND", "", IF('Calculs Péremption FA'!AM13="OK", "OK", CONCATENATE('TRAD-Quanti et TdB Péremptions'!$B$95, ROUNDUP('Calculs Péremption FA'!AL13, 0), " ", 'TRAD-Quanti et TdB Péremptions'!$B$96, ROUNDUP('Calculs Péremption FA'!AN13, 0), " US$"))), IF($D$6="X", IF('Calculs Péremption conso'!AL13="ND", "", IF('Calculs Péremption conso'!AM13="OK", "OK", CONCATENATE('TRAD-Quanti et TdB Péremptions'!$B$95, ROUNDUP('Calculs Péremption conso'!AL13, 0), " ", 'TRAD-Quanti et TdB Péremptions'!$B$96, ROUNDUP('Calculs Péremption conso'!AN13, 0), " US$"))), "ND"))</f>
        <v/>
      </c>
      <c r="I38" s="768" t="str">
        <f>IF('Saisie données stocks'!W25="", "", 'Saisie données stocks'!W25)</f>
        <v/>
      </c>
      <c r="J38" s="769" t="str">
        <f>IF($D$7="X", IF('Calculs Péremption FA'!AT13="ND", "", IF('Calculs Péremption FA'!AU13="OK", "OK", CONCATENATE('TRAD-Quanti et TdB Péremptions'!$B$95, ROUNDUP('Calculs Péremption FA'!AT13, 0), " ", 'TRAD-Quanti et TdB Péremptions'!$B$96, ROUNDUP('Calculs Péremption FA'!AV13, 0), " US$"))), IF($D$6="X", IF('Calculs Péremption conso'!AT13="ND", "", IF('Calculs Péremption conso'!AU13="OK", "OK", CONCATENATE('TRAD-Quanti et TdB Péremptions'!$B$95, ROUNDUP('Calculs Péremption conso'!AT13, 0), " ", 'TRAD-Quanti et TdB Péremptions'!$B$96, ROUNDUP('Calculs Péremption conso'!AV13, 0), " US$"))), "ND"))</f>
        <v/>
      </c>
      <c r="K38" s="768" t="str">
        <f>IF('Saisie données stocks'!Y25="", "", 'Saisie données stocks'!Y25)</f>
        <v/>
      </c>
      <c r="L38" s="769" t="str">
        <f>IF($D$7="X", IF('Calculs Péremption FA'!BB13="ND", "", IF('Calculs Péremption FA'!BC13="OK", "OK", CONCATENATE('TRAD-Quanti et TdB Péremptions'!$B$95, ROUNDUP('Calculs Péremption FA'!BB13, 0), " ", 'TRAD-Quanti et TdB Péremptions'!$B$96, ROUNDUP('Calculs Péremption FA'!BD13, 0), " US$"))), IF($D$6="X", IF('Calculs Péremption conso'!BB13="ND", "", IF('Calculs Péremption conso'!BC13="OK", "OK", CONCATENATE('TRAD-Quanti et TdB Péremptions'!$B$95, ROUNDUP('Calculs Péremption conso'!BB13, 0), " ", 'TRAD-Quanti et TdB Péremptions'!$B$96, ROUNDUP('Calculs Péremption conso'!BD13, 0), " US$"))), "ND"))</f>
        <v/>
      </c>
      <c r="M38" s="768" t="str">
        <f>IF('Saisie données stocks'!AA25="", "", 'Saisie données stocks'!AA25)</f>
        <v/>
      </c>
      <c r="N38" s="769" t="str">
        <f>IF($D$7="X", IF('Calculs Péremption FA'!BJ13="ND", "", IF('Calculs Péremption FA'!BK13="OK", "OK", CONCATENATE('TRAD-Quanti et TdB Péremptions'!$B$95, ROUNDUP('Calculs Péremption FA'!BJ13, 0), " ", 'TRAD-Quanti et TdB Péremptions'!$B$96, ROUNDUP('Calculs Péremption FA'!BL13, 0), " US$"))), IF($D$6="X", IF('Calculs Péremption conso'!BJ13="ND", "", IF('Calculs Péremption conso'!BK13="OK", "OK", CONCATENATE('TRAD-Quanti et TdB Péremptions'!$B$95, ROUNDUP('Calculs Péremption conso'!BJ13, 0), " ", 'TRAD-Quanti et TdB Péremptions'!$B$96, ROUNDUP('Calculs Péremption conso'!BL13, 0), " US$"))), "ND"))</f>
        <v/>
      </c>
      <c r="O38" s="768" t="str">
        <f>IF('Saisie données stocks'!AC25="", "", 'Saisie données stocks'!AC25)</f>
        <v/>
      </c>
      <c r="P38" s="769" t="str">
        <f>IF($D$7="X", IF('Calculs Péremption FA'!BR13="ND", "", IF('Calculs Péremption FA'!BS13="OK", "OK", CONCATENATE('TRAD-Quanti et TdB Péremptions'!$B$95, ROUNDUP('Calculs Péremption FA'!BR13, 0), " ", 'TRAD-Quanti et TdB Péremptions'!$B$96, ROUNDUP('Calculs Péremption FA'!BT13, 0), " US$"))), IF($D$6="X", IF('Calculs Péremption conso'!BR13="ND", "", IF('Calculs Péremption conso'!BS13="OK", "OK", CONCATENATE('TRAD-Quanti et TdB Péremptions'!$B$95, ROUNDUP('Calculs Péremption conso'!BR13, 0), " ", 'TRAD-Quanti et TdB Péremptions'!$B$96, ROUNDUP('Calculs Péremption conso'!BT13, 0), " US$"))), "ND"))</f>
        <v/>
      </c>
    </row>
    <row r="39" spans="2:16" x14ac:dyDescent="0.2">
      <c r="B39" s="774" t="str">
        <f>CONCATENATE('Calculs Péremption FA'!D14, " - ", 'Calculs Péremption FA'!F14, " - ", 'Calculs Péremption FA'!E14, " - B/", 'Calculs Péremption FA'!I14)</f>
        <v>D4T+3TC+NVP - 30/150/200 mg - Cp - B/60</v>
      </c>
      <c r="C39" s="771"/>
      <c r="D39" s="772"/>
      <c r="E39" s="771"/>
      <c r="F39" s="772"/>
      <c r="G39" s="771"/>
      <c r="H39" s="772"/>
      <c r="I39" s="771"/>
      <c r="J39" s="772"/>
      <c r="K39" s="771"/>
      <c r="L39" s="772"/>
      <c r="M39" s="771"/>
      <c r="N39" s="772"/>
      <c r="O39" s="771"/>
      <c r="P39" s="772"/>
    </row>
    <row r="40" spans="2:16" ht="36" customHeight="1" x14ac:dyDescent="0.2">
      <c r="B40" s="767" t="str">
        <f>IF('Calculs Péremption FA'!P14="OK", "", 'TRAD-Quanti et TdB Péremptions'!$B$97)</f>
        <v/>
      </c>
      <c r="C40" s="768" t="str">
        <f>IF('Saisie données stocks'!Q26="", "", 'Saisie données stocks'!Q26)</f>
        <v/>
      </c>
      <c r="D40" s="769" t="str">
        <f>IF($D$7="X", IF('Calculs Péremption FA'!V14="ND", "", IF('Calculs Péremption FA'!W14="OK", "OK", CONCATENATE('TRAD-Quanti et TdB Péremptions'!$B$95, ROUNDUP('Calculs Péremption FA'!V14, 0), " ", 'TRAD-Quanti et TdB Péremptions'!$B$96, ROUNDUP('Calculs Péremption FA'!X14, 0), " US$"))), IF($D$6="X", IF('Calculs Péremption conso'!V14="ND", "", IF('Calculs Péremption conso'!W14="OK", "OK", CONCATENATE('TRAD-Quanti et TdB Péremptions'!$B$95, ROUNDUP('Calculs Péremption conso'!V14, 0), " ", 'TRAD-Quanti et TdB Péremptions'!$B$96, ROUNDUP('Calculs Péremption conso'!X14, 0), " US$"))), "ND"))</f>
        <v/>
      </c>
      <c r="E40" s="768" t="str">
        <f>IF('Saisie données stocks'!S26="", "", 'Saisie données stocks'!S26)</f>
        <v/>
      </c>
      <c r="F40" s="769" t="str">
        <f>IF($D$7="X", IF('Calculs Péremption FA'!AD14="ND", "", IF('Calculs Péremption FA'!AE14="OK", "OK", CONCATENATE('TRAD-Quanti et TdB Péremptions'!$B$95, ROUNDUP('Calculs Péremption FA'!AD14, 0), " ", 'TRAD-Quanti et TdB Péremptions'!$B$96, ROUNDUP('Calculs Péremption FA'!AF14, 0), " US$"))), IF($D$6="X", IF('Calculs Péremption conso'!AD14="ND", "", IF('Calculs Péremption conso'!AE14="OK", "OK", CONCATENATE('TRAD-Quanti et TdB Péremptions'!$B$95, ROUNDUP('Calculs Péremption conso'!AD14, 0), " ", 'TRAD-Quanti et TdB Péremptions'!$B$96, ROUNDUP('Calculs Péremption conso'!AF14, 0), " US$"))), "ND"))</f>
        <v/>
      </c>
      <c r="G40" s="768" t="str">
        <f>IF('Saisie données stocks'!U26="", "", 'Saisie données stocks'!U26)</f>
        <v/>
      </c>
      <c r="H40" s="769" t="str">
        <f>IF($D$7="X", IF('Calculs Péremption FA'!AL14="ND", "", IF('Calculs Péremption FA'!AM14="OK", "OK", CONCATENATE('TRAD-Quanti et TdB Péremptions'!$B$95, ROUNDUP('Calculs Péremption FA'!AL14, 0), " ", 'TRAD-Quanti et TdB Péremptions'!$B$96, ROUNDUP('Calculs Péremption FA'!AN14, 0), " US$"))), IF($D$6="X", IF('Calculs Péremption conso'!AL14="ND", "", IF('Calculs Péremption conso'!AM14="OK", "OK", CONCATENATE('TRAD-Quanti et TdB Péremptions'!$B$95, ROUNDUP('Calculs Péremption conso'!AL14, 0), " ", 'TRAD-Quanti et TdB Péremptions'!$B$96, ROUNDUP('Calculs Péremption conso'!AN14, 0), " US$"))), "ND"))</f>
        <v/>
      </c>
      <c r="I40" s="768" t="str">
        <f>IF('Saisie données stocks'!W26="", "", 'Saisie données stocks'!W26)</f>
        <v/>
      </c>
      <c r="J40" s="769" t="str">
        <f>IF($D$7="X", IF('Calculs Péremption FA'!AT14="ND", "", IF('Calculs Péremption FA'!AU14="OK", "OK", CONCATENATE('TRAD-Quanti et TdB Péremptions'!$B$95, ROUNDUP('Calculs Péremption FA'!AT14, 0), " ", 'TRAD-Quanti et TdB Péremptions'!$B$96, ROUNDUP('Calculs Péremption FA'!AV14, 0), " US$"))), IF($D$6="X", IF('Calculs Péremption conso'!AT14="ND", "", IF('Calculs Péremption conso'!AU14="OK", "OK", CONCATENATE('TRAD-Quanti et TdB Péremptions'!$B$95, ROUNDUP('Calculs Péremption conso'!AT14, 0), " ", 'TRAD-Quanti et TdB Péremptions'!$B$96, ROUNDUP('Calculs Péremption conso'!AV14, 0), " US$"))), "ND"))</f>
        <v/>
      </c>
      <c r="K40" s="768" t="str">
        <f>IF('Saisie données stocks'!Y26="", "", 'Saisie données stocks'!Y26)</f>
        <v/>
      </c>
      <c r="L40" s="769" t="str">
        <f>IF($D$7="X", IF('Calculs Péremption FA'!BB14="ND", "", IF('Calculs Péremption FA'!BC14="OK", "OK", CONCATENATE('TRAD-Quanti et TdB Péremptions'!$B$95, ROUNDUP('Calculs Péremption FA'!BB14, 0), " ", 'TRAD-Quanti et TdB Péremptions'!$B$96, ROUNDUP('Calculs Péremption FA'!BD14, 0), " US$"))), IF($D$6="X", IF('Calculs Péremption conso'!BB14="ND", "", IF('Calculs Péremption conso'!BC14="OK", "OK", CONCATENATE('TRAD-Quanti et TdB Péremptions'!$B$95, ROUNDUP('Calculs Péremption conso'!BB14, 0), " ", 'TRAD-Quanti et TdB Péremptions'!$B$96, ROUNDUP('Calculs Péremption conso'!BD14, 0), " US$"))), "ND"))</f>
        <v/>
      </c>
      <c r="M40" s="768" t="str">
        <f>IF('Saisie données stocks'!AA26="", "", 'Saisie données stocks'!AA26)</f>
        <v/>
      </c>
      <c r="N40" s="769" t="str">
        <f>IF($D$7="X", IF('Calculs Péremption FA'!BJ14="ND", "", IF('Calculs Péremption FA'!BK14="OK", "OK", CONCATENATE('TRAD-Quanti et TdB Péremptions'!$B$95, ROUNDUP('Calculs Péremption FA'!BJ14, 0), " ", 'TRAD-Quanti et TdB Péremptions'!$B$96, ROUNDUP('Calculs Péremption FA'!BL14, 0), " US$"))), IF($D$6="X", IF('Calculs Péremption conso'!BJ14="ND", "", IF('Calculs Péremption conso'!BK14="OK", "OK", CONCATENATE('TRAD-Quanti et TdB Péremptions'!$B$95, ROUNDUP('Calculs Péremption conso'!BJ14, 0), " ", 'TRAD-Quanti et TdB Péremptions'!$B$96, ROUNDUP('Calculs Péremption conso'!BL14, 0), " US$"))), "ND"))</f>
        <v/>
      </c>
      <c r="O40" s="768" t="str">
        <f>IF('Saisie données stocks'!AC26="", "", 'Saisie données stocks'!AC26)</f>
        <v/>
      </c>
      <c r="P40" s="769" t="str">
        <f>IF($D$7="X", IF('Calculs Péremption FA'!BR14="ND", "", IF('Calculs Péremption FA'!BS14="OK", "OK", CONCATENATE('TRAD-Quanti et TdB Péremptions'!$B$95, ROUNDUP('Calculs Péremption FA'!BR14, 0), " ", 'TRAD-Quanti et TdB Péremptions'!$B$96, ROUNDUP('Calculs Péremption FA'!BT14, 0), " US$"))), IF($D$6="X", IF('Calculs Péremption conso'!BR14="ND", "", IF('Calculs Péremption conso'!BS14="OK", "OK", CONCATENATE('TRAD-Quanti et TdB Péremptions'!$B$95, ROUNDUP('Calculs Péremption conso'!BR14, 0), " ", 'TRAD-Quanti et TdB Péremptions'!$B$96, ROUNDUP('Calculs Péremption conso'!BT14, 0), " US$"))), "ND"))</f>
        <v/>
      </c>
    </row>
    <row r="41" spans="2:16" x14ac:dyDescent="0.2">
      <c r="B41" s="774" t="str">
        <f>CONCATENATE('Calculs Péremption FA'!D15, " - ", 'Calculs Péremption FA'!F15, " - ", 'Calculs Péremption FA'!E15, " - B/", 'Calculs Péremption FA'!I15)</f>
        <v>D4T+3TC+NVP - 6/30/50 mg - Cp - B/60</v>
      </c>
      <c r="C41" s="771"/>
      <c r="D41" s="772"/>
      <c r="E41" s="771"/>
      <c r="F41" s="772"/>
      <c r="G41" s="771"/>
      <c r="H41" s="772"/>
      <c r="I41" s="771"/>
      <c r="J41" s="772"/>
      <c r="K41" s="771"/>
      <c r="L41" s="772"/>
      <c r="M41" s="771"/>
      <c r="N41" s="772"/>
      <c r="O41" s="771"/>
      <c r="P41" s="772"/>
    </row>
    <row r="42" spans="2:16" ht="36" customHeight="1" x14ac:dyDescent="0.2">
      <c r="B42" s="767" t="str">
        <f>IF('Calculs Péremption FA'!P15="OK", "", 'TRAD-Quanti et TdB Péremptions'!$B$97)</f>
        <v/>
      </c>
      <c r="C42" s="768">
        <f>IF('Saisie données stocks'!Q27="", "", 'Saisie données stocks'!Q27)</f>
        <v>41944</v>
      </c>
      <c r="D42" s="769" t="str">
        <f>IF($D$7="X", IF('Calculs Péremption FA'!V15="ND", "", IF('Calculs Péremption FA'!W15="OK", "OK", CONCATENATE('TRAD-Quanti et TdB Péremptions'!$B$95, ROUNDUP('Calculs Péremption FA'!V15, 0), " ", 'TRAD-Quanti et TdB Péremptions'!$B$96, ROUNDUP('Calculs Péremption FA'!X15, 0), " US$"))), IF($D$6="X", IF('Calculs Péremption conso'!V15="ND", "", IF('Calculs Péremption conso'!W15="OK", "OK", CONCATENATE('TRAD-Quanti et TdB Péremptions'!$B$95, ROUNDUP('Calculs Péremption conso'!V15, 0), " ", 'TRAD-Quanti et TdB Péremptions'!$B$96, ROUNDUP('Calculs Péremption conso'!X15, 0), " US$"))), "ND"))</f>
        <v>Attention - pertes-9 Btes - 22 US$</v>
      </c>
      <c r="E42" s="768" t="str">
        <f>IF('Saisie données stocks'!S27="", "", 'Saisie données stocks'!S27)</f>
        <v/>
      </c>
      <c r="F42" s="769" t="str">
        <f>IF($D$7="X", IF('Calculs Péremption FA'!AD15="ND", "", IF('Calculs Péremption FA'!AE15="OK", "OK", CONCATENATE('TRAD-Quanti et TdB Péremptions'!$B$95, ROUNDUP('Calculs Péremption FA'!AD15, 0), " ", 'TRAD-Quanti et TdB Péremptions'!$B$96, ROUNDUP('Calculs Péremption FA'!AF15, 0), " US$"))), IF($D$6="X", IF('Calculs Péremption conso'!AD15="ND", "", IF('Calculs Péremption conso'!AE15="OK", "OK", CONCATENATE('TRAD-Quanti et TdB Péremptions'!$B$95, ROUNDUP('Calculs Péremption conso'!AD15, 0), " ", 'TRAD-Quanti et TdB Péremptions'!$B$96, ROUNDUP('Calculs Péremption conso'!AF15, 0), " US$"))), "ND"))</f>
        <v/>
      </c>
      <c r="G42" s="768" t="str">
        <f>IF('Saisie données stocks'!U27="", "", 'Saisie données stocks'!U27)</f>
        <v/>
      </c>
      <c r="H42" s="769" t="str">
        <f>IF($D$7="X", IF('Calculs Péremption FA'!AL15="ND", "", IF('Calculs Péremption FA'!AM15="OK", "OK", CONCATENATE('TRAD-Quanti et TdB Péremptions'!$B$95, ROUNDUP('Calculs Péremption FA'!AL15, 0), " ", 'TRAD-Quanti et TdB Péremptions'!$B$96, ROUNDUP('Calculs Péremption FA'!AN15, 0), " US$"))), IF($D$6="X", IF('Calculs Péremption conso'!AL15="ND", "", IF('Calculs Péremption conso'!AM15="OK", "OK", CONCATENATE('TRAD-Quanti et TdB Péremptions'!$B$95, ROUNDUP('Calculs Péremption conso'!AL15, 0), " ", 'TRAD-Quanti et TdB Péremptions'!$B$96, ROUNDUP('Calculs Péremption conso'!AN15, 0), " US$"))), "ND"))</f>
        <v/>
      </c>
      <c r="I42" s="768" t="str">
        <f>IF('Saisie données stocks'!W27="", "", 'Saisie données stocks'!W27)</f>
        <v/>
      </c>
      <c r="J42" s="769" t="str">
        <f>IF($D$7="X", IF('Calculs Péremption FA'!AT15="ND", "", IF('Calculs Péremption FA'!AU15="OK", "OK", CONCATENATE('TRAD-Quanti et TdB Péremptions'!$B$95, ROUNDUP('Calculs Péremption FA'!AT15, 0), " ", 'TRAD-Quanti et TdB Péremptions'!$B$96, ROUNDUP('Calculs Péremption FA'!AV15, 0), " US$"))), IF($D$6="X", IF('Calculs Péremption conso'!AT15="ND", "", IF('Calculs Péremption conso'!AU15="OK", "OK", CONCATENATE('TRAD-Quanti et TdB Péremptions'!$B$95, ROUNDUP('Calculs Péremption conso'!AT15, 0), " ", 'TRAD-Quanti et TdB Péremptions'!$B$96, ROUNDUP('Calculs Péremption conso'!AV15, 0), " US$"))), "ND"))</f>
        <v/>
      </c>
      <c r="K42" s="768" t="str">
        <f>IF('Saisie données stocks'!Y27="", "", 'Saisie données stocks'!Y27)</f>
        <v/>
      </c>
      <c r="L42" s="769" t="str">
        <f>IF($D$7="X", IF('Calculs Péremption FA'!BB15="ND", "", IF('Calculs Péremption FA'!BC15="OK", "OK", CONCATENATE('TRAD-Quanti et TdB Péremptions'!$B$95, ROUNDUP('Calculs Péremption FA'!BB15, 0), " ", 'TRAD-Quanti et TdB Péremptions'!$B$96, ROUNDUP('Calculs Péremption FA'!BD15, 0), " US$"))), IF($D$6="X", IF('Calculs Péremption conso'!BB15="ND", "", IF('Calculs Péremption conso'!BC15="OK", "OK", CONCATENATE('TRAD-Quanti et TdB Péremptions'!$B$95, ROUNDUP('Calculs Péremption conso'!BB15, 0), " ", 'TRAD-Quanti et TdB Péremptions'!$B$96, ROUNDUP('Calculs Péremption conso'!BD15, 0), " US$"))), "ND"))</f>
        <v/>
      </c>
      <c r="M42" s="768" t="str">
        <f>IF('Saisie données stocks'!AA27="", "", 'Saisie données stocks'!AA27)</f>
        <v/>
      </c>
      <c r="N42" s="769" t="str">
        <f>IF($D$7="X", IF('Calculs Péremption FA'!BJ15="ND", "", IF('Calculs Péremption FA'!BK15="OK", "OK", CONCATENATE('TRAD-Quanti et TdB Péremptions'!$B$95, ROUNDUP('Calculs Péremption FA'!BJ15, 0), " ", 'TRAD-Quanti et TdB Péremptions'!$B$96, ROUNDUP('Calculs Péremption FA'!BL15, 0), " US$"))), IF($D$6="X", IF('Calculs Péremption conso'!BJ15="ND", "", IF('Calculs Péremption conso'!BK15="OK", "OK", CONCATENATE('TRAD-Quanti et TdB Péremptions'!$B$95, ROUNDUP('Calculs Péremption conso'!BJ15, 0), " ", 'TRAD-Quanti et TdB Péremptions'!$B$96, ROUNDUP('Calculs Péremption conso'!BL15, 0), " US$"))), "ND"))</f>
        <v/>
      </c>
      <c r="O42" s="768" t="str">
        <f>IF('Saisie données stocks'!AC27="", "", 'Saisie données stocks'!AC27)</f>
        <v/>
      </c>
      <c r="P42" s="769" t="str">
        <f>IF($D$7="X", IF('Calculs Péremption FA'!BR15="ND", "", IF('Calculs Péremption FA'!BS15="OK", "OK", CONCATENATE('TRAD-Quanti et TdB Péremptions'!$B$95, ROUNDUP('Calculs Péremption FA'!BR15, 0), " ", 'TRAD-Quanti et TdB Péremptions'!$B$96, ROUNDUP('Calculs Péremption FA'!BT15, 0), " US$"))), IF($D$6="X", IF('Calculs Péremption conso'!BR15="ND", "", IF('Calculs Péremption conso'!BS15="OK", "OK", CONCATENATE('TRAD-Quanti et TdB Péremptions'!$B$95, ROUNDUP('Calculs Péremption conso'!BR15, 0), " ", 'TRAD-Quanti et TdB Péremptions'!$B$96, ROUNDUP('Calculs Péremption conso'!BT15, 0), " US$"))), "ND"))</f>
        <v/>
      </c>
    </row>
    <row r="43" spans="2:16" x14ac:dyDescent="0.2">
      <c r="B43" s="774" t="str">
        <f>CONCATENATE('Calculs Péremption FA'!D16, " - ", 'Calculs Péremption FA'!F16, " - ", 'Calculs Péremption FA'!E16, " - B/", 'Calculs Péremption FA'!I16)</f>
        <v>D4T+3TC - 30/150 mg - Cp - B/60</v>
      </c>
      <c r="C43" s="771"/>
      <c r="D43" s="772"/>
      <c r="E43" s="771"/>
      <c r="F43" s="772"/>
      <c r="G43" s="771"/>
      <c r="H43" s="772"/>
      <c r="I43" s="771"/>
      <c r="J43" s="772"/>
      <c r="K43" s="771"/>
      <c r="L43" s="772"/>
      <c r="M43" s="771"/>
      <c r="N43" s="772"/>
      <c r="O43" s="771"/>
      <c r="P43" s="772"/>
    </row>
    <row r="44" spans="2:16" ht="36" customHeight="1" x14ac:dyDescent="0.2">
      <c r="B44" s="767" t="str">
        <f>IF('Calculs Péremption FA'!P16="OK", "", 'TRAD-Quanti et TdB Péremptions'!$B$97)</f>
        <v/>
      </c>
      <c r="C44" s="768">
        <f>IF('Saisie données stocks'!Q28="", "", 'Saisie données stocks'!Q28)</f>
        <v>42005</v>
      </c>
      <c r="D44" s="769" t="str">
        <f>IF($D$7="X", IF('Calculs Péremption FA'!V16="ND", "", IF('Calculs Péremption FA'!W16="OK", "OK", CONCATENATE('TRAD-Quanti et TdB Péremptions'!$B$95, ROUNDUP('Calculs Péremption FA'!V16, 0), " ", 'TRAD-Quanti et TdB Péremptions'!$B$96, ROUNDUP('Calculs Péremption FA'!X16, 0), " US$"))), IF($D$6="X", IF('Calculs Péremption conso'!V16="ND", "", IF('Calculs Péremption conso'!W16="OK", "OK", CONCATENATE('TRAD-Quanti et TdB Péremptions'!$B$95, ROUNDUP('Calculs Péremption conso'!V16, 0), " ", 'TRAD-Quanti et TdB Péremptions'!$B$96, ROUNDUP('Calculs Péremption conso'!X16, 0), " US$"))), "ND"))</f>
        <v>OK</v>
      </c>
      <c r="E44" s="768" t="str">
        <f>IF('Saisie données stocks'!S28="", "", 'Saisie données stocks'!S28)</f>
        <v/>
      </c>
      <c r="F44" s="769" t="str">
        <f>IF($D$7="X", IF('Calculs Péremption FA'!AD16="ND", "", IF('Calculs Péremption FA'!AE16="OK", "OK", CONCATENATE('TRAD-Quanti et TdB Péremptions'!$B$95, ROUNDUP('Calculs Péremption FA'!AD16, 0), " ", 'TRAD-Quanti et TdB Péremptions'!$B$96, ROUNDUP('Calculs Péremption FA'!AF16, 0), " US$"))), IF($D$6="X", IF('Calculs Péremption conso'!AD16="ND", "", IF('Calculs Péremption conso'!AE16="OK", "OK", CONCATENATE('TRAD-Quanti et TdB Péremptions'!$B$95, ROUNDUP('Calculs Péremption conso'!AD16, 0), " ", 'TRAD-Quanti et TdB Péremptions'!$B$96, ROUNDUP('Calculs Péremption conso'!AF16, 0), " US$"))), "ND"))</f>
        <v/>
      </c>
      <c r="G44" s="768" t="str">
        <f>IF('Saisie données stocks'!U28="", "", 'Saisie données stocks'!U28)</f>
        <v/>
      </c>
      <c r="H44" s="769" t="str">
        <f>IF($D$7="X", IF('Calculs Péremption FA'!AL16="ND", "", IF('Calculs Péremption FA'!AM16="OK", "OK", CONCATENATE('TRAD-Quanti et TdB Péremptions'!$B$95, ROUNDUP('Calculs Péremption FA'!AL16, 0), " ", 'TRAD-Quanti et TdB Péremptions'!$B$96, ROUNDUP('Calculs Péremption FA'!AN16, 0), " US$"))), IF($D$6="X", IF('Calculs Péremption conso'!AL16="ND", "", IF('Calculs Péremption conso'!AM16="OK", "OK", CONCATENATE('TRAD-Quanti et TdB Péremptions'!$B$95, ROUNDUP('Calculs Péremption conso'!AL16, 0), " ", 'TRAD-Quanti et TdB Péremptions'!$B$96, ROUNDUP('Calculs Péremption conso'!AN16, 0), " US$"))), "ND"))</f>
        <v/>
      </c>
      <c r="I44" s="768" t="str">
        <f>IF('Saisie données stocks'!W28="", "", 'Saisie données stocks'!W28)</f>
        <v/>
      </c>
      <c r="J44" s="769" t="str">
        <f>IF($D$7="X", IF('Calculs Péremption FA'!AT16="ND", "", IF('Calculs Péremption FA'!AU16="OK", "OK", CONCATENATE('TRAD-Quanti et TdB Péremptions'!$B$95, ROUNDUP('Calculs Péremption FA'!AT16, 0), " ", 'TRAD-Quanti et TdB Péremptions'!$B$96, ROUNDUP('Calculs Péremption FA'!AV16, 0), " US$"))), IF($D$6="X", IF('Calculs Péremption conso'!AT16="ND", "", IF('Calculs Péremption conso'!AU16="OK", "OK", CONCATENATE('TRAD-Quanti et TdB Péremptions'!$B$95, ROUNDUP('Calculs Péremption conso'!AT16, 0), " ", 'TRAD-Quanti et TdB Péremptions'!$B$96, ROUNDUP('Calculs Péremption conso'!AV16, 0), " US$"))), "ND"))</f>
        <v/>
      </c>
      <c r="K44" s="768" t="str">
        <f>IF('Saisie données stocks'!Y28="", "", 'Saisie données stocks'!Y28)</f>
        <v/>
      </c>
      <c r="L44" s="769" t="str">
        <f>IF($D$7="X", IF('Calculs Péremption FA'!BB16="ND", "", IF('Calculs Péremption FA'!BC16="OK", "OK", CONCATENATE('TRAD-Quanti et TdB Péremptions'!$B$95, ROUNDUP('Calculs Péremption FA'!BB16, 0), " ", 'TRAD-Quanti et TdB Péremptions'!$B$96, ROUNDUP('Calculs Péremption FA'!BD16, 0), " US$"))), IF($D$6="X", IF('Calculs Péremption conso'!BB16="ND", "", IF('Calculs Péremption conso'!BC16="OK", "OK", CONCATENATE('TRAD-Quanti et TdB Péremptions'!$B$95, ROUNDUP('Calculs Péremption conso'!BB16, 0), " ", 'TRAD-Quanti et TdB Péremptions'!$B$96, ROUNDUP('Calculs Péremption conso'!BD16, 0), " US$"))), "ND"))</f>
        <v/>
      </c>
      <c r="M44" s="768" t="str">
        <f>IF('Saisie données stocks'!AA28="", "", 'Saisie données stocks'!AA28)</f>
        <v/>
      </c>
      <c r="N44" s="769" t="str">
        <f>IF($D$7="X", IF('Calculs Péremption FA'!BJ16="ND", "", IF('Calculs Péremption FA'!BK16="OK", "OK", CONCATENATE('TRAD-Quanti et TdB Péremptions'!$B$95, ROUNDUP('Calculs Péremption FA'!BJ16, 0), " ", 'TRAD-Quanti et TdB Péremptions'!$B$96, ROUNDUP('Calculs Péremption FA'!BL16, 0), " US$"))), IF($D$6="X", IF('Calculs Péremption conso'!BJ16="ND", "", IF('Calculs Péremption conso'!BK16="OK", "OK", CONCATENATE('TRAD-Quanti et TdB Péremptions'!$B$95, ROUNDUP('Calculs Péremption conso'!BJ16, 0), " ", 'TRAD-Quanti et TdB Péremptions'!$B$96, ROUNDUP('Calculs Péremption conso'!BL16, 0), " US$"))), "ND"))</f>
        <v/>
      </c>
      <c r="O44" s="768" t="str">
        <f>IF('Saisie données stocks'!AC28="", "", 'Saisie données stocks'!AC28)</f>
        <v/>
      </c>
      <c r="P44" s="769" t="str">
        <f>IF($D$7="X", IF('Calculs Péremption FA'!BR16="ND", "", IF('Calculs Péremption FA'!BS16="OK", "OK", CONCATENATE('TRAD-Quanti et TdB Péremptions'!$B$95, ROUNDUP('Calculs Péremption FA'!BR16, 0), " ", 'TRAD-Quanti et TdB Péremptions'!$B$96, ROUNDUP('Calculs Péremption FA'!BT16, 0), " US$"))), IF($D$6="X", IF('Calculs Péremption conso'!BR16="ND", "", IF('Calculs Péremption conso'!BS16="OK", "OK", CONCATENATE('TRAD-Quanti et TdB Péremptions'!$B$95, ROUNDUP('Calculs Péremption conso'!BR16, 0), " ", 'TRAD-Quanti et TdB Péremptions'!$B$96, ROUNDUP('Calculs Péremption conso'!BT16, 0), " US$"))), "ND"))</f>
        <v/>
      </c>
    </row>
    <row r="45" spans="2:16" x14ac:dyDescent="0.2">
      <c r="B45" s="774" t="str">
        <f>CONCATENATE('Calculs Péremption FA'!D17, " - ", 'Calculs Péremption FA'!F17, " - ", 'Calculs Péremption FA'!E17, " - B/", 'Calculs Péremption FA'!I17)</f>
        <v>TDF+FTC+EFV - 300/200/600 mg - Cp - B/30</v>
      </c>
      <c r="C45" s="771"/>
      <c r="D45" s="772"/>
      <c r="E45" s="771"/>
      <c r="F45" s="772"/>
      <c r="G45" s="771"/>
      <c r="H45" s="772"/>
      <c r="I45" s="771"/>
      <c r="J45" s="772"/>
      <c r="K45" s="771"/>
      <c r="L45" s="772"/>
      <c r="M45" s="771"/>
      <c r="N45" s="772"/>
      <c r="O45" s="771"/>
      <c r="P45" s="772"/>
    </row>
    <row r="46" spans="2:16" ht="36" customHeight="1" x14ac:dyDescent="0.2">
      <c r="B46" s="767" t="str">
        <f>IF('Calculs Péremption FA'!P17="OK", "", 'TRAD-Quanti et TdB Péremptions'!$B$97)</f>
        <v/>
      </c>
      <c r="C46" s="768" t="str">
        <f>IF('Saisie données stocks'!Q29="", "", 'Saisie données stocks'!Q29)</f>
        <v/>
      </c>
      <c r="D46" s="769" t="str">
        <f>IF($D$7="X", IF('Calculs Péremption FA'!V17="ND", "", IF('Calculs Péremption FA'!W17="OK", "OK", CONCATENATE('TRAD-Quanti et TdB Péremptions'!$B$95, ROUNDUP('Calculs Péremption FA'!V17, 0), " ", 'TRAD-Quanti et TdB Péremptions'!$B$96, ROUNDUP('Calculs Péremption FA'!X17, 0), " US$"))), IF($D$6="X", IF('Calculs Péremption conso'!V17="ND", "", IF('Calculs Péremption conso'!W17="OK", "OK", CONCATENATE('TRAD-Quanti et TdB Péremptions'!$B$95, ROUNDUP('Calculs Péremption conso'!V17, 0), " ", 'TRAD-Quanti et TdB Péremptions'!$B$96, ROUNDUP('Calculs Péremption conso'!X17, 0), " US$"))), "ND"))</f>
        <v/>
      </c>
      <c r="E46" s="768" t="str">
        <f>IF('Saisie données stocks'!S29="", "", 'Saisie données stocks'!S29)</f>
        <v/>
      </c>
      <c r="F46" s="769" t="str">
        <f>IF($D$7="X", IF('Calculs Péremption FA'!AD17="ND", "", IF('Calculs Péremption FA'!AE17="OK", "OK", CONCATENATE('TRAD-Quanti et TdB Péremptions'!$B$95, ROUNDUP('Calculs Péremption FA'!AD17, 0), " ", 'TRAD-Quanti et TdB Péremptions'!$B$96, ROUNDUP('Calculs Péremption FA'!AF17, 0), " US$"))), IF($D$6="X", IF('Calculs Péremption conso'!AD17="ND", "", IF('Calculs Péremption conso'!AE17="OK", "OK", CONCATENATE('TRAD-Quanti et TdB Péremptions'!$B$95, ROUNDUP('Calculs Péremption conso'!AD17, 0), " ", 'TRAD-Quanti et TdB Péremptions'!$B$96, ROUNDUP('Calculs Péremption conso'!AF17, 0), " US$"))), "ND"))</f>
        <v/>
      </c>
      <c r="G46" s="768" t="str">
        <f>IF('Saisie données stocks'!U29="", "", 'Saisie données stocks'!U29)</f>
        <v/>
      </c>
      <c r="H46" s="769" t="str">
        <f>IF($D$7="X", IF('Calculs Péremption FA'!AL17="ND", "", IF('Calculs Péremption FA'!AM17="OK", "OK", CONCATENATE('TRAD-Quanti et TdB Péremptions'!$B$95, ROUNDUP('Calculs Péremption FA'!AL17, 0), " ", 'TRAD-Quanti et TdB Péremptions'!$B$96, ROUNDUP('Calculs Péremption FA'!AN17, 0), " US$"))), IF($D$6="X", IF('Calculs Péremption conso'!AL17="ND", "", IF('Calculs Péremption conso'!AM17="OK", "OK", CONCATENATE('TRAD-Quanti et TdB Péremptions'!$B$95, ROUNDUP('Calculs Péremption conso'!AL17, 0), " ", 'TRAD-Quanti et TdB Péremptions'!$B$96, ROUNDUP('Calculs Péremption conso'!AN17, 0), " US$"))), "ND"))</f>
        <v/>
      </c>
      <c r="I46" s="768" t="str">
        <f>IF('Saisie données stocks'!W29="", "", 'Saisie données stocks'!W29)</f>
        <v/>
      </c>
      <c r="J46" s="769" t="str">
        <f>IF($D$7="X", IF('Calculs Péremption FA'!AT17="ND", "", IF('Calculs Péremption FA'!AU17="OK", "OK", CONCATENATE('TRAD-Quanti et TdB Péremptions'!$B$95, ROUNDUP('Calculs Péremption FA'!AT17, 0), " ", 'TRAD-Quanti et TdB Péremptions'!$B$96, ROUNDUP('Calculs Péremption FA'!AV17, 0), " US$"))), IF($D$6="X", IF('Calculs Péremption conso'!AT17="ND", "", IF('Calculs Péremption conso'!AU17="OK", "OK", CONCATENATE('TRAD-Quanti et TdB Péremptions'!$B$95, ROUNDUP('Calculs Péremption conso'!AT17, 0), " ", 'TRAD-Quanti et TdB Péremptions'!$B$96, ROUNDUP('Calculs Péremption conso'!AV17, 0), " US$"))), "ND"))</f>
        <v/>
      </c>
      <c r="K46" s="768" t="str">
        <f>IF('Saisie données stocks'!Y29="", "", 'Saisie données stocks'!Y29)</f>
        <v/>
      </c>
      <c r="L46" s="769" t="str">
        <f>IF($D$7="X", IF('Calculs Péremption FA'!BB17="ND", "", IF('Calculs Péremption FA'!BC17="OK", "OK", CONCATENATE('TRAD-Quanti et TdB Péremptions'!$B$95, ROUNDUP('Calculs Péremption FA'!BB17, 0), " ", 'TRAD-Quanti et TdB Péremptions'!$B$96, ROUNDUP('Calculs Péremption FA'!BD17, 0), " US$"))), IF($D$6="X", IF('Calculs Péremption conso'!BB17="ND", "", IF('Calculs Péremption conso'!BC17="OK", "OK", CONCATENATE('TRAD-Quanti et TdB Péremptions'!$B$95, ROUNDUP('Calculs Péremption conso'!BB17, 0), " ", 'TRAD-Quanti et TdB Péremptions'!$B$96, ROUNDUP('Calculs Péremption conso'!BD17, 0), " US$"))), "ND"))</f>
        <v/>
      </c>
      <c r="M46" s="768" t="str">
        <f>IF('Saisie données stocks'!AA29="", "", 'Saisie données stocks'!AA29)</f>
        <v/>
      </c>
      <c r="N46" s="769" t="str">
        <f>IF($D$7="X", IF('Calculs Péremption FA'!BJ17="ND", "", IF('Calculs Péremption FA'!BK17="OK", "OK", CONCATENATE('TRAD-Quanti et TdB Péremptions'!$B$95, ROUNDUP('Calculs Péremption FA'!BJ17, 0), " ", 'TRAD-Quanti et TdB Péremptions'!$B$96, ROUNDUP('Calculs Péremption FA'!BL17, 0), " US$"))), IF($D$6="X", IF('Calculs Péremption conso'!BJ17="ND", "", IF('Calculs Péremption conso'!BK17="OK", "OK", CONCATENATE('TRAD-Quanti et TdB Péremptions'!$B$95, ROUNDUP('Calculs Péremption conso'!BJ17, 0), " ", 'TRAD-Quanti et TdB Péremptions'!$B$96, ROUNDUP('Calculs Péremption conso'!BL17, 0), " US$"))), "ND"))</f>
        <v/>
      </c>
      <c r="O46" s="768" t="str">
        <f>IF('Saisie données stocks'!AC29="", "", 'Saisie données stocks'!AC29)</f>
        <v/>
      </c>
      <c r="P46" s="769" t="str">
        <f>IF($D$7="X", IF('Calculs Péremption FA'!BR17="ND", "", IF('Calculs Péremption FA'!BS17="OK", "OK", CONCATENATE('TRAD-Quanti et TdB Péremptions'!$B$95, ROUNDUP('Calculs Péremption FA'!BR17, 0), " ", 'TRAD-Quanti et TdB Péremptions'!$B$96, ROUNDUP('Calculs Péremption FA'!BT17, 0), " US$"))), IF($D$6="X", IF('Calculs Péremption conso'!BR17="ND", "", IF('Calculs Péremption conso'!BS17="OK", "OK", CONCATENATE('TRAD-Quanti et TdB Péremptions'!$B$95, ROUNDUP('Calculs Péremption conso'!BR17, 0), " ", 'TRAD-Quanti et TdB Péremptions'!$B$96, ROUNDUP('Calculs Péremption conso'!BT17, 0), " US$"))), "ND"))</f>
        <v/>
      </c>
    </row>
    <row r="47" spans="2:16" x14ac:dyDescent="0.2">
      <c r="B47" s="774" t="str">
        <f>CONCATENATE('Calculs Péremption FA'!D18, " - ", 'Calculs Péremption FA'!F18, " - ", 'Calculs Péremption FA'!E18, " - B/", 'Calculs Péremption FA'!I18)</f>
        <v>TDF+FTC - 300/200 mg - Cp - B/30</v>
      </c>
      <c r="C47" s="771"/>
      <c r="D47" s="772"/>
      <c r="E47" s="771"/>
      <c r="F47" s="772"/>
      <c r="G47" s="771"/>
      <c r="H47" s="772"/>
      <c r="I47" s="771"/>
      <c r="J47" s="772"/>
      <c r="K47" s="771"/>
      <c r="L47" s="772"/>
      <c r="M47" s="771"/>
      <c r="N47" s="772"/>
      <c r="O47" s="771"/>
      <c r="P47" s="772"/>
    </row>
    <row r="48" spans="2:16" ht="36" customHeight="1" x14ac:dyDescent="0.2">
      <c r="B48" s="767" t="str">
        <f>IF('Calculs Péremption FA'!P18="OK", "", 'TRAD-Quanti et TdB Péremptions'!$B$97)</f>
        <v/>
      </c>
      <c r="C48" s="768" t="str">
        <f>IF('Saisie données stocks'!Q30="", "", 'Saisie données stocks'!Q30)</f>
        <v/>
      </c>
      <c r="D48" s="769" t="str">
        <f>IF($D$7="X", IF('Calculs Péremption FA'!V18="ND", "", IF('Calculs Péremption FA'!W18="OK", "OK", CONCATENATE('TRAD-Quanti et TdB Péremptions'!$B$95, ROUNDUP('Calculs Péremption FA'!V18, 0), " ", 'TRAD-Quanti et TdB Péremptions'!$B$96, ROUNDUP('Calculs Péremption FA'!X18, 0), " US$"))), IF($D$6="X", IF('Calculs Péremption conso'!V18="ND", "", IF('Calculs Péremption conso'!W18="OK", "OK", CONCATENATE('TRAD-Quanti et TdB Péremptions'!$B$95, ROUNDUP('Calculs Péremption conso'!V18, 0), " ", 'TRAD-Quanti et TdB Péremptions'!$B$96, ROUNDUP('Calculs Péremption conso'!X18, 0), " US$"))), "ND"))</f>
        <v/>
      </c>
      <c r="E48" s="768" t="str">
        <f>IF('Saisie données stocks'!S30="", "", 'Saisie données stocks'!S30)</f>
        <v/>
      </c>
      <c r="F48" s="769" t="str">
        <f>IF($D$7="X", IF('Calculs Péremption FA'!AD18="ND", "", IF('Calculs Péremption FA'!AE18="OK", "OK", CONCATENATE('TRAD-Quanti et TdB Péremptions'!$B$95, ROUNDUP('Calculs Péremption FA'!AD18, 0), " ", 'TRAD-Quanti et TdB Péremptions'!$B$96, ROUNDUP('Calculs Péremption FA'!AF18, 0), " US$"))), IF($D$6="X", IF('Calculs Péremption conso'!AD18="ND", "", IF('Calculs Péremption conso'!AE18="OK", "OK", CONCATENATE('TRAD-Quanti et TdB Péremptions'!$B$95, ROUNDUP('Calculs Péremption conso'!AD18, 0), " ", 'TRAD-Quanti et TdB Péremptions'!$B$96, ROUNDUP('Calculs Péremption conso'!AF18, 0), " US$"))), "ND"))</f>
        <v/>
      </c>
      <c r="G48" s="768" t="str">
        <f>IF('Saisie données stocks'!U30="", "", 'Saisie données stocks'!U30)</f>
        <v/>
      </c>
      <c r="H48" s="769" t="str">
        <f>IF($D$7="X", IF('Calculs Péremption FA'!AL18="ND", "", IF('Calculs Péremption FA'!AM18="OK", "OK", CONCATENATE('TRAD-Quanti et TdB Péremptions'!$B$95, ROUNDUP('Calculs Péremption FA'!AL18, 0), " ", 'TRAD-Quanti et TdB Péremptions'!$B$96, ROUNDUP('Calculs Péremption FA'!AN18, 0), " US$"))), IF($D$6="X", IF('Calculs Péremption conso'!AL18="ND", "", IF('Calculs Péremption conso'!AM18="OK", "OK", CONCATENATE('TRAD-Quanti et TdB Péremptions'!$B$95, ROUNDUP('Calculs Péremption conso'!AL18, 0), " ", 'TRAD-Quanti et TdB Péremptions'!$B$96, ROUNDUP('Calculs Péremption conso'!AN18, 0), " US$"))), "ND"))</f>
        <v/>
      </c>
      <c r="I48" s="768" t="str">
        <f>IF('Saisie données stocks'!W30="", "", 'Saisie données stocks'!W30)</f>
        <v/>
      </c>
      <c r="J48" s="769" t="str">
        <f>IF($D$7="X", IF('Calculs Péremption FA'!AT18="ND", "", IF('Calculs Péremption FA'!AU18="OK", "OK", CONCATENATE('TRAD-Quanti et TdB Péremptions'!$B$95, ROUNDUP('Calculs Péremption FA'!AT18, 0), " ", 'TRAD-Quanti et TdB Péremptions'!$B$96, ROUNDUP('Calculs Péremption FA'!AV18, 0), " US$"))), IF($D$6="X", IF('Calculs Péremption conso'!AT18="ND", "", IF('Calculs Péremption conso'!AU18="OK", "OK", CONCATENATE('TRAD-Quanti et TdB Péremptions'!$B$95, ROUNDUP('Calculs Péremption conso'!AT18, 0), " ", 'TRAD-Quanti et TdB Péremptions'!$B$96, ROUNDUP('Calculs Péremption conso'!AV18, 0), " US$"))), "ND"))</f>
        <v/>
      </c>
      <c r="K48" s="768" t="str">
        <f>IF('Saisie données stocks'!Y30="", "", 'Saisie données stocks'!Y30)</f>
        <v/>
      </c>
      <c r="L48" s="769" t="str">
        <f>IF($D$7="X", IF('Calculs Péremption FA'!BB18="ND", "", IF('Calculs Péremption FA'!BC18="OK", "OK", CONCATENATE('TRAD-Quanti et TdB Péremptions'!$B$95, ROUNDUP('Calculs Péremption FA'!BB18, 0), " ", 'TRAD-Quanti et TdB Péremptions'!$B$96, ROUNDUP('Calculs Péremption FA'!BD18, 0), " US$"))), IF($D$6="X", IF('Calculs Péremption conso'!BB18="ND", "", IF('Calculs Péremption conso'!BC18="OK", "OK", CONCATENATE('TRAD-Quanti et TdB Péremptions'!$B$95, ROUNDUP('Calculs Péremption conso'!BB18, 0), " ", 'TRAD-Quanti et TdB Péremptions'!$B$96, ROUNDUP('Calculs Péremption conso'!BD18, 0), " US$"))), "ND"))</f>
        <v/>
      </c>
      <c r="M48" s="768" t="str">
        <f>IF('Saisie données stocks'!AA30="", "", 'Saisie données stocks'!AA30)</f>
        <v/>
      </c>
      <c r="N48" s="769" t="str">
        <f>IF($D$7="X", IF('Calculs Péremption FA'!BJ18="ND", "", IF('Calculs Péremption FA'!BK18="OK", "OK", CONCATENATE('TRAD-Quanti et TdB Péremptions'!$B$95, ROUNDUP('Calculs Péremption FA'!BJ18, 0), " ", 'TRAD-Quanti et TdB Péremptions'!$B$96, ROUNDUP('Calculs Péremption FA'!BL18, 0), " US$"))), IF($D$6="X", IF('Calculs Péremption conso'!BJ18="ND", "", IF('Calculs Péremption conso'!BK18="OK", "OK", CONCATENATE('TRAD-Quanti et TdB Péremptions'!$B$95, ROUNDUP('Calculs Péremption conso'!BJ18, 0), " ", 'TRAD-Quanti et TdB Péremptions'!$B$96, ROUNDUP('Calculs Péremption conso'!BL18, 0), " US$"))), "ND"))</f>
        <v/>
      </c>
      <c r="O48" s="768" t="str">
        <f>IF('Saisie données stocks'!AC30="", "", 'Saisie données stocks'!AC30)</f>
        <v/>
      </c>
      <c r="P48" s="769" t="str">
        <f>IF($D$7="X", IF('Calculs Péremption FA'!BR18="ND", "", IF('Calculs Péremption FA'!BS18="OK", "OK", CONCATENATE('TRAD-Quanti et TdB Péremptions'!$B$95, ROUNDUP('Calculs Péremption FA'!BR18, 0), " ", 'TRAD-Quanti et TdB Péremptions'!$B$96, ROUNDUP('Calculs Péremption FA'!BT18, 0), " US$"))), IF($D$6="X", IF('Calculs Péremption conso'!BR18="ND", "", IF('Calculs Péremption conso'!BS18="OK", "OK", CONCATENATE('TRAD-Quanti et TdB Péremptions'!$B$95, ROUNDUP('Calculs Péremption conso'!BR18, 0), " ", 'TRAD-Quanti et TdB Péremptions'!$B$96, ROUNDUP('Calculs Péremption conso'!BT18, 0), " US$"))), "ND"))</f>
        <v/>
      </c>
    </row>
    <row r="49" spans="2:16" x14ac:dyDescent="0.2">
      <c r="B49" s="774" t="str">
        <f>CONCATENATE('Calculs Péremption FA'!D19, " - ", 'Calculs Péremption FA'!F19, " - ", 'Calculs Péremption FA'!E19, " - B/", 'Calculs Péremption FA'!I19)</f>
        <v>TDF+3TC+EFV - 300/200/600 mg - Cp - B/30</v>
      </c>
      <c r="C49" s="771"/>
      <c r="D49" s="772"/>
      <c r="E49" s="771"/>
      <c r="F49" s="772"/>
      <c r="G49" s="771"/>
      <c r="H49" s="772"/>
      <c r="I49" s="771"/>
      <c r="J49" s="772"/>
      <c r="K49" s="771"/>
      <c r="L49" s="772"/>
      <c r="M49" s="771"/>
      <c r="N49" s="772"/>
      <c r="O49" s="771"/>
      <c r="P49" s="772"/>
    </row>
    <row r="50" spans="2:16" ht="36" customHeight="1" x14ac:dyDescent="0.2">
      <c r="B50" s="767" t="str">
        <f>IF('Calculs Péremption FA'!P19="OK", "", 'TRAD-Quanti et TdB Péremptions'!$B$97)</f>
        <v/>
      </c>
      <c r="C50" s="768">
        <f>IF('Saisie données stocks'!Q31="", "", 'Saisie données stocks'!Q31)</f>
        <v>42339</v>
      </c>
      <c r="D50" s="769" t="str">
        <f>IF($D$7="X", IF('Calculs Péremption FA'!V19="ND", "", IF('Calculs Péremption FA'!W19="OK", "OK", CONCATENATE('TRAD-Quanti et TdB Péremptions'!$B$95, ROUNDUP('Calculs Péremption FA'!V19, 0), " ", 'TRAD-Quanti et TdB Péremptions'!$B$96, ROUNDUP('Calculs Péremption FA'!X19, 0), " US$"))), IF($D$6="X", IF('Calculs Péremption conso'!V19="ND", "", IF('Calculs Péremption conso'!W19="OK", "OK", CONCATENATE('TRAD-Quanti et TdB Péremptions'!$B$95, ROUNDUP('Calculs Péremption conso'!V19, 0), " ", 'TRAD-Quanti et TdB Péremptions'!$B$96, ROUNDUP('Calculs Péremption conso'!X19, 0), " US$"))), "ND"))</f>
        <v>Attention - pertes-15543 Btes - 204992 US$</v>
      </c>
      <c r="E50" s="768" t="str">
        <f>IF('Saisie données stocks'!S31="", "", 'Saisie données stocks'!S31)</f>
        <v/>
      </c>
      <c r="F50" s="769" t="str">
        <f>IF($D$7="X", IF('Calculs Péremption FA'!AD19="ND", "", IF('Calculs Péremption FA'!AE19="OK", "OK", CONCATENATE('TRAD-Quanti et TdB Péremptions'!$B$95, ROUNDUP('Calculs Péremption FA'!AD19, 0), " ", 'TRAD-Quanti et TdB Péremptions'!$B$96, ROUNDUP('Calculs Péremption FA'!AF19, 0), " US$"))), IF($D$6="X", IF('Calculs Péremption conso'!AD19="ND", "", IF('Calculs Péremption conso'!AE19="OK", "OK", CONCATENATE('TRAD-Quanti et TdB Péremptions'!$B$95, ROUNDUP('Calculs Péremption conso'!AD19, 0), " ", 'TRAD-Quanti et TdB Péremptions'!$B$96, ROUNDUP('Calculs Péremption conso'!AF19, 0), " US$"))), "ND"))</f>
        <v/>
      </c>
      <c r="G50" s="768" t="str">
        <f>IF('Saisie données stocks'!U31="", "", 'Saisie données stocks'!U31)</f>
        <v/>
      </c>
      <c r="H50" s="769" t="str">
        <f>IF($D$7="X", IF('Calculs Péremption FA'!AL19="ND", "", IF('Calculs Péremption FA'!AM19="OK", "OK", CONCATENATE('TRAD-Quanti et TdB Péremptions'!$B$95, ROUNDUP('Calculs Péremption FA'!AL19, 0), " ", 'TRAD-Quanti et TdB Péremptions'!$B$96, ROUNDUP('Calculs Péremption FA'!AN19, 0), " US$"))), IF($D$6="X", IF('Calculs Péremption conso'!AL19="ND", "", IF('Calculs Péremption conso'!AM19="OK", "OK", CONCATENATE('TRAD-Quanti et TdB Péremptions'!$B$95, ROUNDUP('Calculs Péremption conso'!AL19, 0), " ", 'TRAD-Quanti et TdB Péremptions'!$B$96, ROUNDUP('Calculs Péremption conso'!AN19, 0), " US$"))), "ND"))</f>
        <v/>
      </c>
      <c r="I50" s="768" t="str">
        <f>IF('Saisie données stocks'!W31="", "", 'Saisie données stocks'!W31)</f>
        <v/>
      </c>
      <c r="J50" s="769" t="str">
        <f>IF($D$7="X", IF('Calculs Péremption FA'!AT19="ND", "", IF('Calculs Péremption FA'!AU19="OK", "OK", CONCATENATE('TRAD-Quanti et TdB Péremptions'!$B$95, ROUNDUP('Calculs Péremption FA'!AT19, 0), " ", 'TRAD-Quanti et TdB Péremptions'!$B$96, ROUNDUP('Calculs Péremption FA'!AV19, 0), " US$"))), IF($D$6="X", IF('Calculs Péremption conso'!AT19="ND", "", IF('Calculs Péremption conso'!AU19="OK", "OK", CONCATENATE('TRAD-Quanti et TdB Péremptions'!$B$95, ROUNDUP('Calculs Péremption conso'!AT19, 0), " ", 'TRAD-Quanti et TdB Péremptions'!$B$96, ROUNDUP('Calculs Péremption conso'!AV19, 0), " US$"))), "ND"))</f>
        <v/>
      </c>
      <c r="K50" s="768" t="str">
        <f>IF('Saisie données stocks'!Y31="", "", 'Saisie données stocks'!Y31)</f>
        <v/>
      </c>
      <c r="L50" s="769" t="str">
        <f>IF($D$7="X", IF('Calculs Péremption FA'!BB19="ND", "", IF('Calculs Péremption FA'!BC19="OK", "OK", CONCATENATE('TRAD-Quanti et TdB Péremptions'!$B$95, ROUNDUP('Calculs Péremption FA'!BB19, 0), " ", 'TRAD-Quanti et TdB Péremptions'!$B$96, ROUNDUP('Calculs Péremption FA'!BD19, 0), " US$"))), IF($D$6="X", IF('Calculs Péremption conso'!BB19="ND", "", IF('Calculs Péremption conso'!BC19="OK", "OK", CONCATENATE('TRAD-Quanti et TdB Péremptions'!$B$95, ROUNDUP('Calculs Péremption conso'!BB19, 0), " ", 'TRAD-Quanti et TdB Péremptions'!$B$96, ROUNDUP('Calculs Péremption conso'!BD19, 0), " US$"))), "ND"))</f>
        <v/>
      </c>
      <c r="M50" s="768" t="str">
        <f>IF('Saisie données stocks'!AA31="", "", 'Saisie données stocks'!AA31)</f>
        <v/>
      </c>
      <c r="N50" s="769" t="str">
        <f>IF($D$7="X", IF('Calculs Péremption FA'!BJ19="ND", "", IF('Calculs Péremption FA'!BK19="OK", "OK", CONCATENATE('TRAD-Quanti et TdB Péremptions'!$B$95, ROUNDUP('Calculs Péremption FA'!BJ19, 0), " ", 'TRAD-Quanti et TdB Péremptions'!$B$96, ROUNDUP('Calculs Péremption FA'!BL19, 0), " US$"))), IF($D$6="X", IF('Calculs Péremption conso'!BJ19="ND", "", IF('Calculs Péremption conso'!BK19="OK", "OK", CONCATENATE('TRAD-Quanti et TdB Péremptions'!$B$95, ROUNDUP('Calculs Péremption conso'!BJ19, 0), " ", 'TRAD-Quanti et TdB Péremptions'!$B$96, ROUNDUP('Calculs Péremption conso'!BL19, 0), " US$"))), "ND"))</f>
        <v/>
      </c>
      <c r="O50" s="768" t="str">
        <f>IF('Saisie données stocks'!AC31="", "", 'Saisie données stocks'!AC31)</f>
        <v/>
      </c>
      <c r="P50" s="769" t="str">
        <f>IF($D$7="X", IF('Calculs Péremption FA'!BR19="ND", "", IF('Calculs Péremption FA'!BS19="OK", "OK", CONCATENATE('TRAD-Quanti et TdB Péremptions'!$B$95, ROUNDUP('Calculs Péremption FA'!BR19, 0), " ", 'TRAD-Quanti et TdB Péremptions'!$B$96, ROUNDUP('Calculs Péremption FA'!BT19, 0), " US$"))), IF($D$6="X", IF('Calculs Péremption conso'!BR19="ND", "", IF('Calculs Péremption conso'!BS19="OK", "OK", CONCATENATE('TRAD-Quanti et TdB Péremptions'!$B$95, ROUNDUP('Calculs Péremption conso'!BR19, 0), " ", 'TRAD-Quanti et TdB Péremptions'!$B$96, ROUNDUP('Calculs Péremption conso'!BT19, 0), " US$"))), "ND"))</f>
        <v/>
      </c>
    </row>
    <row r="51" spans="2:16" x14ac:dyDescent="0.2">
      <c r="B51" s="774" t="str">
        <f>CONCATENATE('Calculs Péremption FA'!D20, " - ", 'Calculs Péremption FA'!F20, " - ", 'Calculs Péremption FA'!E20, " - B/", 'Calculs Péremption FA'!I20)</f>
        <v>TDF+3TC - 300/200 mg - Cp - B/30</v>
      </c>
      <c r="C51" s="771"/>
      <c r="D51" s="772"/>
      <c r="E51" s="771"/>
      <c r="F51" s="772"/>
      <c r="G51" s="771"/>
      <c r="H51" s="772"/>
      <c r="I51" s="771"/>
      <c r="J51" s="772"/>
      <c r="K51" s="771"/>
      <c r="L51" s="772"/>
      <c r="M51" s="771"/>
      <c r="N51" s="772"/>
      <c r="O51" s="771"/>
      <c r="P51" s="772"/>
    </row>
    <row r="52" spans="2:16" ht="36" customHeight="1" x14ac:dyDescent="0.2">
      <c r="B52" s="767" t="str">
        <f>IF('Calculs Péremption FA'!P20="OK", "", 'TRAD-Quanti et TdB Péremptions'!$B$97)</f>
        <v/>
      </c>
      <c r="C52" s="768">
        <f>IF('Saisie données stocks'!Q32="", "", 'Saisie données stocks'!Q32)</f>
        <v>42064</v>
      </c>
      <c r="D52" s="769" t="str">
        <f>IF($D$7="X", IF('Calculs Péremption FA'!V20="ND", "", IF('Calculs Péremption FA'!W20="OK", "OK", CONCATENATE('TRAD-Quanti et TdB Péremptions'!$B$95, ROUNDUP('Calculs Péremption FA'!V20, 0), " ", 'TRAD-Quanti et TdB Péremptions'!$B$96, ROUNDUP('Calculs Péremption FA'!X20, 0), " US$"))), IF($D$6="X", IF('Calculs Péremption conso'!V20="ND", "", IF('Calculs Péremption conso'!W20="OK", "OK", CONCATENATE('TRAD-Quanti et TdB Péremptions'!$B$95, ROUNDUP('Calculs Péremption conso'!V20, 0), " ", 'TRAD-Quanti et TdB Péremptions'!$B$96, ROUNDUP('Calculs Péremption conso'!X20, 0), " US$"))), "ND"))</f>
        <v>Attention - pertes-10 Btes - 52 US$</v>
      </c>
      <c r="E52" s="768" t="str">
        <f>IF('Saisie données stocks'!S32="", "", 'Saisie données stocks'!S32)</f>
        <v/>
      </c>
      <c r="F52" s="769" t="str">
        <f>IF($D$7="X", IF('Calculs Péremption FA'!AD20="ND", "", IF('Calculs Péremption FA'!AE20="OK", "OK", CONCATENATE('TRAD-Quanti et TdB Péremptions'!$B$95, ROUNDUP('Calculs Péremption FA'!AD20, 0), " ", 'TRAD-Quanti et TdB Péremptions'!$B$96, ROUNDUP('Calculs Péremption FA'!AF20, 0), " US$"))), IF($D$6="X", IF('Calculs Péremption conso'!AD20="ND", "", IF('Calculs Péremption conso'!AE20="OK", "OK", CONCATENATE('TRAD-Quanti et TdB Péremptions'!$B$95, ROUNDUP('Calculs Péremption conso'!AD20, 0), " ", 'TRAD-Quanti et TdB Péremptions'!$B$96, ROUNDUP('Calculs Péremption conso'!AF20, 0), " US$"))), "ND"))</f>
        <v/>
      </c>
      <c r="G52" s="768" t="str">
        <f>IF('Saisie données stocks'!U32="", "", 'Saisie données stocks'!U32)</f>
        <v/>
      </c>
      <c r="H52" s="769" t="str">
        <f>IF($D$7="X", IF('Calculs Péremption FA'!AL20="ND", "", IF('Calculs Péremption FA'!AM20="OK", "OK", CONCATENATE('TRAD-Quanti et TdB Péremptions'!$B$95, ROUNDUP('Calculs Péremption FA'!AL20, 0), " ", 'TRAD-Quanti et TdB Péremptions'!$B$96, ROUNDUP('Calculs Péremption FA'!AN20, 0), " US$"))), IF($D$6="X", IF('Calculs Péremption conso'!AL20="ND", "", IF('Calculs Péremption conso'!AM20="OK", "OK", CONCATENATE('TRAD-Quanti et TdB Péremptions'!$B$95, ROUNDUP('Calculs Péremption conso'!AL20, 0), " ", 'TRAD-Quanti et TdB Péremptions'!$B$96, ROUNDUP('Calculs Péremption conso'!AN20, 0), " US$"))), "ND"))</f>
        <v/>
      </c>
      <c r="I52" s="768" t="str">
        <f>IF('Saisie données stocks'!W32="", "", 'Saisie données stocks'!W32)</f>
        <v/>
      </c>
      <c r="J52" s="769" t="str">
        <f>IF($D$7="X", IF('Calculs Péremption FA'!AT20="ND", "", IF('Calculs Péremption FA'!AU20="OK", "OK", CONCATENATE('TRAD-Quanti et TdB Péremptions'!$B$95, ROUNDUP('Calculs Péremption FA'!AT20, 0), " ", 'TRAD-Quanti et TdB Péremptions'!$B$96, ROUNDUP('Calculs Péremption FA'!AV20, 0), " US$"))), IF($D$6="X", IF('Calculs Péremption conso'!AT20="ND", "", IF('Calculs Péremption conso'!AU20="OK", "OK", CONCATENATE('TRAD-Quanti et TdB Péremptions'!$B$95, ROUNDUP('Calculs Péremption conso'!AT20, 0), " ", 'TRAD-Quanti et TdB Péremptions'!$B$96, ROUNDUP('Calculs Péremption conso'!AV20, 0), " US$"))), "ND"))</f>
        <v/>
      </c>
      <c r="K52" s="768" t="str">
        <f>IF('Saisie données stocks'!Y32="", "", 'Saisie données stocks'!Y32)</f>
        <v/>
      </c>
      <c r="L52" s="769" t="str">
        <f>IF($D$7="X", IF('Calculs Péremption FA'!BB20="ND", "", IF('Calculs Péremption FA'!BC20="OK", "OK", CONCATENATE('TRAD-Quanti et TdB Péremptions'!$B$95, ROUNDUP('Calculs Péremption FA'!BB20, 0), " ", 'TRAD-Quanti et TdB Péremptions'!$B$96, ROUNDUP('Calculs Péremption FA'!BD20, 0), " US$"))), IF($D$6="X", IF('Calculs Péremption conso'!BB20="ND", "", IF('Calculs Péremption conso'!BC20="OK", "OK", CONCATENATE('TRAD-Quanti et TdB Péremptions'!$B$95, ROUNDUP('Calculs Péremption conso'!BB20, 0), " ", 'TRAD-Quanti et TdB Péremptions'!$B$96, ROUNDUP('Calculs Péremption conso'!BD20, 0), " US$"))), "ND"))</f>
        <v/>
      </c>
      <c r="M52" s="768" t="str">
        <f>IF('Saisie données stocks'!AA32="", "", 'Saisie données stocks'!AA32)</f>
        <v/>
      </c>
      <c r="N52" s="769" t="str">
        <f>IF($D$7="X", IF('Calculs Péremption FA'!BJ20="ND", "", IF('Calculs Péremption FA'!BK20="OK", "OK", CONCATENATE('TRAD-Quanti et TdB Péremptions'!$B$95, ROUNDUP('Calculs Péremption FA'!BJ20, 0), " ", 'TRAD-Quanti et TdB Péremptions'!$B$96, ROUNDUP('Calculs Péremption FA'!BL20, 0), " US$"))), IF($D$6="X", IF('Calculs Péremption conso'!BJ20="ND", "", IF('Calculs Péremption conso'!BK20="OK", "OK", CONCATENATE('TRAD-Quanti et TdB Péremptions'!$B$95, ROUNDUP('Calculs Péremption conso'!BJ20, 0), " ", 'TRAD-Quanti et TdB Péremptions'!$B$96, ROUNDUP('Calculs Péremption conso'!BL20, 0), " US$"))), "ND"))</f>
        <v/>
      </c>
      <c r="O52" s="768" t="str">
        <f>IF('Saisie données stocks'!AC32="", "", 'Saisie données stocks'!AC32)</f>
        <v/>
      </c>
      <c r="P52" s="769" t="str">
        <f>IF($D$7="X", IF('Calculs Péremption FA'!BR20="ND", "", IF('Calculs Péremption FA'!BS20="OK", "OK", CONCATENATE('TRAD-Quanti et TdB Péremptions'!$B$95, ROUNDUP('Calculs Péremption FA'!BR20, 0), " ", 'TRAD-Quanti et TdB Péremptions'!$B$96, ROUNDUP('Calculs Péremption FA'!BT20, 0), " US$"))), IF($D$6="X", IF('Calculs Péremption conso'!BR20="ND", "", IF('Calculs Péremption conso'!BS20="OK", "OK", CONCATENATE('TRAD-Quanti et TdB Péremptions'!$B$95, ROUNDUP('Calculs Péremption conso'!BR20, 0), " ", 'TRAD-Quanti et TdB Péremptions'!$B$96, ROUNDUP('Calculs Péremption conso'!BT20, 0), " US$"))), "ND"))</f>
        <v/>
      </c>
    </row>
    <row r="53" spans="2:16" ht="24" x14ac:dyDescent="0.2">
      <c r="B53" s="774" t="str">
        <f>CONCATENATE('Calculs Péremption FA'!D21, " - ", 'Calculs Péremption FA'!F21, " - ", 'Calculs Péremption FA'!E21, " - B/", 'Calculs Péremption FA'!I21)</f>
        <v>[TDF+3TC]+ATV/r - [300/300]+300/100 mg - Cp coblister - B/30</v>
      </c>
      <c r="C53" s="771"/>
      <c r="D53" s="772"/>
      <c r="E53" s="771"/>
      <c r="F53" s="772"/>
      <c r="G53" s="771"/>
      <c r="H53" s="772"/>
      <c r="I53" s="771"/>
      <c r="J53" s="772"/>
      <c r="K53" s="771"/>
      <c r="L53" s="772"/>
      <c r="M53" s="771"/>
      <c r="N53" s="772"/>
      <c r="O53" s="771"/>
      <c r="P53" s="772"/>
    </row>
    <row r="54" spans="2:16" ht="36" customHeight="1" thickBot="1" x14ac:dyDescent="0.25">
      <c r="B54" s="760" t="str">
        <f>IF('Calculs Péremption FA'!P21="OK", "", 'TRAD-Quanti et TdB Péremptions'!$B$97)</f>
        <v/>
      </c>
      <c r="C54" s="762" t="str">
        <f>IF('Saisie données stocks'!Q33="", "", 'Saisie données stocks'!Q33)</f>
        <v/>
      </c>
      <c r="D54" s="763" t="str">
        <f>IF($D$7="X", IF('Calculs Péremption FA'!V21="ND", "", IF('Calculs Péremption FA'!W21="OK", "OK", CONCATENATE('TRAD-Quanti et TdB Péremptions'!$B$95, ROUNDUP('Calculs Péremption FA'!V21, 0), " ", 'TRAD-Quanti et TdB Péremptions'!$B$96, ROUNDUP('Calculs Péremption FA'!X21, 0), " US$"))), IF($D$6="X", IF('Calculs Péremption conso'!V21="ND", "", IF('Calculs Péremption conso'!W21="OK", "OK", CONCATENATE('TRAD-Quanti et TdB Péremptions'!$B$95, ROUNDUP('Calculs Péremption conso'!V21, 0), " ", 'TRAD-Quanti et TdB Péremptions'!$B$96, ROUNDUP('Calculs Péremption conso'!X21, 0), " US$"))), "ND"))</f>
        <v/>
      </c>
      <c r="E54" s="762" t="str">
        <f>IF('Saisie données stocks'!S33="", "", 'Saisie données stocks'!S33)</f>
        <v/>
      </c>
      <c r="F54" s="763" t="str">
        <f>IF($D$7="X", IF('Calculs Péremption FA'!AD21="ND", "", IF('Calculs Péremption FA'!AE21="OK", "OK", CONCATENATE('TRAD-Quanti et TdB Péremptions'!$B$95, ROUNDUP('Calculs Péremption FA'!AD21, 0), " ", 'TRAD-Quanti et TdB Péremptions'!$B$96, ROUNDUP('Calculs Péremption FA'!AF21, 0), " US$"))), IF($D$6="X", IF('Calculs Péremption conso'!AD21="ND", "", IF('Calculs Péremption conso'!AE21="OK", "OK", CONCATENATE('TRAD-Quanti et TdB Péremptions'!$B$95, ROUNDUP('Calculs Péremption conso'!AD21, 0), " ", 'TRAD-Quanti et TdB Péremptions'!$B$96, ROUNDUP('Calculs Péremption conso'!AF21, 0), " US$"))), "ND"))</f>
        <v/>
      </c>
      <c r="G54" s="762" t="str">
        <f>IF('Saisie données stocks'!U33="", "", 'Saisie données stocks'!U33)</f>
        <v/>
      </c>
      <c r="H54" s="763" t="str">
        <f>IF($D$7="X", IF('Calculs Péremption FA'!AL21="ND", "", IF('Calculs Péremption FA'!AM21="OK", "OK", CONCATENATE('TRAD-Quanti et TdB Péremptions'!$B$95, ROUNDUP('Calculs Péremption FA'!AL21, 0), " ", 'TRAD-Quanti et TdB Péremptions'!$B$96, ROUNDUP('Calculs Péremption FA'!AN21, 0), " US$"))), IF($D$6="X", IF('Calculs Péremption conso'!AL21="ND", "", IF('Calculs Péremption conso'!AM21="OK", "OK", CONCATENATE('TRAD-Quanti et TdB Péremptions'!$B$95, ROUNDUP('Calculs Péremption conso'!AL21, 0), " ", 'TRAD-Quanti et TdB Péremptions'!$B$96, ROUNDUP('Calculs Péremption conso'!AN21, 0), " US$"))), "ND"))</f>
        <v/>
      </c>
      <c r="I54" s="762" t="str">
        <f>IF('Saisie données stocks'!W33="", "", 'Saisie données stocks'!W33)</f>
        <v/>
      </c>
      <c r="J54" s="763" t="str">
        <f>IF($D$7="X", IF('Calculs Péremption FA'!AT21="ND", "", IF('Calculs Péremption FA'!AU21="OK", "OK", CONCATENATE('TRAD-Quanti et TdB Péremptions'!$B$95, ROUNDUP('Calculs Péremption FA'!AT21, 0), " ", 'TRAD-Quanti et TdB Péremptions'!$B$96, ROUNDUP('Calculs Péremption FA'!AV21, 0), " US$"))), IF($D$6="X", IF('Calculs Péremption conso'!AT21="ND", "", IF('Calculs Péremption conso'!AU21="OK", "OK", CONCATENATE('TRAD-Quanti et TdB Péremptions'!$B$95, ROUNDUP('Calculs Péremption conso'!AT21, 0), " ", 'TRAD-Quanti et TdB Péremptions'!$B$96, ROUNDUP('Calculs Péremption conso'!AV21, 0), " US$"))), "ND"))</f>
        <v/>
      </c>
      <c r="K54" s="762" t="str">
        <f>IF('Saisie données stocks'!Y33="", "", 'Saisie données stocks'!Y33)</f>
        <v/>
      </c>
      <c r="L54" s="763" t="str">
        <f>IF($D$7="X", IF('Calculs Péremption FA'!BB21="ND", "", IF('Calculs Péremption FA'!BC21="OK", "OK", CONCATENATE('TRAD-Quanti et TdB Péremptions'!$B$95, ROUNDUP('Calculs Péremption FA'!BB21, 0), " ", 'TRAD-Quanti et TdB Péremptions'!$B$96, ROUNDUP('Calculs Péremption FA'!BD21, 0), " US$"))), IF($D$6="X", IF('Calculs Péremption conso'!BB21="ND", "", IF('Calculs Péremption conso'!BC21="OK", "OK", CONCATENATE('TRAD-Quanti et TdB Péremptions'!$B$95, ROUNDUP('Calculs Péremption conso'!BB21, 0), " ", 'TRAD-Quanti et TdB Péremptions'!$B$96, ROUNDUP('Calculs Péremption conso'!BD21, 0), " US$"))), "ND"))</f>
        <v/>
      </c>
      <c r="M54" s="762" t="str">
        <f>IF('Saisie données stocks'!AA33="", "", 'Saisie données stocks'!AA33)</f>
        <v/>
      </c>
      <c r="N54" s="763" t="str">
        <f>IF($D$7="X", IF('Calculs Péremption FA'!BJ21="ND", "", IF('Calculs Péremption FA'!BK21="OK", "OK", CONCATENATE('TRAD-Quanti et TdB Péremptions'!$B$95, ROUNDUP('Calculs Péremption FA'!BJ21, 0), " ", 'TRAD-Quanti et TdB Péremptions'!$B$96, ROUNDUP('Calculs Péremption FA'!BL21, 0), " US$"))), IF($D$6="X", IF('Calculs Péremption conso'!BJ21="ND", "", IF('Calculs Péremption conso'!BK21="OK", "OK", CONCATENATE('TRAD-Quanti et TdB Péremptions'!$B$95, ROUNDUP('Calculs Péremption conso'!BJ21, 0), " ", 'TRAD-Quanti et TdB Péremptions'!$B$96, ROUNDUP('Calculs Péremption conso'!BL21, 0), " US$"))), "ND"))</f>
        <v/>
      </c>
      <c r="O54" s="762" t="str">
        <f>IF('Saisie données stocks'!AC33="", "", 'Saisie données stocks'!AC33)</f>
        <v/>
      </c>
      <c r="P54" s="763" t="str">
        <f>IF($D$7="X", IF('Calculs Péremption FA'!BR21="ND", "", IF('Calculs Péremption FA'!BS21="OK", "OK", CONCATENATE('TRAD-Quanti et TdB Péremptions'!$B$95, ROUNDUP('Calculs Péremption FA'!BR21, 0), " ", 'TRAD-Quanti et TdB Péremptions'!$B$96, ROUNDUP('Calculs Péremption FA'!BT21, 0), " US$"))), IF($D$6="X", IF('Calculs Péremption conso'!BR21="ND", "", IF('Calculs Péremption conso'!BS21="OK", "OK", CONCATENATE('TRAD-Quanti et TdB Péremptions'!$B$95, ROUNDUP('Calculs Péremption conso'!BR21, 0), " ", 'TRAD-Quanti et TdB Péremptions'!$B$96, ROUNDUP('Calculs Péremption conso'!BT21, 0), " US$"))), "ND"))</f>
        <v/>
      </c>
    </row>
    <row r="55" spans="2:16" x14ac:dyDescent="0.2">
      <c r="B55" s="1809" t="str">
        <f>CONCATENATE('Calculs Péremption FA'!D22, " - ", 'Calculs Péremption FA'!F22, " - ", 'Calculs Péremption FA'!E22, " - B/", 'Calculs Péremption FA'!I22)</f>
        <v>EFV - 50 mg - Gél - B/30</v>
      </c>
      <c r="C55" s="1810"/>
      <c r="D55" s="1811"/>
      <c r="E55" s="1810"/>
      <c r="F55" s="1811"/>
      <c r="G55" s="1810"/>
      <c r="H55" s="1811"/>
      <c r="I55" s="1810"/>
      <c r="J55" s="1811"/>
      <c r="K55" s="1810"/>
      <c r="L55" s="1811"/>
      <c r="M55" s="1810"/>
      <c r="N55" s="1811"/>
      <c r="O55" s="1810"/>
      <c r="P55" s="1811"/>
    </row>
    <row r="56" spans="2:16" ht="36" customHeight="1" x14ac:dyDescent="0.2">
      <c r="B56" s="767" t="str">
        <f>IF('Calculs Péremption FA'!P22="OK", "", 'TRAD-Quanti et TdB Péremptions'!$B$97)</f>
        <v/>
      </c>
      <c r="C56" s="768" t="str">
        <f>IF('Saisie données stocks'!Q34="", "", 'Saisie données stocks'!Q34)</f>
        <v/>
      </c>
      <c r="D56" s="769" t="str">
        <f>IF($D$7="X", IF('Calculs Péremption FA'!V22="ND", "", IF('Calculs Péremption FA'!W22="OK", "OK", CONCATENATE('TRAD-Quanti et TdB Péremptions'!$B$95, ROUNDUP('Calculs Péremption FA'!V22, 0), " ", 'TRAD-Quanti et TdB Péremptions'!$B$96, ROUNDUP('Calculs Péremption FA'!X22, 0), " US$"))), IF($D$6="X", IF('Calculs Péremption conso'!V22="ND", "", IF('Calculs Péremption conso'!W22="OK", "OK", CONCATENATE('TRAD-Quanti et TdB Péremptions'!$B$95, ROUNDUP('Calculs Péremption conso'!V22, 0), " ", 'TRAD-Quanti et TdB Péremptions'!$B$96, ROUNDUP('Calculs Péremption conso'!X22, 0), " US$"))), "ND"))</f>
        <v/>
      </c>
      <c r="E56" s="768" t="str">
        <f>IF('Saisie données stocks'!S34="", "", 'Saisie données stocks'!S34)</f>
        <v/>
      </c>
      <c r="F56" s="769" t="str">
        <f>IF($D$7="X", IF('Calculs Péremption FA'!AD22="ND", "", IF('Calculs Péremption FA'!AE22="OK", "OK", CONCATENATE('TRAD-Quanti et TdB Péremptions'!$B$95, ROUNDUP('Calculs Péremption FA'!AD22, 0), " ", 'TRAD-Quanti et TdB Péremptions'!$B$96, ROUNDUP('Calculs Péremption FA'!AF22, 0), " US$"))), IF($D$6="X", IF('Calculs Péremption conso'!AD22="ND", "", IF('Calculs Péremption conso'!AE22="OK", "OK", CONCATENATE('TRAD-Quanti et TdB Péremptions'!$B$95, ROUNDUP('Calculs Péremption conso'!AD22, 0), " ", 'TRAD-Quanti et TdB Péremptions'!$B$96, ROUNDUP('Calculs Péremption conso'!AF22, 0), " US$"))), "ND"))</f>
        <v/>
      </c>
      <c r="G56" s="768" t="str">
        <f>IF('Saisie données stocks'!U34="", "", 'Saisie données stocks'!U34)</f>
        <v/>
      </c>
      <c r="H56" s="769" t="str">
        <f>IF($D$7="X", IF('Calculs Péremption FA'!AL22="ND", "", IF('Calculs Péremption FA'!AM22="OK", "OK", CONCATENATE('TRAD-Quanti et TdB Péremptions'!$B$95, ROUNDUP('Calculs Péremption FA'!AL22, 0), " ", 'TRAD-Quanti et TdB Péremptions'!$B$96, ROUNDUP('Calculs Péremption FA'!AN22, 0), " US$"))), IF($D$6="X", IF('Calculs Péremption conso'!AL22="ND", "", IF('Calculs Péremption conso'!AM22="OK", "OK", CONCATENATE('TRAD-Quanti et TdB Péremptions'!$B$95, ROUNDUP('Calculs Péremption conso'!AL22, 0), " ", 'TRAD-Quanti et TdB Péremptions'!$B$96, ROUNDUP('Calculs Péremption conso'!AN22, 0), " US$"))), "ND"))</f>
        <v/>
      </c>
      <c r="I56" s="768" t="str">
        <f>IF('Saisie données stocks'!W34="", "", 'Saisie données stocks'!W34)</f>
        <v/>
      </c>
      <c r="J56" s="769" t="str">
        <f>IF($D$7="X", IF('Calculs Péremption FA'!AT22="ND", "", IF('Calculs Péremption FA'!AU22="OK", "OK", CONCATENATE('TRAD-Quanti et TdB Péremptions'!$B$95, ROUNDUP('Calculs Péremption FA'!AT22, 0), " ", 'TRAD-Quanti et TdB Péremptions'!$B$96, ROUNDUP('Calculs Péremption FA'!AV22, 0), " US$"))), IF($D$6="X", IF('Calculs Péremption conso'!AT22="ND", "", IF('Calculs Péremption conso'!AU22="OK", "OK", CONCATENATE('TRAD-Quanti et TdB Péremptions'!$B$95, ROUNDUP('Calculs Péremption conso'!AT22, 0), " ", 'TRAD-Quanti et TdB Péremptions'!$B$96, ROUNDUP('Calculs Péremption conso'!AV22, 0), " US$"))), "ND"))</f>
        <v/>
      </c>
      <c r="K56" s="768" t="str">
        <f>IF('Saisie données stocks'!Y34="", "", 'Saisie données stocks'!Y34)</f>
        <v/>
      </c>
      <c r="L56" s="769" t="str">
        <f>IF($D$7="X", IF('Calculs Péremption FA'!BB22="ND", "", IF('Calculs Péremption FA'!BC22="OK", "OK", CONCATENATE('TRAD-Quanti et TdB Péremptions'!$B$95, ROUNDUP('Calculs Péremption FA'!BB22, 0), " ", 'TRAD-Quanti et TdB Péremptions'!$B$96, ROUNDUP('Calculs Péremption FA'!BD22, 0), " US$"))), IF($D$6="X", IF('Calculs Péremption conso'!BB22="ND", "", IF('Calculs Péremption conso'!BC22="OK", "OK", CONCATENATE('TRAD-Quanti et TdB Péremptions'!$B$95, ROUNDUP('Calculs Péremption conso'!BB22, 0), " ", 'TRAD-Quanti et TdB Péremptions'!$B$96, ROUNDUP('Calculs Péremption conso'!BD22, 0), " US$"))), "ND"))</f>
        <v/>
      </c>
      <c r="M56" s="768" t="str">
        <f>IF('Saisie données stocks'!AA34="", "", 'Saisie données stocks'!AA34)</f>
        <v/>
      </c>
      <c r="N56" s="769" t="str">
        <f>IF($D$7="X", IF('Calculs Péremption FA'!BJ22="ND", "", IF('Calculs Péremption FA'!BK22="OK", "OK", CONCATENATE('TRAD-Quanti et TdB Péremptions'!$B$95, ROUNDUP('Calculs Péremption FA'!BJ22, 0), " ", 'TRAD-Quanti et TdB Péremptions'!$B$96, ROUNDUP('Calculs Péremption FA'!BL22, 0), " US$"))), IF($D$6="X", IF('Calculs Péremption conso'!BJ22="ND", "", IF('Calculs Péremption conso'!BK22="OK", "OK", CONCATENATE('TRAD-Quanti et TdB Péremptions'!$B$95, ROUNDUP('Calculs Péremption conso'!BJ22, 0), " ", 'TRAD-Quanti et TdB Péremptions'!$B$96, ROUNDUP('Calculs Péremption conso'!BL22, 0), " US$"))), "ND"))</f>
        <v/>
      </c>
      <c r="O56" s="768" t="str">
        <f>IF('Saisie données stocks'!AC34="", "", 'Saisie données stocks'!AC34)</f>
        <v/>
      </c>
      <c r="P56" s="769" t="str">
        <f>IF($D$7="X", IF('Calculs Péremption FA'!BR22="ND", "", IF('Calculs Péremption FA'!BS22="OK", "OK", CONCATENATE('TRAD-Quanti et TdB Péremptions'!$B$95, ROUNDUP('Calculs Péremption FA'!BR22, 0), " ", 'TRAD-Quanti et TdB Péremptions'!$B$96, ROUNDUP('Calculs Péremption FA'!BT22, 0), " US$"))), IF($D$6="X", IF('Calculs Péremption conso'!BR22="ND", "", IF('Calculs Péremption conso'!BS22="OK", "OK", CONCATENATE('TRAD-Quanti et TdB Péremptions'!$B$95, ROUNDUP('Calculs Péremption conso'!BR22, 0), " ", 'TRAD-Quanti et TdB Péremptions'!$B$96, ROUNDUP('Calculs Péremption conso'!BT22, 0), " US$"))), "ND"))</f>
        <v/>
      </c>
    </row>
    <row r="57" spans="2:16" x14ac:dyDescent="0.2">
      <c r="B57" s="774" t="str">
        <f>CONCATENATE('Calculs Péremption FA'!D23, " - ", 'Calculs Péremption FA'!F23, " - ", 'Calculs Péremption FA'!E23, " - B/", 'Calculs Péremption FA'!I23)</f>
        <v>EFV - 200 mg - Gél - B/90</v>
      </c>
      <c r="C57" s="771"/>
      <c r="D57" s="772"/>
      <c r="E57" s="771"/>
      <c r="F57" s="772"/>
      <c r="G57" s="771"/>
      <c r="H57" s="772"/>
      <c r="I57" s="771"/>
      <c r="J57" s="772"/>
      <c r="K57" s="771"/>
      <c r="L57" s="772"/>
      <c r="M57" s="771"/>
      <c r="N57" s="772"/>
      <c r="O57" s="771"/>
      <c r="P57" s="772"/>
    </row>
    <row r="58" spans="2:16" ht="36" customHeight="1" x14ac:dyDescent="0.2">
      <c r="B58" s="2550" t="str">
        <f>IF('Calculs Péremption FA'!P23="OK", "", 'TRAD-Quanti et TdB Péremptions'!$B$97)</f>
        <v/>
      </c>
      <c r="C58" s="768">
        <f>IF('Saisie données stocks'!Q35="", "", 'Saisie données stocks'!Q35)</f>
        <v>42095</v>
      </c>
      <c r="D58" s="769" t="str">
        <f>IF($D$7="X", IF('Calculs Péremption FA'!V23="ND", "", IF('Calculs Péremption FA'!W23="OK", "OK", CONCATENATE('TRAD-Quanti et TdB Péremptions'!$B$95, ROUNDUP('Calculs Péremption FA'!V23, 0), " ", 'TRAD-Quanti et TdB Péremptions'!$B$96, ROUNDUP('Calculs Péremption FA'!X23, 0), " US$"))), IF($D$6="X", IF('Calculs Péremption conso'!V23="ND", "", IF('Calculs Péremption conso'!W23="OK", "OK", CONCATENATE('TRAD-Quanti et TdB Péremptions'!$B$95, ROUNDUP('Calculs Péremption conso'!V23, 0), " ", 'TRAD-Quanti et TdB Péremptions'!$B$96, ROUNDUP('Calculs Péremption conso'!X23, 0), " US$"))), "ND"))</f>
        <v>OK</v>
      </c>
      <c r="E58" s="768" t="str">
        <f>IF('Saisie données stocks'!S35="", "", 'Saisie données stocks'!S35)</f>
        <v/>
      </c>
      <c r="F58" s="769" t="str">
        <f>IF($D$7="X", IF('Calculs Péremption FA'!AD23="ND", "", IF('Calculs Péremption FA'!AE23="OK", "OK", CONCATENATE('TRAD-Quanti et TdB Péremptions'!$B$95, ROUNDUP('Calculs Péremption FA'!AD23, 0), " ", 'TRAD-Quanti et TdB Péremptions'!$B$96, ROUNDUP('Calculs Péremption FA'!AF23, 0), " US$"))), IF($D$6="X", IF('Calculs Péremption conso'!AD23="ND", "", IF('Calculs Péremption conso'!AE23="OK", "OK", CONCATENATE('TRAD-Quanti et TdB Péremptions'!$B$95, ROUNDUP('Calculs Péremption conso'!AD23, 0), " ", 'TRAD-Quanti et TdB Péremptions'!$B$96, ROUNDUP('Calculs Péremption conso'!AF23, 0), " US$"))), "ND"))</f>
        <v/>
      </c>
      <c r="G58" s="768" t="str">
        <f>IF('Saisie données stocks'!U35="", "", 'Saisie données stocks'!U35)</f>
        <v/>
      </c>
      <c r="H58" s="769" t="str">
        <f>IF($D$7="X", IF('Calculs Péremption FA'!AL23="ND", "", IF('Calculs Péremption FA'!AM23="OK", "OK", CONCATENATE('TRAD-Quanti et TdB Péremptions'!$B$95, ROUNDUP('Calculs Péremption FA'!AL23, 0), " ", 'TRAD-Quanti et TdB Péremptions'!$B$96, ROUNDUP('Calculs Péremption FA'!AN23, 0), " US$"))), IF($D$6="X", IF('Calculs Péremption conso'!AL23="ND", "", IF('Calculs Péremption conso'!AM23="OK", "OK", CONCATENATE('TRAD-Quanti et TdB Péremptions'!$B$95, ROUNDUP('Calculs Péremption conso'!AL23, 0), " ", 'TRAD-Quanti et TdB Péremptions'!$B$96, ROUNDUP('Calculs Péremption conso'!AN23, 0), " US$"))), "ND"))</f>
        <v/>
      </c>
      <c r="I58" s="768" t="str">
        <f>IF('Saisie données stocks'!W35="", "", 'Saisie données stocks'!W35)</f>
        <v/>
      </c>
      <c r="J58" s="769" t="str">
        <f>IF($D$7="X", IF('Calculs Péremption FA'!AT23="ND", "", IF('Calculs Péremption FA'!AU23="OK", "OK", CONCATENATE('TRAD-Quanti et TdB Péremptions'!$B$95, ROUNDUP('Calculs Péremption FA'!AT23, 0), " ", 'TRAD-Quanti et TdB Péremptions'!$B$96, ROUNDUP('Calculs Péremption FA'!AV23, 0), " US$"))), IF($D$6="X", IF('Calculs Péremption conso'!AT23="ND", "", IF('Calculs Péremption conso'!AU23="OK", "OK", CONCATENATE('TRAD-Quanti et TdB Péremptions'!$B$95, ROUNDUP('Calculs Péremption conso'!AT23, 0), " ", 'TRAD-Quanti et TdB Péremptions'!$B$96, ROUNDUP('Calculs Péremption conso'!AV23, 0), " US$"))), "ND"))</f>
        <v/>
      </c>
      <c r="K58" s="768" t="str">
        <f>IF('Saisie données stocks'!Y35="", "", 'Saisie données stocks'!Y35)</f>
        <v/>
      </c>
      <c r="L58" s="769" t="str">
        <f>IF($D$7="X", IF('Calculs Péremption FA'!BB23="ND", "", IF('Calculs Péremption FA'!BC23="OK", "OK", CONCATENATE('TRAD-Quanti et TdB Péremptions'!$B$95, ROUNDUP('Calculs Péremption FA'!BB23, 0), " ", 'TRAD-Quanti et TdB Péremptions'!$B$96, ROUNDUP('Calculs Péremption FA'!BD23, 0), " US$"))), IF($D$6="X", IF('Calculs Péremption conso'!BB23="ND", "", IF('Calculs Péremption conso'!BC23="OK", "OK", CONCATENATE('TRAD-Quanti et TdB Péremptions'!$B$95, ROUNDUP('Calculs Péremption conso'!BB23, 0), " ", 'TRAD-Quanti et TdB Péremptions'!$B$96, ROUNDUP('Calculs Péremption conso'!BD23, 0), " US$"))), "ND"))</f>
        <v/>
      </c>
      <c r="M58" s="768" t="str">
        <f>IF('Saisie données stocks'!AA35="", "", 'Saisie données stocks'!AA35)</f>
        <v/>
      </c>
      <c r="N58" s="769" t="str">
        <f>IF($D$7="X", IF('Calculs Péremption FA'!BJ23="ND", "", IF('Calculs Péremption FA'!BK23="OK", "OK", CONCATENATE('TRAD-Quanti et TdB Péremptions'!$B$95, ROUNDUP('Calculs Péremption FA'!BJ23, 0), " ", 'TRAD-Quanti et TdB Péremptions'!$B$96, ROUNDUP('Calculs Péremption FA'!BL23, 0), " US$"))), IF($D$6="X", IF('Calculs Péremption conso'!BJ23="ND", "", IF('Calculs Péremption conso'!BK23="OK", "OK", CONCATENATE('TRAD-Quanti et TdB Péremptions'!$B$95, ROUNDUP('Calculs Péremption conso'!BJ23, 0), " ", 'TRAD-Quanti et TdB Péremptions'!$B$96, ROUNDUP('Calculs Péremption conso'!BL23, 0), " US$"))), "ND"))</f>
        <v/>
      </c>
      <c r="O58" s="768" t="str">
        <f>IF('Saisie données stocks'!AC35="", "", 'Saisie données stocks'!AC35)</f>
        <v/>
      </c>
      <c r="P58" s="769" t="str">
        <f>IF($D$7="X", IF('Calculs Péremption FA'!BR23="ND", "", IF('Calculs Péremption FA'!BS23="OK", "OK", CONCATENATE('TRAD-Quanti et TdB Péremptions'!$B$95, ROUNDUP('Calculs Péremption FA'!BR23, 0), " ", 'TRAD-Quanti et TdB Péremptions'!$B$96, ROUNDUP('Calculs Péremption FA'!BT23, 0), " US$"))), IF($D$6="X", IF('Calculs Péremption conso'!BR23="ND", "", IF('Calculs Péremption conso'!BS23="OK", "OK", CONCATENATE('TRAD-Quanti et TdB Péremptions'!$B$95, ROUNDUP('Calculs Péremption conso'!BR23, 0), " ", 'TRAD-Quanti et TdB Péremptions'!$B$96, ROUNDUP('Calculs Péremption conso'!BT23, 0), " US$"))), "ND"))</f>
        <v/>
      </c>
    </row>
    <row r="59" spans="2:16" x14ac:dyDescent="0.2">
      <c r="B59" s="774" t="str">
        <f>CONCATENATE('Calculs Péremption FA'!D24, " - ", 'Calculs Péremption FA'!F24, " - ", 'Calculs Péremption FA'!E24, " - B/", 'Calculs Péremption FA'!I24)</f>
        <v>EFV - 600 mg - Cp - B/30</v>
      </c>
      <c r="C59" s="771"/>
      <c r="D59" s="772"/>
      <c r="E59" s="771"/>
      <c r="F59" s="772"/>
      <c r="G59" s="771"/>
      <c r="H59" s="772"/>
      <c r="I59" s="771"/>
      <c r="J59" s="772"/>
      <c r="K59" s="771"/>
      <c r="L59" s="772"/>
      <c r="M59" s="771"/>
      <c r="N59" s="772"/>
      <c r="O59" s="771"/>
      <c r="P59" s="772"/>
    </row>
    <row r="60" spans="2:16" ht="36" customHeight="1" x14ac:dyDescent="0.2">
      <c r="B60" s="2550" t="str">
        <f>IF('Calculs Péremption FA'!P24="OK", "", 'TRAD-Quanti et TdB Péremptions'!$B$97)</f>
        <v/>
      </c>
      <c r="C60" s="768">
        <f>IF('Saisie données stocks'!Q36="", "", 'Saisie données stocks'!Q36)</f>
        <v>42370</v>
      </c>
      <c r="D60" s="769" t="str">
        <f>IF($D$7="X", IF('Calculs Péremption FA'!V24="ND", "", IF('Calculs Péremption FA'!W24="OK", "OK", CONCATENATE('TRAD-Quanti et TdB Péremptions'!$B$95, ROUNDUP('Calculs Péremption FA'!V24, 0), " ", 'TRAD-Quanti et TdB Péremptions'!$B$96, ROUNDUP('Calculs Péremption FA'!X24, 0), " US$"))), IF($D$6="X", IF('Calculs Péremption conso'!V24="ND", "", IF('Calculs Péremption conso'!W24="OK", "OK", CONCATENATE('TRAD-Quanti et TdB Péremptions'!$B$95, ROUNDUP('Calculs Péremption conso'!V24, 0), " ", 'TRAD-Quanti et TdB Péremptions'!$B$96, ROUNDUP('Calculs Péremption conso'!X24, 0), " US$"))), "ND"))</f>
        <v>OK</v>
      </c>
      <c r="E60" s="768">
        <f>IF('Saisie données stocks'!S36="", "", 'Saisie données stocks'!S36)</f>
        <v>42461</v>
      </c>
      <c r="F60" s="769" t="str">
        <f>IF($D$7="X", IF('Calculs Péremption FA'!AD24="ND", "", IF('Calculs Péremption FA'!AE24="OK", "OK", CONCATENATE('TRAD-Quanti et TdB Péremptions'!$B$95, ROUNDUP('Calculs Péremption FA'!AD24, 0), " ", 'TRAD-Quanti et TdB Péremptions'!$B$96, ROUNDUP('Calculs Péremption FA'!AF24, 0), " US$"))), IF($D$6="X", IF('Calculs Péremption conso'!AD24="ND", "", IF('Calculs Péremption conso'!AE24="OK", "OK", CONCATENATE('TRAD-Quanti et TdB Péremptions'!$B$95, ROUNDUP('Calculs Péremption conso'!AD24, 0), " ", 'TRAD-Quanti et TdB Péremptions'!$B$96, ROUNDUP('Calculs Péremption conso'!AF24, 0), " US$"))), "ND"))</f>
        <v>OK</v>
      </c>
      <c r="G60" s="768">
        <f>IF('Saisie données stocks'!U36="", "", 'Saisie données stocks'!U36)</f>
        <v>42552</v>
      </c>
      <c r="H60" s="769" t="str">
        <f>IF($D$7="X", IF('Calculs Péremption FA'!AL24="ND", "", IF('Calculs Péremption FA'!AM24="OK", "OK", CONCATENATE('TRAD-Quanti et TdB Péremptions'!$B$95, ROUNDUP('Calculs Péremption FA'!AL24, 0), " ", 'TRAD-Quanti et TdB Péremptions'!$B$96, ROUNDUP('Calculs Péremption FA'!AN24, 0), " US$"))), IF($D$6="X", IF('Calculs Péremption conso'!AL24="ND", "", IF('Calculs Péremption conso'!AM24="OK", "OK", CONCATENATE('TRAD-Quanti et TdB Péremptions'!$B$95, ROUNDUP('Calculs Péremption conso'!AL24, 0), " ", 'TRAD-Quanti et TdB Péremptions'!$B$96, ROUNDUP('Calculs Péremption conso'!AN24, 0), " US$"))), "ND"))</f>
        <v>OK</v>
      </c>
      <c r="I60" s="768" t="str">
        <f>IF('Saisie données stocks'!W36="", "", 'Saisie données stocks'!W36)</f>
        <v/>
      </c>
      <c r="J60" s="769" t="str">
        <f>IF($D$7="X", IF('Calculs Péremption FA'!AT24="ND", "", IF('Calculs Péremption FA'!AU24="OK", "OK", CONCATENATE('TRAD-Quanti et TdB Péremptions'!$B$95, ROUNDUP('Calculs Péremption FA'!AT24, 0), " ", 'TRAD-Quanti et TdB Péremptions'!$B$96, ROUNDUP('Calculs Péremption FA'!AV24, 0), " US$"))), IF($D$6="X", IF('Calculs Péremption conso'!AT24="ND", "", IF('Calculs Péremption conso'!AU24="OK", "OK", CONCATENATE('TRAD-Quanti et TdB Péremptions'!$B$95, ROUNDUP('Calculs Péremption conso'!AT24, 0), " ", 'TRAD-Quanti et TdB Péremptions'!$B$96, ROUNDUP('Calculs Péremption conso'!AV24, 0), " US$"))), "ND"))</f>
        <v/>
      </c>
      <c r="K60" s="768" t="str">
        <f>IF('Saisie données stocks'!Y36="", "", 'Saisie données stocks'!Y36)</f>
        <v/>
      </c>
      <c r="L60" s="769" t="str">
        <f>IF($D$7="X", IF('Calculs Péremption FA'!BB24="ND", "", IF('Calculs Péremption FA'!BC24="OK", "OK", CONCATENATE('TRAD-Quanti et TdB Péremptions'!$B$95, ROUNDUP('Calculs Péremption FA'!BB24, 0), " ", 'TRAD-Quanti et TdB Péremptions'!$B$96, ROUNDUP('Calculs Péremption FA'!BD24, 0), " US$"))), IF($D$6="X", IF('Calculs Péremption conso'!BB24="ND", "", IF('Calculs Péremption conso'!BC24="OK", "OK", CONCATENATE('TRAD-Quanti et TdB Péremptions'!$B$95, ROUNDUP('Calculs Péremption conso'!BB24, 0), " ", 'TRAD-Quanti et TdB Péremptions'!$B$96, ROUNDUP('Calculs Péremption conso'!BD24, 0), " US$"))), "ND"))</f>
        <v/>
      </c>
      <c r="M60" s="768" t="str">
        <f>IF('Saisie données stocks'!AA36="", "", 'Saisie données stocks'!AA36)</f>
        <v/>
      </c>
      <c r="N60" s="769" t="str">
        <f>IF($D$7="X", IF('Calculs Péremption FA'!BJ24="ND", "", IF('Calculs Péremption FA'!BK24="OK", "OK", CONCATENATE('TRAD-Quanti et TdB Péremptions'!$B$95, ROUNDUP('Calculs Péremption FA'!BJ24, 0), " ", 'TRAD-Quanti et TdB Péremptions'!$B$96, ROUNDUP('Calculs Péremption FA'!BL24, 0), " US$"))), IF($D$6="X", IF('Calculs Péremption conso'!BJ24="ND", "", IF('Calculs Péremption conso'!BK24="OK", "OK", CONCATENATE('TRAD-Quanti et TdB Péremptions'!$B$95, ROUNDUP('Calculs Péremption conso'!BJ24, 0), " ", 'TRAD-Quanti et TdB Péremptions'!$B$96, ROUNDUP('Calculs Péremption conso'!BL24, 0), " US$"))), "ND"))</f>
        <v/>
      </c>
      <c r="O60" s="768" t="str">
        <f>IF('Saisie données stocks'!AC36="", "", 'Saisie données stocks'!AC36)</f>
        <v/>
      </c>
      <c r="P60" s="769" t="str">
        <f>IF($D$7="X", IF('Calculs Péremption FA'!BR24="ND", "", IF('Calculs Péremption FA'!BS24="OK", "OK", CONCATENATE('TRAD-Quanti et TdB Péremptions'!$B$95, ROUNDUP('Calculs Péremption FA'!BR24, 0), " ", 'TRAD-Quanti et TdB Péremptions'!$B$96, ROUNDUP('Calculs Péremption FA'!BT24, 0), " US$"))), IF($D$6="X", IF('Calculs Péremption conso'!BR24="ND", "", IF('Calculs Péremption conso'!BS24="OK", "OK", CONCATENATE('TRAD-Quanti et TdB Péremptions'!$B$95, ROUNDUP('Calculs Péremption conso'!BR24, 0), " ", 'TRAD-Quanti et TdB Péremptions'!$B$96, ROUNDUP('Calculs Péremption conso'!BT24, 0), " US$"))), "ND"))</f>
        <v/>
      </c>
    </row>
    <row r="61" spans="2:16" x14ac:dyDescent="0.2">
      <c r="B61" s="774" t="str">
        <f>CONCATENATE('Calculs Péremption FA'!D25, " - ", 'Calculs Péremption FA'!F25, " - ", 'Calculs Péremption FA'!E25, " - B/", 'Calculs Péremption FA'!I25)</f>
        <v>ETV - 200 mg - Cp - B/</v>
      </c>
      <c r="C61" s="771"/>
      <c r="D61" s="772"/>
      <c r="E61" s="771"/>
      <c r="F61" s="772"/>
      <c r="G61" s="771"/>
      <c r="H61" s="772"/>
      <c r="I61" s="771"/>
      <c r="J61" s="772"/>
      <c r="K61" s="771"/>
      <c r="L61" s="772"/>
      <c r="M61" s="771"/>
      <c r="N61" s="772"/>
      <c r="O61" s="771"/>
      <c r="P61" s="772"/>
    </row>
    <row r="62" spans="2:16" ht="36" customHeight="1" x14ac:dyDescent="0.2">
      <c r="B62" s="767" t="str">
        <f>IF('Calculs Péremption FA'!P25="OK", "", 'TRAD-Quanti et TdB Péremptions'!$B$97)</f>
        <v/>
      </c>
      <c r="C62" s="768" t="str">
        <f>IF('Saisie données stocks'!Q37="", "", 'Saisie données stocks'!Q37)</f>
        <v/>
      </c>
      <c r="D62" s="769" t="str">
        <f>IF($D$7="X", IF('Calculs Péremption FA'!V25="ND", "", IF('Calculs Péremption FA'!W25="OK", "OK", CONCATENATE('TRAD-Quanti et TdB Péremptions'!$B$95, ROUNDUP('Calculs Péremption FA'!V25, 0), " ", 'TRAD-Quanti et TdB Péremptions'!$B$96, ROUNDUP('Calculs Péremption FA'!X25, 0), " US$"))), IF($D$6="X", IF('Calculs Péremption conso'!V25="ND", "", IF('Calculs Péremption conso'!W25="OK", "OK", CONCATENATE('TRAD-Quanti et TdB Péremptions'!$B$95, ROUNDUP('Calculs Péremption conso'!V25, 0), " ", 'TRAD-Quanti et TdB Péremptions'!$B$96, ROUNDUP('Calculs Péremption conso'!X25, 0), " US$"))), "ND"))</f>
        <v/>
      </c>
      <c r="E62" s="768" t="str">
        <f>IF('Saisie données stocks'!S37="", "", 'Saisie données stocks'!S37)</f>
        <v/>
      </c>
      <c r="F62" s="769" t="str">
        <f>IF($D$7="X", IF('Calculs Péremption FA'!AD25="ND", "", IF('Calculs Péremption FA'!AE25="OK", "OK", CONCATENATE('TRAD-Quanti et TdB Péremptions'!$B$95, ROUNDUP('Calculs Péremption FA'!AD25, 0), " ", 'TRAD-Quanti et TdB Péremptions'!$B$96, ROUNDUP('Calculs Péremption FA'!AF25, 0), " US$"))), IF($D$6="X", IF('Calculs Péremption conso'!AD25="ND", "", IF('Calculs Péremption conso'!AE25="OK", "OK", CONCATENATE('TRAD-Quanti et TdB Péremptions'!$B$95, ROUNDUP('Calculs Péremption conso'!AD25, 0), " ", 'TRAD-Quanti et TdB Péremptions'!$B$96, ROUNDUP('Calculs Péremption conso'!AF25, 0), " US$"))), "ND"))</f>
        <v/>
      </c>
      <c r="G62" s="768" t="str">
        <f>IF('Saisie données stocks'!U37="", "", 'Saisie données stocks'!U37)</f>
        <v/>
      </c>
      <c r="H62" s="769" t="str">
        <f>IF($D$7="X", IF('Calculs Péremption FA'!AL25="ND", "", IF('Calculs Péremption FA'!AM25="OK", "OK", CONCATENATE('TRAD-Quanti et TdB Péremptions'!$B$95, ROUNDUP('Calculs Péremption FA'!AL25, 0), " ", 'TRAD-Quanti et TdB Péremptions'!$B$96, ROUNDUP('Calculs Péremption FA'!AN25, 0), " US$"))), IF($D$6="X", IF('Calculs Péremption conso'!AL25="ND", "", IF('Calculs Péremption conso'!AM25="OK", "OK", CONCATENATE('TRAD-Quanti et TdB Péremptions'!$B$95, ROUNDUP('Calculs Péremption conso'!AL25, 0), " ", 'TRAD-Quanti et TdB Péremptions'!$B$96, ROUNDUP('Calculs Péremption conso'!AN25, 0), " US$"))), "ND"))</f>
        <v/>
      </c>
      <c r="I62" s="768" t="str">
        <f>IF('Saisie données stocks'!W37="", "", 'Saisie données stocks'!W37)</f>
        <v/>
      </c>
      <c r="J62" s="769" t="str">
        <f>IF($D$7="X", IF('Calculs Péremption FA'!AT25="ND", "", IF('Calculs Péremption FA'!AU25="OK", "OK", CONCATENATE('TRAD-Quanti et TdB Péremptions'!$B$95, ROUNDUP('Calculs Péremption FA'!AT25, 0), " ", 'TRAD-Quanti et TdB Péremptions'!$B$96, ROUNDUP('Calculs Péremption FA'!AV25, 0), " US$"))), IF($D$6="X", IF('Calculs Péremption conso'!AT25="ND", "", IF('Calculs Péremption conso'!AU25="OK", "OK", CONCATENATE('TRAD-Quanti et TdB Péremptions'!$B$95, ROUNDUP('Calculs Péremption conso'!AT25, 0), " ", 'TRAD-Quanti et TdB Péremptions'!$B$96, ROUNDUP('Calculs Péremption conso'!AV25, 0), " US$"))), "ND"))</f>
        <v/>
      </c>
      <c r="K62" s="768" t="str">
        <f>IF('Saisie données stocks'!Y37="", "", 'Saisie données stocks'!Y37)</f>
        <v/>
      </c>
      <c r="L62" s="769" t="str">
        <f>IF($D$7="X", IF('Calculs Péremption FA'!BB25="ND", "", IF('Calculs Péremption FA'!BC25="OK", "OK", CONCATENATE('TRAD-Quanti et TdB Péremptions'!$B$95, ROUNDUP('Calculs Péremption FA'!BB25, 0), " ", 'TRAD-Quanti et TdB Péremptions'!$B$96, ROUNDUP('Calculs Péremption FA'!BD25, 0), " US$"))), IF($D$6="X", IF('Calculs Péremption conso'!BB25="ND", "", IF('Calculs Péremption conso'!BC25="OK", "OK", CONCATENATE('TRAD-Quanti et TdB Péremptions'!$B$95, ROUNDUP('Calculs Péremption conso'!BB25, 0), " ", 'TRAD-Quanti et TdB Péremptions'!$B$96, ROUNDUP('Calculs Péremption conso'!BD25, 0), " US$"))), "ND"))</f>
        <v/>
      </c>
      <c r="M62" s="768" t="str">
        <f>IF('Saisie données stocks'!AA37="", "", 'Saisie données stocks'!AA37)</f>
        <v/>
      </c>
      <c r="N62" s="769" t="str">
        <f>IF($D$7="X", IF('Calculs Péremption FA'!BJ25="ND", "", IF('Calculs Péremption FA'!BK25="OK", "OK", CONCATENATE('TRAD-Quanti et TdB Péremptions'!$B$95, ROUNDUP('Calculs Péremption FA'!BJ25, 0), " ", 'TRAD-Quanti et TdB Péremptions'!$B$96, ROUNDUP('Calculs Péremption FA'!BL25, 0), " US$"))), IF($D$6="X", IF('Calculs Péremption conso'!BJ25="ND", "", IF('Calculs Péremption conso'!BK25="OK", "OK", CONCATENATE('TRAD-Quanti et TdB Péremptions'!$B$95, ROUNDUP('Calculs Péremption conso'!BJ25, 0), " ", 'TRAD-Quanti et TdB Péremptions'!$B$96, ROUNDUP('Calculs Péremption conso'!BL25, 0), " US$"))), "ND"))</f>
        <v/>
      </c>
      <c r="O62" s="768" t="str">
        <f>IF('Saisie données stocks'!AC37="", "", 'Saisie données stocks'!AC37)</f>
        <v/>
      </c>
      <c r="P62" s="769" t="str">
        <f>IF($D$7="X", IF('Calculs Péremption FA'!BR25="ND", "", IF('Calculs Péremption FA'!BS25="OK", "OK", CONCATENATE('TRAD-Quanti et TdB Péremptions'!$B$95, ROUNDUP('Calculs Péremption FA'!BR25, 0), " ", 'TRAD-Quanti et TdB Péremptions'!$B$96, ROUNDUP('Calculs Péremption FA'!BT25, 0), " US$"))), IF($D$6="X", IF('Calculs Péremption conso'!BR25="ND", "", IF('Calculs Péremption conso'!BS25="OK", "OK", CONCATENATE('TRAD-Quanti et TdB Péremptions'!$B$95, ROUNDUP('Calculs Péremption conso'!BR25, 0), " ", 'TRAD-Quanti et TdB Péremptions'!$B$96, ROUNDUP('Calculs Péremption conso'!BT25, 0), " US$"))), "ND"))</f>
        <v/>
      </c>
    </row>
    <row r="63" spans="2:16" x14ac:dyDescent="0.2">
      <c r="B63" s="774" t="str">
        <f>CONCATENATE('Calculs Péremption FA'!D26, " - ", 'Calculs Péremption FA'!F26, " - ", 'Calculs Péremption FA'!E26, " - B/", 'Calculs Péremption FA'!I26)</f>
        <v>NVP - 200 mg - Cp - B/60</v>
      </c>
      <c r="C63" s="771"/>
      <c r="D63" s="772"/>
      <c r="E63" s="771"/>
      <c r="F63" s="772"/>
      <c r="G63" s="771"/>
      <c r="H63" s="772"/>
      <c r="I63" s="771"/>
      <c r="J63" s="772"/>
      <c r="K63" s="771"/>
      <c r="L63" s="772"/>
      <c r="M63" s="771"/>
      <c r="N63" s="772"/>
      <c r="O63" s="771"/>
      <c r="P63" s="772"/>
    </row>
    <row r="64" spans="2:16" ht="36" customHeight="1" x14ac:dyDescent="0.2">
      <c r="B64" s="767" t="str">
        <f>IF('Calculs Péremption FA'!P26="OK", "", 'TRAD-Quanti et TdB Péremptions'!$B$97)</f>
        <v/>
      </c>
      <c r="C64" s="768" t="str">
        <f>IF('Saisie données stocks'!Q38="", "", 'Saisie données stocks'!Q38)</f>
        <v/>
      </c>
      <c r="D64" s="769" t="str">
        <f>IF($D$7="X", IF('Calculs Péremption FA'!V26="ND", "", IF('Calculs Péremption FA'!W26="OK", "OK", CONCATENATE('TRAD-Quanti et TdB Péremptions'!$B$95, ROUNDUP('Calculs Péremption FA'!V26, 0), " ", 'TRAD-Quanti et TdB Péremptions'!$B$96, ROUNDUP('Calculs Péremption FA'!X26, 0), " US$"))), IF($D$6="X", IF('Calculs Péremption conso'!V26="ND", "", IF('Calculs Péremption conso'!W26="OK", "OK", CONCATENATE('TRAD-Quanti et TdB Péremptions'!$B$95, ROUNDUP('Calculs Péremption conso'!V26, 0), " ", 'TRAD-Quanti et TdB Péremptions'!$B$96, ROUNDUP('Calculs Péremption conso'!X26, 0), " US$"))), "ND"))</f>
        <v/>
      </c>
      <c r="E64" s="768" t="str">
        <f>IF('Saisie données stocks'!S38="", "", 'Saisie données stocks'!S38)</f>
        <v/>
      </c>
      <c r="F64" s="769" t="str">
        <f>IF($D$7="X", IF('Calculs Péremption FA'!AD26="ND", "", IF('Calculs Péremption FA'!AE26="OK", "OK", CONCATENATE('TRAD-Quanti et TdB Péremptions'!$B$95, ROUNDUP('Calculs Péremption FA'!AD26, 0), " ", 'TRAD-Quanti et TdB Péremptions'!$B$96, ROUNDUP('Calculs Péremption FA'!AF26, 0), " US$"))), IF($D$6="X", IF('Calculs Péremption conso'!AD26="ND", "", IF('Calculs Péremption conso'!AE26="OK", "OK", CONCATENATE('TRAD-Quanti et TdB Péremptions'!$B$95, ROUNDUP('Calculs Péremption conso'!AD26, 0), " ", 'TRAD-Quanti et TdB Péremptions'!$B$96, ROUNDUP('Calculs Péremption conso'!AF26, 0), " US$"))), "ND"))</f>
        <v/>
      </c>
      <c r="G64" s="768" t="str">
        <f>IF('Saisie données stocks'!U38="", "", 'Saisie données stocks'!U38)</f>
        <v/>
      </c>
      <c r="H64" s="769" t="str">
        <f>IF($D$7="X", IF('Calculs Péremption FA'!AL26="ND", "", IF('Calculs Péremption FA'!AM26="OK", "OK", CONCATENATE('TRAD-Quanti et TdB Péremptions'!$B$95, ROUNDUP('Calculs Péremption FA'!AL26, 0), " ", 'TRAD-Quanti et TdB Péremptions'!$B$96, ROUNDUP('Calculs Péremption FA'!AN26, 0), " US$"))), IF($D$6="X", IF('Calculs Péremption conso'!AL26="ND", "", IF('Calculs Péremption conso'!AM26="OK", "OK", CONCATENATE('TRAD-Quanti et TdB Péremptions'!$B$95, ROUNDUP('Calculs Péremption conso'!AL26, 0), " ", 'TRAD-Quanti et TdB Péremptions'!$B$96, ROUNDUP('Calculs Péremption conso'!AN26, 0), " US$"))), "ND"))</f>
        <v/>
      </c>
      <c r="I64" s="768" t="str">
        <f>IF('Saisie données stocks'!W38="", "", 'Saisie données stocks'!W38)</f>
        <v/>
      </c>
      <c r="J64" s="769" t="str">
        <f>IF($D$7="X", IF('Calculs Péremption FA'!AT26="ND", "", IF('Calculs Péremption FA'!AU26="OK", "OK", CONCATENATE('TRAD-Quanti et TdB Péremptions'!$B$95, ROUNDUP('Calculs Péremption FA'!AT26, 0), " ", 'TRAD-Quanti et TdB Péremptions'!$B$96, ROUNDUP('Calculs Péremption FA'!AV26, 0), " US$"))), IF($D$6="X", IF('Calculs Péremption conso'!AT26="ND", "", IF('Calculs Péremption conso'!AU26="OK", "OK", CONCATENATE('TRAD-Quanti et TdB Péremptions'!$B$95, ROUNDUP('Calculs Péremption conso'!AT26, 0), " ", 'TRAD-Quanti et TdB Péremptions'!$B$96, ROUNDUP('Calculs Péremption conso'!AV26, 0), " US$"))), "ND"))</f>
        <v/>
      </c>
      <c r="K64" s="768" t="str">
        <f>IF('Saisie données stocks'!Y38="", "", 'Saisie données stocks'!Y38)</f>
        <v/>
      </c>
      <c r="L64" s="769" t="str">
        <f>IF($D$7="X", IF('Calculs Péremption FA'!BB26="ND", "", IF('Calculs Péremption FA'!BC26="OK", "OK", CONCATENATE('TRAD-Quanti et TdB Péremptions'!$B$95, ROUNDUP('Calculs Péremption FA'!BB26, 0), " ", 'TRAD-Quanti et TdB Péremptions'!$B$96, ROUNDUP('Calculs Péremption FA'!BD26, 0), " US$"))), IF($D$6="X", IF('Calculs Péremption conso'!BB26="ND", "", IF('Calculs Péremption conso'!BC26="OK", "OK", CONCATENATE('TRAD-Quanti et TdB Péremptions'!$B$95, ROUNDUP('Calculs Péremption conso'!BB26, 0), " ", 'TRAD-Quanti et TdB Péremptions'!$B$96, ROUNDUP('Calculs Péremption conso'!BD26, 0), " US$"))), "ND"))</f>
        <v/>
      </c>
      <c r="M64" s="768" t="str">
        <f>IF('Saisie données stocks'!AA38="", "", 'Saisie données stocks'!AA38)</f>
        <v/>
      </c>
      <c r="N64" s="769" t="str">
        <f>IF($D$7="X", IF('Calculs Péremption FA'!BJ26="ND", "", IF('Calculs Péremption FA'!BK26="OK", "OK", CONCATENATE('TRAD-Quanti et TdB Péremptions'!$B$95, ROUNDUP('Calculs Péremption FA'!BJ26, 0), " ", 'TRAD-Quanti et TdB Péremptions'!$B$96, ROUNDUP('Calculs Péremption FA'!BL26, 0), " US$"))), IF($D$6="X", IF('Calculs Péremption conso'!BJ26="ND", "", IF('Calculs Péremption conso'!BK26="OK", "OK", CONCATENATE('TRAD-Quanti et TdB Péremptions'!$B$95, ROUNDUP('Calculs Péremption conso'!BJ26, 0), " ", 'TRAD-Quanti et TdB Péremptions'!$B$96, ROUNDUP('Calculs Péremption conso'!BL26, 0), " US$"))), "ND"))</f>
        <v/>
      </c>
      <c r="O64" s="768" t="str">
        <f>IF('Saisie données stocks'!AC38="", "", 'Saisie données stocks'!AC38)</f>
        <v/>
      </c>
      <c r="P64" s="769" t="str">
        <f>IF($D$7="X", IF('Calculs Péremption FA'!BR26="ND", "", IF('Calculs Péremption FA'!BS26="OK", "OK", CONCATENATE('TRAD-Quanti et TdB Péremptions'!$B$95, ROUNDUP('Calculs Péremption FA'!BR26, 0), " ", 'TRAD-Quanti et TdB Péremptions'!$B$96, ROUNDUP('Calculs Péremption FA'!BT26, 0), " US$"))), IF($D$6="X", IF('Calculs Péremption conso'!BR26="ND", "", IF('Calculs Péremption conso'!BS26="OK", "OK", CONCATENATE('TRAD-Quanti et TdB Péremptions'!$B$95, ROUNDUP('Calculs Péremption conso'!BR26, 0), " ", 'TRAD-Quanti et TdB Péremptions'!$B$96, ROUNDUP('Calculs Péremption conso'!BT26, 0), " US$"))), "ND"))</f>
        <v/>
      </c>
    </row>
    <row r="65" spans="2:16" x14ac:dyDescent="0.2">
      <c r="B65" s="774" t="str">
        <f>CONCATENATE('Calculs Péremption FA'!D27, " - ", 'Calculs Péremption FA'!F27, " - ", 'Calculs Péremption FA'!E27, " - B/", 'Calculs Péremption FA'!I27)</f>
        <v>RPV - 25 mg - Cp - B/</v>
      </c>
      <c r="C65" s="771"/>
      <c r="D65" s="772"/>
      <c r="E65" s="771"/>
      <c r="F65" s="772"/>
      <c r="G65" s="771"/>
      <c r="H65" s="772"/>
      <c r="I65" s="771"/>
      <c r="J65" s="772"/>
      <c r="K65" s="771"/>
      <c r="L65" s="772"/>
      <c r="M65" s="771"/>
      <c r="N65" s="772"/>
      <c r="O65" s="771"/>
      <c r="P65" s="772"/>
    </row>
    <row r="66" spans="2:16" ht="36" customHeight="1" thickBot="1" x14ac:dyDescent="0.25">
      <c r="B66" s="760" t="str">
        <f>IF('Calculs Péremption FA'!P27="OK", "", 'TRAD-Quanti et TdB Péremptions'!$B$97)</f>
        <v/>
      </c>
      <c r="C66" s="762" t="str">
        <f>IF('Saisie données stocks'!Q39="", "", 'Saisie données stocks'!Q39)</f>
        <v/>
      </c>
      <c r="D66" s="763" t="str">
        <f>IF($D$7="X", IF('Calculs Péremption FA'!V27="ND", "", IF('Calculs Péremption FA'!W27="OK", "OK", CONCATENATE('TRAD-Quanti et TdB Péremptions'!$B$95, ROUNDUP('Calculs Péremption FA'!V27, 0), " ", 'TRAD-Quanti et TdB Péremptions'!$B$96, ROUNDUP('Calculs Péremption FA'!X27, 0), " US$"))), IF($D$6="X", IF('Calculs Péremption conso'!V27="ND", "", IF('Calculs Péremption conso'!W27="OK", "OK", CONCATENATE('TRAD-Quanti et TdB Péremptions'!$B$95, ROUNDUP('Calculs Péremption conso'!V27, 0), " ", 'TRAD-Quanti et TdB Péremptions'!$B$96, ROUNDUP('Calculs Péremption conso'!X27, 0), " US$"))), "ND"))</f>
        <v/>
      </c>
      <c r="E66" s="762" t="str">
        <f>IF('Saisie données stocks'!S39="", "", 'Saisie données stocks'!S39)</f>
        <v/>
      </c>
      <c r="F66" s="763" t="str">
        <f>IF($D$7="X", IF('Calculs Péremption FA'!AD27="ND", "", IF('Calculs Péremption FA'!AE27="OK", "OK", CONCATENATE('TRAD-Quanti et TdB Péremptions'!$B$95, ROUNDUP('Calculs Péremption FA'!AD27, 0), " ", 'TRAD-Quanti et TdB Péremptions'!$B$96, ROUNDUP('Calculs Péremption FA'!AF27, 0), " US$"))), IF($D$6="X", IF('Calculs Péremption conso'!AD27="ND", "", IF('Calculs Péremption conso'!AE27="OK", "OK", CONCATENATE('TRAD-Quanti et TdB Péremptions'!$B$95, ROUNDUP('Calculs Péremption conso'!AD27, 0), " ", 'TRAD-Quanti et TdB Péremptions'!$B$96, ROUNDUP('Calculs Péremption conso'!AF27, 0), " US$"))), "ND"))</f>
        <v/>
      </c>
      <c r="G66" s="762" t="str">
        <f>IF('Saisie données stocks'!U39="", "", 'Saisie données stocks'!U39)</f>
        <v/>
      </c>
      <c r="H66" s="763" t="str">
        <f>IF($D$7="X", IF('Calculs Péremption FA'!AL27="ND", "", IF('Calculs Péremption FA'!AM27="OK", "OK", CONCATENATE('TRAD-Quanti et TdB Péremptions'!$B$95, ROUNDUP('Calculs Péremption FA'!AL27, 0), " ", 'TRAD-Quanti et TdB Péremptions'!$B$96, ROUNDUP('Calculs Péremption FA'!AN27, 0), " US$"))), IF($D$6="X", IF('Calculs Péremption conso'!AL27="ND", "", IF('Calculs Péremption conso'!AM27="OK", "OK", CONCATENATE('TRAD-Quanti et TdB Péremptions'!$B$95, ROUNDUP('Calculs Péremption conso'!AL27, 0), " ", 'TRAD-Quanti et TdB Péremptions'!$B$96, ROUNDUP('Calculs Péremption conso'!AN27, 0), " US$"))), "ND"))</f>
        <v/>
      </c>
      <c r="I66" s="762" t="str">
        <f>IF('Saisie données stocks'!W39="", "", 'Saisie données stocks'!W39)</f>
        <v/>
      </c>
      <c r="J66" s="763" t="str">
        <f>IF($D$7="X", IF('Calculs Péremption FA'!AT27="ND", "", IF('Calculs Péremption FA'!AU27="OK", "OK", CONCATENATE('TRAD-Quanti et TdB Péremptions'!$B$95, ROUNDUP('Calculs Péremption FA'!AT27, 0), " ", 'TRAD-Quanti et TdB Péremptions'!$B$96, ROUNDUP('Calculs Péremption FA'!AV27, 0), " US$"))), IF($D$6="X", IF('Calculs Péremption conso'!AT27="ND", "", IF('Calculs Péremption conso'!AU27="OK", "OK", CONCATENATE('TRAD-Quanti et TdB Péremptions'!$B$95, ROUNDUP('Calculs Péremption conso'!AT27, 0), " ", 'TRAD-Quanti et TdB Péremptions'!$B$96, ROUNDUP('Calculs Péremption conso'!AV27, 0), " US$"))), "ND"))</f>
        <v/>
      </c>
      <c r="K66" s="762" t="str">
        <f>IF('Saisie données stocks'!Y39="", "", 'Saisie données stocks'!Y39)</f>
        <v/>
      </c>
      <c r="L66" s="763" t="str">
        <f>IF($D$7="X", IF('Calculs Péremption FA'!BB27="ND", "", IF('Calculs Péremption FA'!BC27="OK", "OK", CONCATENATE('TRAD-Quanti et TdB Péremptions'!$B$95, ROUNDUP('Calculs Péremption FA'!BB27, 0), " ", 'TRAD-Quanti et TdB Péremptions'!$B$96, ROUNDUP('Calculs Péremption FA'!BD27, 0), " US$"))), IF($D$6="X", IF('Calculs Péremption conso'!BB27="ND", "", IF('Calculs Péremption conso'!BC27="OK", "OK", CONCATENATE('TRAD-Quanti et TdB Péremptions'!$B$95, ROUNDUP('Calculs Péremption conso'!BB27, 0), " ", 'TRAD-Quanti et TdB Péremptions'!$B$96, ROUNDUP('Calculs Péremption conso'!BD27, 0), " US$"))), "ND"))</f>
        <v/>
      </c>
      <c r="M66" s="762" t="str">
        <f>IF('Saisie données stocks'!AA39="", "", 'Saisie données stocks'!AA39)</f>
        <v/>
      </c>
      <c r="N66" s="763" t="str">
        <f>IF($D$7="X", IF('Calculs Péremption FA'!BJ27="ND", "", IF('Calculs Péremption FA'!BK27="OK", "OK", CONCATENATE('TRAD-Quanti et TdB Péremptions'!$B$95, ROUNDUP('Calculs Péremption FA'!BJ27, 0), " ", 'TRAD-Quanti et TdB Péremptions'!$B$96, ROUNDUP('Calculs Péremption FA'!BL27, 0), " US$"))), IF($D$6="X", IF('Calculs Péremption conso'!BJ27="ND", "", IF('Calculs Péremption conso'!BK27="OK", "OK", CONCATENATE('TRAD-Quanti et TdB Péremptions'!$B$95, ROUNDUP('Calculs Péremption conso'!BJ27, 0), " ", 'TRAD-Quanti et TdB Péremptions'!$B$96, ROUNDUP('Calculs Péremption conso'!BL27, 0), " US$"))), "ND"))</f>
        <v/>
      </c>
      <c r="O66" s="762" t="str">
        <f>IF('Saisie données stocks'!AC39="", "", 'Saisie données stocks'!AC39)</f>
        <v/>
      </c>
      <c r="P66" s="763" t="str">
        <f>IF($D$7="X", IF('Calculs Péremption FA'!BR27="ND", "", IF('Calculs Péremption FA'!BS27="OK", "OK", CONCATENATE('TRAD-Quanti et TdB Péremptions'!$B$95, ROUNDUP('Calculs Péremption FA'!BR27, 0), " ", 'TRAD-Quanti et TdB Péremptions'!$B$96, ROUNDUP('Calculs Péremption FA'!BT27, 0), " US$"))), IF($D$6="X", IF('Calculs Péremption conso'!BR27="ND", "", IF('Calculs Péremption conso'!BS27="OK", "OK", CONCATENATE('TRAD-Quanti et TdB Péremptions'!$B$95, ROUNDUP('Calculs Péremption conso'!BR27, 0), " ", 'TRAD-Quanti et TdB Péremptions'!$B$96, ROUNDUP('Calculs Péremption conso'!BT27, 0), " US$"))), "ND"))</f>
        <v/>
      </c>
    </row>
    <row r="67" spans="2:16" x14ac:dyDescent="0.2">
      <c r="B67" s="1809" t="str">
        <f>CONCATENATE('Calculs Péremption FA'!D28, " - ", 'Calculs Péremption FA'!F28, " - ", 'Calculs Péremption FA'!E28, " - B/", 'Calculs Péremption FA'!I28)</f>
        <v>ABC - 300 mg - Cp - B/60</v>
      </c>
      <c r="C67" s="1810"/>
      <c r="D67" s="1811"/>
      <c r="E67" s="1810"/>
      <c r="F67" s="1811"/>
      <c r="G67" s="1810"/>
      <c r="H67" s="1811"/>
      <c r="I67" s="1810"/>
      <c r="J67" s="1811"/>
      <c r="K67" s="1810"/>
      <c r="L67" s="1811"/>
      <c r="M67" s="1810"/>
      <c r="N67" s="1811"/>
      <c r="O67" s="1810"/>
      <c r="P67" s="1811"/>
    </row>
    <row r="68" spans="2:16" ht="36" customHeight="1" x14ac:dyDescent="0.2">
      <c r="B68" s="2550" t="str">
        <f>IF('Calculs Péremption FA'!P28="OK", "", 'TRAD-Quanti et TdB Péremptions'!$B$97)</f>
        <v/>
      </c>
      <c r="C68" s="768">
        <f>IF('Saisie données stocks'!Q40="", "", 'Saisie données stocks'!Q40)</f>
        <v>42036</v>
      </c>
      <c r="D68" s="769" t="str">
        <f>IF($D$7="X", IF('Calculs Péremption FA'!V28="ND", "", IF('Calculs Péremption FA'!W28="OK", "OK", CONCATENATE('TRAD-Quanti et TdB Péremptions'!$B$95, ROUNDUP('Calculs Péremption FA'!V28, 0), " ", 'TRAD-Quanti et TdB Péremptions'!$B$96, ROUNDUP('Calculs Péremption FA'!X28, 0), " US$"))), IF($D$6="X", IF('Calculs Péremption conso'!V28="ND", "", IF('Calculs Péremption conso'!W28="OK", "OK", CONCATENATE('TRAD-Quanti et TdB Péremptions'!$B$95, ROUNDUP('Calculs Péremption conso'!V28, 0), " ", 'TRAD-Quanti et TdB Péremptions'!$B$96, ROUNDUP('Calculs Péremption conso'!X28, 0), " US$"))), "ND"))</f>
        <v>Attention - pertes-1086 Btes - 19991 US$</v>
      </c>
      <c r="E68" s="768" t="str">
        <f>IF('Saisie données stocks'!S40="", "", 'Saisie données stocks'!S40)</f>
        <v/>
      </c>
      <c r="F68" s="769" t="str">
        <f>IF($D$7="X", IF('Calculs Péremption FA'!AD28="ND", "", IF('Calculs Péremption FA'!AE28="OK", "OK", CONCATENATE('TRAD-Quanti et TdB Péremptions'!$B$95, ROUNDUP('Calculs Péremption FA'!AD28, 0), " ", 'TRAD-Quanti et TdB Péremptions'!$B$96, ROUNDUP('Calculs Péremption FA'!AF28, 0), " US$"))), IF($D$6="X", IF('Calculs Péremption conso'!AD28="ND", "", IF('Calculs Péremption conso'!AE28="OK", "OK", CONCATENATE('TRAD-Quanti et TdB Péremptions'!$B$95, ROUNDUP('Calculs Péremption conso'!AD28, 0), " ", 'TRAD-Quanti et TdB Péremptions'!$B$96, ROUNDUP('Calculs Péremption conso'!AF28, 0), " US$"))), "ND"))</f>
        <v/>
      </c>
      <c r="G68" s="768" t="str">
        <f>IF('Saisie données stocks'!U40="", "", 'Saisie données stocks'!U40)</f>
        <v/>
      </c>
      <c r="H68" s="769" t="str">
        <f>IF($D$7="X", IF('Calculs Péremption FA'!AL28="ND", "", IF('Calculs Péremption FA'!AM28="OK", "OK", CONCATENATE('TRAD-Quanti et TdB Péremptions'!$B$95, ROUNDUP('Calculs Péremption FA'!AL28, 0), " ", 'TRAD-Quanti et TdB Péremptions'!$B$96, ROUNDUP('Calculs Péremption FA'!AN28, 0), " US$"))), IF($D$6="X", IF('Calculs Péremption conso'!AL28="ND", "", IF('Calculs Péremption conso'!AM28="OK", "OK", CONCATENATE('TRAD-Quanti et TdB Péremptions'!$B$95, ROUNDUP('Calculs Péremption conso'!AL28, 0), " ", 'TRAD-Quanti et TdB Péremptions'!$B$96, ROUNDUP('Calculs Péremption conso'!AN28, 0), " US$"))), "ND"))</f>
        <v/>
      </c>
      <c r="I68" s="768" t="str">
        <f>IF('Saisie données stocks'!W40="", "", 'Saisie données stocks'!W40)</f>
        <v/>
      </c>
      <c r="J68" s="769" t="str">
        <f>IF($D$7="X", IF('Calculs Péremption FA'!AT28="ND", "", IF('Calculs Péremption FA'!AU28="OK", "OK", CONCATENATE('TRAD-Quanti et TdB Péremptions'!$B$95, ROUNDUP('Calculs Péremption FA'!AT28, 0), " ", 'TRAD-Quanti et TdB Péremptions'!$B$96, ROUNDUP('Calculs Péremption FA'!AV28, 0), " US$"))), IF($D$6="X", IF('Calculs Péremption conso'!AT28="ND", "", IF('Calculs Péremption conso'!AU28="OK", "OK", CONCATENATE('TRAD-Quanti et TdB Péremptions'!$B$95, ROUNDUP('Calculs Péremption conso'!AT28, 0), " ", 'TRAD-Quanti et TdB Péremptions'!$B$96, ROUNDUP('Calculs Péremption conso'!AV28, 0), " US$"))), "ND"))</f>
        <v/>
      </c>
      <c r="K68" s="768" t="str">
        <f>IF('Saisie données stocks'!Y40="", "", 'Saisie données stocks'!Y40)</f>
        <v/>
      </c>
      <c r="L68" s="769" t="str">
        <f>IF($D$7="X", IF('Calculs Péremption FA'!BB28="ND", "", IF('Calculs Péremption FA'!BC28="OK", "OK", CONCATENATE('TRAD-Quanti et TdB Péremptions'!$B$95, ROUNDUP('Calculs Péremption FA'!BB28, 0), " ", 'TRAD-Quanti et TdB Péremptions'!$B$96, ROUNDUP('Calculs Péremption FA'!BD28, 0), " US$"))), IF($D$6="X", IF('Calculs Péremption conso'!BB28="ND", "", IF('Calculs Péremption conso'!BC28="OK", "OK", CONCATENATE('TRAD-Quanti et TdB Péremptions'!$B$95, ROUNDUP('Calculs Péremption conso'!BB28, 0), " ", 'TRAD-Quanti et TdB Péremptions'!$B$96, ROUNDUP('Calculs Péremption conso'!BD28, 0), " US$"))), "ND"))</f>
        <v/>
      </c>
      <c r="M68" s="768" t="str">
        <f>IF('Saisie données stocks'!AA40="", "", 'Saisie données stocks'!AA40)</f>
        <v/>
      </c>
      <c r="N68" s="769" t="str">
        <f>IF($D$7="X", IF('Calculs Péremption FA'!BJ28="ND", "", IF('Calculs Péremption FA'!BK28="OK", "OK", CONCATENATE('TRAD-Quanti et TdB Péremptions'!$B$95, ROUNDUP('Calculs Péremption FA'!BJ28, 0), " ", 'TRAD-Quanti et TdB Péremptions'!$B$96, ROUNDUP('Calculs Péremption FA'!BL28, 0), " US$"))), IF($D$6="X", IF('Calculs Péremption conso'!BJ28="ND", "", IF('Calculs Péremption conso'!BK28="OK", "OK", CONCATENATE('TRAD-Quanti et TdB Péremptions'!$B$95, ROUNDUP('Calculs Péremption conso'!BJ28, 0), " ", 'TRAD-Quanti et TdB Péremptions'!$B$96, ROUNDUP('Calculs Péremption conso'!BL28, 0), " US$"))), "ND"))</f>
        <v/>
      </c>
      <c r="O68" s="768" t="str">
        <f>IF('Saisie données stocks'!AC40="", "", 'Saisie données stocks'!AC40)</f>
        <v/>
      </c>
      <c r="P68" s="769" t="str">
        <f>IF($D$7="X", IF('Calculs Péremption FA'!BR28="ND", "", IF('Calculs Péremption FA'!BS28="OK", "OK", CONCATENATE('TRAD-Quanti et TdB Péremptions'!$B$95, ROUNDUP('Calculs Péremption FA'!BR28, 0), " ", 'TRAD-Quanti et TdB Péremptions'!$B$96, ROUNDUP('Calculs Péremption FA'!BT28, 0), " US$"))), IF($D$6="X", IF('Calculs Péremption conso'!BR28="ND", "", IF('Calculs Péremption conso'!BS28="OK", "OK", CONCATENATE('TRAD-Quanti et TdB Péremptions'!$B$95, ROUNDUP('Calculs Péremption conso'!BR28, 0), " ", 'TRAD-Quanti et TdB Péremptions'!$B$96, ROUNDUP('Calculs Péremption conso'!BT28, 0), " US$"))), "ND"))</f>
        <v/>
      </c>
    </row>
    <row r="69" spans="2:16" x14ac:dyDescent="0.2">
      <c r="B69" s="774" t="str">
        <f>CONCATENATE('Calculs Péremption FA'!D29, " - ", 'Calculs Péremption FA'!F29, " - ", 'Calculs Péremption FA'!E29, " - B/", 'Calculs Péremption FA'!I29)</f>
        <v>ABC - 60 mg - Cp - B/</v>
      </c>
      <c r="C69" s="771"/>
      <c r="D69" s="772"/>
      <c r="E69" s="771"/>
      <c r="F69" s="772"/>
      <c r="G69" s="771"/>
      <c r="H69" s="772"/>
      <c r="I69" s="771"/>
      <c r="J69" s="772"/>
      <c r="K69" s="771"/>
      <c r="L69" s="772"/>
      <c r="M69" s="771"/>
      <c r="N69" s="772"/>
      <c r="O69" s="771"/>
      <c r="P69" s="772"/>
    </row>
    <row r="70" spans="2:16" ht="36" customHeight="1" x14ac:dyDescent="0.2">
      <c r="B70" s="767" t="str">
        <f>IF('Calculs Péremption FA'!P29="OK", "", 'TRAD-Quanti et TdB Péremptions'!$B$97)</f>
        <v/>
      </c>
      <c r="C70" s="768" t="str">
        <f>IF('Saisie données stocks'!Q41="", "", 'Saisie données stocks'!Q41)</f>
        <v/>
      </c>
      <c r="D70" s="769" t="str">
        <f>IF($D$7="X", IF('Calculs Péremption FA'!V29="ND", "", IF('Calculs Péremption FA'!W29="OK", "OK", CONCATENATE('TRAD-Quanti et TdB Péremptions'!$B$95, ROUNDUP('Calculs Péremption FA'!V29, 0), " ", 'TRAD-Quanti et TdB Péremptions'!$B$96, ROUNDUP('Calculs Péremption FA'!X29, 0), " US$"))), IF($D$6="X", IF('Calculs Péremption conso'!V29="ND", "", IF('Calculs Péremption conso'!W29="OK", "OK", CONCATENATE('TRAD-Quanti et TdB Péremptions'!$B$95, ROUNDUP('Calculs Péremption conso'!V29, 0), " ", 'TRAD-Quanti et TdB Péremptions'!$B$96, ROUNDUP('Calculs Péremption conso'!X29, 0), " US$"))), "ND"))</f>
        <v/>
      </c>
      <c r="E70" s="768" t="str">
        <f>IF('Saisie données stocks'!S41="", "", 'Saisie données stocks'!S41)</f>
        <v/>
      </c>
      <c r="F70" s="769" t="str">
        <f>IF($D$7="X", IF('Calculs Péremption FA'!AD29="ND", "", IF('Calculs Péremption FA'!AE29="OK", "OK", CONCATENATE('TRAD-Quanti et TdB Péremptions'!$B$95, ROUNDUP('Calculs Péremption FA'!AD29, 0), " ", 'TRAD-Quanti et TdB Péremptions'!$B$96, ROUNDUP('Calculs Péremption FA'!AF29, 0), " US$"))), IF($D$6="X", IF('Calculs Péremption conso'!AD29="ND", "", IF('Calculs Péremption conso'!AE29="OK", "OK", CONCATENATE('TRAD-Quanti et TdB Péremptions'!$B$95, ROUNDUP('Calculs Péremption conso'!AD29, 0), " ", 'TRAD-Quanti et TdB Péremptions'!$B$96, ROUNDUP('Calculs Péremption conso'!AF29, 0), " US$"))), "ND"))</f>
        <v/>
      </c>
      <c r="G70" s="768" t="str">
        <f>IF('Saisie données stocks'!U41="", "", 'Saisie données stocks'!U41)</f>
        <v/>
      </c>
      <c r="H70" s="769" t="str">
        <f>IF($D$7="X", IF('Calculs Péremption FA'!AL29="ND", "", IF('Calculs Péremption FA'!AM29="OK", "OK", CONCATENATE('TRAD-Quanti et TdB Péremptions'!$B$95, ROUNDUP('Calculs Péremption FA'!AL29, 0), " ", 'TRAD-Quanti et TdB Péremptions'!$B$96, ROUNDUP('Calculs Péremption FA'!AN29, 0), " US$"))), IF($D$6="X", IF('Calculs Péremption conso'!AL29="ND", "", IF('Calculs Péremption conso'!AM29="OK", "OK", CONCATENATE('TRAD-Quanti et TdB Péremptions'!$B$95, ROUNDUP('Calculs Péremption conso'!AL29, 0), " ", 'TRAD-Quanti et TdB Péremptions'!$B$96, ROUNDUP('Calculs Péremption conso'!AN29, 0), " US$"))), "ND"))</f>
        <v/>
      </c>
      <c r="I70" s="768" t="str">
        <f>IF('Saisie données stocks'!W41="", "", 'Saisie données stocks'!W41)</f>
        <v/>
      </c>
      <c r="J70" s="769" t="str">
        <f>IF($D$7="X", IF('Calculs Péremption FA'!AT29="ND", "", IF('Calculs Péremption FA'!AU29="OK", "OK", CONCATENATE('TRAD-Quanti et TdB Péremptions'!$B$95, ROUNDUP('Calculs Péremption FA'!AT29, 0), " ", 'TRAD-Quanti et TdB Péremptions'!$B$96, ROUNDUP('Calculs Péremption FA'!AV29, 0), " US$"))), IF($D$6="X", IF('Calculs Péremption conso'!AT29="ND", "", IF('Calculs Péremption conso'!AU29="OK", "OK", CONCATENATE('TRAD-Quanti et TdB Péremptions'!$B$95, ROUNDUP('Calculs Péremption conso'!AT29, 0), " ", 'TRAD-Quanti et TdB Péremptions'!$B$96, ROUNDUP('Calculs Péremption conso'!AV29, 0), " US$"))), "ND"))</f>
        <v/>
      </c>
      <c r="K70" s="768" t="str">
        <f>IF('Saisie données stocks'!Y41="", "", 'Saisie données stocks'!Y41)</f>
        <v/>
      </c>
      <c r="L70" s="769" t="str">
        <f>IF($D$7="X", IF('Calculs Péremption FA'!BB29="ND", "", IF('Calculs Péremption FA'!BC29="OK", "OK", CONCATENATE('TRAD-Quanti et TdB Péremptions'!$B$95, ROUNDUP('Calculs Péremption FA'!BB29, 0), " ", 'TRAD-Quanti et TdB Péremptions'!$B$96, ROUNDUP('Calculs Péremption FA'!BD29, 0), " US$"))), IF($D$6="X", IF('Calculs Péremption conso'!BB29="ND", "", IF('Calculs Péremption conso'!BC29="OK", "OK", CONCATENATE('TRAD-Quanti et TdB Péremptions'!$B$95, ROUNDUP('Calculs Péremption conso'!BB29, 0), " ", 'TRAD-Quanti et TdB Péremptions'!$B$96, ROUNDUP('Calculs Péremption conso'!BD29, 0), " US$"))), "ND"))</f>
        <v/>
      </c>
      <c r="M70" s="768" t="str">
        <f>IF('Saisie données stocks'!AA41="", "", 'Saisie données stocks'!AA41)</f>
        <v/>
      </c>
      <c r="N70" s="769" t="str">
        <f>IF($D$7="X", IF('Calculs Péremption FA'!BJ29="ND", "", IF('Calculs Péremption FA'!BK29="OK", "OK", CONCATENATE('TRAD-Quanti et TdB Péremptions'!$B$95, ROUNDUP('Calculs Péremption FA'!BJ29, 0), " ", 'TRAD-Quanti et TdB Péremptions'!$B$96, ROUNDUP('Calculs Péremption FA'!BL29, 0), " US$"))), IF($D$6="X", IF('Calculs Péremption conso'!BJ29="ND", "", IF('Calculs Péremption conso'!BK29="OK", "OK", CONCATENATE('TRAD-Quanti et TdB Péremptions'!$B$95, ROUNDUP('Calculs Péremption conso'!BJ29, 0), " ", 'TRAD-Quanti et TdB Péremptions'!$B$96, ROUNDUP('Calculs Péremption conso'!BL29, 0), " US$"))), "ND"))</f>
        <v/>
      </c>
      <c r="O70" s="768" t="str">
        <f>IF('Saisie données stocks'!AC41="", "", 'Saisie données stocks'!AC41)</f>
        <v/>
      </c>
      <c r="P70" s="769" t="str">
        <f>IF($D$7="X", IF('Calculs Péremption FA'!BR29="ND", "", IF('Calculs Péremption FA'!BS29="OK", "OK", CONCATENATE('TRAD-Quanti et TdB Péremptions'!$B$95, ROUNDUP('Calculs Péremption FA'!BR29, 0), " ", 'TRAD-Quanti et TdB Péremptions'!$B$96, ROUNDUP('Calculs Péremption FA'!BT29, 0), " US$"))), IF($D$6="X", IF('Calculs Péremption conso'!BR29="ND", "", IF('Calculs Péremption conso'!BS29="OK", "OK", CONCATENATE('TRAD-Quanti et TdB Péremptions'!$B$95, ROUNDUP('Calculs Péremption conso'!BR29, 0), " ", 'TRAD-Quanti et TdB Péremptions'!$B$96, ROUNDUP('Calculs Péremption conso'!BT29, 0), " US$"))), "ND"))</f>
        <v/>
      </c>
    </row>
    <row r="71" spans="2:16" x14ac:dyDescent="0.2">
      <c r="B71" s="774" t="str">
        <f>CONCATENATE('Calculs Péremption FA'!D30, " - ", 'Calculs Péremption FA'!F30, " - ", 'Calculs Péremption FA'!E30, " - B/", 'Calculs Péremption FA'!I30)</f>
        <v>AZT - 300 mg - Cp - B/60</v>
      </c>
      <c r="C71" s="771"/>
      <c r="D71" s="772"/>
      <c r="E71" s="771"/>
      <c r="F71" s="772"/>
      <c r="G71" s="771"/>
      <c r="H71" s="772"/>
      <c r="I71" s="771"/>
      <c r="J71" s="772"/>
      <c r="K71" s="771"/>
      <c r="L71" s="772"/>
      <c r="M71" s="771"/>
      <c r="N71" s="772"/>
      <c r="O71" s="771"/>
      <c r="P71" s="772"/>
    </row>
    <row r="72" spans="2:16" ht="36" customHeight="1" x14ac:dyDescent="0.2">
      <c r="B72" s="767" t="str">
        <f>IF('Calculs Péremption FA'!P30="OK", "", 'TRAD-Quanti et TdB Péremptions'!$B$97)</f>
        <v/>
      </c>
      <c r="C72" s="768">
        <f>IF('Saisie données stocks'!Q42="", "", 'Saisie données stocks'!Q42)</f>
        <v>41944</v>
      </c>
      <c r="D72" s="769" t="str">
        <f>IF($D$7="X", IF('Calculs Péremption FA'!V30="ND", "", IF('Calculs Péremption FA'!W30="OK", "OK", CONCATENATE('TRAD-Quanti et TdB Péremptions'!$B$95, ROUNDUP('Calculs Péremption FA'!V30, 0), " ", 'TRAD-Quanti et TdB Péremptions'!$B$96, ROUNDUP('Calculs Péremption FA'!X30, 0), " US$"))), IF($D$6="X", IF('Calculs Péremption conso'!V30="ND", "", IF('Calculs Péremption conso'!W30="OK", "OK", CONCATENATE('TRAD-Quanti et TdB Péremptions'!$B$95, ROUNDUP('Calculs Péremption conso'!V30, 0), " ", 'TRAD-Quanti et TdB Péremptions'!$B$96, ROUNDUP('Calculs Péremption conso'!X30, 0), " US$"))), "ND"))</f>
        <v>OK</v>
      </c>
      <c r="E72" s="768" t="str">
        <f>IF('Saisie données stocks'!S42="", "", 'Saisie données stocks'!S42)</f>
        <v/>
      </c>
      <c r="F72" s="769" t="str">
        <f>IF($D$7="X", IF('Calculs Péremption FA'!AD30="ND", "", IF('Calculs Péremption FA'!AE30="OK", "OK", CONCATENATE('TRAD-Quanti et TdB Péremptions'!$B$95, ROUNDUP('Calculs Péremption FA'!AD30, 0), " ", 'TRAD-Quanti et TdB Péremptions'!$B$96, ROUNDUP('Calculs Péremption FA'!AF30, 0), " US$"))), IF($D$6="X", IF('Calculs Péremption conso'!AD30="ND", "", IF('Calculs Péremption conso'!AE30="OK", "OK", CONCATENATE('TRAD-Quanti et TdB Péremptions'!$B$95, ROUNDUP('Calculs Péremption conso'!AD30, 0), " ", 'TRAD-Quanti et TdB Péremptions'!$B$96, ROUNDUP('Calculs Péremption conso'!AF30, 0), " US$"))), "ND"))</f>
        <v/>
      </c>
      <c r="G72" s="768" t="str">
        <f>IF('Saisie données stocks'!U42="", "", 'Saisie données stocks'!U42)</f>
        <v/>
      </c>
      <c r="H72" s="769" t="str">
        <f>IF($D$7="X", IF('Calculs Péremption FA'!AL30="ND", "", IF('Calculs Péremption FA'!AM30="OK", "OK", CONCATENATE('TRAD-Quanti et TdB Péremptions'!$B$95, ROUNDUP('Calculs Péremption FA'!AL30, 0), " ", 'TRAD-Quanti et TdB Péremptions'!$B$96, ROUNDUP('Calculs Péremption FA'!AN30, 0), " US$"))), IF($D$6="X", IF('Calculs Péremption conso'!AL30="ND", "", IF('Calculs Péremption conso'!AM30="OK", "OK", CONCATENATE('TRAD-Quanti et TdB Péremptions'!$B$95, ROUNDUP('Calculs Péremption conso'!AL30, 0), " ", 'TRAD-Quanti et TdB Péremptions'!$B$96, ROUNDUP('Calculs Péremption conso'!AN30, 0), " US$"))), "ND"))</f>
        <v/>
      </c>
      <c r="I72" s="768" t="str">
        <f>IF('Saisie données stocks'!W42="", "", 'Saisie données stocks'!W42)</f>
        <v/>
      </c>
      <c r="J72" s="769" t="str">
        <f>IF($D$7="X", IF('Calculs Péremption FA'!AT30="ND", "", IF('Calculs Péremption FA'!AU30="OK", "OK", CONCATENATE('TRAD-Quanti et TdB Péremptions'!$B$95, ROUNDUP('Calculs Péremption FA'!AT30, 0), " ", 'TRAD-Quanti et TdB Péremptions'!$B$96, ROUNDUP('Calculs Péremption FA'!AV30, 0), " US$"))), IF($D$6="X", IF('Calculs Péremption conso'!AT30="ND", "", IF('Calculs Péremption conso'!AU30="OK", "OK", CONCATENATE('TRAD-Quanti et TdB Péremptions'!$B$95, ROUNDUP('Calculs Péremption conso'!AT30, 0), " ", 'TRAD-Quanti et TdB Péremptions'!$B$96, ROUNDUP('Calculs Péremption conso'!AV30, 0), " US$"))), "ND"))</f>
        <v/>
      </c>
      <c r="K72" s="768" t="str">
        <f>IF('Saisie données stocks'!Y42="", "", 'Saisie données stocks'!Y42)</f>
        <v/>
      </c>
      <c r="L72" s="769" t="str">
        <f>IF($D$7="X", IF('Calculs Péremption FA'!BB30="ND", "", IF('Calculs Péremption FA'!BC30="OK", "OK", CONCATENATE('TRAD-Quanti et TdB Péremptions'!$B$95, ROUNDUP('Calculs Péremption FA'!BB30, 0), " ", 'TRAD-Quanti et TdB Péremptions'!$B$96, ROUNDUP('Calculs Péremption FA'!BD30, 0), " US$"))), IF($D$6="X", IF('Calculs Péremption conso'!BB30="ND", "", IF('Calculs Péremption conso'!BC30="OK", "OK", CONCATENATE('TRAD-Quanti et TdB Péremptions'!$B$95, ROUNDUP('Calculs Péremption conso'!BB30, 0), " ", 'TRAD-Quanti et TdB Péremptions'!$B$96, ROUNDUP('Calculs Péremption conso'!BD30, 0), " US$"))), "ND"))</f>
        <v/>
      </c>
      <c r="M72" s="768" t="str">
        <f>IF('Saisie données stocks'!AA42="", "", 'Saisie données stocks'!AA42)</f>
        <v/>
      </c>
      <c r="N72" s="769" t="str">
        <f>IF($D$7="X", IF('Calculs Péremption FA'!BJ30="ND", "", IF('Calculs Péremption FA'!BK30="OK", "OK", CONCATENATE('TRAD-Quanti et TdB Péremptions'!$B$95, ROUNDUP('Calculs Péremption FA'!BJ30, 0), " ", 'TRAD-Quanti et TdB Péremptions'!$B$96, ROUNDUP('Calculs Péremption FA'!BL30, 0), " US$"))), IF($D$6="X", IF('Calculs Péremption conso'!BJ30="ND", "", IF('Calculs Péremption conso'!BK30="OK", "OK", CONCATENATE('TRAD-Quanti et TdB Péremptions'!$B$95, ROUNDUP('Calculs Péremption conso'!BJ30, 0), " ", 'TRAD-Quanti et TdB Péremptions'!$B$96, ROUNDUP('Calculs Péremption conso'!BL30, 0), " US$"))), "ND"))</f>
        <v/>
      </c>
      <c r="O72" s="768" t="str">
        <f>IF('Saisie données stocks'!AC42="", "", 'Saisie données stocks'!AC42)</f>
        <v/>
      </c>
      <c r="P72" s="769" t="str">
        <f>IF($D$7="X", IF('Calculs Péremption FA'!BR30="ND", "", IF('Calculs Péremption FA'!BS30="OK", "OK", CONCATENATE('TRAD-Quanti et TdB Péremptions'!$B$95, ROUNDUP('Calculs Péremption FA'!BR30, 0), " ", 'TRAD-Quanti et TdB Péremptions'!$B$96, ROUNDUP('Calculs Péremption FA'!BT30, 0), " US$"))), IF($D$6="X", IF('Calculs Péremption conso'!BR30="ND", "", IF('Calculs Péremption conso'!BS30="OK", "OK", CONCATENATE('TRAD-Quanti et TdB Péremptions'!$B$95, ROUNDUP('Calculs Péremption conso'!BR30, 0), " ", 'TRAD-Quanti et TdB Péremptions'!$B$96, ROUNDUP('Calculs Péremption conso'!BT30, 0), " US$"))), "ND"))</f>
        <v/>
      </c>
    </row>
    <row r="73" spans="2:16" x14ac:dyDescent="0.2">
      <c r="B73" s="774" t="str">
        <f>CONCATENATE('Calculs Péremption FA'!D31, " - ", 'Calculs Péremption FA'!F31, " - ", 'Calculs Péremption FA'!E31, " - B/", 'Calculs Péremption FA'!I31)</f>
        <v>AZT - 100 mg - Cp - B/100</v>
      </c>
      <c r="C73" s="771"/>
      <c r="D73" s="772"/>
      <c r="E73" s="771"/>
      <c r="F73" s="772"/>
      <c r="G73" s="771"/>
      <c r="H73" s="772"/>
      <c r="I73" s="771"/>
      <c r="J73" s="772"/>
      <c r="K73" s="771"/>
      <c r="L73" s="772"/>
      <c r="M73" s="771"/>
      <c r="N73" s="772"/>
      <c r="O73" s="771"/>
      <c r="P73" s="772"/>
    </row>
    <row r="74" spans="2:16" ht="36" customHeight="1" x14ac:dyDescent="0.2">
      <c r="B74" s="767" t="str">
        <f>IF('Calculs Péremption FA'!P31="OK", "", 'TRAD-Quanti et TdB Péremptions'!$B$97)</f>
        <v/>
      </c>
      <c r="C74" s="768" t="str">
        <f>IF('Saisie données stocks'!Q43="", "", 'Saisie données stocks'!Q43)</f>
        <v/>
      </c>
      <c r="D74" s="769" t="str">
        <f>IF($D$7="X", IF('Calculs Péremption FA'!V31="ND", "", IF('Calculs Péremption FA'!W31="OK", "OK", CONCATENATE('TRAD-Quanti et TdB Péremptions'!$B$95, ROUNDUP('Calculs Péremption FA'!V31, 0), " ", 'TRAD-Quanti et TdB Péremptions'!$B$96, ROUNDUP('Calculs Péremption FA'!X31, 0), " US$"))), IF($D$6="X", IF('Calculs Péremption conso'!V31="ND", "", IF('Calculs Péremption conso'!W31="OK", "OK", CONCATENATE('TRAD-Quanti et TdB Péremptions'!$B$95, ROUNDUP('Calculs Péremption conso'!V31, 0), " ", 'TRAD-Quanti et TdB Péremptions'!$B$96, ROUNDUP('Calculs Péremption conso'!X31, 0), " US$"))), "ND"))</f>
        <v/>
      </c>
      <c r="E74" s="768" t="str">
        <f>IF('Saisie données stocks'!S43="", "", 'Saisie données stocks'!S43)</f>
        <v/>
      </c>
      <c r="F74" s="769" t="str">
        <f>IF($D$7="X", IF('Calculs Péremption FA'!AD31="ND", "", IF('Calculs Péremption FA'!AE31="OK", "OK", CONCATENATE('TRAD-Quanti et TdB Péremptions'!$B$95, ROUNDUP('Calculs Péremption FA'!AD31, 0), " ", 'TRAD-Quanti et TdB Péremptions'!$B$96, ROUNDUP('Calculs Péremption FA'!AF31, 0), " US$"))), IF($D$6="X", IF('Calculs Péremption conso'!AD31="ND", "", IF('Calculs Péremption conso'!AE31="OK", "OK", CONCATENATE('TRAD-Quanti et TdB Péremptions'!$B$95, ROUNDUP('Calculs Péremption conso'!AD31, 0), " ", 'TRAD-Quanti et TdB Péremptions'!$B$96, ROUNDUP('Calculs Péremption conso'!AF31, 0), " US$"))), "ND"))</f>
        <v/>
      </c>
      <c r="G74" s="768" t="str">
        <f>IF('Saisie données stocks'!U43="", "", 'Saisie données stocks'!U43)</f>
        <v/>
      </c>
      <c r="H74" s="769" t="str">
        <f>IF($D$7="X", IF('Calculs Péremption FA'!AL31="ND", "", IF('Calculs Péremption FA'!AM31="OK", "OK", CONCATENATE('TRAD-Quanti et TdB Péremptions'!$B$95, ROUNDUP('Calculs Péremption FA'!AL31, 0), " ", 'TRAD-Quanti et TdB Péremptions'!$B$96, ROUNDUP('Calculs Péremption FA'!AN31, 0), " US$"))), IF($D$6="X", IF('Calculs Péremption conso'!AL31="ND", "", IF('Calculs Péremption conso'!AM31="OK", "OK", CONCATENATE('TRAD-Quanti et TdB Péremptions'!$B$95, ROUNDUP('Calculs Péremption conso'!AL31, 0), " ", 'TRAD-Quanti et TdB Péremptions'!$B$96, ROUNDUP('Calculs Péremption conso'!AN31, 0), " US$"))), "ND"))</f>
        <v/>
      </c>
      <c r="I74" s="768" t="str">
        <f>IF('Saisie données stocks'!W43="", "", 'Saisie données stocks'!W43)</f>
        <v/>
      </c>
      <c r="J74" s="769" t="str">
        <f>IF($D$7="X", IF('Calculs Péremption FA'!AT31="ND", "", IF('Calculs Péremption FA'!AU31="OK", "OK", CONCATENATE('TRAD-Quanti et TdB Péremptions'!$B$95, ROUNDUP('Calculs Péremption FA'!AT31, 0), " ", 'TRAD-Quanti et TdB Péremptions'!$B$96, ROUNDUP('Calculs Péremption FA'!AV31, 0), " US$"))), IF($D$6="X", IF('Calculs Péremption conso'!AT31="ND", "", IF('Calculs Péremption conso'!AU31="OK", "OK", CONCATENATE('TRAD-Quanti et TdB Péremptions'!$B$95, ROUNDUP('Calculs Péremption conso'!AT31, 0), " ", 'TRAD-Quanti et TdB Péremptions'!$B$96, ROUNDUP('Calculs Péremption conso'!AV31, 0), " US$"))), "ND"))</f>
        <v/>
      </c>
      <c r="K74" s="768" t="str">
        <f>IF('Saisie données stocks'!Y43="", "", 'Saisie données stocks'!Y43)</f>
        <v/>
      </c>
      <c r="L74" s="769" t="str">
        <f>IF($D$7="X", IF('Calculs Péremption FA'!BB31="ND", "", IF('Calculs Péremption FA'!BC31="OK", "OK", CONCATENATE('TRAD-Quanti et TdB Péremptions'!$B$95, ROUNDUP('Calculs Péremption FA'!BB31, 0), " ", 'TRAD-Quanti et TdB Péremptions'!$B$96, ROUNDUP('Calculs Péremption FA'!BD31, 0), " US$"))), IF($D$6="X", IF('Calculs Péremption conso'!BB31="ND", "", IF('Calculs Péremption conso'!BC31="OK", "OK", CONCATENATE('TRAD-Quanti et TdB Péremptions'!$B$95, ROUNDUP('Calculs Péremption conso'!BB31, 0), " ", 'TRAD-Quanti et TdB Péremptions'!$B$96, ROUNDUP('Calculs Péremption conso'!BD31, 0), " US$"))), "ND"))</f>
        <v/>
      </c>
      <c r="M74" s="768" t="str">
        <f>IF('Saisie données stocks'!AA43="", "", 'Saisie données stocks'!AA43)</f>
        <v/>
      </c>
      <c r="N74" s="769" t="str">
        <f>IF($D$7="X", IF('Calculs Péremption FA'!BJ31="ND", "", IF('Calculs Péremption FA'!BK31="OK", "OK", CONCATENATE('TRAD-Quanti et TdB Péremptions'!$B$95, ROUNDUP('Calculs Péremption FA'!BJ31, 0), " ", 'TRAD-Quanti et TdB Péremptions'!$B$96, ROUNDUP('Calculs Péremption FA'!BL31, 0), " US$"))), IF($D$6="X", IF('Calculs Péremption conso'!BJ31="ND", "", IF('Calculs Péremption conso'!BK31="OK", "OK", CONCATENATE('TRAD-Quanti et TdB Péremptions'!$B$95, ROUNDUP('Calculs Péremption conso'!BJ31, 0), " ", 'TRAD-Quanti et TdB Péremptions'!$B$96, ROUNDUP('Calculs Péremption conso'!BL31, 0), " US$"))), "ND"))</f>
        <v/>
      </c>
      <c r="O74" s="768" t="str">
        <f>IF('Saisie données stocks'!AC43="", "", 'Saisie données stocks'!AC43)</f>
        <v/>
      </c>
      <c r="P74" s="769" t="str">
        <f>IF($D$7="X", IF('Calculs Péremption FA'!BR31="ND", "", IF('Calculs Péremption FA'!BS31="OK", "OK", CONCATENATE('TRAD-Quanti et TdB Péremptions'!$B$95, ROUNDUP('Calculs Péremption FA'!BR31, 0), " ", 'TRAD-Quanti et TdB Péremptions'!$B$96, ROUNDUP('Calculs Péremption FA'!BT31, 0), " US$"))), IF($D$6="X", IF('Calculs Péremption conso'!BR31="ND", "", IF('Calculs Péremption conso'!BS31="OK", "OK", CONCATENATE('TRAD-Quanti et TdB Péremptions'!$B$95, ROUNDUP('Calculs Péremption conso'!BR31, 0), " ", 'TRAD-Quanti et TdB Péremptions'!$B$96, ROUNDUP('Calculs Péremption conso'!BT31, 0), " US$"))), "ND"))</f>
        <v/>
      </c>
    </row>
    <row r="75" spans="2:16" x14ac:dyDescent="0.2">
      <c r="B75" s="774" t="str">
        <f>CONCATENATE('Calculs Péremption FA'!D32, " - ", 'Calculs Péremption FA'!F32, " - ", 'Calculs Péremption FA'!E32, " - B/", 'Calculs Péremption FA'!I32)</f>
        <v>AZT - 60 mg - Cp - B/60</v>
      </c>
      <c r="C75" s="771"/>
      <c r="D75" s="772"/>
      <c r="E75" s="771"/>
      <c r="F75" s="772"/>
      <c r="G75" s="771"/>
      <c r="H75" s="772"/>
      <c r="I75" s="771"/>
      <c r="J75" s="772"/>
      <c r="K75" s="771"/>
      <c r="L75" s="772"/>
      <c r="M75" s="771"/>
      <c r="N75" s="772"/>
      <c r="O75" s="771"/>
      <c r="P75" s="772"/>
    </row>
    <row r="76" spans="2:16" ht="36" customHeight="1" x14ac:dyDescent="0.2">
      <c r="B76" s="767" t="str">
        <f>IF('Calculs Péremption FA'!P32="OK", "", 'TRAD-Quanti et TdB Péremptions'!$B$97)</f>
        <v/>
      </c>
      <c r="C76" s="768" t="str">
        <f>IF('Saisie données stocks'!Q44="", "", 'Saisie données stocks'!Q44)</f>
        <v/>
      </c>
      <c r="D76" s="769" t="str">
        <f>IF($D$7="X", IF('Calculs Péremption FA'!V32="ND", "", IF('Calculs Péremption FA'!W32="OK", "OK", CONCATENATE('TRAD-Quanti et TdB Péremptions'!$B$95, ROUNDUP('Calculs Péremption FA'!V32, 0), " ", 'TRAD-Quanti et TdB Péremptions'!$B$96, ROUNDUP('Calculs Péremption FA'!X32, 0), " US$"))), IF($D$6="X", IF('Calculs Péremption conso'!V32="ND", "", IF('Calculs Péremption conso'!W32="OK", "OK", CONCATENATE('TRAD-Quanti et TdB Péremptions'!$B$95, ROUNDUP('Calculs Péremption conso'!V32, 0), " ", 'TRAD-Quanti et TdB Péremptions'!$B$96, ROUNDUP('Calculs Péremption conso'!X32, 0), " US$"))), "ND"))</f>
        <v/>
      </c>
      <c r="E76" s="768" t="str">
        <f>IF('Saisie données stocks'!S44="", "", 'Saisie données stocks'!S44)</f>
        <v/>
      </c>
      <c r="F76" s="769" t="str">
        <f>IF($D$7="X", IF('Calculs Péremption FA'!AD32="ND", "", IF('Calculs Péremption FA'!AE32="OK", "OK", CONCATENATE('TRAD-Quanti et TdB Péremptions'!$B$95, ROUNDUP('Calculs Péremption FA'!AD32, 0), " ", 'TRAD-Quanti et TdB Péremptions'!$B$96, ROUNDUP('Calculs Péremption FA'!AF32, 0), " US$"))), IF($D$6="X", IF('Calculs Péremption conso'!AD32="ND", "", IF('Calculs Péremption conso'!AE32="OK", "OK", CONCATENATE('TRAD-Quanti et TdB Péremptions'!$B$95, ROUNDUP('Calculs Péremption conso'!AD32, 0), " ", 'TRAD-Quanti et TdB Péremptions'!$B$96, ROUNDUP('Calculs Péremption conso'!AF32, 0), " US$"))), "ND"))</f>
        <v/>
      </c>
      <c r="G76" s="768" t="str">
        <f>IF('Saisie données stocks'!U44="", "", 'Saisie données stocks'!U44)</f>
        <v/>
      </c>
      <c r="H76" s="769" t="str">
        <f>IF($D$7="X", IF('Calculs Péremption FA'!AL32="ND", "", IF('Calculs Péremption FA'!AM32="OK", "OK", CONCATENATE('TRAD-Quanti et TdB Péremptions'!$B$95, ROUNDUP('Calculs Péremption FA'!AL32, 0), " ", 'TRAD-Quanti et TdB Péremptions'!$B$96, ROUNDUP('Calculs Péremption FA'!AN32, 0), " US$"))), IF($D$6="X", IF('Calculs Péremption conso'!AL32="ND", "", IF('Calculs Péremption conso'!AM32="OK", "OK", CONCATENATE('TRAD-Quanti et TdB Péremptions'!$B$95, ROUNDUP('Calculs Péremption conso'!AL32, 0), " ", 'TRAD-Quanti et TdB Péremptions'!$B$96, ROUNDUP('Calculs Péremption conso'!AN32, 0), " US$"))), "ND"))</f>
        <v/>
      </c>
      <c r="I76" s="768" t="str">
        <f>IF('Saisie données stocks'!W44="", "", 'Saisie données stocks'!W44)</f>
        <v/>
      </c>
      <c r="J76" s="769" t="str">
        <f>IF($D$7="X", IF('Calculs Péremption FA'!AT32="ND", "", IF('Calculs Péremption FA'!AU32="OK", "OK", CONCATENATE('TRAD-Quanti et TdB Péremptions'!$B$95, ROUNDUP('Calculs Péremption FA'!AT32, 0), " ", 'TRAD-Quanti et TdB Péremptions'!$B$96, ROUNDUP('Calculs Péremption FA'!AV32, 0), " US$"))), IF($D$6="X", IF('Calculs Péremption conso'!AT32="ND", "", IF('Calculs Péremption conso'!AU32="OK", "OK", CONCATENATE('TRAD-Quanti et TdB Péremptions'!$B$95, ROUNDUP('Calculs Péremption conso'!AT32, 0), " ", 'TRAD-Quanti et TdB Péremptions'!$B$96, ROUNDUP('Calculs Péremption conso'!AV32, 0), " US$"))), "ND"))</f>
        <v/>
      </c>
      <c r="K76" s="768" t="str">
        <f>IF('Saisie données stocks'!Y44="", "", 'Saisie données stocks'!Y44)</f>
        <v/>
      </c>
      <c r="L76" s="769" t="str">
        <f>IF($D$7="X", IF('Calculs Péremption FA'!BB32="ND", "", IF('Calculs Péremption FA'!BC32="OK", "OK", CONCATENATE('TRAD-Quanti et TdB Péremptions'!$B$95, ROUNDUP('Calculs Péremption FA'!BB32, 0), " ", 'TRAD-Quanti et TdB Péremptions'!$B$96, ROUNDUP('Calculs Péremption FA'!BD32, 0), " US$"))), IF($D$6="X", IF('Calculs Péremption conso'!BB32="ND", "", IF('Calculs Péremption conso'!BC32="OK", "OK", CONCATENATE('TRAD-Quanti et TdB Péremptions'!$B$95, ROUNDUP('Calculs Péremption conso'!BB32, 0), " ", 'TRAD-Quanti et TdB Péremptions'!$B$96, ROUNDUP('Calculs Péremption conso'!BD32, 0), " US$"))), "ND"))</f>
        <v/>
      </c>
      <c r="M76" s="768" t="str">
        <f>IF('Saisie données stocks'!AA44="", "", 'Saisie données stocks'!AA44)</f>
        <v/>
      </c>
      <c r="N76" s="769" t="str">
        <f>IF($D$7="X", IF('Calculs Péremption FA'!BJ32="ND", "", IF('Calculs Péremption FA'!BK32="OK", "OK", CONCATENATE('TRAD-Quanti et TdB Péremptions'!$B$95, ROUNDUP('Calculs Péremption FA'!BJ32, 0), " ", 'TRAD-Quanti et TdB Péremptions'!$B$96, ROUNDUP('Calculs Péremption FA'!BL32, 0), " US$"))), IF($D$6="X", IF('Calculs Péremption conso'!BJ32="ND", "", IF('Calculs Péremption conso'!BK32="OK", "OK", CONCATENATE('TRAD-Quanti et TdB Péremptions'!$B$95, ROUNDUP('Calculs Péremption conso'!BJ32, 0), " ", 'TRAD-Quanti et TdB Péremptions'!$B$96, ROUNDUP('Calculs Péremption conso'!BL32, 0), " US$"))), "ND"))</f>
        <v/>
      </c>
      <c r="O76" s="768" t="str">
        <f>IF('Saisie données stocks'!AC44="", "", 'Saisie données stocks'!AC44)</f>
        <v/>
      </c>
      <c r="P76" s="769" t="str">
        <f>IF($D$7="X", IF('Calculs Péremption FA'!BR32="ND", "", IF('Calculs Péremption FA'!BS32="OK", "OK", CONCATENATE('TRAD-Quanti et TdB Péremptions'!$B$95, ROUNDUP('Calculs Péremption FA'!BR32, 0), " ", 'TRAD-Quanti et TdB Péremptions'!$B$96, ROUNDUP('Calculs Péremption FA'!BT32, 0), " US$"))), IF($D$6="X", IF('Calculs Péremption conso'!BR32="ND", "", IF('Calculs Péremption conso'!BS32="OK", "OK", CONCATENATE('TRAD-Quanti et TdB Péremptions'!$B$95, ROUNDUP('Calculs Péremption conso'!BR32, 0), " ", 'TRAD-Quanti et TdB Péremptions'!$B$96, ROUNDUP('Calculs Péremption conso'!BT32, 0), " US$"))), "ND"))</f>
        <v/>
      </c>
    </row>
    <row r="77" spans="2:16" x14ac:dyDescent="0.2">
      <c r="B77" s="774" t="str">
        <f>CONCATENATE('Calculs Péremption FA'!D33, " - ", 'Calculs Péremption FA'!F33, " - ", 'Calculs Péremption FA'!E33, " - B/", 'Calculs Péremption FA'!I33)</f>
        <v>D4T - 30 mg - Cp - B/60</v>
      </c>
      <c r="C77" s="771"/>
      <c r="D77" s="772"/>
      <c r="E77" s="771"/>
      <c r="F77" s="772"/>
      <c r="G77" s="771"/>
      <c r="H77" s="772"/>
      <c r="I77" s="771"/>
      <c r="J77" s="772"/>
      <c r="K77" s="771"/>
      <c r="L77" s="772"/>
      <c r="M77" s="771"/>
      <c r="N77" s="772"/>
      <c r="O77" s="771"/>
      <c r="P77" s="772"/>
    </row>
    <row r="78" spans="2:16" ht="36" customHeight="1" x14ac:dyDescent="0.2">
      <c r="B78" s="767" t="str">
        <f>IF('Calculs Péremption FA'!P33="OK", "", 'TRAD-Quanti et TdB Péremptions'!$B$97)</f>
        <v/>
      </c>
      <c r="C78" s="768" t="str">
        <f>IF('Saisie données stocks'!Q45="", "", 'Saisie données stocks'!Q45)</f>
        <v/>
      </c>
      <c r="D78" s="769" t="str">
        <f>IF($D$7="X", IF('Calculs Péremption FA'!V33="ND", "", IF('Calculs Péremption FA'!W33="OK", "OK", CONCATENATE('TRAD-Quanti et TdB Péremptions'!$B$95, ROUNDUP('Calculs Péremption FA'!V33, 0), " ", 'TRAD-Quanti et TdB Péremptions'!$B$96, ROUNDUP('Calculs Péremption FA'!X33, 0), " US$"))), IF($D$6="X", IF('Calculs Péremption conso'!V33="ND", "", IF('Calculs Péremption conso'!W33="OK", "OK", CONCATENATE('TRAD-Quanti et TdB Péremptions'!$B$95, ROUNDUP('Calculs Péremption conso'!V33, 0), " ", 'TRAD-Quanti et TdB Péremptions'!$B$96, ROUNDUP('Calculs Péremption conso'!X33, 0), " US$"))), "ND"))</f>
        <v/>
      </c>
      <c r="E78" s="768" t="str">
        <f>IF('Saisie données stocks'!S45="", "", 'Saisie données stocks'!S45)</f>
        <v/>
      </c>
      <c r="F78" s="769" t="str">
        <f>IF($D$7="X", IF('Calculs Péremption FA'!AD33="ND", "", IF('Calculs Péremption FA'!AE33="OK", "OK", CONCATENATE('TRAD-Quanti et TdB Péremptions'!$B$95, ROUNDUP('Calculs Péremption FA'!AD33, 0), " ", 'TRAD-Quanti et TdB Péremptions'!$B$96, ROUNDUP('Calculs Péremption FA'!AF33, 0), " US$"))), IF($D$6="X", IF('Calculs Péremption conso'!AD33="ND", "", IF('Calculs Péremption conso'!AE33="OK", "OK", CONCATENATE('TRAD-Quanti et TdB Péremptions'!$B$95, ROUNDUP('Calculs Péremption conso'!AD33, 0), " ", 'TRAD-Quanti et TdB Péremptions'!$B$96, ROUNDUP('Calculs Péremption conso'!AF33, 0), " US$"))), "ND"))</f>
        <v/>
      </c>
      <c r="G78" s="768" t="str">
        <f>IF('Saisie données stocks'!U45="", "", 'Saisie données stocks'!U45)</f>
        <v/>
      </c>
      <c r="H78" s="769" t="str">
        <f>IF($D$7="X", IF('Calculs Péremption FA'!AL33="ND", "", IF('Calculs Péremption FA'!AM33="OK", "OK", CONCATENATE('TRAD-Quanti et TdB Péremptions'!$B$95, ROUNDUP('Calculs Péremption FA'!AL33, 0), " ", 'TRAD-Quanti et TdB Péremptions'!$B$96, ROUNDUP('Calculs Péremption FA'!AN33, 0), " US$"))), IF($D$6="X", IF('Calculs Péremption conso'!AL33="ND", "", IF('Calculs Péremption conso'!AM33="OK", "OK", CONCATENATE('TRAD-Quanti et TdB Péremptions'!$B$95, ROUNDUP('Calculs Péremption conso'!AL33, 0), " ", 'TRAD-Quanti et TdB Péremptions'!$B$96, ROUNDUP('Calculs Péremption conso'!AN33, 0), " US$"))), "ND"))</f>
        <v/>
      </c>
      <c r="I78" s="768" t="str">
        <f>IF('Saisie données stocks'!W45="", "", 'Saisie données stocks'!W45)</f>
        <v/>
      </c>
      <c r="J78" s="769" t="str">
        <f>IF($D$7="X", IF('Calculs Péremption FA'!AT33="ND", "", IF('Calculs Péremption FA'!AU33="OK", "OK", CONCATENATE('TRAD-Quanti et TdB Péremptions'!$B$95, ROUNDUP('Calculs Péremption FA'!AT33, 0), " ", 'TRAD-Quanti et TdB Péremptions'!$B$96, ROUNDUP('Calculs Péremption FA'!AV33, 0), " US$"))), IF($D$6="X", IF('Calculs Péremption conso'!AT33="ND", "", IF('Calculs Péremption conso'!AU33="OK", "OK", CONCATENATE('TRAD-Quanti et TdB Péremptions'!$B$95, ROUNDUP('Calculs Péremption conso'!AT33, 0), " ", 'TRAD-Quanti et TdB Péremptions'!$B$96, ROUNDUP('Calculs Péremption conso'!AV33, 0), " US$"))), "ND"))</f>
        <v/>
      </c>
      <c r="K78" s="768" t="str">
        <f>IF('Saisie données stocks'!Y45="", "", 'Saisie données stocks'!Y45)</f>
        <v/>
      </c>
      <c r="L78" s="769" t="str">
        <f>IF($D$7="X", IF('Calculs Péremption FA'!BB33="ND", "", IF('Calculs Péremption FA'!BC33="OK", "OK", CONCATENATE('TRAD-Quanti et TdB Péremptions'!$B$95, ROUNDUP('Calculs Péremption FA'!BB33, 0), " ", 'TRAD-Quanti et TdB Péremptions'!$B$96, ROUNDUP('Calculs Péremption FA'!BD33, 0), " US$"))), IF($D$6="X", IF('Calculs Péremption conso'!BB33="ND", "", IF('Calculs Péremption conso'!BC33="OK", "OK", CONCATENATE('TRAD-Quanti et TdB Péremptions'!$B$95, ROUNDUP('Calculs Péremption conso'!BB33, 0), " ", 'TRAD-Quanti et TdB Péremptions'!$B$96, ROUNDUP('Calculs Péremption conso'!BD33, 0), " US$"))), "ND"))</f>
        <v/>
      </c>
      <c r="M78" s="768" t="str">
        <f>IF('Saisie données stocks'!AA45="", "", 'Saisie données stocks'!AA45)</f>
        <v/>
      </c>
      <c r="N78" s="769" t="str">
        <f>IF($D$7="X", IF('Calculs Péremption FA'!BJ33="ND", "", IF('Calculs Péremption FA'!BK33="OK", "OK", CONCATENATE('TRAD-Quanti et TdB Péremptions'!$B$95, ROUNDUP('Calculs Péremption FA'!BJ33, 0), " ", 'TRAD-Quanti et TdB Péremptions'!$B$96, ROUNDUP('Calculs Péremption FA'!BL33, 0), " US$"))), IF($D$6="X", IF('Calculs Péremption conso'!BJ33="ND", "", IF('Calculs Péremption conso'!BK33="OK", "OK", CONCATENATE('TRAD-Quanti et TdB Péremptions'!$B$95, ROUNDUP('Calculs Péremption conso'!BJ33, 0), " ", 'TRAD-Quanti et TdB Péremptions'!$B$96, ROUNDUP('Calculs Péremption conso'!BL33, 0), " US$"))), "ND"))</f>
        <v/>
      </c>
      <c r="O78" s="768" t="str">
        <f>IF('Saisie données stocks'!AC45="", "", 'Saisie données stocks'!AC45)</f>
        <v/>
      </c>
      <c r="P78" s="769" t="str">
        <f>IF($D$7="X", IF('Calculs Péremption FA'!BR33="ND", "", IF('Calculs Péremption FA'!BS33="OK", "OK", CONCATENATE('TRAD-Quanti et TdB Péremptions'!$B$95, ROUNDUP('Calculs Péremption FA'!BR33, 0), " ", 'TRAD-Quanti et TdB Péremptions'!$B$96, ROUNDUP('Calculs Péremption FA'!BT33, 0), " US$"))), IF($D$6="X", IF('Calculs Péremption conso'!BR33="ND", "", IF('Calculs Péremption conso'!BS33="OK", "OK", CONCATENATE('TRAD-Quanti et TdB Péremptions'!$B$95, ROUNDUP('Calculs Péremption conso'!BR33, 0), " ", 'TRAD-Quanti et TdB Péremptions'!$B$96, ROUNDUP('Calculs Péremption conso'!BT33, 0), " US$"))), "ND"))</f>
        <v/>
      </c>
    </row>
    <row r="79" spans="2:16" x14ac:dyDescent="0.2">
      <c r="B79" s="774" t="str">
        <f>CONCATENATE('Calculs Péremption FA'!D34, " - ", 'Calculs Péremption FA'!F34, " - ", 'Calculs Péremption FA'!E34, " - B/", 'Calculs Péremption FA'!I34)</f>
        <v>3TC - 150 mg - Cp - B/60</v>
      </c>
      <c r="C79" s="771"/>
      <c r="D79" s="772"/>
      <c r="E79" s="771"/>
      <c r="F79" s="772"/>
      <c r="G79" s="771"/>
      <c r="H79" s="772"/>
      <c r="I79" s="771"/>
      <c r="J79" s="772"/>
      <c r="K79" s="771"/>
      <c r="L79" s="772"/>
      <c r="M79" s="771"/>
      <c r="N79" s="772"/>
      <c r="O79" s="771"/>
      <c r="P79" s="772"/>
    </row>
    <row r="80" spans="2:16" ht="36" customHeight="1" x14ac:dyDescent="0.2">
      <c r="B80" s="2550" t="str">
        <f>IF('Calculs Péremption FA'!P34="OK", "", 'TRAD-Quanti et TdB Péremptions'!$B$97)</f>
        <v/>
      </c>
      <c r="C80" s="768" t="str">
        <f>IF('Saisie données stocks'!Q46="", "", 'Saisie données stocks'!Q46)</f>
        <v/>
      </c>
      <c r="D80" s="769" t="str">
        <f>IF($D$7="X", IF('Calculs Péremption FA'!V34="ND", "", IF('Calculs Péremption FA'!W34="OK", "OK", CONCATENATE('TRAD-Quanti et TdB Péremptions'!$B$95, ROUNDUP('Calculs Péremption FA'!V34, 0), " ", 'TRAD-Quanti et TdB Péremptions'!$B$96, ROUNDUP('Calculs Péremption FA'!X34, 0), " US$"))), IF($D$6="X", IF('Calculs Péremption conso'!V34="ND", "", IF('Calculs Péremption conso'!W34="OK", "OK", CONCATENATE('TRAD-Quanti et TdB Péremptions'!$B$95, ROUNDUP('Calculs Péremption conso'!V34, 0), " ", 'TRAD-Quanti et TdB Péremptions'!$B$96, ROUNDUP('Calculs Péremption conso'!X34, 0), " US$"))), "ND"))</f>
        <v/>
      </c>
      <c r="E80" s="768" t="str">
        <f>IF('Saisie données stocks'!S46="", "", 'Saisie données stocks'!S46)</f>
        <v/>
      </c>
      <c r="F80" s="769" t="str">
        <f>IF($D$7="X", IF('Calculs Péremption FA'!AD34="ND", "", IF('Calculs Péremption FA'!AE34="OK", "OK", CONCATENATE('TRAD-Quanti et TdB Péremptions'!$B$95, ROUNDUP('Calculs Péremption FA'!AD34, 0), " ", 'TRAD-Quanti et TdB Péremptions'!$B$96, ROUNDUP('Calculs Péremption FA'!AF34, 0), " US$"))), IF($D$6="X", IF('Calculs Péremption conso'!AD34="ND", "", IF('Calculs Péremption conso'!AE34="OK", "OK", CONCATENATE('TRAD-Quanti et TdB Péremptions'!$B$95, ROUNDUP('Calculs Péremption conso'!AD34, 0), " ", 'TRAD-Quanti et TdB Péremptions'!$B$96, ROUNDUP('Calculs Péremption conso'!AF34, 0), " US$"))), "ND"))</f>
        <v/>
      </c>
      <c r="G80" s="768" t="str">
        <f>IF('Saisie données stocks'!U46="", "", 'Saisie données stocks'!U46)</f>
        <v/>
      </c>
      <c r="H80" s="769" t="str">
        <f>IF($D$7="X", IF('Calculs Péremption FA'!AL34="ND", "", IF('Calculs Péremption FA'!AM34="OK", "OK", CONCATENATE('TRAD-Quanti et TdB Péremptions'!$B$95, ROUNDUP('Calculs Péremption FA'!AL34, 0), " ", 'TRAD-Quanti et TdB Péremptions'!$B$96, ROUNDUP('Calculs Péremption FA'!AN34, 0), " US$"))), IF($D$6="X", IF('Calculs Péremption conso'!AL34="ND", "", IF('Calculs Péremption conso'!AM34="OK", "OK", CONCATENATE('TRAD-Quanti et TdB Péremptions'!$B$95, ROUNDUP('Calculs Péremption conso'!AL34, 0), " ", 'TRAD-Quanti et TdB Péremptions'!$B$96, ROUNDUP('Calculs Péremption conso'!AN34, 0), " US$"))), "ND"))</f>
        <v/>
      </c>
      <c r="I80" s="768" t="str">
        <f>IF('Saisie données stocks'!W46="", "", 'Saisie données stocks'!W46)</f>
        <v/>
      </c>
      <c r="J80" s="769" t="str">
        <f>IF($D$7="X", IF('Calculs Péremption FA'!AT34="ND", "", IF('Calculs Péremption FA'!AU34="OK", "OK", CONCATENATE('TRAD-Quanti et TdB Péremptions'!$B$95, ROUNDUP('Calculs Péremption FA'!AT34, 0), " ", 'TRAD-Quanti et TdB Péremptions'!$B$96, ROUNDUP('Calculs Péremption FA'!AV34, 0), " US$"))), IF($D$6="X", IF('Calculs Péremption conso'!AT34="ND", "", IF('Calculs Péremption conso'!AU34="OK", "OK", CONCATENATE('TRAD-Quanti et TdB Péremptions'!$B$95, ROUNDUP('Calculs Péremption conso'!AT34, 0), " ", 'TRAD-Quanti et TdB Péremptions'!$B$96, ROUNDUP('Calculs Péremption conso'!AV34, 0), " US$"))), "ND"))</f>
        <v/>
      </c>
      <c r="K80" s="768" t="str">
        <f>IF('Saisie données stocks'!Y46="", "", 'Saisie données stocks'!Y46)</f>
        <v/>
      </c>
      <c r="L80" s="769" t="str">
        <f>IF($D$7="X", IF('Calculs Péremption FA'!BB34="ND", "", IF('Calculs Péremption FA'!BC34="OK", "OK", CONCATENATE('TRAD-Quanti et TdB Péremptions'!$B$95, ROUNDUP('Calculs Péremption FA'!BB34, 0), " ", 'TRAD-Quanti et TdB Péremptions'!$B$96, ROUNDUP('Calculs Péremption FA'!BD34, 0), " US$"))), IF($D$6="X", IF('Calculs Péremption conso'!BB34="ND", "", IF('Calculs Péremption conso'!BC34="OK", "OK", CONCATENATE('TRAD-Quanti et TdB Péremptions'!$B$95, ROUNDUP('Calculs Péremption conso'!BB34, 0), " ", 'TRAD-Quanti et TdB Péremptions'!$B$96, ROUNDUP('Calculs Péremption conso'!BD34, 0), " US$"))), "ND"))</f>
        <v/>
      </c>
      <c r="M80" s="768" t="str">
        <f>IF('Saisie données stocks'!AA46="", "", 'Saisie données stocks'!AA46)</f>
        <v/>
      </c>
      <c r="N80" s="769" t="str">
        <f>IF($D$7="X", IF('Calculs Péremption FA'!BJ34="ND", "", IF('Calculs Péremption FA'!BK34="OK", "OK", CONCATENATE('TRAD-Quanti et TdB Péremptions'!$B$95, ROUNDUP('Calculs Péremption FA'!BJ34, 0), " ", 'TRAD-Quanti et TdB Péremptions'!$B$96, ROUNDUP('Calculs Péremption FA'!BL34, 0), " US$"))), IF($D$6="X", IF('Calculs Péremption conso'!BJ34="ND", "", IF('Calculs Péremption conso'!BK34="OK", "OK", CONCATENATE('TRAD-Quanti et TdB Péremptions'!$B$95, ROUNDUP('Calculs Péremption conso'!BJ34, 0), " ", 'TRAD-Quanti et TdB Péremptions'!$B$96, ROUNDUP('Calculs Péremption conso'!BL34, 0), " US$"))), "ND"))</f>
        <v/>
      </c>
      <c r="O80" s="768" t="str">
        <f>IF('Saisie données stocks'!AC46="", "", 'Saisie données stocks'!AC46)</f>
        <v/>
      </c>
      <c r="P80" s="769" t="str">
        <f>IF($D$7="X", IF('Calculs Péremption FA'!BR34="ND", "", IF('Calculs Péremption FA'!BS34="OK", "OK", CONCATENATE('TRAD-Quanti et TdB Péremptions'!$B$95, ROUNDUP('Calculs Péremption FA'!BR34, 0), " ", 'TRAD-Quanti et TdB Péremptions'!$B$96, ROUNDUP('Calculs Péremption FA'!BT34, 0), " US$"))), IF($D$6="X", IF('Calculs Péremption conso'!BR34="ND", "", IF('Calculs Péremption conso'!BS34="OK", "OK", CONCATENATE('TRAD-Quanti et TdB Péremptions'!$B$95, ROUNDUP('Calculs Péremption conso'!BR34, 0), " ", 'TRAD-Quanti et TdB Péremptions'!$B$96, ROUNDUP('Calculs Péremption conso'!BT34, 0), " US$"))), "ND"))</f>
        <v/>
      </c>
    </row>
    <row r="81" spans="2:16" x14ac:dyDescent="0.2">
      <c r="B81" s="774" t="str">
        <f>CONCATENATE('Calculs Péremption FA'!D35, " - ", 'Calculs Péremption FA'!F35, " - ", 'Calculs Péremption FA'!E35, " - B/", 'Calculs Péremption FA'!I35)</f>
        <v>3TC - 30 mg - Cp - B/60</v>
      </c>
      <c r="C81" s="771"/>
      <c r="D81" s="772"/>
      <c r="E81" s="771"/>
      <c r="F81" s="772"/>
      <c r="G81" s="771"/>
      <c r="H81" s="772"/>
      <c r="I81" s="771"/>
      <c r="J81" s="772"/>
      <c r="K81" s="771"/>
      <c r="L81" s="772"/>
      <c r="M81" s="771"/>
      <c r="N81" s="772"/>
      <c r="O81" s="771"/>
      <c r="P81" s="772"/>
    </row>
    <row r="82" spans="2:16" ht="36" customHeight="1" x14ac:dyDescent="0.2">
      <c r="B82" s="767" t="str">
        <f>IF('Calculs Péremption FA'!P35="OK", "", 'TRAD-Quanti et TdB Péremptions'!$B$97)</f>
        <v/>
      </c>
      <c r="C82" s="768" t="str">
        <f>IF('Saisie données stocks'!Q47="", "", 'Saisie données stocks'!Q47)</f>
        <v/>
      </c>
      <c r="D82" s="769" t="str">
        <f>IF($D$7="X", IF('Calculs Péremption FA'!V35="ND", "", IF('Calculs Péremption FA'!W35="OK", "OK", CONCATENATE('TRAD-Quanti et TdB Péremptions'!$B$95, ROUNDUP('Calculs Péremption FA'!V35, 0), " ", 'TRAD-Quanti et TdB Péremptions'!$B$96, ROUNDUP('Calculs Péremption FA'!X35, 0), " US$"))), IF($D$6="X", IF('Calculs Péremption conso'!V35="ND", "", IF('Calculs Péremption conso'!W35="OK", "OK", CONCATENATE('TRAD-Quanti et TdB Péremptions'!$B$95, ROUNDUP('Calculs Péremption conso'!V35, 0), " ", 'TRAD-Quanti et TdB Péremptions'!$B$96, ROUNDUP('Calculs Péremption conso'!X35, 0), " US$"))), "ND"))</f>
        <v/>
      </c>
      <c r="E82" s="768" t="str">
        <f>IF('Saisie données stocks'!S47="", "", 'Saisie données stocks'!S47)</f>
        <v/>
      </c>
      <c r="F82" s="769" t="str">
        <f>IF($D$7="X", IF('Calculs Péremption FA'!AD35="ND", "", IF('Calculs Péremption FA'!AE35="OK", "OK", CONCATENATE('TRAD-Quanti et TdB Péremptions'!$B$95, ROUNDUP('Calculs Péremption FA'!AD35, 0), " ", 'TRAD-Quanti et TdB Péremptions'!$B$96, ROUNDUP('Calculs Péremption FA'!AF35, 0), " US$"))), IF($D$6="X", IF('Calculs Péremption conso'!AD35="ND", "", IF('Calculs Péremption conso'!AE35="OK", "OK", CONCATENATE('TRAD-Quanti et TdB Péremptions'!$B$95, ROUNDUP('Calculs Péremption conso'!AD35, 0), " ", 'TRAD-Quanti et TdB Péremptions'!$B$96, ROUNDUP('Calculs Péremption conso'!AF35, 0), " US$"))), "ND"))</f>
        <v/>
      </c>
      <c r="G82" s="768" t="str">
        <f>IF('Saisie données stocks'!U47="", "", 'Saisie données stocks'!U47)</f>
        <v/>
      </c>
      <c r="H82" s="769" t="str">
        <f>IF($D$7="X", IF('Calculs Péremption FA'!AL35="ND", "", IF('Calculs Péremption FA'!AM35="OK", "OK", CONCATENATE('TRAD-Quanti et TdB Péremptions'!$B$95, ROUNDUP('Calculs Péremption FA'!AL35, 0), " ", 'TRAD-Quanti et TdB Péremptions'!$B$96, ROUNDUP('Calculs Péremption FA'!AN35, 0), " US$"))), IF($D$6="X", IF('Calculs Péremption conso'!AL35="ND", "", IF('Calculs Péremption conso'!AM35="OK", "OK", CONCATENATE('TRAD-Quanti et TdB Péremptions'!$B$95, ROUNDUP('Calculs Péremption conso'!AL35, 0), " ", 'TRAD-Quanti et TdB Péremptions'!$B$96, ROUNDUP('Calculs Péremption conso'!AN35, 0), " US$"))), "ND"))</f>
        <v/>
      </c>
      <c r="I82" s="768" t="str">
        <f>IF('Saisie données stocks'!W47="", "", 'Saisie données stocks'!W47)</f>
        <v/>
      </c>
      <c r="J82" s="769" t="str">
        <f>IF($D$7="X", IF('Calculs Péremption FA'!AT35="ND", "", IF('Calculs Péremption FA'!AU35="OK", "OK", CONCATENATE('TRAD-Quanti et TdB Péremptions'!$B$95, ROUNDUP('Calculs Péremption FA'!AT35, 0), " ", 'TRAD-Quanti et TdB Péremptions'!$B$96, ROUNDUP('Calculs Péremption FA'!AV35, 0), " US$"))), IF($D$6="X", IF('Calculs Péremption conso'!AT35="ND", "", IF('Calculs Péremption conso'!AU35="OK", "OK", CONCATENATE('TRAD-Quanti et TdB Péremptions'!$B$95, ROUNDUP('Calculs Péremption conso'!AT35, 0), " ", 'TRAD-Quanti et TdB Péremptions'!$B$96, ROUNDUP('Calculs Péremption conso'!AV35, 0), " US$"))), "ND"))</f>
        <v/>
      </c>
      <c r="K82" s="768" t="str">
        <f>IF('Saisie données stocks'!Y47="", "", 'Saisie données stocks'!Y47)</f>
        <v/>
      </c>
      <c r="L82" s="769" t="str">
        <f>IF($D$7="X", IF('Calculs Péremption FA'!BB35="ND", "", IF('Calculs Péremption FA'!BC35="OK", "OK", CONCATENATE('TRAD-Quanti et TdB Péremptions'!$B$95, ROUNDUP('Calculs Péremption FA'!BB35, 0), " ", 'TRAD-Quanti et TdB Péremptions'!$B$96, ROUNDUP('Calculs Péremption FA'!BD35, 0), " US$"))), IF($D$6="X", IF('Calculs Péremption conso'!BB35="ND", "", IF('Calculs Péremption conso'!BC35="OK", "OK", CONCATENATE('TRAD-Quanti et TdB Péremptions'!$B$95, ROUNDUP('Calculs Péremption conso'!BB35, 0), " ", 'TRAD-Quanti et TdB Péremptions'!$B$96, ROUNDUP('Calculs Péremption conso'!BD35, 0), " US$"))), "ND"))</f>
        <v/>
      </c>
      <c r="M82" s="768" t="str">
        <f>IF('Saisie données stocks'!AA47="", "", 'Saisie données stocks'!AA47)</f>
        <v/>
      </c>
      <c r="N82" s="769" t="str">
        <f>IF($D$7="X", IF('Calculs Péremption FA'!BJ35="ND", "", IF('Calculs Péremption FA'!BK35="OK", "OK", CONCATENATE('TRAD-Quanti et TdB Péremptions'!$B$95, ROUNDUP('Calculs Péremption FA'!BJ35, 0), " ", 'TRAD-Quanti et TdB Péremptions'!$B$96, ROUNDUP('Calculs Péremption FA'!BL35, 0), " US$"))), IF($D$6="X", IF('Calculs Péremption conso'!BJ35="ND", "", IF('Calculs Péremption conso'!BK35="OK", "OK", CONCATENATE('TRAD-Quanti et TdB Péremptions'!$B$95, ROUNDUP('Calculs Péremption conso'!BJ35, 0), " ", 'TRAD-Quanti et TdB Péremptions'!$B$96, ROUNDUP('Calculs Péremption conso'!BL35, 0), " US$"))), "ND"))</f>
        <v/>
      </c>
      <c r="O82" s="768" t="str">
        <f>IF('Saisie données stocks'!AC47="", "", 'Saisie données stocks'!AC47)</f>
        <v/>
      </c>
      <c r="P82" s="769" t="str">
        <f>IF($D$7="X", IF('Calculs Péremption FA'!BR35="ND", "", IF('Calculs Péremption FA'!BS35="OK", "OK", CONCATENATE('TRAD-Quanti et TdB Péremptions'!$B$95, ROUNDUP('Calculs Péremption FA'!BR35, 0), " ", 'TRAD-Quanti et TdB Péremptions'!$B$96, ROUNDUP('Calculs Péremption FA'!BT35, 0), " US$"))), IF($D$6="X", IF('Calculs Péremption conso'!BR35="ND", "", IF('Calculs Péremption conso'!BS35="OK", "OK", CONCATENATE('TRAD-Quanti et TdB Péremptions'!$B$95, ROUNDUP('Calculs Péremption conso'!BR35, 0), " ", 'TRAD-Quanti et TdB Péremptions'!$B$96, ROUNDUP('Calculs Péremption conso'!BT35, 0), " US$"))), "ND"))</f>
        <v/>
      </c>
    </row>
    <row r="83" spans="2:16" x14ac:dyDescent="0.2">
      <c r="B83" s="774" t="str">
        <f>CONCATENATE('Calculs Péremption FA'!D36, " - ", 'Calculs Péremption FA'!F36, " - ", 'Calculs Péremption FA'!E36, " - B/", 'Calculs Péremption FA'!I36)</f>
        <v>DDI - 250 mg - Cp - B/30</v>
      </c>
      <c r="C83" s="771"/>
      <c r="D83" s="772"/>
      <c r="E83" s="771"/>
      <c r="F83" s="772"/>
      <c r="G83" s="771"/>
      <c r="H83" s="772"/>
      <c r="I83" s="771"/>
      <c r="J83" s="772"/>
      <c r="K83" s="771"/>
      <c r="L83" s="772"/>
      <c r="M83" s="771"/>
      <c r="N83" s="772"/>
      <c r="O83" s="771"/>
      <c r="P83" s="772"/>
    </row>
    <row r="84" spans="2:16" ht="36" customHeight="1" x14ac:dyDescent="0.2">
      <c r="B84" s="767" t="str">
        <f>IF('Calculs Péremption FA'!P36="OK", "", 'TRAD-Quanti et TdB Péremptions'!$B$97)</f>
        <v/>
      </c>
      <c r="C84" s="768" t="str">
        <f>IF('Saisie données stocks'!Q48="", "", 'Saisie données stocks'!Q48)</f>
        <v/>
      </c>
      <c r="D84" s="769" t="str">
        <f>IF($D$7="X", IF('Calculs Péremption FA'!V36="ND", "", IF('Calculs Péremption FA'!W36="OK", "OK", CONCATENATE('TRAD-Quanti et TdB Péremptions'!$B$95, ROUNDUP('Calculs Péremption FA'!V36, 0), " ", 'TRAD-Quanti et TdB Péremptions'!$B$96, ROUNDUP('Calculs Péremption FA'!X36, 0), " US$"))), IF($D$6="X", IF('Calculs Péremption conso'!V36="ND", "", IF('Calculs Péremption conso'!W36="OK", "OK", CONCATENATE('TRAD-Quanti et TdB Péremptions'!$B$95, ROUNDUP('Calculs Péremption conso'!V36, 0), " ", 'TRAD-Quanti et TdB Péremptions'!$B$96, ROUNDUP('Calculs Péremption conso'!X36, 0), " US$"))), "ND"))</f>
        <v/>
      </c>
      <c r="E84" s="768" t="str">
        <f>IF('Saisie données stocks'!S48="", "", 'Saisie données stocks'!S48)</f>
        <v/>
      </c>
      <c r="F84" s="769" t="str">
        <f>IF($D$7="X", IF('Calculs Péremption FA'!AD36="ND", "", IF('Calculs Péremption FA'!AE36="OK", "OK", CONCATENATE('TRAD-Quanti et TdB Péremptions'!$B$95, ROUNDUP('Calculs Péremption FA'!AD36, 0), " ", 'TRAD-Quanti et TdB Péremptions'!$B$96, ROUNDUP('Calculs Péremption FA'!AF36, 0), " US$"))), IF($D$6="X", IF('Calculs Péremption conso'!AD36="ND", "", IF('Calculs Péremption conso'!AE36="OK", "OK", CONCATENATE('TRAD-Quanti et TdB Péremptions'!$B$95, ROUNDUP('Calculs Péremption conso'!AD36, 0), " ", 'TRAD-Quanti et TdB Péremptions'!$B$96, ROUNDUP('Calculs Péremption conso'!AF36, 0), " US$"))), "ND"))</f>
        <v/>
      </c>
      <c r="G84" s="768" t="str">
        <f>IF('Saisie données stocks'!U48="", "", 'Saisie données stocks'!U48)</f>
        <v/>
      </c>
      <c r="H84" s="769" t="str">
        <f>IF($D$7="X", IF('Calculs Péremption FA'!AL36="ND", "", IF('Calculs Péremption FA'!AM36="OK", "OK", CONCATENATE('TRAD-Quanti et TdB Péremptions'!$B$95, ROUNDUP('Calculs Péremption FA'!AL36, 0), " ", 'TRAD-Quanti et TdB Péremptions'!$B$96, ROUNDUP('Calculs Péremption FA'!AN36, 0), " US$"))), IF($D$6="X", IF('Calculs Péremption conso'!AL36="ND", "", IF('Calculs Péremption conso'!AM36="OK", "OK", CONCATENATE('TRAD-Quanti et TdB Péremptions'!$B$95, ROUNDUP('Calculs Péremption conso'!AL36, 0), " ", 'TRAD-Quanti et TdB Péremptions'!$B$96, ROUNDUP('Calculs Péremption conso'!AN36, 0), " US$"))), "ND"))</f>
        <v/>
      </c>
      <c r="I84" s="768" t="str">
        <f>IF('Saisie données stocks'!W48="", "", 'Saisie données stocks'!W48)</f>
        <v/>
      </c>
      <c r="J84" s="769" t="str">
        <f>IF($D$7="X", IF('Calculs Péremption FA'!AT36="ND", "", IF('Calculs Péremption FA'!AU36="OK", "OK", CONCATENATE('TRAD-Quanti et TdB Péremptions'!$B$95, ROUNDUP('Calculs Péremption FA'!AT36, 0), " ", 'TRAD-Quanti et TdB Péremptions'!$B$96, ROUNDUP('Calculs Péremption FA'!AV36, 0), " US$"))), IF($D$6="X", IF('Calculs Péremption conso'!AT36="ND", "", IF('Calculs Péremption conso'!AU36="OK", "OK", CONCATENATE('TRAD-Quanti et TdB Péremptions'!$B$95, ROUNDUP('Calculs Péremption conso'!AT36, 0), " ", 'TRAD-Quanti et TdB Péremptions'!$B$96, ROUNDUP('Calculs Péremption conso'!AV36, 0), " US$"))), "ND"))</f>
        <v/>
      </c>
      <c r="K84" s="768" t="str">
        <f>IF('Saisie données stocks'!Y48="", "", 'Saisie données stocks'!Y48)</f>
        <v/>
      </c>
      <c r="L84" s="769" t="str">
        <f>IF($D$7="X", IF('Calculs Péremption FA'!BB36="ND", "", IF('Calculs Péremption FA'!BC36="OK", "OK", CONCATENATE('TRAD-Quanti et TdB Péremptions'!$B$95, ROUNDUP('Calculs Péremption FA'!BB36, 0), " ", 'TRAD-Quanti et TdB Péremptions'!$B$96, ROUNDUP('Calculs Péremption FA'!BD36, 0), " US$"))), IF($D$6="X", IF('Calculs Péremption conso'!BB36="ND", "", IF('Calculs Péremption conso'!BC36="OK", "OK", CONCATENATE('TRAD-Quanti et TdB Péremptions'!$B$95, ROUNDUP('Calculs Péremption conso'!BB36, 0), " ", 'TRAD-Quanti et TdB Péremptions'!$B$96, ROUNDUP('Calculs Péremption conso'!BD36, 0), " US$"))), "ND"))</f>
        <v/>
      </c>
      <c r="M84" s="768" t="str">
        <f>IF('Saisie données stocks'!AA48="", "", 'Saisie données stocks'!AA48)</f>
        <v/>
      </c>
      <c r="N84" s="769" t="str">
        <f>IF($D$7="X", IF('Calculs Péremption FA'!BJ36="ND", "", IF('Calculs Péremption FA'!BK36="OK", "OK", CONCATENATE('TRAD-Quanti et TdB Péremptions'!$B$95, ROUNDUP('Calculs Péremption FA'!BJ36, 0), " ", 'TRAD-Quanti et TdB Péremptions'!$B$96, ROUNDUP('Calculs Péremption FA'!BL36, 0), " US$"))), IF($D$6="X", IF('Calculs Péremption conso'!BJ36="ND", "", IF('Calculs Péremption conso'!BK36="OK", "OK", CONCATENATE('TRAD-Quanti et TdB Péremptions'!$B$95, ROUNDUP('Calculs Péremption conso'!BJ36, 0), " ", 'TRAD-Quanti et TdB Péremptions'!$B$96, ROUNDUP('Calculs Péremption conso'!BL36, 0), " US$"))), "ND"))</f>
        <v/>
      </c>
      <c r="O84" s="768" t="str">
        <f>IF('Saisie données stocks'!AC48="", "", 'Saisie données stocks'!AC48)</f>
        <v/>
      </c>
      <c r="P84" s="769" t="str">
        <f>IF($D$7="X", IF('Calculs Péremption FA'!BR36="ND", "", IF('Calculs Péremption FA'!BS36="OK", "OK", CONCATENATE('TRAD-Quanti et TdB Péremptions'!$B$95, ROUNDUP('Calculs Péremption FA'!BR36, 0), " ", 'TRAD-Quanti et TdB Péremptions'!$B$96, ROUNDUP('Calculs Péremption FA'!BT36, 0), " US$"))), IF($D$6="X", IF('Calculs Péremption conso'!BR36="ND", "", IF('Calculs Péremption conso'!BS36="OK", "OK", CONCATENATE('TRAD-Quanti et TdB Péremptions'!$B$95, ROUNDUP('Calculs Péremption conso'!BR36, 0), " ", 'TRAD-Quanti et TdB Péremptions'!$B$96, ROUNDUP('Calculs Péremption conso'!BT36, 0), " US$"))), "ND"))</f>
        <v/>
      </c>
    </row>
    <row r="85" spans="2:16" x14ac:dyDescent="0.2">
      <c r="B85" s="774" t="str">
        <f>CONCATENATE('Calculs Péremption FA'!D37, " - ", 'Calculs Péremption FA'!F37, " - ", 'Calculs Péremption FA'!E37, " - B/", 'Calculs Péremption FA'!I37)</f>
        <v>DDI - 400 mg - Cp - B/30</v>
      </c>
      <c r="C85" s="771"/>
      <c r="D85" s="772"/>
      <c r="E85" s="771"/>
      <c r="F85" s="772"/>
      <c r="G85" s="771"/>
      <c r="H85" s="772"/>
      <c r="I85" s="771"/>
      <c r="J85" s="772"/>
      <c r="K85" s="771"/>
      <c r="L85" s="772"/>
      <c r="M85" s="771"/>
      <c r="N85" s="772"/>
      <c r="O85" s="771"/>
      <c r="P85" s="772"/>
    </row>
    <row r="86" spans="2:16" ht="36" customHeight="1" x14ac:dyDescent="0.2">
      <c r="B86" s="767" t="str">
        <f>IF('Calculs Péremption FA'!P37="OK", "", 'TRAD-Quanti et TdB Péremptions'!$B$97)</f>
        <v/>
      </c>
      <c r="C86" s="768">
        <f>IF('Saisie données stocks'!Q49="", "", 'Saisie données stocks'!Q49)</f>
        <v>41974</v>
      </c>
      <c r="D86" s="769" t="str">
        <f>IF($D$7="X", IF('Calculs Péremption FA'!V37="ND", "", IF('Calculs Péremption FA'!W37="OK", "OK", CONCATENATE('TRAD-Quanti et TdB Péremptions'!$B$95, ROUNDUP('Calculs Péremption FA'!V37, 0), " ", 'TRAD-Quanti et TdB Péremptions'!$B$96, ROUNDUP('Calculs Péremption FA'!X37, 0), " US$"))), IF($D$6="X", IF('Calculs Péremption conso'!V37="ND", "", IF('Calculs Péremption conso'!W37="OK", "OK", CONCATENATE('TRAD-Quanti et TdB Péremptions'!$B$95, ROUNDUP('Calculs Péremption conso'!V37, 0), " ", 'TRAD-Quanti et TdB Péremptions'!$B$96, ROUNDUP('Calculs Péremption conso'!X37, 0), " US$"))), "ND"))</f>
        <v>Attention - pertes-777 Btes - 17926 US$</v>
      </c>
      <c r="E86" s="768">
        <f>IF('Saisie données stocks'!S49="", "", 'Saisie données stocks'!S49)</f>
        <v>42095</v>
      </c>
      <c r="F86" s="769" t="str">
        <f>IF($D$7="X", IF('Calculs Péremption FA'!AD37="ND", "", IF('Calculs Péremption FA'!AE37="OK", "OK", CONCATENATE('TRAD-Quanti et TdB Péremptions'!$B$95, ROUNDUP('Calculs Péremption FA'!AD37, 0), " ", 'TRAD-Quanti et TdB Péremptions'!$B$96, ROUNDUP('Calculs Péremption FA'!AF37, 0), " US$"))), IF($D$6="X", IF('Calculs Péremption conso'!AD37="ND", "", IF('Calculs Péremption conso'!AE37="OK", "OK", CONCATENATE('TRAD-Quanti et TdB Péremptions'!$B$95, ROUNDUP('Calculs Péremption conso'!AD37, 0), " ", 'TRAD-Quanti et TdB Péremptions'!$B$96, ROUNDUP('Calculs Péremption conso'!AF37, 0), " US$"))), "ND"))</f>
        <v>Attention - pertes-119 Btes - 2726 US$</v>
      </c>
      <c r="G86" s="768">
        <f>IF('Saisie données stocks'!U49="", "", 'Saisie données stocks'!U49)</f>
        <v>42217</v>
      </c>
      <c r="H86" s="769" t="str">
        <f>IF($D$7="X", IF('Calculs Péremption FA'!AL37="ND", "", IF('Calculs Péremption FA'!AM37="OK", "OK", CONCATENATE('TRAD-Quanti et TdB Péremptions'!$B$95, ROUNDUP('Calculs Péremption FA'!AL37, 0), " ", 'TRAD-Quanti et TdB Péremptions'!$B$96, ROUNDUP('Calculs Péremption FA'!AN37, 0), " US$"))), IF($D$6="X", IF('Calculs Péremption conso'!AL37="ND", "", IF('Calculs Péremption conso'!AM37="OK", "OK", CONCATENATE('TRAD-Quanti et TdB Péremptions'!$B$95, ROUNDUP('Calculs Péremption conso'!AL37, 0), " ", 'TRAD-Quanti et TdB Péremptions'!$B$96, ROUNDUP('Calculs Péremption conso'!AN37, 0), " US$"))), "ND"))</f>
        <v>Attention - pertes-42 Btes - 970 US$</v>
      </c>
      <c r="I86" s="768" t="str">
        <f>IF('Saisie données stocks'!W49="", "", 'Saisie données stocks'!W49)</f>
        <v/>
      </c>
      <c r="J86" s="769" t="str">
        <f>IF($D$7="X", IF('Calculs Péremption FA'!AT37="ND", "", IF('Calculs Péremption FA'!AU37="OK", "OK", CONCATENATE('TRAD-Quanti et TdB Péremptions'!$B$95, ROUNDUP('Calculs Péremption FA'!AT37, 0), " ", 'TRAD-Quanti et TdB Péremptions'!$B$96, ROUNDUP('Calculs Péremption FA'!AV37, 0), " US$"))), IF($D$6="X", IF('Calculs Péremption conso'!AT37="ND", "", IF('Calculs Péremption conso'!AU37="OK", "OK", CONCATENATE('TRAD-Quanti et TdB Péremptions'!$B$95, ROUNDUP('Calculs Péremption conso'!AT37, 0), " ", 'TRAD-Quanti et TdB Péremptions'!$B$96, ROUNDUP('Calculs Péremption conso'!AV37, 0), " US$"))), "ND"))</f>
        <v/>
      </c>
      <c r="K86" s="768" t="str">
        <f>IF('Saisie données stocks'!Y49="", "", 'Saisie données stocks'!Y49)</f>
        <v/>
      </c>
      <c r="L86" s="769" t="str">
        <f>IF($D$7="X", IF('Calculs Péremption FA'!BB37="ND", "", IF('Calculs Péremption FA'!BC37="OK", "OK", CONCATENATE('TRAD-Quanti et TdB Péremptions'!$B$95, ROUNDUP('Calculs Péremption FA'!BB37, 0), " ", 'TRAD-Quanti et TdB Péremptions'!$B$96, ROUNDUP('Calculs Péremption FA'!BD37, 0), " US$"))), IF($D$6="X", IF('Calculs Péremption conso'!BB37="ND", "", IF('Calculs Péremption conso'!BC37="OK", "OK", CONCATENATE('TRAD-Quanti et TdB Péremptions'!$B$95, ROUNDUP('Calculs Péremption conso'!BB37, 0), " ", 'TRAD-Quanti et TdB Péremptions'!$B$96, ROUNDUP('Calculs Péremption conso'!BD37, 0), " US$"))), "ND"))</f>
        <v/>
      </c>
      <c r="M86" s="768" t="str">
        <f>IF('Saisie données stocks'!AA49="", "", 'Saisie données stocks'!AA49)</f>
        <v/>
      </c>
      <c r="N86" s="769" t="str">
        <f>IF($D$7="X", IF('Calculs Péremption FA'!BJ37="ND", "", IF('Calculs Péremption FA'!BK37="OK", "OK", CONCATENATE('TRAD-Quanti et TdB Péremptions'!$B$95, ROUNDUP('Calculs Péremption FA'!BJ37, 0), " ", 'TRAD-Quanti et TdB Péremptions'!$B$96, ROUNDUP('Calculs Péremption FA'!BL37, 0), " US$"))), IF($D$6="X", IF('Calculs Péremption conso'!BJ37="ND", "", IF('Calculs Péremption conso'!BK37="OK", "OK", CONCATENATE('TRAD-Quanti et TdB Péremptions'!$B$95, ROUNDUP('Calculs Péremption conso'!BJ37, 0), " ", 'TRAD-Quanti et TdB Péremptions'!$B$96, ROUNDUP('Calculs Péremption conso'!BL37, 0), " US$"))), "ND"))</f>
        <v/>
      </c>
      <c r="O86" s="768" t="str">
        <f>IF('Saisie données stocks'!AC49="", "", 'Saisie données stocks'!AC49)</f>
        <v/>
      </c>
      <c r="P86" s="769" t="str">
        <f>IF($D$7="X", IF('Calculs Péremption FA'!BR37="ND", "", IF('Calculs Péremption FA'!BS37="OK", "OK", CONCATENATE('TRAD-Quanti et TdB Péremptions'!$B$95, ROUNDUP('Calculs Péremption FA'!BR37, 0), " ", 'TRAD-Quanti et TdB Péremptions'!$B$96, ROUNDUP('Calculs Péremption FA'!BT37, 0), " US$"))), IF($D$6="X", IF('Calculs Péremption conso'!BR37="ND", "", IF('Calculs Péremption conso'!BS37="OK", "OK", CONCATENATE('TRAD-Quanti et TdB Péremptions'!$B$95, ROUNDUP('Calculs Péremption conso'!BR37, 0), " ", 'TRAD-Quanti et TdB Péremptions'!$B$96, ROUNDUP('Calculs Péremption conso'!BT37, 0), " US$"))), "ND"))</f>
        <v/>
      </c>
    </row>
    <row r="87" spans="2:16" x14ac:dyDescent="0.2">
      <c r="B87" s="774" t="str">
        <f>CONCATENATE('Calculs Péremption FA'!D38, " - ", 'Calculs Péremption FA'!F38, " - ", 'Calculs Péremption FA'!E38, " - B/", 'Calculs Péremption FA'!I38)</f>
        <v>TDF - 300 mg - Cp - B/30</v>
      </c>
      <c r="C87" s="771"/>
      <c r="D87" s="772"/>
      <c r="E87" s="771"/>
      <c r="F87" s="772"/>
      <c r="G87" s="771"/>
      <c r="H87" s="772"/>
      <c r="I87" s="771"/>
      <c r="J87" s="772"/>
      <c r="K87" s="771"/>
      <c r="L87" s="772"/>
      <c r="M87" s="771"/>
      <c r="N87" s="772"/>
      <c r="O87" s="771"/>
      <c r="P87" s="772"/>
    </row>
    <row r="88" spans="2:16" ht="36" customHeight="1" thickBot="1" x14ac:dyDescent="0.25">
      <c r="B88" s="2551" t="str">
        <f>IF('Calculs Péremption FA'!P38="OK", "", 'TRAD-Quanti et TdB Péremptions'!$B$97)</f>
        <v/>
      </c>
      <c r="C88" s="762" t="str">
        <f>IF('Saisie données stocks'!Q50="", "", 'Saisie données stocks'!Q50)</f>
        <v/>
      </c>
      <c r="D88" s="763" t="str">
        <f>IF($D$7="X", IF('Calculs Péremption FA'!V38="ND", "", IF('Calculs Péremption FA'!W38="OK", "OK", CONCATENATE('TRAD-Quanti et TdB Péremptions'!$B$95, ROUNDUP('Calculs Péremption FA'!V38, 0), " ", 'TRAD-Quanti et TdB Péremptions'!$B$96, ROUNDUP('Calculs Péremption FA'!X38, 0), " US$"))), IF($D$6="X", IF('Calculs Péremption conso'!V38="ND", "", IF('Calculs Péremption conso'!W38="OK", "OK", CONCATENATE('TRAD-Quanti et TdB Péremptions'!$B$95, ROUNDUP('Calculs Péremption conso'!V38, 0), " ", 'TRAD-Quanti et TdB Péremptions'!$B$96, ROUNDUP('Calculs Péremption conso'!X38, 0), " US$"))), "ND"))</f>
        <v/>
      </c>
      <c r="E88" s="762" t="str">
        <f>IF('Saisie données stocks'!S50="", "", 'Saisie données stocks'!S50)</f>
        <v/>
      </c>
      <c r="F88" s="763" t="str">
        <f>IF($D$7="X", IF('Calculs Péremption FA'!AD38="ND", "", IF('Calculs Péremption FA'!AE38="OK", "OK", CONCATENATE('TRAD-Quanti et TdB Péremptions'!$B$95, ROUNDUP('Calculs Péremption FA'!AD38, 0), " ", 'TRAD-Quanti et TdB Péremptions'!$B$96, ROUNDUP('Calculs Péremption FA'!AF38, 0), " US$"))), IF($D$6="X", IF('Calculs Péremption conso'!AD38="ND", "", IF('Calculs Péremption conso'!AE38="OK", "OK", CONCATENATE('TRAD-Quanti et TdB Péremptions'!$B$95, ROUNDUP('Calculs Péremption conso'!AD38, 0), " ", 'TRAD-Quanti et TdB Péremptions'!$B$96, ROUNDUP('Calculs Péremption conso'!AF38, 0), " US$"))), "ND"))</f>
        <v/>
      </c>
      <c r="G88" s="762" t="str">
        <f>IF('Saisie données stocks'!U50="", "", 'Saisie données stocks'!U50)</f>
        <v/>
      </c>
      <c r="H88" s="763" t="str">
        <f>IF($D$7="X", IF('Calculs Péremption FA'!AL38="ND", "", IF('Calculs Péremption FA'!AM38="OK", "OK", CONCATENATE('TRAD-Quanti et TdB Péremptions'!$B$95, ROUNDUP('Calculs Péremption FA'!AL38, 0), " ", 'TRAD-Quanti et TdB Péremptions'!$B$96, ROUNDUP('Calculs Péremption FA'!AN38, 0), " US$"))), IF($D$6="X", IF('Calculs Péremption conso'!AL38="ND", "", IF('Calculs Péremption conso'!AM38="OK", "OK", CONCATENATE('TRAD-Quanti et TdB Péremptions'!$B$95, ROUNDUP('Calculs Péremption conso'!AL38, 0), " ", 'TRAD-Quanti et TdB Péremptions'!$B$96, ROUNDUP('Calculs Péremption conso'!AN38, 0), " US$"))), "ND"))</f>
        <v/>
      </c>
      <c r="I88" s="762" t="str">
        <f>IF('Saisie données stocks'!W50="", "", 'Saisie données stocks'!W50)</f>
        <v/>
      </c>
      <c r="J88" s="763" t="str">
        <f>IF($D$7="X", IF('Calculs Péremption FA'!AT38="ND", "", IF('Calculs Péremption FA'!AU38="OK", "OK", CONCATENATE('TRAD-Quanti et TdB Péremptions'!$B$95, ROUNDUP('Calculs Péremption FA'!AT38, 0), " ", 'TRAD-Quanti et TdB Péremptions'!$B$96, ROUNDUP('Calculs Péremption FA'!AV38, 0), " US$"))), IF($D$6="X", IF('Calculs Péremption conso'!AT38="ND", "", IF('Calculs Péremption conso'!AU38="OK", "OK", CONCATENATE('TRAD-Quanti et TdB Péremptions'!$B$95, ROUNDUP('Calculs Péremption conso'!AT38, 0), " ", 'TRAD-Quanti et TdB Péremptions'!$B$96, ROUNDUP('Calculs Péremption conso'!AV38, 0), " US$"))), "ND"))</f>
        <v/>
      </c>
      <c r="K88" s="762" t="str">
        <f>IF('Saisie données stocks'!Y50="", "", 'Saisie données stocks'!Y50)</f>
        <v/>
      </c>
      <c r="L88" s="763" t="str">
        <f>IF($D$7="X", IF('Calculs Péremption FA'!BB38="ND", "", IF('Calculs Péremption FA'!BC38="OK", "OK", CONCATENATE('TRAD-Quanti et TdB Péremptions'!$B$95, ROUNDUP('Calculs Péremption FA'!BB38, 0), " ", 'TRAD-Quanti et TdB Péremptions'!$B$96, ROUNDUP('Calculs Péremption FA'!BD38, 0), " US$"))), IF($D$6="X", IF('Calculs Péremption conso'!BB38="ND", "", IF('Calculs Péremption conso'!BC38="OK", "OK", CONCATENATE('TRAD-Quanti et TdB Péremptions'!$B$95, ROUNDUP('Calculs Péremption conso'!BB38, 0), " ", 'TRAD-Quanti et TdB Péremptions'!$B$96, ROUNDUP('Calculs Péremption conso'!BD38, 0), " US$"))), "ND"))</f>
        <v/>
      </c>
      <c r="M88" s="762" t="str">
        <f>IF('Saisie données stocks'!AA50="", "", 'Saisie données stocks'!AA50)</f>
        <v/>
      </c>
      <c r="N88" s="763" t="str">
        <f>IF($D$7="X", IF('Calculs Péremption FA'!BJ38="ND", "", IF('Calculs Péremption FA'!BK38="OK", "OK", CONCATENATE('TRAD-Quanti et TdB Péremptions'!$B$95, ROUNDUP('Calculs Péremption FA'!BJ38, 0), " ", 'TRAD-Quanti et TdB Péremptions'!$B$96, ROUNDUP('Calculs Péremption FA'!BL38, 0), " US$"))), IF($D$6="X", IF('Calculs Péremption conso'!BJ38="ND", "", IF('Calculs Péremption conso'!BK38="OK", "OK", CONCATENATE('TRAD-Quanti et TdB Péremptions'!$B$95, ROUNDUP('Calculs Péremption conso'!BJ38, 0), " ", 'TRAD-Quanti et TdB Péremptions'!$B$96, ROUNDUP('Calculs Péremption conso'!BL38, 0), " US$"))), "ND"))</f>
        <v/>
      </c>
      <c r="O88" s="762" t="str">
        <f>IF('Saisie données stocks'!AC50="", "", 'Saisie données stocks'!AC50)</f>
        <v/>
      </c>
      <c r="P88" s="763" t="str">
        <f>IF($D$7="X", IF('Calculs Péremption FA'!BR38="ND", "", IF('Calculs Péremption FA'!BS38="OK", "OK", CONCATENATE('TRAD-Quanti et TdB Péremptions'!$B$95, ROUNDUP('Calculs Péremption FA'!BR38, 0), " ", 'TRAD-Quanti et TdB Péremptions'!$B$96, ROUNDUP('Calculs Péremption FA'!BT38, 0), " US$"))), IF($D$6="X", IF('Calculs Péremption conso'!BR38="ND", "", IF('Calculs Péremption conso'!BS38="OK", "OK", CONCATENATE('TRAD-Quanti et TdB Péremptions'!$B$95, ROUNDUP('Calculs Péremption conso'!BR38, 0), " ", 'TRAD-Quanti et TdB Péremptions'!$B$96, ROUNDUP('Calculs Péremption conso'!BT38, 0), " US$"))), "ND"))</f>
        <v/>
      </c>
    </row>
    <row r="89" spans="2:16" x14ac:dyDescent="0.2">
      <c r="B89" s="1808" t="str">
        <f>CONCATENATE('Calculs Péremption FA'!D39, " - ", 'Calculs Péremption FA'!F39, " - ", 'Calculs Péremption FA'!E39, " - B/", 'Calculs Péremption FA'!I39)</f>
        <v>LPV/r - 200/50 mg - Cp - B/120</v>
      </c>
      <c r="C89" s="1792"/>
      <c r="D89" s="1793"/>
      <c r="E89" s="1792"/>
      <c r="F89" s="1793"/>
      <c r="G89" s="1792"/>
      <c r="H89" s="1793"/>
      <c r="I89" s="1792"/>
      <c r="J89" s="1793"/>
      <c r="K89" s="1792"/>
      <c r="L89" s="1793"/>
      <c r="M89" s="1792"/>
      <c r="N89" s="1793"/>
      <c r="O89" s="1792"/>
      <c r="P89" s="1793"/>
    </row>
    <row r="90" spans="2:16" ht="36" customHeight="1" x14ac:dyDescent="0.2">
      <c r="B90" s="2550" t="str">
        <f>IF('Calculs Péremption FA'!P39="OK", "", 'TRAD-Quanti et TdB Péremptions'!$B$97)</f>
        <v/>
      </c>
      <c r="C90" s="768">
        <f>IF('Saisie données stocks'!Q51="", "", 'Saisie données stocks'!Q51)</f>
        <v>42278</v>
      </c>
      <c r="D90" s="769" t="str">
        <f>IF($D$7="X", IF('Calculs Péremption FA'!V39="ND", "", IF('Calculs Péremption FA'!W39="OK", "OK", CONCATENATE('TRAD-Quanti et TdB Péremptions'!$B$95, ROUNDUP('Calculs Péremption FA'!V39, 0), " ", 'TRAD-Quanti et TdB Péremptions'!$B$96, ROUNDUP('Calculs Péremption FA'!X39, 0), " US$"))), IF($D$6="X", IF('Calculs Péremption conso'!V39="ND", "", IF('Calculs Péremption conso'!W39="OK", "OK", CONCATENATE('TRAD-Quanti et TdB Péremptions'!$B$95, ROUNDUP('Calculs Péremption conso'!V39, 0), " ", 'TRAD-Quanti et TdB Péremptions'!$B$96, ROUNDUP('Calculs Péremption conso'!X39, 0), " US$"))), "ND"))</f>
        <v>OK</v>
      </c>
      <c r="E90" s="768" t="str">
        <f>IF('Saisie données stocks'!S51="", "", 'Saisie données stocks'!S51)</f>
        <v/>
      </c>
      <c r="F90" s="769" t="str">
        <f>IF($D$7="X", IF('Calculs Péremption FA'!AD39="ND", "", IF('Calculs Péremption FA'!AE39="OK", "OK", CONCATENATE('TRAD-Quanti et TdB Péremptions'!$B$95, ROUNDUP('Calculs Péremption FA'!AD39, 0), " ", 'TRAD-Quanti et TdB Péremptions'!$B$96, ROUNDUP('Calculs Péremption FA'!AF39, 0), " US$"))), IF($D$6="X", IF('Calculs Péremption conso'!AD39="ND", "", IF('Calculs Péremption conso'!AE39="OK", "OK", CONCATENATE('TRAD-Quanti et TdB Péremptions'!$B$95, ROUNDUP('Calculs Péremption conso'!AD39, 0), " ", 'TRAD-Quanti et TdB Péremptions'!$B$96, ROUNDUP('Calculs Péremption conso'!AF39, 0), " US$"))), "ND"))</f>
        <v/>
      </c>
      <c r="G90" s="768" t="str">
        <f>IF('Saisie données stocks'!U51="", "", 'Saisie données stocks'!U51)</f>
        <v/>
      </c>
      <c r="H90" s="769" t="str">
        <f>IF($D$7="X", IF('Calculs Péremption FA'!AL39="ND", "", IF('Calculs Péremption FA'!AM39="OK", "OK", CONCATENATE('TRAD-Quanti et TdB Péremptions'!$B$95, ROUNDUP('Calculs Péremption FA'!AL39, 0), " ", 'TRAD-Quanti et TdB Péremptions'!$B$96, ROUNDUP('Calculs Péremption FA'!AN39, 0), " US$"))), IF($D$6="X", IF('Calculs Péremption conso'!AL39="ND", "", IF('Calculs Péremption conso'!AM39="OK", "OK", CONCATENATE('TRAD-Quanti et TdB Péremptions'!$B$95, ROUNDUP('Calculs Péremption conso'!AL39, 0), " ", 'TRAD-Quanti et TdB Péremptions'!$B$96, ROUNDUP('Calculs Péremption conso'!AN39, 0), " US$"))), "ND"))</f>
        <v/>
      </c>
      <c r="I90" s="768" t="str">
        <f>IF('Saisie données stocks'!W51="", "", 'Saisie données stocks'!W51)</f>
        <v/>
      </c>
      <c r="J90" s="769" t="str">
        <f>IF($D$7="X", IF('Calculs Péremption FA'!AT39="ND", "", IF('Calculs Péremption FA'!AU39="OK", "OK", CONCATENATE('TRAD-Quanti et TdB Péremptions'!$B$95, ROUNDUP('Calculs Péremption FA'!AT39, 0), " ", 'TRAD-Quanti et TdB Péremptions'!$B$96, ROUNDUP('Calculs Péremption FA'!AV39, 0), " US$"))), IF($D$6="X", IF('Calculs Péremption conso'!AT39="ND", "", IF('Calculs Péremption conso'!AU39="OK", "OK", CONCATENATE('TRAD-Quanti et TdB Péremptions'!$B$95, ROUNDUP('Calculs Péremption conso'!AT39, 0), " ", 'TRAD-Quanti et TdB Péremptions'!$B$96, ROUNDUP('Calculs Péremption conso'!AV39, 0), " US$"))), "ND"))</f>
        <v/>
      </c>
      <c r="K90" s="768" t="str">
        <f>IF('Saisie données stocks'!Y51="", "", 'Saisie données stocks'!Y51)</f>
        <v/>
      </c>
      <c r="L90" s="769" t="str">
        <f>IF($D$7="X", IF('Calculs Péremption FA'!BB39="ND", "", IF('Calculs Péremption FA'!BC39="OK", "OK", CONCATENATE('TRAD-Quanti et TdB Péremptions'!$B$95, ROUNDUP('Calculs Péremption FA'!BB39, 0), " ", 'TRAD-Quanti et TdB Péremptions'!$B$96, ROUNDUP('Calculs Péremption FA'!BD39, 0), " US$"))), IF($D$6="X", IF('Calculs Péremption conso'!BB39="ND", "", IF('Calculs Péremption conso'!BC39="OK", "OK", CONCATENATE('TRAD-Quanti et TdB Péremptions'!$B$95, ROUNDUP('Calculs Péremption conso'!BB39, 0), " ", 'TRAD-Quanti et TdB Péremptions'!$B$96, ROUNDUP('Calculs Péremption conso'!BD39, 0), " US$"))), "ND"))</f>
        <v/>
      </c>
      <c r="M90" s="768" t="str">
        <f>IF('Saisie données stocks'!AA51="", "", 'Saisie données stocks'!AA51)</f>
        <v/>
      </c>
      <c r="N90" s="769" t="str">
        <f>IF($D$7="X", IF('Calculs Péremption FA'!BJ39="ND", "", IF('Calculs Péremption FA'!BK39="OK", "OK", CONCATENATE('TRAD-Quanti et TdB Péremptions'!$B$95, ROUNDUP('Calculs Péremption FA'!BJ39, 0), " ", 'TRAD-Quanti et TdB Péremptions'!$B$96, ROUNDUP('Calculs Péremption FA'!BL39, 0), " US$"))), IF($D$6="X", IF('Calculs Péremption conso'!BJ39="ND", "", IF('Calculs Péremption conso'!BK39="OK", "OK", CONCATENATE('TRAD-Quanti et TdB Péremptions'!$B$95, ROUNDUP('Calculs Péremption conso'!BJ39, 0), " ", 'TRAD-Quanti et TdB Péremptions'!$B$96, ROUNDUP('Calculs Péremption conso'!BL39, 0), " US$"))), "ND"))</f>
        <v/>
      </c>
      <c r="O90" s="768" t="str">
        <f>IF('Saisie données stocks'!AC51="", "", 'Saisie données stocks'!AC51)</f>
        <v/>
      </c>
      <c r="P90" s="769" t="str">
        <f>IF($D$7="X", IF('Calculs Péremption FA'!BR39="ND", "", IF('Calculs Péremption FA'!BS39="OK", "OK", CONCATENATE('TRAD-Quanti et TdB Péremptions'!$B$95, ROUNDUP('Calculs Péremption FA'!BR39, 0), " ", 'TRAD-Quanti et TdB Péremptions'!$B$96, ROUNDUP('Calculs Péremption FA'!BT39, 0), " US$"))), IF($D$6="X", IF('Calculs Péremption conso'!BR39="ND", "", IF('Calculs Péremption conso'!BS39="OK", "OK", CONCATENATE('TRAD-Quanti et TdB Péremptions'!$B$95, ROUNDUP('Calculs Péremption conso'!BR39, 0), " ", 'TRAD-Quanti et TdB Péremptions'!$B$96, ROUNDUP('Calculs Péremption conso'!BT39, 0), " US$"))), "ND"))</f>
        <v/>
      </c>
    </row>
    <row r="91" spans="2:16" x14ac:dyDescent="0.2">
      <c r="B91" s="774" t="str">
        <f>CONCATENATE('Calculs Péremption FA'!D40, " - ", 'Calculs Péremption FA'!F40, " - ", 'Calculs Péremption FA'!E40, " - B/", 'Calculs Péremption FA'!I40)</f>
        <v>LPV/r - 100/25 mg - Cp - B/60</v>
      </c>
      <c r="C91" s="771"/>
      <c r="D91" s="772"/>
      <c r="E91" s="771"/>
      <c r="F91" s="772"/>
      <c r="G91" s="771"/>
      <c r="H91" s="772"/>
      <c r="I91" s="771"/>
      <c r="J91" s="772"/>
      <c r="K91" s="771"/>
      <c r="L91" s="772"/>
      <c r="M91" s="771"/>
      <c r="N91" s="772"/>
      <c r="O91" s="771"/>
      <c r="P91" s="772"/>
    </row>
    <row r="92" spans="2:16" ht="36" customHeight="1" x14ac:dyDescent="0.2">
      <c r="B92" s="767" t="str">
        <f>IF('Calculs Péremption FA'!P40="OK", "", 'TRAD-Quanti et TdB Péremptions'!$B$97)</f>
        <v/>
      </c>
      <c r="C92" s="768">
        <f>IF('Saisie données stocks'!Q52="", "", 'Saisie données stocks'!Q52)</f>
        <v>42095</v>
      </c>
      <c r="D92" s="769" t="str">
        <f>IF($D$7="X", IF('Calculs Péremption FA'!V40="ND", "", IF('Calculs Péremption FA'!W40="OK", "OK", CONCATENATE('TRAD-Quanti et TdB Péremptions'!$B$95, ROUNDUP('Calculs Péremption FA'!V40, 0), " ", 'TRAD-Quanti et TdB Péremptions'!$B$96, ROUNDUP('Calculs Péremption FA'!X40, 0), " US$"))), IF($D$6="X", IF('Calculs Péremption conso'!V40="ND", "", IF('Calculs Péremption conso'!W40="OK", "OK", CONCATENATE('TRAD-Quanti et TdB Péremptions'!$B$95, ROUNDUP('Calculs Péremption conso'!V40, 0), " ", 'TRAD-Quanti et TdB Péremptions'!$B$96, ROUNDUP('Calculs Péremption conso'!X40, 0), " US$"))), "ND"))</f>
        <v>Attention - pertes-583 Btes - 4620 US$</v>
      </c>
      <c r="E92" s="768" t="str">
        <f>IF('Saisie données stocks'!S52="", "", 'Saisie données stocks'!S52)</f>
        <v/>
      </c>
      <c r="F92" s="769" t="str">
        <f>IF($D$7="X", IF('Calculs Péremption FA'!AD40="ND", "", IF('Calculs Péremption FA'!AE40="OK", "OK", CONCATENATE('TRAD-Quanti et TdB Péremptions'!$B$95, ROUNDUP('Calculs Péremption FA'!AD40, 0), " ", 'TRAD-Quanti et TdB Péremptions'!$B$96, ROUNDUP('Calculs Péremption FA'!AF40, 0), " US$"))), IF($D$6="X", IF('Calculs Péremption conso'!AD40="ND", "", IF('Calculs Péremption conso'!AE40="OK", "OK", CONCATENATE('TRAD-Quanti et TdB Péremptions'!$B$95, ROUNDUP('Calculs Péremption conso'!AD40, 0), " ", 'TRAD-Quanti et TdB Péremptions'!$B$96, ROUNDUP('Calculs Péremption conso'!AF40, 0), " US$"))), "ND"))</f>
        <v/>
      </c>
      <c r="G92" s="768" t="str">
        <f>IF('Saisie données stocks'!U52="", "", 'Saisie données stocks'!U52)</f>
        <v/>
      </c>
      <c r="H92" s="769" t="str">
        <f>IF($D$7="X", IF('Calculs Péremption FA'!AL40="ND", "", IF('Calculs Péremption FA'!AM40="OK", "OK", CONCATENATE('TRAD-Quanti et TdB Péremptions'!$B$95, ROUNDUP('Calculs Péremption FA'!AL40, 0), " ", 'TRAD-Quanti et TdB Péremptions'!$B$96, ROUNDUP('Calculs Péremption FA'!AN40, 0), " US$"))), IF($D$6="X", IF('Calculs Péremption conso'!AL40="ND", "", IF('Calculs Péremption conso'!AM40="OK", "OK", CONCATENATE('TRAD-Quanti et TdB Péremptions'!$B$95, ROUNDUP('Calculs Péremption conso'!AL40, 0), " ", 'TRAD-Quanti et TdB Péremptions'!$B$96, ROUNDUP('Calculs Péremption conso'!AN40, 0), " US$"))), "ND"))</f>
        <v/>
      </c>
      <c r="I92" s="768" t="str">
        <f>IF('Saisie données stocks'!W52="", "", 'Saisie données stocks'!W52)</f>
        <v/>
      </c>
      <c r="J92" s="769" t="str">
        <f>IF($D$7="X", IF('Calculs Péremption FA'!AT40="ND", "", IF('Calculs Péremption FA'!AU40="OK", "OK", CONCATENATE('TRAD-Quanti et TdB Péremptions'!$B$95, ROUNDUP('Calculs Péremption FA'!AT40, 0), " ", 'TRAD-Quanti et TdB Péremptions'!$B$96, ROUNDUP('Calculs Péremption FA'!AV40, 0), " US$"))), IF($D$6="X", IF('Calculs Péremption conso'!AT40="ND", "", IF('Calculs Péremption conso'!AU40="OK", "OK", CONCATENATE('TRAD-Quanti et TdB Péremptions'!$B$95, ROUNDUP('Calculs Péremption conso'!AT40, 0), " ", 'TRAD-Quanti et TdB Péremptions'!$B$96, ROUNDUP('Calculs Péremption conso'!AV40, 0), " US$"))), "ND"))</f>
        <v/>
      </c>
      <c r="K92" s="768" t="str">
        <f>IF('Saisie données stocks'!Y52="", "", 'Saisie données stocks'!Y52)</f>
        <v/>
      </c>
      <c r="L92" s="769" t="str">
        <f>IF($D$7="X", IF('Calculs Péremption FA'!BB40="ND", "", IF('Calculs Péremption FA'!BC40="OK", "OK", CONCATENATE('TRAD-Quanti et TdB Péremptions'!$B$95, ROUNDUP('Calculs Péremption FA'!BB40, 0), " ", 'TRAD-Quanti et TdB Péremptions'!$B$96, ROUNDUP('Calculs Péremption FA'!BD40, 0), " US$"))), IF($D$6="X", IF('Calculs Péremption conso'!BB40="ND", "", IF('Calculs Péremption conso'!BC40="OK", "OK", CONCATENATE('TRAD-Quanti et TdB Péremptions'!$B$95, ROUNDUP('Calculs Péremption conso'!BB40, 0), " ", 'TRAD-Quanti et TdB Péremptions'!$B$96, ROUNDUP('Calculs Péremption conso'!BD40, 0), " US$"))), "ND"))</f>
        <v/>
      </c>
      <c r="M92" s="768" t="str">
        <f>IF('Saisie données stocks'!AA52="", "", 'Saisie données stocks'!AA52)</f>
        <v/>
      </c>
      <c r="N92" s="769" t="str">
        <f>IF($D$7="X", IF('Calculs Péremption FA'!BJ40="ND", "", IF('Calculs Péremption FA'!BK40="OK", "OK", CONCATENATE('TRAD-Quanti et TdB Péremptions'!$B$95, ROUNDUP('Calculs Péremption FA'!BJ40, 0), " ", 'TRAD-Quanti et TdB Péremptions'!$B$96, ROUNDUP('Calculs Péremption FA'!BL40, 0), " US$"))), IF($D$6="X", IF('Calculs Péremption conso'!BJ40="ND", "", IF('Calculs Péremption conso'!BK40="OK", "OK", CONCATENATE('TRAD-Quanti et TdB Péremptions'!$B$95, ROUNDUP('Calculs Péremption conso'!BJ40, 0), " ", 'TRAD-Quanti et TdB Péremptions'!$B$96, ROUNDUP('Calculs Péremption conso'!BL40, 0), " US$"))), "ND"))</f>
        <v/>
      </c>
      <c r="O92" s="768" t="str">
        <f>IF('Saisie données stocks'!AC52="", "", 'Saisie données stocks'!AC52)</f>
        <v/>
      </c>
      <c r="P92" s="769" t="str">
        <f>IF($D$7="X", IF('Calculs Péremption FA'!BR40="ND", "", IF('Calculs Péremption FA'!BS40="OK", "OK", CONCATENATE('TRAD-Quanti et TdB Péremptions'!$B$95, ROUNDUP('Calculs Péremption FA'!BR40, 0), " ", 'TRAD-Quanti et TdB Péremptions'!$B$96, ROUNDUP('Calculs Péremption FA'!BT40, 0), " US$"))), IF($D$6="X", IF('Calculs Péremption conso'!BR40="ND", "", IF('Calculs Péremption conso'!BS40="OK", "OK", CONCATENATE('TRAD-Quanti et TdB Péremptions'!$B$95, ROUNDUP('Calculs Péremption conso'!BR40, 0), " ", 'TRAD-Quanti et TdB Péremptions'!$B$96, ROUNDUP('Calculs Péremption conso'!BT40, 0), " US$"))), "ND"))</f>
        <v/>
      </c>
    </row>
    <row r="93" spans="2:16" x14ac:dyDescent="0.2">
      <c r="B93" s="774" t="str">
        <f>CONCATENATE('Calculs Péremption FA'!D41, " - ", 'Calculs Péremption FA'!F41, " - ", 'Calculs Péremption FA'!E41, " - B/", 'Calculs Péremption FA'!I41)</f>
        <v>ATV/r - 300/100 mg - Cp - B/30</v>
      </c>
      <c r="C93" s="771"/>
      <c r="D93" s="772"/>
      <c r="E93" s="771"/>
      <c r="F93" s="772"/>
      <c r="G93" s="771"/>
      <c r="H93" s="772"/>
      <c r="I93" s="771"/>
      <c r="J93" s="772"/>
      <c r="K93" s="771"/>
      <c r="L93" s="772"/>
      <c r="M93" s="771"/>
      <c r="N93" s="772"/>
      <c r="O93" s="771"/>
      <c r="P93" s="772"/>
    </row>
    <row r="94" spans="2:16" ht="36" customHeight="1" x14ac:dyDescent="0.2">
      <c r="B94" s="767" t="str">
        <f>IF('Calculs Péremption FA'!P41="OK", "", 'TRAD-Quanti et TdB Péremptions'!$B$97)</f>
        <v/>
      </c>
      <c r="C94" s="768">
        <f>IF('Saisie données stocks'!Q53="", "", 'Saisie données stocks'!Q53)</f>
        <v>42095</v>
      </c>
      <c r="D94" s="769" t="str">
        <f>IF($D$7="X", IF('Calculs Péremption FA'!V41="ND", "", IF('Calculs Péremption FA'!W41="OK", "OK", CONCATENATE('TRAD-Quanti et TdB Péremptions'!$B$95, ROUNDUP('Calculs Péremption FA'!V41, 0), " ", 'TRAD-Quanti et TdB Péremptions'!$B$96, ROUNDUP('Calculs Péremption FA'!X41, 0), " US$"))), IF($D$6="X", IF('Calculs Péremption conso'!V41="ND", "", IF('Calculs Péremption conso'!W41="OK", "OK", CONCATENATE('TRAD-Quanti et TdB Péremptions'!$B$95, ROUNDUP('Calculs Péremption conso'!V41, 0), " ", 'TRAD-Quanti et TdB Péremptions'!$B$96, ROUNDUP('Calculs Péremption conso'!X41, 0), " US$"))), "ND"))</f>
        <v>Attention - pertes-1705 Btes - 42199 US$</v>
      </c>
      <c r="E94" s="768" t="str">
        <f>IF('Saisie données stocks'!S53="", "", 'Saisie données stocks'!S53)</f>
        <v/>
      </c>
      <c r="F94" s="769" t="str">
        <f>IF($D$7="X", IF('Calculs Péremption FA'!AD41="ND", "", IF('Calculs Péremption FA'!AE41="OK", "OK", CONCATENATE('TRAD-Quanti et TdB Péremptions'!$B$95, ROUNDUP('Calculs Péremption FA'!AD41, 0), " ", 'TRAD-Quanti et TdB Péremptions'!$B$96, ROUNDUP('Calculs Péremption FA'!AF41, 0), " US$"))), IF($D$6="X", IF('Calculs Péremption conso'!AD41="ND", "", IF('Calculs Péremption conso'!AE41="OK", "OK", CONCATENATE('TRAD-Quanti et TdB Péremptions'!$B$95, ROUNDUP('Calculs Péremption conso'!AD41, 0), " ", 'TRAD-Quanti et TdB Péremptions'!$B$96, ROUNDUP('Calculs Péremption conso'!AF41, 0), " US$"))), "ND"))</f>
        <v/>
      </c>
      <c r="G94" s="768" t="str">
        <f>IF('Saisie données stocks'!U53="", "", 'Saisie données stocks'!U53)</f>
        <v/>
      </c>
      <c r="H94" s="769" t="str">
        <f>IF($D$7="X", IF('Calculs Péremption FA'!AL41="ND", "", IF('Calculs Péremption FA'!AM41="OK", "OK", CONCATENATE('TRAD-Quanti et TdB Péremptions'!$B$95, ROUNDUP('Calculs Péremption FA'!AL41, 0), " ", 'TRAD-Quanti et TdB Péremptions'!$B$96, ROUNDUP('Calculs Péremption FA'!AN41, 0), " US$"))), IF($D$6="X", IF('Calculs Péremption conso'!AL41="ND", "", IF('Calculs Péremption conso'!AM41="OK", "OK", CONCATENATE('TRAD-Quanti et TdB Péremptions'!$B$95, ROUNDUP('Calculs Péremption conso'!AL41, 0), " ", 'TRAD-Quanti et TdB Péremptions'!$B$96, ROUNDUP('Calculs Péremption conso'!AN41, 0), " US$"))), "ND"))</f>
        <v/>
      </c>
      <c r="I94" s="768" t="str">
        <f>IF('Saisie données stocks'!W53="", "", 'Saisie données stocks'!W53)</f>
        <v/>
      </c>
      <c r="J94" s="769" t="str">
        <f>IF($D$7="X", IF('Calculs Péremption FA'!AT41="ND", "", IF('Calculs Péremption FA'!AU41="OK", "OK", CONCATENATE('TRAD-Quanti et TdB Péremptions'!$B$95, ROUNDUP('Calculs Péremption FA'!AT41, 0), " ", 'TRAD-Quanti et TdB Péremptions'!$B$96, ROUNDUP('Calculs Péremption FA'!AV41, 0), " US$"))), IF($D$6="X", IF('Calculs Péremption conso'!AT41="ND", "", IF('Calculs Péremption conso'!AU41="OK", "OK", CONCATENATE('TRAD-Quanti et TdB Péremptions'!$B$95, ROUNDUP('Calculs Péremption conso'!AT41, 0), " ", 'TRAD-Quanti et TdB Péremptions'!$B$96, ROUNDUP('Calculs Péremption conso'!AV41, 0), " US$"))), "ND"))</f>
        <v/>
      </c>
      <c r="K94" s="768" t="str">
        <f>IF('Saisie données stocks'!Y53="", "", 'Saisie données stocks'!Y53)</f>
        <v/>
      </c>
      <c r="L94" s="769" t="str">
        <f>IF($D$7="X", IF('Calculs Péremption FA'!BB41="ND", "", IF('Calculs Péremption FA'!BC41="OK", "OK", CONCATENATE('TRAD-Quanti et TdB Péremptions'!$B$95, ROUNDUP('Calculs Péremption FA'!BB41, 0), " ", 'TRAD-Quanti et TdB Péremptions'!$B$96, ROUNDUP('Calculs Péremption FA'!BD41, 0), " US$"))), IF($D$6="X", IF('Calculs Péremption conso'!BB41="ND", "", IF('Calculs Péremption conso'!BC41="OK", "OK", CONCATENATE('TRAD-Quanti et TdB Péremptions'!$B$95, ROUNDUP('Calculs Péremption conso'!BB41, 0), " ", 'TRAD-Quanti et TdB Péremptions'!$B$96, ROUNDUP('Calculs Péremption conso'!BD41, 0), " US$"))), "ND"))</f>
        <v/>
      </c>
      <c r="M94" s="768" t="str">
        <f>IF('Saisie données stocks'!AA53="", "", 'Saisie données stocks'!AA53)</f>
        <v/>
      </c>
      <c r="N94" s="769" t="str">
        <f>IF($D$7="X", IF('Calculs Péremption FA'!BJ41="ND", "", IF('Calculs Péremption FA'!BK41="OK", "OK", CONCATENATE('TRAD-Quanti et TdB Péremptions'!$B$95, ROUNDUP('Calculs Péremption FA'!BJ41, 0), " ", 'TRAD-Quanti et TdB Péremptions'!$B$96, ROUNDUP('Calculs Péremption FA'!BL41, 0), " US$"))), IF($D$6="X", IF('Calculs Péremption conso'!BJ41="ND", "", IF('Calculs Péremption conso'!BK41="OK", "OK", CONCATENATE('TRAD-Quanti et TdB Péremptions'!$B$95, ROUNDUP('Calculs Péremption conso'!BJ41, 0), " ", 'TRAD-Quanti et TdB Péremptions'!$B$96, ROUNDUP('Calculs Péremption conso'!BL41, 0), " US$"))), "ND"))</f>
        <v/>
      </c>
      <c r="O94" s="768" t="str">
        <f>IF('Saisie données stocks'!AC53="", "", 'Saisie données stocks'!AC53)</f>
        <v/>
      </c>
      <c r="P94" s="769" t="str">
        <f>IF($D$7="X", IF('Calculs Péremption FA'!BR41="ND", "", IF('Calculs Péremption FA'!BS41="OK", "OK", CONCATENATE('TRAD-Quanti et TdB Péremptions'!$B$95, ROUNDUP('Calculs Péremption FA'!BR41, 0), " ", 'TRAD-Quanti et TdB Péremptions'!$B$96, ROUNDUP('Calculs Péremption FA'!BT41, 0), " US$"))), IF($D$6="X", IF('Calculs Péremption conso'!BR41="ND", "", IF('Calculs Péremption conso'!BS41="OK", "OK", CONCATENATE('TRAD-Quanti et TdB Péremptions'!$B$95, ROUNDUP('Calculs Péremption conso'!BR41, 0), " ", 'TRAD-Quanti et TdB Péremptions'!$B$96, ROUNDUP('Calculs Péremption conso'!BT41, 0), " US$"))), "ND"))</f>
        <v/>
      </c>
    </row>
    <row r="95" spans="2:16" x14ac:dyDescent="0.2">
      <c r="B95" s="774" t="str">
        <f>CONCATENATE('Calculs Péremption FA'!D42, " - ", 'Calculs Péremption FA'!F42, " - ", 'Calculs Péremption FA'!E42, " - B/", 'Calculs Péremption FA'!I42)</f>
        <v>FPV - 700 mg - Cp - B/60</v>
      </c>
      <c r="C95" s="771"/>
      <c r="D95" s="772"/>
      <c r="E95" s="771"/>
      <c r="F95" s="772"/>
      <c r="G95" s="771"/>
      <c r="H95" s="772"/>
      <c r="I95" s="771"/>
      <c r="J95" s="772"/>
      <c r="K95" s="771"/>
      <c r="L95" s="772"/>
      <c r="M95" s="771"/>
      <c r="N95" s="772"/>
      <c r="O95" s="771"/>
      <c r="P95" s="772"/>
    </row>
    <row r="96" spans="2:16" ht="36" customHeight="1" x14ac:dyDescent="0.2">
      <c r="B96" s="767" t="str">
        <f>IF('Calculs Péremption FA'!P42="OK", "", 'TRAD-Quanti et TdB Péremptions'!$B$97)</f>
        <v/>
      </c>
      <c r="C96" s="768" t="str">
        <f>IF('Saisie données stocks'!Q54="", "", 'Saisie données stocks'!Q54)</f>
        <v/>
      </c>
      <c r="D96" s="769" t="str">
        <f>IF($D$7="X", IF('Calculs Péremption FA'!V42="ND", "", IF('Calculs Péremption FA'!W42="OK", "OK", CONCATENATE('TRAD-Quanti et TdB Péremptions'!$B$95, ROUNDUP('Calculs Péremption FA'!V42, 0), " ", 'TRAD-Quanti et TdB Péremptions'!$B$96, ROUNDUP('Calculs Péremption FA'!X42, 0), " US$"))), IF($D$6="X", IF('Calculs Péremption conso'!V42="ND", "", IF('Calculs Péremption conso'!W42="OK", "OK", CONCATENATE('TRAD-Quanti et TdB Péremptions'!$B$95, ROUNDUP('Calculs Péremption conso'!V42, 0), " ", 'TRAD-Quanti et TdB Péremptions'!$B$96, ROUNDUP('Calculs Péremption conso'!X42, 0), " US$"))), "ND"))</f>
        <v/>
      </c>
      <c r="E96" s="768" t="str">
        <f>IF('Saisie données stocks'!S54="", "", 'Saisie données stocks'!S54)</f>
        <v/>
      </c>
      <c r="F96" s="769" t="str">
        <f>IF($D$7="X", IF('Calculs Péremption FA'!AD42="ND", "", IF('Calculs Péremption FA'!AE42="OK", "OK", CONCATENATE('TRAD-Quanti et TdB Péremptions'!$B$95, ROUNDUP('Calculs Péremption FA'!AD42, 0), " ", 'TRAD-Quanti et TdB Péremptions'!$B$96, ROUNDUP('Calculs Péremption FA'!AF42, 0), " US$"))), IF($D$6="X", IF('Calculs Péremption conso'!AD42="ND", "", IF('Calculs Péremption conso'!AE42="OK", "OK", CONCATENATE('TRAD-Quanti et TdB Péremptions'!$B$95, ROUNDUP('Calculs Péremption conso'!AD42, 0), " ", 'TRAD-Quanti et TdB Péremptions'!$B$96, ROUNDUP('Calculs Péremption conso'!AF42, 0), " US$"))), "ND"))</f>
        <v/>
      </c>
      <c r="G96" s="768" t="str">
        <f>IF('Saisie données stocks'!U54="", "", 'Saisie données stocks'!U54)</f>
        <v/>
      </c>
      <c r="H96" s="769" t="str">
        <f>IF($D$7="X", IF('Calculs Péremption FA'!AL42="ND", "", IF('Calculs Péremption FA'!AM42="OK", "OK", CONCATENATE('TRAD-Quanti et TdB Péremptions'!$B$95, ROUNDUP('Calculs Péremption FA'!AL42, 0), " ", 'TRAD-Quanti et TdB Péremptions'!$B$96, ROUNDUP('Calculs Péremption FA'!AN42, 0), " US$"))), IF($D$6="X", IF('Calculs Péremption conso'!AL42="ND", "", IF('Calculs Péremption conso'!AM42="OK", "OK", CONCATENATE('TRAD-Quanti et TdB Péremptions'!$B$95, ROUNDUP('Calculs Péremption conso'!AL42, 0), " ", 'TRAD-Quanti et TdB Péremptions'!$B$96, ROUNDUP('Calculs Péremption conso'!AN42, 0), " US$"))), "ND"))</f>
        <v/>
      </c>
      <c r="I96" s="768" t="str">
        <f>IF('Saisie données stocks'!W54="", "", 'Saisie données stocks'!W54)</f>
        <v/>
      </c>
      <c r="J96" s="769" t="str">
        <f>IF($D$7="X", IF('Calculs Péremption FA'!AT42="ND", "", IF('Calculs Péremption FA'!AU42="OK", "OK", CONCATENATE('TRAD-Quanti et TdB Péremptions'!$B$95, ROUNDUP('Calculs Péremption FA'!AT42, 0), " ", 'TRAD-Quanti et TdB Péremptions'!$B$96, ROUNDUP('Calculs Péremption FA'!AV42, 0), " US$"))), IF($D$6="X", IF('Calculs Péremption conso'!AT42="ND", "", IF('Calculs Péremption conso'!AU42="OK", "OK", CONCATENATE('TRAD-Quanti et TdB Péremptions'!$B$95, ROUNDUP('Calculs Péremption conso'!AT42, 0), " ", 'TRAD-Quanti et TdB Péremptions'!$B$96, ROUNDUP('Calculs Péremption conso'!AV42, 0), " US$"))), "ND"))</f>
        <v/>
      </c>
      <c r="K96" s="768" t="str">
        <f>IF('Saisie données stocks'!Y54="", "", 'Saisie données stocks'!Y54)</f>
        <v/>
      </c>
      <c r="L96" s="769" t="str">
        <f>IF($D$7="X", IF('Calculs Péremption FA'!BB42="ND", "", IF('Calculs Péremption FA'!BC42="OK", "OK", CONCATENATE('TRAD-Quanti et TdB Péremptions'!$B$95, ROUNDUP('Calculs Péremption FA'!BB42, 0), " ", 'TRAD-Quanti et TdB Péremptions'!$B$96, ROUNDUP('Calculs Péremption FA'!BD42, 0), " US$"))), IF($D$6="X", IF('Calculs Péremption conso'!BB42="ND", "", IF('Calculs Péremption conso'!BC42="OK", "OK", CONCATENATE('TRAD-Quanti et TdB Péremptions'!$B$95, ROUNDUP('Calculs Péremption conso'!BB42, 0), " ", 'TRAD-Quanti et TdB Péremptions'!$B$96, ROUNDUP('Calculs Péremption conso'!BD42, 0), " US$"))), "ND"))</f>
        <v/>
      </c>
      <c r="M96" s="768" t="str">
        <f>IF('Saisie données stocks'!AA54="", "", 'Saisie données stocks'!AA54)</f>
        <v/>
      </c>
      <c r="N96" s="769" t="str">
        <f>IF($D$7="X", IF('Calculs Péremption FA'!BJ42="ND", "", IF('Calculs Péremption FA'!BK42="OK", "OK", CONCATENATE('TRAD-Quanti et TdB Péremptions'!$B$95, ROUNDUP('Calculs Péremption FA'!BJ42, 0), " ", 'TRAD-Quanti et TdB Péremptions'!$B$96, ROUNDUP('Calculs Péremption FA'!BL42, 0), " US$"))), IF($D$6="X", IF('Calculs Péremption conso'!BJ42="ND", "", IF('Calculs Péremption conso'!BK42="OK", "OK", CONCATENATE('TRAD-Quanti et TdB Péremptions'!$B$95, ROUNDUP('Calculs Péremption conso'!BJ42, 0), " ", 'TRAD-Quanti et TdB Péremptions'!$B$96, ROUNDUP('Calculs Péremption conso'!BL42, 0), " US$"))), "ND"))</f>
        <v/>
      </c>
      <c r="O96" s="768" t="str">
        <f>IF('Saisie données stocks'!AC54="", "", 'Saisie données stocks'!AC54)</f>
        <v/>
      </c>
      <c r="P96" s="769" t="str">
        <f>IF($D$7="X", IF('Calculs Péremption FA'!BR42="ND", "", IF('Calculs Péremption FA'!BS42="OK", "OK", CONCATENATE('TRAD-Quanti et TdB Péremptions'!$B$95, ROUNDUP('Calculs Péremption FA'!BR42, 0), " ", 'TRAD-Quanti et TdB Péremptions'!$B$96, ROUNDUP('Calculs Péremption FA'!BT42, 0), " US$"))), IF($D$6="X", IF('Calculs Péremption conso'!BR42="ND", "", IF('Calculs Péremption conso'!BS42="OK", "OK", CONCATENATE('TRAD-Quanti et TdB Péremptions'!$B$95, ROUNDUP('Calculs Péremption conso'!BR42, 0), " ", 'TRAD-Quanti et TdB Péremptions'!$B$96, ROUNDUP('Calculs Péremption conso'!BT42, 0), " US$"))), "ND"))</f>
        <v/>
      </c>
    </row>
    <row r="97" spans="2:16" x14ac:dyDescent="0.2">
      <c r="B97" s="774" t="str">
        <f>CONCATENATE('Calculs Péremption FA'!D43, " - ", 'Calculs Péremption FA'!F43, " - ", 'Calculs Péremption FA'!E43, " - B/", 'Calculs Péremption FA'!I43)</f>
        <v>IDV - 400 mg - Gél - B/180</v>
      </c>
      <c r="C97" s="771"/>
      <c r="D97" s="772"/>
      <c r="E97" s="771"/>
      <c r="F97" s="772"/>
      <c r="G97" s="771"/>
      <c r="H97" s="772"/>
      <c r="I97" s="771"/>
      <c r="J97" s="772"/>
      <c r="K97" s="771"/>
      <c r="L97" s="772"/>
      <c r="M97" s="771"/>
      <c r="N97" s="772"/>
      <c r="O97" s="771"/>
      <c r="P97" s="772"/>
    </row>
    <row r="98" spans="2:16" ht="36" customHeight="1" x14ac:dyDescent="0.2">
      <c r="B98" s="2550" t="str">
        <f>IF('Calculs Péremption FA'!P43="OK", "", 'TRAD-Quanti et TdB Péremptions'!$B$97)</f>
        <v/>
      </c>
      <c r="C98" s="768" t="str">
        <f>IF('Saisie données stocks'!Q55="", "", 'Saisie données stocks'!Q55)</f>
        <v/>
      </c>
      <c r="D98" s="769" t="str">
        <f>IF($D$7="X", IF('Calculs Péremption FA'!V43="ND", "", IF('Calculs Péremption FA'!W43="OK", "OK", CONCATENATE('TRAD-Quanti et TdB Péremptions'!$B$95, ROUNDUP('Calculs Péremption FA'!V43, 0), " ", 'TRAD-Quanti et TdB Péremptions'!$B$96, ROUNDUP('Calculs Péremption FA'!X43, 0), " US$"))), IF($D$6="X", IF('Calculs Péremption conso'!V43="ND", "", IF('Calculs Péremption conso'!W43="OK", "OK", CONCATENATE('TRAD-Quanti et TdB Péremptions'!$B$95, ROUNDUP('Calculs Péremption conso'!V43, 0), " ", 'TRAD-Quanti et TdB Péremptions'!$B$96, ROUNDUP('Calculs Péremption conso'!X43, 0), " US$"))), "ND"))</f>
        <v/>
      </c>
      <c r="E98" s="768" t="str">
        <f>IF('Saisie données stocks'!S55="", "", 'Saisie données stocks'!S55)</f>
        <v/>
      </c>
      <c r="F98" s="769" t="str">
        <f>IF($D$7="X", IF('Calculs Péremption FA'!AD43="ND", "", IF('Calculs Péremption FA'!AE43="OK", "OK", CONCATENATE('TRAD-Quanti et TdB Péremptions'!$B$95, ROUNDUP('Calculs Péremption FA'!AD43, 0), " ", 'TRAD-Quanti et TdB Péremptions'!$B$96, ROUNDUP('Calculs Péremption FA'!AF43, 0), " US$"))), IF($D$6="X", IF('Calculs Péremption conso'!AD43="ND", "", IF('Calculs Péremption conso'!AE43="OK", "OK", CONCATENATE('TRAD-Quanti et TdB Péremptions'!$B$95, ROUNDUP('Calculs Péremption conso'!AD43, 0), " ", 'TRAD-Quanti et TdB Péremptions'!$B$96, ROUNDUP('Calculs Péremption conso'!AF43, 0), " US$"))), "ND"))</f>
        <v/>
      </c>
      <c r="G98" s="768" t="str">
        <f>IF('Saisie données stocks'!U55="", "", 'Saisie données stocks'!U55)</f>
        <v/>
      </c>
      <c r="H98" s="769" t="str">
        <f>IF($D$7="X", IF('Calculs Péremption FA'!AL43="ND", "", IF('Calculs Péremption FA'!AM43="OK", "OK", CONCATENATE('TRAD-Quanti et TdB Péremptions'!$B$95, ROUNDUP('Calculs Péremption FA'!AL43, 0), " ", 'TRAD-Quanti et TdB Péremptions'!$B$96, ROUNDUP('Calculs Péremption FA'!AN43, 0), " US$"))), IF($D$6="X", IF('Calculs Péremption conso'!AL43="ND", "", IF('Calculs Péremption conso'!AM43="OK", "OK", CONCATENATE('TRAD-Quanti et TdB Péremptions'!$B$95, ROUNDUP('Calculs Péremption conso'!AL43, 0), " ", 'TRAD-Quanti et TdB Péremptions'!$B$96, ROUNDUP('Calculs Péremption conso'!AN43, 0), " US$"))), "ND"))</f>
        <v/>
      </c>
      <c r="I98" s="768" t="str">
        <f>IF('Saisie données stocks'!W55="", "", 'Saisie données stocks'!W55)</f>
        <v/>
      </c>
      <c r="J98" s="769" t="str">
        <f>IF($D$7="X", IF('Calculs Péremption FA'!AT43="ND", "", IF('Calculs Péremption FA'!AU43="OK", "OK", CONCATENATE('TRAD-Quanti et TdB Péremptions'!$B$95, ROUNDUP('Calculs Péremption FA'!AT43, 0), " ", 'TRAD-Quanti et TdB Péremptions'!$B$96, ROUNDUP('Calculs Péremption FA'!AV43, 0), " US$"))), IF($D$6="X", IF('Calculs Péremption conso'!AT43="ND", "", IF('Calculs Péremption conso'!AU43="OK", "OK", CONCATENATE('TRAD-Quanti et TdB Péremptions'!$B$95, ROUNDUP('Calculs Péremption conso'!AT43, 0), " ", 'TRAD-Quanti et TdB Péremptions'!$B$96, ROUNDUP('Calculs Péremption conso'!AV43, 0), " US$"))), "ND"))</f>
        <v/>
      </c>
      <c r="K98" s="768" t="str">
        <f>IF('Saisie données stocks'!Y55="", "", 'Saisie données stocks'!Y55)</f>
        <v/>
      </c>
      <c r="L98" s="769" t="str">
        <f>IF($D$7="X", IF('Calculs Péremption FA'!BB43="ND", "", IF('Calculs Péremption FA'!BC43="OK", "OK", CONCATENATE('TRAD-Quanti et TdB Péremptions'!$B$95, ROUNDUP('Calculs Péremption FA'!BB43, 0), " ", 'TRAD-Quanti et TdB Péremptions'!$B$96, ROUNDUP('Calculs Péremption FA'!BD43, 0), " US$"))), IF($D$6="X", IF('Calculs Péremption conso'!BB43="ND", "", IF('Calculs Péremption conso'!BC43="OK", "OK", CONCATENATE('TRAD-Quanti et TdB Péremptions'!$B$95, ROUNDUP('Calculs Péremption conso'!BB43, 0), " ", 'TRAD-Quanti et TdB Péremptions'!$B$96, ROUNDUP('Calculs Péremption conso'!BD43, 0), " US$"))), "ND"))</f>
        <v/>
      </c>
      <c r="M98" s="768" t="str">
        <f>IF('Saisie données stocks'!AA55="", "", 'Saisie données stocks'!AA55)</f>
        <v/>
      </c>
      <c r="N98" s="769" t="str">
        <f>IF($D$7="X", IF('Calculs Péremption FA'!BJ43="ND", "", IF('Calculs Péremption FA'!BK43="OK", "OK", CONCATENATE('TRAD-Quanti et TdB Péremptions'!$B$95, ROUNDUP('Calculs Péremption FA'!BJ43, 0), " ", 'TRAD-Quanti et TdB Péremptions'!$B$96, ROUNDUP('Calculs Péremption FA'!BL43, 0), " US$"))), IF($D$6="X", IF('Calculs Péremption conso'!BJ43="ND", "", IF('Calculs Péremption conso'!BK43="OK", "OK", CONCATENATE('TRAD-Quanti et TdB Péremptions'!$B$95, ROUNDUP('Calculs Péremption conso'!BJ43, 0), " ", 'TRAD-Quanti et TdB Péremptions'!$B$96, ROUNDUP('Calculs Péremption conso'!BL43, 0), " US$"))), "ND"))</f>
        <v/>
      </c>
      <c r="O98" s="768" t="str">
        <f>IF('Saisie données stocks'!AC55="", "", 'Saisie données stocks'!AC55)</f>
        <v/>
      </c>
      <c r="P98" s="769" t="str">
        <f>IF($D$7="X", IF('Calculs Péremption FA'!BR43="ND", "", IF('Calculs Péremption FA'!BS43="OK", "OK", CONCATENATE('TRAD-Quanti et TdB Péremptions'!$B$95, ROUNDUP('Calculs Péremption FA'!BR43, 0), " ", 'TRAD-Quanti et TdB Péremptions'!$B$96, ROUNDUP('Calculs Péremption FA'!BT43, 0), " US$"))), IF($D$6="X", IF('Calculs Péremption conso'!BR43="ND", "", IF('Calculs Péremption conso'!BS43="OK", "OK", CONCATENATE('TRAD-Quanti et TdB Péremptions'!$B$95, ROUNDUP('Calculs Péremption conso'!BR43, 0), " ", 'TRAD-Quanti et TdB Péremptions'!$B$96, ROUNDUP('Calculs Péremption conso'!BT43, 0), " US$"))), "ND"))</f>
        <v/>
      </c>
    </row>
    <row r="99" spans="2:16" x14ac:dyDescent="0.2">
      <c r="B99" s="774" t="str">
        <f>CONCATENATE('Calculs Péremption FA'!D44, " - ", 'Calculs Péremption FA'!F44, " - ", 'Calculs Péremption FA'!E44, " - B/", 'Calculs Péremption FA'!I44)</f>
        <v>DRV - 300 mg - Cp - B/60</v>
      </c>
      <c r="C99" s="771"/>
      <c r="D99" s="772"/>
      <c r="E99" s="771"/>
      <c r="F99" s="772"/>
      <c r="G99" s="771"/>
      <c r="H99" s="772"/>
      <c r="I99" s="771"/>
      <c r="J99" s="772"/>
      <c r="K99" s="771"/>
      <c r="L99" s="772"/>
      <c r="M99" s="771"/>
      <c r="N99" s="772"/>
      <c r="O99" s="771"/>
      <c r="P99" s="772"/>
    </row>
    <row r="100" spans="2:16" ht="36" customHeight="1" x14ac:dyDescent="0.2">
      <c r="B100" s="767" t="str">
        <f>IF('Calculs Péremption FA'!P44="OK", "", 'TRAD-Quanti et TdB Péremptions'!$B$97)</f>
        <v/>
      </c>
      <c r="C100" s="768" t="str">
        <f>IF('Saisie données stocks'!Q56="", "", 'Saisie données stocks'!Q56)</f>
        <v/>
      </c>
      <c r="D100" s="769" t="str">
        <f>IF($D$7="X", IF('Calculs Péremption FA'!V44="ND", "", IF('Calculs Péremption FA'!W44="OK", "OK", CONCATENATE('TRAD-Quanti et TdB Péremptions'!$B$95, ROUNDUP('Calculs Péremption FA'!V44, 0), " ", 'TRAD-Quanti et TdB Péremptions'!$B$96, ROUNDUP('Calculs Péremption FA'!X44, 0), " US$"))), IF($D$6="X", IF('Calculs Péremption conso'!V44="ND", "", IF('Calculs Péremption conso'!W44="OK", "OK", CONCATENATE('TRAD-Quanti et TdB Péremptions'!$B$95, ROUNDUP('Calculs Péremption conso'!V44, 0), " ", 'TRAD-Quanti et TdB Péremptions'!$B$96, ROUNDUP('Calculs Péremption conso'!X44, 0), " US$"))), "ND"))</f>
        <v/>
      </c>
      <c r="E100" s="768" t="str">
        <f>IF('Saisie données stocks'!S56="", "", 'Saisie données stocks'!S56)</f>
        <v/>
      </c>
      <c r="F100" s="769" t="str">
        <f>IF($D$7="X", IF('Calculs Péremption FA'!AD44="ND", "", IF('Calculs Péremption FA'!AE44="OK", "OK", CONCATENATE('TRAD-Quanti et TdB Péremptions'!$B$95, ROUNDUP('Calculs Péremption FA'!AD44, 0), " ", 'TRAD-Quanti et TdB Péremptions'!$B$96, ROUNDUP('Calculs Péremption FA'!AF44, 0), " US$"))), IF($D$6="X", IF('Calculs Péremption conso'!AD44="ND", "", IF('Calculs Péremption conso'!AE44="OK", "OK", CONCATENATE('TRAD-Quanti et TdB Péremptions'!$B$95, ROUNDUP('Calculs Péremption conso'!AD44, 0), " ", 'TRAD-Quanti et TdB Péremptions'!$B$96, ROUNDUP('Calculs Péremption conso'!AF44, 0), " US$"))), "ND"))</f>
        <v/>
      </c>
      <c r="G100" s="768" t="str">
        <f>IF('Saisie données stocks'!U56="", "", 'Saisie données stocks'!U56)</f>
        <v/>
      </c>
      <c r="H100" s="769" t="str">
        <f>IF($D$7="X", IF('Calculs Péremption FA'!AL44="ND", "", IF('Calculs Péremption FA'!AM44="OK", "OK", CONCATENATE('TRAD-Quanti et TdB Péremptions'!$B$95, ROUNDUP('Calculs Péremption FA'!AL44, 0), " ", 'TRAD-Quanti et TdB Péremptions'!$B$96, ROUNDUP('Calculs Péremption FA'!AN44, 0), " US$"))), IF($D$6="X", IF('Calculs Péremption conso'!AL44="ND", "", IF('Calculs Péremption conso'!AM44="OK", "OK", CONCATENATE('TRAD-Quanti et TdB Péremptions'!$B$95, ROUNDUP('Calculs Péremption conso'!AL44, 0), " ", 'TRAD-Quanti et TdB Péremptions'!$B$96, ROUNDUP('Calculs Péremption conso'!AN44, 0), " US$"))), "ND"))</f>
        <v/>
      </c>
      <c r="I100" s="768" t="str">
        <f>IF('Saisie données stocks'!W56="", "", 'Saisie données stocks'!W56)</f>
        <v/>
      </c>
      <c r="J100" s="769" t="str">
        <f>IF($D$7="X", IF('Calculs Péremption FA'!AT44="ND", "", IF('Calculs Péremption FA'!AU44="OK", "OK", CONCATENATE('TRAD-Quanti et TdB Péremptions'!$B$95, ROUNDUP('Calculs Péremption FA'!AT44, 0), " ", 'TRAD-Quanti et TdB Péremptions'!$B$96, ROUNDUP('Calculs Péremption FA'!AV44, 0), " US$"))), IF($D$6="X", IF('Calculs Péremption conso'!AT44="ND", "", IF('Calculs Péremption conso'!AU44="OK", "OK", CONCATENATE('TRAD-Quanti et TdB Péremptions'!$B$95, ROUNDUP('Calculs Péremption conso'!AT44, 0), " ", 'TRAD-Quanti et TdB Péremptions'!$B$96, ROUNDUP('Calculs Péremption conso'!AV44, 0), " US$"))), "ND"))</f>
        <v/>
      </c>
      <c r="K100" s="768" t="str">
        <f>IF('Saisie données stocks'!Y56="", "", 'Saisie données stocks'!Y56)</f>
        <v/>
      </c>
      <c r="L100" s="769" t="str">
        <f>IF($D$7="X", IF('Calculs Péremption FA'!BB44="ND", "", IF('Calculs Péremption FA'!BC44="OK", "OK", CONCATENATE('TRAD-Quanti et TdB Péremptions'!$B$95, ROUNDUP('Calculs Péremption FA'!BB44, 0), " ", 'TRAD-Quanti et TdB Péremptions'!$B$96, ROUNDUP('Calculs Péremption FA'!BD44, 0), " US$"))), IF($D$6="X", IF('Calculs Péremption conso'!BB44="ND", "", IF('Calculs Péremption conso'!BC44="OK", "OK", CONCATENATE('TRAD-Quanti et TdB Péremptions'!$B$95, ROUNDUP('Calculs Péremption conso'!BB44, 0), " ", 'TRAD-Quanti et TdB Péremptions'!$B$96, ROUNDUP('Calculs Péremption conso'!BD44, 0), " US$"))), "ND"))</f>
        <v/>
      </c>
      <c r="M100" s="768" t="str">
        <f>IF('Saisie données stocks'!AA56="", "", 'Saisie données stocks'!AA56)</f>
        <v/>
      </c>
      <c r="N100" s="769" t="str">
        <f>IF($D$7="X", IF('Calculs Péremption FA'!BJ44="ND", "", IF('Calculs Péremption FA'!BK44="OK", "OK", CONCATENATE('TRAD-Quanti et TdB Péremptions'!$B$95, ROUNDUP('Calculs Péremption FA'!BJ44, 0), " ", 'TRAD-Quanti et TdB Péremptions'!$B$96, ROUNDUP('Calculs Péremption FA'!BL44, 0), " US$"))), IF($D$6="X", IF('Calculs Péremption conso'!BJ44="ND", "", IF('Calculs Péremption conso'!BK44="OK", "OK", CONCATENATE('TRAD-Quanti et TdB Péremptions'!$B$95, ROUNDUP('Calculs Péremption conso'!BJ44, 0), " ", 'TRAD-Quanti et TdB Péremptions'!$B$96, ROUNDUP('Calculs Péremption conso'!BL44, 0), " US$"))), "ND"))</f>
        <v/>
      </c>
      <c r="O100" s="768" t="str">
        <f>IF('Saisie données stocks'!AC56="", "", 'Saisie données stocks'!AC56)</f>
        <v/>
      </c>
      <c r="P100" s="769" t="str">
        <f>IF($D$7="X", IF('Calculs Péremption FA'!BR44="ND", "", IF('Calculs Péremption FA'!BS44="OK", "OK", CONCATENATE('TRAD-Quanti et TdB Péremptions'!$B$95, ROUNDUP('Calculs Péremption FA'!BR44, 0), " ", 'TRAD-Quanti et TdB Péremptions'!$B$96, ROUNDUP('Calculs Péremption FA'!BT44, 0), " US$"))), IF($D$6="X", IF('Calculs Péremption conso'!BR44="ND", "", IF('Calculs Péremption conso'!BS44="OK", "OK", CONCATENATE('TRAD-Quanti et TdB Péremptions'!$B$95, ROUNDUP('Calculs Péremption conso'!BR44, 0), " ", 'TRAD-Quanti et TdB Péremptions'!$B$96, ROUNDUP('Calculs Péremption conso'!BT44, 0), " US$"))), "ND"))</f>
        <v/>
      </c>
    </row>
    <row r="101" spans="2:16" x14ac:dyDescent="0.2">
      <c r="B101" s="774" t="str">
        <f>CONCATENATE('Calculs Péremption FA'!D45, " - ", 'Calculs Péremption FA'!F45, " - ", 'Calculs Péremption FA'!E45, " - B/", 'Calculs Péremption FA'!I45)</f>
        <v>SQV - 500 mg - Cp - B/120</v>
      </c>
      <c r="C101" s="771"/>
      <c r="D101" s="772"/>
      <c r="E101" s="771"/>
      <c r="F101" s="772"/>
      <c r="G101" s="771"/>
      <c r="H101" s="772"/>
      <c r="I101" s="771"/>
      <c r="J101" s="772"/>
      <c r="K101" s="771"/>
      <c r="L101" s="772"/>
      <c r="M101" s="771"/>
      <c r="N101" s="772"/>
      <c r="O101" s="771"/>
      <c r="P101" s="772"/>
    </row>
    <row r="102" spans="2:16" ht="36" customHeight="1" x14ac:dyDescent="0.2">
      <c r="B102" s="767" t="str">
        <f>IF('Calculs Péremption FA'!P45="OK", "", 'TRAD-Quanti et TdB Péremptions'!$B$97)</f>
        <v/>
      </c>
      <c r="C102" s="768" t="str">
        <f>IF('Saisie données stocks'!Q57="", "", 'Saisie données stocks'!Q57)</f>
        <v/>
      </c>
      <c r="D102" s="769" t="str">
        <f>IF($D$7="X", IF('Calculs Péremption FA'!V45="ND", "", IF('Calculs Péremption FA'!W45="OK", "OK", CONCATENATE('TRAD-Quanti et TdB Péremptions'!$B$95, ROUNDUP('Calculs Péremption FA'!V45, 0), " ", 'TRAD-Quanti et TdB Péremptions'!$B$96, ROUNDUP('Calculs Péremption FA'!X45, 0), " US$"))), IF($D$6="X", IF('Calculs Péremption conso'!V45="ND", "", IF('Calculs Péremption conso'!W45="OK", "OK", CONCATENATE('TRAD-Quanti et TdB Péremptions'!$B$95, ROUNDUP('Calculs Péremption conso'!V45, 0), " ", 'TRAD-Quanti et TdB Péremptions'!$B$96, ROUNDUP('Calculs Péremption conso'!X45, 0), " US$"))), "ND"))</f>
        <v/>
      </c>
      <c r="E102" s="768" t="str">
        <f>IF('Saisie données stocks'!S57="", "", 'Saisie données stocks'!S57)</f>
        <v/>
      </c>
      <c r="F102" s="769" t="str">
        <f>IF($D$7="X", IF('Calculs Péremption FA'!AD45="ND", "", IF('Calculs Péremption FA'!AE45="OK", "OK", CONCATENATE('TRAD-Quanti et TdB Péremptions'!$B$95, ROUNDUP('Calculs Péremption FA'!AD45, 0), " ", 'TRAD-Quanti et TdB Péremptions'!$B$96, ROUNDUP('Calculs Péremption FA'!AF45, 0), " US$"))), IF($D$6="X", IF('Calculs Péremption conso'!AD45="ND", "", IF('Calculs Péremption conso'!AE45="OK", "OK", CONCATENATE('TRAD-Quanti et TdB Péremptions'!$B$95, ROUNDUP('Calculs Péremption conso'!AD45, 0), " ", 'TRAD-Quanti et TdB Péremptions'!$B$96, ROUNDUP('Calculs Péremption conso'!AF45, 0), " US$"))), "ND"))</f>
        <v/>
      </c>
      <c r="G102" s="768" t="str">
        <f>IF('Saisie données stocks'!U57="", "", 'Saisie données stocks'!U57)</f>
        <v/>
      </c>
      <c r="H102" s="769" t="str">
        <f>IF($D$7="X", IF('Calculs Péremption FA'!AL45="ND", "", IF('Calculs Péremption FA'!AM45="OK", "OK", CONCATENATE('TRAD-Quanti et TdB Péremptions'!$B$95, ROUNDUP('Calculs Péremption FA'!AL45, 0), " ", 'TRAD-Quanti et TdB Péremptions'!$B$96, ROUNDUP('Calculs Péremption FA'!AN45, 0), " US$"))), IF($D$6="X", IF('Calculs Péremption conso'!AL45="ND", "", IF('Calculs Péremption conso'!AM45="OK", "OK", CONCATENATE('TRAD-Quanti et TdB Péremptions'!$B$95, ROUNDUP('Calculs Péremption conso'!AL45, 0), " ", 'TRAD-Quanti et TdB Péremptions'!$B$96, ROUNDUP('Calculs Péremption conso'!AN45, 0), " US$"))), "ND"))</f>
        <v/>
      </c>
      <c r="I102" s="768" t="str">
        <f>IF('Saisie données stocks'!W57="", "", 'Saisie données stocks'!W57)</f>
        <v/>
      </c>
      <c r="J102" s="769" t="str">
        <f>IF($D$7="X", IF('Calculs Péremption FA'!AT45="ND", "", IF('Calculs Péremption FA'!AU45="OK", "OK", CONCATENATE('TRAD-Quanti et TdB Péremptions'!$B$95, ROUNDUP('Calculs Péremption FA'!AT45, 0), " ", 'TRAD-Quanti et TdB Péremptions'!$B$96, ROUNDUP('Calculs Péremption FA'!AV45, 0), " US$"))), IF($D$6="X", IF('Calculs Péremption conso'!AT45="ND", "", IF('Calculs Péremption conso'!AU45="OK", "OK", CONCATENATE('TRAD-Quanti et TdB Péremptions'!$B$95, ROUNDUP('Calculs Péremption conso'!AT45, 0), " ", 'TRAD-Quanti et TdB Péremptions'!$B$96, ROUNDUP('Calculs Péremption conso'!AV45, 0), " US$"))), "ND"))</f>
        <v/>
      </c>
      <c r="K102" s="768" t="str">
        <f>IF('Saisie données stocks'!Y57="", "", 'Saisie données stocks'!Y57)</f>
        <v/>
      </c>
      <c r="L102" s="769" t="str">
        <f>IF($D$7="X", IF('Calculs Péremption FA'!BB45="ND", "", IF('Calculs Péremption FA'!BC45="OK", "OK", CONCATENATE('TRAD-Quanti et TdB Péremptions'!$B$95, ROUNDUP('Calculs Péremption FA'!BB45, 0), " ", 'TRAD-Quanti et TdB Péremptions'!$B$96, ROUNDUP('Calculs Péremption FA'!BD45, 0), " US$"))), IF($D$6="X", IF('Calculs Péremption conso'!BB45="ND", "", IF('Calculs Péremption conso'!BC45="OK", "OK", CONCATENATE('TRAD-Quanti et TdB Péremptions'!$B$95, ROUNDUP('Calculs Péremption conso'!BB45, 0), " ", 'TRAD-Quanti et TdB Péremptions'!$B$96, ROUNDUP('Calculs Péremption conso'!BD45, 0), " US$"))), "ND"))</f>
        <v/>
      </c>
      <c r="M102" s="768" t="str">
        <f>IF('Saisie données stocks'!AA57="", "", 'Saisie données stocks'!AA57)</f>
        <v/>
      </c>
      <c r="N102" s="769" t="str">
        <f>IF($D$7="X", IF('Calculs Péremption FA'!BJ45="ND", "", IF('Calculs Péremption FA'!BK45="OK", "OK", CONCATENATE('TRAD-Quanti et TdB Péremptions'!$B$95, ROUNDUP('Calculs Péremption FA'!BJ45, 0), " ", 'TRAD-Quanti et TdB Péremptions'!$B$96, ROUNDUP('Calculs Péremption FA'!BL45, 0), " US$"))), IF($D$6="X", IF('Calculs Péremption conso'!BJ45="ND", "", IF('Calculs Péremption conso'!BK45="OK", "OK", CONCATENATE('TRAD-Quanti et TdB Péremptions'!$B$95, ROUNDUP('Calculs Péremption conso'!BJ45, 0), " ", 'TRAD-Quanti et TdB Péremptions'!$B$96, ROUNDUP('Calculs Péremption conso'!BL45, 0), " US$"))), "ND"))</f>
        <v/>
      </c>
      <c r="O102" s="768" t="str">
        <f>IF('Saisie données stocks'!AC57="", "", 'Saisie données stocks'!AC57)</f>
        <v/>
      </c>
      <c r="P102" s="769" t="str">
        <f>IF($D$7="X", IF('Calculs Péremption FA'!BR45="ND", "", IF('Calculs Péremption FA'!BS45="OK", "OK", CONCATENATE('TRAD-Quanti et TdB Péremptions'!$B$95, ROUNDUP('Calculs Péremption FA'!BR45, 0), " ", 'TRAD-Quanti et TdB Péremptions'!$B$96, ROUNDUP('Calculs Péremption FA'!BT45, 0), " US$"))), IF($D$6="X", IF('Calculs Péremption conso'!BR45="ND", "", IF('Calculs Péremption conso'!BS45="OK", "OK", CONCATENATE('TRAD-Quanti et TdB Péremptions'!$B$95, ROUNDUP('Calculs Péremption conso'!BR45, 0), " ", 'TRAD-Quanti et TdB Péremptions'!$B$96, ROUNDUP('Calculs Péremption conso'!BT45, 0), " US$"))), "ND"))</f>
        <v/>
      </c>
    </row>
    <row r="103" spans="2:16" x14ac:dyDescent="0.2">
      <c r="B103" s="774" t="str">
        <f>CONCATENATE('Calculs Péremption FA'!D46, " - ", 'Calculs Péremption FA'!F46, " - ", 'Calculs Péremption FA'!E46, " - B/", 'Calculs Péremption FA'!I46)</f>
        <v>RTV - 100 mg - Cp - B/84</v>
      </c>
      <c r="C103" s="771"/>
      <c r="D103" s="772"/>
      <c r="E103" s="771"/>
      <c r="F103" s="772"/>
      <c r="G103" s="771"/>
      <c r="H103" s="772"/>
      <c r="I103" s="771"/>
      <c r="J103" s="772"/>
      <c r="K103" s="771"/>
      <c r="L103" s="772"/>
      <c r="M103" s="771"/>
      <c r="N103" s="772"/>
      <c r="O103" s="771"/>
      <c r="P103" s="772"/>
    </row>
    <row r="104" spans="2:16" ht="36" customHeight="1" thickBot="1" x14ac:dyDescent="0.25">
      <c r="B104" s="2552" t="str">
        <f>IF('Calculs Péremption FA'!P46="OK", "", 'TRAD-Quanti et TdB Péremptions'!$B$97)</f>
        <v/>
      </c>
      <c r="C104" s="1792" t="str">
        <f>IF('Saisie données stocks'!Q58="", "", 'Saisie données stocks'!Q58)</f>
        <v/>
      </c>
      <c r="D104" s="1793" t="str">
        <f>IF($D$7="X", IF('Calculs Péremption FA'!V46="ND", "", IF('Calculs Péremption FA'!W46="OK", "OK", CONCATENATE('TRAD-Quanti et TdB Péremptions'!$B$95, ROUNDUP('Calculs Péremption FA'!V46, 0), " ", 'TRAD-Quanti et TdB Péremptions'!$B$96, ROUNDUP('Calculs Péremption FA'!X46, 0), " US$"))), IF($D$6="X", IF('Calculs Péremption conso'!V46="ND", "", IF('Calculs Péremption conso'!W46="OK", "OK", CONCATENATE('TRAD-Quanti et TdB Péremptions'!$B$95, ROUNDUP('Calculs Péremption conso'!V46, 0), " ", 'TRAD-Quanti et TdB Péremptions'!$B$96, ROUNDUP('Calculs Péremption conso'!X46, 0), " US$"))), "ND"))</f>
        <v/>
      </c>
      <c r="E104" s="1792" t="str">
        <f>IF('Saisie données stocks'!S58="", "", 'Saisie données stocks'!S58)</f>
        <v/>
      </c>
      <c r="F104" s="1793" t="str">
        <f>IF($D$7="X", IF('Calculs Péremption FA'!AD46="ND", "", IF('Calculs Péremption FA'!AE46="OK", "OK", CONCATENATE('TRAD-Quanti et TdB Péremptions'!$B$95, ROUNDUP('Calculs Péremption FA'!AD46, 0), " ", 'TRAD-Quanti et TdB Péremptions'!$B$96, ROUNDUP('Calculs Péremption FA'!AF46, 0), " US$"))), IF($D$6="X", IF('Calculs Péremption conso'!AD46="ND", "", IF('Calculs Péremption conso'!AE46="OK", "OK", CONCATENATE('TRAD-Quanti et TdB Péremptions'!$B$95, ROUNDUP('Calculs Péremption conso'!AD46, 0), " ", 'TRAD-Quanti et TdB Péremptions'!$B$96, ROUNDUP('Calculs Péremption conso'!AF46, 0), " US$"))), "ND"))</f>
        <v/>
      </c>
      <c r="G104" s="1792" t="str">
        <f>IF('Saisie données stocks'!U58="", "", 'Saisie données stocks'!U58)</f>
        <v/>
      </c>
      <c r="H104" s="1793" t="str">
        <f>IF($D$7="X", IF('Calculs Péremption FA'!AL46="ND", "", IF('Calculs Péremption FA'!AM46="OK", "OK", CONCATENATE('TRAD-Quanti et TdB Péremptions'!$B$95, ROUNDUP('Calculs Péremption FA'!AL46, 0), " ", 'TRAD-Quanti et TdB Péremptions'!$B$96, ROUNDUP('Calculs Péremption FA'!AN46, 0), " US$"))), IF($D$6="X", IF('Calculs Péremption conso'!AL46="ND", "", IF('Calculs Péremption conso'!AM46="OK", "OK", CONCATENATE('TRAD-Quanti et TdB Péremptions'!$B$95, ROUNDUP('Calculs Péremption conso'!AL46, 0), " ", 'TRAD-Quanti et TdB Péremptions'!$B$96, ROUNDUP('Calculs Péremption conso'!AN46, 0), " US$"))), "ND"))</f>
        <v/>
      </c>
      <c r="I104" s="1792" t="str">
        <f>IF('Saisie données stocks'!W58="", "", 'Saisie données stocks'!W58)</f>
        <v/>
      </c>
      <c r="J104" s="1793" t="str">
        <f>IF($D$7="X", IF('Calculs Péremption FA'!AT46="ND", "", IF('Calculs Péremption FA'!AU46="OK", "OK", CONCATENATE('TRAD-Quanti et TdB Péremptions'!$B$95, ROUNDUP('Calculs Péremption FA'!AT46, 0), " ", 'TRAD-Quanti et TdB Péremptions'!$B$96, ROUNDUP('Calculs Péremption FA'!AV46, 0), " US$"))), IF($D$6="X", IF('Calculs Péremption conso'!AT46="ND", "", IF('Calculs Péremption conso'!AU46="OK", "OK", CONCATENATE('TRAD-Quanti et TdB Péremptions'!$B$95, ROUNDUP('Calculs Péremption conso'!AT46, 0), " ", 'TRAD-Quanti et TdB Péremptions'!$B$96, ROUNDUP('Calculs Péremption conso'!AV46, 0), " US$"))), "ND"))</f>
        <v/>
      </c>
      <c r="K104" s="1792" t="str">
        <f>IF('Saisie données stocks'!Y58="", "", 'Saisie données stocks'!Y58)</f>
        <v/>
      </c>
      <c r="L104" s="1793" t="str">
        <f>IF($D$7="X", IF('Calculs Péremption FA'!BB46="ND", "", IF('Calculs Péremption FA'!BC46="OK", "OK", CONCATENATE('TRAD-Quanti et TdB Péremptions'!$B$95, ROUNDUP('Calculs Péremption FA'!BB46, 0), " ", 'TRAD-Quanti et TdB Péremptions'!$B$96, ROUNDUP('Calculs Péremption FA'!BD46, 0), " US$"))), IF($D$6="X", IF('Calculs Péremption conso'!BB46="ND", "", IF('Calculs Péremption conso'!BC46="OK", "OK", CONCATENATE('TRAD-Quanti et TdB Péremptions'!$B$95, ROUNDUP('Calculs Péremption conso'!BB46, 0), " ", 'TRAD-Quanti et TdB Péremptions'!$B$96, ROUNDUP('Calculs Péremption conso'!BD46, 0), " US$"))), "ND"))</f>
        <v/>
      </c>
      <c r="M104" s="1792" t="str">
        <f>IF('Saisie données stocks'!AA58="", "", 'Saisie données stocks'!AA58)</f>
        <v/>
      </c>
      <c r="N104" s="1793" t="str">
        <f>IF($D$7="X", IF('Calculs Péremption FA'!BJ46="ND", "", IF('Calculs Péremption FA'!BK46="OK", "OK", CONCATENATE('TRAD-Quanti et TdB Péremptions'!$B$95, ROUNDUP('Calculs Péremption FA'!BJ46, 0), " ", 'TRAD-Quanti et TdB Péremptions'!$B$96, ROUNDUP('Calculs Péremption FA'!BL46, 0), " US$"))), IF($D$6="X", IF('Calculs Péremption conso'!BJ46="ND", "", IF('Calculs Péremption conso'!BK46="OK", "OK", CONCATENATE('TRAD-Quanti et TdB Péremptions'!$B$95, ROUNDUP('Calculs Péremption conso'!BJ46, 0), " ", 'TRAD-Quanti et TdB Péremptions'!$B$96, ROUNDUP('Calculs Péremption conso'!BL46, 0), " US$"))), "ND"))</f>
        <v/>
      </c>
      <c r="O104" s="1792" t="str">
        <f>IF('Saisie données stocks'!AC58="", "", 'Saisie données stocks'!AC58)</f>
        <v/>
      </c>
      <c r="P104" s="1793" t="str">
        <f>IF($D$7="X", IF('Calculs Péremption FA'!BR46="ND", "", IF('Calculs Péremption FA'!BS46="OK", "OK", CONCATENATE('TRAD-Quanti et TdB Péremptions'!$B$95, ROUNDUP('Calculs Péremption FA'!BR46, 0), " ", 'TRAD-Quanti et TdB Péremptions'!$B$96, ROUNDUP('Calculs Péremption FA'!BT46, 0), " US$"))), IF($D$6="X", IF('Calculs Péremption conso'!BR46="ND", "", IF('Calculs Péremption conso'!BS46="OK", "OK", CONCATENATE('TRAD-Quanti et TdB Péremptions'!$B$95, ROUNDUP('Calculs Péremption conso'!BR46, 0), " ", 'TRAD-Quanti et TdB Péremptions'!$B$96, ROUNDUP('Calculs Péremption conso'!BT46, 0), " US$"))), "ND"))</f>
        <v/>
      </c>
    </row>
    <row r="105" spans="2:16" x14ac:dyDescent="0.2">
      <c r="B105" s="1809" t="str">
        <f>CONCATENATE('Calculs Péremption FA'!D47, " - ", 'Calculs Péremption FA'!F47, " - ", 'Calculs Péremption FA'!E47, " - B/", 'Calculs Péremption FA'!I47)</f>
        <v>RLT = RAL - 400 mg - Cp - B/60</v>
      </c>
      <c r="C105" s="1810"/>
      <c r="D105" s="1811"/>
      <c r="E105" s="1810"/>
      <c r="F105" s="1811"/>
      <c r="G105" s="1810"/>
      <c r="H105" s="1811"/>
      <c r="I105" s="1810"/>
      <c r="J105" s="1811"/>
      <c r="K105" s="1810"/>
      <c r="L105" s="1811"/>
      <c r="M105" s="1810"/>
      <c r="N105" s="1811"/>
      <c r="O105" s="1810"/>
      <c r="P105" s="1811"/>
    </row>
    <row r="106" spans="2:16" ht="36" customHeight="1" thickBot="1" x14ac:dyDescent="0.25">
      <c r="B106" s="760" t="str">
        <f>IF('Calculs Péremption FA'!P47="OK", "", 'TRAD-Quanti et TdB Péremptions'!$B$97)</f>
        <v/>
      </c>
      <c r="C106" s="762" t="str">
        <f>IF('Saisie données stocks'!Q59="", "", 'Saisie données stocks'!Q59)</f>
        <v/>
      </c>
      <c r="D106" s="763" t="str">
        <f>IF($D$7="X", IF('Calculs Péremption FA'!V47="ND", "", IF('Calculs Péremption FA'!W47="OK", "OK", CONCATENATE('TRAD-Quanti et TdB Péremptions'!$B$95, ROUNDUP('Calculs Péremption FA'!V47, 0), " ", 'TRAD-Quanti et TdB Péremptions'!$B$96, ROUNDUP('Calculs Péremption FA'!X47, 0), " US$"))), IF($D$6="X", IF('Calculs Péremption conso'!V47="ND", "", IF('Calculs Péremption conso'!W47="OK", "OK", CONCATENATE('TRAD-Quanti et TdB Péremptions'!$B$95, ROUNDUP('Calculs Péremption conso'!V47, 0), " ", 'TRAD-Quanti et TdB Péremptions'!$B$96, ROUNDUP('Calculs Péremption conso'!X47, 0), " US$"))), "ND"))</f>
        <v/>
      </c>
      <c r="E106" s="762" t="str">
        <f>IF('Saisie données stocks'!S59="", "", 'Saisie données stocks'!S59)</f>
        <v/>
      </c>
      <c r="F106" s="763" t="str">
        <f>IF($D$7="X", IF('Calculs Péremption FA'!AD47="ND", "", IF('Calculs Péremption FA'!AE47="OK", "OK", CONCATENATE('TRAD-Quanti et TdB Péremptions'!$B$95, ROUNDUP('Calculs Péremption FA'!AD47, 0), " ", 'TRAD-Quanti et TdB Péremptions'!$B$96, ROUNDUP('Calculs Péremption FA'!AF47, 0), " US$"))), IF($D$6="X", IF('Calculs Péremption conso'!AD47="ND", "", IF('Calculs Péremption conso'!AE47="OK", "OK", CONCATENATE('TRAD-Quanti et TdB Péremptions'!$B$95, ROUNDUP('Calculs Péremption conso'!AD47, 0), " ", 'TRAD-Quanti et TdB Péremptions'!$B$96, ROUNDUP('Calculs Péremption conso'!AF47, 0), " US$"))), "ND"))</f>
        <v/>
      </c>
      <c r="G106" s="762" t="str">
        <f>IF('Saisie données stocks'!U59="", "", 'Saisie données stocks'!U59)</f>
        <v/>
      </c>
      <c r="H106" s="763" t="str">
        <f>IF($D$7="X", IF('Calculs Péremption FA'!AL47="ND", "", IF('Calculs Péremption FA'!AM47="OK", "OK", CONCATENATE('TRAD-Quanti et TdB Péremptions'!$B$95, ROUNDUP('Calculs Péremption FA'!AL47, 0), " ", 'TRAD-Quanti et TdB Péremptions'!$B$96, ROUNDUP('Calculs Péremption FA'!AN47, 0), " US$"))), IF($D$6="X", IF('Calculs Péremption conso'!AL47="ND", "", IF('Calculs Péremption conso'!AM47="OK", "OK", CONCATENATE('TRAD-Quanti et TdB Péremptions'!$B$95, ROUNDUP('Calculs Péremption conso'!AL47, 0), " ", 'TRAD-Quanti et TdB Péremptions'!$B$96, ROUNDUP('Calculs Péremption conso'!AN47, 0), " US$"))), "ND"))</f>
        <v/>
      </c>
      <c r="I106" s="762" t="str">
        <f>IF('Saisie données stocks'!W59="", "", 'Saisie données stocks'!W59)</f>
        <v/>
      </c>
      <c r="J106" s="763" t="str">
        <f>IF($D$7="X", IF('Calculs Péremption FA'!AT47="ND", "", IF('Calculs Péremption FA'!AU47="OK", "OK", CONCATENATE('TRAD-Quanti et TdB Péremptions'!$B$95, ROUNDUP('Calculs Péremption FA'!AT47, 0), " ", 'TRAD-Quanti et TdB Péremptions'!$B$96, ROUNDUP('Calculs Péremption FA'!AV47, 0), " US$"))), IF($D$6="X", IF('Calculs Péremption conso'!AT47="ND", "", IF('Calculs Péremption conso'!AU47="OK", "OK", CONCATENATE('TRAD-Quanti et TdB Péremptions'!$B$95, ROUNDUP('Calculs Péremption conso'!AT47, 0), " ", 'TRAD-Quanti et TdB Péremptions'!$B$96, ROUNDUP('Calculs Péremption conso'!AV47, 0), " US$"))), "ND"))</f>
        <v/>
      </c>
      <c r="K106" s="762" t="str">
        <f>IF('Saisie données stocks'!Y59="", "", 'Saisie données stocks'!Y59)</f>
        <v/>
      </c>
      <c r="L106" s="763" t="str">
        <f>IF($D$7="X", IF('Calculs Péremption FA'!BB47="ND", "", IF('Calculs Péremption FA'!BC47="OK", "OK", CONCATENATE('TRAD-Quanti et TdB Péremptions'!$B$95, ROUNDUP('Calculs Péremption FA'!BB47, 0), " ", 'TRAD-Quanti et TdB Péremptions'!$B$96, ROUNDUP('Calculs Péremption FA'!BD47, 0), " US$"))), IF($D$6="X", IF('Calculs Péremption conso'!BB47="ND", "", IF('Calculs Péremption conso'!BC47="OK", "OK", CONCATENATE('TRAD-Quanti et TdB Péremptions'!$B$95, ROUNDUP('Calculs Péremption conso'!BB47, 0), " ", 'TRAD-Quanti et TdB Péremptions'!$B$96, ROUNDUP('Calculs Péremption conso'!BD47, 0), " US$"))), "ND"))</f>
        <v/>
      </c>
      <c r="M106" s="762" t="str">
        <f>IF('Saisie données stocks'!AA59="", "", 'Saisie données stocks'!AA59)</f>
        <v/>
      </c>
      <c r="N106" s="763" t="str">
        <f>IF($D$7="X", IF('Calculs Péremption FA'!BJ47="ND", "", IF('Calculs Péremption FA'!BK47="OK", "OK", CONCATENATE('TRAD-Quanti et TdB Péremptions'!$B$95, ROUNDUP('Calculs Péremption FA'!BJ47, 0), " ", 'TRAD-Quanti et TdB Péremptions'!$B$96, ROUNDUP('Calculs Péremption FA'!BL47, 0), " US$"))), IF($D$6="X", IF('Calculs Péremption conso'!BJ47="ND", "", IF('Calculs Péremption conso'!BK47="OK", "OK", CONCATENATE('TRAD-Quanti et TdB Péremptions'!$B$95, ROUNDUP('Calculs Péremption conso'!BJ47, 0), " ", 'TRAD-Quanti et TdB Péremptions'!$B$96, ROUNDUP('Calculs Péremption conso'!BL47, 0), " US$"))), "ND"))</f>
        <v/>
      </c>
      <c r="O106" s="762" t="str">
        <f>IF('Saisie données stocks'!AC59="", "", 'Saisie données stocks'!AC59)</f>
        <v/>
      </c>
      <c r="P106" s="763" t="str">
        <f>IF($D$7="X", IF('Calculs Péremption FA'!BR47="ND", "", IF('Calculs Péremption FA'!BS47="OK", "OK", CONCATENATE('TRAD-Quanti et TdB Péremptions'!$B$95, ROUNDUP('Calculs Péremption FA'!BR47, 0), " ", 'TRAD-Quanti et TdB Péremptions'!$B$96, ROUNDUP('Calculs Péremption FA'!BT47, 0), " US$"))), IF($D$6="X", IF('Calculs Péremption conso'!BR47="ND", "", IF('Calculs Péremption conso'!BS47="OK", "OK", CONCATENATE('TRAD-Quanti et TdB Péremptions'!$B$95, ROUNDUP('Calculs Péremption conso'!BR47, 0), " ", 'TRAD-Quanti et TdB Péremptions'!$B$96, ROUNDUP('Calculs Péremption conso'!BT47, 0), " US$"))), "ND"))</f>
        <v/>
      </c>
    </row>
    <row r="107" spans="2:16" ht="12.75" thickBot="1" x14ac:dyDescent="0.25">
      <c r="B107" s="3298" t="str">
        <f>'TRAD-Quanti et TdB Péremptions'!B98</f>
        <v>SOLUTIONS BUVABLES</v>
      </c>
      <c r="C107" s="3299"/>
      <c r="D107" s="3299"/>
      <c r="E107" s="3299"/>
      <c r="F107" s="3299"/>
      <c r="G107" s="3299"/>
      <c r="H107" s="3299"/>
      <c r="I107" s="3299"/>
      <c r="J107" s="3299"/>
      <c r="K107" s="3299"/>
      <c r="L107" s="3299"/>
      <c r="M107" s="3299"/>
      <c r="N107" s="3299"/>
      <c r="O107" s="3299"/>
      <c r="P107" s="3300"/>
    </row>
    <row r="108" spans="2:16" x14ac:dyDescent="0.2">
      <c r="B108" s="764" t="str">
        <f>CONCATENATE('Calculs Péremption FA'!D49, " - ", 'Calculs Péremption FA'!F49, " - ", 'Calculs Péremption FA'!E49, " - B/", 'Calculs Péremption FA'!I49)</f>
        <v>AZT - 10 mg/mL - sol buv - B/240</v>
      </c>
      <c r="C108" s="765"/>
      <c r="D108" s="766"/>
      <c r="E108" s="765"/>
      <c r="F108" s="766"/>
      <c r="G108" s="765"/>
      <c r="H108" s="766"/>
      <c r="I108" s="765"/>
      <c r="J108" s="766"/>
      <c r="K108" s="765"/>
      <c r="L108" s="766"/>
      <c r="M108" s="765"/>
      <c r="N108" s="766"/>
      <c r="O108" s="765"/>
      <c r="P108" s="766"/>
    </row>
    <row r="109" spans="2:16" ht="36" customHeight="1" x14ac:dyDescent="0.2">
      <c r="B109" s="2550" t="str">
        <f>IF('Calculs Péremption FA'!P49="OK", "", 'TRAD-Quanti et TdB Péremptions'!$B$97)</f>
        <v/>
      </c>
      <c r="C109" s="768" t="str">
        <f>IF('Saisie données stocks'!Q61="", "", 'Saisie données stocks'!Q61)</f>
        <v/>
      </c>
      <c r="D109" s="769" t="str">
        <f>IF($D$7="X", IF('Calculs Péremption FA'!V49="ND", "", IF('Calculs Péremption FA'!W49="OK", "OK", CONCATENATE('TRAD-Quanti et TdB Péremptions'!$B$95, ROUNDUP('Calculs Péremption FA'!V49, 0), " ", 'TRAD-Quanti et TdB Péremptions'!$B$96, ROUNDUP('Calculs Péremption FA'!X49, 0), " US$"))), IF($D$6="X", IF('Calculs Péremption conso'!V49="ND", "", IF('Calculs Péremption conso'!W49="OK", "OK", CONCATENATE('TRAD-Quanti et TdB Péremptions'!$B$95, ROUNDUP('Calculs Péremption conso'!V49, 0), " ", 'TRAD-Quanti et TdB Péremptions'!$B$96, ROUNDUP('Calculs Péremption conso'!X49, 0), " US$"))), "ND"))</f>
        <v/>
      </c>
      <c r="E109" s="768" t="str">
        <f>IF('Saisie données stocks'!S61="", "", 'Saisie données stocks'!S61)</f>
        <v/>
      </c>
      <c r="F109" s="769" t="str">
        <f>IF($D$7="X", IF('Calculs Péremption FA'!AD49="ND", "", IF('Calculs Péremption FA'!AE49="OK", "OK", CONCATENATE('TRAD-Quanti et TdB Péremptions'!$B$95, ROUNDUP('Calculs Péremption FA'!AD49, 0), " ", 'TRAD-Quanti et TdB Péremptions'!$B$96, ROUNDUP('Calculs Péremption FA'!AF49, 0), " US$"))), IF($D$6="X", IF('Calculs Péremption conso'!AD49="ND", "", IF('Calculs Péremption conso'!AE49="OK", "OK", CONCATENATE('TRAD-Quanti et TdB Péremptions'!$B$95, ROUNDUP('Calculs Péremption conso'!AD49, 0), " ", 'TRAD-Quanti et TdB Péremptions'!$B$96, ROUNDUP('Calculs Péremption conso'!AF49, 0), " US$"))), "ND"))</f>
        <v/>
      </c>
      <c r="G109" s="768" t="str">
        <f>IF('Saisie données stocks'!U61="", "", 'Saisie données stocks'!U61)</f>
        <v/>
      </c>
      <c r="H109" s="769" t="str">
        <f>IF($D$7="X", IF('Calculs Péremption FA'!AL49="ND", "", IF('Calculs Péremption FA'!AM49="OK", "OK", CONCATENATE('TRAD-Quanti et TdB Péremptions'!$B$95, ROUNDUP('Calculs Péremption FA'!AL49, 0), " ", 'TRAD-Quanti et TdB Péremptions'!$B$96, ROUNDUP('Calculs Péremption FA'!AN49, 0), " US$"))), IF($D$6="X", IF('Calculs Péremption conso'!AL49="ND", "", IF('Calculs Péremption conso'!AM49="OK", "OK", CONCATENATE('TRAD-Quanti et TdB Péremptions'!$B$95, ROUNDUP('Calculs Péremption conso'!AL49, 0), " ", 'TRAD-Quanti et TdB Péremptions'!$B$96, ROUNDUP('Calculs Péremption conso'!AN49, 0), " US$"))), "ND"))</f>
        <v/>
      </c>
      <c r="I109" s="768" t="str">
        <f>IF('Saisie données stocks'!W61="", "", 'Saisie données stocks'!W61)</f>
        <v/>
      </c>
      <c r="J109" s="769" t="str">
        <f>IF($D$7="X", IF('Calculs Péremption FA'!AT49="ND", "", IF('Calculs Péremption FA'!AU49="OK", "OK", CONCATENATE('TRAD-Quanti et TdB Péremptions'!$B$95, ROUNDUP('Calculs Péremption FA'!AT49, 0), " ", 'TRAD-Quanti et TdB Péremptions'!$B$96, ROUNDUP('Calculs Péremption FA'!AV49, 0), " US$"))), IF($D$6="X", IF('Calculs Péremption conso'!AT49="ND", "", IF('Calculs Péremption conso'!AU49="OK", "OK", CONCATENATE('TRAD-Quanti et TdB Péremptions'!$B$95, ROUNDUP('Calculs Péremption conso'!AT49, 0), " ", 'TRAD-Quanti et TdB Péremptions'!$B$96, ROUNDUP('Calculs Péremption conso'!AV49, 0), " US$"))), "ND"))</f>
        <v/>
      </c>
      <c r="K109" s="768" t="str">
        <f>IF('Saisie données stocks'!Y61="", "", 'Saisie données stocks'!Y61)</f>
        <v/>
      </c>
      <c r="L109" s="769" t="str">
        <f>IF($D$7="X", IF('Calculs Péremption FA'!BB49="ND", "", IF('Calculs Péremption FA'!BC49="OK", "OK", CONCATENATE('TRAD-Quanti et TdB Péremptions'!$B$95, ROUNDUP('Calculs Péremption FA'!BB49, 0), " ", 'TRAD-Quanti et TdB Péremptions'!$B$96, ROUNDUP('Calculs Péremption FA'!BD49, 0), " US$"))), IF($D$6="X", IF('Calculs Péremption conso'!BB49="ND", "", IF('Calculs Péremption conso'!BC49="OK", "OK", CONCATENATE('TRAD-Quanti et TdB Péremptions'!$B$95, ROUNDUP('Calculs Péremption conso'!BB49, 0), " ", 'TRAD-Quanti et TdB Péremptions'!$B$96, ROUNDUP('Calculs Péremption conso'!BD49, 0), " US$"))), "ND"))</f>
        <v/>
      </c>
      <c r="M109" s="768" t="str">
        <f>IF('Saisie données stocks'!AA61="", "", 'Saisie données stocks'!AA61)</f>
        <v/>
      </c>
      <c r="N109" s="769" t="str">
        <f>IF($D$7="X", IF('Calculs Péremption FA'!BJ49="ND", "", IF('Calculs Péremption FA'!BK49="OK", "OK", CONCATENATE('TRAD-Quanti et TdB Péremptions'!$B$95, ROUNDUP('Calculs Péremption FA'!BJ49, 0), " ", 'TRAD-Quanti et TdB Péremptions'!$B$96, ROUNDUP('Calculs Péremption FA'!BL49, 0), " US$"))), IF($D$6="X", IF('Calculs Péremption conso'!BJ49="ND", "", IF('Calculs Péremption conso'!BK49="OK", "OK", CONCATENATE('TRAD-Quanti et TdB Péremptions'!$B$95, ROUNDUP('Calculs Péremption conso'!BJ49, 0), " ", 'TRAD-Quanti et TdB Péremptions'!$B$96, ROUNDUP('Calculs Péremption conso'!BL49, 0), " US$"))), "ND"))</f>
        <v/>
      </c>
      <c r="O109" s="768" t="str">
        <f>IF('Saisie données stocks'!AC61="", "", 'Saisie données stocks'!AC61)</f>
        <v/>
      </c>
      <c r="P109" s="769" t="str">
        <f>IF($D$7="X", IF('Calculs Péremption FA'!BR49="ND", "", IF('Calculs Péremption FA'!BS49="OK", "OK", CONCATENATE('TRAD-Quanti et TdB Péremptions'!$B$95, ROUNDUP('Calculs Péremption FA'!BR49, 0), " ", 'TRAD-Quanti et TdB Péremptions'!$B$96, ROUNDUP('Calculs Péremption FA'!BT49, 0), " US$"))), IF($D$6="X", IF('Calculs Péremption conso'!BR49="ND", "", IF('Calculs Péremption conso'!BS49="OK", "OK", CONCATENATE('TRAD-Quanti et TdB Péremptions'!$B$95, ROUNDUP('Calculs Péremption conso'!BR49, 0), " ", 'TRAD-Quanti et TdB Péremptions'!$B$96, ROUNDUP('Calculs Péremption conso'!BT49, 0), " US$"))), "ND"))</f>
        <v/>
      </c>
    </row>
    <row r="110" spans="2:16" x14ac:dyDescent="0.2">
      <c r="B110" s="774" t="str">
        <f>CONCATENATE('Calculs Péremption FA'!D50, " - ", 'Calculs Péremption FA'!F50, " - ", 'Calculs Péremption FA'!E50, " - B/", 'Calculs Péremption FA'!I50)</f>
        <v>D4T - 10 mg/mL - sol buv - B/240</v>
      </c>
      <c r="C110" s="771"/>
      <c r="D110" s="772"/>
      <c r="E110" s="771"/>
      <c r="F110" s="772"/>
      <c r="G110" s="771"/>
      <c r="H110" s="772"/>
      <c r="I110" s="771"/>
      <c r="J110" s="772"/>
      <c r="K110" s="771"/>
      <c r="L110" s="772"/>
      <c r="M110" s="771"/>
      <c r="N110" s="772"/>
      <c r="O110" s="771"/>
      <c r="P110" s="772"/>
    </row>
    <row r="111" spans="2:16" ht="36" customHeight="1" x14ac:dyDescent="0.2">
      <c r="B111" s="2550" t="str">
        <f>IF('Calculs Péremption FA'!P50="OK", "", 'TRAD-Quanti et TdB Péremptions'!$B$97)</f>
        <v/>
      </c>
      <c r="C111" s="768" t="str">
        <f>IF('Saisie données stocks'!Q62="", "", 'Saisie données stocks'!Q62)</f>
        <v/>
      </c>
      <c r="D111" s="769" t="str">
        <f>IF($D$7="X", IF('Calculs Péremption FA'!V50="ND", "", IF('Calculs Péremption FA'!W50="OK", "OK", CONCATENATE('TRAD-Quanti et TdB Péremptions'!$B$95, ROUNDUP('Calculs Péremption FA'!V50, 0), " ", 'TRAD-Quanti et TdB Péremptions'!$B$96, ROUNDUP('Calculs Péremption FA'!X50, 0), " US$"))), IF($D$6="X", IF('Calculs Péremption conso'!V50="ND", "", IF('Calculs Péremption conso'!W50="OK", "OK", CONCATENATE('TRAD-Quanti et TdB Péremptions'!$B$95, ROUNDUP('Calculs Péremption conso'!V50, 0), " ", 'TRAD-Quanti et TdB Péremptions'!$B$96, ROUNDUP('Calculs Péremption conso'!X50, 0), " US$"))), "ND"))</f>
        <v/>
      </c>
      <c r="E111" s="768" t="str">
        <f>IF('Saisie données stocks'!S62="", "", 'Saisie données stocks'!S62)</f>
        <v/>
      </c>
      <c r="F111" s="769" t="str">
        <f>IF($D$7="X", IF('Calculs Péremption FA'!AD50="ND", "", IF('Calculs Péremption FA'!AE50="OK", "OK", CONCATENATE('TRAD-Quanti et TdB Péremptions'!$B$95, ROUNDUP('Calculs Péremption FA'!AD50, 0), " ", 'TRAD-Quanti et TdB Péremptions'!$B$96, ROUNDUP('Calculs Péremption FA'!AF50, 0), " US$"))), IF($D$6="X", IF('Calculs Péremption conso'!AD50="ND", "", IF('Calculs Péremption conso'!AE50="OK", "OK", CONCATENATE('TRAD-Quanti et TdB Péremptions'!$B$95, ROUNDUP('Calculs Péremption conso'!AD50, 0), " ", 'TRAD-Quanti et TdB Péremptions'!$B$96, ROUNDUP('Calculs Péremption conso'!AF50, 0), " US$"))), "ND"))</f>
        <v/>
      </c>
      <c r="G111" s="768" t="str">
        <f>IF('Saisie données stocks'!U62="", "", 'Saisie données stocks'!U62)</f>
        <v/>
      </c>
      <c r="H111" s="769" t="str">
        <f>IF($D$7="X", IF('Calculs Péremption FA'!AL50="ND", "", IF('Calculs Péremption FA'!AM50="OK", "OK", CONCATENATE('TRAD-Quanti et TdB Péremptions'!$B$95, ROUNDUP('Calculs Péremption FA'!AL50, 0), " ", 'TRAD-Quanti et TdB Péremptions'!$B$96, ROUNDUP('Calculs Péremption FA'!AN50, 0), " US$"))), IF($D$6="X", IF('Calculs Péremption conso'!AL50="ND", "", IF('Calculs Péremption conso'!AM50="OK", "OK", CONCATENATE('TRAD-Quanti et TdB Péremptions'!$B$95, ROUNDUP('Calculs Péremption conso'!AL50, 0), " ", 'TRAD-Quanti et TdB Péremptions'!$B$96, ROUNDUP('Calculs Péremption conso'!AN50, 0), " US$"))), "ND"))</f>
        <v/>
      </c>
      <c r="I111" s="768" t="str">
        <f>IF('Saisie données stocks'!W62="", "", 'Saisie données stocks'!W62)</f>
        <v/>
      </c>
      <c r="J111" s="769" t="str">
        <f>IF($D$7="X", IF('Calculs Péremption FA'!AT50="ND", "", IF('Calculs Péremption FA'!AU50="OK", "OK", CONCATENATE('TRAD-Quanti et TdB Péremptions'!$B$95, ROUNDUP('Calculs Péremption FA'!AT50, 0), " ", 'TRAD-Quanti et TdB Péremptions'!$B$96, ROUNDUP('Calculs Péremption FA'!AV50, 0), " US$"))), IF($D$6="X", IF('Calculs Péremption conso'!AT50="ND", "", IF('Calculs Péremption conso'!AU50="OK", "OK", CONCATENATE('TRAD-Quanti et TdB Péremptions'!$B$95, ROUNDUP('Calculs Péremption conso'!AT50, 0), " ", 'TRAD-Quanti et TdB Péremptions'!$B$96, ROUNDUP('Calculs Péremption conso'!AV50, 0), " US$"))), "ND"))</f>
        <v/>
      </c>
      <c r="K111" s="768" t="str">
        <f>IF('Saisie données stocks'!Y62="", "", 'Saisie données stocks'!Y62)</f>
        <v/>
      </c>
      <c r="L111" s="769" t="str">
        <f>IF($D$7="X", IF('Calculs Péremption FA'!BB50="ND", "", IF('Calculs Péremption FA'!BC50="OK", "OK", CONCATENATE('TRAD-Quanti et TdB Péremptions'!$B$95, ROUNDUP('Calculs Péremption FA'!BB50, 0), " ", 'TRAD-Quanti et TdB Péremptions'!$B$96, ROUNDUP('Calculs Péremption FA'!BD50, 0), " US$"))), IF($D$6="X", IF('Calculs Péremption conso'!BB50="ND", "", IF('Calculs Péremption conso'!BC50="OK", "OK", CONCATENATE('TRAD-Quanti et TdB Péremptions'!$B$95, ROUNDUP('Calculs Péremption conso'!BB50, 0), " ", 'TRAD-Quanti et TdB Péremptions'!$B$96, ROUNDUP('Calculs Péremption conso'!BD50, 0), " US$"))), "ND"))</f>
        <v/>
      </c>
      <c r="M111" s="768" t="str">
        <f>IF('Saisie données stocks'!AA62="", "", 'Saisie données stocks'!AA62)</f>
        <v/>
      </c>
      <c r="N111" s="769" t="str">
        <f>IF($D$7="X", IF('Calculs Péremption FA'!BJ50="ND", "", IF('Calculs Péremption FA'!BK50="OK", "OK", CONCATENATE('TRAD-Quanti et TdB Péremptions'!$B$95, ROUNDUP('Calculs Péremption FA'!BJ50, 0), " ", 'TRAD-Quanti et TdB Péremptions'!$B$96, ROUNDUP('Calculs Péremption FA'!BL50, 0), " US$"))), IF($D$6="X", IF('Calculs Péremption conso'!BJ50="ND", "", IF('Calculs Péremption conso'!BK50="OK", "OK", CONCATENATE('TRAD-Quanti et TdB Péremptions'!$B$95, ROUNDUP('Calculs Péremption conso'!BJ50, 0), " ", 'TRAD-Quanti et TdB Péremptions'!$B$96, ROUNDUP('Calculs Péremption conso'!BL50, 0), " US$"))), "ND"))</f>
        <v/>
      </c>
      <c r="O111" s="768" t="str">
        <f>IF('Saisie données stocks'!AC62="", "", 'Saisie données stocks'!AC62)</f>
        <v/>
      </c>
      <c r="P111" s="769" t="str">
        <f>IF($D$7="X", IF('Calculs Péremption FA'!BR50="ND", "", IF('Calculs Péremption FA'!BS50="OK", "OK", CONCATENATE('TRAD-Quanti et TdB Péremptions'!$B$95, ROUNDUP('Calculs Péremption FA'!BR50, 0), " ", 'TRAD-Quanti et TdB Péremptions'!$B$96, ROUNDUP('Calculs Péremption FA'!BT50, 0), " US$"))), IF($D$6="X", IF('Calculs Péremption conso'!BR50="ND", "", IF('Calculs Péremption conso'!BS50="OK", "OK", CONCATENATE('TRAD-Quanti et TdB Péremptions'!$B$95, ROUNDUP('Calculs Péremption conso'!BR50, 0), " ", 'TRAD-Quanti et TdB Péremptions'!$B$96, ROUNDUP('Calculs Péremption conso'!BT50, 0), " US$"))), "ND"))</f>
        <v/>
      </c>
    </row>
    <row r="112" spans="2:16" x14ac:dyDescent="0.2">
      <c r="B112" s="774" t="str">
        <f>CONCATENATE('Calculs Péremption FA'!D51, " - ", 'Calculs Péremption FA'!F51, " - ", 'Calculs Péremption FA'!E51, " - B/", 'Calculs Péremption FA'!I51)</f>
        <v>3TC - 10 mg/mL - sol buv - B/240</v>
      </c>
      <c r="C112" s="771"/>
      <c r="D112" s="772"/>
      <c r="E112" s="771"/>
      <c r="F112" s="772"/>
      <c r="G112" s="771"/>
      <c r="H112" s="772"/>
      <c r="I112" s="771"/>
      <c r="J112" s="772"/>
      <c r="K112" s="771"/>
      <c r="L112" s="772"/>
      <c r="M112" s="771"/>
      <c r="N112" s="772"/>
      <c r="O112" s="771"/>
      <c r="P112" s="772"/>
    </row>
    <row r="113" spans="2:16" ht="36" customHeight="1" x14ac:dyDescent="0.2">
      <c r="B113" s="767" t="str">
        <f>IF('Calculs Péremption FA'!P51="OK", "", 'TRAD-Quanti et TdB Péremptions'!$B$97)</f>
        <v/>
      </c>
      <c r="C113" s="768" t="str">
        <f>IF('Saisie données stocks'!Q63="", "", 'Saisie données stocks'!Q63)</f>
        <v/>
      </c>
      <c r="D113" s="769" t="str">
        <f>IF($D$7="X", IF('Calculs Péremption FA'!V51="ND", "", IF('Calculs Péremption FA'!W51="OK", "OK", CONCATENATE('TRAD-Quanti et TdB Péremptions'!$B$95, ROUNDUP('Calculs Péremption FA'!V51, 0), " ", 'TRAD-Quanti et TdB Péremptions'!$B$96, ROUNDUP('Calculs Péremption FA'!X51, 0), " US$"))), IF($D$6="X", IF('Calculs Péremption conso'!V51="ND", "", IF('Calculs Péremption conso'!W51="OK", "OK", CONCATENATE('TRAD-Quanti et TdB Péremptions'!$B$95, ROUNDUP('Calculs Péremption conso'!V51, 0), " ", 'TRAD-Quanti et TdB Péremptions'!$B$96, ROUNDUP('Calculs Péremption conso'!X51, 0), " US$"))), "ND"))</f>
        <v/>
      </c>
      <c r="E113" s="768" t="str">
        <f>IF('Saisie données stocks'!S63="", "", 'Saisie données stocks'!S63)</f>
        <v/>
      </c>
      <c r="F113" s="769" t="str">
        <f>IF($D$7="X", IF('Calculs Péremption FA'!AD51="ND", "", IF('Calculs Péremption FA'!AE51="OK", "OK", CONCATENATE('TRAD-Quanti et TdB Péremptions'!$B$95, ROUNDUP('Calculs Péremption FA'!AD51, 0), " ", 'TRAD-Quanti et TdB Péremptions'!$B$96, ROUNDUP('Calculs Péremption FA'!AF51, 0), " US$"))), IF($D$6="X", IF('Calculs Péremption conso'!AD51="ND", "", IF('Calculs Péremption conso'!AE51="OK", "OK", CONCATENATE('TRAD-Quanti et TdB Péremptions'!$B$95, ROUNDUP('Calculs Péremption conso'!AD51, 0), " ", 'TRAD-Quanti et TdB Péremptions'!$B$96, ROUNDUP('Calculs Péremption conso'!AF51, 0), " US$"))), "ND"))</f>
        <v/>
      </c>
      <c r="G113" s="768" t="str">
        <f>IF('Saisie données stocks'!U63="", "", 'Saisie données stocks'!U63)</f>
        <v/>
      </c>
      <c r="H113" s="769" t="str">
        <f>IF($D$7="X", IF('Calculs Péremption FA'!AL51="ND", "", IF('Calculs Péremption FA'!AM51="OK", "OK", CONCATENATE('TRAD-Quanti et TdB Péremptions'!$B$95, ROUNDUP('Calculs Péremption FA'!AL51, 0), " ", 'TRAD-Quanti et TdB Péremptions'!$B$96, ROUNDUP('Calculs Péremption FA'!AN51, 0), " US$"))), IF($D$6="X", IF('Calculs Péremption conso'!AL51="ND", "", IF('Calculs Péremption conso'!AM51="OK", "OK", CONCATENATE('TRAD-Quanti et TdB Péremptions'!$B$95, ROUNDUP('Calculs Péremption conso'!AL51, 0), " ", 'TRAD-Quanti et TdB Péremptions'!$B$96, ROUNDUP('Calculs Péremption conso'!AN51, 0), " US$"))), "ND"))</f>
        <v/>
      </c>
      <c r="I113" s="768" t="str">
        <f>IF('Saisie données stocks'!W63="", "", 'Saisie données stocks'!W63)</f>
        <v/>
      </c>
      <c r="J113" s="769" t="str">
        <f>IF($D$7="X", IF('Calculs Péremption FA'!AT51="ND", "", IF('Calculs Péremption FA'!AU51="OK", "OK", CONCATENATE('TRAD-Quanti et TdB Péremptions'!$B$95, ROUNDUP('Calculs Péremption FA'!AT51, 0), " ", 'TRAD-Quanti et TdB Péremptions'!$B$96, ROUNDUP('Calculs Péremption FA'!AV51, 0), " US$"))), IF($D$6="X", IF('Calculs Péremption conso'!AT51="ND", "", IF('Calculs Péremption conso'!AU51="OK", "OK", CONCATENATE('TRAD-Quanti et TdB Péremptions'!$B$95, ROUNDUP('Calculs Péremption conso'!AT51, 0), " ", 'TRAD-Quanti et TdB Péremptions'!$B$96, ROUNDUP('Calculs Péremption conso'!AV51, 0), " US$"))), "ND"))</f>
        <v/>
      </c>
      <c r="K113" s="768" t="str">
        <f>IF('Saisie données stocks'!Y63="", "", 'Saisie données stocks'!Y63)</f>
        <v/>
      </c>
      <c r="L113" s="769" t="str">
        <f>IF($D$7="X", IF('Calculs Péremption FA'!BB51="ND", "", IF('Calculs Péremption FA'!BC51="OK", "OK", CONCATENATE('TRAD-Quanti et TdB Péremptions'!$B$95, ROUNDUP('Calculs Péremption FA'!BB51, 0), " ", 'TRAD-Quanti et TdB Péremptions'!$B$96, ROUNDUP('Calculs Péremption FA'!BD51, 0), " US$"))), IF($D$6="X", IF('Calculs Péremption conso'!BB51="ND", "", IF('Calculs Péremption conso'!BC51="OK", "OK", CONCATENATE('TRAD-Quanti et TdB Péremptions'!$B$95, ROUNDUP('Calculs Péremption conso'!BB51, 0), " ", 'TRAD-Quanti et TdB Péremptions'!$B$96, ROUNDUP('Calculs Péremption conso'!BD51, 0), " US$"))), "ND"))</f>
        <v/>
      </c>
      <c r="M113" s="768" t="str">
        <f>IF('Saisie données stocks'!AA63="", "", 'Saisie données stocks'!AA63)</f>
        <v/>
      </c>
      <c r="N113" s="769" t="str">
        <f>IF($D$7="X", IF('Calculs Péremption FA'!BJ51="ND", "", IF('Calculs Péremption FA'!BK51="OK", "OK", CONCATENATE('TRAD-Quanti et TdB Péremptions'!$B$95, ROUNDUP('Calculs Péremption FA'!BJ51, 0), " ", 'TRAD-Quanti et TdB Péremptions'!$B$96, ROUNDUP('Calculs Péremption FA'!BL51, 0), " US$"))), IF($D$6="X", IF('Calculs Péremption conso'!BJ51="ND", "", IF('Calculs Péremption conso'!BK51="OK", "OK", CONCATENATE('TRAD-Quanti et TdB Péremptions'!$B$95, ROUNDUP('Calculs Péremption conso'!BJ51, 0), " ", 'TRAD-Quanti et TdB Péremptions'!$B$96, ROUNDUP('Calculs Péremption conso'!BL51, 0), " US$"))), "ND"))</f>
        <v/>
      </c>
      <c r="O113" s="768" t="str">
        <f>IF('Saisie données stocks'!AC63="", "", 'Saisie données stocks'!AC63)</f>
        <v/>
      </c>
      <c r="P113" s="769" t="str">
        <f>IF($D$7="X", IF('Calculs Péremption FA'!BR51="ND", "", IF('Calculs Péremption FA'!BS51="OK", "OK", CONCATENATE('TRAD-Quanti et TdB Péremptions'!$B$95, ROUNDUP('Calculs Péremption FA'!BR51, 0), " ", 'TRAD-Quanti et TdB Péremptions'!$B$96, ROUNDUP('Calculs Péremption FA'!BT51, 0), " US$"))), IF($D$6="X", IF('Calculs Péremption conso'!BR51="ND", "", IF('Calculs Péremption conso'!BS51="OK", "OK", CONCATENATE('TRAD-Quanti et TdB Péremptions'!$B$95, ROUNDUP('Calculs Péremption conso'!BR51, 0), " ", 'TRAD-Quanti et TdB Péremptions'!$B$96, ROUNDUP('Calculs Péremption conso'!BT51, 0), " US$"))), "ND"))</f>
        <v/>
      </c>
    </row>
    <row r="114" spans="2:16" x14ac:dyDescent="0.2">
      <c r="B114" s="774" t="str">
        <f>CONCATENATE('Calculs Péremption FA'!D52, " - ", 'Calculs Péremption FA'!F52, " - ", 'Calculs Péremption FA'!E52, " - B/", 'Calculs Péremption FA'!I52)</f>
        <v>ABC - 20 mg/mL - sol buv - B/240</v>
      </c>
      <c r="C114" s="771"/>
      <c r="D114" s="772"/>
      <c r="E114" s="771"/>
      <c r="F114" s="772"/>
      <c r="G114" s="771"/>
      <c r="H114" s="772"/>
      <c r="I114" s="771"/>
      <c r="J114" s="772"/>
      <c r="K114" s="771"/>
      <c r="L114" s="772"/>
      <c r="M114" s="771"/>
      <c r="N114" s="772"/>
      <c r="O114" s="771"/>
      <c r="P114" s="772"/>
    </row>
    <row r="115" spans="2:16" ht="36" customHeight="1" x14ac:dyDescent="0.2">
      <c r="B115" s="767" t="str">
        <f>IF('Calculs Péremption FA'!P52="OK", "", 'TRAD-Quanti et TdB Péremptions'!$B$97)</f>
        <v/>
      </c>
      <c r="C115" s="768" t="str">
        <f>IF('Saisie données stocks'!Q64="", "", 'Saisie données stocks'!Q64)</f>
        <v/>
      </c>
      <c r="D115" s="769" t="str">
        <f>IF($D$7="X", IF('Calculs Péremption FA'!V52="ND", "", IF('Calculs Péremption FA'!W52="OK", "OK", CONCATENATE('TRAD-Quanti et TdB Péremptions'!$B$95, ROUNDUP('Calculs Péremption FA'!V52, 0), " ", 'TRAD-Quanti et TdB Péremptions'!$B$96, ROUNDUP('Calculs Péremption FA'!X52, 0), " US$"))), IF($D$6="X", IF('Calculs Péremption conso'!V52="ND", "", IF('Calculs Péremption conso'!W52="OK", "OK", CONCATENATE('TRAD-Quanti et TdB Péremptions'!$B$95, ROUNDUP('Calculs Péremption conso'!V52, 0), " ", 'TRAD-Quanti et TdB Péremptions'!$B$96, ROUNDUP('Calculs Péremption conso'!X52, 0), " US$"))), "ND"))</f>
        <v/>
      </c>
      <c r="E115" s="768" t="str">
        <f>IF('Saisie données stocks'!S64="", "", 'Saisie données stocks'!S64)</f>
        <v/>
      </c>
      <c r="F115" s="769" t="str">
        <f>IF($D$7="X", IF('Calculs Péremption FA'!AD52="ND", "", IF('Calculs Péremption FA'!AE52="OK", "OK", CONCATENATE('TRAD-Quanti et TdB Péremptions'!$B$95, ROUNDUP('Calculs Péremption FA'!AD52, 0), " ", 'TRAD-Quanti et TdB Péremptions'!$B$96, ROUNDUP('Calculs Péremption FA'!AF52, 0), " US$"))), IF($D$6="X", IF('Calculs Péremption conso'!AD52="ND", "", IF('Calculs Péremption conso'!AE52="OK", "OK", CONCATENATE('TRAD-Quanti et TdB Péremptions'!$B$95, ROUNDUP('Calculs Péremption conso'!AD52, 0), " ", 'TRAD-Quanti et TdB Péremptions'!$B$96, ROUNDUP('Calculs Péremption conso'!AF52, 0), " US$"))), "ND"))</f>
        <v/>
      </c>
      <c r="G115" s="768" t="str">
        <f>IF('Saisie données stocks'!U64="", "", 'Saisie données stocks'!U64)</f>
        <v/>
      </c>
      <c r="H115" s="769" t="str">
        <f>IF($D$7="X", IF('Calculs Péremption FA'!AL52="ND", "", IF('Calculs Péremption FA'!AM52="OK", "OK", CONCATENATE('TRAD-Quanti et TdB Péremptions'!$B$95, ROUNDUP('Calculs Péremption FA'!AL52, 0), " ", 'TRAD-Quanti et TdB Péremptions'!$B$96, ROUNDUP('Calculs Péremption FA'!AN52, 0), " US$"))), IF($D$6="X", IF('Calculs Péremption conso'!AL52="ND", "", IF('Calculs Péremption conso'!AM52="OK", "OK", CONCATENATE('TRAD-Quanti et TdB Péremptions'!$B$95, ROUNDUP('Calculs Péremption conso'!AL52, 0), " ", 'TRAD-Quanti et TdB Péremptions'!$B$96, ROUNDUP('Calculs Péremption conso'!AN52, 0), " US$"))), "ND"))</f>
        <v/>
      </c>
      <c r="I115" s="768" t="str">
        <f>IF('Saisie données stocks'!W64="", "", 'Saisie données stocks'!W64)</f>
        <v/>
      </c>
      <c r="J115" s="769" t="str">
        <f>IF($D$7="X", IF('Calculs Péremption FA'!AT52="ND", "", IF('Calculs Péremption FA'!AU52="OK", "OK", CONCATENATE('TRAD-Quanti et TdB Péremptions'!$B$95, ROUNDUP('Calculs Péremption FA'!AT52, 0), " ", 'TRAD-Quanti et TdB Péremptions'!$B$96, ROUNDUP('Calculs Péremption FA'!AV52, 0), " US$"))), IF($D$6="X", IF('Calculs Péremption conso'!AT52="ND", "", IF('Calculs Péremption conso'!AU52="OK", "OK", CONCATENATE('TRAD-Quanti et TdB Péremptions'!$B$95, ROUNDUP('Calculs Péremption conso'!AT52, 0), " ", 'TRAD-Quanti et TdB Péremptions'!$B$96, ROUNDUP('Calculs Péremption conso'!AV52, 0), " US$"))), "ND"))</f>
        <v/>
      </c>
      <c r="K115" s="768" t="str">
        <f>IF('Saisie données stocks'!Y64="", "", 'Saisie données stocks'!Y64)</f>
        <v/>
      </c>
      <c r="L115" s="769" t="str">
        <f>IF($D$7="X", IF('Calculs Péremption FA'!BB52="ND", "", IF('Calculs Péremption FA'!BC52="OK", "OK", CONCATENATE('TRAD-Quanti et TdB Péremptions'!$B$95, ROUNDUP('Calculs Péremption FA'!BB52, 0), " ", 'TRAD-Quanti et TdB Péremptions'!$B$96, ROUNDUP('Calculs Péremption FA'!BD52, 0), " US$"))), IF($D$6="X", IF('Calculs Péremption conso'!BB52="ND", "", IF('Calculs Péremption conso'!BC52="OK", "OK", CONCATENATE('TRAD-Quanti et TdB Péremptions'!$B$95, ROUNDUP('Calculs Péremption conso'!BB52, 0), " ", 'TRAD-Quanti et TdB Péremptions'!$B$96, ROUNDUP('Calculs Péremption conso'!BD52, 0), " US$"))), "ND"))</f>
        <v/>
      </c>
      <c r="M115" s="768" t="str">
        <f>IF('Saisie données stocks'!AA64="", "", 'Saisie données stocks'!AA64)</f>
        <v/>
      </c>
      <c r="N115" s="769" t="str">
        <f>IF($D$7="X", IF('Calculs Péremption FA'!BJ52="ND", "", IF('Calculs Péremption FA'!BK52="OK", "OK", CONCATENATE('TRAD-Quanti et TdB Péremptions'!$B$95, ROUNDUP('Calculs Péremption FA'!BJ52, 0), " ", 'TRAD-Quanti et TdB Péremptions'!$B$96, ROUNDUP('Calculs Péremption FA'!BL52, 0), " US$"))), IF($D$6="X", IF('Calculs Péremption conso'!BJ52="ND", "", IF('Calculs Péremption conso'!BK52="OK", "OK", CONCATENATE('TRAD-Quanti et TdB Péremptions'!$B$95, ROUNDUP('Calculs Péremption conso'!BJ52, 0), " ", 'TRAD-Quanti et TdB Péremptions'!$B$96, ROUNDUP('Calculs Péremption conso'!BL52, 0), " US$"))), "ND"))</f>
        <v/>
      </c>
      <c r="O115" s="768" t="str">
        <f>IF('Saisie données stocks'!AC64="", "", 'Saisie données stocks'!AC64)</f>
        <v/>
      </c>
      <c r="P115" s="769" t="str">
        <f>IF($D$7="X", IF('Calculs Péremption FA'!BR52="ND", "", IF('Calculs Péremption FA'!BS52="OK", "OK", CONCATENATE('TRAD-Quanti et TdB Péremptions'!$B$95, ROUNDUP('Calculs Péremption FA'!BR52, 0), " ", 'TRAD-Quanti et TdB Péremptions'!$B$96, ROUNDUP('Calculs Péremption FA'!BT52, 0), " US$"))), IF($D$6="X", IF('Calculs Péremption conso'!BR52="ND", "", IF('Calculs Péremption conso'!BS52="OK", "OK", CONCATENATE('TRAD-Quanti et TdB Péremptions'!$B$95, ROUNDUP('Calculs Péremption conso'!BR52, 0), " ", 'TRAD-Quanti et TdB Péremptions'!$B$96, ROUNDUP('Calculs Péremption conso'!BT52, 0), " US$"))), "ND"))</f>
        <v/>
      </c>
    </row>
    <row r="116" spans="2:16" ht="13.5" customHeight="1" x14ac:dyDescent="0.2">
      <c r="B116" s="774" t="str">
        <f>CONCATENATE('Calculs Péremption FA'!D53, " - ", 'Calculs Péremption FA'!F53, " - ", 'Calculs Péremption FA'!E53, " - B/", 'Calculs Péremption FA'!I53)</f>
        <v>DDI - 2 g - Poudre buvable - B/200</v>
      </c>
      <c r="C116" s="771"/>
      <c r="D116" s="772"/>
      <c r="E116" s="771"/>
      <c r="F116" s="772"/>
      <c r="G116" s="771"/>
      <c r="H116" s="772"/>
      <c r="I116" s="771"/>
      <c r="J116" s="772"/>
      <c r="K116" s="771"/>
      <c r="L116" s="772"/>
      <c r="M116" s="771"/>
      <c r="N116" s="772"/>
      <c r="O116" s="771"/>
      <c r="P116" s="772"/>
    </row>
    <row r="117" spans="2:16" ht="36" customHeight="1" x14ac:dyDescent="0.2">
      <c r="B117" s="767" t="str">
        <f>IF('Calculs Péremption FA'!P53="OK", "", 'TRAD-Quanti et TdB Péremptions'!$B$97)</f>
        <v/>
      </c>
      <c r="C117" s="768" t="str">
        <f>IF('Saisie données stocks'!Q65="", "", 'Saisie données stocks'!Q65)</f>
        <v/>
      </c>
      <c r="D117" s="769" t="str">
        <f>IF($D$7="X", IF('Calculs Péremption FA'!V53="ND", "", IF('Calculs Péremption FA'!W53="OK", "OK", CONCATENATE('TRAD-Quanti et TdB Péremptions'!$B$95, ROUNDUP('Calculs Péremption FA'!V53, 0), " ", 'TRAD-Quanti et TdB Péremptions'!$B$96, ROUNDUP('Calculs Péremption FA'!X53, 0), " US$"))), IF($D$6="X", IF('Calculs Péremption conso'!V53="ND", "", IF('Calculs Péremption conso'!W53="OK", "OK", CONCATENATE('TRAD-Quanti et TdB Péremptions'!$B$95, ROUNDUP('Calculs Péremption conso'!V53, 0), " ", 'TRAD-Quanti et TdB Péremptions'!$B$96, ROUNDUP('Calculs Péremption conso'!X53, 0), " US$"))), "ND"))</f>
        <v/>
      </c>
      <c r="E117" s="768" t="str">
        <f>IF('Saisie données stocks'!S65="", "", 'Saisie données stocks'!S65)</f>
        <v/>
      </c>
      <c r="F117" s="769" t="str">
        <f>IF($D$7="X", IF('Calculs Péremption FA'!AD53="ND", "", IF('Calculs Péremption FA'!AE53="OK", "OK", CONCATENATE('TRAD-Quanti et TdB Péremptions'!$B$95, ROUNDUP('Calculs Péremption FA'!AD53, 0), " ", 'TRAD-Quanti et TdB Péremptions'!$B$96, ROUNDUP('Calculs Péremption FA'!AF53, 0), " US$"))), IF($D$6="X", IF('Calculs Péremption conso'!AD53="ND", "", IF('Calculs Péremption conso'!AE53="OK", "OK", CONCATENATE('TRAD-Quanti et TdB Péremptions'!$B$95, ROUNDUP('Calculs Péremption conso'!AD53, 0), " ", 'TRAD-Quanti et TdB Péremptions'!$B$96, ROUNDUP('Calculs Péremption conso'!AF53, 0), " US$"))), "ND"))</f>
        <v/>
      </c>
      <c r="G117" s="768" t="str">
        <f>IF('Saisie données stocks'!U65="", "", 'Saisie données stocks'!U65)</f>
        <v/>
      </c>
      <c r="H117" s="769" t="str">
        <f>IF($D$7="X", IF('Calculs Péremption FA'!AL53="ND", "", IF('Calculs Péremption FA'!AM53="OK", "OK", CONCATENATE('TRAD-Quanti et TdB Péremptions'!$B$95, ROUNDUP('Calculs Péremption FA'!AL53, 0), " ", 'TRAD-Quanti et TdB Péremptions'!$B$96, ROUNDUP('Calculs Péremption FA'!AN53, 0), " US$"))), IF($D$6="X", IF('Calculs Péremption conso'!AL53="ND", "", IF('Calculs Péremption conso'!AM53="OK", "OK", CONCATENATE('TRAD-Quanti et TdB Péremptions'!$B$95, ROUNDUP('Calculs Péremption conso'!AL53, 0), " ", 'TRAD-Quanti et TdB Péremptions'!$B$96, ROUNDUP('Calculs Péremption conso'!AN53, 0), " US$"))), "ND"))</f>
        <v/>
      </c>
      <c r="I117" s="768" t="str">
        <f>IF('Saisie données stocks'!W65="", "", 'Saisie données stocks'!W65)</f>
        <v/>
      </c>
      <c r="J117" s="769" t="str">
        <f>IF($D$7="X", IF('Calculs Péremption FA'!AT53="ND", "", IF('Calculs Péremption FA'!AU53="OK", "OK", CONCATENATE('TRAD-Quanti et TdB Péremptions'!$B$95, ROUNDUP('Calculs Péremption FA'!AT53, 0), " ", 'TRAD-Quanti et TdB Péremptions'!$B$96, ROUNDUP('Calculs Péremption FA'!AV53, 0), " US$"))), IF($D$6="X", IF('Calculs Péremption conso'!AT53="ND", "", IF('Calculs Péremption conso'!AU53="OK", "OK", CONCATENATE('TRAD-Quanti et TdB Péremptions'!$B$95, ROUNDUP('Calculs Péremption conso'!AT53, 0), " ", 'TRAD-Quanti et TdB Péremptions'!$B$96, ROUNDUP('Calculs Péremption conso'!AV53, 0), " US$"))), "ND"))</f>
        <v/>
      </c>
      <c r="K117" s="768" t="str">
        <f>IF('Saisie données stocks'!Y65="", "", 'Saisie données stocks'!Y65)</f>
        <v/>
      </c>
      <c r="L117" s="769" t="str">
        <f>IF($D$7="X", IF('Calculs Péremption FA'!BB53="ND", "", IF('Calculs Péremption FA'!BC53="OK", "OK", CONCATENATE('TRAD-Quanti et TdB Péremptions'!$B$95, ROUNDUP('Calculs Péremption FA'!BB53, 0), " ", 'TRAD-Quanti et TdB Péremptions'!$B$96, ROUNDUP('Calculs Péremption FA'!BD53, 0), " US$"))), IF($D$6="X", IF('Calculs Péremption conso'!BB53="ND", "", IF('Calculs Péremption conso'!BC53="OK", "OK", CONCATENATE('TRAD-Quanti et TdB Péremptions'!$B$95, ROUNDUP('Calculs Péremption conso'!BB53, 0), " ", 'TRAD-Quanti et TdB Péremptions'!$B$96, ROUNDUP('Calculs Péremption conso'!BD53, 0), " US$"))), "ND"))</f>
        <v/>
      </c>
      <c r="M117" s="768" t="str">
        <f>IF('Saisie données stocks'!AA65="", "", 'Saisie données stocks'!AA65)</f>
        <v/>
      </c>
      <c r="N117" s="769" t="str">
        <f>IF($D$7="X", IF('Calculs Péremption FA'!BJ53="ND", "", IF('Calculs Péremption FA'!BK53="OK", "OK", CONCATENATE('TRAD-Quanti et TdB Péremptions'!$B$95, ROUNDUP('Calculs Péremption FA'!BJ53, 0), " ", 'TRAD-Quanti et TdB Péremptions'!$B$96, ROUNDUP('Calculs Péremption FA'!BL53, 0), " US$"))), IF($D$6="X", IF('Calculs Péremption conso'!BJ53="ND", "", IF('Calculs Péremption conso'!BK53="OK", "OK", CONCATENATE('TRAD-Quanti et TdB Péremptions'!$B$95, ROUNDUP('Calculs Péremption conso'!BJ53, 0), " ", 'TRAD-Quanti et TdB Péremptions'!$B$96, ROUNDUP('Calculs Péremption conso'!BL53, 0), " US$"))), "ND"))</f>
        <v/>
      </c>
      <c r="O117" s="768" t="str">
        <f>IF('Saisie données stocks'!AC65="", "", 'Saisie données stocks'!AC65)</f>
        <v/>
      </c>
      <c r="P117" s="769" t="str">
        <f>IF($D$7="X", IF('Calculs Péremption FA'!BR53="ND", "", IF('Calculs Péremption FA'!BS53="OK", "OK", CONCATENATE('TRAD-Quanti et TdB Péremptions'!$B$95, ROUNDUP('Calculs Péremption FA'!BR53, 0), " ", 'TRAD-Quanti et TdB Péremptions'!$B$96, ROUNDUP('Calculs Péremption FA'!BT53, 0), " US$"))), IF($D$6="X", IF('Calculs Péremption conso'!BR53="ND", "", IF('Calculs Péremption conso'!BS53="OK", "OK", CONCATENATE('TRAD-Quanti et TdB Péremptions'!$B$95, ROUNDUP('Calculs Péremption conso'!BR53, 0), " ", 'TRAD-Quanti et TdB Péremptions'!$B$96, ROUNDUP('Calculs Péremption conso'!BT53, 0), " US$"))), "ND"))</f>
        <v/>
      </c>
    </row>
    <row r="118" spans="2:16" x14ac:dyDescent="0.2">
      <c r="B118" s="774" t="str">
        <f>CONCATENATE('Calculs Péremption FA'!D54, " - ", 'Calculs Péremption FA'!F54, " - ", 'Calculs Péremption FA'!E54, " - B/", 'Calculs Péremption FA'!I54)</f>
        <v>NVP - 10 mg/mL - sol buv - B/240</v>
      </c>
      <c r="C118" s="771"/>
      <c r="D118" s="772"/>
      <c r="E118" s="771"/>
      <c r="F118" s="772"/>
      <c r="G118" s="771"/>
      <c r="H118" s="772"/>
      <c r="I118" s="771"/>
      <c r="J118" s="772"/>
      <c r="K118" s="771"/>
      <c r="L118" s="772"/>
      <c r="M118" s="771"/>
      <c r="N118" s="772"/>
      <c r="O118" s="771"/>
      <c r="P118" s="772"/>
    </row>
    <row r="119" spans="2:16" ht="36" customHeight="1" x14ac:dyDescent="0.2">
      <c r="B119" s="2550" t="str">
        <f>IF('Calculs Péremption FA'!P54="OK", "", 'TRAD-Quanti et TdB Péremptions'!$B$97)</f>
        <v/>
      </c>
      <c r="C119" s="768">
        <f>IF('Saisie données stocks'!Q66="", "", 'Saisie données stocks'!Q66)</f>
        <v>42278</v>
      </c>
      <c r="D119" s="769" t="str">
        <f>IF($D$7="X", IF('Calculs Péremption FA'!V54="ND", "", IF('Calculs Péremption FA'!W54="OK", "OK", CONCATENATE('TRAD-Quanti et TdB Péremptions'!$B$95, ROUNDUP('Calculs Péremption FA'!V54, 0), " ", 'TRAD-Quanti et TdB Péremptions'!$B$96, ROUNDUP('Calculs Péremption FA'!X54, 0), " US$"))), IF($D$6="X", IF('Calculs Péremption conso'!V54="ND", "", IF('Calculs Péremption conso'!W54="OK", "OK", CONCATENATE('TRAD-Quanti et TdB Péremptions'!$B$95, ROUNDUP('Calculs Péremption conso'!V54, 0), " ", 'TRAD-Quanti et TdB Péremptions'!$B$96, ROUNDUP('Calculs Péremption conso'!X54, 0), " US$"))), "ND"))</f>
        <v>OK</v>
      </c>
      <c r="E119" s="768">
        <f>IF('Saisie données stocks'!S66="", "", 'Saisie données stocks'!S66)</f>
        <v>42309</v>
      </c>
      <c r="F119" s="769" t="str">
        <f>IF($D$7="X", IF('Calculs Péremption FA'!AD54="ND", "", IF('Calculs Péremption FA'!AE54="OK", "OK", CONCATENATE('TRAD-Quanti et TdB Péremptions'!$B$95, ROUNDUP('Calculs Péremption FA'!AD54, 0), " ", 'TRAD-Quanti et TdB Péremptions'!$B$96, ROUNDUP('Calculs Péremption FA'!AF54, 0), " US$"))), IF($D$6="X", IF('Calculs Péremption conso'!AD54="ND", "", IF('Calculs Péremption conso'!AE54="OK", "OK", CONCATENATE('TRAD-Quanti et TdB Péremptions'!$B$95, ROUNDUP('Calculs Péremption conso'!AD54, 0), " ", 'TRAD-Quanti et TdB Péremptions'!$B$96, ROUNDUP('Calculs Péremption conso'!AF54, 0), " US$"))), "ND"))</f>
        <v>OK</v>
      </c>
      <c r="G119" s="768">
        <f>IF('Saisie données stocks'!U66="", "", 'Saisie données stocks'!U66)</f>
        <v>42795</v>
      </c>
      <c r="H119" s="769" t="str">
        <f>IF($D$7="X", IF('Calculs Péremption FA'!AL54="ND", "", IF('Calculs Péremption FA'!AM54="OK", "OK", CONCATENATE('TRAD-Quanti et TdB Péremptions'!$B$95, ROUNDUP('Calculs Péremption FA'!AL54, 0), " ", 'TRAD-Quanti et TdB Péremptions'!$B$96, ROUNDUP('Calculs Péremption FA'!AN54, 0), " US$"))), IF($D$6="X", IF('Calculs Péremption conso'!AL54="ND", "", IF('Calculs Péremption conso'!AM54="OK", "OK", CONCATENATE('TRAD-Quanti et TdB Péremptions'!$B$95, ROUNDUP('Calculs Péremption conso'!AL54, 0), " ", 'TRAD-Quanti et TdB Péremptions'!$B$96, ROUNDUP('Calculs Péremption conso'!AN54, 0), " US$"))), "ND"))</f>
        <v>OK</v>
      </c>
      <c r="I119" s="768" t="str">
        <f>IF('Saisie données stocks'!W66="", "", 'Saisie données stocks'!W66)</f>
        <v/>
      </c>
      <c r="J119" s="769" t="str">
        <f>IF($D$7="X", IF('Calculs Péremption FA'!AT54="ND", "", IF('Calculs Péremption FA'!AU54="OK", "OK", CONCATENATE('TRAD-Quanti et TdB Péremptions'!$B$95, ROUNDUP('Calculs Péremption FA'!AT54, 0), " ", 'TRAD-Quanti et TdB Péremptions'!$B$96, ROUNDUP('Calculs Péremption FA'!AV54, 0), " US$"))), IF($D$6="X", IF('Calculs Péremption conso'!AT54="ND", "", IF('Calculs Péremption conso'!AU54="OK", "OK", CONCATENATE('TRAD-Quanti et TdB Péremptions'!$B$95, ROUNDUP('Calculs Péremption conso'!AT54, 0), " ", 'TRAD-Quanti et TdB Péremptions'!$B$96, ROUNDUP('Calculs Péremption conso'!AV54, 0), " US$"))), "ND"))</f>
        <v/>
      </c>
      <c r="K119" s="768" t="str">
        <f>IF('Saisie données stocks'!Y66="", "", 'Saisie données stocks'!Y66)</f>
        <v/>
      </c>
      <c r="L119" s="769" t="str">
        <f>IF($D$7="X", IF('Calculs Péremption FA'!BB54="ND", "", IF('Calculs Péremption FA'!BC54="OK", "OK", CONCATENATE('TRAD-Quanti et TdB Péremptions'!$B$95, ROUNDUP('Calculs Péremption FA'!BB54, 0), " ", 'TRAD-Quanti et TdB Péremptions'!$B$96, ROUNDUP('Calculs Péremption FA'!BD54, 0), " US$"))), IF($D$6="X", IF('Calculs Péremption conso'!BB54="ND", "", IF('Calculs Péremption conso'!BC54="OK", "OK", CONCATENATE('TRAD-Quanti et TdB Péremptions'!$B$95, ROUNDUP('Calculs Péremption conso'!BB54, 0), " ", 'TRAD-Quanti et TdB Péremptions'!$B$96, ROUNDUP('Calculs Péremption conso'!BD54, 0), " US$"))), "ND"))</f>
        <v/>
      </c>
      <c r="M119" s="768" t="str">
        <f>IF('Saisie données stocks'!AA66="", "", 'Saisie données stocks'!AA66)</f>
        <v/>
      </c>
      <c r="N119" s="769" t="str">
        <f>IF($D$7="X", IF('Calculs Péremption FA'!BJ54="ND", "", IF('Calculs Péremption FA'!BK54="OK", "OK", CONCATENATE('TRAD-Quanti et TdB Péremptions'!$B$95, ROUNDUP('Calculs Péremption FA'!BJ54, 0), " ", 'TRAD-Quanti et TdB Péremptions'!$B$96, ROUNDUP('Calculs Péremption FA'!BL54, 0), " US$"))), IF($D$6="X", IF('Calculs Péremption conso'!BJ54="ND", "", IF('Calculs Péremption conso'!BK54="OK", "OK", CONCATENATE('TRAD-Quanti et TdB Péremptions'!$B$95, ROUNDUP('Calculs Péremption conso'!BJ54, 0), " ", 'TRAD-Quanti et TdB Péremptions'!$B$96, ROUNDUP('Calculs Péremption conso'!BL54, 0), " US$"))), "ND"))</f>
        <v/>
      </c>
      <c r="O119" s="768" t="str">
        <f>IF('Saisie données stocks'!AC66="", "", 'Saisie données stocks'!AC66)</f>
        <v/>
      </c>
      <c r="P119" s="769" t="str">
        <f>IF($D$7="X", IF('Calculs Péremption FA'!BR54="ND", "", IF('Calculs Péremption FA'!BS54="OK", "OK", CONCATENATE('TRAD-Quanti et TdB Péremptions'!$B$95, ROUNDUP('Calculs Péremption FA'!BR54, 0), " ", 'TRAD-Quanti et TdB Péremptions'!$B$96, ROUNDUP('Calculs Péremption FA'!BT54, 0), " US$"))), IF($D$6="X", IF('Calculs Péremption conso'!BR54="ND", "", IF('Calculs Péremption conso'!BS54="OK", "OK", CONCATENATE('TRAD-Quanti et TdB Péremptions'!$B$95, ROUNDUP('Calculs Péremption conso'!BR54, 0), " ", 'TRAD-Quanti et TdB Péremptions'!$B$96, ROUNDUP('Calculs Péremption conso'!BT54, 0), " US$"))), "ND"))</f>
        <v/>
      </c>
    </row>
    <row r="120" spans="2:16" x14ac:dyDescent="0.2">
      <c r="B120" s="774" t="str">
        <f>CONCATENATE('Calculs Péremption FA'!D55, " - ", 'Calculs Péremption FA'!F55, " - ", 'Calculs Péremption FA'!E55, " - B/", 'Calculs Péremption FA'!I55)</f>
        <v>EFV - 30 mg/mL - sol buv - B/180</v>
      </c>
      <c r="C120" s="771"/>
      <c r="D120" s="772"/>
      <c r="E120" s="771"/>
      <c r="F120" s="772"/>
      <c r="G120" s="771"/>
      <c r="H120" s="772"/>
      <c r="I120" s="771"/>
      <c r="J120" s="772"/>
      <c r="K120" s="771"/>
      <c r="L120" s="772"/>
      <c r="M120" s="771"/>
      <c r="N120" s="772"/>
      <c r="O120" s="771"/>
      <c r="P120" s="772"/>
    </row>
    <row r="121" spans="2:16" ht="36" customHeight="1" x14ac:dyDescent="0.2">
      <c r="B121" s="767" t="str">
        <f>IF('Calculs Péremption FA'!P55="OK", "", 'TRAD-Quanti et TdB Péremptions'!$B$97)</f>
        <v/>
      </c>
      <c r="C121" s="768" t="str">
        <f>IF('Saisie données stocks'!Q67="", "", 'Saisie données stocks'!Q67)</f>
        <v/>
      </c>
      <c r="D121" s="769" t="str">
        <f>IF($D$7="X", IF('Calculs Péremption FA'!V55="ND", "", IF('Calculs Péremption FA'!W55="OK", "OK", CONCATENATE('TRAD-Quanti et TdB Péremptions'!$B$95, ROUNDUP('Calculs Péremption FA'!V55, 0), " ", 'TRAD-Quanti et TdB Péremptions'!$B$96, ROUNDUP('Calculs Péremption FA'!X55, 0), " US$"))), IF($D$6="X", IF('Calculs Péremption conso'!V55="ND", "", IF('Calculs Péremption conso'!W55="OK", "OK", CONCATENATE('TRAD-Quanti et TdB Péremptions'!$B$95, ROUNDUP('Calculs Péremption conso'!V55, 0), " ", 'TRAD-Quanti et TdB Péremptions'!$B$96, ROUNDUP('Calculs Péremption conso'!X55, 0), " US$"))), "ND"))</f>
        <v/>
      </c>
      <c r="E121" s="768" t="str">
        <f>IF('Saisie données stocks'!S67="", "", 'Saisie données stocks'!S67)</f>
        <v/>
      </c>
      <c r="F121" s="769" t="str">
        <f>IF($D$7="X", IF('Calculs Péremption FA'!AD55="ND", "", IF('Calculs Péremption FA'!AE55="OK", "OK", CONCATENATE('TRAD-Quanti et TdB Péremptions'!$B$95, ROUNDUP('Calculs Péremption FA'!AD55, 0), " ", 'TRAD-Quanti et TdB Péremptions'!$B$96, ROUNDUP('Calculs Péremption FA'!AF55, 0), " US$"))), IF($D$6="X", IF('Calculs Péremption conso'!AD55="ND", "", IF('Calculs Péremption conso'!AE55="OK", "OK", CONCATENATE('TRAD-Quanti et TdB Péremptions'!$B$95, ROUNDUP('Calculs Péremption conso'!AD55, 0), " ", 'TRAD-Quanti et TdB Péremptions'!$B$96, ROUNDUP('Calculs Péremption conso'!AF55, 0), " US$"))), "ND"))</f>
        <v/>
      </c>
      <c r="G121" s="768" t="str">
        <f>IF('Saisie données stocks'!U67="", "", 'Saisie données stocks'!U67)</f>
        <v/>
      </c>
      <c r="H121" s="769" t="str">
        <f>IF($D$7="X", IF('Calculs Péremption FA'!AL55="ND", "", IF('Calculs Péremption FA'!AM55="OK", "OK", CONCATENATE('TRAD-Quanti et TdB Péremptions'!$B$95, ROUNDUP('Calculs Péremption FA'!AL55, 0), " ", 'TRAD-Quanti et TdB Péremptions'!$B$96, ROUNDUP('Calculs Péremption FA'!AN55, 0), " US$"))), IF($D$6="X", IF('Calculs Péremption conso'!AL55="ND", "", IF('Calculs Péremption conso'!AM55="OK", "OK", CONCATENATE('TRAD-Quanti et TdB Péremptions'!$B$95, ROUNDUP('Calculs Péremption conso'!AL55, 0), " ", 'TRAD-Quanti et TdB Péremptions'!$B$96, ROUNDUP('Calculs Péremption conso'!AN55, 0), " US$"))), "ND"))</f>
        <v/>
      </c>
      <c r="I121" s="768" t="str">
        <f>IF('Saisie données stocks'!W67="", "", 'Saisie données stocks'!W67)</f>
        <v/>
      </c>
      <c r="J121" s="769" t="str">
        <f>IF($D$7="X", IF('Calculs Péremption FA'!AT55="ND", "", IF('Calculs Péremption FA'!AU55="OK", "OK", CONCATENATE('TRAD-Quanti et TdB Péremptions'!$B$95, ROUNDUP('Calculs Péremption FA'!AT55, 0), " ", 'TRAD-Quanti et TdB Péremptions'!$B$96, ROUNDUP('Calculs Péremption FA'!AV55, 0), " US$"))), IF($D$6="X", IF('Calculs Péremption conso'!AT55="ND", "", IF('Calculs Péremption conso'!AU55="OK", "OK", CONCATENATE('TRAD-Quanti et TdB Péremptions'!$B$95, ROUNDUP('Calculs Péremption conso'!AT55, 0), " ", 'TRAD-Quanti et TdB Péremptions'!$B$96, ROUNDUP('Calculs Péremption conso'!AV55, 0), " US$"))), "ND"))</f>
        <v/>
      </c>
      <c r="K121" s="768" t="str">
        <f>IF('Saisie données stocks'!Y67="", "", 'Saisie données stocks'!Y67)</f>
        <v/>
      </c>
      <c r="L121" s="769" t="str">
        <f>IF($D$7="X", IF('Calculs Péremption FA'!BB55="ND", "", IF('Calculs Péremption FA'!BC55="OK", "OK", CONCATENATE('TRAD-Quanti et TdB Péremptions'!$B$95, ROUNDUP('Calculs Péremption FA'!BB55, 0), " ", 'TRAD-Quanti et TdB Péremptions'!$B$96, ROUNDUP('Calculs Péremption FA'!BD55, 0), " US$"))), IF($D$6="X", IF('Calculs Péremption conso'!BB55="ND", "", IF('Calculs Péremption conso'!BC55="OK", "OK", CONCATENATE('TRAD-Quanti et TdB Péremptions'!$B$95, ROUNDUP('Calculs Péremption conso'!BB55, 0), " ", 'TRAD-Quanti et TdB Péremptions'!$B$96, ROUNDUP('Calculs Péremption conso'!BD55, 0), " US$"))), "ND"))</f>
        <v/>
      </c>
      <c r="M121" s="768" t="str">
        <f>IF('Saisie données stocks'!AA67="", "", 'Saisie données stocks'!AA67)</f>
        <v/>
      </c>
      <c r="N121" s="769" t="str">
        <f>IF($D$7="X", IF('Calculs Péremption FA'!BJ55="ND", "", IF('Calculs Péremption FA'!BK55="OK", "OK", CONCATENATE('TRAD-Quanti et TdB Péremptions'!$B$95, ROUNDUP('Calculs Péremption FA'!BJ55, 0), " ", 'TRAD-Quanti et TdB Péremptions'!$B$96, ROUNDUP('Calculs Péremption FA'!BL55, 0), " US$"))), IF($D$6="X", IF('Calculs Péremption conso'!BJ55="ND", "", IF('Calculs Péremption conso'!BK55="OK", "OK", CONCATENATE('TRAD-Quanti et TdB Péremptions'!$B$95, ROUNDUP('Calculs Péremption conso'!BJ55, 0), " ", 'TRAD-Quanti et TdB Péremptions'!$B$96, ROUNDUP('Calculs Péremption conso'!BL55, 0), " US$"))), "ND"))</f>
        <v/>
      </c>
      <c r="O121" s="768" t="str">
        <f>IF('Saisie données stocks'!AC67="", "", 'Saisie données stocks'!AC67)</f>
        <v/>
      </c>
      <c r="P121" s="769" t="str">
        <f>IF($D$7="X", IF('Calculs Péremption FA'!BR55="ND", "", IF('Calculs Péremption FA'!BS55="OK", "OK", CONCATENATE('TRAD-Quanti et TdB Péremptions'!$B$95, ROUNDUP('Calculs Péremption FA'!BR55, 0), " ", 'TRAD-Quanti et TdB Péremptions'!$B$96, ROUNDUP('Calculs Péremption FA'!BT55, 0), " US$"))), IF($D$6="X", IF('Calculs Péremption conso'!BR55="ND", "", IF('Calculs Péremption conso'!BS55="OK", "OK", CONCATENATE('TRAD-Quanti et TdB Péremptions'!$B$95, ROUNDUP('Calculs Péremption conso'!BR55, 0), " ", 'TRAD-Quanti et TdB Péremptions'!$B$96, ROUNDUP('Calculs Péremption conso'!BT55, 0), " US$"))), "ND"))</f>
        <v/>
      </c>
    </row>
    <row r="122" spans="2:16" x14ac:dyDescent="0.2">
      <c r="B122" s="774" t="str">
        <f>CONCATENATE('Calculs Péremption FA'!D56, " - ", 'Calculs Péremption FA'!F56, " - ", 'Calculs Péremption FA'!E56, " - B/", 'Calculs Péremption FA'!I56)</f>
        <v>LPV/r - 80/20 mg/mL - sol buv - B/60</v>
      </c>
      <c r="C122" s="771"/>
      <c r="D122" s="772"/>
      <c r="E122" s="771"/>
      <c r="F122" s="772"/>
      <c r="G122" s="771"/>
      <c r="H122" s="772"/>
      <c r="I122" s="771"/>
      <c r="J122" s="772"/>
      <c r="K122" s="771"/>
      <c r="L122" s="772"/>
      <c r="M122" s="771"/>
      <c r="N122" s="772"/>
      <c r="O122" s="771"/>
      <c r="P122" s="772"/>
    </row>
    <row r="123" spans="2:16" ht="36" customHeight="1" thickBot="1" x14ac:dyDescent="0.25">
      <c r="B123" s="760" t="str">
        <f>IF('Calculs Péremption FA'!P56="OK", "", 'TRAD-Quanti et TdB Péremptions'!$B$97)</f>
        <v/>
      </c>
      <c r="C123" s="762" t="str">
        <f>IF('Saisie données stocks'!Q68="", "", 'Saisie données stocks'!Q68)</f>
        <v/>
      </c>
      <c r="D123" s="763" t="str">
        <f>IF($D$7="X", IF('Calculs Péremption FA'!V56="ND", "", IF('Calculs Péremption FA'!W56="OK", "OK", CONCATENATE('TRAD-Quanti et TdB Péremptions'!$B$95, ROUNDUP('Calculs Péremption FA'!V56, 0), " ", 'TRAD-Quanti et TdB Péremptions'!$B$96, ROUNDUP('Calculs Péremption FA'!X56, 0), " US$"))), IF($D$6="X", IF('Calculs Péremption conso'!V56="ND", "", IF('Calculs Péremption conso'!W56="OK", "OK", CONCATENATE('TRAD-Quanti et TdB Péremptions'!$B$95, ROUNDUP('Calculs Péremption conso'!V56, 0), " ", 'TRAD-Quanti et TdB Péremptions'!$B$96, ROUNDUP('Calculs Péremption conso'!X56, 0), " US$"))), "ND"))</f>
        <v/>
      </c>
      <c r="E123" s="762" t="str">
        <f>IF('Saisie données stocks'!S68="", "", 'Saisie données stocks'!S68)</f>
        <v/>
      </c>
      <c r="F123" s="763" t="str">
        <f>IF($D$7="X", IF('Calculs Péremption FA'!AD56="ND", "", IF('Calculs Péremption FA'!AE56="OK", "OK", CONCATENATE('TRAD-Quanti et TdB Péremptions'!$B$95, ROUNDUP('Calculs Péremption FA'!AD56, 0), " ", 'TRAD-Quanti et TdB Péremptions'!$B$96, ROUNDUP('Calculs Péremption FA'!AF56, 0), " US$"))), IF($D$6="X", IF('Calculs Péremption conso'!AD56="ND", "", IF('Calculs Péremption conso'!AE56="OK", "OK", CONCATENATE('TRAD-Quanti et TdB Péremptions'!$B$95, ROUNDUP('Calculs Péremption conso'!AD56, 0), " ", 'TRAD-Quanti et TdB Péremptions'!$B$96, ROUNDUP('Calculs Péremption conso'!AF56, 0), " US$"))), "ND"))</f>
        <v/>
      </c>
      <c r="G123" s="762" t="str">
        <f>IF('Saisie données stocks'!U68="", "", 'Saisie données stocks'!U68)</f>
        <v/>
      </c>
      <c r="H123" s="763" t="str">
        <f>IF($D$7="X", IF('Calculs Péremption FA'!AL56="ND", "", IF('Calculs Péremption FA'!AM56="OK", "OK", CONCATENATE('TRAD-Quanti et TdB Péremptions'!$B$95, ROUNDUP('Calculs Péremption FA'!AL56, 0), " ", 'TRAD-Quanti et TdB Péremptions'!$B$96, ROUNDUP('Calculs Péremption FA'!AN56, 0), " US$"))), IF($D$6="X", IF('Calculs Péremption conso'!AL56="ND", "", IF('Calculs Péremption conso'!AM56="OK", "OK", CONCATENATE('TRAD-Quanti et TdB Péremptions'!$B$95, ROUNDUP('Calculs Péremption conso'!AL56, 0), " ", 'TRAD-Quanti et TdB Péremptions'!$B$96, ROUNDUP('Calculs Péremption conso'!AN56, 0), " US$"))), "ND"))</f>
        <v/>
      </c>
      <c r="I123" s="762" t="str">
        <f>IF('Saisie données stocks'!W68="", "", 'Saisie données stocks'!W68)</f>
        <v/>
      </c>
      <c r="J123" s="763" t="str">
        <f>IF($D$7="X", IF('Calculs Péremption FA'!AT56="ND", "", IF('Calculs Péremption FA'!AU56="OK", "OK", CONCATENATE('TRAD-Quanti et TdB Péremptions'!$B$95, ROUNDUP('Calculs Péremption FA'!AT56, 0), " ", 'TRAD-Quanti et TdB Péremptions'!$B$96, ROUNDUP('Calculs Péremption FA'!AV56, 0), " US$"))), IF($D$6="X", IF('Calculs Péremption conso'!AT56="ND", "", IF('Calculs Péremption conso'!AU56="OK", "OK", CONCATENATE('TRAD-Quanti et TdB Péremptions'!$B$95, ROUNDUP('Calculs Péremption conso'!AT56, 0), " ", 'TRAD-Quanti et TdB Péremptions'!$B$96, ROUNDUP('Calculs Péremption conso'!AV56, 0), " US$"))), "ND"))</f>
        <v/>
      </c>
      <c r="K123" s="762" t="str">
        <f>IF('Saisie données stocks'!Y68="", "", 'Saisie données stocks'!Y68)</f>
        <v/>
      </c>
      <c r="L123" s="763" t="str">
        <f>IF($D$7="X", IF('Calculs Péremption FA'!BB56="ND", "", IF('Calculs Péremption FA'!BC56="OK", "OK", CONCATENATE('TRAD-Quanti et TdB Péremptions'!$B$95, ROUNDUP('Calculs Péremption FA'!BB56, 0), " ", 'TRAD-Quanti et TdB Péremptions'!$B$96, ROUNDUP('Calculs Péremption FA'!BD56, 0), " US$"))), IF($D$6="X", IF('Calculs Péremption conso'!BB56="ND", "", IF('Calculs Péremption conso'!BC56="OK", "OK", CONCATENATE('TRAD-Quanti et TdB Péremptions'!$B$95, ROUNDUP('Calculs Péremption conso'!BB56, 0), " ", 'TRAD-Quanti et TdB Péremptions'!$B$96, ROUNDUP('Calculs Péremption conso'!BD56, 0), " US$"))), "ND"))</f>
        <v/>
      </c>
      <c r="M123" s="762" t="str">
        <f>IF('Saisie données stocks'!AA68="", "", 'Saisie données stocks'!AA68)</f>
        <v/>
      </c>
      <c r="N123" s="763" t="str">
        <f>IF($D$7="X", IF('Calculs Péremption FA'!BJ56="ND", "", IF('Calculs Péremption FA'!BK56="OK", "OK", CONCATENATE('TRAD-Quanti et TdB Péremptions'!$B$95, ROUNDUP('Calculs Péremption FA'!BJ56, 0), " ", 'TRAD-Quanti et TdB Péremptions'!$B$96, ROUNDUP('Calculs Péremption FA'!BL56, 0), " US$"))), IF($D$6="X", IF('Calculs Péremption conso'!BJ56="ND", "", IF('Calculs Péremption conso'!BK56="OK", "OK", CONCATENATE('TRAD-Quanti et TdB Péremptions'!$B$95, ROUNDUP('Calculs Péremption conso'!BJ56, 0), " ", 'TRAD-Quanti et TdB Péremptions'!$B$96, ROUNDUP('Calculs Péremption conso'!BL56, 0), " US$"))), "ND"))</f>
        <v/>
      </c>
      <c r="O123" s="762" t="str">
        <f>IF('Saisie données stocks'!AC68="", "", 'Saisie données stocks'!AC68)</f>
        <v/>
      </c>
      <c r="P123" s="763" t="str">
        <f>IF($D$7="X", IF('Calculs Péremption FA'!BR56="ND", "", IF('Calculs Péremption FA'!BS56="OK", "OK", CONCATENATE('TRAD-Quanti et TdB Péremptions'!$B$95, ROUNDUP('Calculs Péremption FA'!BR56, 0), " ", 'TRAD-Quanti et TdB Péremptions'!$B$96, ROUNDUP('Calculs Péremption FA'!BT56, 0), " US$"))), IF($D$6="X", IF('Calculs Péremption conso'!BR56="ND", "", IF('Calculs Péremption conso'!BS56="OK", "OK", CONCATENATE('TRAD-Quanti et TdB Péremptions'!$B$95, ROUNDUP('Calculs Péremption conso'!BR56, 0), " ", 'TRAD-Quanti et TdB Péremptions'!$B$96, ROUNDUP('Calculs Péremption conso'!BT56, 0), " US$"))), "ND"))</f>
        <v/>
      </c>
    </row>
  </sheetData>
  <sheetProtection password="D0E7" sheet="1" objects="1" scenarios="1"/>
  <mergeCells count="3">
    <mergeCell ref="A2:P2"/>
    <mergeCell ref="B107:P107"/>
    <mergeCell ref="B24:P24"/>
  </mergeCells>
  <conditionalFormatting sqref="F108:F123 H108:H123 J108:J123 L108:L123 N108:N123 P108:P123 P25:P106 N25:N106 L25:L106 J25:J106 H25:H106 F25:F106 D25:D106 D108:D123">
    <cfRule type="containsBlanks" priority="78" stopIfTrue="1">
      <formula>LEN(TRIM(D25))=0</formula>
    </cfRule>
    <cfRule type="cellIs" dxfId="13" priority="80" operator="equal">
      <formula>"OK"</formula>
    </cfRule>
    <cfRule type="cellIs" dxfId="12" priority="81" operator="notEqual">
      <formula>"ND"</formula>
    </cfRule>
  </conditionalFormatting>
  <conditionalFormatting sqref="B1 B3:B7 B14 B16:B1048576">
    <cfRule type="cellIs" dxfId="11" priority="77" operator="equal">
      <formula>"SAISIE INCOMPLETE DES DLU et Qtés"</formula>
    </cfRule>
  </conditionalFormatting>
  <conditionalFormatting sqref="C25:P106 C108:P123 A24:B123 Q24:XFD123">
    <cfRule type="containsBlanks" priority="72" stopIfTrue="1">
      <formula>LEN(TRIM(A24))=0</formula>
    </cfRule>
    <cfRule type="cellIs" dxfId="10" priority="79" operator="lessThan">
      <formula>TODAY()+6*30</formula>
    </cfRule>
  </conditionalFormatting>
  <dataValidations disablePrompts="1" count="1">
    <dataValidation type="list" allowBlank="1" showInputMessage="1" showErrorMessage="1" sqref="D9:D13">
      <formula1>"File active, Consommations/Distributions"</formula1>
    </dataValidation>
  </dataValidations>
  <printOptions horizontalCentered="1"/>
  <pageMargins left="0.23622047244094491" right="0.23622047244094491" top="0.31496062992125984" bottom="0.31496062992125984" header="0.31496062992125984" footer="0.31496062992125984"/>
  <pageSetup paperSize="9" scale="55" orientation="landscape" r:id="rId1"/>
  <rowBreaks count="3" manualBreakCount="3">
    <brk id="54" max="15" man="1"/>
    <brk id="88" max="15" man="1"/>
    <brk id="106"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6"/>
  </sheetPr>
  <dimension ref="A1:AH32"/>
  <sheetViews>
    <sheetView showGridLines="0" zoomScale="90" zoomScaleNormal="90" workbookViewId="0">
      <selection activeCell="H33" sqref="H33"/>
    </sheetView>
  </sheetViews>
  <sheetFormatPr defaultColWidth="11.42578125" defaultRowHeight="12.75" x14ac:dyDescent="0.2"/>
  <cols>
    <col min="1" max="2" width="4.140625" customWidth="1"/>
    <col min="3" max="3" width="6.28515625" customWidth="1"/>
    <col min="4" max="4" width="22.28515625" customWidth="1"/>
    <col min="5" max="5" width="16.7109375" customWidth="1"/>
    <col min="6" max="11" width="20.85546875" customWidth="1"/>
  </cols>
  <sheetData>
    <row r="1" spans="1:34" s="9" customFormat="1" x14ac:dyDescent="0.2">
      <c r="AD1" s="835"/>
      <c r="AE1" s="835"/>
      <c r="AF1" s="835"/>
      <c r="AG1" s="835"/>
      <c r="AH1" s="835"/>
    </row>
    <row r="2" spans="1:34" s="9" customFormat="1" ht="22.5" x14ac:dyDescent="0.3">
      <c r="A2" s="1814" t="str">
        <f>'TRAD-Paramétrage'!B3</f>
        <v>Feuille SAISIE 1 - Paramétrage général</v>
      </c>
      <c r="B2" s="1814"/>
      <c r="C2" s="1814"/>
      <c r="D2" s="1814"/>
      <c r="E2" s="1814"/>
      <c r="F2" s="1814"/>
      <c r="G2" s="1814"/>
      <c r="H2" s="1814"/>
      <c r="I2" s="1814"/>
      <c r="J2" s="1814"/>
      <c r="K2" s="1814"/>
      <c r="L2" s="1814"/>
      <c r="M2" s="1814"/>
      <c r="N2" s="1814"/>
      <c r="AD2" s="835"/>
      <c r="AE2" s="835"/>
      <c r="AF2" s="835"/>
      <c r="AG2" s="835"/>
      <c r="AH2" s="835"/>
    </row>
    <row r="3" spans="1:34" s="9" customFormat="1" ht="13.5" thickBot="1" x14ac:dyDescent="0.25">
      <c r="AD3" s="835"/>
      <c r="AE3" s="835"/>
      <c r="AF3" s="835"/>
      <c r="AG3" s="835"/>
      <c r="AH3" s="835"/>
    </row>
    <row r="4" spans="1:34" s="9" customFormat="1" ht="13.5" thickBot="1" x14ac:dyDescent="0.25">
      <c r="C4" s="314" t="str">
        <f>'TRAD-Paramétrage'!B4</f>
        <v>Les cases vertes sont à renseigner</v>
      </c>
      <c r="D4" s="315"/>
      <c r="E4" s="316"/>
      <c r="AD4" s="835"/>
      <c r="AE4" s="835"/>
      <c r="AF4" s="835"/>
      <c r="AG4" s="835"/>
      <c r="AH4" s="835"/>
    </row>
    <row r="5" spans="1:34" ht="13.5" thickBot="1" x14ac:dyDescent="0.25">
      <c r="AD5" s="836"/>
      <c r="AE5" s="836"/>
      <c r="AF5" s="836"/>
      <c r="AG5" s="836"/>
      <c r="AH5" s="836"/>
    </row>
    <row r="6" spans="1:34" s="2530" customFormat="1" ht="13.5" thickBot="1" x14ac:dyDescent="0.25">
      <c r="B6" s="3189" t="str">
        <f>'TRAD-Saisie données stocks'!$B$2</f>
        <v>Rappel de la langue choisie</v>
      </c>
      <c r="E6" s="3192" t="str">
        <f>Présentation!$E$2</f>
        <v>Français</v>
      </c>
    </row>
    <row r="7" spans="1:34" s="2530" customFormat="1" x14ac:dyDescent="0.2"/>
    <row r="8" spans="1:34" s="23" customFormat="1" ht="13.5" x14ac:dyDescent="0.25">
      <c r="H8" s="24"/>
      <c r="L8" s="24"/>
      <c r="AD8" s="835"/>
      <c r="AE8" s="835"/>
      <c r="AF8" s="835"/>
      <c r="AG8" s="835"/>
      <c r="AH8" s="835"/>
    </row>
    <row r="9" spans="1:34" s="1713" customFormat="1" ht="19.5" thickBot="1" x14ac:dyDescent="0.35">
      <c r="B9" s="3212" t="str">
        <f>'TRAD-Paramétrage'!B5</f>
        <v>Etape 1 : Préciser le nom du pays et / ou de la structure de prise en charge</v>
      </c>
      <c r="C9" s="3212"/>
      <c r="D9" s="3212"/>
      <c r="E9" s="3212"/>
      <c r="F9" s="3212"/>
      <c r="G9" s="3212"/>
      <c r="H9" s="3212"/>
      <c r="I9" s="3212"/>
      <c r="J9" s="3212"/>
      <c r="K9" s="3212"/>
      <c r="L9" s="3212"/>
      <c r="M9" s="3212"/>
      <c r="N9" s="3212"/>
      <c r="O9" s="3212"/>
      <c r="AD9" s="1714"/>
      <c r="AE9" s="1714"/>
      <c r="AF9" s="1714"/>
      <c r="AG9" s="1714"/>
      <c r="AH9" s="1714"/>
    </row>
    <row r="10" spans="1:34" s="4" customFormat="1" ht="13.5" thickBot="1" x14ac:dyDescent="0.25">
      <c r="AD10" s="835"/>
      <c r="AE10" s="835"/>
      <c r="AF10" s="835"/>
      <c r="AG10" s="835"/>
      <c r="AH10" s="835"/>
    </row>
    <row r="11" spans="1:34" s="23" customFormat="1" ht="15.75" thickBot="1" x14ac:dyDescent="0.3">
      <c r="B11" s="317"/>
      <c r="D11" s="3213" t="s">
        <v>2065</v>
      </c>
      <c r="E11" s="3214"/>
      <c r="H11" s="24"/>
      <c r="L11" s="24"/>
      <c r="AD11" s="835"/>
      <c r="AE11" s="835"/>
      <c r="AF11" s="835"/>
      <c r="AG11" s="835"/>
      <c r="AH11" s="835"/>
    </row>
    <row r="12" spans="1:34" s="23" customFormat="1" ht="13.5" x14ac:dyDescent="0.25">
      <c r="H12" s="24"/>
      <c r="L12" s="24"/>
      <c r="AD12" s="835"/>
      <c r="AE12" s="835"/>
      <c r="AF12" s="835"/>
      <c r="AG12" s="835"/>
      <c r="AH12" s="835"/>
    </row>
    <row r="13" spans="1:34" s="23" customFormat="1" ht="13.5" x14ac:dyDescent="0.25">
      <c r="H13" s="24"/>
      <c r="L13" s="24"/>
      <c r="AD13" s="835"/>
      <c r="AE13" s="835"/>
      <c r="AF13" s="835"/>
      <c r="AG13" s="835"/>
      <c r="AH13" s="835"/>
    </row>
    <row r="14" spans="1:34" s="1713" customFormat="1" ht="19.5" thickBot="1" x14ac:dyDescent="0.35">
      <c r="B14" s="3212" t="str">
        <f>'TRAD-Paramétrage'!B6</f>
        <v>Etape 2 : Date d'évaluation de la couverture des besoins</v>
      </c>
      <c r="C14" s="3212"/>
      <c r="D14" s="3212"/>
      <c r="E14" s="3212"/>
      <c r="F14" s="3212"/>
      <c r="G14" s="3212"/>
      <c r="H14" s="3212"/>
      <c r="I14" s="3212"/>
      <c r="J14" s="3212"/>
      <c r="K14" s="3212"/>
      <c r="L14" s="3212"/>
      <c r="M14" s="3212"/>
      <c r="N14" s="3212"/>
      <c r="O14" s="3212"/>
      <c r="AD14" s="1714"/>
      <c r="AE14" s="1714"/>
      <c r="AF14" s="1714"/>
      <c r="AG14" s="1714"/>
      <c r="AH14" s="1714"/>
    </row>
    <row r="15" spans="1:34" s="4" customFormat="1" x14ac:dyDescent="0.2">
      <c r="AD15" s="835"/>
      <c r="AE15" s="835"/>
      <c r="AF15" s="835"/>
      <c r="AG15" s="835"/>
      <c r="AH15" s="835"/>
    </row>
    <row r="16" spans="1:34" s="4" customFormat="1" ht="14.25" x14ac:dyDescent="0.2">
      <c r="C16" s="25" t="str">
        <f>'TRAD-Paramétrage'!B7</f>
        <v>Si vous souhaitez tenir compte de la date, préciser ci-dessous dans les cellules correspondantes le jour, le mois et l'année</v>
      </c>
      <c r="D16" s="25"/>
      <c r="E16" s="25"/>
      <c r="F16" s="25"/>
      <c r="G16" s="25"/>
      <c r="H16" s="25"/>
      <c r="I16" s="25"/>
      <c r="J16" s="25"/>
      <c r="K16" s="25"/>
      <c r="AD16" s="835"/>
      <c r="AE16" s="835"/>
      <c r="AF16" s="835"/>
      <c r="AG16" s="835"/>
      <c r="AH16" s="835"/>
    </row>
    <row r="17" spans="2:34" x14ac:dyDescent="0.2">
      <c r="AD17" s="836"/>
      <c r="AE17" s="836"/>
      <c r="AF17" s="836"/>
      <c r="AG17" s="836"/>
      <c r="AH17" s="836"/>
    </row>
    <row r="18" spans="2:34" s="2530" customFormat="1" ht="13.5" thickBot="1" x14ac:dyDescent="0.25">
      <c r="D18" s="3190" t="str">
        <f>'TRAD-Paramétrage'!$B$14</f>
        <v>Jour</v>
      </c>
      <c r="E18" s="3190" t="str">
        <f>'TRAD-Paramétrage'!$B$15</f>
        <v>Mois</v>
      </c>
      <c r="F18" s="3190" t="str">
        <f>'TRAD-Paramétrage'!$B$16</f>
        <v>Année</v>
      </c>
      <c r="AD18" s="836"/>
      <c r="AE18" s="836"/>
      <c r="AF18" s="836"/>
      <c r="AG18" s="836"/>
      <c r="AH18" s="836"/>
    </row>
    <row r="19" spans="2:34" ht="13.5" thickBot="1" x14ac:dyDescent="0.25">
      <c r="D19" s="264">
        <v>7</v>
      </c>
      <c r="E19" s="3194">
        <v>10</v>
      </c>
      <c r="F19" s="264">
        <v>2014</v>
      </c>
      <c r="H19" s="3200">
        <f>DATE(F19, E19, D19)</f>
        <v>41919</v>
      </c>
      <c r="AD19" s="836"/>
      <c r="AE19" s="836"/>
      <c r="AF19" s="836"/>
      <c r="AG19" s="836"/>
      <c r="AH19" s="836"/>
    </row>
    <row r="20" spans="2:34" ht="13.5" thickBot="1" x14ac:dyDescent="0.25">
      <c r="E20" s="3195" t="str">
        <f>INDEX('TRAD-Paramétrage'!$B$17:$B$28,MATCH(Paramétrage!$E$19,Paramétres!$C$5:$C$16,0))</f>
        <v>Octobre</v>
      </c>
      <c r="H20" s="2053"/>
      <c r="AD20" s="836"/>
      <c r="AE20" s="836"/>
      <c r="AF20" s="836"/>
      <c r="AG20" s="836"/>
      <c r="AH20" s="836"/>
    </row>
    <row r="22" spans="2:34" s="1713" customFormat="1" ht="19.5" thickBot="1" x14ac:dyDescent="0.35">
      <c r="B22" s="2482" t="str">
        <f>'TRAD-Paramétrage'!B8</f>
        <v>Etape 3 : Stocks de sécurité ou stock tampon</v>
      </c>
      <c r="C22" s="1715"/>
      <c r="D22" s="1715"/>
      <c r="E22" s="1715"/>
      <c r="F22" s="1715"/>
      <c r="G22" s="1715"/>
      <c r="H22" s="1715"/>
      <c r="I22" s="1715"/>
      <c r="J22" s="1715"/>
      <c r="K22" s="1715"/>
      <c r="L22" s="1715"/>
      <c r="M22" s="1715"/>
      <c r="N22" s="1715"/>
      <c r="O22" s="1715"/>
      <c r="AD22" s="1714"/>
      <c r="AE22" s="1714"/>
      <c r="AF22" s="1714"/>
      <c r="AG22" s="1714"/>
      <c r="AH22" s="1714"/>
    </row>
    <row r="23" spans="2:34" s="4" customFormat="1" x14ac:dyDescent="0.2">
      <c r="AD23" s="835"/>
      <c r="AE23" s="835"/>
      <c r="AF23" s="835"/>
      <c r="AG23" s="835"/>
      <c r="AH23" s="835"/>
    </row>
    <row r="24" spans="2:34" s="4" customFormat="1" ht="14.25" x14ac:dyDescent="0.2">
      <c r="C24" s="25" t="str">
        <f>'TRAD-Paramétrage'!B9</f>
        <v>Quelle période de sécurité voulez-vous prendre en compte ?</v>
      </c>
      <c r="D24" s="25"/>
      <c r="E24" s="25"/>
      <c r="F24" s="25"/>
      <c r="G24" s="25"/>
      <c r="H24" s="25"/>
      <c r="I24" s="25"/>
      <c r="J24" s="25"/>
      <c r="K24" s="25"/>
      <c r="AD24" s="835"/>
      <c r="AE24" s="835"/>
      <c r="AF24" s="835"/>
      <c r="AG24" s="835"/>
      <c r="AH24" s="835"/>
    </row>
    <row r="25" spans="2:34" x14ac:dyDescent="0.2">
      <c r="AD25" s="836"/>
      <c r="AE25" s="836"/>
      <c r="AF25" s="836"/>
      <c r="AG25" s="836"/>
      <c r="AH25" s="836"/>
    </row>
    <row r="26" spans="2:34" x14ac:dyDescent="0.2">
      <c r="D26" s="826" t="str">
        <f>'TRAD-Paramétrage'!B10</f>
        <v>Remarque</v>
      </c>
      <c r="E26" s="1537"/>
      <c r="F26" s="1537"/>
      <c r="G26" s="1537"/>
      <c r="H26" s="1537"/>
      <c r="I26" s="1537"/>
      <c r="J26" s="1537"/>
      <c r="K26" s="1537"/>
      <c r="L26" s="1537"/>
      <c r="M26" s="1537"/>
      <c r="N26" s="1537"/>
      <c r="O26" s="1537"/>
      <c r="AD26" s="836"/>
      <c r="AE26" s="836"/>
      <c r="AF26" s="836"/>
      <c r="AG26" s="836"/>
      <c r="AH26" s="836"/>
    </row>
    <row r="27" spans="2:34" ht="12.75" customHeight="1" x14ac:dyDescent="0.2">
      <c r="D27" s="61"/>
      <c r="E27" s="1813" t="str">
        <f>'TRAD-Paramétrage'!B11</f>
        <v>Cette donnée permet soit de faire apparaître graphiquement le stock de sécurité sur les représentations visuelles, soit d'en tenir compte dans les quantifications</v>
      </c>
      <c r="F27" s="1538"/>
      <c r="G27" s="1538"/>
      <c r="H27" s="1538"/>
      <c r="I27" s="1538"/>
      <c r="J27" s="1538"/>
      <c r="K27" s="1538"/>
      <c r="L27" s="1538"/>
      <c r="M27" s="1538"/>
      <c r="N27" s="1538"/>
      <c r="O27" s="1538"/>
      <c r="AD27" s="836"/>
      <c r="AE27" s="836"/>
      <c r="AF27" s="836"/>
      <c r="AG27" s="836"/>
      <c r="AH27" s="836"/>
    </row>
    <row r="28" spans="2:34" ht="13.5" thickBot="1" x14ac:dyDescent="0.25">
      <c r="AD28" s="836"/>
      <c r="AE28" s="836"/>
      <c r="AF28" s="836"/>
      <c r="AG28" s="836"/>
      <c r="AH28" s="836"/>
    </row>
    <row r="29" spans="2:34" ht="13.5" thickBot="1" x14ac:dyDescent="0.25">
      <c r="D29" s="264">
        <v>3</v>
      </c>
      <c r="E29" s="226" t="str">
        <f>'TRAD-Paramétrage'!B12</f>
        <v>mois</v>
      </c>
      <c r="AD29" s="836"/>
      <c r="AE29" s="836"/>
      <c r="AF29" s="836"/>
      <c r="AG29" s="836"/>
      <c r="AH29" s="836"/>
    </row>
    <row r="32" spans="2:34" s="1713" customFormat="1" ht="19.5" thickBot="1" x14ac:dyDescent="0.35">
      <c r="B32" s="1715" t="str">
        <f>'TRAD-Paramétrage'!B13</f>
        <v>Commentaires : certains paramétres spécifiques pourront être saisies dans les différentes feuilles, en particulier pour le module de quantification</v>
      </c>
      <c r="C32" s="1715"/>
      <c r="D32" s="1715"/>
      <c r="E32" s="1715"/>
      <c r="F32" s="1715"/>
      <c r="G32" s="1715"/>
      <c r="H32" s="1715"/>
      <c r="I32" s="1715"/>
      <c r="J32" s="1715"/>
      <c r="K32" s="1715"/>
      <c r="L32" s="1715"/>
      <c r="M32" s="1715"/>
      <c r="N32" s="1715"/>
      <c r="O32" s="1715"/>
      <c r="AD32" s="1714"/>
      <c r="AE32" s="1714"/>
      <c r="AF32" s="1714"/>
      <c r="AG32" s="1714"/>
      <c r="AH32" s="1714"/>
    </row>
  </sheetData>
  <sheetProtection password="D0E7" sheet="1" objects="1" scenarios="1"/>
  <mergeCells count="3">
    <mergeCell ref="B9:O9"/>
    <mergeCell ref="D11:E11"/>
    <mergeCell ref="B14:O14"/>
  </mergeCells>
  <conditionalFormatting sqref="J6:K7">
    <cfRule type="cellIs" dxfId="154" priority="3" operator="equal">
      <formula>0</formula>
    </cfRule>
  </conditionalFormatting>
  <conditionalFormatting sqref="H19">
    <cfRule type="expression" dxfId="153" priority="1">
      <formula>$E$6="Français"</formula>
    </cfRule>
    <cfRule type="expression" dxfId="152" priority="2">
      <formula>$E$6="Anglais"</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Paramétres!$F$5:$F$35</xm:f>
          </x14:formula1>
          <xm:sqref>D19</xm:sqref>
        </x14:dataValidation>
        <x14:dataValidation type="list" allowBlank="1" showInputMessage="1" showErrorMessage="1">
          <x14:formula1>
            <xm:f>Paramétres!$C$5:$C$16</xm:f>
          </x14:formula1>
          <xm:sqref>E19</xm:sqref>
        </x14:dataValidation>
        <x14:dataValidation type="list" allowBlank="1" showInputMessage="1" showErrorMessage="1">
          <x14:formula1>
            <xm:f>Paramétres!$H$5:$H$35</xm:f>
          </x14:formula1>
          <xm:sqref>F19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tabColor rgb="FF00B0F0"/>
  </sheetPr>
  <dimension ref="A2:AF113"/>
  <sheetViews>
    <sheetView showGridLines="0" zoomScale="85" zoomScaleNormal="85" workbookViewId="0">
      <selection activeCell="B25" sqref="B25"/>
    </sheetView>
  </sheetViews>
  <sheetFormatPr defaultColWidth="11.42578125" defaultRowHeight="12.75" x14ac:dyDescent="0.2"/>
  <cols>
    <col min="1" max="1" width="4.140625" style="421" customWidth="1"/>
    <col min="2" max="3" width="11.42578125" style="421"/>
    <col min="4" max="4" width="14.140625" style="421" customWidth="1"/>
    <col min="5" max="5" width="11.42578125" style="421"/>
    <col min="6" max="6" width="19.7109375" style="421" customWidth="1"/>
    <col min="7" max="7" width="14.85546875" style="421" customWidth="1"/>
    <col min="8" max="8" width="11.7109375" style="421" bestFit="1" customWidth="1"/>
    <col min="9" max="9" width="11.42578125" style="421"/>
    <col min="10" max="10" width="12.28515625" style="421" bestFit="1" customWidth="1"/>
    <col min="11" max="11" width="13.140625" style="421" customWidth="1"/>
    <col min="12" max="12" width="12.42578125" style="421" customWidth="1"/>
    <col min="13" max="13" width="13.85546875" style="421" customWidth="1"/>
    <col min="14" max="14" width="15.42578125" style="421" bestFit="1" customWidth="1"/>
    <col min="15" max="15" width="12.7109375" style="421" customWidth="1"/>
    <col min="16" max="16" width="14.85546875" style="421" customWidth="1"/>
    <col min="17" max="16384" width="11.42578125" style="421"/>
  </cols>
  <sheetData>
    <row r="2" spans="1:32" s="1617" customFormat="1" ht="16.5" thickBot="1" x14ac:dyDescent="0.3">
      <c r="A2" s="3301" t="str">
        <f>'TRAD-Quanti et TdB Péremptions'!B2</f>
        <v>Module Quantification</v>
      </c>
      <c r="B2" s="3301"/>
      <c r="C2" s="3301"/>
      <c r="D2" s="3301"/>
      <c r="E2" s="3301"/>
      <c r="F2" s="3301"/>
      <c r="G2" s="3301"/>
      <c r="H2" s="3301"/>
      <c r="I2" s="3301"/>
      <c r="J2" s="3301"/>
      <c r="K2" s="3301"/>
      <c r="L2" s="3301"/>
      <c r="M2" s="3301"/>
      <c r="N2" s="3301"/>
      <c r="AB2" s="1506"/>
      <c r="AC2" s="1506"/>
      <c r="AD2" s="1506"/>
      <c r="AE2" s="1506"/>
      <c r="AF2" s="1506"/>
    </row>
    <row r="3" spans="1:32" ht="6.75" customHeight="1" x14ac:dyDescent="0.2"/>
    <row r="4" spans="1:32" ht="14.25" x14ac:dyDescent="0.2">
      <c r="B4" s="25" t="str">
        <f>'TRAD-Quanti et TdB Péremptions'!B3</f>
        <v>Paramétrage</v>
      </c>
      <c r="C4" s="25"/>
      <c r="D4" s="25"/>
      <c r="E4" s="25"/>
      <c r="F4" s="25"/>
      <c r="G4" s="25"/>
      <c r="H4" s="25"/>
      <c r="I4" s="25"/>
      <c r="J4" s="25"/>
      <c r="K4" s="25"/>
      <c r="L4" s="25"/>
      <c r="M4" s="25"/>
      <c r="N4" s="25"/>
    </row>
    <row r="5" spans="1:32" ht="6.75" customHeight="1" x14ac:dyDescent="0.2">
      <c r="B5" s="2493"/>
      <c r="C5" s="2494"/>
      <c r="D5" s="2494"/>
      <c r="E5" s="2494"/>
      <c r="F5" s="2494"/>
      <c r="G5" s="2494"/>
      <c r="H5" s="2494"/>
      <c r="I5" s="2494"/>
      <c r="J5" s="2494"/>
      <c r="K5" s="2494"/>
      <c r="L5" s="2494"/>
      <c r="M5" s="2494"/>
      <c r="N5" s="2495"/>
    </row>
    <row r="6" spans="1:32" customFormat="1" x14ac:dyDescent="0.2">
      <c r="B6" s="1040" t="str">
        <f>'TRAD-Quanti et TdB Péremptions'!B5</f>
        <v>A. Méthode de quantification</v>
      </c>
      <c r="C6" s="2520"/>
      <c r="D6" s="2520"/>
      <c r="E6" s="2520"/>
      <c r="F6" s="2520"/>
      <c r="G6" s="2520"/>
      <c r="H6" s="2520"/>
      <c r="I6" s="2520"/>
      <c r="J6" s="2520"/>
      <c r="K6" s="2520"/>
      <c r="L6" s="2520"/>
      <c r="M6" s="2520"/>
      <c r="N6" s="2520"/>
    </row>
    <row r="7" spans="1:32" ht="6.75" customHeight="1" x14ac:dyDescent="0.2">
      <c r="B7" s="2493"/>
      <c r="C7" s="2494"/>
      <c r="D7" s="2494"/>
      <c r="E7" s="2494"/>
      <c r="F7" s="2494"/>
      <c r="G7" s="2494"/>
      <c r="H7" s="2494"/>
      <c r="I7" s="2494"/>
      <c r="J7" s="2494"/>
      <c r="K7" s="2494"/>
      <c r="L7" s="2494"/>
      <c r="M7" s="2494"/>
      <c r="N7" s="2495"/>
    </row>
    <row r="8" spans="1:32" ht="13.5" thickBot="1" x14ac:dyDescent="0.25">
      <c r="B8" s="420"/>
      <c r="C8" s="2518" t="str">
        <f>'TRAD-Quanti et TdB Péremptions'!B7</f>
        <v>Quelle méthode / quelles données souhaitez vous utiliser pour la quantification des ARV pour la PEC (cocher la case de l'option retenue par un X majuscule)</v>
      </c>
      <c r="D8" s="1539"/>
      <c r="E8" s="1539"/>
      <c r="F8" s="1539"/>
      <c r="G8" s="1539"/>
      <c r="H8" s="1539"/>
      <c r="I8" s="1539"/>
      <c r="J8" s="1539"/>
      <c r="K8" s="1539"/>
      <c r="L8" s="1539"/>
      <c r="M8" s="1539"/>
      <c r="N8" s="1539"/>
    </row>
    <row r="9" spans="1:32" s="422" customFormat="1" ht="13.5" thickBot="1" x14ac:dyDescent="0.25">
      <c r="B9" s="2516"/>
      <c r="C9" s="1507"/>
      <c r="D9" s="1618" t="s">
        <v>224</v>
      </c>
      <c r="E9" s="1508" t="str">
        <f>'TRAD-Quanti et TdB Péremptions'!B4</f>
        <v>Données de morbidité, suivi de la file active</v>
      </c>
      <c r="F9" s="1508"/>
      <c r="G9" s="1508"/>
      <c r="H9" s="1508"/>
      <c r="I9" s="1508"/>
      <c r="J9" s="1508"/>
      <c r="K9" s="1508"/>
      <c r="L9" s="1508"/>
      <c r="M9" s="1508"/>
      <c r="N9" s="1508"/>
    </row>
    <row r="10" spans="1:32" s="422" customFormat="1" ht="13.5" thickBot="1" x14ac:dyDescent="0.25">
      <c r="B10" s="2516"/>
      <c r="C10" s="1507"/>
      <c r="D10" s="1618"/>
      <c r="E10" s="1508" t="str">
        <f>'TRAD-Quanti et TdB Péremptions'!B6</f>
        <v>Données de consommation ou distribution</v>
      </c>
      <c r="F10" s="1508"/>
      <c r="G10" s="1508"/>
      <c r="H10" s="1508"/>
      <c r="I10" s="1508"/>
      <c r="J10" s="1508"/>
      <c r="K10" s="1508"/>
      <c r="L10" s="1508"/>
      <c r="M10" s="1508"/>
      <c r="N10" s="1508"/>
    </row>
    <row r="11" spans="1:32" customFormat="1" ht="6" customHeight="1" x14ac:dyDescent="0.2">
      <c r="C11" s="2517"/>
    </row>
    <row r="12" spans="1:32" customFormat="1" x14ac:dyDescent="0.2">
      <c r="C12" s="2517" t="str">
        <f>'TRAD-Quanti et TdB Péremptions'!B10</f>
        <v>Les données sont celles qui sont renseignées dans les feuilles 'Saisie données file active' et 'Saisie données conso'</v>
      </c>
    </row>
    <row r="13" spans="1:32" ht="7.5" customHeight="1" x14ac:dyDescent="0.2">
      <c r="B13" s="420"/>
      <c r="C13" s="1507"/>
      <c r="D13" s="1539"/>
      <c r="E13" s="1539"/>
      <c r="F13" s="1539"/>
      <c r="G13" s="1539"/>
      <c r="H13" s="1539"/>
      <c r="I13" s="1539"/>
      <c r="J13" s="1539"/>
      <c r="K13" s="1539"/>
      <c r="L13" s="1539"/>
      <c r="M13" s="1539"/>
      <c r="N13" s="1539"/>
    </row>
    <row r="14" spans="1:32" customFormat="1" x14ac:dyDescent="0.2">
      <c r="B14" s="1040" t="str">
        <f>'TRAD-Quanti et TdB Péremptions'!B11</f>
        <v>B. Période de quantification</v>
      </c>
      <c r="C14" s="2520"/>
      <c r="D14" s="2520"/>
      <c r="E14" s="2520"/>
      <c r="F14" s="2520"/>
      <c r="G14" s="2520"/>
      <c r="H14" s="2520"/>
      <c r="I14" s="2520"/>
      <c r="J14" s="2520"/>
      <c r="K14" s="2520"/>
      <c r="L14" s="2520"/>
      <c r="M14" s="2520"/>
      <c r="N14" s="2520"/>
    </row>
    <row r="15" spans="1:32" ht="6" customHeight="1" thickBot="1" x14ac:dyDescent="0.25">
      <c r="B15" s="420"/>
      <c r="C15" s="420"/>
      <c r="N15" s="2521"/>
    </row>
    <row r="16" spans="1:32" ht="13.5" thickBot="1" x14ac:dyDescent="0.25">
      <c r="B16" s="2490" t="s">
        <v>827</v>
      </c>
      <c r="C16" s="421" t="str">
        <f>'TRAD-Quanti et TdB Péremptions'!B12</f>
        <v>Précisez la période sur laquelle vous voulez estimer les besoins (nb de mois)</v>
      </c>
      <c r="N16" s="1618">
        <v>13</v>
      </c>
      <c r="O16" s="421" t="str">
        <f>'TRAD-Quanti et TdB Péremptions'!B17</f>
        <v>mois</v>
      </c>
    </row>
    <row r="17" spans="2:15" ht="13.5" thickBot="1" x14ac:dyDescent="0.25">
      <c r="B17" s="2490" t="s">
        <v>828</v>
      </c>
      <c r="C17" s="421" t="str">
        <f>'TRAD-Quanti et TdB Péremptions'!B13</f>
        <v>Souhaitez vous intégrer la période nécessaire au stock de sécurité ? (OUI ou NON)</v>
      </c>
      <c r="N17" s="1618" t="s">
        <v>547</v>
      </c>
      <c r="O17" s="2774" t="str">
        <f>IF(Présentation!$E$2="Français",IF($N$17="OUI","OUI",IF($N$17="YES","OUI",IF($N$17="NON","NON",IF($N$17="NO","NON","")))), IF(Présentation!$E$2="Anglais",IF($N$17="YES","YES",IF($N$17="OUI","YES",IF($N$17="NO","NO",IF($N$17="NON","NO",""))))))</f>
        <v>NON</v>
      </c>
    </row>
    <row r="18" spans="2:15" x14ac:dyDescent="0.2">
      <c r="B18" s="2490"/>
      <c r="D18" s="1619" t="str">
        <f>'TRAD-Quanti et TdB Péremptions'!B8</f>
        <v>Si oui, cette période est à renseigner dans la cellule D26 de la page "Paramétrage"</v>
      </c>
      <c r="N18" s="1620">
        <f>IF(O17='TRAD-Saisie données stocks'!$B$51, Paramétrage!D29, 0)</f>
        <v>0</v>
      </c>
      <c r="O18" s="421" t="str">
        <f>'TRAD-Quanti et TdB Péremptions'!B17</f>
        <v>mois</v>
      </c>
    </row>
    <row r="19" spans="2:15" x14ac:dyDescent="0.2">
      <c r="B19" s="2490"/>
      <c r="D19" s="1621" t="str">
        <f>'TRAD-Quanti et TdB Péremptions'!B9</f>
        <v>La période de quantification réelle est donc de :</v>
      </c>
      <c r="E19" s="1621"/>
      <c r="F19" s="1621"/>
      <c r="H19" s="1621"/>
      <c r="I19" s="1621"/>
      <c r="J19" s="1621"/>
      <c r="K19" s="1621"/>
      <c r="M19" s="1621"/>
      <c r="N19" s="1622">
        <f>N16+N18</f>
        <v>13</v>
      </c>
      <c r="O19" s="1621" t="str">
        <f>'TRAD-Quanti et TdB Péremptions'!B17</f>
        <v>mois</v>
      </c>
    </row>
    <row r="20" spans="2:15" customFormat="1" ht="6" customHeight="1" thickBot="1" x14ac:dyDescent="0.25">
      <c r="G20" s="421"/>
    </row>
    <row r="21" spans="2:15" ht="13.5" thickBot="1" x14ac:dyDescent="0.25">
      <c r="B21" s="2490" t="s">
        <v>829</v>
      </c>
      <c r="C21" s="421" t="str">
        <f>'TRAD-Quanti et TdB Péremptions'!B14</f>
        <v>La période à quantifier commence-t-elle à la date d'estimation ? (OUI ou NON)</v>
      </c>
      <c r="N21" s="1618" t="s">
        <v>547</v>
      </c>
      <c r="O21" s="2774" t="str">
        <f>IF(Présentation!$E$2="Français",IF($N21="OUI","OUI",IF($N21="YES","OUI",IF($N21="NON","NON",IF($N21="NO","NON","")))), IF(Présentation!$E$2="Anglais",IF($N21="YES","YES",IF($N21="OUI","YES",IF($N21="NO","NO",IF($N21="NON","NO",""))))))</f>
        <v>NON</v>
      </c>
    </row>
    <row r="22" spans="2:15" x14ac:dyDescent="0.2">
      <c r="B22" s="2490"/>
      <c r="D22" s="1621" t="str">
        <f>'TRAD-Quanti et TdB Péremptions'!B15</f>
        <v>Date d'estimation</v>
      </c>
      <c r="E22" s="1621"/>
      <c r="F22" s="2492">
        <f>Paramétrage!H19</f>
        <v>41919</v>
      </c>
      <c r="L22" s="2491"/>
      <c r="N22" s="1717"/>
    </row>
    <row r="23" spans="2:15" ht="13.5" thickBot="1" x14ac:dyDescent="0.25">
      <c r="B23" s="2490"/>
      <c r="D23" s="1623" t="str">
        <f>'TRAD-Quanti et TdB Péremptions'!B16</f>
        <v>(information renseignée dans la cellule D16 de la feuille 'Paramétrage'</v>
      </c>
      <c r="E23" s="1621"/>
      <c r="F23" s="2492"/>
      <c r="I23" s="1619" t="str">
        <f>'TRAD-Quanti et TdB Péremptions'!B28</f>
        <v>Accéder directement à cette cellule</v>
      </c>
      <c r="L23" s="2491"/>
      <c r="N23" s="1717"/>
    </row>
    <row r="24" spans="2:15" ht="13.5" thickBot="1" x14ac:dyDescent="0.25">
      <c r="B24" s="2490"/>
      <c r="C24" s="421" t="str">
        <f>'TRAD-Quanti et TdB Péremptions'!B20</f>
        <v>si non, à quelle date souhaitez vous que la période quantifiée commence ?</v>
      </c>
      <c r="N24" s="2484">
        <v>41426</v>
      </c>
    </row>
    <row r="25" spans="2:15" ht="13.5" thickBot="1" x14ac:dyDescent="0.25">
      <c r="B25" s="2490"/>
      <c r="D25" s="1623" t="str">
        <f>'TRAD-Quanti et TdB Péremptions'!B21</f>
        <v>Durée de la période intermédiaire entre date d'estimation &amp; début de la période quantifiée</v>
      </c>
      <c r="N25" s="2485">
        <f>IF(O21="NON", IF(N24&gt;Paramétrage!$H$19, ($N$24-Paramétrage!$H$19)/(365/12), 0), 0)</f>
        <v>0</v>
      </c>
      <c r="O25" s="421" t="str">
        <f>'TRAD-Quanti et TdB Péremptions'!B17</f>
        <v>mois</v>
      </c>
    </row>
    <row r="26" spans="2:15" ht="13.5" thickBot="1" x14ac:dyDescent="0.25">
      <c r="B26" s="2490" t="s">
        <v>853</v>
      </c>
      <c r="C26" s="421" t="str">
        <f>'TRAD-Quanti et TdB Péremptions'!B22</f>
        <v>Arrêt des initiations de traitement ou poursuite ? (correspond à des consommations constantes ou croissantes) ? (OUI pour arrêt des initiations ou NON)</v>
      </c>
      <c r="N26" s="1618" t="s">
        <v>547</v>
      </c>
      <c r="O26" s="2774" t="str">
        <f>IF(Présentation!$E$2="Français",IF($N26="OUI","OUI",IF($N26="YES","OUI",IF($N26="NON","NON",IF($N26="NO","NON","")))), IF(Présentation!$E$2="Anglais",IF($N26="YES","YES",IF($N26="OUI","YES",IF($N26="NO","NO",IF($N26="NON","NO",""))))))</f>
        <v>NON</v>
      </c>
    </row>
    <row r="27" spans="2:15" ht="6.75" customHeight="1" x14ac:dyDescent="0.2">
      <c r="B27" s="420"/>
    </row>
    <row r="28" spans="2:15" customFormat="1" x14ac:dyDescent="0.2">
      <c r="B28" s="1040" t="str">
        <f>'TRAD-Quanti et TdB Péremptions'!B23</f>
        <v>C. Stocks &amp; commandes en cours</v>
      </c>
      <c r="C28" s="2520"/>
      <c r="D28" s="2520"/>
      <c r="E28" s="2520"/>
      <c r="F28" s="2520"/>
      <c r="G28" s="2520"/>
      <c r="H28" s="2520"/>
      <c r="I28" s="2520"/>
      <c r="J28" s="2520"/>
      <c r="K28" s="2520"/>
      <c r="L28" s="2520"/>
      <c r="M28" s="2520"/>
      <c r="N28" s="2520"/>
    </row>
    <row r="29" spans="2:15" ht="6.75" customHeight="1" x14ac:dyDescent="0.2">
      <c r="B29" s="420"/>
    </row>
    <row r="30" spans="2:15" x14ac:dyDescent="0.2">
      <c r="B30" s="420"/>
      <c r="C30" s="1623" t="str">
        <f>'TRAD-Quanti et TdB Péremptions'!B24</f>
        <v>D'après les données renseignées dans la feuille 'Saisie des données de stocks'</v>
      </c>
    </row>
    <row r="31" spans="2:15" ht="6.75" customHeight="1" thickBot="1" x14ac:dyDescent="0.25">
      <c r="B31" s="420"/>
      <c r="O31" s="2774"/>
    </row>
    <row r="32" spans="2:15" s="1717" customFormat="1" ht="13.5" thickBot="1" x14ac:dyDescent="0.25">
      <c r="B32" s="2490" t="s">
        <v>827</v>
      </c>
      <c r="C32" s="1717" t="str">
        <f>'TRAD-Quanti et TdB Péremptions'!B25</f>
        <v>Souhaitez vous prendre en compte les stocks disponibles au niveau central ? (OUI ou NON)</v>
      </c>
      <c r="N32" s="1618" t="s">
        <v>769</v>
      </c>
      <c r="O32" s="2774" t="str">
        <f>IF(Présentation!$E$2="Français",IF($N32="OUI","OUI",IF($N32="YES","OUI",IF($N32="NON","NON",IF($N32="NO","NON","")))), IF(Présentation!$E$2="Anglais",IF($N32="YES","YES",IF($N32="OUI","YES",IF($N32="NO","NO",IF($N32="NON","NO",""))))))</f>
        <v>OUI</v>
      </c>
    </row>
    <row r="33" spans="2:16" s="1717" customFormat="1" ht="13.5" thickBot="1" x14ac:dyDescent="0.25">
      <c r="B33" s="2490"/>
      <c r="C33" s="1717" t="str">
        <f>'TRAD-Quanti et TdB Péremptions'!B26</f>
        <v>Pour les stocks centraux, souhaitez vous estimer les stocks disponibles utilisables (quantités utilisées avant péremption) ? (OUI ou NON)</v>
      </c>
      <c r="N33" s="1618" t="s">
        <v>769</v>
      </c>
      <c r="O33" s="2774" t="str">
        <f>IF(Présentation!$E$2="Français",IF($N33="OUI","OUI",IF($N33="YES","OUI",IF($N33="NON","NON",IF($N33="NO","NON","")))), IF(Présentation!$E$2="Anglais",IF($N33="YES","YES",IF($N33="OUI","YES",IF($N33="NO","NO",IF($N33="NON","NO",""))))))</f>
        <v>OUI</v>
      </c>
    </row>
    <row r="34" spans="2:16" s="1717" customFormat="1" x14ac:dyDescent="0.2">
      <c r="B34" s="2481"/>
      <c r="C34" s="1717" t="str">
        <f>'TRAD-Quanti et TdB Péremptions'!B27</f>
        <v>Attention, cela implique de paramétrer "OUI" dans la cellule N8 de la feuille 'Saisie des données de stocks' et de remplir les dates de péremption dans le tableau de la partie 1A de la même feuille</v>
      </c>
      <c r="N34" s="1719"/>
    </row>
    <row r="35" spans="2:16" s="1717" customFormat="1" x14ac:dyDescent="0.2">
      <c r="B35" s="2481"/>
      <c r="C35" s="1718"/>
      <c r="D35" s="2519" t="str">
        <f>'TRAD-Quanti et TdB Péremptions'!B28</f>
        <v>Accéder directement à cette cellule</v>
      </c>
      <c r="N35" s="1719"/>
    </row>
    <row r="36" spans="2:16" s="1717" customFormat="1" ht="25.5" customHeight="1" thickBot="1" x14ac:dyDescent="0.25">
      <c r="B36" s="2481"/>
      <c r="C36" s="3302" t="str">
        <f>'TRAD-Quanti et TdB Péremptions'!B29</f>
        <v>Si la période de quantification ne commence pas à la date d'estimation, l'évaluation des stocks prévisionnels se fait avec les mêmes données que celles mentionnées dans les feuilles de saisie selon la méthode retenue. Si le stock est épuisé avant le début de la période quantifiée, l'impact de la rupture sur les consommations ou les initiations ne peut être pris en compte.</v>
      </c>
      <c r="D36" s="3302"/>
      <c r="E36" s="3302"/>
      <c r="F36" s="3302"/>
      <c r="G36" s="3302"/>
      <c r="H36" s="3302"/>
      <c r="I36" s="3302"/>
      <c r="J36" s="3302"/>
      <c r="K36" s="3302"/>
      <c r="L36" s="3302"/>
      <c r="M36" s="3302"/>
      <c r="N36" s="3302"/>
    </row>
    <row r="37" spans="2:16" s="1717" customFormat="1" ht="13.5" thickBot="1" x14ac:dyDescent="0.25">
      <c r="B37" s="2490" t="s">
        <v>828</v>
      </c>
      <c r="C37" s="1717" t="str">
        <f>'TRAD-Quanti et TdB Péremptions'!B30</f>
        <v>Souhaitez vous également prendre en compte les stocks disponibles en périphérie ? (OUI ou NON)</v>
      </c>
      <c r="N37" s="1618" t="s">
        <v>769</v>
      </c>
      <c r="O37" s="2774" t="str">
        <f>IF(Présentation!$E$2="Français",IF($N37="OUI","OUI",IF($N37="YES","OUI",IF($N37="NON","NON",IF($N37="NO","NON","")))), IF(Présentation!$E$2="Anglais",IF($N37="YES","YES",IF($N37="OUI","YES",IF($N37="NO","NO",IF($N37="NON","NO",""))))))</f>
        <v>OUI</v>
      </c>
    </row>
    <row r="38" spans="2:16" s="1717" customFormat="1" ht="13.5" thickBot="1" x14ac:dyDescent="0.25">
      <c r="B38" s="2490" t="s">
        <v>829</v>
      </c>
      <c r="C38" s="1717" t="str">
        <f>'TRAD-Quanti et TdB Péremptions'!B31</f>
        <v>Souhaitez vous également prendre en compte les commandes en cours de livraison ? (OUI ou NON)</v>
      </c>
      <c r="N38" s="1618" t="s">
        <v>769</v>
      </c>
      <c r="O38" s="2774" t="str">
        <f>IF(Présentation!$E$2="Français",IF($N38="OUI","OUI",IF($N38="YES","OUI",IF($N38="NON","NON",IF($N38="NO","NON","")))), IF(Présentation!$E$2="Anglais",IF($N38="YES","YES",IF($N38="OUI","YES",IF($N38="NO","NO",IF($N38="NON","NO",""))))))</f>
        <v>OUI</v>
      </c>
    </row>
    <row r="39" spans="2:16" s="1717" customFormat="1" ht="26.25" customHeight="1" x14ac:dyDescent="0.2">
      <c r="C39" s="3302" t="str">
        <f>'TRAD-Quanti et TdB Péremptions'!B32</f>
        <v>Il n'est pas possible de prendre en compte le calendrier de livraison dans cette estimation et si l'option OUI est retenue, les quantités commandées sont considérées comme réceptionnées au moment de l'estimation</v>
      </c>
      <c r="D39" s="3302"/>
      <c r="E39" s="3302"/>
      <c r="F39" s="3302"/>
      <c r="G39" s="3302"/>
      <c r="H39" s="3302"/>
      <c r="I39" s="3302"/>
      <c r="J39" s="3302"/>
      <c r="K39" s="3302"/>
      <c r="L39" s="3302"/>
      <c r="M39" s="3302"/>
      <c r="N39" s="3302"/>
    </row>
    <row r="40" spans="2:16" s="1717" customFormat="1" ht="6.75" customHeight="1" x14ac:dyDescent="0.2">
      <c r="B40" s="2481"/>
      <c r="D40" s="1718"/>
      <c r="O40" s="1719"/>
    </row>
    <row r="41" spans="2:16" customFormat="1" x14ac:dyDescent="0.2">
      <c r="B41" s="1040" t="str">
        <f>'TRAD-Quanti et TdB Péremptions'!B33</f>
        <v>D. Paramètres d'estimation financière</v>
      </c>
      <c r="C41" s="2520"/>
      <c r="D41" s="2520"/>
      <c r="E41" s="2520"/>
      <c r="F41" s="2520"/>
      <c r="G41" s="2520"/>
      <c r="H41" s="2520"/>
      <c r="I41" s="2520"/>
      <c r="J41" s="2520"/>
      <c r="K41" s="2520"/>
      <c r="L41" s="2520"/>
      <c r="M41" s="2520"/>
      <c r="N41" s="2520"/>
    </row>
    <row r="42" spans="2:16" s="1717" customFormat="1" ht="6.75" customHeight="1" x14ac:dyDescent="0.2">
      <c r="B42" s="2481"/>
      <c r="D42" s="1718"/>
      <c r="O42" s="1719"/>
    </row>
    <row r="43" spans="2:16" ht="15" customHeight="1" thickBot="1" x14ac:dyDescent="0.25">
      <c r="C43" s="1508" t="str">
        <f>'TRAD-Quanti et TdB Péremptions'!B34</f>
        <v>La source des prix peut être soit le rapport du GPRM/AMDS d'octobre 2011 soit du VPP/FMSTP. Les prix sont avec l'INCOTERMS EXW</v>
      </c>
      <c r="N43" s="2521"/>
      <c r="O43" s="1624"/>
    </row>
    <row r="44" spans="2:16" ht="13.5" thickBot="1" x14ac:dyDescent="0.25">
      <c r="B44" s="2490" t="s">
        <v>827</v>
      </c>
      <c r="C44" s="1508" t="str">
        <f>'TRAD-Quanti et TdB Péremptions'!B71</f>
        <v>Quel type de prix souhaitez vous prendre en compte ? (1 seule case/4)</v>
      </c>
      <c r="M44" s="420" t="str">
        <f>'TRAD-Quanti et TdB Péremptions'!B64</f>
        <v>Prix GPRM</v>
      </c>
      <c r="N44" s="1618"/>
      <c r="O44" s="434" t="str">
        <f>'TRAD-Quanti et TdB Péremptions'!B66</f>
        <v>Prix médian</v>
      </c>
      <c r="P44" s="434"/>
    </row>
    <row r="45" spans="2:16" ht="13.5" thickBot="1" x14ac:dyDescent="0.25">
      <c r="B45" s="2490"/>
      <c r="C45" s="1508"/>
      <c r="N45" s="1618"/>
      <c r="O45" s="434" t="str">
        <f>'TRAD-Quanti et TdB Péremptions'!B67</f>
        <v>Prix interquartile 75</v>
      </c>
      <c r="P45" s="434"/>
    </row>
    <row r="46" spans="2:16" ht="13.5" thickBot="1" x14ac:dyDescent="0.25">
      <c r="B46" s="2490"/>
      <c r="C46" s="1508"/>
      <c r="D46" s="3136" t="str">
        <f>'TRAD-Quanti et TdB Péremptions'!B99</f>
        <v>Attention, assurez vous que le prix du produit souhaité existe dans la source sélectionnée. Sans cela, le prix mentionné dans le tableau peut être égal à 0</v>
      </c>
      <c r="M46" s="420" t="str">
        <f>'TRAD-Quanti et TdB Péremptions'!B68</f>
        <v>Prix VPP</v>
      </c>
      <c r="N46" s="1618" t="s">
        <v>224</v>
      </c>
      <c r="O46" s="434" t="str">
        <f>'TRAD-Quanti et TdB Péremptions'!B69</f>
        <v>Prix moyen</v>
      </c>
      <c r="P46" s="434"/>
    </row>
    <row r="47" spans="2:16" ht="13.5" thickBot="1" x14ac:dyDescent="0.25">
      <c r="B47" s="2490"/>
      <c r="C47" s="1508"/>
      <c r="N47" s="1618"/>
      <c r="O47" s="434" t="str">
        <f>'TRAD-Quanti et TdB Péremptions'!B70</f>
        <v>Prix maximum</v>
      </c>
      <c r="P47" s="434"/>
    </row>
    <row r="48" spans="2:16" ht="13.5" thickBot="1" x14ac:dyDescent="0.25">
      <c r="B48" s="2490"/>
      <c r="C48" s="1508"/>
      <c r="M48" s="420" t="str">
        <f>'Prix spécifiques'!H4</f>
        <v>Prix Source autre</v>
      </c>
      <c r="N48" s="1618"/>
      <c r="O48" s="434"/>
      <c r="P48" s="434"/>
    </row>
    <row r="49" spans="2:16" ht="13.5" thickBot="1" x14ac:dyDescent="0.25">
      <c r="B49" s="2490" t="s">
        <v>828</v>
      </c>
      <c r="C49" s="1508" t="str">
        <f>'TRAD-Quanti et TdB Péremptions'!B35</f>
        <v>Quel taux de frais de transports ?</v>
      </c>
      <c r="N49" s="1059">
        <v>0.15</v>
      </c>
    </row>
    <row r="50" spans="2:16" ht="13.5" thickBot="1" x14ac:dyDescent="0.25">
      <c r="B50" s="2490" t="s">
        <v>829</v>
      </c>
      <c r="C50" s="1508" t="str">
        <f>'TRAD-Quanti et TdB Péremptions'!B36</f>
        <v>Quel taux de frais de gestion voulez-vous prendre en compte ?</v>
      </c>
      <c r="N50" s="1059">
        <v>0.05</v>
      </c>
    </row>
    <row r="51" spans="2:16" x14ac:dyDescent="0.2">
      <c r="B51" s="2490"/>
      <c r="C51" s="1508"/>
      <c r="N51" s="1719"/>
      <c r="O51" s="1717"/>
    </row>
    <row r="52" spans="2:16" s="2530" customFormat="1" x14ac:dyDescent="0.2">
      <c r="B52" s="1040" t="str">
        <f>'TRAD-Quanti et TdB Péremptions'!B100</f>
        <v>Divers</v>
      </c>
      <c r="C52" s="2520"/>
      <c r="D52" s="2520"/>
      <c r="E52" s="2520"/>
      <c r="F52" s="2520"/>
      <c r="G52" s="2520"/>
      <c r="H52" s="2520"/>
      <c r="I52" s="2520"/>
      <c r="J52" s="2520"/>
      <c r="K52" s="2520"/>
      <c r="L52" s="2520"/>
      <c r="M52" s="2520"/>
      <c r="N52" s="2520"/>
    </row>
    <row r="53" spans="2:16" s="1717" customFormat="1" ht="6.75" customHeight="1" thickBot="1" x14ac:dyDescent="0.25">
      <c r="B53" s="2481"/>
      <c r="D53" s="1718"/>
      <c r="O53" s="1719"/>
    </row>
    <row r="54" spans="2:16" ht="15" customHeight="1" thickBot="1" x14ac:dyDescent="0.25">
      <c r="B54" s="2490" t="s">
        <v>827</v>
      </c>
      <c r="C54" s="1508" t="str">
        <f>'TRAD-Quanti et TdB Péremptions'!B101</f>
        <v>Souhaitez vous arrondir les valeurs de besoins mensuels à l'unité supérieure ?</v>
      </c>
      <c r="N54" s="1618" t="s">
        <v>547</v>
      </c>
      <c r="O54" s="2774" t="str">
        <f>IF(Présentation!$E$2="Français",IF($N54="OUI","OUI",IF($N54="YES","OUI",IF($N54="NON","NON",IF($N54="NO","NON","")))), IF(Présentation!$E$2="Anglais",IF($N54="YES","YES",IF($N54="OUI","YES",IF($N54="NO","NO",IF($N54="NON","NO",""))))))</f>
        <v>NON</v>
      </c>
    </row>
    <row r="55" spans="2:16" customFormat="1" ht="15" customHeight="1" thickBot="1" x14ac:dyDescent="0.25"/>
    <row r="56" spans="2:16" ht="30" customHeight="1" thickBot="1" x14ac:dyDescent="0.25">
      <c r="J56" s="3303" t="str">
        <f>CONCATENATE('TRAD-quanti trimestre'!$B$15, " : ", IF(Quanti!$D$9="X", Quanti!$E$9, IF(Quanti!$D$10="X", Quanti!$E$10, "?")))</f>
        <v>Méthode : Données de morbidité, suivi de la file active</v>
      </c>
      <c r="K56" s="3304"/>
    </row>
    <row r="57" spans="2:16" ht="115.5" thickBot="1" x14ac:dyDescent="0.25">
      <c r="B57" s="2496" t="str">
        <f>'TRAD-Quanti et TdB Péremptions'!$B$37</f>
        <v>Forme</v>
      </c>
      <c r="C57" s="2497" t="str">
        <f>'TRAD-Quanti et TdB Péremptions'!$B$38</f>
        <v>Classe pharmaco</v>
      </c>
      <c r="D57" s="32" t="str">
        <f>'TRAD-Quanti et TdB Péremptions'!$B$39</f>
        <v>Composition</v>
      </c>
      <c r="E57" s="33" t="str">
        <f>'TRAD-Quanti et TdB Péremptions'!$B$40</f>
        <v>Forme galénique</v>
      </c>
      <c r="F57" s="33" t="str">
        <f>'TRAD-Quanti et TdB Péremptions'!$B$41</f>
        <v>Dosage</v>
      </c>
      <c r="G57" s="33" t="str">
        <f>'TRAD-Quanti et TdB Péremptions'!$B$42</f>
        <v>DCI</v>
      </c>
      <c r="H57" s="33" t="str">
        <f>'TRAD-Quanti et TdB Péremptions'!$B$43</f>
        <v>Conditionnement</v>
      </c>
      <c r="I57" s="34"/>
      <c r="J57" s="364" t="str">
        <f>'TRAD-quanti trimestre'!$B$13</f>
        <v>Besoins mensuels patients suivis</v>
      </c>
      <c r="K57" s="327" t="str">
        <f>'TRAD-quanti trimestre'!$B$14</f>
        <v>Besoins mensuels nouveaux patients</v>
      </c>
      <c r="L57" s="3144" t="str">
        <f>'TRAD-Quanti et TdB Péremptions'!$B$44</f>
        <v>Quantités en stock central, périph et commandes en cours (nb de boites) au début de la période quantifiée [1]</v>
      </c>
      <c r="M57" s="364" t="str">
        <f>'TRAD-Quanti et TdB Péremptions'!$B$45</f>
        <v>Besoins bruts sur période (nb de boites)</v>
      </c>
      <c r="N57" s="365" t="str">
        <f>'TRAD-Quanti et TdB Péremptions'!$B$46</f>
        <v>Besoins nets sur la période (nb de cdt)</v>
      </c>
      <c r="O57" s="327" t="str">
        <f>CONCATENATE('TRAD-Quanti et TdB Péremptions'!$B$47," source: ", IF(N44="X", CONCATENATE(M44," - ",O44),IF(N45="X",CONCATENATE(M44," - ",O45),IF(N46="X",CONCATENATE(M46," - ",O46),IF(N47="X",CONCATENATE(M46," - ",O47),"")))))</f>
        <v>Prix (US$) EXW / boite source: Prix VPP - Prix moyen</v>
      </c>
      <c r="P57" s="346" t="str">
        <f>'TRAD-Quanti et TdB Péremptions'!$B$48</f>
        <v>Montant (US$) EXW</v>
      </c>
    </row>
    <row r="58" spans="2:16" ht="38.25" x14ac:dyDescent="0.2">
      <c r="B58" s="31" t="str">
        <f>'TRAD-Quanti et TdB Péremptions'!$B$94</f>
        <v>Comprimés</v>
      </c>
      <c r="C58" s="97" t="str">
        <f>'Saisie données stocks'!$E$19</f>
        <v>CDF</v>
      </c>
      <c r="D58" s="1654" t="str">
        <f>'Saisie données stocks'!F19</f>
        <v>AZT+3TC+NVP</v>
      </c>
      <c r="E58" s="1655" t="str">
        <f>'Saisie données stocks'!G19</f>
        <v>Cp</v>
      </c>
      <c r="F58" s="1655" t="str">
        <f>'Saisie données stocks'!H19</f>
        <v>300/150/200 mg</v>
      </c>
      <c r="G58" s="87" t="str">
        <f>'Saisie données stocks'!I19</f>
        <v>Zidovudine+ Lamivudine+ Nevirapine</v>
      </c>
      <c r="H58" s="113">
        <f>'Saisie données stocks'!L19</f>
        <v>60</v>
      </c>
      <c r="I58" s="328"/>
      <c r="J58" s="3147">
        <f>IF(Quanti!$D$9="X", 'Calculs dispo Données FA'!N125, IF(Quanti!$D$10="X", 'Calculs dispo Données conso'!N127, "0"))</f>
        <v>0</v>
      </c>
      <c r="K58" s="3148">
        <f>IF(Quanti!$D$9="X", 'Calculs dispo Données FA'!O125, IF(Quanti!$D$10="X", 'Calculs dispo Données conso'!O127, "0"))</f>
        <v>0</v>
      </c>
      <c r="L58" s="3149">
        <f>Calculs!Q432</f>
        <v>8969</v>
      </c>
      <c r="M58" s="1510">
        <f>IF($O$54="OUI",
ROUNDUP(J58, 0)*($N$19+$N$25)+ROUNDUP(K58, 0)*(($N$19+$N$25)*(($N$19+$N$25)+1)/2) - ROUNDUP(J58, 0)*($N$25)+ROUNDUP(K58, 0)*(($N$25)*(($N$25)+1)/2),
J58*($N$19+$N$25)+K58*(($N$19+$N$25)*(($N$19+$N$25)+1)/2) - J58*$N$25+K58*(($N$25)*(($N$25)+1)/2))</f>
        <v>0</v>
      </c>
      <c r="N58" s="1511">
        <f>IF(M58&gt;L58, ROUNDUP(M58-L58, 0), 0)</f>
        <v>0</v>
      </c>
      <c r="O58" s="2499">
        <f>IF(Quanti!$N$44="X",'Prix 10-2011 GPRM $'!$O$27,IF(Quanti!$N$45="X",'Prix 10-2011 GPRM $'!$Q$27,IF(Quanti!$N$46="X",'Prix VPP 102012 convert'!$O$27,IF(Quanti!$N$47="X",'Prix VPP 102012 convert'!$Q$27,IF(Quanti!$N$48="X",'Prix spécifiques'!J7,0)))))</f>
        <v>12.364999999999998</v>
      </c>
      <c r="P58" s="1512">
        <f>N58*O58</f>
        <v>0</v>
      </c>
    </row>
    <row r="59" spans="2:16" ht="38.25" x14ac:dyDescent="0.2">
      <c r="B59" s="37"/>
      <c r="C59" s="98"/>
      <c r="D59" s="1656" t="str">
        <f>'Saisie données stocks'!F20</f>
        <v>AZT+3TC+NVP</v>
      </c>
      <c r="E59" s="1657" t="str">
        <f>'Saisie données stocks'!G20</f>
        <v>Cp</v>
      </c>
      <c r="F59" s="1657" t="str">
        <f>'Saisie données stocks'!H20</f>
        <v>60/30/50 mg</v>
      </c>
      <c r="G59" s="502" t="str">
        <f>'Saisie données stocks'!I20</f>
        <v>Zidovudine+ Lamivudine+ Nevirapine</v>
      </c>
      <c r="H59" s="505">
        <f>'Saisie données stocks'!L20</f>
        <v>60</v>
      </c>
      <c r="I59" s="330"/>
      <c r="J59" s="3150">
        <f>IF(Quanti!$D$9="X", 'Calculs dispo Données FA'!N126, IF(Quanti!$D$10="X", 'Calculs dispo Données conso'!N128, "0"))</f>
        <v>0</v>
      </c>
      <c r="K59" s="3148">
        <f>IF(Quanti!$D$9="X", 'Calculs dispo Données FA'!O126, IF(Quanti!$D$10="X", 'Calculs dispo Données conso'!O128, "0"))</f>
        <v>0</v>
      </c>
      <c r="L59" s="3151">
        <f>Calculs!Q433</f>
        <v>490</v>
      </c>
      <c r="M59" s="1513">
        <f>IF($O$54="OUI",
ROUNDUP(J59, 0)*($N$19+$N$25)+ROUNDUP(K59, 0)*(($N$19+$N$25)*(($N$19+$N$25)+1)/2) - ROUNDUP(J59, 0)*($N$25)+ROUNDUP(K59, 0)*(($N$25)*(($N$25)+1)/2),
J59*($N$19+$N$25)+K59*(($N$19+$N$25)*(($N$19+$N$25)+1)/2) - J59*$N$25+K59*(($N$25)*(($N$25)+1)/2))</f>
        <v>0</v>
      </c>
      <c r="N59" s="1514">
        <f t="shared" ref="N59:N107" si="0">IF(M59&gt;L59, ROUNDUP(M59-L59, 0), 0)</f>
        <v>0</v>
      </c>
      <c r="O59" s="2500">
        <f>IF(Quanti!$N$44="X", 'Prix 10-2011 GPRM $'!$O$124, IF(Quanti!$N$45="X", 'Prix 10-2011 GPRM $'!$Q$124, IF(Quanti!$N$46="X", 'Prix VPP 102012 convert'!$O$124, IF(Quanti!$N$47="X", 'Prix VPP 102012 convert'!$Q$124, IF(Quanti!$N$48="X",'Prix spécifiques'!J8,0)))))</f>
        <v>4.1500000000000004</v>
      </c>
      <c r="P59" s="1515">
        <f t="shared" ref="P59:P98" si="1">N59*O59</f>
        <v>0</v>
      </c>
    </row>
    <row r="60" spans="2:16" ht="38.25" x14ac:dyDescent="0.2">
      <c r="B60" s="37"/>
      <c r="C60" s="98"/>
      <c r="D60" s="1658" t="str">
        <f>'Saisie données stocks'!F21</f>
        <v>AZT+3TC+ABC</v>
      </c>
      <c r="E60" s="1659" t="str">
        <f>'Saisie données stocks'!G21</f>
        <v>Cp</v>
      </c>
      <c r="F60" s="1659" t="str">
        <f>'Saisie données stocks'!H21</f>
        <v>300/150/300 mg</v>
      </c>
      <c r="G60" s="89" t="str">
        <f>'Saisie données stocks'!I21</f>
        <v>Zidovudine+ Lamivudine+ Abacavir</v>
      </c>
      <c r="H60" s="114">
        <f>'Saisie données stocks'!L21</f>
        <v>60</v>
      </c>
      <c r="I60" s="330"/>
      <c r="J60" s="3150">
        <f>IF(Quanti!$D$9="X", 'Calculs dispo Données FA'!N127, IF(Quanti!$D$10="X", 'Calculs dispo Données conso'!N129, "0"))</f>
        <v>0</v>
      </c>
      <c r="K60" s="3148">
        <f>IF(Quanti!$D$9="X", 'Calculs dispo Données FA'!O127, IF(Quanti!$D$10="X", 'Calculs dispo Données conso'!O129, "0"))</f>
        <v>0</v>
      </c>
      <c r="L60" s="3151">
        <f>Calculs!Q434</f>
        <v>0</v>
      </c>
      <c r="M60" s="1513">
        <f t="shared" ref="M60:M107" si="2">IF($O$54="OUI",
ROUNDUP(J60, 0)*($N$19+$N$25)+ROUNDUP(K60, 0)*(($N$19+$N$25)*(($N$19+$N$25)+1)/2) - ROUNDUP(J60, 0)*($N$25)+ROUNDUP(K60, 0)*(($N$25)*(($N$25)+1)/2),
J60*($N$19+$N$25)+K60*(($N$19+$N$25)*(($N$19+$N$25)+1)/2) - J60*$N$25+K60*(($N$25)*(($N$25)+1)/2))</f>
        <v>0</v>
      </c>
      <c r="N60" s="1514">
        <f t="shared" si="0"/>
        <v>0</v>
      </c>
      <c r="O60" s="2500">
        <f>IF(Quanti!$N$44="X", 'Prix 10-2011 GPRM $'!$O$31, IF(Quanti!$N$45="X", 'Prix 10-2011 GPRM $'!$Q$31, IF(Quanti!$N$46="X", 'Prix VPP 102012 convert'!$O$31, IF(Quanti!$N$47="X", 'Prix VPP 102012 convert'!$Q$31, IF(Quanti!$N$48="X",'Prix spécifiques'!J9,0)))))</f>
        <v>33</v>
      </c>
      <c r="P60" s="1515">
        <f t="shared" si="1"/>
        <v>0</v>
      </c>
    </row>
    <row r="61" spans="2:16" ht="25.5" x14ac:dyDescent="0.2">
      <c r="B61" s="37"/>
      <c r="C61" s="98"/>
      <c r="D61" s="1658" t="str">
        <f>'Saisie données stocks'!F22</f>
        <v>AZT+3TC</v>
      </c>
      <c r="E61" s="1659" t="str">
        <f>'Saisie données stocks'!G22</f>
        <v>Cp</v>
      </c>
      <c r="F61" s="1659" t="str">
        <f>'Saisie données stocks'!H22</f>
        <v>300/150 mg</v>
      </c>
      <c r="G61" s="89" t="str">
        <f>'Saisie données stocks'!I22</f>
        <v>Zidovudine+ Lamivudine</v>
      </c>
      <c r="H61" s="114">
        <f>'Saisie données stocks'!L22</f>
        <v>60</v>
      </c>
      <c r="I61" s="330"/>
      <c r="J61" s="3150">
        <f>IF(Quanti!$D$9="X", 'Calculs dispo Données FA'!N128, IF(Quanti!$D$10="X", 'Calculs dispo Données conso'!N130, "0"))</f>
        <v>0</v>
      </c>
      <c r="K61" s="3148">
        <f>IF(Quanti!$D$9="X", 'Calculs dispo Données FA'!O128, IF(Quanti!$D$10="X", 'Calculs dispo Données conso'!O130, "0"))</f>
        <v>0</v>
      </c>
      <c r="L61" s="3151">
        <f>Calculs!Q435</f>
        <v>1052</v>
      </c>
      <c r="M61" s="1513">
        <f t="shared" si="2"/>
        <v>0</v>
      </c>
      <c r="N61" s="1514">
        <f t="shared" si="0"/>
        <v>0</v>
      </c>
      <c r="O61" s="2500">
        <f>IF(Quanti!$N$44="X", 'Prix 10-2011 GPRM $'!$O$28, IF(Quanti!$N$45="X", 'Prix 10-2011 GPRM $'!$Q$28, IF(Quanti!$N$46="X", 'Prix VPP 102012 convert'!$O$28, IF(Quanti!$N$47="X", 'Prix VPP 102012 convert'!$Q$28, IF(Quanti!$N$48="X",'Prix spécifiques'!J10,0)))))</f>
        <v>9.9550000000000001</v>
      </c>
      <c r="P61" s="1515">
        <f t="shared" si="1"/>
        <v>0</v>
      </c>
    </row>
    <row r="62" spans="2:16" ht="25.5" x14ac:dyDescent="0.2">
      <c r="B62" s="37"/>
      <c r="C62" s="98"/>
      <c r="D62" s="1656" t="str">
        <f>'Saisie données stocks'!F23</f>
        <v>AZT+3TC</v>
      </c>
      <c r="E62" s="1657" t="str">
        <f>'Saisie données stocks'!G23</f>
        <v>Cp</v>
      </c>
      <c r="F62" s="1657" t="str">
        <f>'Saisie données stocks'!H23</f>
        <v>60/30 mg</v>
      </c>
      <c r="G62" s="502" t="str">
        <f>'Saisie données stocks'!I23</f>
        <v>Zidovudine+ Lamivudine</v>
      </c>
      <c r="H62" s="505">
        <f>'Saisie données stocks'!L23</f>
        <v>60</v>
      </c>
      <c r="I62" s="330"/>
      <c r="J62" s="3150">
        <f>IF(Quanti!$D$9="X", 'Calculs dispo Données FA'!N129, IF(Quanti!$D$10="X", 'Calculs dispo Données conso'!N131, "0"))</f>
        <v>0</v>
      </c>
      <c r="K62" s="3148">
        <f>IF(Quanti!$D$9="X", 'Calculs dispo Données FA'!O129, IF(Quanti!$D$10="X", 'Calculs dispo Données conso'!O131, "0"))</f>
        <v>0</v>
      </c>
      <c r="L62" s="3151">
        <f>Calculs!Q436</f>
        <v>160</v>
      </c>
      <c r="M62" s="1513">
        <f t="shared" si="2"/>
        <v>0</v>
      </c>
      <c r="N62" s="1514">
        <f t="shared" si="0"/>
        <v>0</v>
      </c>
      <c r="O62" s="2500">
        <f>IF(Quanti!$N$44="X", 'Prix 10-2011 GPRM $'!$O$128, IF(Quanti!$N$45="X", 'Prix 10-2011 GPRM $'!$Q$128, IF(Quanti!$N$46="X", 'Prix VPP 102012 convert'!$O$128, IF(Quanti!$N$47="X", 'Prix VPP 102012 convert'!$Q$128, IF(Quanti!$N$48="X",'Prix spécifiques'!J11,0)))))</f>
        <v>2.67</v>
      </c>
      <c r="P62" s="1515">
        <f t="shared" si="1"/>
        <v>0</v>
      </c>
    </row>
    <row r="63" spans="2:16" ht="25.5" x14ac:dyDescent="0.2">
      <c r="B63" s="37"/>
      <c r="C63" s="98"/>
      <c r="D63" s="1656" t="str">
        <f>'Saisie données stocks'!F24</f>
        <v>3TC+ABC</v>
      </c>
      <c r="E63" s="1657" t="str">
        <f>'Saisie données stocks'!G24</f>
        <v>Cp</v>
      </c>
      <c r="F63" s="1657" t="str">
        <f>'Saisie données stocks'!H24</f>
        <v>300/600 mg</v>
      </c>
      <c r="G63" s="502" t="str">
        <f>'Saisie données stocks'!I24</f>
        <v>Lamivudine+ Abacavir</v>
      </c>
      <c r="H63" s="505">
        <f>'Saisie données stocks'!L24</f>
        <v>30</v>
      </c>
      <c r="I63" s="330"/>
      <c r="J63" s="3150">
        <f>IF(Quanti!$D$9="X", 'Calculs dispo Données FA'!N130, IF(Quanti!$D$10="X", 'Calculs dispo Données conso'!N132, "0"))</f>
        <v>0</v>
      </c>
      <c r="K63" s="3148">
        <f>IF(Quanti!$D$9="X", 'Calculs dispo Données FA'!O130, IF(Quanti!$D$10="X", 'Calculs dispo Données conso'!O132, "0"))</f>
        <v>0</v>
      </c>
      <c r="L63" s="3151">
        <f>Calculs!Q437</f>
        <v>345</v>
      </c>
      <c r="M63" s="1513">
        <f t="shared" si="2"/>
        <v>0</v>
      </c>
      <c r="N63" s="1514">
        <f t="shared" si="0"/>
        <v>0</v>
      </c>
      <c r="O63" s="2500">
        <f>IF(Quanti!$N$44="X", 'Prix 10-2011 GPRM $'!$O$33, IF(Quanti!$N$45="X", 'Prix 10-2011 GPRM $'!$Q$33, IF(Quanti!$N$46="X", 'Prix VPP 102012 convert'!$O$33, IF(Quanti!$N$47="X", 'Prix VPP 102012 convert'!$Q$33, IF(Quanti!$N$48="X",'Prix spécifiques'!J12,0)))))</f>
        <v>19</v>
      </c>
      <c r="P63" s="1515">
        <f t="shared" si="1"/>
        <v>0</v>
      </c>
    </row>
    <row r="64" spans="2:16" ht="25.5" x14ac:dyDescent="0.2">
      <c r="B64" s="37"/>
      <c r="C64" s="98"/>
      <c r="D64" s="1656" t="str">
        <f>'Saisie données stocks'!F25</f>
        <v>3TC+ABC</v>
      </c>
      <c r="E64" s="1657" t="str">
        <f>'Saisie données stocks'!G25</f>
        <v>Cp</v>
      </c>
      <c r="F64" s="1657" t="str">
        <f>'Saisie données stocks'!H25</f>
        <v>30/60 mg</v>
      </c>
      <c r="G64" s="502" t="str">
        <f>'Saisie données stocks'!I25</f>
        <v>Lamivudine+ Abacavir</v>
      </c>
      <c r="H64" s="505">
        <f>'Saisie données stocks'!L25</f>
        <v>60</v>
      </c>
      <c r="I64" s="330"/>
      <c r="J64" s="3150">
        <f>IF(Quanti!$D$9="X", 'Calculs dispo Données FA'!N131, IF(Quanti!$D$10="X", 'Calculs dispo Données conso'!N133, "0"))</f>
        <v>0</v>
      </c>
      <c r="K64" s="3148">
        <f>IF(Quanti!$D$9="X", 'Calculs dispo Données FA'!O131, IF(Quanti!$D$10="X", 'Calculs dispo Données conso'!O133, "0"))</f>
        <v>0</v>
      </c>
      <c r="L64" s="3151">
        <f>Calculs!Q438</f>
        <v>0</v>
      </c>
      <c r="M64" s="1513">
        <f t="shared" si="2"/>
        <v>0</v>
      </c>
      <c r="N64" s="1514">
        <f t="shared" si="0"/>
        <v>0</v>
      </c>
      <c r="O64" s="2500">
        <f>IF(Quanti!$N$44="X", 'Prix 10-2011 GPRM $'!$O$129, IF(Quanti!$N$45="X", 'Prix 10-2011 GPRM $'!$Q$129, IF(Quanti!$N$46="X", 'Prix VPP 102012 convert'!$O$129, IF(Quanti!$N$47="X", 'Prix VPP 102012 convert'!$Q$129, IF(Quanti!$N$48="X",'Prix spécifiques'!J13,0)))))</f>
        <v>5.8</v>
      </c>
      <c r="P64" s="1515">
        <f t="shared" si="1"/>
        <v>0</v>
      </c>
    </row>
    <row r="65" spans="2:16" ht="38.25" x14ac:dyDescent="0.2">
      <c r="B65" s="37"/>
      <c r="C65" s="98"/>
      <c r="D65" s="1660" t="str">
        <f>'Saisie données stocks'!F26</f>
        <v>D4T+3TC+NVP</v>
      </c>
      <c r="E65" s="1661" t="str">
        <f>'Saisie données stocks'!G26</f>
        <v>Cp</v>
      </c>
      <c r="F65" s="1661" t="str">
        <f>'Saisie données stocks'!H26</f>
        <v>30/150/200 mg</v>
      </c>
      <c r="G65" s="1207" t="str">
        <f>'Saisie données stocks'!I26</f>
        <v>Stavudine+ Lamivudine+ Nevirapine</v>
      </c>
      <c r="H65" s="115">
        <f>'Saisie données stocks'!L26</f>
        <v>60</v>
      </c>
      <c r="I65" s="331"/>
      <c r="J65" s="3150">
        <f>IF(Quanti!$D$9="X", 'Calculs dispo Données FA'!N132, IF(Quanti!$D$10="X", 'Calculs dispo Données conso'!N134, "0"))</f>
        <v>0</v>
      </c>
      <c r="K65" s="3148">
        <f>IF(Quanti!$D$9="X", 'Calculs dispo Données FA'!O132, IF(Quanti!$D$10="X", 'Calculs dispo Données conso'!O134, "0"))</f>
        <v>0</v>
      </c>
      <c r="L65" s="3151">
        <f>Calculs!Q439</f>
        <v>0</v>
      </c>
      <c r="M65" s="1513">
        <f t="shared" si="2"/>
        <v>0</v>
      </c>
      <c r="N65" s="1514">
        <f t="shared" si="0"/>
        <v>0</v>
      </c>
      <c r="O65" s="2500">
        <f>IF(Quanti!$N$44="X", 'Prix 10-2011 GPRM $'!$O$29, IF(Quanti!$N$45="X", 'Prix 10-2011 GPRM $'!$Q$29, IF(Quanti!$N$46="X", 'Prix VPP 102012 convert'!$O$29, IF(Quanti!$N$47="X", 'Prix VPP 102012 convert'!$Q$29, IF(Quanti!$N$48="X",'Prix spécifiques'!J14,0)))))</f>
        <v>4.91</v>
      </c>
      <c r="P65" s="1515">
        <f t="shared" si="1"/>
        <v>0</v>
      </c>
    </row>
    <row r="66" spans="2:16" ht="38.25" x14ac:dyDescent="0.2">
      <c r="B66" s="37"/>
      <c r="C66" s="98"/>
      <c r="D66" s="1660" t="str">
        <f>'Saisie données stocks'!F27</f>
        <v>D4T+3TC+NVP</v>
      </c>
      <c r="E66" s="1661" t="str">
        <f>'Saisie données stocks'!G27</f>
        <v>Cp</v>
      </c>
      <c r="F66" s="1661" t="str">
        <f>'Saisie données stocks'!H27</f>
        <v>6/30/50 mg</v>
      </c>
      <c r="G66" s="1207" t="str">
        <f>'Saisie données stocks'!I27</f>
        <v>Stavudine+ Lamivudine+ Nevirapine</v>
      </c>
      <c r="H66" s="115">
        <f>'Saisie données stocks'!L27</f>
        <v>60</v>
      </c>
      <c r="I66" s="331"/>
      <c r="J66" s="3150">
        <f>IF(Quanti!$D$9="X", 'Calculs dispo Données FA'!N133, IF(Quanti!$D$10="X", 'Calculs dispo Données conso'!N135, "0"))</f>
        <v>0</v>
      </c>
      <c r="K66" s="3148">
        <f>IF(Quanti!$D$9="X", 'Calculs dispo Données FA'!O133, IF(Quanti!$D$10="X", 'Calculs dispo Données conso'!O135, "0"))</f>
        <v>0</v>
      </c>
      <c r="L66" s="3151">
        <f>Calculs!Q440</f>
        <v>30</v>
      </c>
      <c r="M66" s="1513">
        <f t="shared" si="2"/>
        <v>0</v>
      </c>
      <c r="N66" s="1514">
        <f t="shared" si="0"/>
        <v>0</v>
      </c>
      <c r="O66" s="2500">
        <f>IF(Quanti!$N$44="X", 'Prix 10-2011 GPRM $'!$O$109, IF(Quanti!$N$45="X", 'Prix 10-2011 GPRM $'!$Q$109, IF(Quanti!$N$46="X", 'Prix VPP 102012 convert'!$O$109, IF(Quanti!$N$47="X", 'Prix VPP 102012 convert'!$Q$109, IF(Quanti!$N$48="X",'Prix spécifiques'!J15,0)))))</f>
        <v>2.25</v>
      </c>
      <c r="P66" s="1515">
        <f t="shared" si="1"/>
        <v>0</v>
      </c>
    </row>
    <row r="67" spans="2:16" ht="25.5" x14ac:dyDescent="0.2">
      <c r="B67" s="37"/>
      <c r="C67" s="98"/>
      <c r="D67" s="1660" t="str">
        <f>'Saisie données stocks'!F28</f>
        <v>D4T+3TC</v>
      </c>
      <c r="E67" s="1661" t="str">
        <f>'Saisie données stocks'!G28</f>
        <v>Cp</v>
      </c>
      <c r="F67" s="1661" t="str">
        <f>'Saisie données stocks'!H28</f>
        <v>30/150 mg</v>
      </c>
      <c r="G67" s="89" t="str">
        <f>'Saisie données stocks'!I28</f>
        <v>Stavudine+ Lamivudine</v>
      </c>
      <c r="H67" s="115">
        <f>'Saisie données stocks'!L28</f>
        <v>60</v>
      </c>
      <c r="I67" s="331"/>
      <c r="J67" s="3150">
        <f>IF(Quanti!$D$9="X", 'Calculs dispo Données FA'!N134, IF(Quanti!$D$10="X", 'Calculs dispo Données conso'!N136, "0"))</f>
        <v>0</v>
      </c>
      <c r="K67" s="3148">
        <f>IF(Quanti!$D$9="X", 'Calculs dispo Données FA'!O134, IF(Quanti!$D$10="X", 'Calculs dispo Données conso'!O136, "0"))</f>
        <v>0</v>
      </c>
      <c r="L67" s="3151">
        <f>Calculs!Q441</f>
        <v>14</v>
      </c>
      <c r="M67" s="1513">
        <f t="shared" si="2"/>
        <v>0</v>
      </c>
      <c r="N67" s="1514">
        <f t="shared" si="0"/>
        <v>0</v>
      </c>
      <c r="O67" s="2500">
        <f>IF(Quanti!$N$44="X", 'Prix 10-2011 GPRM $'!$O$30, IF(Quanti!$N$45="X", 'Prix 10-2011 GPRM $'!$Q$30, IF(Quanti!$N$46="X", 'Prix VPP 102012 convert'!$O$30, IF(Quanti!$N$47="X", 'Prix VPP 102012 convert'!$Q$30, IF(Quanti!$N$48="X",'Prix spécifiques'!J16,0)))))</f>
        <v>2.9249999999999998</v>
      </c>
      <c r="P67" s="1515">
        <f t="shared" si="1"/>
        <v>0</v>
      </c>
    </row>
    <row r="68" spans="2:16" ht="38.25" x14ac:dyDescent="0.2">
      <c r="B68" s="37"/>
      <c r="C68" s="98"/>
      <c r="D68" s="1660" t="str">
        <f>'Saisie données stocks'!F29</f>
        <v>TDF+FTC+EFV</v>
      </c>
      <c r="E68" s="1661" t="str">
        <f>'Saisie données stocks'!G29</f>
        <v>Cp</v>
      </c>
      <c r="F68" s="1661" t="str">
        <f>'Saisie données stocks'!H29</f>
        <v>300/200/600 mg</v>
      </c>
      <c r="G68" s="89" t="str">
        <f>'Saisie données stocks'!I29</f>
        <v>Tenofovir+ Emtricitabine+ Efavirenz</v>
      </c>
      <c r="H68" s="115">
        <f>'Saisie données stocks'!L29</f>
        <v>30</v>
      </c>
      <c r="I68" s="331"/>
      <c r="J68" s="3150">
        <f>IF(Quanti!$D$9="X", 'Calculs dispo Données FA'!N135, IF(Quanti!$D$10="X", 'Calculs dispo Données conso'!N137, "0"))</f>
        <v>0</v>
      </c>
      <c r="K68" s="3148">
        <f>IF(Quanti!$D$9="X", 'Calculs dispo Données FA'!O135, IF(Quanti!$D$10="X", 'Calculs dispo Données conso'!O137, "0"))</f>
        <v>0</v>
      </c>
      <c r="L68" s="3151">
        <f>Calculs!Q442</f>
        <v>0</v>
      </c>
      <c r="M68" s="1513">
        <f t="shared" si="2"/>
        <v>0</v>
      </c>
      <c r="N68" s="1514">
        <f t="shared" si="0"/>
        <v>0</v>
      </c>
      <c r="O68" s="2500">
        <f>IF(Quanti!$N$44="X", 'Prix 10-2011 GPRM $'!$O$34, IF(Quanti!$N$45="X", 'Prix 10-2011 GPRM $'!$Q$34, IF(Quanti!$N$46="X", 'Prix VPP 102012 convert'!$O$34, IF(Quanti!$N$47="X", 'Prix VPP 102012 convert'!$Q$34, IF(Quanti!$N$48="X",'Prix spécifiques'!J17,0)))))</f>
        <v>13.45</v>
      </c>
      <c r="P68" s="1515">
        <f t="shared" si="1"/>
        <v>0</v>
      </c>
    </row>
    <row r="69" spans="2:16" ht="25.5" x14ac:dyDescent="0.2">
      <c r="B69" s="37"/>
      <c r="C69" s="98"/>
      <c r="D69" s="1660" t="str">
        <f>'Saisie données stocks'!F30</f>
        <v>TDF+FTC</v>
      </c>
      <c r="E69" s="1661" t="str">
        <f>'Saisie données stocks'!G30</f>
        <v>Cp</v>
      </c>
      <c r="F69" s="1661" t="str">
        <f>'Saisie données stocks'!H30</f>
        <v>300/200 mg</v>
      </c>
      <c r="G69" s="89" t="str">
        <f>'Saisie données stocks'!I30</f>
        <v>Tenofovir+ Emtricitabine</v>
      </c>
      <c r="H69" s="115">
        <f>'Saisie données stocks'!L30</f>
        <v>30</v>
      </c>
      <c r="I69" s="331"/>
      <c r="J69" s="3150">
        <f>IF(Quanti!$D$9="X", 'Calculs dispo Données FA'!N136, IF(Quanti!$D$10="X", 'Calculs dispo Données conso'!N138, "0"))</f>
        <v>0</v>
      </c>
      <c r="K69" s="3148">
        <f>IF(Quanti!$D$9="X", 'Calculs dispo Données FA'!O136, IF(Quanti!$D$10="X", 'Calculs dispo Données conso'!O138, "0"))</f>
        <v>0</v>
      </c>
      <c r="L69" s="3151">
        <f>Calculs!Q443</f>
        <v>0</v>
      </c>
      <c r="M69" s="1513">
        <f t="shared" si="2"/>
        <v>0</v>
      </c>
      <c r="N69" s="1514">
        <f t="shared" si="0"/>
        <v>0</v>
      </c>
      <c r="O69" s="2500">
        <f>IF(Quanti!$N$44="X", 'Prix 10-2011 GPRM $'!$O$36, IF(Quanti!$N$45="X", 'Prix 10-2011 GPRM $'!$Q$36, IF(Quanti!$N$46="X", 'Prix VPP 102012 convert'!$O$36, IF(Quanti!$N$47="X", 'Prix VPP 102012 convert'!$Q$36, IF(Quanti!$N$48="X",'Prix spécifiques'!J18,0)))))</f>
        <v>16.22</v>
      </c>
      <c r="P69" s="1515">
        <f t="shared" si="1"/>
        <v>0</v>
      </c>
    </row>
    <row r="70" spans="2:16" ht="38.25" x14ac:dyDescent="0.2">
      <c r="B70" s="37"/>
      <c r="C70" s="123"/>
      <c r="D70" s="1660" t="str">
        <f>'Saisie données stocks'!F31</f>
        <v>TDF+3TC+EFV</v>
      </c>
      <c r="E70" s="1661" t="str">
        <f>'Saisie données stocks'!G31</f>
        <v>Cp</v>
      </c>
      <c r="F70" s="1661" t="str">
        <f>'Saisie données stocks'!H31</f>
        <v>300/200/600 mg</v>
      </c>
      <c r="G70" s="89" t="str">
        <f>'Saisie données stocks'!I31</f>
        <v>Tenofovir+ Lamivudine+ Efavirenz</v>
      </c>
      <c r="H70" s="115">
        <f>'Saisie données stocks'!L31</f>
        <v>30</v>
      </c>
      <c r="I70" s="331"/>
      <c r="J70" s="3150">
        <f>IF(Quanti!$D$9="X", 'Calculs dispo Données FA'!N137, IF(Quanti!$D$10="X", 'Calculs dispo Données conso'!N139, "0"))</f>
        <v>0</v>
      </c>
      <c r="K70" s="3148">
        <f>IF(Quanti!$D$9="X", 'Calculs dispo Données FA'!O137, IF(Quanti!$D$10="X", 'Calculs dispo Données conso'!O139, "0"))</f>
        <v>0</v>
      </c>
      <c r="L70" s="3151">
        <f>Calculs!Q444</f>
        <v>2712</v>
      </c>
      <c r="M70" s="1513">
        <f t="shared" si="2"/>
        <v>0</v>
      </c>
      <c r="N70" s="1514">
        <f t="shared" si="0"/>
        <v>0</v>
      </c>
      <c r="O70" s="2500">
        <f>IF(Quanti!$N$44="X", 'Prix 10-2011 GPRM $'!$O$35, IF(Quanti!$N$45="X", 'Prix 10-2011 GPRM $'!$Q$35, IF(Quanti!$N$46="X", 'Prix VPP 102012 convert'!$O$35, IF(Quanti!$N$47="X", 'Prix VPP 102012 convert'!$Q$35, IF(Quanti!$N$48="X",'Prix spécifiques'!J19,0)))))</f>
        <v>11.99</v>
      </c>
      <c r="P70" s="1515">
        <f t="shared" si="1"/>
        <v>0</v>
      </c>
    </row>
    <row r="71" spans="2:16" ht="25.5" x14ac:dyDescent="0.2">
      <c r="B71" s="37"/>
      <c r="C71" s="123"/>
      <c r="D71" s="1660" t="str">
        <f>'Saisie données stocks'!F32</f>
        <v>TDF+3TC</v>
      </c>
      <c r="E71" s="1661" t="str">
        <f>'Saisie données stocks'!G32</f>
        <v>Cp</v>
      </c>
      <c r="F71" s="1661" t="str">
        <f>'Saisie données stocks'!H32</f>
        <v>300/200 mg</v>
      </c>
      <c r="G71" s="89" t="str">
        <f>'Saisie données stocks'!I32</f>
        <v>Tenofovir+ Lamivudine</v>
      </c>
      <c r="H71" s="115">
        <f>'Saisie données stocks'!L32</f>
        <v>30</v>
      </c>
      <c r="I71" s="331"/>
      <c r="J71" s="3150">
        <f>IF(Quanti!$D$9="X", 'Calculs dispo Données FA'!N138, IF(Quanti!$D$10="X", 'Calculs dispo Données conso'!N140, "0"))</f>
        <v>0</v>
      </c>
      <c r="K71" s="3148">
        <f>IF(Quanti!$D$9="X", 'Calculs dispo Données FA'!O138, IF(Quanti!$D$10="X", 'Calculs dispo Données conso'!O140, "0"))</f>
        <v>0</v>
      </c>
      <c r="L71" s="3151">
        <f>Calculs!Q445</f>
        <v>0</v>
      </c>
      <c r="M71" s="1513">
        <f t="shared" si="2"/>
        <v>0</v>
      </c>
      <c r="N71" s="1514">
        <f t="shared" si="0"/>
        <v>0</v>
      </c>
      <c r="O71" s="2500">
        <f>IF(Quanti!$N$44="X", 'Prix 10-2011 GPRM $'!$O$37, IF(Quanti!$N$45="X", 'Prix 10-2011 GPRM $'!$Q$37, IF(Quanti!$N$46="X", 'Prix VPP 102012 convert'!$O$37, IF(Quanti!$N$47="X", 'Prix VPP 102012 convert'!$Q$37, IF(Quanti!$N$48="X",'Prix spécifiques'!J20,0)))))</f>
        <v>5.0299999999999994</v>
      </c>
      <c r="P71" s="1515">
        <f t="shared" si="1"/>
        <v>0</v>
      </c>
    </row>
    <row r="72" spans="2:16" ht="51" x14ac:dyDescent="0.2">
      <c r="B72" s="100"/>
      <c r="C72" s="101"/>
      <c r="D72" s="1663" t="str">
        <f>'Saisie données stocks'!F33</f>
        <v>[TDF+3TC]+ATV/r</v>
      </c>
      <c r="E72" s="1664" t="str">
        <f>'Saisie données stocks'!G33</f>
        <v>Cp coblister</v>
      </c>
      <c r="F72" s="1664" t="str">
        <f>'Saisie données stocks'!H33</f>
        <v>[300/300]+300/100 mg</v>
      </c>
      <c r="G72" s="1640" t="str">
        <f>'Saisie données stocks'!I33</f>
        <v>[Tenofovir+ Lamivudine]+ Atazanavir/Ritonavir</v>
      </c>
      <c r="H72" s="116">
        <f>'Saisie données stocks'!L33</f>
        <v>30</v>
      </c>
      <c r="I72" s="333"/>
      <c r="J72" s="3150">
        <f>IF(Quanti!$D$9="X", 'Calculs dispo Données FA'!N139, IF(Quanti!$D$10="X", 'Calculs dispo Données conso'!N141, "0"))</f>
        <v>0</v>
      </c>
      <c r="K72" s="3148">
        <f>IF(Quanti!$D$9="X", 'Calculs dispo Données FA'!O139, IF(Quanti!$D$10="X", 'Calculs dispo Données conso'!O141, "0"))</f>
        <v>0</v>
      </c>
      <c r="L72" s="3151">
        <f>Calculs!Q446</f>
        <v>0</v>
      </c>
      <c r="M72" s="1513">
        <f t="shared" si="2"/>
        <v>0</v>
      </c>
      <c r="N72" s="1514">
        <f t="shared" si="0"/>
        <v>0</v>
      </c>
      <c r="O72" s="2500">
        <f>IF(Quanti!$N$44="X", 'Prix 10-2011 GPRM $'!$L$70, IF(Quanti!$N$45="X", 'Prix 10-2011 GPRM $'!$L$70, IF(Quanti!$N$46="X", 'Prix VPP 102012 convert'!$L$70, IF(Quanti!$N$47="X", 'Prix VPP 102012 convert'!$L$70, IF(Quanti!$N$48="X",'Prix spécifiques'!J21,0)))))</f>
        <v>30</v>
      </c>
      <c r="P72" s="1515">
        <f t="shared" si="1"/>
        <v>0</v>
      </c>
    </row>
    <row r="73" spans="2:16" x14ac:dyDescent="0.2">
      <c r="B73" s="37"/>
      <c r="C73" s="98" t="str">
        <f>'Saisie données stocks'!$E$34</f>
        <v>INNTI</v>
      </c>
      <c r="D73" s="1658" t="str">
        <f>'Saisie données stocks'!F34</f>
        <v>EFV</v>
      </c>
      <c r="E73" s="1659" t="str">
        <f>'Saisie données stocks'!G34</f>
        <v>Gél</v>
      </c>
      <c r="F73" s="1659" t="str">
        <f>'Saisie données stocks'!H34</f>
        <v>50 mg</v>
      </c>
      <c r="G73" s="89" t="str">
        <f>'Saisie données stocks'!I34</f>
        <v>Efavirenz</v>
      </c>
      <c r="H73" s="114">
        <f>'Saisie données stocks'!L34</f>
        <v>30</v>
      </c>
      <c r="I73" s="330"/>
      <c r="J73" s="3150">
        <f>IF(Quanti!$D$9="X", 'Calculs dispo Données FA'!N140, IF(Quanti!$D$10="X", 'Calculs dispo Données conso'!N142, "0"))</f>
        <v>0</v>
      </c>
      <c r="K73" s="3148">
        <f>IF(Quanti!$D$9="X", 'Calculs dispo Données FA'!O140, IF(Quanti!$D$10="X", 'Calculs dispo Données conso'!O142, "0"))</f>
        <v>0</v>
      </c>
      <c r="L73" s="3151">
        <f>Calculs!Q447</f>
        <v>0</v>
      </c>
      <c r="M73" s="1513">
        <f t="shared" si="2"/>
        <v>0</v>
      </c>
      <c r="N73" s="1514">
        <f t="shared" si="0"/>
        <v>0</v>
      </c>
      <c r="O73" s="2500">
        <f>IF(Quanti!$N$44="X", 'Prix 10-2011 GPRM $'!$O$136, IF(Quanti!$N$45="X", 'Prix 10-2011 GPRM $'!$Q$136, IF(Quanti!$N$46="X", 'Prix VPP 102012 convert'!$O$136, IF(Quanti!$N$47="X", 'Prix VPP 102012 convert'!$Q$136, IF(Quanti!$N$48="X",'Prix spécifiques'!J22,0)))))</f>
        <v>1.49</v>
      </c>
      <c r="P73" s="1515">
        <f t="shared" si="1"/>
        <v>0</v>
      </c>
    </row>
    <row r="74" spans="2:16" x14ac:dyDescent="0.2">
      <c r="B74" s="37"/>
      <c r="C74" s="98"/>
      <c r="D74" s="1660" t="str">
        <f>'Saisie données stocks'!F35</f>
        <v>EFV</v>
      </c>
      <c r="E74" s="1661" t="str">
        <f>'Saisie données stocks'!G35</f>
        <v>Gél</v>
      </c>
      <c r="F74" s="1661" t="str">
        <f>'Saisie données stocks'!H35</f>
        <v>200 mg</v>
      </c>
      <c r="G74" s="89" t="str">
        <f>'Saisie données stocks'!I35</f>
        <v>Efavirenz</v>
      </c>
      <c r="H74" s="115">
        <f>'Saisie données stocks'!L35</f>
        <v>90</v>
      </c>
      <c r="I74" s="331"/>
      <c r="J74" s="3150">
        <f>IF(Quanti!$D$9="X", 'Calculs dispo Données FA'!N141, IF(Quanti!$D$10="X", 'Calculs dispo Données conso'!N143, "0"))</f>
        <v>0</v>
      </c>
      <c r="K74" s="3148">
        <f>IF(Quanti!$D$9="X", 'Calculs dispo Données FA'!O141, IF(Quanti!$D$10="X", 'Calculs dispo Données conso'!O143, "0"))</f>
        <v>0</v>
      </c>
      <c r="L74" s="3151">
        <f>Calculs!Q448</f>
        <v>108</v>
      </c>
      <c r="M74" s="1513">
        <f t="shared" si="2"/>
        <v>0</v>
      </c>
      <c r="N74" s="1514">
        <f t="shared" si="0"/>
        <v>0</v>
      </c>
      <c r="O74" s="2500">
        <f>IF(Quanti!$N$44="X", 'Prix 10-2011 GPRM $'!$O$44, IF(Quanti!$N$45="X", 'Prix 10-2011 GPRM $'!$Q$44, IF(Quanti!$N$46="X", 'Prix VPP 102012 convert'!$O$44, IF(Quanti!$N$47="X", 'Prix VPP 102012 convert'!$Q$44, IF(Quanti!$N$48="X",'Prix spécifiques'!J23,0)))))</f>
        <v>7.4</v>
      </c>
      <c r="P74" s="1515">
        <f t="shared" si="1"/>
        <v>0</v>
      </c>
    </row>
    <row r="75" spans="2:16" x14ac:dyDescent="0.2">
      <c r="B75" s="37"/>
      <c r="C75" s="98"/>
      <c r="D75" s="1665" t="str">
        <f>'Saisie données stocks'!F36</f>
        <v>EFV</v>
      </c>
      <c r="E75" s="1666" t="str">
        <f>'Saisie données stocks'!G36</f>
        <v>Cp</v>
      </c>
      <c r="F75" s="1662" t="str">
        <f>'Saisie données stocks'!H36</f>
        <v>600 mg</v>
      </c>
      <c r="G75" s="89" t="str">
        <f>'Saisie données stocks'!I36</f>
        <v>Efavirenz</v>
      </c>
      <c r="H75" s="117">
        <f>'Saisie données stocks'!L36</f>
        <v>30</v>
      </c>
      <c r="I75" s="334"/>
      <c r="J75" s="3150">
        <f>IF(Quanti!$D$9="X", 'Calculs dispo Données FA'!N142, IF(Quanti!$D$10="X", 'Calculs dispo Données conso'!N144, "0"))</f>
        <v>0</v>
      </c>
      <c r="K75" s="3148">
        <f>IF(Quanti!$D$9="X", 'Calculs dispo Données FA'!O142, IF(Quanti!$D$10="X", 'Calculs dispo Données conso'!O144, "0"))</f>
        <v>0</v>
      </c>
      <c r="L75" s="3151">
        <f>Calculs!Q449</f>
        <v>2210</v>
      </c>
      <c r="M75" s="1513">
        <f t="shared" si="2"/>
        <v>0</v>
      </c>
      <c r="N75" s="1514">
        <f t="shared" si="0"/>
        <v>0</v>
      </c>
      <c r="O75" s="2500">
        <f>IF(Quanti!$N$44="X", 'Prix 10-2011 GPRM $'!$O$45, IF(Quanti!$N$45="X", 'Prix 10-2011 GPRM $'!$Q$45, IF(Quanti!$N$46="X", 'Prix VPP 102012 convert'!$O$45, IF(Quanti!$N$47="X", 'Prix VPP 102012 convert'!$Q$45, IF(Quanti!$N$48="X",'Prix spécifiques'!J24,0)))))</f>
        <v>6.4399999999999995</v>
      </c>
      <c r="P75" s="1515">
        <f t="shared" si="1"/>
        <v>0</v>
      </c>
    </row>
    <row r="76" spans="2:16" x14ac:dyDescent="0.2">
      <c r="B76" s="37"/>
      <c r="C76" s="98"/>
      <c r="D76" s="1667" t="str">
        <f>'Saisie données stocks'!F37</f>
        <v>ETV</v>
      </c>
      <c r="E76" s="1668" t="str">
        <f>'Saisie données stocks'!G37</f>
        <v>Cp</v>
      </c>
      <c r="F76" s="1662" t="str">
        <f>'Saisie données stocks'!H37</f>
        <v>200 mg</v>
      </c>
      <c r="G76" s="89" t="str">
        <f>'Saisie données stocks'!I37</f>
        <v>Etravirine</v>
      </c>
      <c r="H76" s="1386">
        <f>'Saisie données stocks'!L37</f>
        <v>60</v>
      </c>
      <c r="I76" s="1387"/>
      <c r="J76" s="3150">
        <f>IF(Quanti!$D$9="X", 'Calculs dispo Données FA'!N143, IF(Quanti!$D$10="X", 'Calculs dispo Données conso'!N145, "0"))</f>
        <v>0</v>
      </c>
      <c r="K76" s="3148">
        <f>IF(Quanti!$D$9="X", 'Calculs dispo Données FA'!O143, IF(Quanti!$D$10="X", 'Calculs dispo Données conso'!O145, "0"))</f>
        <v>0</v>
      </c>
      <c r="L76" s="3151">
        <f>Calculs!Q450</f>
        <v>0</v>
      </c>
      <c r="M76" s="1513">
        <f t="shared" si="2"/>
        <v>0</v>
      </c>
      <c r="N76" s="1514">
        <f t="shared" si="0"/>
        <v>0</v>
      </c>
      <c r="O76" s="2500">
        <f>IF(Quanti!$N$44="X", 'Prix 10-2011 GPRM $'!$O$64, IF(Quanti!$N$45="X", 'Prix 10-2011 GPRM $'!$Q$64, IF(Quanti!$N$46="X", 'Prix VPP 102012 convert'!$O$64, IF(Quanti!$N$47="X", 'Prix VPP 102012 convert'!$Q$64, IF(Quanti!$N$48="X",'Prix spécifiques'!J25,0)))))</f>
        <v>38.36</v>
      </c>
      <c r="P76" s="1515">
        <f t="shared" si="1"/>
        <v>0</v>
      </c>
    </row>
    <row r="77" spans="2:16" x14ac:dyDescent="0.2">
      <c r="B77" s="37"/>
      <c r="C77" s="123"/>
      <c r="D77" s="1660" t="str">
        <f>'Saisie données stocks'!F38</f>
        <v>NVP</v>
      </c>
      <c r="E77" s="1661" t="str">
        <f>'Saisie données stocks'!G38</f>
        <v>Cp</v>
      </c>
      <c r="F77" s="1671" t="str">
        <f>'Saisie données stocks'!H38</f>
        <v>200 mg</v>
      </c>
      <c r="G77" s="377" t="str">
        <f>'Saisie données stocks'!I38</f>
        <v>Nevirapine</v>
      </c>
      <c r="H77" s="115">
        <f>'Saisie données stocks'!L38</f>
        <v>60</v>
      </c>
      <c r="I77" s="331"/>
      <c r="J77" s="3150">
        <f>IF(Quanti!$D$9="X", 'Calculs dispo Données FA'!N144, IF(Quanti!$D$10="X", 'Calculs dispo Données conso'!N146, "0"))</f>
        <v>0</v>
      </c>
      <c r="K77" s="3148">
        <f>IF(Quanti!$D$9="X", 'Calculs dispo Données FA'!O144, IF(Quanti!$D$10="X", 'Calculs dispo Données conso'!O146, "0"))</f>
        <v>0</v>
      </c>
      <c r="L77" s="3151">
        <f>Calculs!Q451</f>
        <v>0</v>
      </c>
      <c r="M77" s="1513">
        <f t="shared" si="2"/>
        <v>0</v>
      </c>
      <c r="N77" s="1514">
        <f t="shared" si="0"/>
        <v>0</v>
      </c>
      <c r="O77" s="2500">
        <f>IF(Quanti!$N$44="X", 'Prix 10-2011 GPRM $'!$O$43, IF(Quanti!$N$45="X", 'Prix 10-2011 GPRM $'!$Q$43, IF(Quanti!$N$46="X", 'Prix VPP 102012 convert'!$O$43, IF(Quanti!$N$47="X", 'Prix VPP 102012 convert'!$Q$43, IF(Quanti!$N$48="X",'Prix spécifiques'!J26,0)))))</f>
        <v>2.7250000000000001</v>
      </c>
      <c r="P77" s="1515">
        <f t="shared" si="1"/>
        <v>0</v>
      </c>
    </row>
    <row r="78" spans="2:16" x14ac:dyDescent="0.2">
      <c r="B78" s="100"/>
      <c r="C78" s="101"/>
      <c r="D78" s="1663" t="str">
        <f>'Saisie données stocks'!F39</f>
        <v>RPV</v>
      </c>
      <c r="E78" s="1664" t="str">
        <f>'Saisie données stocks'!G39</f>
        <v>Cp</v>
      </c>
      <c r="F78" s="1664" t="str">
        <f>'Saisie données stocks'!H39</f>
        <v>25 mg</v>
      </c>
      <c r="G78" s="1640" t="str">
        <f>'Saisie données stocks'!I39</f>
        <v>Rilpivirine</v>
      </c>
      <c r="H78" s="116">
        <f>'Saisie données stocks'!L39</f>
        <v>30</v>
      </c>
      <c r="I78" s="333"/>
      <c r="J78" s="3150">
        <f>IF(Quanti!$D$9="X", 'Calculs dispo Données FA'!N145, IF(Quanti!$D$10="X", 'Calculs dispo Données conso'!N147, "0"))</f>
        <v>0</v>
      </c>
      <c r="K78" s="3148">
        <f>IF(Quanti!$D$9="X", 'Calculs dispo Données FA'!O145, IF(Quanti!$D$10="X", 'Calculs dispo Données conso'!O147, "0"))</f>
        <v>0</v>
      </c>
      <c r="L78" s="3151">
        <f>Calculs!Q452</f>
        <v>0</v>
      </c>
      <c r="M78" s="1513">
        <f t="shared" si="2"/>
        <v>0</v>
      </c>
      <c r="N78" s="1514">
        <f t="shared" si="0"/>
        <v>0</v>
      </c>
      <c r="O78" s="2500">
        <f>IF(Quanti!$N$44="X", 'Prix 10-2011 GPRM $'!$L$74, IF(Quanti!$N$45="X", 'Prix 10-2011 GPRM $'!$L$74, IF(Quanti!$N$46="X", 'Prix VPP 102012 convert'!$L$74, IF(Quanti!$N$47="X", 'Prix VPP 102012 convert'!$L$74, IF(Quanti!$N$48="X",'Prix spécifiques'!J27,0)))))</f>
        <v>30</v>
      </c>
      <c r="P78" s="1515">
        <f t="shared" si="1"/>
        <v>0</v>
      </c>
    </row>
    <row r="79" spans="2:16" x14ac:dyDescent="0.2">
      <c r="B79" s="37"/>
      <c r="C79" s="123" t="str">
        <f>'Saisie données stocks'!$E$40</f>
        <v>INTI</v>
      </c>
      <c r="D79" s="1660" t="str">
        <f>'Saisie données stocks'!F40</f>
        <v>ABC</v>
      </c>
      <c r="E79" s="1661" t="str">
        <f>'Saisie données stocks'!G40</f>
        <v>Cp</v>
      </c>
      <c r="F79" s="1661" t="str">
        <f>'Saisie données stocks'!H40</f>
        <v>300 mg</v>
      </c>
      <c r="G79" s="89" t="str">
        <f>'Saisie données stocks'!I40</f>
        <v>Abacavir</v>
      </c>
      <c r="H79" s="115">
        <f>'Saisie données stocks'!L40</f>
        <v>60</v>
      </c>
      <c r="I79" s="331"/>
      <c r="J79" s="3150">
        <f>IF(Quanti!$D$9="X", 'Calculs dispo Données FA'!N146, IF(Quanti!$D$10="X", 'Calculs dispo Données conso'!N148, "0"))</f>
        <v>0</v>
      </c>
      <c r="K79" s="3148">
        <f>IF(Quanti!$D$9="X", 'Calculs dispo Données FA'!O146, IF(Quanti!$D$10="X", 'Calculs dispo Données conso'!O148, "0"))</f>
        <v>0</v>
      </c>
      <c r="L79" s="3151">
        <f>Calculs!Q453</f>
        <v>0</v>
      </c>
      <c r="M79" s="1513">
        <f t="shared" si="2"/>
        <v>0</v>
      </c>
      <c r="N79" s="1514">
        <f t="shared" si="0"/>
        <v>0</v>
      </c>
      <c r="O79" s="2500">
        <f>IF(Quanti!$N$44="X", 'Prix 10-2011 GPRM $'!$O$46, IF(Quanti!$N$45="X", 'Prix 10-2011 GPRM $'!$Q$46, IF(Quanti!$N$46="X", 'Prix VPP 102012 convert'!$O$46, IF(Quanti!$N$47="X", 'Prix VPP 102012 convert'!$Q$46, IF(Quanti!$N$48="X",'Prix spécifiques'!J28,0)))))</f>
        <v>16.745000000000001</v>
      </c>
      <c r="P79" s="1515">
        <f t="shared" si="1"/>
        <v>0</v>
      </c>
    </row>
    <row r="80" spans="2:16" x14ac:dyDescent="0.2">
      <c r="B80" s="37"/>
      <c r="C80" s="98"/>
      <c r="D80" s="1658" t="str">
        <f>'Saisie données stocks'!F41</f>
        <v>ABC</v>
      </c>
      <c r="E80" s="1659" t="str">
        <f>'Saisie données stocks'!G41</f>
        <v>Cp</v>
      </c>
      <c r="F80" s="1659" t="str">
        <f>'Saisie données stocks'!H41</f>
        <v>60 mg</v>
      </c>
      <c r="G80" s="89" t="str">
        <f>'Saisie données stocks'!I41</f>
        <v>Abacavir</v>
      </c>
      <c r="H80" s="114">
        <f>'Saisie données stocks'!L41</f>
        <v>60</v>
      </c>
      <c r="I80" s="330"/>
      <c r="J80" s="3150">
        <f>IF(Quanti!$D$9="X", 'Calculs dispo Données FA'!N147, IF(Quanti!$D$10="X", 'Calculs dispo Données conso'!N149, "0"))</f>
        <v>0</v>
      </c>
      <c r="K80" s="3148">
        <f>IF(Quanti!$D$9="X", 'Calculs dispo Données FA'!O147, IF(Quanti!$D$10="X", 'Calculs dispo Données conso'!O149, "0"))</f>
        <v>0</v>
      </c>
      <c r="L80" s="3151">
        <f>Calculs!Q454</f>
        <v>0</v>
      </c>
      <c r="M80" s="1513">
        <f t="shared" si="2"/>
        <v>0</v>
      </c>
      <c r="N80" s="1514">
        <f t="shared" si="0"/>
        <v>0</v>
      </c>
      <c r="O80" s="2500">
        <f>IF(Quanti!$N$44="X", 'Prix 10-2011 GPRM $'!$O$139, IF(Quanti!$N$45="X", 'Prix 10-2011 GPRM $'!$Q$139, IF(Quanti!$N$46="X", 'Prix VPP 102012 convert'!$O$139, IF(Quanti!$N$47="X", 'Prix VPP 102012 convert'!$Q$139, IF(Quanti!$N$48="X",'Prix spécifiques'!J29,0)))))</f>
        <v>5.25</v>
      </c>
      <c r="P80" s="1515">
        <f t="shared" si="1"/>
        <v>0</v>
      </c>
    </row>
    <row r="81" spans="2:16" x14ac:dyDescent="0.2">
      <c r="B81" s="37"/>
      <c r="C81" s="98"/>
      <c r="D81" s="1658" t="str">
        <f>'Saisie données stocks'!F42</f>
        <v>AZT</v>
      </c>
      <c r="E81" s="1659" t="str">
        <f>'Saisie données stocks'!G42</f>
        <v>Cp</v>
      </c>
      <c r="F81" s="1661" t="str">
        <f>'Saisie données stocks'!H42</f>
        <v>300 mg</v>
      </c>
      <c r="G81" s="89" t="str">
        <f>'Saisie données stocks'!I42</f>
        <v>Zidovudine</v>
      </c>
      <c r="H81" s="114">
        <f>'Saisie données stocks'!L42</f>
        <v>60</v>
      </c>
      <c r="I81" s="330"/>
      <c r="J81" s="3150">
        <f>IF(Quanti!$D$9="X", 'Calculs dispo Données FA'!N148, IF(Quanti!$D$10="X", 'Calculs dispo Données conso'!N150, "0"))</f>
        <v>0</v>
      </c>
      <c r="K81" s="3148">
        <f>IF(Quanti!$D$9="X", 'Calculs dispo Données FA'!O148, IF(Quanti!$D$10="X", 'Calculs dispo Données conso'!O150, "0"))</f>
        <v>0</v>
      </c>
      <c r="L81" s="3151">
        <f>Calculs!Q455</f>
        <v>0</v>
      </c>
      <c r="M81" s="1513">
        <f t="shared" si="2"/>
        <v>0</v>
      </c>
      <c r="N81" s="1514">
        <f t="shared" si="0"/>
        <v>0</v>
      </c>
      <c r="O81" s="2500">
        <f>IF(Quanti!$N$44="X", 'Prix 10-2011 GPRM $'!$O$38, IF(Quanti!$N$45="X", 'Prix 10-2011 GPRM $'!$Q$38, IF(Quanti!$N$46="X", 'Prix VPP 102012 convert'!$O$38, IF(Quanti!$N$47="X", 'Prix VPP 102012 convert'!$Q$38, IF(Quanti!$N$48="X",'Prix spécifiques'!J30,0)))))</f>
        <v>6.42</v>
      </c>
      <c r="P81" s="1515">
        <f t="shared" si="1"/>
        <v>0</v>
      </c>
    </row>
    <row r="82" spans="2:16" x14ac:dyDescent="0.2">
      <c r="B82" s="37"/>
      <c r="C82" s="98"/>
      <c r="D82" s="1658" t="str">
        <f>'Saisie données stocks'!F43</f>
        <v>AZT</v>
      </c>
      <c r="E82" s="1659" t="str">
        <f>'Saisie données stocks'!G43</f>
        <v>Cp</v>
      </c>
      <c r="F82" s="1662" t="str">
        <f>'Saisie données stocks'!H43</f>
        <v>100 mg</v>
      </c>
      <c r="G82" s="89" t="str">
        <f>'Saisie données stocks'!I43</f>
        <v>Zidovudine</v>
      </c>
      <c r="H82" s="114">
        <f>'Saisie données stocks'!L43</f>
        <v>100</v>
      </c>
      <c r="I82" s="330"/>
      <c r="J82" s="3150">
        <f>IF(Quanti!$D$9="X", 'Calculs dispo Données FA'!N149, IF(Quanti!$D$10="X", 'Calculs dispo Données conso'!N151, "0"))</f>
        <v>0</v>
      </c>
      <c r="K82" s="3148">
        <f>IF(Quanti!$D$9="X", 'Calculs dispo Données FA'!O149, IF(Quanti!$D$10="X", 'Calculs dispo Données conso'!O151, "0"))</f>
        <v>0</v>
      </c>
      <c r="L82" s="3151">
        <f>Calculs!Q456</f>
        <v>0</v>
      </c>
      <c r="M82" s="1513">
        <f t="shared" si="2"/>
        <v>0</v>
      </c>
      <c r="N82" s="1514">
        <f t="shared" si="0"/>
        <v>0</v>
      </c>
      <c r="O82" s="2500">
        <f>IF(Quanti!$N$44="X", 'Prix 10-2011 GPRM $'!$O$130, IF(Quanti!$N$45="X", 'Prix 10-2011 GPRM $'!$Q$130, IF(Quanti!$N$46="X", 'Prix VPP 102012 convert'!$O$130, IF(Quanti!$N$47="X", 'Prix VPP 102012 convert'!$Q$130, IF(Quanti!$N$48="X",'Prix spécifiques'!J31,0)))))</f>
        <v>4.57</v>
      </c>
      <c r="P82" s="1515">
        <f t="shared" si="1"/>
        <v>0</v>
      </c>
    </row>
    <row r="83" spans="2:16" x14ac:dyDescent="0.2">
      <c r="B83" s="37"/>
      <c r="C83" s="98"/>
      <c r="D83" s="1658" t="str">
        <f>'Saisie données stocks'!F44</f>
        <v>AZT</v>
      </c>
      <c r="E83" s="1659" t="str">
        <f>'Saisie données stocks'!G44</f>
        <v>Cp</v>
      </c>
      <c r="F83" s="1662" t="str">
        <f>'Saisie données stocks'!H44</f>
        <v>60 mg</v>
      </c>
      <c r="G83" s="89" t="str">
        <f>'Saisie données stocks'!I44</f>
        <v>Zidovudine</v>
      </c>
      <c r="H83" s="114">
        <f>'Saisie données stocks'!L44</f>
        <v>60</v>
      </c>
      <c r="I83" s="330"/>
      <c r="J83" s="3150">
        <f>IF(Quanti!$D$9="X", 'Calculs dispo Données FA'!N150, IF(Quanti!$D$10="X", 'Calculs dispo Données conso'!N152, "0"))</f>
        <v>0</v>
      </c>
      <c r="K83" s="3148">
        <f>IF(Quanti!$D$9="X", 'Calculs dispo Données FA'!O150, IF(Quanti!$D$10="X", 'Calculs dispo Données conso'!O152, "0"))</f>
        <v>0</v>
      </c>
      <c r="L83" s="3151">
        <f>Calculs!Q457</f>
        <v>0</v>
      </c>
      <c r="M83" s="1513">
        <f t="shared" si="2"/>
        <v>0</v>
      </c>
      <c r="N83" s="1514">
        <f t="shared" si="0"/>
        <v>0</v>
      </c>
      <c r="O83" s="2500">
        <f>IF(Quanti!$N$44="X", 'Prix 10-2011 GPRM $'!$O$131, IF(Quanti!$N$45="X", 'Prix 10-2011 GPRM $'!$Q$131, IF(Quanti!$N$46="X", 'Prix VPP 102012 convert'!$O$131, IF(Quanti!$N$47="X", 'Prix VPP 102012 convert'!$Q$131, IF(Quanti!$N$48="X",'Prix spécifiques'!J32,0)))))</f>
        <v>3.75</v>
      </c>
      <c r="P83" s="1515">
        <f t="shared" si="1"/>
        <v>0</v>
      </c>
    </row>
    <row r="84" spans="2:16" x14ac:dyDescent="0.2">
      <c r="B84" s="37"/>
      <c r="C84" s="98"/>
      <c r="D84" s="1669" t="str">
        <f>'Saisie données stocks'!F45</f>
        <v>D4T</v>
      </c>
      <c r="E84" s="1670" t="str">
        <f>'Saisie données stocks'!G45</f>
        <v>Cp</v>
      </c>
      <c r="F84" s="1671" t="str">
        <f>'Saisie données stocks'!H45</f>
        <v>30 mg</v>
      </c>
      <c r="G84" s="377" t="str">
        <f>'Saisie données stocks'!I45</f>
        <v>Stavudine</v>
      </c>
      <c r="H84" s="114">
        <f>'Saisie données stocks'!L45</f>
        <v>60</v>
      </c>
      <c r="I84" s="330"/>
      <c r="J84" s="3150">
        <f>IF(Quanti!$D$9="X", 'Calculs dispo Données FA'!N151, IF(Quanti!$D$10="X", 'Calculs dispo Données conso'!N153, "0"))</f>
        <v>0</v>
      </c>
      <c r="K84" s="3148">
        <f>IF(Quanti!$D$9="X", 'Calculs dispo Données FA'!O151, IF(Quanti!$D$10="X", 'Calculs dispo Données conso'!O153, "0"))</f>
        <v>0</v>
      </c>
      <c r="L84" s="3151">
        <f>Calculs!Q458</f>
        <v>0</v>
      </c>
      <c r="M84" s="1513">
        <f t="shared" si="2"/>
        <v>0</v>
      </c>
      <c r="N84" s="1514">
        <f t="shared" si="0"/>
        <v>0</v>
      </c>
      <c r="O84" s="2500">
        <f>IF(Quanti!$N$44="X", 'Prix 10-2011 GPRM $'!$O$39, IF(Quanti!$N$45="X", 'Prix 10-2011 GPRM $'!$Q$39, IF(Quanti!$N$46="X", 'Prix VPP 102012 convert'!$O$39, IF(Quanti!$N$47="X", 'Prix VPP 102012 convert'!$Q$39, IF(Quanti!$N$48="X",'Prix spécifiques'!J33,0)))))</f>
        <v>1.5649999999999999</v>
      </c>
      <c r="P84" s="1515">
        <f t="shared" si="1"/>
        <v>0</v>
      </c>
    </row>
    <row r="85" spans="2:16" x14ac:dyDescent="0.2">
      <c r="B85" s="37"/>
      <c r="C85" s="98"/>
      <c r="D85" s="1658" t="str">
        <f>'Saisie données stocks'!F46</f>
        <v>3TC</v>
      </c>
      <c r="E85" s="1659" t="str">
        <f>'Saisie données stocks'!G46</f>
        <v>Cp</v>
      </c>
      <c r="F85" s="1661" t="str">
        <f>'Saisie données stocks'!H46</f>
        <v>150 mg</v>
      </c>
      <c r="G85" s="89" t="str">
        <f>'Saisie données stocks'!I46</f>
        <v>Lamivudine</v>
      </c>
      <c r="H85" s="114">
        <f>'Saisie données stocks'!L46</f>
        <v>60</v>
      </c>
      <c r="I85" s="330"/>
      <c r="J85" s="3150">
        <f>IF(Quanti!$D$9="X", 'Calculs dispo Données FA'!N152, IF(Quanti!$D$10="X", 'Calculs dispo Données conso'!N154, "0"))</f>
        <v>0</v>
      </c>
      <c r="K85" s="3148">
        <f>IF(Quanti!$D$9="X", 'Calculs dispo Données FA'!O152, IF(Quanti!$D$10="X", 'Calculs dispo Données conso'!O154, "0"))</f>
        <v>0</v>
      </c>
      <c r="L85" s="3151">
        <f>Calculs!Q459</f>
        <v>0</v>
      </c>
      <c r="M85" s="1513">
        <f t="shared" si="2"/>
        <v>0</v>
      </c>
      <c r="N85" s="1514">
        <f t="shared" si="0"/>
        <v>0</v>
      </c>
      <c r="O85" s="2500">
        <f>IF(Quanti!$N$44="X", 'Prix 10-2011 GPRM $'!$O$40, IF(Quanti!$N$45="X", 'Prix 10-2011 GPRM $'!$Q$40, IF(Quanti!$N$46="X", 'Prix VPP 102012 convert'!$O$40, IF(Quanti!$N$47="X", 'Prix VPP 102012 convert'!$Q$40, IF(Quanti!$N$48="X",'Prix spécifiques'!J34,0)))))</f>
        <v>2.2650000000000001</v>
      </c>
      <c r="P85" s="1515">
        <f t="shared" si="1"/>
        <v>0</v>
      </c>
    </row>
    <row r="86" spans="2:16" x14ac:dyDescent="0.2">
      <c r="B86" s="37"/>
      <c r="C86" s="98"/>
      <c r="D86" s="1658" t="str">
        <f>'Saisie données stocks'!F47</f>
        <v>3TC</v>
      </c>
      <c r="E86" s="1659" t="str">
        <f>'Saisie données stocks'!G47</f>
        <v>Cp</v>
      </c>
      <c r="F86" s="1662" t="str">
        <f>'Saisie données stocks'!H47</f>
        <v>30 mg</v>
      </c>
      <c r="G86" s="89" t="str">
        <f>'Saisie données stocks'!I47</f>
        <v>Lamivudine</v>
      </c>
      <c r="H86" s="114">
        <f>'Saisie données stocks'!L47</f>
        <v>60</v>
      </c>
      <c r="I86" s="330"/>
      <c r="J86" s="3150">
        <f>IF(Quanti!$D$9="X", 'Calculs dispo Données FA'!N153, IF(Quanti!$D$10="X", 'Calculs dispo Données conso'!N155, "0"))</f>
        <v>0</v>
      </c>
      <c r="K86" s="3148">
        <f>IF(Quanti!$D$9="X", 'Calculs dispo Données FA'!O153, IF(Quanti!$D$10="X", 'Calculs dispo Données conso'!O155, "0"))</f>
        <v>0</v>
      </c>
      <c r="L86" s="3151">
        <f>Calculs!Q460</f>
        <v>0</v>
      </c>
      <c r="M86" s="1513">
        <f t="shared" si="2"/>
        <v>0</v>
      </c>
      <c r="N86" s="1514">
        <f t="shared" si="0"/>
        <v>0</v>
      </c>
      <c r="O86" s="2500">
        <f>IF(Quanti!$N$44="X", 'Prix 10-2011 GPRM $'!$O$132, IF(Quanti!$N$45="X", 'Prix 10-2011 GPRM $'!$Q$132, IF(Quanti!$N$46="X", 'Prix VPP 102012 convert'!$O$132, IF(Quanti!$N$47="X", 'Prix VPP 102012 convert'!$Q$132, IF(Quanti!$N$48="X",'Prix spécifiques'!J35,0)))))</f>
        <v>3.5342465753424657</v>
      </c>
      <c r="P86" s="1515">
        <f t="shared" si="1"/>
        <v>0</v>
      </c>
    </row>
    <row r="87" spans="2:16" x14ac:dyDescent="0.2">
      <c r="B87" s="37"/>
      <c r="C87" s="98"/>
      <c r="D87" s="1660" t="str">
        <f>'Saisie données stocks'!F48</f>
        <v>DDI</v>
      </c>
      <c r="E87" s="1661" t="str">
        <f>'Saisie données stocks'!G48</f>
        <v>Cp</v>
      </c>
      <c r="F87" s="1661" t="str">
        <f>'Saisie données stocks'!H48</f>
        <v>250 mg</v>
      </c>
      <c r="G87" s="1207" t="str">
        <f>'Saisie données stocks'!I48</f>
        <v>Didanosine</v>
      </c>
      <c r="H87" s="115">
        <f>'Saisie données stocks'!L48</f>
        <v>30</v>
      </c>
      <c r="I87" s="331"/>
      <c r="J87" s="3150">
        <f>IF(Quanti!$D$9="X", 'Calculs dispo Données FA'!N154, IF(Quanti!$D$10="X", 'Calculs dispo Données conso'!N156, "0"))</f>
        <v>0</v>
      </c>
      <c r="K87" s="3148">
        <f>IF(Quanti!$D$9="X", 'Calculs dispo Données FA'!O154, IF(Quanti!$D$10="X", 'Calculs dispo Données conso'!O156, "0"))</f>
        <v>0</v>
      </c>
      <c r="L87" s="3151">
        <f>Calculs!Q461</f>
        <v>0</v>
      </c>
      <c r="M87" s="1513">
        <f t="shared" si="2"/>
        <v>0</v>
      </c>
      <c r="N87" s="1514">
        <f t="shared" si="0"/>
        <v>0</v>
      </c>
      <c r="O87" s="2500">
        <f>IF(Quanti!$N$44="X", 'Prix 10-2011 GPRM $'!$O$50, IF(Quanti!$N$45="X", 'Prix 10-2011 GPRM $'!$Q$50, IF(Quanti!$N$46="X", 'Prix VPP 102012 convert'!$O$50, IF(Quanti!$N$47="X", 'Prix VPP 102012 convert'!$Q$50, IF(Quanti!$N$48="X",'Prix spécifiques'!J36,0)))))</f>
        <v>13.57</v>
      </c>
      <c r="P87" s="1515">
        <f t="shared" si="1"/>
        <v>0</v>
      </c>
    </row>
    <row r="88" spans="2:16" x14ac:dyDescent="0.2">
      <c r="B88" s="37"/>
      <c r="C88" s="98"/>
      <c r="D88" s="1660" t="str">
        <f>'Saisie données stocks'!F49</f>
        <v>DDI</v>
      </c>
      <c r="E88" s="1661" t="str">
        <f>'Saisie données stocks'!G49</f>
        <v>Cp</v>
      </c>
      <c r="F88" s="1666" t="str">
        <f>'Saisie données stocks'!H49</f>
        <v>400 mg</v>
      </c>
      <c r="G88" s="1637" t="str">
        <f>'Saisie données stocks'!I49</f>
        <v>Didanosine</v>
      </c>
      <c r="H88" s="117">
        <f>'Saisie données stocks'!L49</f>
        <v>30</v>
      </c>
      <c r="I88" s="334"/>
      <c r="J88" s="3150">
        <f>IF(Quanti!$D$9="X", 'Calculs dispo Données FA'!N155, IF(Quanti!$D$10="X", 'Calculs dispo Données conso'!N157, "0"))</f>
        <v>0</v>
      </c>
      <c r="K88" s="3148">
        <f>IF(Quanti!$D$9="X", 'Calculs dispo Données FA'!O155, IF(Quanti!$D$10="X", 'Calculs dispo Données conso'!O157, "0"))</f>
        <v>0</v>
      </c>
      <c r="L88" s="3151">
        <f>Calculs!Q462</f>
        <v>0</v>
      </c>
      <c r="M88" s="1513">
        <f t="shared" si="2"/>
        <v>0</v>
      </c>
      <c r="N88" s="1514">
        <f t="shared" si="0"/>
        <v>0</v>
      </c>
      <c r="O88" s="2500">
        <f>IF(Quanti!$N$44="X", 'Prix 10-2011 GPRM $'!$O$51, IF(Quanti!$N$45="X", 'Prix 10-2011 GPRM $'!$Q$51, IF(Quanti!$N$46="X", 'Prix VPP 102012 convert'!$O$51, IF(Quanti!$N$47="X", 'Prix VPP 102012 convert'!$Q$51, IF(Quanti!$N$48="X",'Prix spécifiques'!J37,0)))))</f>
        <v>20.990000000000002</v>
      </c>
      <c r="P88" s="1515">
        <f t="shared" si="1"/>
        <v>0</v>
      </c>
    </row>
    <row r="89" spans="2:16" x14ac:dyDescent="0.2">
      <c r="B89" s="100"/>
      <c r="C89" s="101"/>
      <c r="D89" s="1663" t="str">
        <f>'Saisie données stocks'!F50</f>
        <v>TDF</v>
      </c>
      <c r="E89" s="1664" t="str">
        <f>'Saisie données stocks'!G50</f>
        <v>Cp</v>
      </c>
      <c r="F89" s="1664" t="str">
        <f>'Saisie données stocks'!H50</f>
        <v>300 mg</v>
      </c>
      <c r="G89" s="1643" t="str">
        <f>'Saisie données stocks'!I50</f>
        <v>Tenofovir</v>
      </c>
      <c r="H89" s="116">
        <f>'Saisie données stocks'!L50</f>
        <v>30</v>
      </c>
      <c r="I89" s="333"/>
      <c r="J89" s="3150">
        <f>IF(Quanti!$D$9="X", 'Calculs dispo Données FA'!N156, IF(Quanti!$D$10="X", 'Calculs dispo Données conso'!N158, "0"))</f>
        <v>0</v>
      </c>
      <c r="K89" s="3148">
        <f>IF(Quanti!$D$9="X", 'Calculs dispo Données FA'!O156, IF(Quanti!$D$10="X", 'Calculs dispo Données conso'!O158, "0"))</f>
        <v>0</v>
      </c>
      <c r="L89" s="3151">
        <f>Calculs!Q463</f>
        <v>0</v>
      </c>
      <c r="M89" s="1513">
        <f t="shared" si="2"/>
        <v>0</v>
      </c>
      <c r="N89" s="1514">
        <f t="shared" si="0"/>
        <v>0</v>
      </c>
      <c r="O89" s="2500">
        <f>IF(Quanti!$N$44="X", 'Prix 10-2011 GPRM $'!$O$42, IF(Quanti!$N$45="X", 'Prix 10-2011 GPRM $'!$Q$42, IF(Quanti!$N$46="X", 'Prix VPP 102012 convert'!$O$42, IF(Quanti!$N$47="X", 'Prix VPP 102012 convert'!$Q$42, IF(Quanti!$N$48="X",'Prix spécifiques'!J38,0)))))</f>
        <v>10.5</v>
      </c>
      <c r="P89" s="1515">
        <f t="shared" si="1"/>
        <v>0</v>
      </c>
    </row>
    <row r="90" spans="2:16" ht="25.5" x14ac:dyDescent="0.2">
      <c r="B90" s="37"/>
      <c r="C90" s="98" t="str">
        <f>'Saisie données stocks'!$E$51</f>
        <v>IP</v>
      </c>
      <c r="D90" s="1658" t="str">
        <f>'Saisie données stocks'!F51</f>
        <v>LPV/r</v>
      </c>
      <c r="E90" s="1659" t="str">
        <f>'Saisie données stocks'!G51</f>
        <v>Cp</v>
      </c>
      <c r="F90" s="1659" t="str">
        <f>'Saisie données stocks'!H51</f>
        <v>200/50 mg</v>
      </c>
      <c r="G90" s="89" t="str">
        <f>'Saisie données stocks'!I51</f>
        <v>Lopinavir/ Ritonavir</v>
      </c>
      <c r="H90" s="114">
        <f>'Saisie données stocks'!L51</f>
        <v>120</v>
      </c>
      <c r="I90" s="330"/>
      <c r="J90" s="3150">
        <f>IF(Quanti!$D$9="X", 'Calculs dispo Données FA'!N157, IF(Quanti!$D$10="X", 'Calculs dispo Données conso'!N159, "0"))</f>
        <v>0</v>
      </c>
      <c r="K90" s="3148">
        <f>IF(Quanti!$D$9="X", 'Calculs dispo Données FA'!O157, IF(Quanti!$D$10="X", 'Calculs dispo Données conso'!O159, "0"))</f>
        <v>0</v>
      </c>
      <c r="L90" s="3151">
        <f>Calculs!Q464</f>
        <v>0</v>
      </c>
      <c r="M90" s="1513">
        <f t="shared" si="2"/>
        <v>0</v>
      </c>
      <c r="N90" s="1514">
        <f t="shared" si="0"/>
        <v>0</v>
      </c>
      <c r="O90" s="2500">
        <f>IF(Quanti!$N$44="X", 'Prix 10-2011 GPRM $'!$O$54, IF(Quanti!$N$45="X", 'Prix 10-2011 GPRM $'!$Q$54, IF(Quanti!$N$46="X", 'Prix VPP 102012 convert'!$O$54, IF(Quanti!$N$47="X", 'Prix VPP 102012 convert'!$Q$54, IF(Quanti!$N$48="X",'Prix spécifiques'!J39,0)))))</f>
        <v>29.645</v>
      </c>
      <c r="P90" s="1515">
        <f t="shared" si="1"/>
        <v>0</v>
      </c>
    </row>
    <row r="91" spans="2:16" ht="25.5" x14ac:dyDescent="0.2">
      <c r="B91" s="37"/>
      <c r="C91" s="98"/>
      <c r="D91" s="1672" t="str">
        <f>'Saisie données stocks'!F52</f>
        <v>LPV/r</v>
      </c>
      <c r="E91" s="1673" t="str">
        <f>'Saisie données stocks'!G52</f>
        <v>Cp coblister</v>
      </c>
      <c r="F91" s="1673" t="str">
        <f>'Saisie données stocks'!H52</f>
        <v>100/25 mg</v>
      </c>
      <c r="G91" s="1210" t="str">
        <f>'Saisie données stocks'!I52</f>
        <v>Lopinavir/ Ritonavir</v>
      </c>
      <c r="H91" s="537">
        <f>'Saisie données stocks'!L52</f>
        <v>60</v>
      </c>
      <c r="I91" s="506"/>
      <c r="J91" s="3150">
        <f>IF(Quanti!$D$9="X", 'Calculs dispo Données FA'!N158, IF(Quanti!$D$10="X", 'Calculs dispo Données conso'!N160, "0"))</f>
        <v>0</v>
      </c>
      <c r="K91" s="3148">
        <f>IF(Quanti!$D$9="X", 'Calculs dispo Données FA'!O158, IF(Quanti!$D$10="X", 'Calculs dispo Données conso'!O160, "0"))</f>
        <v>0</v>
      </c>
      <c r="L91" s="3151">
        <f>Calculs!Q465</f>
        <v>83</v>
      </c>
      <c r="M91" s="1513">
        <f t="shared" si="2"/>
        <v>0</v>
      </c>
      <c r="N91" s="1514">
        <f t="shared" si="0"/>
        <v>0</v>
      </c>
      <c r="O91" s="2500">
        <f>IF(Quanti!$N$44="X", 'Prix 10-2011 GPRM $'!$O$146, IF(Quanti!$N$45="X", 'Prix 10-2011 GPRM $'!$Q$146, IF(Quanti!$N$46="X", 'Prix VPP 102012 convert'!$O$146, IF(Quanti!$N$47="X", 'Prix VPP 102012 convert'!$Q$146, IF(Quanti!$N$48="X",'Prix spécifiques'!J40,0)))))</f>
        <v>7.2050000000000001</v>
      </c>
      <c r="P91" s="1515">
        <f t="shared" si="1"/>
        <v>0</v>
      </c>
    </row>
    <row r="92" spans="2:16" ht="25.5" x14ac:dyDescent="0.2">
      <c r="B92" s="37"/>
      <c r="C92" s="92"/>
      <c r="D92" s="1674" t="str">
        <f>'Saisie données stocks'!F53</f>
        <v>ATV/r</v>
      </c>
      <c r="E92" s="1675" t="str">
        <f>'Saisie données stocks'!G53</f>
        <v>Cp</v>
      </c>
      <c r="F92" s="1676" t="str">
        <f>'Saisie données stocks'!H53</f>
        <v>300/100 mg</v>
      </c>
      <c r="G92" s="1625" t="str">
        <f>'Saisie données stocks'!I53</f>
        <v>Atazanavir/ Ritonavir</v>
      </c>
      <c r="H92" s="512">
        <f>'Saisie données stocks'!L53</f>
        <v>30</v>
      </c>
      <c r="I92" s="334"/>
      <c r="J92" s="3150">
        <f>IF(Quanti!$D$9="X", 'Calculs dispo Données FA'!N159, IF(Quanti!$D$10="X", 'Calculs dispo Données conso'!N161, "0"))</f>
        <v>0</v>
      </c>
      <c r="K92" s="3148">
        <f>IF(Quanti!$D$9="X", 'Calculs dispo Données FA'!O159, IF(Quanti!$D$10="X", 'Calculs dispo Données conso'!O161, "0"))</f>
        <v>0</v>
      </c>
      <c r="L92" s="3151">
        <f>Calculs!Q466</f>
        <v>0</v>
      </c>
      <c r="M92" s="1513">
        <f t="shared" si="2"/>
        <v>0</v>
      </c>
      <c r="N92" s="1514">
        <f t="shared" si="0"/>
        <v>0</v>
      </c>
      <c r="O92" s="2500">
        <f>IF(Quanti!$N$44="X", 'Prix 10-2011 GPRM $'!$L$69, IF(Quanti!$N$45="X", 'Prix 10-2011 GPRM $'!$L$69, IF(Quanti!$N$46="X", 'Prix VPP 102012 convert'!$O$55, IF(Quanti!$N$47="X", 'Prix VPP 102012 convert'!$Q$55, IF(Quanti!$N$48="X",'Prix spécifiques'!J41,0)))))</f>
        <v>22.5</v>
      </c>
      <c r="P92" s="1515">
        <f t="shared" si="1"/>
        <v>0</v>
      </c>
    </row>
    <row r="93" spans="2:16" x14ac:dyDescent="0.2">
      <c r="B93" s="37"/>
      <c r="C93" s="92"/>
      <c r="D93" s="1677" t="str">
        <f>'Saisie données stocks'!F54</f>
        <v>FPV</v>
      </c>
      <c r="E93" s="1678" t="str">
        <f>'Saisie données stocks'!G54</f>
        <v>Cp</v>
      </c>
      <c r="F93" s="1678" t="str">
        <f>'Saisie données stocks'!H54</f>
        <v>700 mg</v>
      </c>
      <c r="G93" s="1625" t="str">
        <f>'Saisie données stocks'!I54</f>
        <v>Fosamprenavir</v>
      </c>
      <c r="H93" s="1388">
        <f>'Saisie données stocks'!L54</f>
        <v>60</v>
      </c>
      <c r="I93" s="1387"/>
      <c r="J93" s="3150">
        <f>IF(Quanti!$D$9="X", 'Calculs dispo Données FA'!N160, IF(Quanti!$D$10="X", 'Calculs dispo Données conso'!N162, "0"))</f>
        <v>0</v>
      </c>
      <c r="K93" s="3148">
        <f>IF(Quanti!$D$9="X", 'Calculs dispo Données FA'!O160, IF(Quanti!$D$10="X", 'Calculs dispo Données conso'!O162, "0"))</f>
        <v>0</v>
      </c>
      <c r="L93" s="3151">
        <f>Calculs!Q467</f>
        <v>0</v>
      </c>
      <c r="M93" s="1513">
        <f t="shared" si="2"/>
        <v>0</v>
      </c>
      <c r="N93" s="1514">
        <f t="shared" si="0"/>
        <v>0</v>
      </c>
      <c r="O93" s="2500">
        <f>IF(Quanti!$N$44="X", 'Prix 10-2011 GPRM $'!$O$61, IF(Quanti!$N$45="X", 'Prix 10-2011 GPRM $'!$Q$61, IF(Quanti!$N$46="X", 'Prix VPP 102012 convert'!$O$61, IF(Quanti!$N$47="X", 'Prix VPP 102012 convert'!$Q$61, IF(Quanti!$N$48="X",'Prix spécifiques'!J42,0)))))</f>
        <v>92.958904109589042</v>
      </c>
      <c r="P93" s="1515">
        <f t="shared" si="1"/>
        <v>0</v>
      </c>
    </row>
    <row r="94" spans="2:16" x14ac:dyDescent="0.2">
      <c r="B94" s="37"/>
      <c r="C94" s="92"/>
      <c r="D94" s="1665" t="str">
        <f>'Saisie données stocks'!F55</f>
        <v>IDV</v>
      </c>
      <c r="E94" s="1666" t="str">
        <f>'Saisie données stocks'!G55</f>
        <v>Gel</v>
      </c>
      <c r="F94" s="1666" t="str">
        <f>'Saisie données stocks'!H55</f>
        <v>400 mg</v>
      </c>
      <c r="G94" s="1637" t="str">
        <f>'Saisie données stocks'!I55</f>
        <v>Indinavir</v>
      </c>
      <c r="H94" s="117">
        <f>'Saisie données stocks'!L55</f>
        <v>180</v>
      </c>
      <c r="I94" s="334"/>
      <c r="J94" s="3150">
        <f>IF(Quanti!$D$9="X", 'Calculs dispo Données FA'!N161, IF(Quanti!$D$10="X", 'Calculs dispo Données conso'!N163, "0"))</f>
        <v>0</v>
      </c>
      <c r="K94" s="3148">
        <f>IF(Quanti!$D$9="X", 'Calculs dispo Données FA'!O161, IF(Quanti!$D$10="X", 'Calculs dispo Données conso'!O163, "0"))</f>
        <v>0</v>
      </c>
      <c r="L94" s="3151">
        <f>Calculs!Q468</f>
        <v>0</v>
      </c>
      <c r="M94" s="1513">
        <f t="shared" si="2"/>
        <v>0</v>
      </c>
      <c r="N94" s="1514">
        <f t="shared" si="0"/>
        <v>0</v>
      </c>
      <c r="O94" s="2500">
        <f>IF(Quanti!$N$44="X", 'Prix 10-2011 GPRM $'!$O$53, IF(Quanti!$N$45="X", 'Prix 10-2011 GPRM $'!$Q$53, IF(Quanti!$N$46="X", 'Prix VPP 102012 convert'!$O$53, IF(Quanti!$N$47="X", 'Prix VPP 102012 convert'!$Q$53, IF(Quanti!$N$48="X",'Prix spécifiques'!J43,0)))))</f>
        <v>50.054794520547951</v>
      </c>
      <c r="P94" s="1515">
        <f t="shared" si="1"/>
        <v>0</v>
      </c>
    </row>
    <row r="95" spans="2:16" x14ac:dyDescent="0.2">
      <c r="B95" s="37"/>
      <c r="C95" s="92"/>
      <c r="D95" s="1665" t="str">
        <f>'Saisie données stocks'!F56</f>
        <v>DRV</v>
      </c>
      <c r="E95" s="1666" t="str">
        <f>'Saisie données stocks'!G56</f>
        <v>Cp</v>
      </c>
      <c r="F95" s="1679" t="str">
        <f>'Saisie données stocks'!H56</f>
        <v>300 mg</v>
      </c>
      <c r="G95" s="1637" t="str">
        <f>'Saisie données stocks'!I56</f>
        <v>Darunavir</v>
      </c>
      <c r="H95" s="117">
        <f>'Saisie données stocks'!L56</f>
        <v>60</v>
      </c>
      <c r="I95" s="334"/>
      <c r="J95" s="3150">
        <f>IF(Quanti!$D$9="X", 'Calculs dispo Données FA'!N162, IF(Quanti!$D$10="X", 'Calculs dispo Données conso'!N164, "0"))</f>
        <v>0</v>
      </c>
      <c r="K95" s="3148">
        <f>IF(Quanti!$D$9="X", 'Calculs dispo Données FA'!O162, IF(Quanti!$D$10="X", 'Calculs dispo Données conso'!O164, "0"))</f>
        <v>0</v>
      </c>
      <c r="L95" s="3151">
        <f>Calculs!Q469</f>
        <v>0</v>
      </c>
      <c r="M95" s="1513">
        <f t="shared" si="2"/>
        <v>0</v>
      </c>
      <c r="N95" s="1514">
        <f t="shared" si="0"/>
        <v>0</v>
      </c>
      <c r="O95" s="2500">
        <f>IF(Quanti!$N$44="X", 'Prix 10-2011 GPRM $'!$O$62, IF(Quanti!$N$45="X", 'Prix 10-2011 GPRM $'!$Q$62, IF(Quanti!$N$46="X", 'Prix VPP 102012 convert'!$O$62, IF(Quanti!$N$47="X", 'Prix VPP 102012 convert'!$Q$62, IF(Quanti!$N$48="X",'Prix spécifiques'!J44,0)))))</f>
        <v>93.041095890410958</v>
      </c>
      <c r="P95" s="1515">
        <f t="shared" si="1"/>
        <v>0</v>
      </c>
    </row>
    <row r="96" spans="2:16" x14ac:dyDescent="0.2">
      <c r="B96" s="37"/>
      <c r="C96" s="92"/>
      <c r="D96" s="1665" t="str">
        <f>'Saisie données stocks'!F57</f>
        <v>SQV</v>
      </c>
      <c r="E96" s="1666" t="str">
        <f>'Saisie données stocks'!G57</f>
        <v>Cp</v>
      </c>
      <c r="F96" s="1666" t="str">
        <f>'Saisie données stocks'!H57</f>
        <v>500 mg</v>
      </c>
      <c r="G96" s="1637" t="str">
        <f>'Saisie données stocks'!I57</f>
        <v>Saquinavir</v>
      </c>
      <c r="H96" s="117">
        <f>'Saisie données stocks'!L57</f>
        <v>120</v>
      </c>
      <c r="I96" s="334"/>
      <c r="J96" s="3150">
        <f>IF(Quanti!$D$9="X", 'Calculs dispo Données FA'!N163, IF(Quanti!$D$10="X", 'Calculs dispo Données conso'!N165, "0"))</f>
        <v>0</v>
      </c>
      <c r="K96" s="3148">
        <f>IF(Quanti!$D$9="X", 'Calculs dispo Données FA'!O163, IF(Quanti!$D$10="X", 'Calculs dispo Données conso'!O165, "0"))</f>
        <v>0</v>
      </c>
      <c r="L96" s="3151">
        <f>Calculs!Q470</f>
        <v>0</v>
      </c>
      <c r="M96" s="1513">
        <f t="shared" si="2"/>
        <v>0</v>
      </c>
      <c r="N96" s="1514">
        <f t="shared" si="0"/>
        <v>0</v>
      </c>
      <c r="O96" s="2500">
        <f>IF(Quanti!$N$44="X", 'Prix 10-2011 GPRM $'!$O$58, IF(Quanti!$N$45="X", 'Prix 10-2011 GPRM $'!$Q$58, IF(Quanti!$N$46="X", 'Prix VPP 102012 convert'!$O$58, IF(Quanti!$N$47="X", 'Prix VPP 102012 convert'!$Q$58, IF(Quanti!$N$48="X",'Prix spécifiques'!J45,0)))))</f>
        <v>103.56164383561644</v>
      </c>
      <c r="P96" s="1515">
        <f t="shared" si="1"/>
        <v>0</v>
      </c>
    </row>
    <row r="97" spans="2:16" x14ac:dyDescent="0.2">
      <c r="B97" s="100"/>
      <c r="C97" s="101"/>
      <c r="D97" s="1663" t="str">
        <f>'Saisie données stocks'!F58</f>
        <v>RTV</v>
      </c>
      <c r="E97" s="1664" t="str">
        <f>'Saisie données stocks'!G58</f>
        <v>Caps</v>
      </c>
      <c r="F97" s="1664" t="str">
        <f>'Saisie données stocks'!H58</f>
        <v>100 mg</v>
      </c>
      <c r="G97" s="1643" t="str">
        <f>'Saisie données stocks'!I58</f>
        <v>Ritonavir</v>
      </c>
      <c r="H97" s="116">
        <f>'Saisie données stocks'!L58</f>
        <v>84</v>
      </c>
      <c r="I97" s="333"/>
      <c r="J97" s="3150">
        <f>IF(Quanti!$D$9="X", 'Calculs dispo Données FA'!N164, IF(Quanti!$D$10="X", 'Calculs dispo Données conso'!N166, "0"))</f>
        <v>0</v>
      </c>
      <c r="K97" s="3148">
        <f>IF(Quanti!$D$9="X", 'Calculs dispo Données FA'!O164, IF(Quanti!$D$10="X", 'Calculs dispo Données conso'!O166, "0"))</f>
        <v>0</v>
      </c>
      <c r="L97" s="3151">
        <f>Calculs!Q471</f>
        <v>0</v>
      </c>
      <c r="M97" s="1513">
        <f t="shared" si="2"/>
        <v>0</v>
      </c>
      <c r="N97" s="1514">
        <f t="shared" si="0"/>
        <v>0</v>
      </c>
      <c r="O97" s="2500">
        <f>IF(Quanti!$N$44="X", 'Prix 10-2011 GPRM $'!$O$57, IF(Quanti!$N$45="X", 'Prix 10-2011 GPRM $'!$Q$57, IF(Quanti!$N$46="X", 'Prix VPP 102012 convert'!$O$57, IF(Quanti!$N$47="X", 'Prix VPP 102012 convert'!$Q$57, IF(Quanti!$N$48="X",'Prix spécifiques'!J46,0)))))</f>
        <v>5.35</v>
      </c>
      <c r="P97" s="1515">
        <f t="shared" si="1"/>
        <v>0</v>
      </c>
    </row>
    <row r="98" spans="2:16" ht="13.5" thickBot="1" x14ac:dyDescent="0.25">
      <c r="B98" s="519"/>
      <c r="C98" s="520" t="str">
        <f>'Saisie données stocks'!$E$59</f>
        <v>Inh Integrase</v>
      </c>
      <c r="D98" s="1680" t="str">
        <f>'Saisie données stocks'!F59</f>
        <v>RLT = RAL</v>
      </c>
      <c r="E98" s="1681" t="str">
        <f>'Saisie données stocks'!G59</f>
        <v>Cp</v>
      </c>
      <c r="F98" s="1681" t="str">
        <f>'Saisie données stocks'!H59</f>
        <v>400 mg</v>
      </c>
      <c r="G98" s="1644" t="str">
        <f>'Saisie données stocks'!I59</f>
        <v>Raltegravir</v>
      </c>
      <c r="H98" s="517">
        <f>'Saisie données stocks'!L59</f>
        <v>60</v>
      </c>
      <c r="I98" s="521"/>
      <c r="J98" s="3162">
        <f>IF(Quanti!$D$9="X", 'Calculs dispo Données FA'!N165, IF(Quanti!$D$10="X", 'Calculs dispo Données conso'!N167, "0"))</f>
        <v>0</v>
      </c>
      <c r="K98" s="3163">
        <f>IF(Quanti!$D$9="X", 'Calculs dispo Données FA'!O165, IF(Quanti!$D$10="X", 'Calculs dispo Données conso'!O167, "0"))</f>
        <v>0</v>
      </c>
      <c r="L98" s="3151">
        <f>Calculs!Q472</f>
        <v>0</v>
      </c>
      <c r="M98" s="1513">
        <f t="shared" si="2"/>
        <v>0</v>
      </c>
      <c r="N98" s="1514">
        <f t="shared" si="0"/>
        <v>0</v>
      </c>
      <c r="O98" s="2500">
        <f>IF(Quanti!$N$44="X", 'Prix 10-2011 GPRM $'!$O$63, IF(Quanti!$N$45="X", 'Prix 10-2011 GPRM $'!$Q$63, IF(Quanti!$N$46="X", 'Prix VPP 102012 convert'!$O$63, IF(Quanti!$N$47="X", 'Prix VPP 102012 convert'!$Q$63, IF(Quanti!$N$48="X",'Prix spécifiques'!J47,0)))))</f>
        <v>183.04109589041096</v>
      </c>
      <c r="P98" s="1515">
        <f t="shared" si="1"/>
        <v>0</v>
      </c>
    </row>
    <row r="99" spans="2:16" ht="115.5" thickBot="1" x14ac:dyDescent="0.25">
      <c r="B99" s="2496" t="str">
        <f>'TRAD-Quanti et TdB Péremptions'!B37</f>
        <v>Forme</v>
      </c>
      <c r="C99" s="2497" t="str">
        <f>'TRAD-Quanti et TdB Péremptions'!$B$38</f>
        <v>Classe pharmaco</v>
      </c>
      <c r="D99" s="364" t="str">
        <f>'TRAD-Quanti et TdB Péremptions'!B39</f>
        <v>Composition</v>
      </c>
      <c r="E99" s="365" t="str">
        <f>'TRAD-Quanti et TdB Péremptions'!B40</f>
        <v>Forme galénique</v>
      </c>
      <c r="F99" s="365" t="s">
        <v>14</v>
      </c>
      <c r="G99" s="33" t="str">
        <f>'TRAD-Quanti et TdB Péremptions'!B42</f>
        <v>DCI</v>
      </c>
      <c r="H99" s="365" t="str">
        <f>'TRAD-Quanti et TdB Péremptions'!B50</f>
        <v>Volume conditionnement primaire (mL)</v>
      </c>
      <c r="I99" s="327" t="str">
        <f>'TRAD-Quanti et TdB Péremptions'!B51</f>
        <v>Conditionement secondaire</v>
      </c>
      <c r="J99" s="364" t="str">
        <f>'TRAD-quanti trimestre'!$B$13</f>
        <v>Besoins mensuels patients suivis</v>
      </c>
      <c r="K99" s="424" t="str">
        <f>'TRAD-quanti trimestre'!$B$14</f>
        <v>Besoins mensuels nouveaux patients</v>
      </c>
      <c r="L99" s="3139" t="str">
        <f>'TRAD-Quanti et TdB Péremptions'!B44</f>
        <v>Quantités en stock central, périph et commandes en cours (nb de boites) au début de la période quantifiée [1]</v>
      </c>
      <c r="M99" s="364" t="str">
        <f>'TRAD-Quanti et TdB Péremptions'!B45</f>
        <v>Besoins bruts sur période (nb de boites)</v>
      </c>
      <c r="N99" s="365" t="str">
        <f>'TRAD-Quanti et TdB Péremptions'!B46</f>
        <v>Besoins nets sur la période (nb de cdt)</v>
      </c>
      <c r="O99" s="327" t="str">
        <f>CONCATENATE('TRAD-Quanti et TdB Péremptions'!B47," source: ", IF(N44="X", CONCATENATE(M44," - ",O44),IF(N45="X",CONCATENATE(M44," - ",O45),IF(N46="X",CONCATENATE(M46," - ",O46),IF(N47="X",CONCATENATE(M46," - ",O47),"")))))</f>
        <v>Prix (US$) EXW / boite source: Prix VPP - Prix moyen</v>
      </c>
      <c r="P99" s="346" t="str">
        <f>'TRAD-Quanti et TdB Péremptions'!B48</f>
        <v>Montant (US$) EXW</v>
      </c>
    </row>
    <row r="100" spans="2:16" x14ac:dyDescent="0.2">
      <c r="B100" s="1509" t="str">
        <f>'TRAD-Quanti et TdB Péremptions'!$B$56</f>
        <v>Solutions buvables</v>
      </c>
      <c r="C100" s="367" t="str">
        <f>'Saisie données stocks'!$E$61</f>
        <v>INTI</v>
      </c>
      <c r="D100" s="368" t="str">
        <f>'Saisie données stocks'!F61</f>
        <v>AZT</v>
      </c>
      <c r="E100" s="369" t="str">
        <f>'Saisie données stocks'!G61</f>
        <v>Sol buv</v>
      </c>
      <c r="F100" s="369" t="str">
        <f>'Saisie données stocks'!H61</f>
        <v>10 mg/mL</v>
      </c>
      <c r="G100" s="369" t="str">
        <f>'Saisie données stocks'!I61</f>
        <v>Zidovudine</v>
      </c>
      <c r="H100" s="482">
        <f>'Saisie données stocks'!L61</f>
        <v>240</v>
      </c>
      <c r="I100" s="482">
        <f>'Saisie données stocks'!M61</f>
        <v>1</v>
      </c>
      <c r="J100" s="3152">
        <f>IF(Quanti!$D$9="X", 'Calculs dispo Données FA'!N167, IF(Quanti!$D$10="X", 'Calculs dispo Données conso'!N169, "0"))</f>
        <v>0</v>
      </c>
      <c r="K100" s="3153">
        <f>IF(Quanti!$D$9="X", 'Calculs dispo Données FA'!O167, IF(Quanti!$D$10="X", 'Calculs dispo Données conso'!O169, "0"))</f>
        <v>0</v>
      </c>
      <c r="L100" s="3154">
        <f>Calculs!Q474</f>
        <v>0</v>
      </c>
      <c r="M100" s="1513">
        <f t="shared" si="2"/>
        <v>0</v>
      </c>
      <c r="N100" s="1514">
        <f t="shared" si="0"/>
        <v>0</v>
      </c>
      <c r="O100" s="2500">
        <f>IF(Quanti!$N$44="X", 'Prix 10-2011 GPRM $'!$L$91, IF(Quanti!$N$45="X", 'Prix 10-2011 GPRM $'!$N$91, IF(Quanti!$N$46="X", 'Prix VPP 102012 convert'!$L$91, IF(Quanti!$N$47="X", 'Prix VPP 102012 convert'!$N$91, IF(Quanti!$N$48="X",'Prix spécifiques'!I49,0)))))*H100</f>
        <v>2.25</v>
      </c>
      <c r="P100" s="1515">
        <f t="shared" ref="P100:P107" si="3">N100*O100</f>
        <v>0</v>
      </c>
    </row>
    <row r="101" spans="2:16" x14ac:dyDescent="0.2">
      <c r="B101" s="374"/>
      <c r="C101" s="375"/>
      <c r="D101" s="376" t="str">
        <f>'Saisie données stocks'!F62</f>
        <v>D4T</v>
      </c>
      <c r="E101" s="377" t="str">
        <f>'Saisie données stocks'!G62</f>
        <v>Sol buv</v>
      </c>
      <c r="F101" s="377" t="str">
        <f>'Saisie données stocks'!H62</f>
        <v>10 mg/mL</v>
      </c>
      <c r="G101" s="377" t="str">
        <f>'Saisie données stocks'!I62</f>
        <v>Stavudine</v>
      </c>
      <c r="H101" s="483">
        <f>'Saisie données stocks'!L62</f>
        <v>240</v>
      </c>
      <c r="I101" s="1410">
        <f>'Saisie données stocks'!M62</f>
        <v>1</v>
      </c>
      <c r="J101" s="3152">
        <f>IF(Quanti!$D$9="X", 'Calculs dispo Données FA'!N168, IF(Quanti!$D$10="X", 'Calculs dispo Données conso'!N170, "0"))</f>
        <v>0</v>
      </c>
      <c r="K101" s="3153">
        <f>IF(Quanti!$D$9="X", 'Calculs dispo Données FA'!O168, IF(Quanti!$D$10="X", 'Calculs dispo Données conso'!O170, "0"))</f>
        <v>0</v>
      </c>
      <c r="L101" s="3154">
        <f>Calculs!Q475</f>
        <v>0</v>
      </c>
      <c r="M101" s="1513">
        <f t="shared" si="2"/>
        <v>0</v>
      </c>
      <c r="N101" s="1514">
        <f t="shared" si="0"/>
        <v>0</v>
      </c>
      <c r="O101" s="2500">
        <f>IF(Quanti!$N$44="X", 'Prix 10-2011 GPRM $'!$L$92, IF(Quanti!$N$45="X", 'Prix 10-2011 GPRM $'!$N$92, IF(Quanti!$N$46="X", 'Prix VPP 102012 convert'!$L$92, IF(Quanti!$N$47="X", 'Prix VPP 102012 convert'!$N$92, IF(Quanti!$N$48="X",'Prix spécifiques'!I50,0)))))*H101</f>
        <v>1.65</v>
      </c>
      <c r="P101" s="1515">
        <f t="shared" si="3"/>
        <v>0</v>
      </c>
    </row>
    <row r="102" spans="2:16" x14ac:dyDescent="0.2">
      <c r="B102" s="374"/>
      <c r="C102" s="375"/>
      <c r="D102" s="1516" t="str">
        <f>'Saisie données stocks'!F63</f>
        <v>3TC</v>
      </c>
      <c r="E102" s="1208" t="str">
        <f>'Saisie données stocks'!G63</f>
        <v>Sol buv</v>
      </c>
      <c r="F102" s="1208" t="str">
        <f>'Saisie données stocks'!H63</f>
        <v>10 mg/mL</v>
      </c>
      <c r="G102" s="1208" t="str">
        <f>'Saisie données stocks'!I63</f>
        <v>Lamivudine</v>
      </c>
      <c r="H102" s="1411">
        <f>'Saisie données stocks'!L63</f>
        <v>240</v>
      </c>
      <c r="I102" s="1412">
        <f>'Saisie données stocks'!M63</f>
        <v>1</v>
      </c>
      <c r="J102" s="3152">
        <f>IF(Quanti!$D$9="X", 'Calculs dispo Données FA'!N169, IF(Quanti!$D$10="X", 'Calculs dispo Données conso'!N171, "0"))</f>
        <v>0</v>
      </c>
      <c r="K102" s="3153">
        <f>IF(Quanti!$D$9="X", 'Calculs dispo Données FA'!O169, IF(Quanti!$D$10="X", 'Calculs dispo Données conso'!O171, "0"))</f>
        <v>0</v>
      </c>
      <c r="L102" s="3154">
        <f>Calculs!Q476</f>
        <v>0</v>
      </c>
      <c r="M102" s="1513">
        <f t="shared" si="2"/>
        <v>0</v>
      </c>
      <c r="N102" s="1514">
        <f t="shared" si="0"/>
        <v>0</v>
      </c>
      <c r="O102" s="2500">
        <f>IF(Quanti!$N$44="X", 'Prix 10-2011 GPRM $'!$L$93, IF(Quanti!$N$45="X", 'Prix 10-2011 GPRM $'!$N$93,IF(Quanti!$N$46="X", 'Prix VPP 102012 convert'!$L$93, IF(Quanti!$N$47="X", 'Prix VPP 102012 convert'!$N$93, IF(Quanti!$N$48="X",'Prix spécifiques'!I51,0)))))*H102</f>
        <v>2.16</v>
      </c>
      <c r="P102" s="1515">
        <f t="shared" si="3"/>
        <v>0</v>
      </c>
    </row>
    <row r="103" spans="2:16" x14ac:dyDescent="0.2">
      <c r="B103" s="374"/>
      <c r="C103" s="407"/>
      <c r="D103" s="376" t="str">
        <f>'Saisie données stocks'!F64</f>
        <v>ABC</v>
      </c>
      <c r="E103" s="377" t="str">
        <f>'Saisie données stocks'!G64</f>
        <v>Sol buv</v>
      </c>
      <c r="F103" s="377" t="str">
        <f>'Saisie données stocks'!H64</f>
        <v>20 mg/mL</v>
      </c>
      <c r="G103" s="377" t="str">
        <f>'Saisie données stocks'!I64</f>
        <v>Abacavir</v>
      </c>
      <c r="H103" s="483">
        <f>'Saisie données stocks'!L64</f>
        <v>240</v>
      </c>
      <c r="I103" s="1410">
        <f>'Saisie données stocks'!M64</f>
        <v>1</v>
      </c>
      <c r="J103" s="3152">
        <f>IF(Quanti!$D$9="X", 'Calculs dispo Données FA'!N170, IF(Quanti!$D$10="X", 'Calculs dispo Données conso'!N172, "0"))</f>
        <v>0</v>
      </c>
      <c r="K103" s="3153">
        <f>IF(Quanti!$D$9="X", 'Calculs dispo Données FA'!O170, IF(Quanti!$D$10="X", 'Calculs dispo Données conso'!O172, "0"))</f>
        <v>0</v>
      </c>
      <c r="L103" s="3154">
        <f>Calculs!Q477</f>
        <v>0</v>
      </c>
      <c r="M103" s="1513">
        <f t="shared" si="2"/>
        <v>0</v>
      </c>
      <c r="N103" s="1514">
        <f t="shared" si="0"/>
        <v>0</v>
      </c>
      <c r="O103" s="2500">
        <f>IF(Quanti!$N$44="X", 'Prix 10-2011 GPRM $'!$L$98, IF(Quanti!$N$45="X", 'Prix 10-2011 GPRM $'!$N$98, IF(Quanti!$N$46="X", 'Prix VPP 102012 convert'!$L$98, IF(Quanti!$N$47="X", 'Prix VPP 102012 convert'!$N$98, IF(Quanti!$N$48="X",'Prix spécifiques'!I52,0)))))*H103</f>
        <v>9.75</v>
      </c>
      <c r="P103" s="1515">
        <f t="shared" si="3"/>
        <v>0</v>
      </c>
    </row>
    <row r="104" spans="2:16" ht="25.5" x14ac:dyDescent="0.2">
      <c r="B104" s="374"/>
      <c r="C104" s="389"/>
      <c r="D104" s="1518" t="str">
        <f>'Saisie données stocks'!F65</f>
        <v>DDI</v>
      </c>
      <c r="E104" s="1519" t="str">
        <f>'Saisie données stocks'!G65</f>
        <v>Poudre buvable</v>
      </c>
      <c r="F104" s="1519" t="str">
        <f>'Saisie données stocks'!H65</f>
        <v>2 g</v>
      </c>
      <c r="G104" s="1519" t="str">
        <f>'Saisie données stocks'!I65</f>
        <v>Didanosine</v>
      </c>
      <c r="H104" s="1413">
        <f>'Saisie données stocks'!L65</f>
        <v>200</v>
      </c>
      <c r="I104" s="1414">
        <f>'Saisie données stocks'!M65</f>
        <v>1</v>
      </c>
      <c r="J104" s="3152">
        <f>IF(Quanti!$D$9="X", 'Calculs dispo Données FA'!N171, IF(Quanti!$D$10="X", 'Calculs dispo Données conso'!N173, "0"))</f>
        <v>0</v>
      </c>
      <c r="K104" s="3153">
        <f>IF(Quanti!$D$9="X", 'Calculs dispo Données FA'!O171, IF(Quanti!$D$10="X", 'Calculs dispo Données conso'!O173, "0"))</f>
        <v>0</v>
      </c>
      <c r="L104" s="3154">
        <f>Calculs!Q478</f>
        <v>0</v>
      </c>
      <c r="M104" s="1513">
        <f t="shared" si="2"/>
        <v>0</v>
      </c>
      <c r="N104" s="1514">
        <f t="shared" si="0"/>
        <v>0</v>
      </c>
      <c r="O104" s="2500">
        <f>IF(Quanti!$N$44="X", 'Prix 10-2011 GPRM $'!$L$100, IF(Quanti!$N$45="X", 'Prix 10-2011 GPRM $'!$N$100,IF(Quanti!$N$46="X", 'Prix VPP 102012 convert'!$L$100, IF(Quanti!$N$47="X", 'Prix VPP 102012 convert'!$N$100, IF(Quanti!$N$48="X",'Prix spécifiques'!I53,0)))))*H104</f>
        <v>21.36986301369863</v>
      </c>
      <c r="P104" s="1515">
        <f t="shared" si="3"/>
        <v>0</v>
      </c>
    </row>
    <row r="105" spans="2:16" x14ac:dyDescent="0.2">
      <c r="B105" s="374"/>
      <c r="C105" s="375" t="str">
        <f>'Saisie données stocks'!$E$66</f>
        <v>INNTI</v>
      </c>
      <c r="D105" s="376" t="str">
        <f>'Saisie données stocks'!F66</f>
        <v>NVP</v>
      </c>
      <c r="E105" s="377" t="str">
        <f>'Saisie données stocks'!G66</f>
        <v>Sol buv</v>
      </c>
      <c r="F105" s="377" t="str">
        <f>'Saisie données stocks'!H66</f>
        <v>10 mg/mL</v>
      </c>
      <c r="G105" s="377" t="str">
        <f>'Saisie données stocks'!I66</f>
        <v>Nevirapine</v>
      </c>
      <c r="H105" s="483">
        <f>'Saisie données stocks'!L66</f>
        <v>240</v>
      </c>
      <c r="I105" s="1410">
        <f>'Saisie données stocks'!M66</f>
        <v>1</v>
      </c>
      <c r="J105" s="3152">
        <f>IF(Quanti!$D$9="X", 'Calculs dispo Données FA'!N172, IF(Quanti!$D$10="X", 'Calculs dispo Données conso'!N174, "0"))</f>
        <v>0</v>
      </c>
      <c r="K105" s="3153">
        <f>IF(Quanti!$D$9="X", 'Calculs dispo Données FA'!O172, IF(Quanti!$D$10="X", 'Calculs dispo Données conso'!O174, "0"))</f>
        <v>0</v>
      </c>
      <c r="L105" s="3154">
        <f>Calculs!Q479</f>
        <v>0</v>
      </c>
      <c r="M105" s="1513">
        <f t="shared" si="2"/>
        <v>0</v>
      </c>
      <c r="N105" s="1514">
        <f t="shared" si="0"/>
        <v>0</v>
      </c>
      <c r="O105" s="2500">
        <f>IF(Quanti!$N$44="X", 'Prix 10-2011 GPRM $'!$L$97, IF(Quanti!$N$45="X", 'Prix 10-2011 GPRM $'!$N$97, IF(Quanti!$N$46="X", 'Prix VPP 102012 convert'!$L$97, IF(Quanti!$N$47="X", 'Prix VPP 102012 convert'!$N$97, IF(Quanti!$N$48="X",'Prix spécifiques'!I54,0)))))*H105</f>
        <v>1.9500000000000002</v>
      </c>
      <c r="P105" s="1515">
        <f t="shared" si="3"/>
        <v>0</v>
      </c>
    </row>
    <row r="106" spans="2:16" x14ac:dyDescent="0.2">
      <c r="B106" s="374"/>
      <c r="C106" s="389"/>
      <c r="D106" s="1518" t="str">
        <f>'Saisie données stocks'!F67</f>
        <v>EFV</v>
      </c>
      <c r="E106" s="1519" t="str">
        <f>'Saisie données stocks'!G67</f>
        <v>Sol buv</v>
      </c>
      <c r="F106" s="1519" t="str">
        <f>'Saisie données stocks'!H67</f>
        <v>30 mg/mL</v>
      </c>
      <c r="G106" s="1519" t="str">
        <f>'Saisie données stocks'!I67</f>
        <v>Efavirenz</v>
      </c>
      <c r="H106" s="1413">
        <f>'Saisie données stocks'!L67</f>
        <v>180</v>
      </c>
      <c r="I106" s="1414">
        <f>'Saisie données stocks'!M67</f>
        <v>1</v>
      </c>
      <c r="J106" s="3152">
        <f>IF(Quanti!$D$9="X", 'Calculs dispo Données FA'!N173, IF(Quanti!$D$10="X", 'Calculs dispo Données conso'!N175, "0"))</f>
        <v>0</v>
      </c>
      <c r="K106" s="3153">
        <f>IF(Quanti!$D$9="X", 'Calculs dispo Données FA'!O173, IF(Quanti!$D$10="X", 'Calculs dispo Données conso'!O175, "0"))</f>
        <v>0</v>
      </c>
      <c r="L106" s="3154">
        <f>Calculs!Q480</f>
        <v>0</v>
      </c>
      <c r="M106" s="1513">
        <f t="shared" si="2"/>
        <v>0</v>
      </c>
      <c r="N106" s="1514">
        <f t="shared" si="0"/>
        <v>0</v>
      </c>
      <c r="O106" s="2500">
        <f>IF(Quanti!$N$44="X", 'Prix 10-2011 GPRM $'!$L$95, IF(Quanti!$N$45="X", 'Prix 10-2011 GPRM $'!$N$95, IF(Quanti!$N$46="X", 'Prix VPP 102012 convert'!$L$95, IF(Quanti!$N$47="X", 'Prix VPP 102012 convert'!$N$95, IF(Quanti!$N$48="X",'Prix spécifiques'!I55,0)))))*H106</f>
        <v>16.994731296101161</v>
      </c>
      <c r="P106" s="1515">
        <f t="shared" si="3"/>
        <v>0</v>
      </c>
    </row>
    <row r="107" spans="2:16" ht="26.25" thickBot="1" x14ac:dyDescent="0.25">
      <c r="B107" s="404"/>
      <c r="C107" s="408" t="str">
        <f>'Saisie données stocks'!$E$68</f>
        <v>IP</v>
      </c>
      <c r="D107" s="409" t="str">
        <f>'Saisie données stocks'!F68</f>
        <v>LPV/r</v>
      </c>
      <c r="E107" s="410" t="str">
        <f>'Saisie données stocks'!G68</f>
        <v>Sol buv</v>
      </c>
      <c r="F107" s="410" t="str">
        <f>'Saisie données stocks'!H68</f>
        <v>80/20 mg/mL</v>
      </c>
      <c r="G107" s="410" t="str">
        <f>'Saisie données stocks'!I68</f>
        <v>Lopinavir/Ritonavir</v>
      </c>
      <c r="H107" s="486">
        <f>'Saisie données stocks'!L68</f>
        <v>60</v>
      </c>
      <c r="I107" s="1415">
        <f>'Saisie données stocks'!M68</f>
        <v>4</v>
      </c>
      <c r="J107" s="3155">
        <f>IF(Quanti!$D$9="X", 'Calculs dispo Données FA'!N174, IF(Quanti!$D$10="X", 'Calculs dispo Données conso'!N176, "0"))</f>
        <v>0</v>
      </c>
      <c r="K107" s="3156">
        <f>IF(Quanti!$D$9="X", 'Calculs dispo Données FA'!O174, IF(Quanti!$D$10="X", 'Calculs dispo Données conso'!O176, "0"))</f>
        <v>0</v>
      </c>
      <c r="L107" s="3157">
        <f>Calculs!Q481</f>
        <v>2168</v>
      </c>
      <c r="M107" s="1513">
        <f t="shared" si="2"/>
        <v>0</v>
      </c>
      <c r="N107" s="1521">
        <f t="shared" si="0"/>
        <v>0</v>
      </c>
      <c r="O107" s="2501">
        <f>IF(Quanti!$N$44="X", 'Prix 10-2011 GPRM $'!$L$102, IF(Quanti!$N$45="X", 'Prix 10-2011 GPRM $'!$N$102, IF(Quanti!$N$46="X", 'Prix VPP 102012 convert'!$L$102, IF(Quanti!$N$47="X", 'Prix VPP 102012 convert'!$N$102, IF(Quanti!$N$48="X",'Prix spécifiques'!I56,0)))))*H107</f>
        <v>6.1639999999999997</v>
      </c>
      <c r="P107" s="1684">
        <f t="shared" si="3"/>
        <v>0</v>
      </c>
    </row>
    <row r="108" spans="2:16" x14ac:dyDescent="0.2">
      <c r="M108" s="1522"/>
      <c r="N108" s="1523"/>
      <c r="O108" s="1524" t="s">
        <v>5</v>
      </c>
      <c r="P108" s="1525">
        <f>SUM(P58:P107)</f>
        <v>0</v>
      </c>
    </row>
    <row r="109" spans="2:16" x14ac:dyDescent="0.2">
      <c r="M109" s="1526"/>
      <c r="N109" s="1527"/>
      <c r="O109" s="1528" t="str">
        <f>'TRAD-Quanti et TdB Péremptions'!B53</f>
        <v>+ frais de transport,assurance, handling (prix CIP)</v>
      </c>
      <c r="P109" s="1529">
        <f>IF(ISBLANK(N49), P108, P108*(1+N49))</f>
        <v>0</v>
      </c>
    </row>
    <row r="110" spans="2:16" ht="13.5" thickBot="1" x14ac:dyDescent="0.25">
      <c r="M110" s="1530"/>
      <c r="N110" s="1531"/>
      <c r="O110" s="1532" t="str">
        <f>'TRAD-Quanti et TdB Péremptions'!B54</f>
        <v>+ frais de gestion</v>
      </c>
      <c r="P110" s="1533">
        <f>IF(ISBLANK(N50), P109, P109*(1+N50))</f>
        <v>0</v>
      </c>
    </row>
    <row r="112" spans="2:16" x14ac:dyDescent="0.2">
      <c r="B112" s="2486" t="str">
        <f>'TRAD-Quanti et TdB Péremptions'!B57</f>
        <v>Notes</v>
      </c>
      <c r="C112" s="1041"/>
      <c r="D112" s="1041"/>
      <c r="E112" s="1041"/>
      <c r="F112" s="1041"/>
      <c r="G112" s="1041"/>
      <c r="H112" s="1041"/>
      <c r="I112" s="1041"/>
    </row>
    <row r="113" spans="2:3" x14ac:dyDescent="0.2">
      <c r="B113" s="421" t="s">
        <v>358</v>
      </c>
      <c r="C113" s="421" t="str">
        <f>'TRAD-Quanti et TdB Péremptions'!B58</f>
        <v>selon option retenue, soit stock disponible total, soit stock disponible utilisable, soit stock prévisionnel total, soit stock prévisionnel utilisable</v>
      </c>
    </row>
  </sheetData>
  <sheetProtection password="D0E7" sheet="1" objects="1" scenarios="1"/>
  <mergeCells count="4">
    <mergeCell ref="A2:N2"/>
    <mergeCell ref="C36:N36"/>
    <mergeCell ref="C39:N39"/>
    <mergeCell ref="J56:K56"/>
  </mergeCells>
  <dataValidations count="3">
    <dataValidation allowBlank="1" showInputMessage="1" showErrorMessage="1" sqref="N32:O33 N37:O38 N21:O21 N26:O26 N54:O55"/>
    <dataValidation type="decimal" allowBlank="1" showInputMessage="1" showErrorMessage="1" sqref="N49:N51">
      <formula1>0</formula1>
      <formula2>1</formula2>
    </dataValidation>
    <dataValidation type="date" operator="greaterThan" allowBlank="1" showInputMessage="1" showErrorMessage="1" sqref="N24">
      <formula1>36526</formula1>
    </dataValidation>
  </dataValidations>
  <hyperlinks>
    <hyperlink ref="D35" location="'Saisie données stocks'!N8" display="Accéder directement à cette cellule"/>
    <hyperlink ref="I23" location="Paramétrage!D16" display="Accéder directement à cette cellule"/>
    <hyperlink ref="D18" location="Paramétrage!D36" display="Si oui, cette période est à renseigner dans la cellule D36 de la page &quot;Paramétrage&quot;"/>
  </hyperlinks>
  <printOptions horizontalCentered="1"/>
  <pageMargins left="0.31496062992125984" right="0.31496062992125984" top="0.31496062992125984" bottom="0.31496062992125984" header="0.31496062992125984" footer="0.31496062992125984"/>
  <pageSetup paperSize="9" scale="79" orientation="landscape" verticalDpi="2400" r:id="rId1"/>
  <headerFooter>
    <oddFooter>&amp;R&amp;P/&amp;N</oddFooter>
  </headerFooter>
  <rowBreaks count="2" manualBreakCount="2">
    <brk id="56" max="14" man="1"/>
    <brk id="78"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tabColor theme="0"/>
  </sheetPr>
  <dimension ref="B1:S101"/>
  <sheetViews>
    <sheetView topLeftCell="A82" workbookViewId="0">
      <selection activeCell="F104" sqref="F104"/>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16" s="2586" customFormat="1" x14ac:dyDescent="0.2">
      <c r="B1" s="2586" t="s">
        <v>865</v>
      </c>
      <c r="D1" s="2586" t="s">
        <v>866</v>
      </c>
      <c r="F1" s="2586" t="s">
        <v>867</v>
      </c>
    </row>
    <row r="2" spans="2:16" x14ac:dyDescent="0.2">
      <c r="B2" s="2586" t="str">
        <f>IF(Présentation!$E$2="Français",'TRAD-Quanti et TdB Péremptions'!D2,IF(Présentation!$E$2="Anglais",'TRAD-Quanti et TdB Péremptions'!F2,""))</f>
        <v>Module Quantification</v>
      </c>
      <c r="D2" s="2554" t="s">
        <v>1557</v>
      </c>
      <c r="E2" s="2554"/>
      <c r="F2" s="2554" t="s">
        <v>1557</v>
      </c>
      <c r="G2" s="2554"/>
      <c r="H2" s="2554"/>
      <c r="I2" s="2554"/>
      <c r="J2" s="2554"/>
      <c r="K2" s="2554"/>
      <c r="L2" s="2554"/>
      <c r="M2" s="2554"/>
      <c r="N2" s="2554"/>
      <c r="O2" s="2554"/>
      <c r="P2" s="2554"/>
    </row>
    <row r="3" spans="2:16" x14ac:dyDescent="0.2">
      <c r="B3" s="2586" t="str">
        <f>IF(Présentation!$E$2="Français",'TRAD-Quanti et TdB Péremptions'!D3,IF(Présentation!$E$2="Anglais",'TRAD-Quanti et TdB Péremptions'!F3,""))</f>
        <v>Paramétrage</v>
      </c>
      <c r="C3" s="2555"/>
      <c r="D3" s="2563" t="s">
        <v>698</v>
      </c>
      <c r="E3" s="2563"/>
      <c r="F3" s="2563" t="s">
        <v>1568</v>
      </c>
      <c r="G3" s="2563"/>
      <c r="H3" s="2563"/>
      <c r="I3" s="2563"/>
      <c r="J3" s="2563"/>
      <c r="K3" s="2563"/>
      <c r="L3" s="2563"/>
      <c r="M3" s="2563"/>
      <c r="N3" s="2563"/>
      <c r="O3" s="2563"/>
      <c r="P3" s="2555"/>
    </row>
    <row r="4" spans="2:16" ht="25.5" x14ac:dyDescent="0.2">
      <c r="B4" s="2586" t="str">
        <f>IF(Présentation!$E$2="Français",'TRAD-Quanti et TdB Péremptions'!D4,IF(Présentation!$E$2="Anglais",'TRAD-Quanti et TdB Péremptions'!F4,""))</f>
        <v>Données de morbidité, suivi de la file active</v>
      </c>
      <c r="C4" s="2555"/>
      <c r="D4" s="2555" t="s">
        <v>549</v>
      </c>
      <c r="E4" s="2555"/>
      <c r="F4" s="2555" t="s">
        <v>1841</v>
      </c>
      <c r="G4" s="2555"/>
      <c r="H4" s="2555"/>
      <c r="I4" s="2555"/>
      <c r="J4" s="2555"/>
      <c r="K4" s="2555"/>
      <c r="L4" s="2555"/>
      <c r="M4" s="2555"/>
      <c r="N4" s="2555"/>
      <c r="O4" s="2555"/>
      <c r="P4" s="2555"/>
    </row>
    <row r="5" spans="2:16" x14ac:dyDescent="0.2">
      <c r="B5" s="2586" t="str">
        <f>IF(Présentation!$E$2="Français",'TRAD-Quanti et TdB Péremptions'!D5,IF(Présentation!$E$2="Anglais",'TRAD-Quanti et TdB Péremptions'!F5,""))</f>
        <v>A. Méthode de quantification</v>
      </c>
      <c r="D5" s="2558" t="s">
        <v>851</v>
      </c>
      <c r="F5" s="2558" t="s">
        <v>1570</v>
      </c>
    </row>
    <row r="6" spans="2:16" ht="25.5" x14ac:dyDescent="0.2">
      <c r="B6" s="2586" t="str">
        <f>IF(Présentation!$E$2="Français",'TRAD-Quanti et TdB Péremptions'!D6,IF(Présentation!$E$2="Anglais",'TRAD-Quanti et TdB Péremptions'!F6,""))</f>
        <v>Données de consommation ou distribution</v>
      </c>
      <c r="C6" s="2555"/>
      <c r="D6" s="2555" t="s">
        <v>578</v>
      </c>
      <c r="E6" s="2555"/>
      <c r="F6" s="2555" t="s">
        <v>1836</v>
      </c>
      <c r="G6" s="2555"/>
      <c r="H6" s="2555"/>
      <c r="I6" s="2555"/>
      <c r="J6" s="2555"/>
      <c r="K6" s="2555"/>
      <c r="L6" s="2555"/>
      <c r="M6" s="2555"/>
      <c r="N6" s="2555"/>
      <c r="O6" s="2555"/>
      <c r="P6" s="2555"/>
    </row>
    <row r="7" spans="2:16" ht="63.75" x14ac:dyDescent="0.2">
      <c r="B7" s="2586" t="str">
        <f>IF(Présentation!$E$2="Français",'TRAD-Quanti et TdB Péremptions'!D7,IF(Présentation!$E$2="Anglais",'TRAD-Quanti et TdB Péremptions'!F7,""))</f>
        <v>Quelle méthode / quelles données souhaitez vous utiliser pour la quantification des ARV pour la PEC (cocher la case de l'option retenue par un X majuscule)</v>
      </c>
      <c r="C7" s="2555"/>
      <c r="D7" s="2555" t="s">
        <v>1559</v>
      </c>
      <c r="E7" s="2555"/>
      <c r="F7" s="2555" t="s">
        <v>1571</v>
      </c>
      <c r="G7" s="2555"/>
      <c r="H7" s="2555"/>
      <c r="I7" s="2555"/>
      <c r="J7" s="2555"/>
      <c r="K7" s="2555"/>
      <c r="L7" s="2555"/>
      <c r="M7" s="2555"/>
      <c r="N7" s="2555"/>
      <c r="O7" s="2555"/>
      <c r="P7" s="2555"/>
    </row>
    <row r="8" spans="2:16" ht="38.25" x14ac:dyDescent="0.2">
      <c r="B8" s="2586" t="str">
        <f>IF(Présentation!$E$2="Français",'TRAD-Quanti et TdB Péremptions'!D8,IF(Présentation!$E$2="Anglais",'TRAD-Quanti et TdB Péremptions'!F8,""))</f>
        <v>Si oui, cette période est à renseigner dans la cellule D26 de la page "Paramétrage"</v>
      </c>
      <c r="C8" s="2555"/>
      <c r="D8" s="2618" t="s">
        <v>859</v>
      </c>
      <c r="E8" s="2619" t="s">
        <v>224</v>
      </c>
      <c r="F8" s="2558" t="s">
        <v>1572</v>
      </c>
      <c r="G8" s="2555"/>
      <c r="H8" s="2555"/>
      <c r="I8" s="2555"/>
      <c r="J8" s="2555"/>
      <c r="K8" s="2555"/>
      <c r="L8" s="2555"/>
      <c r="M8" s="2555"/>
      <c r="N8" s="2555"/>
      <c r="O8" s="2555"/>
      <c r="P8" s="2555"/>
    </row>
    <row r="9" spans="2:16" ht="25.5" x14ac:dyDescent="0.2">
      <c r="B9" s="2586" t="str">
        <f>IF(Présentation!$E$2="Français",'TRAD-Quanti et TdB Péremptions'!D9,IF(Présentation!$E$2="Anglais",'TRAD-Quanti et TdB Péremptions'!F9,""))</f>
        <v>La période de quantification réelle est donc de :</v>
      </c>
      <c r="C9" s="2555"/>
      <c r="D9" s="2555" t="s">
        <v>577</v>
      </c>
      <c r="E9" s="2619"/>
      <c r="F9" s="2558" t="s">
        <v>1569</v>
      </c>
      <c r="G9" s="2555"/>
      <c r="H9" s="2555"/>
      <c r="I9" s="2555"/>
      <c r="J9" s="2555"/>
      <c r="K9" s="2555"/>
      <c r="L9" s="2555"/>
      <c r="M9" s="2555"/>
      <c r="N9" s="2555"/>
      <c r="O9" s="2555"/>
      <c r="P9" s="2555"/>
    </row>
    <row r="10" spans="2:16" ht="51" x14ac:dyDescent="0.2">
      <c r="B10" s="2586" t="str">
        <f>IF(Présentation!$E$2="Français",'TRAD-Quanti et TdB Péremptions'!D10,IF(Présentation!$E$2="Anglais",'TRAD-Quanti et TdB Péremptions'!F10,""))</f>
        <v>Les données sont celles qui sont renseignées dans les feuilles 'Saisie données file active' et 'Saisie données conso'</v>
      </c>
      <c r="D10" s="2555" t="s">
        <v>860</v>
      </c>
      <c r="F10" s="2558" t="s">
        <v>1586</v>
      </c>
    </row>
    <row r="11" spans="2:16" x14ac:dyDescent="0.2">
      <c r="B11" s="2586" t="str">
        <f>IF(Présentation!$E$2="Français",'TRAD-Quanti et TdB Péremptions'!D11,IF(Présentation!$E$2="Anglais",'TRAD-Quanti et TdB Péremptions'!F11,""))</f>
        <v>B. Période de quantification</v>
      </c>
      <c r="D11" s="2558" t="s">
        <v>852</v>
      </c>
      <c r="F11" s="2558" t="s">
        <v>1573</v>
      </c>
    </row>
    <row r="12" spans="2:16" ht="25.5" x14ac:dyDescent="0.2">
      <c r="B12" s="2586" t="str">
        <f>IF(Présentation!$E$2="Français",'TRAD-Quanti et TdB Péremptions'!D12,IF(Présentation!$E$2="Anglais",'TRAD-Quanti et TdB Péremptions'!F12,""))</f>
        <v>Précisez la période sur laquelle vous voulez estimer les besoins (nb de mois)</v>
      </c>
      <c r="C12" s="2555"/>
      <c r="D12" s="2555" t="s">
        <v>1560</v>
      </c>
      <c r="E12" s="2555"/>
      <c r="F12" s="2555" t="s">
        <v>1574</v>
      </c>
      <c r="G12" s="2555"/>
      <c r="H12" s="2555"/>
      <c r="I12" s="2555"/>
      <c r="J12" s="2555"/>
      <c r="K12" s="2555"/>
      <c r="L12" s="2555"/>
      <c r="M12" s="2555"/>
      <c r="N12" s="2555"/>
      <c r="O12" s="2555"/>
      <c r="P12" s="2555"/>
    </row>
    <row r="13" spans="2:16" ht="38.25" x14ac:dyDescent="0.2">
      <c r="B13" s="2586" t="str">
        <f>IF(Présentation!$E$2="Français",'TRAD-Quanti et TdB Péremptions'!D13,IF(Présentation!$E$2="Anglais",'TRAD-Quanti et TdB Péremptions'!F13,""))</f>
        <v>Souhaitez vous intégrer la période nécessaire au stock de sécurité ? (OUI ou NON)</v>
      </c>
      <c r="D13" s="2555" t="s">
        <v>1561</v>
      </c>
      <c r="F13" s="2558" t="s">
        <v>1857</v>
      </c>
    </row>
    <row r="14" spans="2:16" ht="25.5" x14ac:dyDescent="0.2">
      <c r="B14" s="2586" t="str">
        <f>IF(Présentation!$E$2="Français",'TRAD-Quanti et TdB Péremptions'!D14,IF(Présentation!$E$2="Anglais",'TRAD-Quanti et TdB Péremptions'!F14,""))</f>
        <v>La période à quantifier commence-t-elle à la date d'estimation ? (OUI ou NON)</v>
      </c>
      <c r="C14" s="2555"/>
      <c r="D14" s="2555" t="s">
        <v>1562</v>
      </c>
      <c r="E14" s="2555"/>
      <c r="F14" s="2555" t="s">
        <v>1577</v>
      </c>
      <c r="G14" s="2555"/>
      <c r="H14" s="2555"/>
      <c r="I14" s="2555"/>
      <c r="J14" s="2555"/>
      <c r="K14" s="2555"/>
      <c r="L14" s="2555"/>
      <c r="M14" s="2555"/>
      <c r="N14" s="2555"/>
      <c r="O14" s="2555"/>
      <c r="P14" s="2555"/>
    </row>
    <row r="15" spans="2:16" x14ac:dyDescent="0.2">
      <c r="B15" s="2586" t="str">
        <f>IF(Présentation!$E$2="Français",'TRAD-Quanti et TdB Péremptions'!D15,IF(Présentation!$E$2="Anglais",'TRAD-Quanti et TdB Péremptions'!F15,""))</f>
        <v>Date d'estimation</v>
      </c>
      <c r="C15" s="2555"/>
      <c r="D15" s="2555" t="s">
        <v>830</v>
      </c>
      <c r="E15" s="2555"/>
      <c r="F15" s="2555" t="s">
        <v>1575</v>
      </c>
      <c r="G15" s="2555"/>
      <c r="H15" s="2555"/>
      <c r="I15" s="2555"/>
      <c r="J15" s="2555"/>
      <c r="K15" s="2555"/>
      <c r="L15" s="2555"/>
      <c r="M15" s="2555"/>
      <c r="N15" s="2555"/>
      <c r="O15" s="2619"/>
      <c r="P15" s="2555"/>
    </row>
    <row r="16" spans="2:16" ht="25.5" x14ac:dyDescent="0.2">
      <c r="B16" s="2586" t="str">
        <f>IF(Présentation!$E$2="Français",'TRAD-Quanti et TdB Péremptions'!D16,IF(Présentation!$E$2="Anglais",'TRAD-Quanti et TdB Péremptions'!F16,""))</f>
        <v>(information renseignée dans la cellule D16 de la feuille 'Paramétrage'</v>
      </c>
      <c r="C16" s="2555"/>
      <c r="D16" s="2555" t="s">
        <v>843</v>
      </c>
      <c r="E16" s="2555"/>
      <c r="F16" s="2555" t="s">
        <v>1576</v>
      </c>
      <c r="G16" s="2555"/>
      <c r="H16" s="2555"/>
      <c r="I16" s="2555"/>
      <c r="J16" s="2555"/>
      <c r="K16" s="2555"/>
      <c r="L16" s="2555"/>
      <c r="M16" s="2555"/>
      <c r="N16" s="2555"/>
      <c r="P16" s="2555"/>
    </row>
    <row r="17" spans="2:16" x14ac:dyDescent="0.2">
      <c r="B17" s="2586" t="str">
        <f>IF(Présentation!$E$2="Français",'TRAD-Quanti et TdB Péremptions'!D17,IF(Présentation!$E$2="Anglais",'TRAD-Quanti et TdB Péremptions'!F17,""))</f>
        <v>mois</v>
      </c>
      <c r="C17" s="2555"/>
      <c r="D17" s="2555" t="s">
        <v>184</v>
      </c>
      <c r="F17" s="2555" t="s">
        <v>966</v>
      </c>
      <c r="G17" s="2555"/>
      <c r="H17" s="2555"/>
      <c r="I17" s="2555"/>
      <c r="J17" s="2555"/>
      <c r="K17" s="2555"/>
      <c r="L17" s="2555"/>
      <c r="M17" s="2555"/>
      <c r="N17" s="2555"/>
      <c r="O17" s="2555"/>
      <c r="P17" s="2555"/>
    </row>
    <row r="18" spans="2:16" x14ac:dyDescent="0.2">
      <c r="B18" s="2586" t="str">
        <f>IF(Présentation!$E$2="Français",'TRAD-Quanti et TdB Péremptions'!D18,IF(Présentation!$E$2="Anglais",'TRAD-Quanti et TdB Péremptions'!F18,""))</f>
        <v>OUI</v>
      </c>
      <c r="C18" s="2555"/>
      <c r="D18" s="2619" t="s">
        <v>769</v>
      </c>
      <c r="F18" s="2555" t="s">
        <v>1016</v>
      </c>
      <c r="G18" s="2555"/>
      <c r="H18" s="2555"/>
      <c r="I18" s="2555"/>
      <c r="J18" s="2555"/>
      <c r="K18" s="2555"/>
      <c r="L18" s="2555"/>
      <c r="M18" s="2555"/>
      <c r="N18" s="2555"/>
      <c r="O18" s="2555"/>
    </row>
    <row r="19" spans="2:16" x14ac:dyDescent="0.2">
      <c r="B19" s="2586" t="str">
        <f>IF(Présentation!$E$2="Français",'TRAD-Quanti et TdB Péremptions'!D19,IF(Présentation!$E$2="Anglais",'TRAD-Quanti et TdB Péremptions'!F19,""))</f>
        <v>NON</v>
      </c>
      <c r="D19" s="2619" t="s">
        <v>547</v>
      </c>
      <c r="F19" s="2558" t="s">
        <v>1017</v>
      </c>
      <c r="H19" s="2555"/>
    </row>
    <row r="20" spans="2:16" ht="25.5" x14ac:dyDescent="0.2">
      <c r="B20" s="2586" t="str">
        <f>IF(Présentation!$E$2="Français",'TRAD-Quanti et TdB Péremptions'!D20,IF(Présentation!$E$2="Anglais",'TRAD-Quanti et TdB Péremptions'!F20,""))</f>
        <v>si non, à quelle date souhaitez vous que la période quantifiée commence ?</v>
      </c>
      <c r="C20" s="2555"/>
      <c r="D20" s="2555" t="s">
        <v>820</v>
      </c>
      <c r="E20" s="2555"/>
      <c r="F20" s="2555" t="s">
        <v>1579</v>
      </c>
      <c r="G20" s="2555"/>
      <c r="H20" s="2555"/>
      <c r="I20" s="2555"/>
      <c r="J20" s="2555"/>
      <c r="K20" s="2555"/>
      <c r="L20" s="2555"/>
      <c r="M20" s="2555"/>
      <c r="N20" s="2555"/>
      <c r="O20" s="2619"/>
      <c r="P20" s="2555"/>
    </row>
    <row r="21" spans="2:16" ht="38.25" x14ac:dyDescent="0.2">
      <c r="B21" s="2586" t="str">
        <f>IF(Présentation!$E$2="Français",'TRAD-Quanti et TdB Péremptions'!D21,IF(Présentation!$E$2="Anglais",'TRAD-Quanti et TdB Péremptions'!F21,""))</f>
        <v>Durée de la période intermédiaire entre date d'estimation &amp; début de la période quantifiée</v>
      </c>
      <c r="C21" s="2555"/>
      <c r="D21" s="2555" t="s">
        <v>821</v>
      </c>
      <c r="F21" s="2555" t="s">
        <v>1580</v>
      </c>
      <c r="G21" s="2578"/>
      <c r="H21" s="2555"/>
      <c r="I21" s="2555"/>
      <c r="J21" s="2555"/>
      <c r="K21" s="2555"/>
      <c r="L21" s="2555"/>
      <c r="M21" s="2578"/>
      <c r="N21" s="2555"/>
      <c r="O21" s="2555"/>
      <c r="P21" s="2555"/>
    </row>
    <row r="22" spans="2:16" ht="63.75" x14ac:dyDescent="0.2">
      <c r="B22" s="2586" t="str">
        <f>IF(Présentation!$E$2="Français",'TRAD-Quanti et TdB Péremptions'!D22,IF(Présentation!$E$2="Anglais",'TRAD-Quanti et TdB Péremptions'!F22,""))</f>
        <v>Arrêt des initiations de traitement ou poursuite ? (correspond à des consommations constantes ou croissantes) ? (OUI pour arrêt des initiations ou NON)</v>
      </c>
      <c r="C22" s="2555"/>
      <c r="D22" s="2555" t="s">
        <v>1563</v>
      </c>
      <c r="F22" s="2555" t="s">
        <v>1581</v>
      </c>
      <c r="G22" s="2578"/>
      <c r="H22" s="2555"/>
      <c r="I22" s="2555"/>
      <c r="K22" s="2555"/>
      <c r="L22" s="2555"/>
      <c r="M22" s="2578"/>
      <c r="N22" s="2555"/>
      <c r="O22" s="2555"/>
      <c r="P22" s="2555"/>
    </row>
    <row r="23" spans="2:16" x14ac:dyDescent="0.2">
      <c r="B23" s="2586" t="str">
        <f>IF(Présentation!$E$2="Français",'TRAD-Quanti et TdB Péremptions'!D23,IF(Présentation!$E$2="Anglais",'TRAD-Quanti et TdB Péremptions'!F23,""))</f>
        <v>C. Stocks &amp; commandes en cours</v>
      </c>
      <c r="C23" s="2555"/>
      <c r="D23" s="2558" t="s">
        <v>854</v>
      </c>
      <c r="E23" s="2555"/>
      <c r="F23" s="2555" t="s">
        <v>1582</v>
      </c>
      <c r="G23" s="2555"/>
      <c r="H23" s="2555"/>
      <c r="I23" s="2555"/>
      <c r="J23" s="2555"/>
      <c r="K23" s="2555"/>
      <c r="L23" s="2555"/>
      <c r="M23" s="2555"/>
      <c r="N23" s="2555"/>
      <c r="O23" s="2620"/>
      <c r="P23" s="2555"/>
    </row>
    <row r="24" spans="2:16" ht="25.5" x14ac:dyDescent="0.2">
      <c r="B24" s="2586" t="str">
        <f>IF(Présentation!$E$2="Français",'TRAD-Quanti et TdB Péremptions'!D24,IF(Présentation!$E$2="Anglais",'TRAD-Quanti et TdB Péremptions'!F24,""))</f>
        <v>D'après les données renseignées dans la feuille 'Saisie des données de stocks'</v>
      </c>
      <c r="C24" s="2555"/>
      <c r="D24" s="2555" t="s">
        <v>861</v>
      </c>
      <c r="F24" s="2555" t="s">
        <v>1587</v>
      </c>
      <c r="G24" s="2555"/>
      <c r="H24" s="2555"/>
      <c r="I24" s="2555"/>
      <c r="J24" s="2555"/>
      <c r="K24" s="2555"/>
      <c r="L24" s="2555"/>
      <c r="M24" s="2555"/>
      <c r="N24" s="2555"/>
      <c r="O24" s="2621"/>
      <c r="P24" s="2555"/>
    </row>
    <row r="25" spans="2:16" ht="38.25" x14ac:dyDescent="0.2">
      <c r="B25" s="2586" t="str">
        <f>IF(Présentation!$E$2="Français",'TRAD-Quanti et TdB Péremptions'!D25,IF(Présentation!$E$2="Anglais",'TRAD-Quanti et TdB Péremptions'!F25,""))</f>
        <v>Souhaitez vous prendre en compte les stocks disponibles au niveau central ? (OUI ou NON)</v>
      </c>
      <c r="C25" s="2555"/>
      <c r="D25" s="2555" t="s">
        <v>1564</v>
      </c>
      <c r="E25" s="2555"/>
      <c r="F25" s="2555" t="s">
        <v>1583</v>
      </c>
      <c r="G25" s="2555"/>
      <c r="H25" s="2555"/>
      <c r="I25" s="2555"/>
      <c r="J25" s="2555"/>
      <c r="K25" s="2555"/>
      <c r="L25" s="2555"/>
      <c r="M25" s="2555"/>
      <c r="N25" s="2555"/>
      <c r="P25" s="2555"/>
    </row>
    <row r="26" spans="2:16" ht="51" x14ac:dyDescent="0.2">
      <c r="B26" s="2586" t="str">
        <f>IF(Présentation!$E$2="Français",'TRAD-Quanti et TdB Péremptions'!D26,IF(Présentation!$E$2="Anglais",'TRAD-Quanti et TdB Péremptions'!F26,""))</f>
        <v>Pour les stocks centraux, souhaitez vous estimer les stocks disponibles utilisables (quantités utilisées avant péremption) ? (OUI ou NON)</v>
      </c>
      <c r="C26" s="2555"/>
      <c r="D26" s="2555" t="s">
        <v>1565</v>
      </c>
      <c r="E26" s="2555"/>
      <c r="F26" s="2555" t="s">
        <v>1584</v>
      </c>
      <c r="G26" s="2555"/>
      <c r="H26" s="2555"/>
      <c r="I26" s="2555"/>
      <c r="J26" s="2555"/>
      <c r="K26" s="2555"/>
      <c r="L26" s="2555"/>
      <c r="M26" s="2555"/>
      <c r="N26" s="2555"/>
      <c r="O26" s="2555"/>
      <c r="P26" s="2555"/>
    </row>
    <row r="27" spans="2:16" ht="76.5" x14ac:dyDescent="0.2">
      <c r="B27" s="2586" t="str">
        <f>IF(Présentation!$E$2="Français",'TRAD-Quanti et TdB Péremptions'!D27,IF(Présentation!$E$2="Anglais",'TRAD-Quanti et TdB Péremptions'!F27,""))</f>
        <v>Attention, cela implique de paramétrer "OUI" dans la cellule N8 de la feuille 'Saisie des données de stocks' et de remplir les dates de péremption dans le tableau de la partie 1A de la même feuille</v>
      </c>
      <c r="D27" s="2555" t="s">
        <v>850</v>
      </c>
      <c r="F27" s="2558" t="s">
        <v>1613</v>
      </c>
    </row>
    <row r="28" spans="2:16" x14ac:dyDescent="0.2">
      <c r="B28" s="2586" t="str">
        <f>IF(Présentation!$E$2="Français",'TRAD-Quanti et TdB Péremptions'!D28,IF(Présentation!$E$2="Anglais",'TRAD-Quanti et TdB Péremptions'!F28,""))</f>
        <v>Accéder directement à cette cellule</v>
      </c>
      <c r="C28" s="2555"/>
      <c r="D28" s="2618" t="s">
        <v>856</v>
      </c>
      <c r="E28" s="2555"/>
      <c r="F28" s="2555" t="s">
        <v>1585</v>
      </c>
      <c r="G28" s="2555"/>
      <c r="H28" s="2555"/>
      <c r="I28" s="2555"/>
      <c r="J28" s="2555"/>
      <c r="K28" s="2555"/>
      <c r="L28" s="2555"/>
      <c r="M28" s="2555"/>
      <c r="N28" s="2555"/>
      <c r="O28" s="2555"/>
      <c r="P28" s="2555"/>
    </row>
    <row r="29" spans="2:16" ht="127.5" x14ac:dyDescent="0.2">
      <c r="B29" s="2586" t="str">
        <f>IF(Présentation!$E$2="Français",'TRAD-Quanti et TdB Péremptions'!D29,IF(Présentation!$E$2="Anglais",'TRAD-Quanti et TdB Péremptions'!F29,""))</f>
        <v>Si la période de quantification ne commence pas à la date d'estimation, l'évaluation des stocks prévisionnels se fait avec les mêmes données que celles mentionnées dans les feuilles de saisie selon la méthode retenue. Si le stock est épuisé avant le début de la période quantifiée, l'impact de la rupture sur les consommations ou les initiations ne peut être pris en compte.</v>
      </c>
      <c r="C29" s="2555"/>
      <c r="D29" s="2555" t="s">
        <v>858</v>
      </c>
      <c r="E29" s="2555"/>
      <c r="F29" s="2555" t="s">
        <v>1588</v>
      </c>
      <c r="G29" s="2555"/>
      <c r="H29" s="2555"/>
      <c r="I29" s="2555"/>
      <c r="J29" s="2555"/>
      <c r="K29" s="2555"/>
      <c r="L29" s="2555"/>
      <c r="M29" s="2555"/>
      <c r="N29" s="2555"/>
      <c r="O29" s="2555"/>
      <c r="P29" s="2555"/>
    </row>
    <row r="30" spans="2:16" ht="38.25" x14ac:dyDescent="0.2">
      <c r="B30" s="2586" t="str">
        <f>IF(Présentation!$E$2="Français",'TRAD-Quanti et TdB Péremptions'!D30,IF(Présentation!$E$2="Anglais",'TRAD-Quanti et TdB Péremptions'!F30,""))</f>
        <v>Souhaitez vous également prendre en compte les stocks disponibles en périphérie ? (OUI ou NON)</v>
      </c>
      <c r="C30" s="2555"/>
      <c r="D30" s="2555" t="s">
        <v>1566</v>
      </c>
      <c r="E30" s="2555"/>
      <c r="F30" s="2555" t="s">
        <v>1589</v>
      </c>
      <c r="G30" s="2555"/>
      <c r="H30" s="2555"/>
      <c r="I30" s="2555"/>
      <c r="J30" s="2555"/>
      <c r="K30" s="2555"/>
      <c r="L30" s="2555"/>
      <c r="M30" s="2555"/>
      <c r="N30" s="2555"/>
      <c r="O30" s="2555"/>
      <c r="P30" s="2555"/>
    </row>
    <row r="31" spans="2:16" ht="38.25" x14ac:dyDescent="0.2">
      <c r="B31" s="2586" t="str">
        <f>IF(Présentation!$E$2="Français",'TRAD-Quanti et TdB Péremptions'!D31,IF(Présentation!$E$2="Anglais",'TRAD-Quanti et TdB Péremptions'!F31,""))</f>
        <v>Souhaitez vous également prendre en compte les commandes en cours de livraison ? (OUI ou NON)</v>
      </c>
      <c r="C31" s="2555"/>
      <c r="D31" s="2555" t="s">
        <v>1567</v>
      </c>
      <c r="E31" s="2555"/>
      <c r="F31" s="2555" t="s">
        <v>1590</v>
      </c>
      <c r="G31" s="2555"/>
      <c r="H31" s="2555"/>
      <c r="I31" s="2555"/>
      <c r="J31" s="2555"/>
      <c r="K31" s="2555"/>
      <c r="L31" s="2555"/>
      <c r="M31" s="2555"/>
      <c r="N31" s="2555"/>
      <c r="O31" s="2619"/>
      <c r="P31" s="2555"/>
    </row>
    <row r="32" spans="2:16" ht="76.5" x14ac:dyDescent="0.2">
      <c r="B32" s="2586" t="str">
        <f>IF(Présentation!$E$2="Français",'TRAD-Quanti et TdB Péremptions'!D32,IF(Présentation!$E$2="Anglais",'TRAD-Quanti et TdB Péremptions'!F32,""))</f>
        <v>Il n'est pas possible de prendre en compte le calendrier de livraison dans cette estimation et si l'option OUI est retenue, les quantités commandées sont considérées comme réceptionnées au moment de l'estimation</v>
      </c>
      <c r="C32" s="2555"/>
      <c r="D32" s="2555" t="s">
        <v>862</v>
      </c>
      <c r="E32" s="2555"/>
      <c r="F32" s="2555" t="s">
        <v>1591</v>
      </c>
      <c r="G32" s="2555"/>
      <c r="H32" s="2555"/>
      <c r="I32" s="2555"/>
      <c r="J32" s="2555"/>
      <c r="K32" s="2555"/>
      <c r="L32" s="2555"/>
      <c r="M32" s="2555"/>
      <c r="N32" s="2555"/>
      <c r="O32" s="2619"/>
      <c r="P32" s="2555"/>
    </row>
    <row r="33" spans="2:16" x14ac:dyDescent="0.2">
      <c r="B33" s="2586" t="str">
        <f>IF(Présentation!$E$2="Français",'TRAD-Quanti et TdB Péremptions'!D33,IF(Présentation!$E$2="Anglais",'TRAD-Quanti et TdB Péremptions'!F33,""))</f>
        <v>D. Paramètres d'estimation financière</v>
      </c>
      <c r="C33" s="2555"/>
      <c r="D33" s="2558" t="s">
        <v>855</v>
      </c>
      <c r="F33" s="2555" t="s">
        <v>1578</v>
      </c>
      <c r="G33" s="2555"/>
      <c r="H33" s="2555"/>
      <c r="I33" s="2555"/>
      <c r="J33" s="2555"/>
      <c r="K33" s="2555"/>
      <c r="L33" s="2555"/>
      <c r="M33" s="2555"/>
      <c r="N33" s="2555"/>
      <c r="O33" s="2555"/>
      <c r="P33" s="2555"/>
    </row>
    <row r="34" spans="2:16" ht="51" x14ac:dyDescent="0.2">
      <c r="B34" s="2586" t="str">
        <f>IF(Présentation!$E$2="Français",'TRAD-Quanti et TdB Péremptions'!D34,IF(Présentation!$E$2="Anglais",'TRAD-Quanti et TdB Péremptions'!F34,""))</f>
        <v>La source des prix peut être soit le rapport du GPRM/AMDS d'octobre 2011 soit du VPP/FMSTP. Les prix sont avec l'INCOTERMS EXW</v>
      </c>
      <c r="C34" s="2555"/>
      <c r="D34" s="2555" t="s">
        <v>1916</v>
      </c>
      <c r="E34" s="2555"/>
      <c r="F34" s="2555" t="s">
        <v>1917</v>
      </c>
      <c r="G34" s="2555"/>
      <c r="H34" s="2555"/>
      <c r="I34" s="2555"/>
      <c r="J34" s="2555"/>
      <c r="K34" s="2555"/>
      <c r="L34" s="2555"/>
      <c r="M34" s="2555"/>
      <c r="N34" s="2555"/>
      <c r="O34" s="2555"/>
      <c r="P34" s="2555"/>
    </row>
    <row r="35" spans="2:16" x14ac:dyDescent="0.2">
      <c r="B35" s="2586" t="str">
        <f>IF(Présentation!$E$2="Français",'TRAD-Quanti et TdB Péremptions'!D35,IF(Présentation!$E$2="Anglais",'TRAD-Quanti et TdB Péremptions'!F35,""))</f>
        <v>Quel taux de frais de transports ?</v>
      </c>
      <c r="C35" s="2555"/>
      <c r="D35" s="2555" t="s">
        <v>857</v>
      </c>
      <c r="F35" s="2555" t="s">
        <v>1592</v>
      </c>
      <c r="G35" s="2555"/>
      <c r="H35" s="2555"/>
      <c r="I35" s="2555"/>
      <c r="J35" s="2555"/>
      <c r="K35" s="2555"/>
      <c r="L35" s="2555"/>
      <c r="M35" s="2555"/>
      <c r="N35" s="2555"/>
      <c r="O35" s="2619"/>
      <c r="P35" s="2555"/>
    </row>
    <row r="36" spans="2:16" ht="25.5" x14ac:dyDescent="0.2">
      <c r="B36" s="2586" t="str">
        <f>IF(Présentation!$E$2="Français",'TRAD-Quanti et TdB Péremptions'!D36,IF(Présentation!$E$2="Anglais",'TRAD-Quanti et TdB Péremptions'!F36,""))</f>
        <v>Quel taux de frais de gestion voulez-vous prendre en compte ?</v>
      </c>
      <c r="C36" s="2555"/>
      <c r="D36" s="2555" t="s">
        <v>548</v>
      </c>
      <c r="F36" s="2555" t="s">
        <v>1614</v>
      </c>
      <c r="G36" s="2555"/>
      <c r="H36" s="2555"/>
      <c r="I36" s="2555"/>
      <c r="J36" s="2555"/>
      <c r="K36" s="2555"/>
      <c r="L36" s="2555"/>
      <c r="M36" s="2555"/>
      <c r="N36" s="2555"/>
      <c r="O36" s="2619"/>
      <c r="P36" s="2555"/>
    </row>
    <row r="37" spans="2:16" x14ac:dyDescent="0.2">
      <c r="B37" s="2586" t="str">
        <f>IF(Présentation!$E$2="Français",'TRAD-Quanti et TdB Péremptions'!D37,IF(Présentation!$E$2="Anglais",'TRAD-Quanti et TdB Péremptions'!F37,""))</f>
        <v>Forme</v>
      </c>
      <c r="C37" s="2555"/>
      <c r="D37" s="2563" t="s">
        <v>320</v>
      </c>
      <c r="F37" s="2555" t="s">
        <v>1593</v>
      </c>
      <c r="G37" s="2555"/>
      <c r="H37" s="2555"/>
      <c r="I37" s="2555"/>
      <c r="J37" s="2555"/>
      <c r="K37" s="2555"/>
      <c r="L37" s="2555"/>
      <c r="M37" s="2555"/>
      <c r="N37" s="2555"/>
      <c r="O37" s="2555"/>
      <c r="P37" s="2555"/>
    </row>
    <row r="38" spans="2:16" x14ac:dyDescent="0.2">
      <c r="B38" s="2586" t="str">
        <f>IF(Présentation!$E$2="Français",'TRAD-Quanti et TdB Péremptions'!D38,IF(Présentation!$E$2="Anglais",'TRAD-Quanti et TdB Péremptions'!F38,""))</f>
        <v>Classe pharmaco</v>
      </c>
      <c r="C38" s="2555"/>
      <c r="D38" s="2558" t="s">
        <v>833</v>
      </c>
      <c r="E38" s="2555"/>
      <c r="F38" s="2555" t="s">
        <v>1594</v>
      </c>
      <c r="G38" s="2555"/>
      <c r="H38" s="2555"/>
      <c r="I38" s="2555"/>
      <c r="J38" s="2555"/>
      <c r="K38" s="2555"/>
      <c r="L38" s="2555"/>
      <c r="M38" s="2555"/>
      <c r="N38" s="2555"/>
      <c r="O38" s="2555"/>
      <c r="P38" s="2555"/>
    </row>
    <row r="39" spans="2:16" x14ac:dyDescent="0.2">
      <c r="B39" s="2586" t="str">
        <f>IF(Présentation!$E$2="Français",'TRAD-Quanti et TdB Péremptions'!D39,IF(Présentation!$E$2="Anglais",'TRAD-Quanti et TdB Péremptions'!F39,""))</f>
        <v>Composition</v>
      </c>
      <c r="D39" s="2563" t="s">
        <v>12</v>
      </c>
      <c r="F39" s="2558" t="s">
        <v>12</v>
      </c>
    </row>
    <row r="40" spans="2:16" x14ac:dyDescent="0.2">
      <c r="B40" s="2586" t="str">
        <f>IF(Présentation!$E$2="Français",'TRAD-Quanti et TdB Péremptions'!D40,IF(Présentation!$E$2="Anglais",'TRAD-Quanti et TdB Péremptions'!F40,""))</f>
        <v>Forme galénique</v>
      </c>
      <c r="C40" s="2555"/>
      <c r="D40" s="2563" t="s">
        <v>13</v>
      </c>
      <c r="E40" s="2555"/>
      <c r="F40" s="2555" t="s">
        <v>980</v>
      </c>
      <c r="G40" s="2555"/>
      <c r="H40" s="2555"/>
      <c r="I40" s="2555"/>
      <c r="J40" s="2555"/>
      <c r="K40" s="2555"/>
      <c r="L40" s="2555"/>
      <c r="M40" s="2555"/>
      <c r="N40" s="2555"/>
      <c r="O40" s="2555"/>
      <c r="P40" s="2555"/>
    </row>
    <row r="41" spans="2:16" x14ac:dyDescent="0.2">
      <c r="B41" s="2586" t="str">
        <f>IF(Présentation!$E$2="Français",'TRAD-Quanti et TdB Péremptions'!D41,IF(Présentation!$E$2="Anglais",'TRAD-Quanti et TdB Péremptions'!F41,""))</f>
        <v>Dosage</v>
      </c>
      <c r="C41" s="2555"/>
      <c r="D41" s="2563" t="s">
        <v>14</v>
      </c>
      <c r="E41" s="2555"/>
      <c r="F41" s="2555" t="s">
        <v>981</v>
      </c>
      <c r="G41" s="2555"/>
      <c r="H41" s="2555"/>
      <c r="I41" s="2555"/>
      <c r="J41" s="2555"/>
      <c r="K41" s="2555"/>
      <c r="L41" s="2555"/>
      <c r="M41" s="2555"/>
      <c r="N41" s="2555"/>
      <c r="O41" s="2555"/>
      <c r="P41" s="2555"/>
    </row>
    <row r="42" spans="2:16" x14ac:dyDescent="0.2">
      <c r="B42" s="2586" t="str">
        <f>IF(Présentation!$E$2="Français",'TRAD-Quanti et TdB Péremptions'!D42,IF(Présentation!$E$2="Anglais",'TRAD-Quanti et TdB Péremptions'!F42,""))</f>
        <v>DCI</v>
      </c>
      <c r="C42" s="2555"/>
      <c r="D42" s="2563" t="s">
        <v>318</v>
      </c>
      <c r="E42" s="2555"/>
      <c r="F42" s="2555" t="s">
        <v>982</v>
      </c>
      <c r="G42" s="2555"/>
      <c r="H42" s="2555"/>
      <c r="I42" s="2555"/>
      <c r="J42" s="2555"/>
      <c r="K42" s="2555"/>
      <c r="L42" s="2555"/>
      <c r="M42" s="2555"/>
      <c r="N42" s="2555"/>
      <c r="P42" s="2555"/>
    </row>
    <row r="43" spans="2:16" x14ac:dyDescent="0.2">
      <c r="B43" s="2586" t="str">
        <f>IF(Présentation!$E$2="Français",'TRAD-Quanti et TdB Péremptions'!D43,IF(Présentation!$E$2="Anglais",'TRAD-Quanti et TdB Péremptions'!F43,""))</f>
        <v>Conditionnement</v>
      </c>
      <c r="C43" s="2555"/>
      <c r="D43" s="2563" t="s">
        <v>96</v>
      </c>
      <c r="E43" s="2555"/>
      <c r="F43" s="2555" t="s">
        <v>986</v>
      </c>
      <c r="G43" s="2555"/>
      <c r="H43" s="2555"/>
      <c r="I43" s="2555"/>
      <c r="J43" s="2555"/>
      <c r="K43" s="2555"/>
      <c r="L43" s="2555"/>
      <c r="M43" s="2555"/>
      <c r="N43" s="2555"/>
      <c r="O43" s="2622"/>
      <c r="P43" s="2555"/>
    </row>
    <row r="44" spans="2:16" ht="38.25" x14ac:dyDescent="0.2">
      <c r="B44" s="2586" t="str">
        <f>IF(Présentation!$E$2="Français",'TRAD-Quanti et TdB Péremptions'!D44,IF(Présentation!$E$2="Anglais",'TRAD-Quanti et TdB Péremptions'!F44,""))</f>
        <v>Quantités en stock central, périph et commandes en cours (nb de boites) au début de la période quantifiée [1]</v>
      </c>
      <c r="C44" s="2555"/>
      <c r="D44" s="2555" t="s">
        <v>1558</v>
      </c>
      <c r="E44" s="2555"/>
      <c r="F44" s="2561" t="s">
        <v>1602</v>
      </c>
      <c r="G44" s="2555"/>
      <c r="H44" s="2555"/>
      <c r="I44" s="2555"/>
      <c r="J44" s="2555"/>
      <c r="K44" s="2555"/>
      <c r="L44" s="2555"/>
      <c r="M44" s="2555"/>
      <c r="N44" s="2555"/>
      <c r="O44" s="2622"/>
      <c r="P44" s="2555"/>
    </row>
    <row r="45" spans="2:16" x14ac:dyDescent="0.2">
      <c r="B45" s="2586" t="str">
        <f>IF(Présentation!$E$2="Français",'TRAD-Quanti et TdB Péremptions'!D45,IF(Présentation!$E$2="Anglais",'TRAD-Quanti et TdB Péremptions'!F45,""))</f>
        <v>Besoins bruts sur période (nb de boites)</v>
      </c>
      <c r="C45" s="2555"/>
      <c r="D45" s="2554" t="s">
        <v>1922</v>
      </c>
      <c r="E45" s="2555"/>
      <c r="F45" s="2561" t="s">
        <v>1923</v>
      </c>
      <c r="G45" s="2555"/>
      <c r="H45" s="2555"/>
      <c r="I45" s="2555"/>
      <c r="J45" s="2555"/>
      <c r="K45" s="2555"/>
      <c r="L45" s="2555"/>
      <c r="M45" s="2555"/>
      <c r="N45" s="2555"/>
      <c r="O45" s="2555"/>
      <c r="P45" s="2555"/>
    </row>
    <row r="46" spans="2:16" ht="25.5" x14ac:dyDescent="0.2">
      <c r="B46" s="2586" t="str">
        <f>IF(Présentation!$E$2="Français",'TRAD-Quanti et TdB Péremptions'!D46,IF(Présentation!$E$2="Anglais",'TRAD-Quanti et TdB Péremptions'!F46,""))</f>
        <v>Besoins nets sur la période (nb de cdt)</v>
      </c>
      <c r="C46" s="2555"/>
      <c r="D46" s="2554" t="s">
        <v>2000</v>
      </c>
      <c r="F46" s="2553" t="s">
        <v>1924</v>
      </c>
      <c r="J46" s="2563"/>
      <c r="P46" s="2555"/>
    </row>
    <row r="47" spans="2:16" x14ac:dyDescent="0.2">
      <c r="B47" s="2586" t="str">
        <f>IF(Présentation!$E$2="Français",'TRAD-Quanti et TdB Péremptions'!D47,IF(Présentation!$E$2="Anglais",'TRAD-Quanti et TdB Péremptions'!F47,""))</f>
        <v>Prix (US$) EXW / boite</v>
      </c>
      <c r="D47" s="2554" t="s">
        <v>553</v>
      </c>
      <c r="F47" s="2553" t="s">
        <v>1595</v>
      </c>
    </row>
    <row r="48" spans="2:16" x14ac:dyDescent="0.2">
      <c r="B48" s="2586" t="str">
        <f>IF(Présentation!$E$2="Français",'TRAD-Quanti et TdB Péremptions'!D48,IF(Présentation!$E$2="Anglais",'TRAD-Quanti et TdB Péremptions'!F48,""))</f>
        <v>Montant (US$) EXW</v>
      </c>
      <c r="D48" s="2554" t="s">
        <v>550</v>
      </c>
      <c r="F48" s="2553" t="s">
        <v>1596</v>
      </c>
    </row>
    <row r="49" spans="2:19" ht="25.5" x14ac:dyDescent="0.2">
      <c r="B49" s="2586" t="str">
        <f>IF(Présentation!$E$2="Français",'TRAD-Quanti et TdB Péremptions'!D49,IF(Présentation!$E$2="Anglais",'TRAD-Quanti et TdB Péremptions'!F49,""))</f>
        <v>Besoin net sur la période / période (nb de boites)</v>
      </c>
      <c r="D49" s="2554" t="s">
        <v>1921</v>
      </c>
      <c r="F49" s="2553" t="s">
        <v>1920</v>
      </c>
    </row>
    <row r="50" spans="2:19" x14ac:dyDescent="0.2">
      <c r="B50" s="2586" t="str">
        <f>IF(Présentation!$E$2="Français",'TRAD-Quanti et TdB Péremptions'!D50,IF(Présentation!$E$2="Anglais",'TRAD-Quanti et TdB Péremptions'!F50,""))</f>
        <v>Volume conditionnement primaire (mL)</v>
      </c>
      <c r="D50" s="2554" t="s">
        <v>76</v>
      </c>
      <c r="F50" s="2553" t="s">
        <v>1173</v>
      </c>
    </row>
    <row r="51" spans="2:19" x14ac:dyDescent="0.2">
      <c r="B51" s="2586" t="str">
        <f>IF(Présentation!$E$2="Français",'TRAD-Quanti et TdB Péremptions'!D51,IF(Présentation!$E$2="Anglais",'TRAD-Quanti et TdB Péremptions'!F51,""))</f>
        <v>Conditionement secondaire</v>
      </c>
      <c r="D51" s="2554" t="s">
        <v>77</v>
      </c>
      <c r="F51" s="2553" t="s">
        <v>1010</v>
      </c>
    </row>
    <row r="52" spans="2:19" ht="25.5" x14ac:dyDescent="0.2">
      <c r="B52" s="2586" t="str">
        <f>IF(Présentation!$E$2="Français",'TRAD-Quanti et TdB Péremptions'!D52,IF(Présentation!$E$2="Anglais",'TRAD-Quanti et TdB Péremptions'!F52,""))</f>
        <v>Quantités en stock en nombre de conditionnement primaire</v>
      </c>
      <c r="D52" s="2555" t="s">
        <v>432</v>
      </c>
      <c r="F52" s="2553" t="s">
        <v>1603</v>
      </c>
    </row>
    <row r="53" spans="2:19" ht="25.5" x14ac:dyDescent="0.2">
      <c r="B53" s="2586" t="str">
        <f>IF(Présentation!$E$2="Français",'TRAD-Quanti et TdB Péremptions'!D53,IF(Présentation!$E$2="Anglais",'TRAD-Quanti et TdB Péremptions'!F53,""))</f>
        <v>+ frais de transport,assurance, handling (prix CIP)</v>
      </c>
      <c r="D53" s="2623" t="s">
        <v>552</v>
      </c>
      <c r="F53" s="2553" t="s">
        <v>1604</v>
      </c>
    </row>
    <row r="54" spans="2:19" x14ac:dyDescent="0.2">
      <c r="B54" s="2586" t="str">
        <f>IF(Présentation!$E$2="Français",'TRAD-Quanti et TdB Péremptions'!D54,IF(Présentation!$E$2="Anglais",'TRAD-Quanti et TdB Péremptions'!F54,""))</f>
        <v>+ frais de gestion</v>
      </c>
      <c r="D54" s="2623" t="s">
        <v>551</v>
      </c>
      <c r="F54" s="2553" t="s">
        <v>1605</v>
      </c>
    </row>
    <row r="55" spans="2:19" x14ac:dyDescent="0.2">
      <c r="B55" s="2586" t="str">
        <f>IF(Présentation!$E$2="Français",'TRAD-Quanti et TdB Péremptions'!D55,IF(Présentation!$E$2="Anglais",'TRAD-Quanti et TdB Péremptions'!F55,""))</f>
        <v>Comprimés</v>
      </c>
      <c r="D55" s="2563" t="s">
        <v>97</v>
      </c>
      <c r="F55" s="2553" t="s">
        <v>1112</v>
      </c>
    </row>
    <row r="56" spans="2:19" x14ac:dyDescent="0.2">
      <c r="B56" s="2586" t="str">
        <f>IF(Présentation!$E$2="Français",'TRAD-Quanti et TdB Péremptions'!D56,IF(Présentation!$E$2="Anglais",'TRAD-Quanti et TdB Péremptions'!F56,""))</f>
        <v>Solutions buvables</v>
      </c>
      <c r="D56" s="2554" t="s">
        <v>78</v>
      </c>
      <c r="F56" s="2553" t="s">
        <v>1251</v>
      </c>
    </row>
    <row r="57" spans="2:19" x14ac:dyDescent="0.2">
      <c r="B57" s="2586" t="str">
        <f>IF(Présentation!$E$2="Français",'TRAD-Quanti et TdB Péremptions'!D57,IF(Présentation!$E$2="Anglais",'TRAD-Quanti et TdB Péremptions'!F57,""))</f>
        <v>Notes</v>
      </c>
      <c r="D57" s="2555" t="s">
        <v>357</v>
      </c>
      <c r="E57" s="2555"/>
      <c r="F57" s="2561" t="s">
        <v>357</v>
      </c>
      <c r="G57" s="2555"/>
      <c r="H57" s="2555"/>
      <c r="I57" s="2555"/>
      <c r="J57" s="2555"/>
      <c r="K57" s="2555"/>
      <c r="L57" s="2555"/>
      <c r="M57" s="2555"/>
      <c r="N57" s="2555"/>
    </row>
    <row r="58" spans="2:19" ht="51" x14ac:dyDescent="0.2">
      <c r="B58" s="2586" t="str">
        <f>IF(Présentation!$E$2="Français",'TRAD-Quanti et TdB Péremptions'!D58,IF(Présentation!$E$2="Anglais",'TRAD-Quanti et TdB Péremptions'!F58,""))</f>
        <v>selon option retenue, soit stock disponible total, soit stock disponible utilisable, soit stock prévisionnel total, soit stock prévisionnel utilisable</v>
      </c>
      <c r="D58" s="2555" t="s">
        <v>834</v>
      </c>
      <c r="F58" s="2561" t="s">
        <v>1615</v>
      </c>
      <c r="G58" s="2555"/>
      <c r="H58" s="2555"/>
      <c r="I58" s="2555"/>
      <c r="J58" s="2555"/>
      <c r="K58" s="2555"/>
      <c r="L58" s="2555"/>
      <c r="M58" s="2555"/>
      <c r="N58" s="2555"/>
    </row>
    <row r="59" spans="2:19" x14ac:dyDescent="0.2">
      <c r="B59" s="2586" t="str">
        <f>IF(Présentation!$E$2="Français",'TRAD-Quanti et TdB Péremptions'!D59,IF(Présentation!$E$2="Anglais",'TRAD-Quanti et TdB Péremptions'!F59,""))</f>
        <v xml:space="preserve"> et</v>
      </c>
      <c r="D59" s="2555" t="s">
        <v>1556</v>
      </c>
      <c r="E59" s="2555"/>
      <c r="F59" s="2561" t="s">
        <v>1598</v>
      </c>
      <c r="G59" s="2555"/>
      <c r="H59" s="2555"/>
      <c r="I59" s="2555"/>
      <c r="J59" s="2555"/>
      <c r="K59" s="2555"/>
      <c r="L59" s="2555"/>
      <c r="M59" s="2555"/>
      <c r="N59" s="2555"/>
    </row>
    <row r="60" spans="2:19" ht="25.5" x14ac:dyDescent="0.2">
      <c r="B60" s="2586" t="str">
        <f>IF(Présentation!$E$2="Français",'TRAD-Quanti et TdB Péremptions'!D60,IF(Présentation!$E$2="Anglais",'TRAD-Quanti et TdB Péremptions'!F60,""))</f>
        <v>Résultats - Tableau de bord Gestion de péremptions</v>
      </c>
      <c r="D60" s="2554" t="s">
        <v>408</v>
      </c>
      <c r="E60" s="2554"/>
      <c r="F60" s="2556" t="s">
        <v>1599</v>
      </c>
      <c r="G60" s="2554"/>
      <c r="H60" s="2554"/>
      <c r="I60" s="2554"/>
      <c r="J60" s="2554"/>
      <c r="K60" s="2554"/>
      <c r="L60" s="2554"/>
      <c r="M60" s="2554"/>
      <c r="N60" s="2554"/>
      <c r="O60" s="2554"/>
      <c r="P60" s="2554"/>
      <c r="Q60" s="2554"/>
      <c r="R60" s="2554"/>
      <c r="S60" s="2554"/>
    </row>
    <row r="61" spans="2:19" x14ac:dyDescent="0.2">
      <c r="B61" s="2586" t="str">
        <f>IF(Présentation!$E$2="Français",'TRAD-Quanti et TdB Péremptions'!D61,IF(Présentation!$E$2="Anglais",'TRAD-Quanti et TdB Péremptions'!F61,""))</f>
        <v>Paramétrage</v>
      </c>
      <c r="D61" s="2558" t="s">
        <v>698</v>
      </c>
      <c r="F61" s="2553" t="s">
        <v>1568</v>
      </c>
    </row>
    <row r="62" spans="2:19" ht="38.25" x14ac:dyDescent="0.2">
      <c r="B62" s="2586" t="str">
        <f>IF(Présentation!$E$2="Français",'TRAD-Quanti et TdB Péremptions'!D62,IF(Présentation!$E$2="Anglais",'TRAD-Quanti et TdB Péremptions'!F62,""))</f>
        <v>Sélectionnez dans le menu ci-dessous les données /méthode que vous souhaitez utiliser pour l'estimation des besoins</v>
      </c>
      <c r="D62" s="2558" t="s">
        <v>801</v>
      </c>
      <c r="F62" s="2553" t="s">
        <v>1606</v>
      </c>
    </row>
    <row r="63" spans="2:19" x14ac:dyDescent="0.2">
      <c r="B63" s="2586" t="str">
        <f>IF(Présentation!$E$2="Français",'TRAD-Quanti et TdB Péremptions'!D63,IF(Présentation!$E$2="Anglais",'TRAD-Quanti et TdB Péremptions'!F63,""))</f>
        <v>Consommations/Distributions</v>
      </c>
      <c r="D63" s="2624" t="s">
        <v>784</v>
      </c>
      <c r="F63" s="2553" t="s">
        <v>1600</v>
      </c>
    </row>
    <row r="64" spans="2:19" x14ac:dyDescent="0.2">
      <c r="B64" s="2586" t="str">
        <f>IF(Présentation!$E$2="Français",'TRAD-Quanti et TdB Péremptions'!D64,IF(Présentation!$E$2="Anglais",'TRAD-Quanti et TdB Péremptions'!F64,""))</f>
        <v>Prix GPRM</v>
      </c>
      <c r="D64" s="2624" t="s">
        <v>1859</v>
      </c>
      <c r="F64" s="2553" t="s">
        <v>1860</v>
      </c>
    </row>
    <row r="65" spans="2:11" x14ac:dyDescent="0.2">
      <c r="B65" s="2586" t="str">
        <f>IF(Présentation!$E$2="Français",'TRAD-Quanti et TdB Péremptions'!D65,IF(Présentation!$E$2="Anglais",'TRAD-Quanti et TdB Péremptions'!F65,""))</f>
        <v>Prix VPP</v>
      </c>
      <c r="D65" s="2624" t="s">
        <v>1858</v>
      </c>
      <c r="F65" s="2553" t="s">
        <v>1861</v>
      </c>
    </row>
    <row r="66" spans="2:11" x14ac:dyDescent="0.2">
      <c r="B66" s="2586" t="str">
        <f>IF(Présentation!$E$2="Français",'TRAD-Quanti et TdB Péremptions'!D66,IF(Présentation!$E$2="Anglais",'TRAD-Quanti et TdB Péremptions'!F66,""))</f>
        <v>Prix médian</v>
      </c>
      <c r="D66" s="2619" t="s">
        <v>832</v>
      </c>
      <c r="F66" s="2553" t="s">
        <v>1597</v>
      </c>
      <c r="H66" s="2624"/>
      <c r="I66" s="2624"/>
    </row>
    <row r="67" spans="2:11" x14ac:dyDescent="0.2">
      <c r="B67" s="2586" t="str">
        <f>IF(Présentation!$E$2="Français",'TRAD-Quanti et TdB Péremptions'!D67,IF(Présentation!$E$2="Anglais",'TRAD-Quanti et TdB Péremptions'!F67,""))</f>
        <v>Prix interquartile 75</v>
      </c>
      <c r="D67" s="2619" t="s">
        <v>1848</v>
      </c>
      <c r="F67" s="2553" t="s">
        <v>1849</v>
      </c>
      <c r="H67" s="2624"/>
      <c r="I67" s="2624"/>
    </row>
    <row r="68" spans="2:11" x14ac:dyDescent="0.2">
      <c r="B68" s="2586" t="str">
        <f>IF(Présentation!$E$2="Français",'TRAD-Quanti et TdB Péremptions'!D68,IF(Présentation!$E$2="Anglais",'TRAD-Quanti et TdB Péremptions'!F68,""))</f>
        <v>Prix VPP</v>
      </c>
      <c r="D68" s="2619" t="s">
        <v>1858</v>
      </c>
      <c r="F68" s="2553" t="s">
        <v>1861</v>
      </c>
      <c r="H68" s="2624"/>
      <c r="I68" s="2624"/>
    </row>
    <row r="69" spans="2:11" x14ac:dyDescent="0.2">
      <c r="B69" s="2586" t="str">
        <f>IF(Présentation!$E$2="Français",'TRAD-Quanti et TdB Péremptions'!D69,IF(Présentation!$E$2="Anglais",'TRAD-Quanti et TdB Péremptions'!F69,""))</f>
        <v>Prix moyen</v>
      </c>
      <c r="D69" s="2619" t="s">
        <v>1910</v>
      </c>
      <c r="F69" s="2553" t="s">
        <v>1911</v>
      </c>
      <c r="H69" s="2624"/>
      <c r="I69" s="2624"/>
    </row>
    <row r="70" spans="2:11" x14ac:dyDescent="0.2">
      <c r="B70" s="2586" t="str">
        <f>IF(Présentation!$E$2="Français",'TRAD-Quanti et TdB Péremptions'!D70,IF(Présentation!$E$2="Anglais",'TRAD-Quanti et TdB Péremptions'!F70,""))</f>
        <v>Prix maximum</v>
      </c>
      <c r="D70" s="2619" t="s">
        <v>1912</v>
      </c>
      <c r="F70" s="2553" t="s">
        <v>1913</v>
      </c>
      <c r="H70" s="2624"/>
      <c r="I70" s="2624"/>
    </row>
    <row r="71" spans="2:11" ht="25.5" x14ac:dyDescent="0.2">
      <c r="B71" s="2586" t="str">
        <f>IF(Présentation!$E$2="Français",'TRAD-Quanti et TdB Péremptions'!D71,IF(Présentation!$E$2="Anglais",'TRAD-Quanti et TdB Péremptions'!F71,""))</f>
        <v>Quel type de prix souhaitez vous prendre en compte ? (1 seule case/4)</v>
      </c>
      <c r="D71" s="2558" t="s">
        <v>1914</v>
      </c>
      <c r="F71" s="2553" t="s">
        <v>1915</v>
      </c>
    </row>
    <row r="72" spans="2:11" ht="25.5" x14ac:dyDescent="0.2">
      <c r="B72" s="2586" t="str">
        <f>IF(Présentation!$E$2="Français",'TRAD-Quanti et TdB Péremptions'!D72,IF(Présentation!$E$2="Anglais",'TRAD-Quanti et TdB Péremptions'!F72,""))</f>
        <v>précisez la marge que vous souhaitez (frais de transport/frais de gestion) ?</v>
      </c>
      <c r="D72" s="2558" t="s">
        <v>839</v>
      </c>
      <c r="F72" s="2553" t="s">
        <v>1607</v>
      </c>
    </row>
    <row r="73" spans="2:11" x14ac:dyDescent="0.2">
      <c r="B73" s="2586" t="str">
        <f>IF(Présentation!$E$2="Français",'TRAD-Quanti et TdB Péremptions'!D73,IF(Présentation!$E$2="Anglais",'TRAD-Quanti et TdB Péremptions'!F73,""))</f>
        <v>Remarque</v>
      </c>
      <c r="D73" s="2558" t="s">
        <v>67</v>
      </c>
      <c r="F73" s="2553" t="s">
        <v>1008</v>
      </c>
      <c r="K73" s="2622"/>
    </row>
    <row r="74" spans="2:11" x14ac:dyDescent="0.2">
      <c r="B74" s="2586" t="str">
        <f>IF(Présentation!$E$2="Français",'TRAD-Quanti et TdB Péremptions'!D74,IF(Présentation!$E$2="Anglais",'TRAD-Quanti et TdB Péremptions'!F74,""))</f>
        <v>DLU = Date Limite d'Utilisation</v>
      </c>
      <c r="D74" s="2558" t="s">
        <v>409</v>
      </c>
      <c r="F74" s="2553" t="s">
        <v>1608</v>
      </c>
    </row>
    <row r="75" spans="2:11" ht="25.5" x14ac:dyDescent="0.2">
      <c r="B75" s="2586" t="str">
        <f>IF(Présentation!$E$2="Français",'TRAD-Quanti et TdB Péremptions'!D75,IF(Présentation!$E$2="Anglais",'TRAD-Quanti et TdB Péremptions'!F75,""))</f>
        <v>Ce tableau tient compte de l'ensemble des données saisies dans l'onglet de saisie</v>
      </c>
      <c r="D75" s="2558" t="s">
        <v>410</v>
      </c>
      <c r="F75" s="2553" t="s">
        <v>1601</v>
      </c>
    </row>
    <row r="76" spans="2:11" ht="76.5" x14ac:dyDescent="0.2">
      <c r="B76" s="2586" t="str">
        <f>IF(Présentation!$E$2="Français",'TRAD-Quanti et TdB Péremptions'!D76,IF(Présentation!$E$2="Anglais",'TRAD-Quanti et TdB Péremptions'!F76,""))</f>
        <v>Les estimations sont faites en considérant que le retrait à lieu au moment de la DLU et non quelques semaines ou mois avant, ce qui aurait pour conséquence d'augmenter les pertes mentionnées ci-dessous.</v>
      </c>
      <c r="D76" s="2558" t="s">
        <v>411</v>
      </c>
      <c r="F76" s="2553" t="s">
        <v>1610</v>
      </c>
    </row>
    <row r="77" spans="2:11" ht="63.75" x14ac:dyDescent="0.2">
      <c r="B77" s="2586" t="str">
        <f>IF(Présentation!$E$2="Français",'TRAD-Quanti et TdB Péremptions'!D77,IF(Présentation!$E$2="Anglais",'TRAD-Quanti et TdB Péremptions'!F77,""))</f>
        <v>Lorsque la première colonne indique "saisie incomplète des DLU et Qtés", cela veut dire que la saisie des DLU ne représente pas la quantité totale en stock.</v>
      </c>
      <c r="D77" s="2558" t="s">
        <v>412</v>
      </c>
      <c r="F77" s="2553" t="s">
        <v>1611</v>
      </c>
    </row>
    <row r="78" spans="2:11" ht="38.25" x14ac:dyDescent="0.2">
      <c r="B78" s="2586" t="str">
        <f>IF(Présentation!$E$2="Français",'TRAD-Quanti et TdB Péremptions'!D78,IF(Présentation!$E$2="Anglais",'TRAD-Quanti et TdB Péremptions'!F78,""))</f>
        <v>Lorsqu'une date apparaît dans une cellule orange, c'est que la DLU est dans moins de 6 mois</v>
      </c>
      <c r="D78" s="2558" t="s">
        <v>413</v>
      </c>
      <c r="F78" s="2553" t="s">
        <v>1612</v>
      </c>
    </row>
    <row r="79" spans="2:11" x14ac:dyDescent="0.2">
      <c r="B79" s="2586" t="str">
        <f>IF(Présentation!$E$2="Français",'TRAD-Quanti et TdB Péremptions'!D79,IF(Présentation!$E$2="Anglais",'TRAD-Quanti et TdB Péremptions'!F79,""))</f>
        <v>Nom</v>
      </c>
      <c r="D79" s="2554" t="s">
        <v>143</v>
      </c>
      <c r="F79" s="2553" t="s">
        <v>1609</v>
      </c>
    </row>
    <row r="80" spans="2:11" x14ac:dyDescent="0.2">
      <c r="B80" s="2586" t="str">
        <f>IF(Présentation!$E$2="Français",'TRAD-Quanti et TdB Péremptions'!D80,IF(Présentation!$E$2="Anglais",'TRAD-Quanti et TdB Péremptions'!F80,""))</f>
        <v>DLU n°1</v>
      </c>
      <c r="D80" s="2554" t="s">
        <v>393</v>
      </c>
      <c r="F80" s="2553" t="s">
        <v>1850</v>
      </c>
    </row>
    <row r="81" spans="2:19" x14ac:dyDescent="0.2">
      <c r="B81" s="2586" t="str">
        <f>IF(Présentation!$E$2="Français",'TRAD-Quanti et TdB Péremptions'!D81,IF(Présentation!$E$2="Anglais",'TRAD-Quanti et TdB Péremptions'!F81,""))</f>
        <v>DLU n°2</v>
      </c>
      <c r="D81" s="2554" t="s">
        <v>394</v>
      </c>
      <c r="F81" s="2553" t="s">
        <v>1851</v>
      </c>
    </row>
    <row r="82" spans="2:19" x14ac:dyDescent="0.2">
      <c r="B82" s="2586" t="str">
        <f>IF(Présentation!$E$2="Français",'TRAD-Quanti et TdB Péremptions'!D82,IF(Présentation!$E$2="Anglais",'TRAD-Quanti et TdB Péremptions'!F82,""))</f>
        <v>DLU n°3</v>
      </c>
      <c r="D82" s="2554" t="s">
        <v>396</v>
      </c>
      <c r="F82" s="2556" t="s">
        <v>1852</v>
      </c>
      <c r="H82" s="2554"/>
      <c r="J82" s="2554"/>
      <c r="L82" s="2554"/>
      <c r="N82" s="2554"/>
      <c r="P82" s="2554"/>
      <c r="R82" s="2554"/>
    </row>
    <row r="83" spans="2:19" x14ac:dyDescent="0.2">
      <c r="B83" s="2586" t="str">
        <f>IF(Présentation!$E$2="Français",'TRAD-Quanti et TdB Péremptions'!D83,IF(Présentation!$E$2="Anglais",'TRAD-Quanti et TdB Péremptions'!F83,""))</f>
        <v>DLU n°4</v>
      </c>
      <c r="D83" s="2554" t="s">
        <v>398</v>
      </c>
      <c r="F83" s="2556" t="s">
        <v>1853</v>
      </c>
      <c r="G83" s="2554"/>
      <c r="H83" s="2554"/>
      <c r="I83" s="2554"/>
      <c r="J83" s="2554"/>
      <c r="K83" s="2554"/>
      <c r="L83" s="2554"/>
      <c r="M83" s="2554"/>
      <c r="N83" s="2554"/>
      <c r="O83" s="2554"/>
      <c r="P83" s="2554"/>
      <c r="Q83" s="2554"/>
      <c r="R83" s="2554"/>
      <c r="S83" s="2554"/>
    </row>
    <row r="84" spans="2:19" x14ac:dyDescent="0.2">
      <c r="B84" s="2586" t="str">
        <f>IF(Présentation!$E$2="Français",'TRAD-Quanti et TdB Péremptions'!D84,IF(Présentation!$E$2="Anglais",'TRAD-Quanti et TdB Péremptions'!F84,""))</f>
        <v>DLU n°5</v>
      </c>
      <c r="D84" s="2554" t="s">
        <v>400</v>
      </c>
      <c r="F84" s="2556" t="s">
        <v>1854</v>
      </c>
    </row>
    <row r="85" spans="2:19" x14ac:dyDescent="0.2">
      <c r="B85" s="2586" t="str">
        <f>IF(Présentation!$E$2="Français",'TRAD-Quanti et TdB Péremptions'!D85,IF(Présentation!$E$2="Anglais",'TRAD-Quanti et TdB Péremptions'!F85,""))</f>
        <v>DLU n°6</v>
      </c>
      <c r="D85" s="2554" t="s">
        <v>402</v>
      </c>
      <c r="F85" s="2556" t="s">
        <v>1855</v>
      </c>
    </row>
    <row r="86" spans="2:19" x14ac:dyDescent="0.2">
      <c r="B86" s="2586" t="str">
        <f>IF(Présentation!$E$2="Français",'TRAD-Quanti et TdB Péremptions'!D86,IF(Présentation!$E$2="Anglais",'TRAD-Quanti et TdB Péremptions'!F86,""))</f>
        <v>DLU n°7</v>
      </c>
      <c r="D86" s="2554" t="s">
        <v>404</v>
      </c>
      <c r="F86" s="2556" t="s">
        <v>1856</v>
      </c>
    </row>
    <row r="87" spans="2:19" x14ac:dyDescent="0.2">
      <c r="B87" s="2586" t="str">
        <f>IF(Présentation!$E$2="Français",'TRAD-Quanti et TdB Péremptions'!D87,IF(Présentation!$E$2="Anglais",'TRAD-Quanti et TdB Péremptions'!F87,""))</f>
        <v>Indicateur Utilisation DLU n°1</v>
      </c>
      <c r="D87" s="2554" t="s">
        <v>392</v>
      </c>
      <c r="F87" s="2553" t="s">
        <v>1834</v>
      </c>
    </row>
    <row r="88" spans="2:19" x14ac:dyDescent="0.2">
      <c r="B88" s="2586" t="str">
        <f>IF(Présentation!$E$2="Français",'TRAD-Quanti et TdB Péremptions'!D88,IF(Présentation!$E$2="Anglais",'TRAD-Quanti et TdB Péremptions'!F88,""))</f>
        <v>Indicateur Utilisation DLU n°2</v>
      </c>
      <c r="D88" s="2554" t="s">
        <v>395</v>
      </c>
      <c r="F88" s="2553" t="s">
        <v>1835</v>
      </c>
    </row>
    <row r="89" spans="2:19" x14ac:dyDescent="0.2">
      <c r="B89" s="2586" t="str">
        <f>IF(Présentation!$E$2="Français",'TRAD-Quanti et TdB Péremptions'!D89,IF(Présentation!$E$2="Anglais",'TRAD-Quanti et TdB Péremptions'!F89,""))</f>
        <v>Indicateur Utilisation DLU n°3</v>
      </c>
      <c r="D89" s="2554" t="s">
        <v>397</v>
      </c>
      <c r="F89" s="2556" t="s">
        <v>1831</v>
      </c>
      <c r="H89" s="2554"/>
      <c r="J89" s="2554"/>
      <c r="L89" s="2554"/>
      <c r="N89" s="2554"/>
      <c r="P89" s="2554"/>
      <c r="R89" s="2554"/>
    </row>
    <row r="90" spans="2:19" x14ac:dyDescent="0.2">
      <c r="B90" s="2586" t="str">
        <f>IF(Présentation!$E$2="Français",'TRAD-Quanti et TdB Péremptions'!D90,IF(Présentation!$E$2="Anglais",'TRAD-Quanti et TdB Péremptions'!F90,""))</f>
        <v>Indicateur Utilisation DLU n°4</v>
      </c>
      <c r="D90" s="2554" t="s">
        <v>399</v>
      </c>
      <c r="F90" s="2556" t="s">
        <v>1832</v>
      </c>
      <c r="G90" s="2554"/>
      <c r="H90" s="2554"/>
      <c r="I90" s="2554"/>
      <c r="J90" s="2554"/>
      <c r="K90" s="2554"/>
      <c r="L90" s="2554"/>
      <c r="M90" s="2554"/>
      <c r="N90" s="2554"/>
      <c r="O90" s="2554"/>
      <c r="P90" s="2554"/>
      <c r="Q90" s="2554"/>
      <c r="R90" s="2554"/>
      <c r="S90" s="2554"/>
    </row>
    <row r="91" spans="2:19" x14ac:dyDescent="0.2">
      <c r="B91" s="2586" t="str">
        <f>IF(Présentation!$E$2="Français",'TRAD-Quanti et TdB Péremptions'!D91,IF(Présentation!$E$2="Anglais",'TRAD-Quanti et TdB Péremptions'!F91,""))</f>
        <v>Indicateur Utilisation DLU n°5</v>
      </c>
      <c r="D91" s="2554" t="s">
        <v>401</v>
      </c>
      <c r="F91" s="2556" t="s">
        <v>1829</v>
      </c>
    </row>
    <row r="92" spans="2:19" x14ac:dyDescent="0.2">
      <c r="B92" s="2586" t="str">
        <f>IF(Présentation!$E$2="Français",'TRAD-Quanti et TdB Péremptions'!D92,IF(Présentation!$E$2="Anglais",'TRAD-Quanti et TdB Péremptions'!F92,""))</f>
        <v>Indicateur Utilisation DLU n°6</v>
      </c>
      <c r="D92" s="2554" t="s">
        <v>403</v>
      </c>
      <c r="F92" s="2556" t="s">
        <v>1830</v>
      </c>
    </row>
    <row r="93" spans="2:19" x14ac:dyDescent="0.2">
      <c r="B93" s="2586" t="str">
        <f>IF(Présentation!$E$2="Français",'TRAD-Quanti et TdB Péremptions'!D93,IF(Présentation!$E$2="Anglais",'TRAD-Quanti et TdB Péremptions'!F93,""))</f>
        <v>Indicateur Utilisation DLU n°7</v>
      </c>
      <c r="D93" s="2554" t="s">
        <v>405</v>
      </c>
      <c r="F93" s="2556" t="s">
        <v>1833</v>
      </c>
    </row>
    <row r="94" spans="2:19" x14ac:dyDescent="0.2">
      <c r="B94" s="2586" t="str">
        <f>IF(Présentation!$E$2="Français",'TRAD-Quanti et TdB Péremptions'!D94,IF(Présentation!$E$2="Anglais",'TRAD-Quanti et TdB Péremptions'!F94,""))</f>
        <v>Comprimés</v>
      </c>
      <c r="D94" s="2554" t="s">
        <v>97</v>
      </c>
      <c r="F94" s="2556" t="s">
        <v>1007</v>
      </c>
    </row>
    <row r="95" spans="2:19" x14ac:dyDescent="0.2">
      <c r="B95" s="2586" t="str">
        <f>IF(Présentation!$E$2="Français",'TRAD-Quanti et TdB Péremptions'!D95,IF(Présentation!$E$2="Anglais",'TRAD-Quanti et TdB Péremptions'!F95,""))</f>
        <v>Attention - pertes-</v>
      </c>
      <c r="D95" s="2554" t="s">
        <v>1798</v>
      </c>
      <c r="E95" s="2554"/>
      <c r="F95" s="2554" t="s">
        <v>1828</v>
      </c>
    </row>
    <row r="96" spans="2:19" x14ac:dyDescent="0.2">
      <c r="B96" s="2586" t="str">
        <f>IF(Présentation!$E$2="Français",'TRAD-Quanti et TdB Péremptions'!D96,IF(Présentation!$E$2="Anglais",'TRAD-Quanti et TdB Péremptions'!F96,""))</f>
        <v xml:space="preserve">Btes - </v>
      </c>
      <c r="D96" s="2554" t="s">
        <v>1799</v>
      </c>
      <c r="E96" s="2554"/>
      <c r="F96" s="2554" t="s">
        <v>1800</v>
      </c>
    </row>
    <row r="97" spans="2:6" x14ac:dyDescent="0.2">
      <c r="B97" s="2586" t="str">
        <f>IF(Présentation!$E$2="Français",'TRAD-Quanti et TdB Péremptions'!D97,IF(Présentation!$E$2="Anglais",'TRAD-Quanti et TdB Péremptions'!F97,""))</f>
        <v>SAISIE INCOMPLETE DES DLU et Qtés</v>
      </c>
      <c r="D97" s="2554" t="s">
        <v>1801</v>
      </c>
      <c r="E97" s="2554"/>
      <c r="F97" s="2554" t="s">
        <v>1827</v>
      </c>
    </row>
    <row r="98" spans="2:6" x14ac:dyDescent="0.2">
      <c r="B98" s="2586" t="str">
        <f>IF(Présentation!$E$2="Français",'TRAD-Quanti et TdB Péremptions'!D98,IF(Présentation!$E$2="Anglais",'TRAD-Quanti et TdB Péremptions'!F98,""))</f>
        <v>SOLUTIONS BUVABLES</v>
      </c>
      <c r="D98" s="2558" t="s">
        <v>802</v>
      </c>
      <c r="F98" s="2558" t="s">
        <v>1802</v>
      </c>
    </row>
    <row r="99" spans="2:6" ht="63.75" x14ac:dyDescent="0.2">
      <c r="B99" s="2586" t="str">
        <f>IF(Présentation!$E$2="Français",'TRAD-Quanti et TdB Péremptions'!D99,IF(Présentation!$E$2="Anglais",'TRAD-Quanti et TdB Péremptions'!F99,""))</f>
        <v>Attention, assurez vous que le prix du produit souhaité existe dans la source sélectionnée. Sans cela, le prix mentionné dans le tableau peut être égal à 0</v>
      </c>
      <c r="D99" s="2558" t="s">
        <v>1991</v>
      </c>
      <c r="F99" s="2558" t="s">
        <v>1992</v>
      </c>
    </row>
    <row r="100" spans="2:6" x14ac:dyDescent="0.2">
      <c r="B100" s="2586" t="str">
        <f>IF(Présentation!$E$2="Français",'TRAD-Quanti et TdB Péremptions'!D100,IF(Présentation!$E$2="Anglais",'TRAD-Quanti et TdB Péremptions'!F100,""))</f>
        <v>Divers</v>
      </c>
      <c r="D100" s="2558" t="s">
        <v>2002</v>
      </c>
    </row>
    <row r="101" spans="2:6" ht="25.5" x14ac:dyDescent="0.2">
      <c r="B101" s="2586" t="str">
        <f>IF(Présentation!$E$2="Français",'TRAD-Quanti et TdB Péremptions'!D101,IF(Présentation!$E$2="Anglais",'TRAD-Quanti et TdB Péremptions'!F101,""))</f>
        <v>Souhaitez vous arrondir les valeurs de besoins mensuels à l'unité supérieure ?</v>
      </c>
      <c r="D101" s="2558" t="s">
        <v>2001</v>
      </c>
      <c r="F101" s="2558" t="s">
        <v>2008</v>
      </c>
    </row>
  </sheetData>
  <sheetProtection password="D0E7" sheet="1" objects="1" scenarios="1"/>
  <conditionalFormatting sqref="D73:E73 E63:E70 D61:E61 D79:D86 E76:E88">
    <cfRule type="cellIs" dxfId="9" priority="3" operator="equal">
      <formula>"SAISIE INCOMPLETE DES DLU et Qtés"</formula>
    </cfRule>
  </conditionalFormatting>
  <dataValidations count="5">
    <dataValidation type="list" allowBlank="1" showInputMessage="1" showErrorMessage="1" sqref="G71:G72">
      <formula1>"File active, Consommations/Distributions"</formula1>
    </dataValidation>
    <dataValidation type="list" allowBlank="1" showInputMessage="1" showErrorMessage="1" sqref="O35:O36 O31:O32 D18:D19">
      <formula1>"OUI, NON"</formula1>
    </dataValidation>
    <dataValidation type="decimal" allowBlank="1" showInputMessage="1" showErrorMessage="1" sqref="O43:O44">
      <formula1>0</formula1>
      <formula2>1</formula2>
    </dataValidation>
    <dataValidation type="list" showInputMessage="1" showErrorMessage="1" sqref="O20">
      <formula1>"OUI, NON"</formula1>
    </dataValidation>
    <dataValidation type="date" operator="greaterThan" allowBlank="1" showInputMessage="1" showErrorMessage="1" sqref="O23">
      <formula1>36526</formula1>
    </dataValidation>
  </dataValidations>
  <hyperlinks>
    <hyperlink ref="D8" location="Paramétrage!D36" display="Si oui, cette période est à renseigner dans la cellule D36 de la page &quot;Paramétrage&quot;"/>
    <hyperlink ref="D28" location="Paramétrage!D16" display="Accéder directement à cette cellule"/>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tabColor rgb="FF00B0F0"/>
  </sheetPr>
  <dimension ref="A2:BX58"/>
  <sheetViews>
    <sheetView showGridLines="0" topLeftCell="J1" zoomScale="70" zoomScaleNormal="70" workbookViewId="0">
      <selection activeCell="P17" sqref="P17"/>
    </sheetView>
  </sheetViews>
  <sheetFormatPr defaultColWidth="11.42578125" defaultRowHeight="12.75" x14ac:dyDescent="0.2"/>
  <cols>
    <col min="1" max="1" width="4.5703125" style="599" customWidth="1"/>
    <col min="2" max="2" width="10.5703125" style="599" customWidth="1"/>
    <col min="3" max="3" width="11.42578125" style="599"/>
    <col min="4" max="4" width="16.42578125" style="599" bestFit="1" customWidth="1"/>
    <col min="5" max="5" width="13" style="599" bestFit="1" customWidth="1"/>
    <col min="6" max="6" width="19.85546875" style="599" customWidth="1"/>
    <col min="7" max="7" width="15.28515625" style="599" customWidth="1"/>
    <col min="8" max="8" width="13.42578125" style="599" customWidth="1"/>
    <col min="9" max="12" width="11.42578125" style="599"/>
    <col min="13" max="13" width="13.5703125" style="599" bestFit="1" customWidth="1"/>
    <col min="14" max="14" width="11.42578125" style="599"/>
    <col min="15" max="16" width="14.28515625" style="599" customWidth="1"/>
    <col min="17" max="17" width="14.85546875" style="599" customWidth="1"/>
    <col min="18" max="19" width="11.42578125" style="599"/>
    <col min="20" max="20" width="14.85546875" style="599" customWidth="1"/>
    <col min="21" max="22" width="11.42578125" style="599"/>
    <col min="23" max="23" width="14.85546875" style="599" customWidth="1"/>
    <col min="24" max="25" width="11.42578125" style="599"/>
    <col min="26" max="26" width="14.85546875" style="599" customWidth="1"/>
    <col min="27" max="28" width="11.42578125" style="599"/>
    <col min="29" max="29" width="14.85546875" style="599" customWidth="1"/>
    <col min="30" max="31" width="11.42578125" style="599"/>
    <col min="32" max="32" width="14.85546875" style="599" customWidth="1"/>
    <col min="33" max="34" width="11.42578125" style="599"/>
    <col min="35" max="35" width="14.85546875" style="599" customWidth="1"/>
    <col min="36" max="37" width="11.42578125" style="599"/>
    <col min="38" max="38" width="14.85546875" style="599" customWidth="1"/>
    <col min="39" max="40" width="11.42578125" style="599"/>
    <col min="41" max="41" width="14.85546875" style="599" customWidth="1"/>
    <col min="42" max="43" width="11.42578125" style="599"/>
    <col min="44" max="44" width="14.85546875" style="599" customWidth="1"/>
    <col min="45" max="46" width="11.42578125" style="599"/>
    <col min="47" max="47" width="14.85546875" style="599" customWidth="1"/>
    <col min="48" max="16384" width="11.42578125" style="599"/>
  </cols>
  <sheetData>
    <row r="2" spans="1:76" s="1617" customFormat="1" ht="16.5" thickBot="1" x14ac:dyDescent="0.3">
      <c r="A2" s="3301" t="str">
        <f>'TRAD-quanti trimestre'!B2</f>
        <v>Quantification des besoins répartie par trimestre</v>
      </c>
      <c r="B2" s="3301"/>
      <c r="C2" s="3301"/>
      <c r="D2" s="3301"/>
      <c r="E2" s="3301"/>
      <c r="F2" s="3301"/>
      <c r="G2" s="3301"/>
      <c r="H2" s="3301"/>
      <c r="I2" s="3301"/>
      <c r="J2" s="3301"/>
      <c r="K2" s="3301"/>
      <c r="L2" s="3301"/>
      <c r="M2" s="3301"/>
      <c r="N2" s="3301"/>
      <c r="O2" s="3301"/>
      <c r="P2" s="3301"/>
      <c r="Q2" s="3301"/>
      <c r="R2" s="3301"/>
      <c r="S2" s="3301"/>
      <c r="AN2" s="1506"/>
      <c r="AO2" s="1506"/>
      <c r="AP2" s="1506"/>
      <c r="AQ2" s="1506"/>
      <c r="AR2" s="1506"/>
      <c r="AS2" s="1506"/>
      <c r="AT2" s="1506"/>
    </row>
    <row r="3" spans="1:76" x14ac:dyDescent="0.2">
      <c r="Z3" s="3137"/>
    </row>
    <row r="4" spans="1:76" ht="13.5" thickBot="1" x14ac:dyDescent="0.25">
      <c r="B4" s="3097" t="str">
        <f>'TRAD-quanti trimestre'!B3</f>
        <v>Aucun paramétrage ou aucune valeur ne doit être renseigné ici. Tout se fait dans la feuille "Quanti"</v>
      </c>
      <c r="Q4" s="1217"/>
      <c r="R4" s="1217"/>
      <c r="S4" s="1217"/>
      <c r="T4" s="1217"/>
      <c r="U4" s="1217"/>
      <c r="V4" s="1217"/>
      <c r="W4" s="1217"/>
      <c r="X4" s="1217"/>
      <c r="Y4" s="1217"/>
      <c r="Z4" s="1217"/>
      <c r="AA4" s="1217"/>
      <c r="AB4" s="1217"/>
      <c r="AC4" s="1217"/>
      <c r="AD4" s="1217"/>
      <c r="AE4" s="1217"/>
      <c r="AF4" s="1217"/>
      <c r="AG4" s="1217"/>
      <c r="AH4" s="1217"/>
      <c r="AI4" s="1217"/>
      <c r="AJ4" s="1217"/>
      <c r="AK4" s="1217"/>
      <c r="AL4" s="1217"/>
      <c r="AM4" s="1217"/>
      <c r="AN4" s="1217"/>
      <c r="AO4" s="1217"/>
      <c r="AP4" s="1217"/>
      <c r="AQ4" s="1217"/>
      <c r="AR4" s="1217"/>
      <c r="AS4" s="1217"/>
      <c r="AT4" s="1217"/>
      <c r="AU4" s="1217"/>
      <c r="AV4" s="1217"/>
      <c r="AW4" s="1217"/>
      <c r="AX4" s="1217"/>
      <c r="AY4" s="1217"/>
      <c r="AZ4" s="1217"/>
      <c r="BA4" s="1217"/>
      <c r="BB4" s="1217"/>
      <c r="BC4" s="1217"/>
      <c r="BD4" s="1217"/>
      <c r="BE4" s="1217"/>
      <c r="BF4" s="1217"/>
      <c r="BG4" s="1217"/>
      <c r="BH4" s="1217"/>
      <c r="BI4" s="1217"/>
      <c r="BJ4" s="1217"/>
      <c r="BK4" s="1217"/>
      <c r="BL4" s="1217"/>
      <c r="BM4" s="1217"/>
      <c r="BN4" s="1217"/>
      <c r="BO4" s="1217"/>
      <c r="BP4" s="1217"/>
      <c r="BQ4" s="1217"/>
      <c r="BR4" s="1217"/>
      <c r="BS4" s="1217"/>
      <c r="BT4" s="1217"/>
      <c r="BU4" s="1217"/>
      <c r="BV4" s="1217"/>
      <c r="BW4" s="1217"/>
      <c r="BX4" s="1217"/>
    </row>
    <row r="5" spans="1:76" ht="25.5" x14ac:dyDescent="0.2">
      <c r="M5" s="3131" t="str">
        <f>'TRAD-quanti trimestre'!B11</f>
        <v>Période intermédiaire</v>
      </c>
      <c r="Q5" s="3130" t="str">
        <f>'TRAD-quanti trimestre'!$B$5</f>
        <v>Trimestre</v>
      </c>
      <c r="R5" s="3122">
        <v>1</v>
      </c>
      <c r="S5" s="3123"/>
      <c r="T5" s="3130" t="str">
        <f>'TRAD-quanti trimestre'!$B$5</f>
        <v>Trimestre</v>
      </c>
      <c r="U5" s="3122">
        <v>2</v>
      </c>
      <c r="V5" s="3123"/>
      <c r="W5" s="3130" t="str">
        <f>'TRAD-quanti trimestre'!$B$5</f>
        <v>Trimestre</v>
      </c>
      <c r="X5" s="3122">
        <v>3</v>
      </c>
      <c r="Y5" s="3123"/>
      <c r="Z5" s="3130" t="str">
        <f>'TRAD-quanti trimestre'!$B$5</f>
        <v>Trimestre</v>
      </c>
      <c r="AA5" s="3122">
        <v>4</v>
      </c>
      <c r="AB5" s="3123"/>
      <c r="AC5" s="3130" t="str">
        <f>'TRAD-quanti trimestre'!$B$5</f>
        <v>Trimestre</v>
      </c>
      <c r="AD5" s="3122">
        <v>5</v>
      </c>
      <c r="AE5" s="3123"/>
      <c r="AF5" s="3130" t="str">
        <f>'TRAD-quanti trimestre'!$B$5</f>
        <v>Trimestre</v>
      </c>
      <c r="AG5" s="3122">
        <v>6</v>
      </c>
      <c r="AH5" s="3123"/>
      <c r="AI5" s="3130" t="str">
        <f>'TRAD-quanti trimestre'!$B$5</f>
        <v>Trimestre</v>
      </c>
      <c r="AJ5" s="3122">
        <v>7</v>
      </c>
      <c r="AK5" s="3123"/>
      <c r="AL5" s="3130" t="str">
        <f>'TRAD-quanti trimestre'!$B$5</f>
        <v>Trimestre</v>
      </c>
      <c r="AM5" s="3122">
        <v>8</v>
      </c>
      <c r="AN5" s="3123"/>
      <c r="AO5" s="3130" t="str">
        <f>'TRAD-quanti trimestre'!$B$5</f>
        <v>Trimestre</v>
      </c>
      <c r="AP5" s="3122">
        <v>9</v>
      </c>
      <c r="AQ5" s="3123"/>
      <c r="AR5" s="3130" t="str">
        <f>'TRAD-quanti trimestre'!$B$5</f>
        <v>Trimestre</v>
      </c>
      <c r="AS5" s="3122">
        <v>10</v>
      </c>
      <c r="AT5" s="3123"/>
      <c r="AU5" s="3130" t="str">
        <f>'TRAD-quanti trimestre'!$B$5</f>
        <v>Trimestre</v>
      </c>
      <c r="AV5" s="3122">
        <v>11</v>
      </c>
      <c r="AW5" s="3123"/>
      <c r="AX5" s="3130" t="str">
        <f>'TRAD-quanti trimestre'!$B$5</f>
        <v>Trimestre</v>
      </c>
      <c r="AY5" s="3122">
        <v>12</v>
      </c>
      <c r="AZ5" s="3123"/>
      <c r="BA5" s="3130" t="str">
        <f>'TRAD-quanti trimestre'!$B$5</f>
        <v>Trimestre</v>
      </c>
      <c r="BB5" s="3122">
        <v>13</v>
      </c>
      <c r="BC5" s="3123"/>
      <c r="BD5" s="3130" t="str">
        <f>'TRAD-quanti trimestre'!$B$5</f>
        <v>Trimestre</v>
      </c>
      <c r="BE5" s="3122">
        <v>14</v>
      </c>
      <c r="BF5" s="3123"/>
      <c r="BG5" s="3130" t="str">
        <f>'TRAD-quanti trimestre'!$B$5</f>
        <v>Trimestre</v>
      </c>
      <c r="BH5" s="3122">
        <v>15</v>
      </c>
      <c r="BI5" s="3123"/>
      <c r="BJ5" s="3130" t="str">
        <f>'TRAD-quanti trimestre'!$B$5</f>
        <v>Trimestre</v>
      </c>
      <c r="BK5" s="3122">
        <v>16</v>
      </c>
      <c r="BL5" s="3123"/>
      <c r="BM5" s="3130" t="str">
        <f>'TRAD-quanti trimestre'!$B$5</f>
        <v>Trimestre</v>
      </c>
      <c r="BN5" s="3122">
        <v>17</v>
      </c>
      <c r="BO5" s="3123"/>
      <c r="BP5" s="3130" t="str">
        <f>'TRAD-quanti trimestre'!$B$5</f>
        <v>Trimestre</v>
      </c>
      <c r="BQ5" s="3122">
        <v>18</v>
      </c>
      <c r="BR5" s="3123"/>
      <c r="BS5" s="3130" t="str">
        <f>'TRAD-quanti trimestre'!$B$5</f>
        <v>Trimestre</v>
      </c>
      <c r="BT5" s="3122">
        <v>19</v>
      </c>
      <c r="BU5" s="3123"/>
      <c r="BV5" s="3130" t="str">
        <f>'TRAD-quanti trimestre'!$B$5</f>
        <v>Trimestre</v>
      </c>
      <c r="BW5" s="3122">
        <v>20</v>
      </c>
      <c r="BX5" s="3123"/>
    </row>
    <row r="6" spans="1:76" ht="13.5" thickBot="1" x14ac:dyDescent="0.25">
      <c r="M6" s="3142" t="str">
        <f>'TRAD-quanti trimestre'!B7</f>
        <v>Durée (mois)</v>
      </c>
      <c r="Q6" s="3124" t="str">
        <f>'TRAD-quanti trimestre'!$B$7</f>
        <v>Durée (mois)</v>
      </c>
      <c r="R6" s="3125">
        <f>IF(Quanti!$N$19&gt;=(R5*3),3,IF(Quanti!$N$19&gt;(O5*3), Quanti!$N$19-(O5*3), 0))</f>
        <v>3</v>
      </c>
      <c r="S6" s="3126"/>
      <c r="T6" s="3124" t="str">
        <f>'TRAD-quanti trimestre'!$B$7</f>
        <v>Durée (mois)</v>
      </c>
      <c r="U6" s="3125">
        <f>IF(Quanti!$N$19&gt;=(U5*3),3,IF(Quanti!$N$19&gt;(R5*3), Quanti!$N$19-(R5*3), 0))</f>
        <v>3</v>
      </c>
      <c r="V6" s="3126"/>
      <c r="W6" s="3124" t="str">
        <f>'TRAD-quanti trimestre'!$B$7</f>
        <v>Durée (mois)</v>
      </c>
      <c r="X6" s="3125">
        <f>IF(Quanti!$N$19&gt;=(X5*3),3,IF(Quanti!$N$19&gt;(U5*3), Quanti!$N$19-(U5*3), 0))</f>
        <v>3</v>
      </c>
      <c r="Y6" s="3126"/>
      <c r="Z6" s="3124" t="str">
        <f>'TRAD-quanti trimestre'!$B$7</f>
        <v>Durée (mois)</v>
      </c>
      <c r="AA6" s="3125">
        <f>IF(Quanti!$N$19&gt;=(AA5*3),3,IF(Quanti!$N$19&gt;(X5*3), Quanti!$N$19-(X5*3), 0))</f>
        <v>3</v>
      </c>
      <c r="AB6" s="3126"/>
      <c r="AC6" s="3124" t="str">
        <f>'TRAD-quanti trimestre'!$B$7</f>
        <v>Durée (mois)</v>
      </c>
      <c r="AD6" s="3125">
        <f>IF(Quanti!$N$19&gt;=(AD5*3),3,IF(Quanti!$N$19&gt;(AA5*3), Quanti!$N$19-(AA5*3), 0))</f>
        <v>1</v>
      </c>
      <c r="AE6" s="3126"/>
      <c r="AF6" s="3124" t="str">
        <f>'TRAD-quanti trimestre'!$B$7</f>
        <v>Durée (mois)</v>
      </c>
      <c r="AG6" s="3125">
        <f>IF(Quanti!$N$19&gt;=(AG5*3),3,IF(Quanti!$N$19&gt;(AD5*3), Quanti!$N$19-(AD5*3), 0))</f>
        <v>0</v>
      </c>
      <c r="AH6" s="3126"/>
      <c r="AI6" s="3124" t="str">
        <f>'TRAD-quanti trimestre'!$B$7</f>
        <v>Durée (mois)</v>
      </c>
      <c r="AJ6" s="3125">
        <f>IF(Quanti!$N$19&gt;=(AJ5*3),3,IF(Quanti!$N$19&gt;(AG5*3), Quanti!$N$19-(AG5*3), 0))</f>
        <v>0</v>
      </c>
      <c r="AK6" s="3126"/>
      <c r="AL6" s="3124" t="str">
        <f>'TRAD-quanti trimestre'!$B$7</f>
        <v>Durée (mois)</v>
      </c>
      <c r="AM6" s="3125">
        <f>IF(Quanti!$N$19&gt;=(AM5*3),3,IF(Quanti!$N$19&gt;(AJ5*3), Quanti!$N$19-(AJ5*3), 0))</f>
        <v>0</v>
      </c>
      <c r="AN6" s="3126"/>
      <c r="AO6" s="3124" t="str">
        <f>'TRAD-quanti trimestre'!$B$7</f>
        <v>Durée (mois)</v>
      </c>
      <c r="AP6" s="3125">
        <f>IF(Quanti!$N$19&gt;=(AP5*3),3,IF(Quanti!$N$19&gt;(AM5*3), Quanti!$N$19-(AM5*3), 0))</f>
        <v>0</v>
      </c>
      <c r="AQ6" s="3126"/>
      <c r="AR6" s="3124" t="str">
        <f>'TRAD-quanti trimestre'!$B$7</f>
        <v>Durée (mois)</v>
      </c>
      <c r="AS6" s="3125">
        <f>IF(Quanti!$N$19&gt;=(AS5*3),3,IF(Quanti!$N$19&gt;(AP5*3), Quanti!$N$19-(AP5*3), 0))</f>
        <v>0</v>
      </c>
      <c r="AT6" s="3126"/>
      <c r="AU6" s="3124" t="str">
        <f>'TRAD-quanti trimestre'!$B$7</f>
        <v>Durée (mois)</v>
      </c>
      <c r="AV6" s="3125">
        <f>IF(Quanti!$N$19&gt;=(AV5*3),3,IF(Quanti!$N$19&gt;(AS5*3), Quanti!$N$19-(AS5*3), 0))</f>
        <v>0</v>
      </c>
      <c r="AW6" s="3126"/>
      <c r="AX6" s="3124" t="str">
        <f>'TRAD-quanti trimestre'!$B$7</f>
        <v>Durée (mois)</v>
      </c>
      <c r="AY6" s="3125">
        <f>IF(Quanti!$N$19&gt;=(AY5*3),3,IF(Quanti!$N$19&gt;(AV5*3), Quanti!$N$19-(AV5*3), 0))</f>
        <v>0</v>
      </c>
      <c r="AZ6" s="3126"/>
      <c r="BA6" s="3124" t="str">
        <f>'TRAD-quanti trimestre'!$B$7</f>
        <v>Durée (mois)</v>
      </c>
      <c r="BB6" s="3125">
        <f>IF(Quanti!$N$19&gt;=(BB5*3),3,IF(Quanti!$N$19&gt;(AY5*3), Quanti!$N$19-(AY5*3), 0))</f>
        <v>0</v>
      </c>
      <c r="BC6" s="3126"/>
      <c r="BD6" s="3124" t="str">
        <f>'TRAD-quanti trimestre'!$B$7</f>
        <v>Durée (mois)</v>
      </c>
      <c r="BE6" s="3125">
        <f>IF(Quanti!$N$19&gt;=(BE5*3),3,IF(Quanti!$N$19&gt;(BB5*3), Quanti!$N$19-(BB5*3), 0))</f>
        <v>0</v>
      </c>
      <c r="BF6" s="3126"/>
      <c r="BG6" s="3124" t="str">
        <f>'TRAD-quanti trimestre'!$B$7</f>
        <v>Durée (mois)</v>
      </c>
      <c r="BH6" s="3125">
        <f>IF(Quanti!$N$19&gt;=(BH5*3),3,IF(Quanti!$N$19&gt;(BE5*3), Quanti!$N$19-(BE5*3), 0))</f>
        <v>0</v>
      </c>
      <c r="BI6" s="3126"/>
      <c r="BJ6" s="3124" t="str">
        <f>'TRAD-quanti trimestre'!$B$7</f>
        <v>Durée (mois)</v>
      </c>
      <c r="BK6" s="3125">
        <f>IF(Quanti!$N$19&gt;=(BK5*3),3,IF(Quanti!$N$19&gt;(BH5*3), Quanti!$N$19-(BH5*3), 0))</f>
        <v>0</v>
      </c>
      <c r="BL6" s="3126"/>
      <c r="BM6" s="3124" t="str">
        <f>'TRAD-quanti trimestre'!$B$7</f>
        <v>Durée (mois)</v>
      </c>
      <c r="BN6" s="3125">
        <f>IF(Quanti!$N$19&gt;=(BN5*3),3,IF(Quanti!$N$19&gt;(BK5*3), Quanti!$N$19-(BK5*3), 0))</f>
        <v>0</v>
      </c>
      <c r="BO6" s="3126"/>
      <c r="BP6" s="3124" t="str">
        <f>'TRAD-quanti trimestre'!$B$7</f>
        <v>Durée (mois)</v>
      </c>
      <c r="BQ6" s="3125">
        <f>IF(Quanti!$N$19&gt;=(BQ5*3),3,IF(Quanti!$N$19&gt;(BN5*3), Quanti!$N$19-(BN5*3), 0))</f>
        <v>0</v>
      </c>
      <c r="BR6" s="3126"/>
      <c r="BS6" s="3124" t="str">
        <f>'TRAD-quanti trimestre'!$B$7</f>
        <v>Durée (mois)</v>
      </c>
      <c r="BT6" s="3125">
        <f>IF(Quanti!$N$19&gt;=(BT5*3),3,IF(Quanti!$N$19&gt;(BQ5*3), Quanti!$N$19-(BQ5*3), 0))</f>
        <v>0</v>
      </c>
      <c r="BU6" s="3126"/>
      <c r="BV6" s="3124" t="str">
        <f>'TRAD-quanti trimestre'!$B$7</f>
        <v>Durée (mois)</v>
      </c>
      <c r="BW6" s="3125">
        <f>IF(Quanti!$N$19&gt;=(BW5*3),3,IF(Quanti!$N$19&gt;(BT5*3), Quanti!$N$19-(BT5*3), 0))</f>
        <v>0</v>
      </c>
      <c r="BX6" s="3126"/>
    </row>
    <row r="7" spans="1:76" ht="77.25" thickBot="1" x14ac:dyDescent="0.25">
      <c r="J7" s="3303" t="str">
        <f>CONCATENATE('TRAD-quanti trimestre'!$B$15, " : ", IF(Quanti!$D$9="X", Quanti!$E$9, IF(Quanti!$D$10="X", Quanti!$E$10, "?")))</f>
        <v>Méthode : Données de morbidité, suivi de la file active</v>
      </c>
      <c r="K7" s="3304"/>
      <c r="L7" s="3132"/>
      <c r="M7" s="3143">
        <f>Quanti!N25</f>
        <v>0</v>
      </c>
      <c r="O7" s="3160" t="str">
        <f>'TRAD-quanti trimestre'!D10</f>
        <v>Période quantifiée totale</v>
      </c>
      <c r="P7" s="3161"/>
      <c r="Q7" s="3127" t="str">
        <f>'TRAD-quanti trimestre'!$B$12</f>
        <v>Durée cumulée depuis la date d'estimation (mois)</v>
      </c>
      <c r="R7" s="3128">
        <f>IF(R6=0, "0", R6+M7)</f>
        <v>3</v>
      </c>
      <c r="S7" s="3129"/>
      <c r="T7" s="3127" t="str">
        <f>'TRAD-quanti trimestre'!$B$12</f>
        <v>Durée cumulée depuis la date d'estimation (mois)</v>
      </c>
      <c r="U7" s="3128">
        <f>IF(U6=0, "0", R7+U6)</f>
        <v>6</v>
      </c>
      <c r="V7" s="3129"/>
      <c r="W7" s="3127" t="str">
        <f>'TRAD-quanti trimestre'!$B$12</f>
        <v>Durée cumulée depuis la date d'estimation (mois)</v>
      </c>
      <c r="X7" s="3128">
        <f>IF(X6=0, "0", U7+X6)</f>
        <v>9</v>
      </c>
      <c r="Y7" s="3129"/>
      <c r="Z7" s="3127" t="str">
        <f>'TRAD-quanti trimestre'!$B$12</f>
        <v>Durée cumulée depuis la date d'estimation (mois)</v>
      </c>
      <c r="AA7" s="3128">
        <f>IF(AA6=0, "0", X7+AA6)</f>
        <v>12</v>
      </c>
      <c r="AB7" s="3129"/>
      <c r="AC7" s="3127" t="str">
        <f>'TRAD-quanti trimestre'!$B$12</f>
        <v>Durée cumulée depuis la date d'estimation (mois)</v>
      </c>
      <c r="AD7" s="3128">
        <f>IF(AD6=0, "0", AA7+AD6)</f>
        <v>13</v>
      </c>
      <c r="AE7" s="3129"/>
      <c r="AF7" s="3127" t="str">
        <f>'TRAD-quanti trimestre'!$B$12</f>
        <v>Durée cumulée depuis la date d'estimation (mois)</v>
      </c>
      <c r="AG7" s="3128" t="str">
        <f>IF(AG6=0, "0", AD7+AG6)</f>
        <v>0</v>
      </c>
      <c r="AH7" s="3129"/>
      <c r="AI7" s="3127" t="str">
        <f>'TRAD-quanti trimestre'!$B$12</f>
        <v>Durée cumulée depuis la date d'estimation (mois)</v>
      </c>
      <c r="AJ7" s="3128" t="str">
        <f>IF(AJ6=0, "0", AG7+AJ6)</f>
        <v>0</v>
      </c>
      <c r="AK7" s="3129"/>
      <c r="AL7" s="3127" t="str">
        <f>'TRAD-quanti trimestre'!$B$12</f>
        <v>Durée cumulée depuis la date d'estimation (mois)</v>
      </c>
      <c r="AM7" s="3128" t="str">
        <f>IF(AM6=0, "0", AJ7+AM6)</f>
        <v>0</v>
      </c>
      <c r="AN7" s="3129"/>
      <c r="AO7" s="3127" t="str">
        <f>'TRAD-quanti trimestre'!$B$12</f>
        <v>Durée cumulée depuis la date d'estimation (mois)</v>
      </c>
      <c r="AP7" s="3128" t="str">
        <f>IF(AP6=0, "0", AM7+AP6)</f>
        <v>0</v>
      </c>
      <c r="AQ7" s="3129"/>
      <c r="AR7" s="3127" t="str">
        <f>'TRAD-quanti trimestre'!$B$12</f>
        <v>Durée cumulée depuis la date d'estimation (mois)</v>
      </c>
      <c r="AS7" s="3128" t="str">
        <f>IF(AS6=0, "0", AP7+AS6)</f>
        <v>0</v>
      </c>
      <c r="AT7" s="3129"/>
      <c r="AU7" s="3127" t="str">
        <f>'TRAD-quanti trimestre'!$B$12</f>
        <v>Durée cumulée depuis la date d'estimation (mois)</v>
      </c>
      <c r="AV7" s="3128" t="str">
        <f>IF(AV6=0, "0", AS7+AV6)</f>
        <v>0</v>
      </c>
      <c r="AW7" s="3129"/>
      <c r="AX7" s="3127" t="str">
        <f>'TRAD-quanti trimestre'!$B$12</f>
        <v>Durée cumulée depuis la date d'estimation (mois)</v>
      </c>
      <c r="AY7" s="3128" t="str">
        <f>IF(AY6=0, "0", AV7+AY6)</f>
        <v>0</v>
      </c>
      <c r="AZ7" s="3129"/>
      <c r="BA7" s="3127" t="str">
        <f>'TRAD-quanti trimestre'!$B$12</f>
        <v>Durée cumulée depuis la date d'estimation (mois)</v>
      </c>
      <c r="BB7" s="3128" t="str">
        <f>IF(BB6=0, "0", AY7+BB6)</f>
        <v>0</v>
      </c>
      <c r="BC7" s="3129"/>
      <c r="BD7" s="3127" t="str">
        <f>'TRAD-quanti trimestre'!$B$12</f>
        <v>Durée cumulée depuis la date d'estimation (mois)</v>
      </c>
      <c r="BE7" s="3128" t="str">
        <f>IF(BE6=0, "0", BB7+BE6)</f>
        <v>0</v>
      </c>
      <c r="BF7" s="3129"/>
      <c r="BG7" s="3127" t="str">
        <f>'TRAD-quanti trimestre'!$B$12</f>
        <v>Durée cumulée depuis la date d'estimation (mois)</v>
      </c>
      <c r="BH7" s="3128" t="str">
        <f>IF(BH6=0, "0", BE7+BH6)</f>
        <v>0</v>
      </c>
      <c r="BI7" s="3129"/>
      <c r="BJ7" s="3127" t="str">
        <f>'TRAD-quanti trimestre'!$B$12</f>
        <v>Durée cumulée depuis la date d'estimation (mois)</v>
      </c>
      <c r="BK7" s="3128" t="str">
        <f>IF(BK6=0, "0", BH7+BK6)</f>
        <v>0</v>
      </c>
      <c r="BL7" s="3129"/>
      <c r="BM7" s="3127" t="str">
        <f>'TRAD-quanti trimestre'!$B$12</f>
        <v>Durée cumulée depuis la date d'estimation (mois)</v>
      </c>
      <c r="BN7" s="3128" t="str">
        <f>IF(BN6=0, "0", BK7+BN6)</f>
        <v>0</v>
      </c>
      <c r="BO7" s="3129"/>
      <c r="BP7" s="3127" t="str">
        <f>'TRAD-quanti trimestre'!$B$12</f>
        <v>Durée cumulée depuis la date d'estimation (mois)</v>
      </c>
      <c r="BQ7" s="3128" t="str">
        <f>IF(BQ6=0, "0", BN7+BQ6)</f>
        <v>0</v>
      </c>
      <c r="BR7" s="3129"/>
      <c r="BS7" s="3127" t="str">
        <f>'TRAD-quanti trimestre'!$B$12</f>
        <v>Durée cumulée depuis la date d'estimation (mois)</v>
      </c>
      <c r="BT7" s="3128" t="str">
        <f>IF(BT6=0, "0", BQ7+BT6)</f>
        <v>0</v>
      </c>
      <c r="BU7" s="3129"/>
      <c r="BV7" s="3127" t="str">
        <f>'TRAD-quanti trimestre'!$B$12</f>
        <v>Durée cumulée depuis la date d'estimation (mois)</v>
      </c>
      <c r="BW7" s="3128" t="str">
        <f>IF(BW6=0, "0", BT7+BW6)</f>
        <v>0</v>
      </c>
      <c r="BX7" s="3129"/>
    </row>
    <row r="8" spans="1:76" ht="102.75" thickBot="1" x14ac:dyDescent="0.25">
      <c r="B8" s="2496" t="str">
        <f>'TRAD-Quanti et TdB Péremptions'!$B$37</f>
        <v>Forme</v>
      </c>
      <c r="C8" s="2497" t="str">
        <f>'TRAD-Quanti et TdB Péremptions'!$B$38</f>
        <v>Classe pharmaco</v>
      </c>
      <c r="D8" s="32" t="str">
        <f>'TRAD-Quanti et TdB Péremptions'!$B$39</f>
        <v>Composition</v>
      </c>
      <c r="E8" s="33" t="str">
        <f>'TRAD-Quanti et TdB Péremptions'!$B$40</f>
        <v>Forme galénique</v>
      </c>
      <c r="F8" s="33" t="str">
        <f>'TRAD-Quanti et TdB Péremptions'!$B$41</f>
        <v>Dosage</v>
      </c>
      <c r="G8" s="33" t="str">
        <f>'TRAD-Quanti et TdB Péremptions'!$B$42</f>
        <v>DCI</v>
      </c>
      <c r="H8" s="33" t="str">
        <f>'TRAD-Quanti et TdB Péremptions'!$B$43</f>
        <v>Conditionnement</v>
      </c>
      <c r="I8" s="34"/>
      <c r="J8" s="3119" t="str">
        <f>'TRAD-quanti trimestre'!$B$13</f>
        <v>Besoins mensuels patients suivis</v>
      </c>
      <c r="K8" s="3138" t="str">
        <f>'TRAD-quanti trimestre'!$B$14</f>
        <v>Besoins mensuels nouveaux patients</v>
      </c>
      <c r="L8" s="3139" t="str">
        <f>CONCATENATE('TRAD-quanti trimestre'!$B$16, " - ", IF(Quanti!$O$33="OUI", 'TRAD-quanti trimestre'!$B$17, 'TRAD-quanti trimestre'!$B$18))</f>
        <v>Quantités en stocks (nb de boites) - (Stock utilisable, prend en compte les DLU)</v>
      </c>
      <c r="M8" s="3139" t="str">
        <f>'TRAD-quanti trimestre'!$B$6</f>
        <v>Besoins sur la période intermédiaire (avant le début de la période quantifiée)</v>
      </c>
      <c r="N8" s="3144" t="str">
        <f>CONCATENATE('TRAD-quanti trimestre'!$B$16, " - ", 'TRAD-quanti trimestre'!$B$19, " -", DAY(Quanti!$N$24), "/", MONTH(Quanti!$N$24), "/", YEAR(Quanti!$N$24))</f>
        <v>Quantités en stocks (nb de boites) - Début de la période quantifiée -1/6/2013</v>
      </c>
      <c r="O8" s="364" t="str">
        <f>'TRAD-Quanti et TdB Péremptions'!$B$45</f>
        <v>Besoins bruts sur période (nb de boites)</v>
      </c>
      <c r="P8" s="424" t="str">
        <f>'TRAD-Quanti et TdB Péremptions'!$B$46</f>
        <v>Besoins nets sur la période (nb de cdt)</v>
      </c>
      <c r="Q8" s="3119" t="str">
        <f>'TRAD-quanti trimestre'!$B$8</f>
        <v>Besoins sur durée cumulée (nb de cdt)</v>
      </c>
      <c r="R8" s="3120" t="str">
        <f>'TRAD-quanti trimestre'!$B$9</f>
        <v>Besoins bruts sur le trimestre (nb de cdt)</v>
      </c>
      <c r="S8" s="3121" t="str">
        <f>'TRAD-quanti trimestre'!$B$20</f>
        <v>Besoins nets sur le trimestre (nb cdt)</v>
      </c>
      <c r="T8" s="3119" t="str">
        <f>'TRAD-quanti trimestre'!$B$8</f>
        <v>Besoins sur durée cumulée (nb de cdt)</v>
      </c>
      <c r="U8" s="3120" t="str">
        <f>'TRAD-quanti trimestre'!$B$9</f>
        <v>Besoins bruts sur le trimestre (nb de cdt)</v>
      </c>
      <c r="V8" s="3121" t="str">
        <f>'TRAD-Quanti et TdB Péremptions'!$B$46</f>
        <v>Besoins nets sur la période (nb de cdt)</v>
      </c>
      <c r="W8" s="3119" t="str">
        <f>'TRAD-quanti trimestre'!$B$8</f>
        <v>Besoins sur durée cumulée (nb de cdt)</v>
      </c>
      <c r="X8" s="3120" t="str">
        <f>'TRAD-quanti trimestre'!$B$9</f>
        <v>Besoins bruts sur le trimestre (nb de cdt)</v>
      </c>
      <c r="Y8" s="3121" t="str">
        <f>'TRAD-Quanti et TdB Péremptions'!$B$46</f>
        <v>Besoins nets sur la période (nb de cdt)</v>
      </c>
      <c r="Z8" s="3119" t="str">
        <f>'TRAD-quanti trimestre'!$B$8</f>
        <v>Besoins sur durée cumulée (nb de cdt)</v>
      </c>
      <c r="AA8" s="3120" t="str">
        <f>'TRAD-quanti trimestre'!$B$9</f>
        <v>Besoins bruts sur le trimestre (nb de cdt)</v>
      </c>
      <c r="AB8" s="3121" t="str">
        <f>'TRAD-Quanti et TdB Péremptions'!$B$46</f>
        <v>Besoins nets sur la période (nb de cdt)</v>
      </c>
      <c r="AC8" s="3119" t="str">
        <f>'TRAD-quanti trimestre'!$B$8</f>
        <v>Besoins sur durée cumulée (nb de cdt)</v>
      </c>
      <c r="AD8" s="3120" t="str">
        <f>'TRAD-quanti trimestre'!$B$9</f>
        <v>Besoins bruts sur le trimestre (nb de cdt)</v>
      </c>
      <c r="AE8" s="3121" t="str">
        <f>'TRAD-Quanti et TdB Péremptions'!$B$46</f>
        <v>Besoins nets sur la période (nb de cdt)</v>
      </c>
      <c r="AF8" s="3119" t="str">
        <f>'TRAD-quanti trimestre'!$B$8</f>
        <v>Besoins sur durée cumulée (nb de cdt)</v>
      </c>
      <c r="AG8" s="3120" t="str">
        <f>'TRAD-quanti trimestre'!$B$9</f>
        <v>Besoins bruts sur le trimestre (nb de cdt)</v>
      </c>
      <c r="AH8" s="3121" t="str">
        <f>'TRAD-Quanti et TdB Péremptions'!$B$46</f>
        <v>Besoins nets sur la période (nb de cdt)</v>
      </c>
      <c r="AI8" s="3119" t="str">
        <f>'TRAD-quanti trimestre'!$B$8</f>
        <v>Besoins sur durée cumulée (nb de cdt)</v>
      </c>
      <c r="AJ8" s="3120" t="str">
        <f>'TRAD-quanti trimestre'!$B$9</f>
        <v>Besoins bruts sur le trimestre (nb de cdt)</v>
      </c>
      <c r="AK8" s="3121" t="str">
        <f>'TRAD-Quanti et TdB Péremptions'!$B$46</f>
        <v>Besoins nets sur la période (nb de cdt)</v>
      </c>
      <c r="AL8" s="3119" t="str">
        <f>'TRAD-quanti trimestre'!$B$8</f>
        <v>Besoins sur durée cumulée (nb de cdt)</v>
      </c>
      <c r="AM8" s="3120" t="str">
        <f>'TRAD-quanti trimestre'!$B$9</f>
        <v>Besoins bruts sur le trimestre (nb de cdt)</v>
      </c>
      <c r="AN8" s="3121" t="str">
        <f>'TRAD-Quanti et TdB Péremptions'!$B$46</f>
        <v>Besoins nets sur la période (nb de cdt)</v>
      </c>
      <c r="AO8" s="3119" t="str">
        <f>'TRAD-quanti trimestre'!$B$8</f>
        <v>Besoins sur durée cumulée (nb de cdt)</v>
      </c>
      <c r="AP8" s="3120" t="str">
        <f>'TRAD-quanti trimestre'!$B$9</f>
        <v>Besoins bruts sur le trimestre (nb de cdt)</v>
      </c>
      <c r="AQ8" s="3121" t="str">
        <f>'TRAD-Quanti et TdB Péremptions'!$B$46</f>
        <v>Besoins nets sur la période (nb de cdt)</v>
      </c>
      <c r="AR8" s="3119" t="str">
        <f>'TRAD-quanti trimestre'!$B$8</f>
        <v>Besoins sur durée cumulée (nb de cdt)</v>
      </c>
      <c r="AS8" s="3120" t="str">
        <f>'TRAD-quanti trimestre'!$B$9</f>
        <v>Besoins bruts sur le trimestre (nb de cdt)</v>
      </c>
      <c r="AT8" s="3121" t="str">
        <f>'TRAD-Quanti et TdB Péremptions'!$B$46</f>
        <v>Besoins nets sur la période (nb de cdt)</v>
      </c>
      <c r="AU8" s="3119" t="str">
        <f>'TRAD-quanti trimestre'!$B$8</f>
        <v>Besoins sur durée cumulée (nb de cdt)</v>
      </c>
      <c r="AV8" s="3120" t="str">
        <f>'TRAD-quanti trimestre'!$B$9</f>
        <v>Besoins bruts sur le trimestre (nb de cdt)</v>
      </c>
      <c r="AW8" s="3121" t="str">
        <f>'TRAD-Quanti et TdB Péremptions'!$B$46</f>
        <v>Besoins nets sur la période (nb de cdt)</v>
      </c>
      <c r="AX8" s="3119" t="str">
        <f>'TRAD-quanti trimestre'!$B$8</f>
        <v>Besoins sur durée cumulée (nb de cdt)</v>
      </c>
      <c r="AY8" s="3120" t="str">
        <f>'TRAD-quanti trimestre'!$B$9</f>
        <v>Besoins bruts sur le trimestre (nb de cdt)</v>
      </c>
      <c r="AZ8" s="3121" t="str">
        <f>'TRAD-Quanti et TdB Péremptions'!$B$46</f>
        <v>Besoins nets sur la période (nb de cdt)</v>
      </c>
      <c r="BA8" s="3119" t="str">
        <f>'TRAD-quanti trimestre'!$B$8</f>
        <v>Besoins sur durée cumulée (nb de cdt)</v>
      </c>
      <c r="BB8" s="3120" t="str">
        <f>'TRAD-quanti trimestre'!$B$9</f>
        <v>Besoins bruts sur le trimestre (nb de cdt)</v>
      </c>
      <c r="BC8" s="3121" t="str">
        <f>'TRAD-Quanti et TdB Péremptions'!$B$46</f>
        <v>Besoins nets sur la période (nb de cdt)</v>
      </c>
      <c r="BD8" s="3119" t="str">
        <f>'TRAD-quanti trimestre'!$B$8</f>
        <v>Besoins sur durée cumulée (nb de cdt)</v>
      </c>
      <c r="BE8" s="3120" t="str">
        <f>'TRAD-quanti trimestre'!$B$9</f>
        <v>Besoins bruts sur le trimestre (nb de cdt)</v>
      </c>
      <c r="BF8" s="3121" t="str">
        <f>'TRAD-Quanti et TdB Péremptions'!$B$46</f>
        <v>Besoins nets sur la période (nb de cdt)</v>
      </c>
      <c r="BG8" s="3119" t="str">
        <f>'TRAD-quanti trimestre'!$B$8</f>
        <v>Besoins sur durée cumulée (nb de cdt)</v>
      </c>
      <c r="BH8" s="3120" t="str">
        <f>'TRAD-quanti trimestre'!$B$9</f>
        <v>Besoins bruts sur le trimestre (nb de cdt)</v>
      </c>
      <c r="BI8" s="3121" t="str">
        <f>'TRAD-Quanti et TdB Péremptions'!$B$46</f>
        <v>Besoins nets sur la période (nb de cdt)</v>
      </c>
      <c r="BJ8" s="3119" t="str">
        <f>'TRAD-quanti trimestre'!$B$8</f>
        <v>Besoins sur durée cumulée (nb de cdt)</v>
      </c>
      <c r="BK8" s="3120" t="str">
        <f>'TRAD-quanti trimestre'!$B$9</f>
        <v>Besoins bruts sur le trimestre (nb de cdt)</v>
      </c>
      <c r="BL8" s="3121" t="str">
        <f>'TRAD-Quanti et TdB Péremptions'!$B$46</f>
        <v>Besoins nets sur la période (nb de cdt)</v>
      </c>
      <c r="BM8" s="3119" t="str">
        <f>'TRAD-quanti trimestre'!$B$8</f>
        <v>Besoins sur durée cumulée (nb de cdt)</v>
      </c>
      <c r="BN8" s="3120" t="str">
        <f>'TRAD-quanti trimestre'!$B$9</f>
        <v>Besoins bruts sur le trimestre (nb de cdt)</v>
      </c>
      <c r="BO8" s="3121" t="str">
        <f>'TRAD-Quanti et TdB Péremptions'!$B$46</f>
        <v>Besoins nets sur la période (nb de cdt)</v>
      </c>
      <c r="BP8" s="3119" t="str">
        <f>'TRAD-quanti trimestre'!$B$8</f>
        <v>Besoins sur durée cumulée (nb de cdt)</v>
      </c>
      <c r="BQ8" s="3120" t="str">
        <f>'TRAD-quanti trimestre'!$B$9</f>
        <v>Besoins bruts sur le trimestre (nb de cdt)</v>
      </c>
      <c r="BR8" s="3121" t="str">
        <f>'TRAD-Quanti et TdB Péremptions'!$B$46</f>
        <v>Besoins nets sur la période (nb de cdt)</v>
      </c>
      <c r="BS8" s="3119" t="str">
        <f>'TRAD-quanti trimestre'!$B$8</f>
        <v>Besoins sur durée cumulée (nb de cdt)</v>
      </c>
      <c r="BT8" s="3120" t="str">
        <f>'TRAD-quanti trimestre'!$B$9</f>
        <v>Besoins bruts sur le trimestre (nb de cdt)</v>
      </c>
      <c r="BU8" s="3121" t="str">
        <f>'TRAD-Quanti et TdB Péremptions'!$B$46</f>
        <v>Besoins nets sur la période (nb de cdt)</v>
      </c>
      <c r="BV8" s="3119" t="str">
        <f>'TRAD-quanti trimestre'!$B$8</f>
        <v>Besoins sur durée cumulée (nb de cdt)</v>
      </c>
      <c r="BW8" s="3120" t="str">
        <f>'TRAD-quanti trimestre'!$B$9</f>
        <v>Besoins bruts sur le trimestre (nb de cdt)</v>
      </c>
      <c r="BX8" s="3121" t="str">
        <f>'TRAD-Quanti et TdB Péremptions'!$B$46</f>
        <v>Besoins nets sur la période (nb de cdt)</v>
      </c>
    </row>
    <row r="9" spans="1:76" ht="38.25" x14ac:dyDescent="0.2">
      <c r="B9" s="31" t="str">
        <f>'TRAD-Quanti et TdB Péremptions'!$B$94</f>
        <v>Comprimés</v>
      </c>
      <c r="C9" s="97" t="str">
        <f>'Saisie données stocks'!$E$19</f>
        <v>CDF</v>
      </c>
      <c r="D9" s="1654" t="str">
        <f>'Saisie données stocks'!F19</f>
        <v>AZT+3TC+NVP</v>
      </c>
      <c r="E9" s="1655" t="str">
        <f>'Saisie données stocks'!G19</f>
        <v>Cp</v>
      </c>
      <c r="F9" s="1655" t="str">
        <f>'Saisie données stocks'!H19</f>
        <v>300/150/200 mg</v>
      </c>
      <c r="G9" s="87" t="str">
        <f>'Saisie données stocks'!I19</f>
        <v>Zidovudine+ Lamivudine+ Nevirapine</v>
      </c>
      <c r="H9" s="113">
        <f>'Saisie données stocks'!L19</f>
        <v>60</v>
      </c>
      <c r="I9" s="328"/>
      <c r="J9" s="3166">
        <f>IF(Quanti!$D$9="X", 'Calculs dispo Données FA'!N125, IF(Quanti!$D$10="X", 'Calculs dispo Données conso'!N127, "0"))</f>
        <v>0</v>
      </c>
      <c r="K9" s="3167">
        <f>IF(Quanti!$D$9="X", 'Calculs dispo Données FA'!O125, IF(Quanti!$D$10="X", 'Calculs dispo Données conso'!O127, "0"))</f>
        <v>0</v>
      </c>
      <c r="L9" s="3168">
        <f>Calculs!O432</f>
        <v>8969</v>
      </c>
      <c r="M9" s="3169">
        <f>IF(Quanti!$O$54="OUI",
ROUNDUP($J9, 0)*M$7+ROUNDUP($K9, 0)*(M$7*(M$7+1)/2),
M$7*$J9+(M$7*(M$7+1)/2)*$K9)</f>
        <v>0</v>
      </c>
      <c r="N9" s="3169">
        <f t="shared" ref="N9:N49" si="0">IF((L9-M9)&gt;0, (L9-M9), 0)</f>
        <v>8969</v>
      </c>
      <c r="O9" s="3170">
        <f>IF(Quanti!$O$54="OUI",
ROUNDUP(J9, 0)*(Quanti!$N$19+Quanti!$N$25)+ROUNDUP(K9, 0)*((Quanti!$N$19+Quanti!$N$25)*((Quanti!$N$19+Quanti!$N$25)+1)/2),
 J9*(Quanti!$N$19+Quanti!$N$25)+K9*((Quanti!$N$19+Quanti!$N$25)*((Quanti!$N$19+Quanti!$N$25)+1)/2))-M9</f>
        <v>0</v>
      </c>
      <c r="P9" s="3171">
        <f>IF((O9-N9)&gt;0, (O9-N9), 0)</f>
        <v>0</v>
      </c>
      <c r="Q9" s="3170">
        <f>IF(Quanti!$O$54="OUI",
ROUNDUP($J9, 0)*R$7+ROUNDUP($K9, 0)*(R$7*(R$7+1)/2),
 R$7*$J9+(R$7*(R$7+1)/2)*$K9)</f>
        <v>0</v>
      </c>
      <c r="R9" s="3172">
        <f t="shared" ref="R9:R49" si="1">IF(R$6=0, 0, Q9-M9)</f>
        <v>0</v>
      </c>
      <c r="S9" s="3171">
        <f t="shared" ref="S9:S49" si="2">IF(Q9&lt;$N9, 0, R9)</f>
        <v>0</v>
      </c>
      <c r="T9" s="3170">
        <f>IF(Quanti!$O$54="OUI",
ROUNDUP($J9, 0)*U$7+ROUNDUP($K9, 0)*(U$7*(U$7+1)/2),
 U$7*$J9+(U$7*(U$7+1)/2)*$K9)</f>
        <v>0</v>
      </c>
      <c r="U9" s="3172">
        <f>IF(U$6=0, 0, T9-Q9)</f>
        <v>0</v>
      </c>
      <c r="V9" s="3171">
        <f t="shared" ref="V9:V49" si="3">IF(T9&lt;$N9, 0, U9)</f>
        <v>0</v>
      </c>
      <c r="W9" s="3170">
        <f>IF(Quanti!$O$54="OUI",
ROUNDUP($J9, 0)*X$7+ROUNDUP($K9, 0)*(X$7*(X$7+1)/2),
 X$7*$J9+(X$7*(X$7+1)/2)*$K9)</f>
        <v>0</v>
      </c>
      <c r="X9" s="3172">
        <f>IF(X$6=0, 0, W9-T9)</f>
        <v>0</v>
      </c>
      <c r="Y9" s="3171">
        <f t="shared" ref="Y9:Y49" si="4">IF(W9&lt;$N9, 0, X9)</f>
        <v>0</v>
      </c>
      <c r="Z9" s="3170">
        <f>IF(Quanti!$O$54="OUI",
ROUNDUP($J9, 0)*AA$7+ROUNDUP($K9, 0)*(AA$7*(AA$7+1)/2),
 AA$7*$J9+(AA$7*(AA$7+1)/2)*$K9)</f>
        <v>0</v>
      </c>
      <c r="AA9" s="3172">
        <f>IF(AA$6=0, 0, Z9-W9)</f>
        <v>0</v>
      </c>
      <c r="AB9" s="3171">
        <f t="shared" ref="AB9:AB49" si="5">IF(Z9&lt;$N9, 0, AA9)</f>
        <v>0</v>
      </c>
      <c r="AC9" s="3170">
        <f>IF(Quanti!$O$54="OUI",
ROUNDUP($J9, 0)*AD$7+ROUNDUP($K9, 0)*(AD$7*(AD$7+1)/2),
 AD$7*$J9+(AD$7*(AD$7+1)/2)*$K9)</f>
        <v>0</v>
      </c>
      <c r="AD9" s="3172">
        <f>IF(AD$6=0, 0, AC9-Z9)</f>
        <v>0</v>
      </c>
      <c r="AE9" s="3171">
        <f t="shared" ref="AE9:AE49" si="6">IF(AC9&lt;$N9, 0, AD9)</f>
        <v>0</v>
      </c>
      <c r="AF9" s="3170">
        <f>IF(Quanti!$O$54="OUI",
ROUNDUP($J9, 0)*AG$7+ROUNDUP($K9, 0)*(AG$7*(AG$7+1)/2),
 AG$7*$J9+(AG$7*(AG$7+1)/2)*$K9)</f>
        <v>0</v>
      </c>
      <c r="AG9" s="3172">
        <f>IF(AG$6=0, 0, AF9-AC9)</f>
        <v>0</v>
      </c>
      <c r="AH9" s="3171">
        <f t="shared" ref="AH9:AH49" si="7">IF(AF9&lt;$N9, 0, AG9)</f>
        <v>0</v>
      </c>
      <c r="AI9" s="3170">
        <f>IF(Quanti!$O$54="OUI",
ROUNDUP($J9, 0)*AJ$7+ROUNDUP($K9, 0)*(AJ$7*(AJ$7+1)/2),
 AJ$7*$J9+(AJ$7*(AJ$7+1)/2)*$K9)</f>
        <v>0</v>
      </c>
      <c r="AJ9" s="3172">
        <f>IF(AJ$6=0, 0, AI9-AF9)</f>
        <v>0</v>
      </c>
      <c r="AK9" s="3171">
        <f t="shared" ref="AK9:AK49" si="8">IF(AI9&lt;$N9, 0, AJ9)</f>
        <v>0</v>
      </c>
      <c r="AL9" s="3170">
        <f>IF(Quanti!$O$54="OUI",
ROUNDUP($J9, 0)*AM$7+ROUNDUP($K9, 0)*(AM$7*(AM$7+1)/2),
 AM$7*$J9+(AM$7*(AM$7+1)/2)*$K9)</f>
        <v>0</v>
      </c>
      <c r="AM9" s="3172">
        <f>IF(AM$6=0, 0, AL9-AI9)</f>
        <v>0</v>
      </c>
      <c r="AN9" s="3171">
        <f t="shared" ref="AN9:AN49" si="9">IF(AL9&lt;$N9, 0, AM9)</f>
        <v>0</v>
      </c>
      <c r="AO9" s="3170">
        <f>IF(Quanti!$O$54="OUI",
ROUNDUP($J9, 0)*AP$7+ROUNDUP($K9, 0)*(AP$7*(AP$7+1)/2),
 AP$7*$J9+(AP$7*(AP$7+1)/2)*$K9)</f>
        <v>0</v>
      </c>
      <c r="AP9" s="3172">
        <f>IF(AP$6=0, 0, AO9-AL9)</f>
        <v>0</v>
      </c>
      <c r="AQ9" s="3171">
        <f t="shared" ref="AQ9:AQ49" si="10">IF(AO9&lt;$N9, 0, AP9)</f>
        <v>0</v>
      </c>
      <c r="AR9" s="3170">
        <f>IF(Quanti!$O$54="OUI",
ROUNDUP($J9, 0)*AS$7+ROUNDUP($K9, 0)*(AS$7*(AS$7+1)/2),
 AS$7*$J9+(AS$7*(AS$7+1)/2)*$K9)</f>
        <v>0</v>
      </c>
      <c r="AS9" s="3172">
        <f>IF(AS$6=0, 0, AR9-AO9)</f>
        <v>0</v>
      </c>
      <c r="AT9" s="3171">
        <f t="shared" ref="AT9:AT49" si="11">IF(AR9&lt;$N9, 0, AS9)</f>
        <v>0</v>
      </c>
      <c r="AU9" s="3170">
        <f>IF(Quanti!$O$54="OUI",
ROUNDUP($J9, 0)*AV$7+ROUNDUP($K9, 0)*(AV$7*(AV$7+1)/2),
 AV$7*$J9+(AV$7*(AV$7+1)/2)*$K9)</f>
        <v>0</v>
      </c>
      <c r="AV9" s="3172">
        <f>IF(AV$6=0, 0, AU9-AR9)</f>
        <v>0</v>
      </c>
      <c r="AW9" s="3171">
        <f t="shared" ref="AW9:AW49" si="12">IF(AU9&lt;$N9, 0, AV9)</f>
        <v>0</v>
      </c>
      <c r="AX9" s="3170">
        <f>IF(Quanti!$O$54="OUI",
ROUNDUP($J9, 0)*AY$7+ROUNDUP($K9, 0)*(AY$7*(AY$7+1)/2),
 AY$7*$J9+(AY$7*(AY$7+1)/2)*$K9)</f>
        <v>0</v>
      </c>
      <c r="AY9" s="3172">
        <f>IF(AY$6=0, 0, AX9-AU9)</f>
        <v>0</v>
      </c>
      <c r="AZ9" s="3171">
        <f t="shared" ref="AZ9:AZ49" si="13">IF(AX9&lt;$N9, 0, AY9)</f>
        <v>0</v>
      </c>
      <c r="BA9" s="3170">
        <f>IF(Quanti!$O$54="OUI",
ROUNDUP($J9, 0)*BB$7+ROUNDUP($K9, 0)*(BB$7*(BB$7+1)/2),
 BB$7*$J9+(BB$7*(BB$7+1)/2)*$K9)</f>
        <v>0</v>
      </c>
      <c r="BB9" s="3172">
        <f>IF(BB$6=0, 0, BA9-AX9)</f>
        <v>0</v>
      </c>
      <c r="BC9" s="3171">
        <f t="shared" ref="BC9:BC49" si="14">IF(BA9&lt;$N9, 0, BB9)</f>
        <v>0</v>
      </c>
      <c r="BD9" s="3170">
        <f>IF(Quanti!$O$54="OUI",
ROUNDUP($J9, 0)*BE$7+ROUNDUP($K9, 0)*(BE$7*(BE$7+1)/2),
 BE$7*$J9+(BE$7*(BE$7+1)/2)*$K9)</f>
        <v>0</v>
      </c>
      <c r="BE9" s="3172">
        <f>IF(BE$6=0, 0, BD9-BA9)</f>
        <v>0</v>
      </c>
      <c r="BF9" s="3171">
        <f t="shared" ref="BF9:BF49" si="15">IF(BD9&lt;$N9, 0, BE9)</f>
        <v>0</v>
      </c>
      <c r="BG9" s="3170">
        <f>IF(Quanti!$O$54="OUI",
ROUNDUP($J9, 0)*BH$7+ROUNDUP($K9, 0)*(BH$7*(BH$7+1)/2),
 BH$7*$J9+(BH$7*(BH$7+1)/2)*$K9)</f>
        <v>0</v>
      </c>
      <c r="BH9" s="3172">
        <f>IF(BH$6=0, 0, BG9-BD9)</f>
        <v>0</v>
      </c>
      <c r="BI9" s="3171">
        <f t="shared" ref="BI9:BI49" si="16">IF(BG9&lt;$N9, 0, BH9)</f>
        <v>0</v>
      </c>
      <c r="BJ9" s="3170">
        <f>IF(Quanti!$O$54="OUI",
ROUNDUP($J9, 0)*BK$7+ROUNDUP($K9, 0)*(BK$7*(BK$7+1)/2),
 BK$7*$J9+(BK$7*(BK$7+1)/2)*$K9)</f>
        <v>0</v>
      </c>
      <c r="BK9" s="3172">
        <f>IF(BK$6=0, 0, BJ9-BG9)</f>
        <v>0</v>
      </c>
      <c r="BL9" s="3171">
        <f t="shared" ref="BL9:BL49" si="17">IF(BJ9&lt;$N9, 0, BK9)</f>
        <v>0</v>
      </c>
      <c r="BM9" s="3170">
        <f>IF(Quanti!$O$54="OUI",
ROUNDUP($J9, 0)*BN$7+ROUNDUP($K9, 0)*(BN$7*(BN$7+1)/2),
 BN$7*$J9+(BN$7*(BN$7+1)/2)*$K9)</f>
        <v>0</v>
      </c>
      <c r="BN9" s="3172">
        <f>IF(BN$6=0, 0, BM9-BJ9)</f>
        <v>0</v>
      </c>
      <c r="BO9" s="3171">
        <f t="shared" ref="BO9:BO49" si="18">IF(BM9&lt;$N9, 0, BN9)</f>
        <v>0</v>
      </c>
      <c r="BP9" s="3170">
        <f>IF(Quanti!$O$54="OUI",
ROUNDUP($J9, 0)*BQ$7+ROUNDUP($K9, 0)*(BQ$7*(BQ$7+1)/2),
 BQ$7*$J9+(BQ$7*(BQ$7+1)/2)*$K9)</f>
        <v>0</v>
      </c>
      <c r="BQ9" s="3172">
        <f>IF(BQ$6=0, 0, BP9-BM9)</f>
        <v>0</v>
      </c>
      <c r="BR9" s="3171">
        <f t="shared" ref="BR9:BR49" si="19">IF(BP9&lt;$N9, 0, BQ9)</f>
        <v>0</v>
      </c>
      <c r="BS9" s="3170">
        <f>IF(Quanti!$O$54="OUI",
ROUNDUP($J9, 0)*BT$7+ROUNDUP($K9, 0)*(BT$7*(BT$7+1)/2),
 BT$7*$J9+(BT$7*(BT$7+1)/2)*$K9)</f>
        <v>0</v>
      </c>
      <c r="BT9" s="3172">
        <f>IF(BT$6=0, 0, BS9-BP9)</f>
        <v>0</v>
      </c>
      <c r="BU9" s="3171">
        <f t="shared" ref="BU9:BU49" si="20">IF(BS9&lt;$N9, 0, BT9)</f>
        <v>0</v>
      </c>
      <c r="BV9" s="3170">
        <f>IF(Quanti!$O$54="OUI",
ROUNDUP($J9, 0)*BW$7+ROUNDUP($K9, 0)*(BW$7*(BW$7+1)/2),
 BW$7*$J9+(BW$7*(BW$7+1)/2)*$K9)</f>
        <v>0</v>
      </c>
      <c r="BW9" s="3172">
        <f>IF(BW$6=0, 0, BV9-BS9)</f>
        <v>0</v>
      </c>
      <c r="BX9" s="3171">
        <f t="shared" ref="BX9:BX49" si="21">IF(BV9&lt;$N9, 0, BW9)</f>
        <v>0</v>
      </c>
    </row>
    <row r="10" spans="1:76" ht="38.25" x14ac:dyDescent="0.2">
      <c r="B10" s="37"/>
      <c r="C10" s="98"/>
      <c r="D10" s="1656" t="str">
        <f>'Saisie données stocks'!F20</f>
        <v>AZT+3TC+NVP</v>
      </c>
      <c r="E10" s="1657" t="str">
        <f>'Saisie données stocks'!G20</f>
        <v>Cp</v>
      </c>
      <c r="F10" s="1657" t="str">
        <f>'Saisie données stocks'!H20</f>
        <v>60/30/50 mg</v>
      </c>
      <c r="G10" s="502" t="str">
        <f>'Saisie données stocks'!I20</f>
        <v>Zidovudine+ Lamivudine+ Nevirapine</v>
      </c>
      <c r="H10" s="505">
        <f>'Saisie données stocks'!L20</f>
        <v>60</v>
      </c>
      <c r="I10" s="330"/>
      <c r="J10" s="3150">
        <f>IF(Quanti!$D$9="X", 'Calculs dispo Données FA'!N126, IF(Quanti!$D$10="X", 'Calculs dispo Données conso'!N128, "0"))</f>
        <v>0</v>
      </c>
      <c r="K10" s="3148">
        <f>IF(Quanti!$D$9="X", 'Calculs dispo Données FA'!O126, IF(Quanti!$D$10="X", 'Calculs dispo Données conso'!O128, "0"))</f>
        <v>0</v>
      </c>
      <c r="L10" s="3151">
        <f>Calculs!O433</f>
        <v>490</v>
      </c>
      <c r="M10" s="3140">
        <f t="shared" ref="M10:M49" si="22">M$7*$J10+(M$7*(M$7+1)/2)*$K10</f>
        <v>0</v>
      </c>
      <c r="N10" s="3140">
        <f t="shared" si="0"/>
        <v>490</v>
      </c>
      <c r="O10" s="1513">
        <f>IF(Quanti!$O$54="OUI",
ROUNDUP(J10, 0)*(Quanti!$N$19+Quanti!$N$25)+ROUNDUP(K10, 0)*((Quanti!$N$19+Quanti!$N$25)*((Quanti!$N$19+Quanti!$N$25)+1)/2),
 J10*(Quanti!$N$19+Quanti!$N$25)+K10*((Quanti!$N$19+Quanti!$N$25)*((Quanti!$N$19+Quanti!$N$25)+1)/2))-M10</f>
        <v>0</v>
      </c>
      <c r="P10" s="3145">
        <f t="shared" ref="P10:P48" si="23">IF((O10-N10)&gt;0, (O10-N10), 0)</f>
        <v>0</v>
      </c>
      <c r="Q10" s="1513">
        <f>IF(Quanti!$O$54="OUI",
ROUNDUP($J10, 0)*R$7+ROUNDUP($K10, 0)*(R$7*(R$7+1)/2),
 R$7*$J10+(R$7*(R$7+1)/2)*$K10)</f>
        <v>0</v>
      </c>
      <c r="R10" s="1511">
        <f t="shared" si="1"/>
        <v>0</v>
      </c>
      <c r="S10" s="3145">
        <f t="shared" si="2"/>
        <v>0</v>
      </c>
      <c r="T10" s="1513">
        <f>IF(Quanti!$O$54="OUI",
ROUNDUP($J10, 0)*U$7+ROUNDUP($K10, 0)*(U$7*(U$7+1)/2),
 U$7*$J10+(U$7*(U$7+1)/2)*$K10)</f>
        <v>0</v>
      </c>
      <c r="U10" s="1511">
        <f t="shared" ref="U10:U49" si="24">IF(U$6=0, 0, T10-Q10)</f>
        <v>0</v>
      </c>
      <c r="V10" s="3145">
        <f t="shared" si="3"/>
        <v>0</v>
      </c>
      <c r="W10" s="1513">
        <f>IF(Quanti!$O$54="OUI",
ROUNDUP($J10, 0)*X$7+ROUNDUP($K10, 0)*(X$7*(X$7+1)/2),
 X$7*$J10+(X$7*(X$7+1)/2)*$K10)</f>
        <v>0</v>
      </c>
      <c r="X10" s="1511">
        <f t="shared" ref="X10:X49" si="25">IF(X$6=0, 0, W10-T10)</f>
        <v>0</v>
      </c>
      <c r="Y10" s="3145">
        <f t="shared" si="4"/>
        <v>0</v>
      </c>
      <c r="Z10" s="1513">
        <f>IF(Quanti!$O$54="OUI",
ROUNDUP($J10, 0)*AA$7+ROUNDUP($K10, 0)*(AA$7*(AA$7+1)/2),
 AA$7*$J10+(AA$7*(AA$7+1)/2)*$K10)</f>
        <v>0</v>
      </c>
      <c r="AA10" s="1511">
        <f t="shared" ref="AA10:AA49" si="26">IF(AA$6=0, 0, Z10-W10)</f>
        <v>0</v>
      </c>
      <c r="AB10" s="3145">
        <f t="shared" si="5"/>
        <v>0</v>
      </c>
      <c r="AC10" s="1513">
        <f>IF(Quanti!$O$54="OUI",
ROUNDUP($J10, 0)*AD$7+ROUNDUP($K10, 0)*(AD$7*(AD$7+1)/2),
 AD$7*$J10+(AD$7*(AD$7+1)/2)*$K10)</f>
        <v>0</v>
      </c>
      <c r="AD10" s="1511">
        <f t="shared" ref="AD10:AD49" si="27">IF(AD$6=0, 0, AC10-Z10)</f>
        <v>0</v>
      </c>
      <c r="AE10" s="3145">
        <f t="shared" si="6"/>
        <v>0</v>
      </c>
      <c r="AF10" s="1513">
        <f>IF(Quanti!$O$54="OUI",
ROUNDUP($J10, 0)*AG$7+ROUNDUP($K10, 0)*(AG$7*(AG$7+1)/2),
 AG$7*$J10+(AG$7*(AG$7+1)/2)*$K10)</f>
        <v>0</v>
      </c>
      <c r="AG10" s="1511">
        <f t="shared" ref="AG10:AG49" si="28">IF(AG$6=0, 0, AF10-AC10)</f>
        <v>0</v>
      </c>
      <c r="AH10" s="3145">
        <f t="shared" si="7"/>
        <v>0</v>
      </c>
      <c r="AI10" s="1513">
        <f>IF(Quanti!$O$54="OUI",
ROUNDUP($J10, 0)*AJ$7+ROUNDUP($K10, 0)*(AJ$7*(AJ$7+1)/2),
 AJ$7*$J10+(AJ$7*(AJ$7+1)/2)*$K10)</f>
        <v>0</v>
      </c>
      <c r="AJ10" s="1511">
        <f t="shared" ref="AJ10:AJ49" si="29">IF(AJ$6=0, 0, AI10-AF10)</f>
        <v>0</v>
      </c>
      <c r="AK10" s="3145">
        <f t="shared" si="8"/>
        <v>0</v>
      </c>
      <c r="AL10" s="1513">
        <f>IF(Quanti!$O$54="OUI",
ROUNDUP($J10, 0)*AM$7+ROUNDUP($K10, 0)*(AM$7*(AM$7+1)/2),
 AM$7*$J10+(AM$7*(AM$7+1)/2)*$K10)</f>
        <v>0</v>
      </c>
      <c r="AM10" s="1511">
        <f t="shared" ref="AM10:AM49" si="30">IF(AM$6=0, 0, AL10-AI10)</f>
        <v>0</v>
      </c>
      <c r="AN10" s="3145">
        <f t="shared" si="9"/>
        <v>0</v>
      </c>
      <c r="AO10" s="1513">
        <f>IF(Quanti!$O$54="OUI",
ROUNDUP($J10, 0)*AP$7+ROUNDUP($K10, 0)*(AP$7*(AP$7+1)/2),
 AP$7*$J10+(AP$7*(AP$7+1)/2)*$K10)</f>
        <v>0</v>
      </c>
      <c r="AP10" s="1511">
        <f t="shared" ref="AP10:AP49" si="31">IF(AP$6=0, 0, AO10-AL10)</f>
        <v>0</v>
      </c>
      <c r="AQ10" s="3145">
        <f t="shared" si="10"/>
        <v>0</v>
      </c>
      <c r="AR10" s="1513">
        <f>IF(Quanti!$O$54="OUI",
ROUNDUP($J10, 0)*AS$7+ROUNDUP($K10, 0)*(AS$7*(AS$7+1)/2),
 AS$7*$J10+(AS$7*(AS$7+1)/2)*$K10)</f>
        <v>0</v>
      </c>
      <c r="AS10" s="1511">
        <f t="shared" ref="AS10:AS49" si="32">IF(AS$6=0, 0, AR10-AO10)</f>
        <v>0</v>
      </c>
      <c r="AT10" s="3145">
        <f t="shared" si="11"/>
        <v>0</v>
      </c>
      <c r="AU10" s="1513">
        <f>IF(Quanti!$O$54="OUI",
ROUNDUP($J10, 0)*AV$7+ROUNDUP($K10, 0)*(AV$7*(AV$7+1)/2),
 AV$7*$J10+(AV$7*(AV$7+1)/2)*$K10)</f>
        <v>0</v>
      </c>
      <c r="AV10" s="1511">
        <f t="shared" ref="AV10:AV49" si="33">IF(AV$6=0, 0, AU10-AR10)</f>
        <v>0</v>
      </c>
      <c r="AW10" s="3145">
        <f t="shared" si="12"/>
        <v>0</v>
      </c>
      <c r="AX10" s="1513">
        <f>IF(Quanti!$O$54="OUI",
ROUNDUP($J10, 0)*AY$7+ROUNDUP($K10, 0)*(AY$7*(AY$7+1)/2),
 AY$7*$J10+(AY$7*(AY$7+1)/2)*$K10)</f>
        <v>0</v>
      </c>
      <c r="AY10" s="1511">
        <f t="shared" ref="AY10:AY49" si="34">IF(AY$6=0, 0, AX10-AU10)</f>
        <v>0</v>
      </c>
      <c r="AZ10" s="3145">
        <f t="shared" si="13"/>
        <v>0</v>
      </c>
      <c r="BA10" s="1513">
        <f>IF(Quanti!$O$54="OUI",
ROUNDUP($J10, 0)*BB$7+ROUNDUP($K10, 0)*(BB$7*(BB$7+1)/2),
 BB$7*$J10+(BB$7*(BB$7+1)/2)*$K10)</f>
        <v>0</v>
      </c>
      <c r="BB10" s="1511">
        <f t="shared" ref="BB10:BB49" si="35">IF(BB$6=0, 0, BA10-AX10)</f>
        <v>0</v>
      </c>
      <c r="BC10" s="3145">
        <f t="shared" si="14"/>
        <v>0</v>
      </c>
      <c r="BD10" s="1513">
        <f>IF(Quanti!$O$54="OUI",
ROUNDUP($J10, 0)*BE$7+ROUNDUP($K10, 0)*(BE$7*(BE$7+1)/2),
 BE$7*$J10+(BE$7*(BE$7+1)/2)*$K10)</f>
        <v>0</v>
      </c>
      <c r="BE10" s="1511">
        <f t="shared" ref="BE10:BE49" si="36">IF(BE$6=0, 0, BD10-BA10)</f>
        <v>0</v>
      </c>
      <c r="BF10" s="3145">
        <f t="shared" si="15"/>
        <v>0</v>
      </c>
      <c r="BG10" s="1513">
        <f>IF(Quanti!$O$54="OUI",
ROUNDUP($J10, 0)*BH$7+ROUNDUP($K10, 0)*(BH$7*(BH$7+1)/2),
 BH$7*$J10+(BH$7*(BH$7+1)/2)*$K10)</f>
        <v>0</v>
      </c>
      <c r="BH10" s="1511">
        <f t="shared" ref="BH10:BH49" si="37">IF(BH$6=0, 0, BG10-BD10)</f>
        <v>0</v>
      </c>
      <c r="BI10" s="3145">
        <f t="shared" si="16"/>
        <v>0</v>
      </c>
      <c r="BJ10" s="1513">
        <f>IF(Quanti!$O$54="OUI",
ROUNDUP($J10, 0)*BK$7+ROUNDUP($K10, 0)*(BK$7*(BK$7+1)/2),
 BK$7*$J10+(BK$7*(BK$7+1)/2)*$K10)</f>
        <v>0</v>
      </c>
      <c r="BK10" s="1511">
        <f t="shared" ref="BK10:BK49" si="38">IF(BK$6=0, 0, BJ10-BG10)</f>
        <v>0</v>
      </c>
      <c r="BL10" s="3145">
        <f t="shared" si="17"/>
        <v>0</v>
      </c>
      <c r="BM10" s="1513">
        <f>IF(Quanti!$O$54="OUI",
ROUNDUP($J10, 0)*BN$7+ROUNDUP($K10, 0)*(BN$7*(BN$7+1)/2),
 BN$7*$J10+(BN$7*(BN$7+1)/2)*$K10)</f>
        <v>0</v>
      </c>
      <c r="BN10" s="1511">
        <f t="shared" ref="BN10:BN49" si="39">IF(BN$6=0, 0, BM10-BJ10)</f>
        <v>0</v>
      </c>
      <c r="BO10" s="3145">
        <f t="shared" si="18"/>
        <v>0</v>
      </c>
      <c r="BP10" s="1513">
        <f>IF(Quanti!$O$54="OUI",
ROUNDUP($J10, 0)*BQ$7+ROUNDUP($K10, 0)*(BQ$7*(BQ$7+1)/2),
 BQ$7*$J10+(BQ$7*(BQ$7+1)/2)*$K10)</f>
        <v>0</v>
      </c>
      <c r="BQ10" s="1511">
        <f t="shared" ref="BQ10:BQ49" si="40">IF(BQ$6=0, 0, BP10-BM10)</f>
        <v>0</v>
      </c>
      <c r="BR10" s="3145">
        <f t="shared" si="19"/>
        <v>0</v>
      </c>
      <c r="BS10" s="1513">
        <f>IF(Quanti!$O$54="OUI",
ROUNDUP($J10, 0)*BT$7+ROUNDUP($K10, 0)*(BT$7*(BT$7+1)/2),
 BT$7*$J10+(BT$7*(BT$7+1)/2)*$K10)</f>
        <v>0</v>
      </c>
      <c r="BT10" s="1511">
        <f t="shared" ref="BT10:BT49" si="41">IF(BT$6=0, 0, BS10-BP10)</f>
        <v>0</v>
      </c>
      <c r="BU10" s="3145">
        <f t="shared" si="20"/>
        <v>0</v>
      </c>
      <c r="BV10" s="1513">
        <f>IF(Quanti!$O$54="OUI",
ROUNDUP($J10, 0)*BW$7+ROUNDUP($K10, 0)*(BW$7*(BW$7+1)/2),
 BW$7*$J10+(BW$7*(BW$7+1)/2)*$K10)</f>
        <v>0</v>
      </c>
      <c r="BW10" s="1511">
        <f t="shared" ref="BW10:BW49" si="42">IF(BW$6=0, 0, BV10-BS10)</f>
        <v>0</v>
      </c>
      <c r="BX10" s="3145">
        <f t="shared" si="21"/>
        <v>0</v>
      </c>
    </row>
    <row r="11" spans="1:76" ht="38.25" x14ac:dyDescent="0.2">
      <c r="B11" s="37"/>
      <c r="C11" s="98"/>
      <c r="D11" s="1658" t="str">
        <f>'Saisie données stocks'!F21</f>
        <v>AZT+3TC+ABC</v>
      </c>
      <c r="E11" s="1659" t="str">
        <f>'Saisie données stocks'!G21</f>
        <v>Cp</v>
      </c>
      <c r="F11" s="1659" t="str">
        <f>'Saisie données stocks'!H21</f>
        <v>300/150/300 mg</v>
      </c>
      <c r="G11" s="89" t="str">
        <f>'Saisie données stocks'!I21</f>
        <v>Zidovudine+ Lamivudine+ Abacavir</v>
      </c>
      <c r="H11" s="114">
        <f>'Saisie données stocks'!L21</f>
        <v>60</v>
      </c>
      <c r="I11" s="330"/>
      <c r="J11" s="3150">
        <f>IF(Quanti!$D$9="X", 'Calculs dispo Données FA'!N127, IF(Quanti!$D$10="X", 'Calculs dispo Données conso'!N129, "0"))</f>
        <v>0</v>
      </c>
      <c r="K11" s="3148">
        <f>IF(Quanti!$D$9="X", 'Calculs dispo Données FA'!O127, IF(Quanti!$D$10="X", 'Calculs dispo Données conso'!O129, "0"))</f>
        <v>0</v>
      </c>
      <c r="L11" s="3151">
        <f>Calculs!O434</f>
        <v>0</v>
      </c>
      <c r="M11" s="3140">
        <f t="shared" si="22"/>
        <v>0</v>
      </c>
      <c r="N11" s="3140">
        <f t="shared" si="0"/>
        <v>0</v>
      </c>
      <c r="O11" s="1513">
        <f>IF(Quanti!$O$54="OUI",
ROUNDUP(J11, 0)*(Quanti!$N$19+Quanti!$N$25)+ROUNDUP(K11, 0)*((Quanti!$N$19+Quanti!$N$25)*((Quanti!$N$19+Quanti!$N$25)+1)/2),
 J11*(Quanti!$N$19+Quanti!$N$25)+K11*((Quanti!$N$19+Quanti!$N$25)*((Quanti!$N$19+Quanti!$N$25)+1)/2))-M11</f>
        <v>0</v>
      </c>
      <c r="P11" s="3145">
        <f t="shared" si="23"/>
        <v>0</v>
      </c>
      <c r="Q11" s="1513">
        <f>IF(Quanti!$O$54="OUI",
ROUNDUP($J11, 0)*R$7+ROUNDUP($K11, 0)*(R$7*(R$7+1)/2),
 R$7*$J11+(R$7*(R$7+1)/2)*$K11)</f>
        <v>0</v>
      </c>
      <c r="R11" s="1511">
        <f t="shared" si="1"/>
        <v>0</v>
      </c>
      <c r="S11" s="3145">
        <f t="shared" si="2"/>
        <v>0</v>
      </c>
      <c r="T11" s="1513">
        <f>IF(Quanti!$O$54="OUI",
ROUNDUP($J11, 0)*U$7+ROUNDUP($K11, 0)*(U$7*(U$7+1)/2),
 U$7*$J11+(U$7*(U$7+1)/2)*$K11)</f>
        <v>0</v>
      </c>
      <c r="U11" s="1514">
        <f t="shared" si="24"/>
        <v>0</v>
      </c>
      <c r="V11" s="3145">
        <f t="shared" si="3"/>
        <v>0</v>
      </c>
      <c r="W11" s="1513">
        <f>IF(Quanti!$O$54="OUI",
ROUNDUP($J11, 0)*X$7+ROUNDUP($K11, 0)*(X$7*(X$7+1)/2),
 X$7*$J11+(X$7*(X$7+1)/2)*$K11)</f>
        <v>0</v>
      </c>
      <c r="X11" s="1514">
        <f t="shared" si="25"/>
        <v>0</v>
      </c>
      <c r="Y11" s="3145">
        <f t="shared" si="4"/>
        <v>0</v>
      </c>
      <c r="Z11" s="1513">
        <f>IF(Quanti!$O$54="OUI",
ROUNDUP($J11, 0)*AA$7+ROUNDUP($K11, 0)*(AA$7*(AA$7+1)/2),
 AA$7*$J11+(AA$7*(AA$7+1)/2)*$K11)</f>
        <v>0</v>
      </c>
      <c r="AA11" s="1514">
        <f t="shared" si="26"/>
        <v>0</v>
      </c>
      <c r="AB11" s="3145">
        <f t="shared" si="5"/>
        <v>0</v>
      </c>
      <c r="AC11" s="1513">
        <f>IF(Quanti!$O$54="OUI",
ROUNDUP($J11, 0)*AD$7+ROUNDUP($K11, 0)*(AD$7*(AD$7+1)/2),
 AD$7*$J11+(AD$7*(AD$7+1)/2)*$K11)</f>
        <v>0</v>
      </c>
      <c r="AD11" s="1514">
        <f t="shared" si="27"/>
        <v>0</v>
      </c>
      <c r="AE11" s="3145">
        <f t="shared" si="6"/>
        <v>0</v>
      </c>
      <c r="AF11" s="1513">
        <f>IF(Quanti!$O$54="OUI",
ROUNDUP($J11, 0)*AG$7+ROUNDUP($K11, 0)*(AG$7*(AG$7+1)/2),
 AG$7*$J11+(AG$7*(AG$7+1)/2)*$K11)</f>
        <v>0</v>
      </c>
      <c r="AG11" s="1514">
        <f t="shared" si="28"/>
        <v>0</v>
      </c>
      <c r="AH11" s="3145">
        <f t="shared" si="7"/>
        <v>0</v>
      </c>
      <c r="AI11" s="1513">
        <f>IF(Quanti!$O$54="OUI",
ROUNDUP($J11, 0)*AJ$7+ROUNDUP($K11, 0)*(AJ$7*(AJ$7+1)/2),
 AJ$7*$J11+(AJ$7*(AJ$7+1)/2)*$K11)</f>
        <v>0</v>
      </c>
      <c r="AJ11" s="1514">
        <f t="shared" si="29"/>
        <v>0</v>
      </c>
      <c r="AK11" s="3145">
        <f t="shared" si="8"/>
        <v>0</v>
      </c>
      <c r="AL11" s="1513">
        <f>IF(Quanti!$O$54="OUI",
ROUNDUP($J11, 0)*AM$7+ROUNDUP($K11, 0)*(AM$7*(AM$7+1)/2),
 AM$7*$J11+(AM$7*(AM$7+1)/2)*$K11)</f>
        <v>0</v>
      </c>
      <c r="AM11" s="1514">
        <f t="shared" si="30"/>
        <v>0</v>
      </c>
      <c r="AN11" s="3145">
        <f t="shared" si="9"/>
        <v>0</v>
      </c>
      <c r="AO11" s="1513">
        <f>IF(Quanti!$O$54="OUI",
ROUNDUP($J11, 0)*AP$7+ROUNDUP($K11, 0)*(AP$7*(AP$7+1)/2),
 AP$7*$J11+(AP$7*(AP$7+1)/2)*$K11)</f>
        <v>0</v>
      </c>
      <c r="AP11" s="1514">
        <f t="shared" si="31"/>
        <v>0</v>
      </c>
      <c r="AQ11" s="3145">
        <f t="shared" si="10"/>
        <v>0</v>
      </c>
      <c r="AR11" s="1513">
        <f>IF(Quanti!$O$54="OUI",
ROUNDUP($J11, 0)*AS$7+ROUNDUP($K11, 0)*(AS$7*(AS$7+1)/2),
 AS$7*$J11+(AS$7*(AS$7+1)/2)*$K11)</f>
        <v>0</v>
      </c>
      <c r="AS11" s="1514">
        <f t="shared" si="32"/>
        <v>0</v>
      </c>
      <c r="AT11" s="3145">
        <f t="shared" si="11"/>
        <v>0</v>
      </c>
      <c r="AU11" s="1513">
        <f>IF(Quanti!$O$54="OUI",
ROUNDUP($J11, 0)*AV$7+ROUNDUP($K11, 0)*(AV$7*(AV$7+1)/2),
 AV$7*$J11+(AV$7*(AV$7+1)/2)*$K11)</f>
        <v>0</v>
      </c>
      <c r="AV11" s="1514">
        <f t="shared" si="33"/>
        <v>0</v>
      </c>
      <c r="AW11" s="3145">
        <f t="shared" si="12"/>
        <v>0</v>
      </c>
      <c r="AX11" s="1513">
        <f>IF(Quanti!$O$54="OUI",
ROUNDUP($J11, 0)*AY$7+ROUNDUP($K11, 0)*(AY$7*(AY$7+1)/2),
 AY$7*$J11+(AY$7*(AY$7+1)/2)*$K11)</f>
        <v>0</v>
      </c>
      <c r="AY11" s="1514">
        <f t="shared" si="34"/>
        <v>0</v>
      </c>
      <c r="AZ11" s="3145">
        <f t="shared" si="13"/>
        <v>0</v>
      </c>
      <c r="BA11" s="1513">
        <f>IF(Quanti!$O$54="OUI",
ROUNDUP($J11, 0)*BB$7+ROUNDUP($K11, 0)*(BB$7*(BB$7+1)/2),
 BB$7*$J11+(BB$7*(BB$7+1)/2)*$K11)</f>
        <v>0</v>
      </c>
      <c r="BB11" s="1514">
        <f t="shared" si="35"/>
        <v>0</v>
      </c>
      <c r="BC11" s="3145">
        <f t="shared" si="14"/>
        <v>0</v>
      </c>
      <c r="BD11" s="1513">
        <f>IF(Quanti!$O$54="OUI",
ROUNDUP($J11, 0)*BE$7+ROUNDUP($K11, 0)*(BE$7*(BE$7+1)/2),
 BE$7*$J11+(BE$7*(BE$7+1)/2)*$K11)</f>
        <v>0</v>
      </c>
      <c r="BE11" s="1514">
        <f t="shared" si="36"/>
        <v>0</v>
      </c>
      <c r="BF11" s="3145">
        <f t="shared" si="15"/>
        <v>0</v>
      </c>
      <c r="BG11" s="1513">
        <f>IF(Quanti!$O$54="OUI",
ROUNDUP($J11, 0)*BH$7+ROUNDUP($K11, 0)*(BH$7*(BH$7+1)/2),
 BH$7*$J11+(BH$7*(BH$7+1)/2)*$K11)</f>
        <v>0</v>
      </c>
      <c r="BH11" s="1514">
        <f t="shared" si="37"/>
        <v>0</v>
      </c>
      <c r="BI11" s="3145">
        <f t="shared" si="16"/>
        <v>0</v>
      </c>
      <c r="BJ11" s="1513">
        <f>IF(Quanti!$O$54="OUI",
ROUNDUP($J11, 0)*BK$7+ROUNDUP($K11, 0)*(BK$7*(BK$7+1)/2),
 BK$7*$J11+(BK$7*(BK$7+1)/2)*$K11)</f>
        <v>0</v>
      </c>
      <c r="BK11" s="1514">
        <f t="shared" si="38"/>
        <v>0</v>
      </c>
      <c r="BL11" s="3145">
        <f t="shared" si="17"/>
        <v>0</v>
      </c>
      <c r="BM11" s="1513">
        <f>IF(Quanti!$O$54="OUI",
ROUNDUP($J11, 0)*BN$7+ROUNDUP($K11, 0)*(BN$7*(BN$7+1)/2),
 BN$7*$J11+(BN$7*(BN$7+1)/2)*$K11)</f>
        <v>0</v>
      </c>
      <c r="BN11" s="1514">
        <f t="shared" si="39"/>
        <v>0</v>
      </c>
      <c r="BO11" s="3145">
        <f t="shared" si="18"/>
        <v>0</v>
      </c>
      <c r="BP11" s="1513">
        <f>IF(Quanti!$O$54="OUI",
ROUNDUP($J11, 0)*BQ$7+ROUNDUP($K11, 0)*(BQ$7*(BQ$7+1)/2),
 BQ$7*$J11+(BQ$7*(BQ$7+1)/2)*$K11)</f>
        <v>0</v>
      </c>
      <c r="BQ11" s="1514">
        <f t="shared" si="40"/>
        <v>0</v>
      </c>
      <c r="BR11" s="3145">
        <f t="shared" si="19"/>
        <v>0</v>
      </c>
      <c r="BS11" s="1513">
        <f>IF(Quanti!$O$54="OUI",
ROUNDUP($J11, 0)*BT$7+ROUNDUP($K11, 0)*(BT$7*(BT$7+1)/2),
 BT$7*$J11+(BT$7*(BT$7+1)/2)*$K11)</f>
        <v>0</v>
      </c>
      <c r="BT11" s="1514">
        <f t="shared" si="41"/>
        <v>0</v>
      </c>
      <c r="BU11" s="3145">
        <f t="shared" si="20"/>
        <v>0</v>
      </c>
      <c r="BV11" s="1513">
        <f>IF(Quanti!$O$54="OUI",
ROUNDUP($J11, 0)*BW$7+ROUNDUP($K11, 0)*(BW$7*(BW$7+1)/2),
 BW$7*$J11+(BW$7*(BW$7+1)/2)*$K11)</f>
        <v>0</v>
      </c>
      <c r="BW11" s="1514">
        <f t="shared" si="42"/>
        <v>0</v>
      </c>
      <c r="BX11" s="3145">
        <f t="shared" si="21"/>
        <v>0</v>
      </c>
    </row>
    <row r="12" spans="1:76" ht="25.5" x14ac:dyDescent="0.2">
      <c r="B12" s="37"/>
      <c r="C12" s="98"/>
      <c r="D12" s="1658" t="str">
        <f>'Saisie données stocks'!F22</f>
        <v>AZT+3TC</v>
      </c>
      <c r="E12" s="1659" t="str">
        <f>'Saisie données stocks'!G22</f>
        <v>Cp</v>
      </c>
      <c r="F12" s="1659" t="str">
        <f>'Saisie données stocks'!H22</f>
        <v>300/150 mg</v>
      </c>
      <c r="G12" s="89" t="str">
        <f>'Saisie données stocks'!I22</f>
        <v>Zidovudine+ Lamivudine</v>
      </c>
      <c r="H12" s="114">
        <f>'Saisie données stocks'!L22</f>
        <v>60</v>
      </c>
      <c r="I12" s="330"/>
      <c r="J12" s="3150">
        <f>IF(Quanti!$D$9="X", 'Calculs dispo Données FA'!N128, IF(Quanti!$D$10="X", 'Calculs dispo Données conso'!N130, "0"))</f>
        <v>0</v>
      </c>
      <c r="K12" s="3148">
        <f>IF(Quanti!$D$9="X", 'Calculs dispo Données FA'!O128, IF(Quanti!$D$10="X", 'Calculs dispo Données conso'!O130, "0"))</f>
        <v>0</v>
      </c>
      <c r="L12" s="3151">
        <f>Calculs!O435</f>
        <v>1052</v>
      </c>
      <c r="M12" s="3140">
        <f t="shared" si="22"/>
        <v>0</v>
      </c>
      <c r="N12" s="3140">
        <f t="shared" si="0"/>
        <v>1052</v>
      </c>
      <c r="O12" s="1513">
        <f>IF(Quanti!$O$54="OUI",
ROUNDUP(J12, 0)*(Quanti!$N$19+Quanti!$N$25)+ROUNDUP(K12, 0)*((Quanti!$N$19+Quanti!$N$25)*((Quanti!$N$19+Quanti!$N$25)+1)/2),
 J12*(Quanti!$N$19+Quanti!$N$25)+K12*((Quanti!$N$19+Quanti!$N$25)*((Quanti!$N$19+Quanti!$N$25)+1)/2))-M12</f>
        <v>0</v>
      </c>
      <c r="P12" s="3145">
        <f t="shared" si="23"/>
        <v>0</v>
      </c>
      <c r="Q12" s="1513">
        <f>IF(Quanti!$O$54="OUI",
ROUNDUP($J12, 0)*R$7+ROUNDUP($K12, 0)*(R$7*(R$7+1)/2),
 R$7*$J12+(R$7*(R$7+1)/2)*$K12)</f>
        <v>0</v>
      </c>
      <c r="R12" s="1511">
        <f t="shared" si="1"/>
        <v>0</v>
      </c>
      <c r="S12" s="3145">
        <f t="shared" si="2"/>
        <v>0</v>
      </c>
      <c r="T12" s="1513">
        <f>IF(Quanti!$O$54="OUI",
ROUNDUP($J12, 0)*U$7+ROUNDUP($K12, 0)*(U$7*(U$7+1)/2),
 U$7*$J12+(U$7*(U$7+1)/2)*$K12)</f>
        <v>0</v>
      </c>
      <c r="U12" s="1514">
        <f t="shared" si="24"/>
        <v>0</v>
      </c>
      <c r="V12" s="3145">
        <f t="shared" si="3"/>
        <v>0</v>
      </c>
      <c r="W12" s="1513">
        <f>IF(Quanti!$O$54="OUI",
ROUNDUP($J12, 0)*X$7+ROUNDUP($K12, 0)*(X$7*(X$7+1)/2),
 X$7*$J12+(X$7*(X$7+1)/2)*$K12)</f>
        <v>0</v>
      </c>
      <c r="X12" s="1514">
        <f t="shared" si="25"/>
        <v>0</v>
      </c>
      <c r="Y12" s="3145">
        <f t="shared" si="4"/>
        <v>0</v>
      </c>
      <c r="Z12" s="1513">
        <f>IF(Quanti!$O$54="OUI",
ROUNDUP($J12, 0)*AA$7+ROUNDUP($K12, 0)*(AA$7*(AA$7+1)/2),
 AA$7*$J12+(AA$7*(AA$7+1)/2)*$K12)</f>
        <v>0</v>
      </c>
      <c r="AA12" s="1514">
        <f t="shared" si="26"/>
        <v>0</v>
      </c>
      <c r="AB12" s="3145">
        <f t="shared" si="5"/>
        <v>0</v>
      </c>
      <c r="AC12" s="1513">
        <f>IF(Quanti!$O$54="OUI",
ROUNDUP($J12, 0)*AD$7+ROUNDUP($K12, 0)*(AD$7*(AD$7+1)/2),
 AD$7*$J12+(AD$7*(AD$7+1)/2)*$K12)</f>
        <v>0</v>
      </c>
      <c r="AD12" s="1514">
        <f t="shared" si="27"/>
        <v>0</v>
      </c>
      <c r="AE12" s="3145">
        <f t="shared" si="6"/>
        <v>0</v>
      </c>
      <c r="AF12" s="1513">
        <f>IF(Quanti!$O$54="OUI",
ROUNDUP($J12, 0)*AG$7+ROUNDUP($K12, 0)*(AG$7*(AG$7+1)/2),
 AG$7*$J12+(AG$7*(AG$7+1)/2)*$K12)</f>
        <v>0</v>
      </c>
      <c r="AG12" s="1514">
        <f t="shared" si="28"/>
        <v>0</v>
      </c>
      <c r="AH12" s="3145">
        <f t="shared" si="7"/>
        <v>0</v>
      </c>
      <c r="AI12" s="1513">
        <f>IF(Quanti!$O$54="OUI",
ROUNDUP($J12, 0)*AJ$7+ROUNDUP($K12, 0)*(AJ$7*(AJ$7+1)/2),
 AJ$7*$J12+(AJ$7*(AJ$7+1)/2)*$K12)</f>
        <v>0</v>
      </c>
      <c r="AJ12" s="1514">
        <f t="shared" si="29"/>
        <v>0</v>
      </c>
      <c r="AK12" s="3145">
        <f t="shared" si="8"/>
        <v>0</v>
      </c>
      <c r="AL12" s="1513">
        <f>IF(Quanti!$O$54="OUI",
ROUNDUP($J12, 0)*AM$7+ROUNDUP($K12, 0)*(AM$7*(AM$7+1)/2),
 AM$7*$J12+(AM$7*(AM$7+1)/2)*$K12)</f>
        <v>0</v>
      </c>
      <c r="AM12" s="1514">
        <f t="shared" si="30"/>
        <v>0</v>
      </c>
      <c r="AN12" s="3145">
        <f t="shared" si="9"/>
        <v>0</v>
      </c>
      <c r="AO12" s="1513">
        <f>IF(Quanti!$O$54="OUI",
ROUNDUP($J12, 0)*AP$7+ROUNDUP($K12, 0)*(AP$7*(AP$7+1)/2),
 AP$7*$J12+(AP$7*(AP$7+1)/2)*$K12)</f>
        <v>0</v>
      </c>
      <c r="AP12" s="1514">
        <f t="shared" si="31"/>
        <v>0</v>
      </c>
      <c r="AQ12" s="3145">
        <f t="shared" si="10"/>
        <v>0</v>
      </c>
      <c r="AR12" s="1513">
        <f>IF(Quanti!$O$54="OUI",
ROUNDUP($J12, 0)*AS$7+ROUNDUP($K12, 0)*(AS$7*(AS$7+1)/2),
 AS$7*$J12+(AS$7*(AS$7+1)/2)*$K12)</f>
        <v>0</v>
      </c>
      <c r="AS12" s="1514">
        <f t="shared" si="32"/>
        <v>0</v>
      </c>
      <c r="AT12" s="3145">
        <f t="shared" si="11"/>
        <v>0</v>
      </c>
      <c r="AU12" s="1513">
        <f>IF(Quanti!$O$54="OUI",
ROUNDUP($J12, 0)*AV$7+ROUNDUP($K12, 0)*(AV$7*(AV$7+1)/2),
 AV$7*$J12+(AV$7*(AV$7+1)/2)*$K12)</f>
        <v>0</v>
      </c>
      <c r="AV12" s="1514">
        <f t="shared" si="33"/>
        <v>0</v>
      </c>
      <c r="AW12" s="3145">
        <f t="shared" si="12"/>
        <v>0</v>
      </c>
      <c r="AX12" s="1513">
        <f>IF(Quanti!$O$54="OUI",
ROUNDUP($J12, 0)*AY$7+ROUNDUP($K12, 0)*(AY$7*(AY$7+1)/2),
 AY$7*$J12+(AY$7*(AY$7+1)/2)*$K12)</f>
        <v>0</v>
      </c>
      <c r="AY12" s="1514">
        <f t="shared" si="34"/>
        <v>0</v>
      </c>
      <c r="AZ12" s="3145">
        <f t="shared" si="13"/>
        <v>0</v>
      </c>
      <c r="BA12" s="1513">
        <f>IF(Quanti!$O$54="OUI",
ROUNDUP($J12, 0)*BB$7+ROUNDUP($K12, 0)*(BB$7*(BB$7+1)/2),
 BB$7*$J12+(BB$7*(BB$7+1)/2)*$K12)</f>
        <v>0</v>
      </c>
      <c r="BB12" s="1514">
        <f t="shared" si="35"/>
        <v>0</v>
      </c>
      <c r="BC12" s="3145">
        <f t="shared" si="14"/>
        <v>0</v>
      </c>
      <c r="BD12" s="1513">
        <f>IF(Quanti!$O$54="OUI",
ROUNDUP($J12, 0)*BE$7+ROUNDUP($K12, 0)*(BE$7*(BE$7+1)/2),
 BE$7*$J12+(BE$7*(BE$7+1)/2)*$K12)</f>
        <v>0</v>
      </c>
      <c r="BE12" s="1514">
        <f t="shared" si="36"/>
        <v>0</v>
      </c>
      <c r="BF12" s="3145">
        <f t="shared" si="15"/>
        <v>0</v>
      </c>
      <c r="BG12" s="1513">
        <f>IF(Quanti!$O$54="OUI",
ROUNDUP($J12, 0)*BH$7+ROUNDUP($K12, 0)*(BH$7*(BH$7+1)/2),
 BH$7*$J12+(BH$7*(BH$7+1)/2)*$K12)</f>
        <v>0</v>
      </c>
      <c r="BH12" s="1514">
        <f t="shared" si="37"/>
        <v>0</v>
      </c>
      <c r="BI12" s="3145">
        <f t="shared" si="16"/>
        <v>0</v>
      </c>
      <c r="BJ12" s="1513">
        <f>IF(Quanti!$O$54="OUI",
ROUNDUP($J12, 0)*BK$7+ROUNDUP($K12, 0)*(BK$7*(BK$7+1)/2),
 BK$7*$J12+(BK$7*(BK$7+1)/2)*$K12)</f>
        <v>0</v>
      </c>
      <c r="BK12" s="1514">
        <f t="shared" si="38"/>
        <v>0</v>
      </c>
      <c r="BL12" s="3145">
        <f t="shared" si="17"/>
        <v>0</v>
      </c>
      <c r="BM12" s="1513">
        <f>IF(Quanti!$O$54="OUI",
ROUNDUP($J12, 0)*BN$7+ROUNDUP($K12, 0)*(BN$7*(BN$7+1)/2),
 BN$7*$J12+(BN$7*(BN$7+1)/2)*$K12)</f>
        <v>0</v>
      </c>
      <c r="BN12" s="1514">
        <f t="shared" si="39"/>
        <v>0</v>
      </c>
      <c r="BO12" s="3145">
        <f t="shared" si="18"/>
        <v>0</v>
      </c>
      <c r="BP12" s="1513">
        <f>IF(Quanti!$O$54="OUI",
ROUNDUP($J12, 0)*BQ$7+ROUNDUP($K12, 0)*(BQ$7*(BQ$7+1)/2),
 BQ$7*$J12+(BQ$7*(BQ$7+1)/2)*$K12)</f>
        <v>0</v>
      </c>
      <c r="BQ12" s="1514">
        <f t="shared" si="40"/>
        <v>0</v>
      </c>
      <c r="BR12" s="3145">
        <f t="shared" si="19"/>
        <v>0</v>
      </c>
      <c r="BS12" s="1513">
        <f>IF(Quanti!$O$54="OUI",
ROUNDUP($J12, 0)*BT$7+ROUNDUP($K12, 0)*(BT$7*(BT$7+1)/2),
 BT$7*$J12+(BT$7*(BT$7+1)/2)*$K12)</f>
        <v>0</v>
      </c>
      <c r="BT12" s="1514">
        <f t="shared" si="41"/>
        <v>0</v>
      </c>
      <c r="BU12" s="3145">
        <f t="shared" si="20"/>
        <v>0</v>
      </c>
      <c r="BV12" s="1513">
        <f>IF(Quanti!$O$54="OUI",
ROUNDUP($J12, 0)*BW$7+ROUNDUP($K12, 0)*(BW$7*(BW$7+1)/2),
 BW$7*$J12+(BW$7*(BW$7+1)/2)*$K12)</f>
        <v>0</v>
      </c>
      <c r="BW12" s="1514">
        <f t="shared" si="42"/>
        <v>0</v>
      </c>
      <c r="BX12" s="3145">
        <f t="shared" si="21"/>
        <v>0</v>
      </c>
    </row>
    <row r="13" spans="1:76" ht="25.5" x14ac:dyDescent="0.2">
      <c r="B13" s="37"/>
      <c r="C13" s="98"/>
      <c r="D13" s="1656" t="str">
        <f>'Saisie données stocks'!F23</f>
        <v>AZT+3TC</v>
      </c>
      <c r="E13" s="1657" t="str">
        <f>'Saisie données stocks'!G23</f>
        <v>Cp</v>
      </c>
      <c r="F13" s="1657" t="str">
        <f>'Saisie données stocks'!H23</f>
        <v>60/30 mg</v>
      </c>
      <c r="G13" s="502" t="str">
        <f>'Saisie données stocks'!I23</f>
        <v>Zidovudine+ Lamivudine</v>
      </c>
      <c r="H13" s="505">
        <f>'Saisie données stocks'!L23</f>
        <v>60</v>
      </c>
      <c r="I13" s="330"/>
      <c r="J13" s="3150">
        <f>IF(Quanti!$D$9="X", 'Calculs dispo Données FA'!N129, IF(Quanti!$D$10="X", 'Calculs dispo Données conso'!N131, "0"))</f>
        <v>0</v>
      </c>
      <c r="K13" s="3148">
        <f>IF(Quanti!$D$9="X", 'Calculs dispo Données FA'!O129, IF(Quanti!$D$10="X", 'Calculs dispo Données conso'!O131, "0"))</f>
        <v>0</v>
      </c>
      <c r="L13" s="3151">
        <f>Calculs!O436</f>
        <v>160</v>
      </c>
      <c r="M13" s="3140">
        <f t="shared" si="22"/>
        <v>0</v>
      </c>
      <c r="N13" s="3140">
        <f t="shared" si="0"/>
        <v>160</v>
      </c>
      <c r="O13" s="1513">
        <f>IF(Quanti!$O$54="OUI",
ROUNDUP(J13, 0)*(Quanti!$N$19+Quanti!$N$25)+ROUNDUP(K13, 0)*((Quanti!$N$19+Quanti!$N$25)*((Quanti!$N$19+Quanti!$N$25)+1)/2),
 J13*(Quanti!$N$19+Quanti!$N$25)+K13*((Quanti!$N$19+Quanti!$N$25)*((Quanti!$N$19+Quanti!$N$25)+1)/2))-M13</f>
        <v>0</v>
      </c>
      <c r="P13" s="3145">
        <f t="shared" si="23"/>
        <v>0</v>
      </c>
      <c r="Q13" s="1513">
        <f>IF(Quanti!$O$54="OUI",
ROUNDUP($J13, 0)*R$7+ROUNDUP($K13, 0)*(R$7*(R$7+1)/2),
 R$7*$J13+(R$7*(R$7+1)/2)*$K13)</f>
        <v>0</v>
      </c>
      <c r="R13" s="1511">
        <f t="shared" si="1"/>
        <v>0</v>
      </c>
      <c r="S13" s="3145">
        <f t="shared" si="2"/>
        <v>0</v>
      </c>
      <c r="T13" s="1513">
        <f>IF(Quanti!$O$54="OUI",
ROUNDUP($J13, 0)*U$7+ROUNDUP($K13, 0)*(U$7*(U$7+1)/2),
 U$7*$J13+(U$7*(U$7+1)/2)*$K13)</f>
        <v>0</v>
      </c>
      <c r="U13" s="1514">
        <f t="shared" si="24"/>
        <v>0</v>
      </c>
      <c r="V13" s="3145">
        <f t="shared" si="3"/>
        <v>0</v>
      </c>
      <c r="W13" s="1513">
        <f>IF(Quanti!$O$54="OUI",
ROUNDUP($J13, 0)*X$7+ROUNDUP($K13, 0)*(X$7*(X$7+1)/2),
 X$7*$J13+(X$7*(X$7+1)/2)*$K13)</f>
        <v>0</v>
      </c>
      <c r="X13" s="1514">
        <f t="shared" si="25"/>
        <v>0</v>
      </c>
      <c r="Y13" s="3145">
        <f t="shared" si="4"/>
        <v>0</v>
      </c>
      <c r="Z13" s="1513">
        <f>IF(Quanti!$O$54="OUI",
ROUNDUP($J13, 0)*AA$7+ROUNDUP($K13, 0)*(AA$7*(AA$7+1)/2),
 AA$7*$J13+(AA$7*(AA$7+1)/2)*$K13)</f>
        <v>0</v>
      </c>
      <c r="AA13" s="1514">
        <f t="shared" si="26"/>
        <v>0</v>
      </c>
      <c r="AB13" s="3145">
        <f t="shared" si="5"/>
        <v>0</v>
      </c>
      <c r="AC13" s="1513">
        <f>IF(Quanti!$O$54="OUI",
ROUNDUP($J13, 0)*AD$7+ROUNDUP($K13, 0)*(AD$7*(AD$7+1)/2),
 AD$7*$J13+(AD$7*(AD$7+1)/2)*$K13)</f>
        <v>0</v>
      </c>
      <c r="AD13" s="1514">
        <f t="shared" si="27"/>
        <v>0</v>
      </c>
      <c r="AE13" s="3145">
        <f t="shared" si="6"/>
        <v>0</v>
      </c>
      <c r="AF13" s="1513">
        <f>IF(Quanti!$O$54="OUI",
ROUNDUP($J13, 0)*AG$7+ROUNDUP($K13, 0)*(AG$7*(AG$7+1)/2),
 AG$7*$J13+(AG$7*(AG$7+1)/2)*$K13)</f>
        <v>0</v>
      </c>
      <c r="AG13" s="1514">
        <f t="shared" si="28"/>
        <v>0</v>
      </c>
      <c r="AH13" s="3145">
        <f t="shared" si="7"/>
        <v>0</v>
      </c>
      <c r="AI13" s="1513">
        <f>IF(Quanti!$O$54="OUI",
ROUNDUP($J13, 0)*AJ$7+ROUNDUP($K13, 0)*(AJ$7*(AJ$7+1)/2),
 AJ$7*$J13+(AJ$7*(AJ$7+1)/2)*$K13)</f>
        <v>0</v>
      </c>
      <c r="AJ13" s="1514">
        <f t="shared" si="29"/>
        <v>0</v>
      </c>
      <c r="AK13" s="3145">
        <f t="shared" si="8"/>
        <v>0</v>
      </c>
      <c r="AL13" s="1513">
        <f>IF(Quanti!$O$54="OUI",
ROUNDUP($J13, 0)*AM$7+ROUNDUP($K13, 0)*(AM$7*(AM$7+1)/2),
 AM$7*$J13+(AM$7*(AM$7+1)/2)*$K13)</f>
        <v>0</v>
      </c>
      <c r="AM13" s="1514">
        <f t="shared" si="30"/>
        <v>0</v>
      </c>
      <c r="AN13" s="3145">
        <f t="shared" si="9"/>
        <v>0</v>
      </c>
      <c r="AO13" s="1513">
        <f>IF(Quanti!$O$54="OUI",
ROUNDUP($J13, 0)*AP$7+ROUNDUP($K13, 0)*(AP$7*(AP$7+1)/2),
 AP$7*$J13+(AP$7*(AP$7+1)/2)*$K13)</f>
        <v>0</v>
      </c>
      <c r="AP13" s="1514">
        <f t="shared" si="31"/>
        <v>0</v>
      </c>
      <c r="AQ13" s="3145">
        <f t="shared" si="10"/>
        <v>0</v>
      </c>
      <c r="AR13" s="1513">
        <f>IF(Quanti!$O$54="OUI",
ROUNDUP($J13, 0)*AS$7+ROUNDUP($K13, 0)*(AS$7*(AS$7+1)/2),
 AS$7*$J13+(AS$7*(AS$7+1)/2)*$K13)</f>
        <v>0</v>
      </c>
      <c r="AS13" s="1514">
        <f t="shared" si="32"/>
        <v>0</v>
      </c>
      <c r="AT13" s="3145">
        <f t="shared" si="11"/>
        <v>0</v>
      </c>
      <c r="AU13" s="1513">
        <f>IF(Quanti!$O$54="OUI",
ROUNDUP($J13, 0)*AV$7+ROUNDUP($K13, 0)*(AV$7*(AV$7+1)/2),
 AV$7*$J13+(AV$7*(AV$7+1)/2)*$K13)</f>
        <v>0</v>
      </c>
      <c r="AV13" s="1514">
        <f t="shared" si="33"/>
        <v>0</v>
      </c>
      <c r="AW13" s="3145">
        <f t="shared" si="12"/>
        <v>0</v>
      </c>
      <c r="AX13" s="1513">
        <f>IF(Quanti!$O$54="OUI",
ROUNDUP($J13, 0)*AY$7+ROUNDUP($K13, 0)*(AY$7*(AY$7+1)/2),
 AY$7*$J13+(AY$7*(AY$7+1)/2)*$K13)</f>
        <v>0</v>
      </c>
      <c r="AY13" s="1514">
        <f t="shared" si="34"/>
        <v>0</v>
      </c>
      <c r="AZ13" s="3145">
        <f t="shared" si="13"/>
        <v>0</v>
      </c>
      <c r="BA13" s="1513">
        <f>IF(Quanti!$O$54="OUI",
ROUNDUP($J13, 0)*BB$7+ROUNDUP($K13, 0)*(BB$7*(BB$7+1)/2),
 BB$7*$J13+(BB$7*(BB$7+1)/2)*$K13)</f>
        <v>0</v>
      </c>
      <c r="BB13" s="1514">
        <f t="shared" si="35"/>
        <v>0</v>
      </c>
      <c r="BC13" s="3145">
        <f t="shared" si="14"/>
        <v>0</v>
      </c>
      <c r="BD13" s="1513">
        <f>IF(Quanti!$O$54="OUI",
ROUNDUP($J13, 0)*BE$7+ROUNDUP($K13, 0)*(BE$7*(BE$7+1)/2),
 BE$7*$J13+(BE$7*(BE$7+1)/2)*$K13)</f>
        <v>0</v>
      </c>
      <c r="BE13" s="1514">
        <f t="shared" si="36"/>
        <v>0</v>
      </c>
      <c r="BF13" s="3145">
        <f t="shared" si="15"/>
        <v>0</v>
      </c>
      <c r="BG13" s="1513">
        <f>IF(Quanti!$O$54="OUI",
ROUNDUP($J13, 0)*BH$7+ROUNDUP($K13, 0)*(BH$7*(BH$7+1)/2),
 BH$7*$J13+(BH$7*(BH$7+1)/2)*$K13)</f>
        <v>0</v>
      </c>
      <c r="BH13" s="1514">
        <f t="shared" si="37"/>
        <v>0</v>
      </c>
      <c r="BI13" s="3145">
        <f t="shared" si="16"/>
        <v>0</v>
      </c>
      <c r="BJ13" s="1513">
        <f>IF(Quanti!$O$54="OUI",
ROUNDUP($J13, 0)*BK$7+ROUNDUP($K13, 0)*(BK$7*(BK$7+1)/2),
 BK$7*$J13+(BK$7*(BK$7+1)/2)*$K13)</f>
        <v>0</v>
      </c>
      <c r="BK13" s="1514">
        <f t="shared" si="38"/>
        <v>0</v>
      </c>
      <c r="BL13" s="3145">
        <f t="shared" si="17"/>
        <v>0</v>
      </c>
      <c r="BM13" s="1513">
        <f>IF(Quanti!$O$54="OUI",
ROUNDUP($J13, 0)*BN$7+ROUNDUP($K13, 0)*(BN$7*(BN$7+1)/2),
 BN$7*$J13+(BN$7*(BN$7+1)/2)*$K13)</f>
        <v>0</v>
      </c>
      <c r="BN13" s="1514">
        <f t="shared" si="39"/>
        <v>0</v>
      </c>
      <c r="BO13" s="3145">
        <f t="shared" si="18"/>
        <v>0</v>
      </c>
      <c r="BP13" s="1513">
        <f>IF(Quanti!$O$54="OUI",
ROUNDUP($J13, 0)*BQ$7+ROUNDUP($K13, 0)*(BQ$7*(BQ$7+1)/2),
 BQ$7*$J13+(BQ$7*(BQ$7+1)/2)*$K13)</f>
        <v>0</v>
      </c>
      <c r="BQ13" s="1514">
        <f t="shared" si="40"/>
        <v>0</v>
      </c>
      <c r="BR13" s="3145">
        <f t="shared" si="19"/>
        <v>0</v>
      </c>
      <c r="BS13" s="1513">
        <f>IF(Quanti!$O$54="OUI",
ROUNDUP($J13, 0)*BT$7+ROUNDUP($K13, 0)*(BT$7*(BT$7+1)/2),
 BT$7*$J13+(BT$7*(BT$7+1)/2)*$K13)</f>
        <v>0</v>
      </c>
      <c r="BT13" s="1514">
        <f t="shared" si="41"/>
        <v>0</v>
      </c>
      <c r="BU13" s="3145">
        <f t="shared" si="20"/>
        <v>0</v>
      </c>
      <c r="BV13" s="1513">
        <f>IF(Quanti!$O$54="OUI",
ROUNDUP($J13, 0)*BW$7+ROUNDUP($K13, 0)*(BW$7*(BW$7+1)/2),
 BW$7*$J13+(BW$7*(BW$7+1)/2)*$K13)</f>
        <v>0</v>
      </c>
      <c r="BW13" s="1514">
        <f t="shared" si="42"/>
        <v>0</v>
      </c>
      <c r="BX13" s="3145">
        <f t="shared" si="21"/>
        <v>0</v>
      </c>
    </row>
    <row r="14" spans="1:76" ht="25.5" x14ac:dyDescent="0.2">
      <c r="B14" s="37"/>
      <c r="C14" s="98"/>
      <c r="D14" s="1656" t="str">
        <f>'Saisie données stocks'!F24</f>
        <v>3TC+ABC</v>
      </c>
      <c r="E14" s="1657" t="str">
        <f>'Saisie données stocks'!G24</f>
        <v>Cp</v>
      </c>
      <c r="F14" s="1657" t="str">
        <f>'Saisie données stocks'!H24</f>
        <v>300/600 mg</v>
      </c>
      <c r="G14" s="502" t="str">
        <f>'Saisie données stocks'!I24</f>
        <v>Lamivudine+ Abacavir</v>
      </c>
      <c r="H14" s="505">
        <f>'Saisie données stocks'!L24</f>
        <v>30</v>
      </c>
      <c r="I14" s="330"/>
      <c r="J14" s="3150">
        <f>IF(Quanti!$D$9="X", 'Calculs dispo Données FA'!N130, IF(Quanti!$D$10="X", 'Calculs dispo Données conso'!N132, "0"))</f>
        <v>0</v>
      </c>
      <c r="K14" s="3148">
        <f>IF(Quanti!$D$9="X", 'Calculs dispo Données FA'!O130, IF(Quanti!$D$10="X", 'Calculs dispo Données conso'!O132, "0"))</f>
        <v>0</v>
      </c>
      <c r="L14" s="3151">
        <f>Calculs!O437</f>
        <v>345</v>
      </c>
      <c r="M14" s="3140">
        <f t="shared" si="22"/>
        <v>0</v>
      </c>
      <c r="N14" s="3140">
        <f t="shared" si="0"/>
        <v>345</v>
      </c>
      <c r="O14" s="1513">
        <f>IF(Quanti!$O$54="OUI",
ROUNDUP(J14, 0)*(Quanti!$N$19+Quanti!$N$25)+ROUNDUP(K14, 0)*((Quanti!$N$19+Quanti!$N$25)*((Quanti!$N$19+Quanti!$N$25)+1)/2),
 J14*(Quanti!$N$19+Quanti!$N$25)+K14*((Quanti!$N$19+Quanti!$N$25)*((Quanti!$N$19+Quanti!$N$25)+1)/2))-M14</f>
        <v>0</v>
      </c>
      <c r="P14" s="3145">
        <f t="shared" si="23"/>
        <v>0</v>
      </c>
      <c r="Q14" s="1513">
        <f>IF(Quanti!$O$54="OUI",
ROUNDUP($J14, 0)*R$7+ROUNDUP($K14, 0)*(R$7*(R$7+1)/2),
 R$7*$J14+(R$7*(R$7+1)/2)*$K14)</f>
        <v>0</v>
      </c>
      <c r="R14" s="1511">
        <f t="shared" si="1"/>
        <v>0</v>
      </c>
      <c r="S14" s="3145">
        <f t="shared" si="2"/>
        <v>0</v>
      </c>
      <c r="T14" s="1513">
        <f>IF(Quanti!$O$54="OUI",
ROUNDUP($J14, 0)*U$7+ROUNDUP($K14, 0)*(U$7*(U$7+1)/2),
 U$7*$J14+(U$7*(U$7+1)/2)*$K14)</f>
        <v>0</v>
      </c>
      <c r="U14" s="1514">
        <f t="shared" si="24"/>
        <v>0</v>
      </c>
      <c r="V14" s="3145">
        <f t="shared" si="3"/>
        <v>0</v>
      </c>
      <c r="W14" s="1513">
        <f>IF(Quanti!$O$54="OUI",
ROUNDUP($J14, 0)*X$7+ROUNDUP($K14, 0)*(X$7*(X$7+1)/2),
 X$7*$J14+(X$7*(X$7+1)/2)*$K14)</f>
        <v>0</v>
      </c>
      <c r="X14" s="1514">
        <f t="shared" si="25"/>
        <v>0</v>
      </c>
      <c r="Y14" s="3145">
        <f t="shared" si="4"/>
        <v>0</v>
      </c>
      <c r="Z14" s="1513">
        <f>IF(Quanti!$O$54="OUI",
ROUNDUP($J14, 0)*AA$7+ROUNDUP($K14, 0)*(AA$7*(AA$7+1)/2),
 AA$7*$J14+(AA$7*(AA$7+1)/2)*$K14)</f>
        <v>0</v>
      </c>
      <c r="AA14" s="1514">
        <f t="shared" si="26"/>
        <v>0</v>
      </c>
      <c r="AB14" s="3145">
        <f t="shared" si="5"/>
        <v>0</v>
      </c>
      <c r="AC14" s="1513">
        <f>IF(Quanti!$O$54="OUI",
ROUNDUP($J14, 0)*AD$7+ROUNDUP($K14, 0)*(AD$7*(AD$7+1)/2),
 AD$7*$J14+(AD$7*(AD$7+1)/2)*$K14)</f>
        <v>0</v>
      </c>
      <c r="AD14" s="1514">
        <f t="shared" si="27"/>
        <v>0</v>
      </c>
      <c r="AE14" s="3145">
        <f t="shared" si="6"/>
        <v>0</v>
      </c>
      <c r="AF14" s="1513">
        <f>IF(Quanti!$O$54="OUI",
ROUNDUP($J14, 0)*AG$7+ROUNDUP($K14, 0)*(AG$7*(AG$7+1)/2),
 AG$7*$J14+(AG$7*(AG$7+1)/2)*$K14)</f>
        <v>0</v>
      </c>
      <c r="AG14" s="1514">
        <f t="shared" si="28"/>
        <v>0</v>
      </c>
      <c r="AH14" s="3145">
        <f t="shared" si="7"/>
        <v>0</v>
      </c>
      <c r="AI14" s="1513">
        <f>IF(Quanti!$O$54="OUI",
ROUNDUP($J14, 0)*AJ$7+ROUNDUP($K14, 0)*(AJ$7*(AJ$7+1)/2),
 AJ$7*$J14+(AJ$7*(AJ$7+1)/2)*$K14)</f>
        <v>0</v>
      </c>
      <c r="AJ14" s="1514">
        <f t="shared" si="29"/>
        <v>0</v>
      </c>
      <c r="AK14" s="3145">
        <f t="shared" si="8"/>
        <v>0</v>
      </c>
      <c r="AL14" s="1513">
        <f>IF(Quanti!$O$54="OUI",
ROUNDUP($J14, 0)*AM$7+ROUNDUP($K14, 0)*(AM$7*(AM$7+1)/2),
 AM$7*$J14+(AM$7*(AM$7+1)/2)*$K14)</f>
        <v>0</v>
      </c>
      <c r="AM14" s="1514">
        <f t="shared" si="30"/>
        <v>0</v>
      </c>
      <c r="AN14" s="3145">
        <f t="shared" si="9"/>
        <v>0</v>
      </c>
      <c r="AO14" s="1513">
        <f>IF(Quanti!$O$54="OUI",
ROUNDUP($J14, 0)*AP$7+ROUNDUP($K14, 0)*(AP$7*(AP$7+1)/2),
 AP$7*$J14+(AP$7*(AP$7+1)/2)*$K14)</f>
        <v>0</v>
      </c>
      <c r="AP14" s="1514">
        <f t="shared" si="31"/>
        <v>0</v>
      </c>
      <c r="AQ14" s="3145">
        <f t="shared" si="10"/>
        <v>0</v>
      </c>
      <c r="AR14" s="1513">
        <f>IF(Quanti!$O$54="OUI",
ROUNDUP($J14, 0)*AS$7+ROUNDUP($K14, 0)*(AS$7*(AS$7+1)/2),
 AS$7*$J14+(AS$7*(AS$7+1)/2)*$K14)</f>
        <v>0</v>
      </c>
      <c r="AS14" s="1514">
        <f t="shared" si="32"/>
        <v>0</v>
      </c>
      <c r="AT14" s="3145">
        <f t="shared" si="11"/>
        <v>0</v>
      </c>
      <c r="AU14" s="1513">
        <f>IF(Quanti!$O$54="OUI",
ROUNDUP($J14, 0)*AV$7+ROUNDUP($K14, 0)*(AV$7*(AV$7+1)/2),
 AV$7*$J14+(AV$7*(AV$7+1)/2)*$K14)</f>
        <v>0</v>
      </c>
      <c r="AV14" s="1514">
        <f t="shared" si="33"/>
        <v>0</v>
      </c>
      <c r="AW14" s="3145">
        <f t="shared" si="12"/>
        <v>0</v>
      </c>
      <c r="AX14" s="1513">
        <f>IF(Quanti!$O$54="OUI",
ROUNDUP($J14, 0)*AY$7+ROUNDUP($K14, 0)*(AY$7*(AY$7+1)/2),
 AY$7*$J14+(AY$7*(AY$7+1)/2)*$K14)</f>
        <v>0</v>
      </c>
      <c r="AY14" s="1514">
        <f t="shared" si="34"/>
        <v>0</v>
      </c>
      <c r="AZ14" s="3145">
        <f t="shared" si="13"/>
        <v>0</v>
      </c>
      <c r="BA14" s="1513">
        <f>IF(Quanti!$O$54="OUI",
ROUNDUP($J14, 0)*BB$7+ROUNDUP($K14, 0)*(BB$7*(BB$7+1)/2),
 BB$7*$J14+(BB$7*(BB$7+1)/2)*$K14)</f>
        <v>0</v>
      </c>
      <c r="BB14" s="1514">
        <f t="shared" si="35"/>
        <v>0</v>
      </c>
      <c r="BC14" s="3145">
        <f t="shared" si="14"/>
        <v>0</v>
      </c>
      <c r="BD14" s="1513">
        <f>IF(Quanti!$O$54="OUI",
ROUNDUP($J14, 0)*BE$7+ROUNDUP($K14, 0)*(BE$7*(BE$7+1)/2),
 BE$7*$J14+(BE$7*(BE$7+1)/2)*$K14)</f>
        <v>0</v>
      </c>
      <c r="BE14" s="1514">
        <f t="shared" si="36"/>
        <v>0</v>
      </c>
      <c r="BF14" s="3145">
        <f t="shared" si="15"/>
        <v>0</v>
      </c>
      <c r="BG14" s="1513">
        <f>IF(Quanti!$O$54="OUI",
ROUNDUP($J14, 0)*BH$7+ROUNDUP($K14, 0)*(BH$7*(BH$7+1)/2),
 BH$7*$J14+(BH$7*(BH$7+1)/2)*$K14)</f>
        <v>0</v>
      </c>
      <c r="BH14" s="1514">
        <f t="shared" si="37"/>
        <v>0</v>
      </c>
      <c r="BI14" s="3145">
        <f t="shared" si="16"/>
        <v>0</v>
      </c>
      <c r="BJ14" s="1513">
        <f>IF(Quanti!$O$54="OUI",
ROUNDUP($J14, 0)*BK$7+ROUNDUP($K14, 0)*(BK$7*(BK$7+1)/2),
 BK$7*$J14+(BK$7*(BK$7+1)/2)*$K14)</f>
        <v>0</v>
      </c>
      <c r="BK14" s="1514">
        <f t="shared" si="38"/>
        <v>0</v>
      </c>
      <c r="BL14" s="3145">
        <f t="shared" si="17"/>
        <v>0</v>
      </c>
      <c r="BM14" s="1513">
        <f>IF(Quanti!$O$54="OUI",
ROUNDUP($J14, 0)*BN$7+ROUNDUP($K14, 0)*(BN$7*(BN$7+1)/2),
 BN$7*$J14+(BN$7*(BN$7+1)/2)*$K14)</f>
        <v>0</v>
      </c>
      <c r="BN14" s="1514">
        <f t="shared" si="39"/>
        <v>0</v>
      </c>
      <c r="BO14" s="3145">
        <f t="shared" si="18"/>
        <v>0</v>
      </c>
      <c r="BP14" s="1513">
        <f>IF(Quanti!$O$54="OUI",
ROUNDUP($J14, 0)*BQ$7+ROUNDUP($K14, 0)*(BQ$7*(BQ$7+1)/2),
 BQ$7*$J14+(BQ$7*(BQ$7+1)/2)*$K14)</f>
        <v>0</v>
      </c>
      <c r="BQ14" s="1514">
        <f t="shared" si="40"/>
        <v>0</v>
      </c>
      <c r="BR14" s="3145">
        <f t="shared" si="19"/>
        <v>0</v>
      </c>
      <c r="BS14" s="1513">
        <f>IF(Quanti!$O$54="OUI",
ROUNDUP($J14, 0)*BT$7+ROUNDUP($K14, 0)*(BT$7*(BT$7+1)/2),
 BT$7*$J14+(BT$7*(BT$7+1)/2)*$K14)</f>
        <v>0</v>
      </c>
      <c r="BT14" s="1514">
        <f t="shared" si="41"/>
        <v>0</v>
      </c>
      <c r="BU14" s="3145">
        <f t="shared" si="20"/>
        <v>0</v>
      </c>
      <c r="BV14" s="1513">
        <f>IF(Quanti!$O$54="OUI",
ROUNDUP($J14, 0)*BW$7+ROUNDUP($K14, 0)*(BW$7*(BW$7+1)/2),
 BW$7*$J14+(BW$7*(BW$7+1)/2)*$K14)</f>
        <v>0</v>
      </c>
      <c r="BW14" s="1514">
        <f t="shared" si="42"/>
        <v>0</v>
      </c>
      <c r="BX14" s="3145">
        <f t="shared" si="21"/>
        <v>0</v>
      </c>
    </row>
    <row r="15" spans="1:76" ht="25.5" x14ac:dyDescent="0.2">
      <c r="B15" s="37"/>
      <c r="C15" s="98"/>
      <c r="D15" s="1656" t="str">
        <f>'Saisie données stocks'!F25</f>
        <v>3TC+ABC</v>
      </c>
      <c r="E15" s="1657" t="str">
        <f>'Saisie données stocks'!G25</f>
        <v>Cp</v>
      </c>
      <c r="F15" s="1657" t="str">
        <f>'Saisie données stocks'!H25</f>
        <v>30/60 mg</v>
      </c>
      <c r="G15" s="502" t="str">
        <f>'Saisie données stocks'!I25</f>
        <v>Lamivudine+ Abacavir</v>
      </c>
      <c r="H15" s="505">
        <f>'Saisie données stocks'!L25</f>
        <v>60</v>
      </c>
      <c r="I15" s="330"/>
      <c r="J15" s="3150">
        <f>IF(Quanti!$D$9="X", 'Calculs dispo Données FA'!N131, IF(Quanti!$D$10="X", 'Calculs dispo Données conso'!N133, "0"))</f>
        <v>0</v>
      </c>
      <c r="K15" s="3148">
        <f>IF(Quanti!$D$9="X", 'Calculs dispo Données FA'!O131, IF(Quanti!$D$10="X", 'Calculs dispo Données conso'!O133, "0"))</f>
        <v>0</v>
      </c>
      <c r="L15" s="3151">
        <f>Calculs!O438</f>
        <v>0</v>
      </c>
      <c r="M15" s="3140">
        <f t="shared" si="22"/>
        <v>0</v>
      </c>
      <c r="N15" s="3140">
        <f t="shared" si="0"/>
        <v>0</v>
      </c>
      <c r="O15" s="1513">
        <f>IF(Quanti!$O$54="OUI",
ROUNDUP(J15, 0)*(Quanti!$N$19+Quanti!$N$25)+ROUNDUP(K15, 0)*((Quanti!$N$19+Quanti!$N$25)*((Quanti!$N$19+Quanti!$N$25)+1)/2),
 J15*(Quanti!$N$19+Quanti!$N$25)+K15*((Quanti!$N$19+Quanti!$N$25)*((Quanti!$N$19+Quanti!$N$25)+1)/2))-M15</f>
        <v>0</v>
      </c>
      <c r="P15" s="3145">
        <f t="shared" si="23"/>
        <v>0</v>
      </c>
      <c r="Q15" s="1513">
        <f>IF(Quanti!$O$54="OUI",
ROUNDUP($J15, 0)*R$7+ROUNDUP($K15, 0)*(R$7*(R$7+1)/2),
 R$7*$J15+(R$7*(R$7+1)/2)*$K15)</f>
        <v>0</v>
      </c>
      <c r="R15" s="1511">
        <f t="shared" si="1"/>
        <v>0</v>
      </c>
      <c r="S15" s="3145">
        <f t="shared" si="2"/>
        <v>0</v>
      </c>
      <c r="T15" s="1513">
        <f>IF(Quanti!$O$54="OUI",
ROUNDUP($J15, 0)*U$7+ROUNDUP($K15, 0)*(U$7*(U$7+1)/2),
 U$7*$J15+(U$7*(U$7+1)/2)*$K15)</f>
        <v>0</v>
      </c>
      <c r="U15" s="1514">
        <f t="shared" si="24"/>
        <v>0</v>
      </c>
      <c r="V15" s="3145">
        <f t="shared" si="3"/>
        <v>0</v>
      </c>
      <c r="W15" s="1513">
        <f>IF(Quanti!$O$54="OUI",
ROUNDUP($J15, 0)*X$7+ROUNDUP($K15, 0)*(X$7*(X$7+1)/2),
 X$7*$J15+(X$7*(X$7+1)/2)*$K15)</f>
        <v>0</v>
      </c>
      <c r="X15" s="1514">
        <f t="shared" si="25"/>
        <v>0</v>
      </c>
      <c r="Y15" s="3145">
        <f t="shared" si="4"/>
        <v>0</v>
      </c>
      <c r="Z15" s="1513">
        <f>IF(Quanti!$O$54="OUI",
ROUNDUP($J15, 0)*AA$7+ROUNDUP($K15, 0)*(AA$7*(AA$7+1)/2),
 AA$7*$J15+(AA$7*(AA$7+1)/2)*$K15)</f>
        <v>0</v>
      </c>
      <c r="AA15" s="1514">
        <f t="shared" si="26"/>
        <v>0</v>
      </c>
      <c r="AB15" s="3145">
        <f t="shared" si="5"/>
        <v>0</v>
      </c>
      <c r="AC15" s="1513">
        <f>IF(Quanti!$O$54="OUI",
ROUNDUP($J15, 0)*AD$7+ROUNDUP($K15, 0)*(AD$7*(AD$7+1)/2),
 AD$7*$J15+(AD$7*(AD$7+1)/2)*$K15)</f>
        <v>0</v>
      </c>
      <c r="AD15" s="1514">
        <f t="shared" si="27"/>
        <v>0</v>
      </c>
      <c r="AE15" s="3145">
        <f t="shared" si="6"/>
        <v>0</v>
      </c>
      <c r="AF15" s="1513">
        <f>IF(Quanti!$O$54="OUI",
ROUNDUP($J15, 0)*AG$7+ROUNDUP($K15, 0)*(AG$7*(AG$7+1)/2),
 AG$7*$J15+(AG$7*(AG$7+1)/2)*$K15)</f>
        <v>0</v>
      </c>
      <c r="AG15" s="1514">
        <f t="shared" si="28"/>
        <v>0</v>
      </c>
      <c r="AH15" s="3145">
        <f t="shared" si="7"/>
        <v>0</v>
      </c>
      <c r="AI15" s="1513">
        <f>IF(Quanti!$O$54="OUI",
ROUNDUP($J15, 0)*AJ$7+ROUNDUP($K15, 0)*(AJ$7*(AJ$7+1)/2),
 AJ$7*$J15+(AJ$7*(AJ$7+1)/2)*$K15)</f>
        <v>0</v>
      </c>
      <c r="AJ15" s="1514">
        <f t="shared" si="29"/>
        <v>0</v>
      </c>
      <c r="AK15" s="3145">
        <f t="shared" si="8"/>
        <v>0</v>
      </c>
      <c r="AL15" s="1513">
        <f>IF(Quanti!$O$54="OUI",
ROUNDUP($J15, 0)*AM$7+ROUNDUP($K15, 0)*(AM$7*(AM$7+1)/2),
 AM$7*$J15+(AM$7*(AM$7+1)/2)*$K15)</f>
        <v>0</v>
      </c>
      <c r="AM15" s="1514">
        <f t="shared" si="30"/>
        <v>0</v>
      </c>
      <c r="AN15" s="3145">
        <f t="shared" si="9"/>
        <v>0</v>
      </c>
      <c r="AO15" s="1513">
        <f>IF(Quanti!$O$54="OUI",
ROUNDUP($J15, 0)*AP$7+ROUNDUP($K15, 0)*(AP$7*(AP$7+1)/2),
 AP$7*$J15+(AP$7*(AP$7+1)/2)*$K15)</f>
        <v>0</v>
      </c>
      <c r="AP15" s="1514">
        <f t="shared" si="31"/>
        <v>0</v>
      </c>
      <c r="AQ15" s="3145">
        <f t="shared" si="10"/>
        <v>0</v>
      </c>
      <c r="AR15" s="1513">
        <f>IF(Quanti!$O$54="OUI",
ROUNDUP($J15, 0)*AS$7+ROUNDUP($K15, 0)*(AS$7*(AS$7+1)/2),
 AS$7*$J15+(AS$7*(AS$7+1)/2)*$K15)</f>
        <v>0</v>
      </c>
      <c r="AS15" s="1514">
        <f t="shared" si="32"/>
        <v>0</v>
      </c>
      <c r="AT15" s="3145">
        <f t="shared" si="11"/>
        <v>0</v>
      </c>
      <c r="AU15" s="1513">
        <f>IF(Quanti!$O$54="OUI",
ROUNDUP($J15, 0)*AV$7+ROUNDUP($K15, 0)*(AV$7*(AV$7+1)/2),
 AV$7*$J15+(AV$7*(AV$7+1)/2)*$K15)</f>
        <v>0</v>
      </c>
      <c r="AV15" s="1514">
        <f t="shared" si="33"/>
        <v>0</v>
      </c>
      <c r="AW15" s="3145">
        <f t="shared" si="12"/>
        <v>0</v>
      </c>
      <c r="AX15" s="1513">
        <f>IF(Quanti!$O$54="OUI",
ROUNDUP($J15, 0)*AY$7+ROUNDUP($K15, 0)*(AY$7*(AY$7+1)/2),
 AY$7*$J15+(AY$7*(AY$7+1)/2)*$K15)</f>
        <v>0</v>
      </c>
      <c r="AY15" s="1514">
        <f t="shared" si="34"/>
        <v>0</v>
      </c>
      <c r="AZ15" s="3145">
        <f t="shared" si="13"/>
        <v>0</v>
      </c>
      <c r="BA15" s="1513">
        <f>IF(Quanti!$O$54="OUI",
ROUNDUP($J15, 0)*BB$7+ROUNDUP($K15, 0)*(BB$7*(BB$7+1)/2),
 BB$7*$J15+(BB$7*(BB$7+1)/2)*$K15)</f>
        <v>0</v>
      </c>
      <c r="BB15" s="1514">
        <f t="shared" si="35"/>
        <v>0</v>
      </c>
      <c r="BC15" s="3145">
        <f t="shared" si="14"/>
        <v>0</v>
      </c>
      <c r="BD15" s="1513">
        <f>IF(Quanti!$O$54="OUI",
ROUNDUP($J15, 0)*BE$7+ROUNDUP($K15, 0)*(BE$7*(BE$7+1)/2),
 BE$7*$J15+(BE$7*(BE$7+1)/2)*$K15)</f>
        <v>0</v>
      </c>
      <c r="BE15" s="1514">
        <f t="shared" si="36"/>
        <v>0</v>
      </c>
      <c r="BF15" s="3145">
        <f t="shared" si="15"/>
        <v>0</v>
      </c>
      <c r="BG15" s="1513">
        <f>IF(Quanti!$O$54="OUI",
ROUNDUP($J15, 0)*BH$7+ROUNDUP($K15, 0)*(BH$7*(BH$7+1)/2),
 BH$7*$J15+(BH$7*(BH$7+1)/2)*$K15)</f>
        <v>0</v>
      </c>
      <c r="BH15" s="1514">
        <f t="shared" si="37"/>
        <v>0</v>
      </c>
      <c r="BI15" s="3145">
        <f t="shared" si="16"/>
        <v>0</v>
      </c>
      <c r="BJ15" s="1513">
        <f>IF(Quanti!$O$54="OUI",
ROUNDUP($J15, 0)*BK$7+ROUNDUP($K15, 0)*(BK$7*(BK$7+1)/2),
 BK$7*$J15+(BK$7*(BK$7+1)/2)*$K15)</f>
        <v>0</v>
      </c>
      <c r="BK15" s="1514">
        <f t="shared" si="38"/>
        <v>0</v>
      </c>
      <c r="BL15" s="3145">
        <f t="shared" si="17"/>
        <v>0</v>
      </c>
      <c r="BM15" s="1513">
        <f>IF(Quanti!$O$54="OUI",
ROUNDUP($J15, 0)*BN$7+ROUNDUP($K15, 0)*(BN$7*(BN$7+1)/2),
 BN$7*$J15+(BN$7*(BN$7+1)/2)*$K15)</f>
        <v>0</v>
      </c>
      <c r="BN15" s="1514">
        <f t="shared" si="39"/>
        <v>0</v>
      </c>
      <c r="BO15" s="3145">
        <f t="shared" si="18"/>
        <v>0</v>
      </c>
      <c r="BP15" s="1513">
        <f>IF(Quanti!$O$54="OUI",
ROUNDUP($J15, 0)*BQ$7+ROUNDUP($K15, 0)*(BQ$7*(BQ$7+1)/2),
 BQ$7*$J15+(BQ$7*(BQ$7+1)/2)*$K15)</f>
        <v>0</v>
      </c>
      <c r="BQ15" s="1514">
        <f t="shared" si="40"/>
        <v>0</v>
      </c>
      <c r="BR15" s="3145">
        <f t="shared" si="19"/>
        <v>0</v>
      </c>
      <c r="BS15" s="1513">
        <f>IF(Quanti!$O$54="OUI",
ROUNDUP($J15, 0)*BT$7+ROUNDUP($K15, 0)*(BT$7*(BT$7+1)/2),
 BT$7*$J15+(BT$7*(BT$7+1)/2)*$K15)</f>
        <v>0</v>
      </c>
      <c r="BT15" s="1514">
        <f t="shared" si="41"/>
        <v>0</v>
      </c>
      <c r="BU15" s="3145">
        <f t="shared" si="20"/>
        <v>0</v>
      </c>
      <c r="BV15" s="1513">
        <f>IF(Quanti!$O$54="OUI",
ROUNDUP($J15, 0)*BW$7+ROUNDUP($K15, 0)*(BW$7*(BW$7+1)/2),
 BW$7*$J15+(BW$7*(BW$7+1)/2)*$K15)</f>
        <v>0</v>
      </c>
      <c r="BW15" s="1514">
        <f t="shared" si="42"/>
        <v>0</v>
      </c>
      <c r="BX15" s="3145">
        <f t="shared" si="21"/>
        <v>0</v>
      </c>
    </row>
    <row r="16" spans="1:76" ht="38.25" x14ac:dyDescent="0.2">
      <c r="B16" s="37"/>
      <c r="C16" s="98"/>
      <c r="D16" s="1660" t="str">
        <f>'Saisie données stocks'!F26</f>
        <v>D4T+3TC+NVP</v>
      </c>
      <c r="E16" s="1661" t="str">
        <f>'Saisie données stocks'!G26</f>
        <v>Cp</v>
      </c>
      <c r="F16" s="1661" t="str">
        <f>'Saisie données stocks'!H26</f>
        <v>30/150/200 mg</v>
      </c>
      <c r="G16" s="1207" t="str">
        <f>'Saisie données stocks'!I26</f>
        <v>Stavudine+ Lamivudine+ Nevirapine</v>
      </c>
      <c r="H16" s="115">
        <f>'Saisie données stocks'!L26</f>
        <v>60</v>
      </c>
      <c r="I16" s="331"/>
      <c r="J16" s="3150">
        <f>IF(Quanti!$D$9="X", 'Calculs dispo Données FA'!N132, IF(Quanti!$D$10="X", 'Calculs dispo Données conso'!N134, "0"))</f>
        <v>0</v>
      </c>
      <c r="K16" s="3148">
        <f>IF(Quanti!$D$9="X", 'Calculs dispo Données FA'!O132, IF(Quanti!$D$10="X", 'Calculs dispo Données conso'!O134, "0"))</f>
        <v>0</v>
      </c>
      <c r="L16" s="3151">
        <f>Calculs!O439</f>
        <v>0</v>
      </c>
      <c r="M16" s="3140">
        <f t="shared" si="22"/>
        <v>0</v>
      </c>
      <c r="N16" s="3140">
        <f t="shared" si="0"/>
        <v>0</v>
      </c>
      <c r="O16" s="1513">
        <f>IF(Quanti!$O$54="OUI",
ROUNDUP(J16, 0)*(Quanti!$N$19+Quanti!$N$25)+ROUNDUP(K16, 0)*((Quanti!$N$19+Quanti!$N$25)*((Quanti!$N$19+Quanti!$N$25)+1)/2),
 J16*(Quanti!$N$19+Quanti!$N$25)+K16*((Quanti!$N$19+Quanti!$N$25)*((Quanti!$N$19+Quanti!$N$25)+1)/2))-M16</f>
        <v>0</v>
      </c>
      <c r="P16" s="3145">
        <f t="shared" si="23"/>
        <v>0</v>
      </c>
      <c r="Q16" s="1513">
        <f>IF(Quanti!$O$54="OUI",
ROUNDUP($J16, 0)*R$7+ROUNDUP($K16, 0)*(R$7*(R$7+1)/2),
 R$7*$J16+(R$7*(R$7+1)/2)*$K16)</f>
        <v>0</v>
      </c>
      <c r="R16" s="1511">
        <f t="shared" si="1"/>
        <v>0</v>
      </c>
      <c r="S16" s="3145">
        <f t="shared" si="2"/>
        <v>0</v>
      </c>
      <c r="T16" s="1513">
        <f>IF(Quanti!$O$54="OUI",
ROUNDUP($J16, 0)*U$7+ROUNDUP($K16, 0)*(U$7*(U$7+1)/2),
 U$7*$J16+(U$7*(U$7+1)/2)*$K16)</f>
        <v>0</v>
      </c>
      <c r="U16" s="1514">
        <f t="shared" si="24"/>
        <v>0</v>
      </c>
      <c r="V16" s="3145">
        <f t="shared" si="3"/>
        <v>0</v>
      </c>
      <c r="W16" s="1513">
        <f>IF(Quanti!$O$54="OUI",
ROUNDUP($J16, 0)*X$7+ROUNDUP($K16, 0)*(X$7*(X$7+1)/2),
 X$7*$J16+(X$7*(X$7+1)/2)*$K16)</f>
        <v>0</v>
      </c>
      <c r="X16" s="1514">
        <f t="shared" si="25"/>
        <v>0</v>
      </c>
      <c r="Y16" s="3145">
        <f t="shared" si="4"/>
        <v>0</v>
      </c>
      <c r="Z16" s="1513">
        <f>IF(Quanti!$O$54="OUI",
ROUNDUP($J16, 0)*AA$7+ROUNDUP($K16, 0)*(AA$7*(AA$7+1)/2),
 AA$7*$J16+(AA$7*(AA$7+1)/2)*$K16)</f>
        <v>0</v>
      </c>
      <c r="AA16" s="1514">
        <f t="shared" si="26"/>
        <v>0</v>
      </c>
      <c r="AB16" s="3145">
        <f t="shared" si="5"/>
        <v>0</v>
      </c>
      <c r="AC16" s="1513">
        <f>IF(Quanti!$O$54="OUI",
ROUNDUP($J16, 0)*AD$7+ROUNDUP($K16, 0)*(AD$7*(AD$7+1)/2),
 AD$7*$J16+(AD$7*(AD$7+1)/2)*$K16)</f>
        <v>0</v>
      </c>
      <c r="AD16" s="1514">
        <f t="shared" si="27"/>
        <v>0</v>
      </c>
      <c r="AE16" s="3145">
        <f t="shared" si="6"/>
        <v>0</v>
      </c>
      <c r="AF16" s="1513">
        <f>IF(Quanti!$O$54="OUI",
ROUNDUP($J16, 0)*AG$7+ROUNDUP($K16, 0)*(AG$7*(AG$7+1)/2),
 AG$7*$J16+(AG$7*(AG$7+1)/2)*$K16)</f>
        <v>0</v>
      </c>
      <c r="AG16" s="1514">
        <f t="shared" si="28"/>
        <v>0</v>
      </c>
      <c r="AH16" s="3145">
        <f t="shared" si="7"/>
        <v>0</v>
      </c>
      <c r="AI16" s="1513">
        <f>IF(Quanti!$O$54="OUI",
ROUNDUP($J16, 0)*AJ$7+ROUNDUP($K16, 0)*(AJ$7*(AJ$7+1)/2),
 AJ$7*$J16+(AJ$7*(AJ$7+1)/2)*$K16)</f>
        <v>0</v>
      </c>
      <c r="AJ16" s="1514">
        <f t="shared" si="29"/>
        <v>0</v>
      </c>
      <c r="AK16" s="3145">
        <f t="shared" si="8"/>
        <v>0</v>
      </c>
      <c r="AL16" s="1513">
        <f>IF(Quanti!$O$54="OUI",
ROUNDUP($J16, 0)*AM$7+ROUNDUP($K16, 0)*(AM$7*(AM$7+1)/2),
 AM$7*$J16+(AM$7*(AM$7+1)/2)*$K16)</f>
        <v>0</v>
      </c>
      <c r="AM16" s="1514">
        <f t="shared" si="30"/>
        <v>0</v>
      </c>
      <c r="AN16" s="3145">
        <f t="shared" si="9"/>
        <v>0</v>
      </c>
      <c r="AO16" s="1513">
        <f>IF(Quanti!$O$54="OUI",
ROUNDUP($J16, 0)*AP$7+ROUNDUP($K16, 0)*(AP$7*(AP$7+1)/2),
 AP$7*$J16+(AP$7*(AP$7+1)/2)*$K16)</f>
        <v>0</v>
      </c>
      <c r="AP16" s="1514">
        <f t="shared" si="31"/>
        <v>0</v>
      </c>
      <c r="AQ16" s="3145">
        <f t="shared" si="10"/>
        <v>0</v>
      </c>
      <c r="AR16" s="1513">
        <f>IF(Quanti!$O$54="OUI",
ROUNDUP($J16, 0)*AS$7+ROUNDUP($K16, 0)*(AS$7*(AS$7+1)/2),
 AS$7*$J16+(AS$7*(AS$7+1)/2)*$K16)</f>
        <v>0</v>
      </c>
      <c r="AS16" s="1514">
        <f t="shared" si="32"/>
        <v>0</v>
      </c>
      <c r="AT16" s="3145">
        <f t="shared" si="11"/>
        <v>0</v>
      </c>
      <c r="AU16" s="1513">
        <f>IF(Quanti!$O$54="OUI",
ROUNDUP($J16, 0)*AV$7+ROUNDUP($K16, 0)*(AV$7*(AV$7+1)/2),
 AV$7*$J16+(AV$7*(AV$7+1)/2)*$K16)</f>
        <v>0</v>
      </c>
      <c r="AV16" s="1514">
        <f t="shared" si="33"/>
        <v>0</v>
      </c>
      <c r="AW16" s="3145">
        <f t="shared" si="12"/>
        <v>0</v>
      </c>
      <c r="AX16" s="1513">
        <f>IF(Quanti!$O$54="OUI",
ROUNDUP($J16, 0)*AY$7+ROUNDUP($K16, 0)*(AY$7*(AY$7+1)/2),
 AY$7*$J16+(AY$7*(AY$7+1)/2)*$K16)</f>
        <v>0</v>
      </c>
      <c r="AY16" s="1514">
        <f t="shared" si="34"/>
        <v>0</v>
      </c>
      <c r="AZ16" s="3145">
        <f t="shared" si="13"/>
        <v>0</v>
      </c>
      <c r="BA16" s="1513">
        <f>IF(Quanti!$O$54="OUI",
ROUNDUP($J16, 0)*BB$7+ROUNDUP($K16, 0)*(BB$7*(BB$7+1)/2),
 BB$7*$J16+(BB$7*(BB$7+1)/2)*$K16)</f>
        <v>0</v>
      </c>
      <c r="BB16" s="1514">
        <f t="shared" si="35"/>
        <v>0</v>
      </c>
      <c r="BC16" s="3145">
        <f t="shared" si="14"/>
        <v>0</v>
      </c>
      <c r="BD16" s="1513">
        <f>IF(Quanti!$O$54="OUI",
ROUNDUP($J16, 0)*BE$7+ROUNDUP($K16, 0)*(BE$7*(BE$7+1)/2),
 BE$7*$J16+(BE$7*(BE$7+1)/2)*$K16)</f>
        <v>0</v>
      </c>
      <c r="BE16" s="1514">
        <f t="shared" si="36"/>
        <v>0</v>
      </c>
      <c r="BF16" s="3145">
        <f t="shared" si="15"/>
        <v>0</v>
      </c>
      <c r="BG16" s="1513">
        <f>IF(Quanti!$O$54="OUI",
ROUNDUP($J16, 0)*BH$7+ROUNDUP($K16, 0)*(BH$7*(BH$7+1)/2),
 BH$7*$J16+(BH$7*(BH$7+1)/2)*$K16)</f>
        <v>0</v>
      </c>
      <c r="BH16" s="1514">
        <f t="shared" si="37"/>
        <v>0</v>
      </c>
      <c r="BI16" s="3145">
        <f t="shared" si="16"/>
        <v>0</v>
      </c>
      <c r="BJ16" s="1513">
        <f>IF(Quanti!$O$54="OUI",
ROUNDUP($J16, 0)*BK$7+ROUNDUP($K16, 0)*(BK$7*(BK$7+1)/2),
 BK$7*$J16+(BK$7*(BK$7+1)/2)*$K16)</f>
        <v>0</v>
      </c>
      <c r="BK16" s="1514">
        <f t="shared" si="38"/>
        <v>0</v>
      </c>
      <c r="BL16" s="3145">
        <f t="shared" si="17"/>
        <v>0</v>
      </c>
      <c r="BM16" s="1513">
        <f>IF(Quanti!$O$54="OUI",
ROUNDUP($J16, 0)*BN$7+ROUNDUP($K16, 0)*(BN$7*(BN$7+1)/2),
 BN$7*$J16+(BN$7*(BN$7+1)/2)*$K16)</f>
        <v>0</v>
      </c>
      <c r="BN16" s="1514">
        <f t="shared" si="39"/>
        <v>0</v>
      </c>
      <c r="BO16" s="3145">
        <f t="shared" si="18"/>
        <v>0</v>
      </c>
      <c r="BP16" s="1513">
        <f>IF(Quanti!$O$54="OUI",
ROUNDUP($J16, 0)*BQ$7+ROUNDUP($K16, 0)*(BQ$7*(BQ$7+1)/2),
 BQ$7*$J16+(BQ$7*(BQ$7+1)/2)*$K16)</f>
        <v>0</v>
      </c>
      <c r="BQ16" s="1514">
        <f t="shared" si="40"/>
        <v>0</v>
      </c>
      <c r="BR16" s="3145">
        <f t="shared" si="19"/>
        <v>0</v>
      </c>
      <c r="BS16" s="1513">
        <f>IF(Quanti!$O$54="OUI",
ROUNDUP($J16, 0)*BT$7+ROUNDUP($K16, 0)*(BT$7*(BT$7+1)/2),
 BT$7*$J16+(BT$7*(BT$7+1)/2)*$K16)</f>
        <v>0</v>
      </c>
      <c r="BT16" s="1514">
        <f t="shared" si="41"/>
        <v>0</v>
      </c>
      <c r="BU16" s="3145">
        <f t="shared" si="20"/>
        <v>0</v>
      </c>
      <c r="BV16" s="1513">
        <f>IF(Quanti!$O$54="OUI",
ROUNDUP($J16, 0)*BW$7+ROUNDUP($K16, 0)*(BW$7*(BW$7+1)/2),
 BW$7*$J16+(BW$7*(BW$7+1)/2)*$K16)</f>
        <v>0</v>
      </c>
      <c r="BW16" s="1514">
        <f t="shared" si="42"/>
        <v>0</v>
      </c>
      <c r="BX16" s="3145">
        <f t="shared" si="21"/>
        <v>0</v>
      </c>
    </row>
    <row r="17" spans="2:76" ht="38.25" x14ac:dyDescent="0.2">
      <c r="B17" s="37"/>
      <c r="C17" s="98"/>
      <c r="D17" s="1660" t="str">
        <f>'Saisie données stocks'!F27</f>
        <v>D4T+3TC+NVP</v>
      </c>
      <c r="E17" s="1661" t="str">
        <f>'Saisie données stocks'!G27</f>
        <v>Cp</v>
      </c>
      <c r="F17" s="1661" t="str">
        <f>'Saisie données stocks'!H27</f>
        <v>6/30/50 mg</v>
      </c>
      <c r="G17" s="1207" t="str">
        <f>'Saisie données stocks'!I27</f>
        <v>Stavudine+ Lamivudine+ Nevirapine</v>
      </c>
      <c r="H17" s="115">
        <f>'Saisie données stocks'!L27</f>
        <v>60</v>
      </c>
      <c r="I17" s="331"/>
      <c r="J17" s="3150">
        <f>IF(Quanti!$D$9="X", 'Calculs dispo Données FA'!N133, IF(Quanti!$D$10="X", 'Calculs dispo Données conso'!N135, "0"))</f>
        <v>0</v>
      </c>
      <c r="K17" s="3148">
        <f>IF(Quanti!$D$9="X", 'Calculs dispo Données FA'!O133, IF(Quanti!$D$10="X", 'Calculs dispo Données conso'!O135, "0"))</f>
        <v>0</v>
      </c>
      <c r="L17" s="3151">
        <f>Calculs!O440</f>
        <v>30</v>
      </c>
      <c r="M17" s="3140">
        <f t="shared" si="22"/>
        <v>0</v>
      </c>
      <c r="N17" s="3140">
        <f t="shared" si="0"/>
        <v>30</v>
      </c>
      <c r="O17" s="1513">
        <f>IF(Quanti!$O$54="OUI",
ROUNDUP(J17, 0)*(Quanti!$N$19+Quanti!$N$25)+ROUNDUP(K17, 0)*((Quanti!$N$19+Quanti!$N$25)*((Quanti!$N$19+Quanti!$N$25)+1)/2),
 J17*(Quanti!$N$19+Quanti!$N$25)+K17*((Quanti!$N$19+Quanti!$N$25)*((Quanti!$N$19+Quanti!$N$25)+1)/2))-M17</f>
        <v>0</v>
      </c>
      <c r="P17" s="3145">
        <f t="shared" si="23"/>
        <v>0</v>
      </c>
      <c r="Q17" s="1513">
        <f>IF(Quanti!$O$54="OUI",
ROUNDUP($J17, 0)*R$7+ROUNDUP($K17, 0)*(R$7*(R$7+1)/2),
 R$7*$J17+(R$7*(R$7+1)/2)*$K17)</f>
        <v>0</v>
      </c>
      <c r="R17" s="1511">
        <f t="shared" si="1"/>
        <v>0</v>
      </c>
      <c r="S17" s="3145">
        <f t="shared" si="2"/>
        <v>0</v>
      </c>
      <c r="T17" s="1513">
        <f>IF(Quanti!$O$54="OUI",
ROUNDUP($J17, 0)*U$7+ROUNDUP($K17, 0)*(U$7*(U$7+1)/2),
 U$7*$J17+(U$7*(U$7+1)/2)*$K17)</f>
        <v>0</v>
      </c>
      <c r="U17" s="1514">
        <f t="shared" si="24"/>
        <v>0</v>
      </c>
      <c r="V17" s="3145">
        <f t="shared" si="3"/>
        <v>0</v>
      </c>
      <c r="W17" s="1513">
        <f>IF(Quanti!$O$54="OUI",
ROUNDUP($J17, 0)*X$7+ROUNDUP($K17, 0)*(X$7*(X$7+1)/2),
 X$7*$J17+(X$7*(X$7+1)/2)*$K17)</f>
        <v>0</v>
      </c>
      <c r="X17" s="1514">
        <f t="shared" si="25"/>
        <v>0</v>
      </c>
      <c r="Y17" s="3145">
        <f t="shared" si="4"/>
        <v>0</v>
      </c>
      <c r="Z17" s="1513">
        <f>IF(Quanti!$O$54="OUI",
ROUNDUP($J17, 0)*AA$7+ROUNDUP($K17, 0)*(AA$7*(AA$7+1)/2),
 AA$7*$J17+(AA$7*(AA$7+1)/2)*$K17)</f>
        <v>0</v>
      </c>
      <c r="AA17" s="1514">
        <f t="shared" si="26"/>
        <v>0</v>
      </c>
      <c r="AB17" s="3145">
        <f t="shared" si="5"/>
        <v>0</v>
      </c>
      <c r="AC17" s="1513">
        <f>IF(Quanti!$O$54="OUI",
ROUNDUP($J17, 0)*AD$7+ROUNDUP($K17, 0)*(AD$7*(AD$7+1)/2),
 AD$7*$J17+(AD$7*(AD$7+1)/2)*$K17)</f>
        <v>0</v>
      </c>
      <c r="AD17" s="1514">
        <f t="shared" si="27"/>
        <v>0</v>
      </c>
      <c r="AE17" s="3145">
        <f t="shared" si="6"/>
        <v>0</v>
      </c>
      <c r="AF17" s="1513">
        <f>IF(Quanti!$O$54="OUI",
ROUNDUP($J17, 0)*AG$7+ROUNDUP($K17, 0)*(AG$7*(AG$7+1)/2),
 AG$7*$J17+(AG$7*(AG$7+1)/2)*$K17)</f>
        <v>0</v>
      </c>
      <c r="AG17" s="1514">
        <f t="shared" si="28"/>
        <v>0</v>
      </c>
      <c r="AH17" s="3145">
        <f t="shared" si="7"/>
        <v>0</v>
      </c>
      <c r="AI17" s="1513">
        <f>IF(Quanti!$O$54="OUI",
ROUNDUP($J17, 0)*AJ$7+ROUNDUP($K17, 0)*(AJ$7*(AJ$7+1)/2),
 AJ$7*$J17+(AJ$7*(AJ$7+1)/2)*$K17)</f>
        <v>0</v>
      </c>
      <c r="AJ17" s="1514">
        <f t="shared" si="29"/>
        <v>0</v>
      </c>
      <c r="AK17" s="3145">
        <f t="shared" si="8"/>
        <v>0</v>
      </c>
      <c r="AL17" s="1513">
        <f>IF(Quanti!$O$54="OUI",
ROUNDUP($J17, 0)*AM$7+ROUNDUP($K17, 0)*(AM$7*(AM$7+1)/2),
 AM$7*$J17+(AM$7*(AM$7+1)/2)*$K17)</f>
        <v>0</v>
      </c>
      <c r="AM17" s="1514">
        <f t="shared" si="30"/>
        <v>0</v>
      </c>
      <c r="AN17" s="3145">
        <f t="shared" si="9"/>
        <v>0</v>
      </c>
      <c r="AO17" s="1513">
        <f>IF(Quanti!$O$54="OUI",
ROUNDUP($J17, 0)*AP$7+ROUNDUP($K17, 0)*(AP$7*(AP$7+1)/2),
 AP$7*$J17+(AP$7*(AP$7+1)/2)*$K17)</f>
        <v>0</v>
      </c>
      <c r="AP17" s="1514">
        <f t="shared" si="31"/>
        <v>0</v>
      </c>
      <c r="AQ17" s="3145">
        <f t="shared" si="10"/>
        <v>0</v>
      </c>
      <c r="AR17" s="1513">
        <f>IF(Quanti!$O$54="OUI",
ROUNDUP($J17, 0)*AS$7+ROUNDUP($K17, 0)*(AS$7*(AS$7+1)/2),
 AS$7*$J17+(AS$7*(AS$7+1)/2)*$K17)</f>
        <v>0</v>
      </c>
      <c r="AS17" s="1514">
        <f t="shared" si="32"/>
        <v>0</v>
      </c>
      <c r="AT17" s="3145">
        <f t="shared" si="11"/>
        <v>0</v>
      </c>
      <c r="AU17" s="1513">
        <f>IF(Quanti!$O$54="OUI",
ROUNDUP($J17, 0)*AV$7+ROUNDUP($K17, 0)*(AV$7*(AV$7+1)/2),
 AV$7*$J17+(AV$7*(AV$7+1)/2)*$K17)</f>
        <v>0</v>
      </c>
      <c r="AV17" s="1514">
        <f t="shared" si="33"/>
        <v>0</v>
      </c>
      <c r="AW17" s="3145">
        <f t="shared" si="12"/>
        <v>0</v>
      </c>
      <c r="AX17" s="1513">
        <f>IF(Quanti!$O$54="OUI",
ROUNDUP($J17, 0)*AY$7+ROUNDUP($K17, 0)*(AY$7*(AY$7+1)/2),
 AY$7*$J17+(AY$7*(AY$7+1)/2)*$K17)</f>
        <v>0</v>
      </c>
      <c r="AY17" s="1514">
        <f t="shared" si="34"/>
        <v>0</v>
      </c>
      <c r="AZ17" s="3145">
        <f t="shared" si="13"/>
        <v>0</v>
      </c>
      <c r="BA17" s="1513">
        <f>IF(Quanti!$O$54="OUI",
ROUNDUP($J17, 0)*BB$7+ROUNDUP($K17, 0)*(BB$7*(BB$7+1)/2),
 BB$7*$J17+(BB$7*(BB$7+1)/2)*$K17)</f>
        <v>0</v>
      </c>
      <c r="BB17" s="1514">
        <f t="shared" si="35"/>
        <v>0</v>
      </c>
      <c r="BC17" s="3145">
        <f t="shared" si="14"/>
        <v>0</v>
      </c>
      <c r="BD17" s="1513">
        <f>IF(Quanti!$O$54="OUI",
ROUNDUP($J17, 0)*BE$7+ROUNDUP($K17, 0)*(BE$7*(BE$7+1)/2),
 BE$7*$J17+(BE$7*(BE$7+1)/2)*$K17)</f>
        <v>0</v>
      </c>
      <c r="BE17" s="1514">
        <f t="shared" si="36"/>
        <v>0</v>
      </c>
      <c r="BF17" s="3145">
        <f t="shared" si="15"/>
        <v>0</v>
      </c>
      <c r="BG17" s="1513">
        <f>IF(Quanti!$O$54="OUI",
ROUNDUP($J17, 0)*BH$7+ROUNDUP($K17, 0)*(BH$7*(BH$7+1)/2),
 BH$7*$J17+(BH$7*(BH$7+1)/2)*$K17)</f>
        <v>0</v>
      </c>
      <c r="BH17" s="1514">
        <f t="shared" si="37"/>
        <v>0</v>
      </c>
      <c r="BI17" s="3145">
        <f t="shared" si="16"/>
        <v>0</v>
      </c>
      <c r="BJ17" s="1513">
        <f>IF(Quanti!$O$54="OUI",
ROUNDUP($J17, 0)*BK$7+ROUNDUP($K17, 0)*(BK$7*(BK$7+1)/2),
 BK$7*$J17+(BK$7*(BK$7+1)/2)*$K17)</f>
        <v>0</v>
      </c>
      <c r="BK17" s="1514">
        <f t="shared" si="38"/>
        <v>0</v>
      </c>
      <c r="BL17" s="3145">
        <f t="shared" si="17"/>
        <v>0</v>
      </c>
      <c r="BM17" s="1513">
        <f>IF(Quanti!$O$54="OUI",
ROUNDUP($J17, 0)*BN$7+ROUNDUP($K17, 0)*(BN$7*(BN$7+1)/2),
 BN$7*$J17+(BN$7*(BN$7+1)/2)*$K17)</f>
        <v>0</v>
      </c>
      <c r="BN17" s="1514">
        <f t="shared" si="39"/>
        <v>0</v>
      </c>
      <c r="BO17" s="3145">
        <f t="shared" si="18"/>
        <v>0</v>
      </c>
      <c r="BP17" s="1513">
        <f>IF(Quanti!$O$54="OUI",
ROUNDUP($J17, 0)*BQ$7+ROUNDUP($K17, 0)*(BQ$7*(BQ$7+1)/2),
 BQ$7*$J17+(BQ$7*(BQ$7+1)/2)*$K17)</f>
        <v>0</v>
      </c>
      <c r="BQ17" s="1514">
        <f t="shared" si="40"/>
        <v>0</v>
      </c>
      <c r="BR17" s="3145">
        <f t="shared" si="19"/>
        <v>0</v>
      </c>
      <c r="BS17" s="1513">
        <f>IF(Quanti!$O$54="OUI",
ROUNDUP($J17, 0)*BT$7+ROUNDUP($K17, 0)*(BT$7*(BT$7+1)/2),
 BT$7*$J17+(BT$7*(BT$7+1)/2)*$K17)</f>
        <v>0</v>
      </c>
      <c r="BT17" s="1514">
        <f t="shared" si="41"/>
        <v>0</v>
      </c>
      <c r="BU17" s="3145">
        <f t="shared" si="20"/>
        <v>0</v>
      </c>
      <c r="BV17" s="1513">
        <f>IF(Quanti!$O$54="OUI",
ROUNDUP($J17, 0)*BW$7+ROUNDUP($K17, 0)*(BW$7*(BW$7+1)/2),
 BW$7*$J17+(BW$7*(BW$7+1)/2)*$K17)</f>
        <v>0</v>
      </c>
      <c r="BW17" s="1514">
        <f t="shared" si="42"/>
        <v>0</v>
      </c>
      <c r="BX17" s="3145">
        <f t="shared" si="21"/>
        <v>0</v>
      </c>
    </row>
    <row r="18" spans="2:76" ht="25.5" x14ac:dyDescent="0.2">
      <c r="B18" s="37"/>
      <c r="C18" s="98"/>
      <c r="D18" s="1660" t="str">
        <f>'Saisie données stocks'!F28</f>
        <v>D4T+3TC</v>
      </c>
      <c r="E18" s="1661" t="str">
        <f>'Saisie données stocks'!G28</f>
        <v>Cp</v>
      </c>
      <c r="F18" s="1661" t="str">
        <f>'Saisie données stocks'!H28</f>
        <v>30/150 mg</v>
      </c>
      <c r="G18" s="89" t="str">
        <f>'Saisie données stocks'!I28</f>
        <v>Stavudine+ Lamivudine</v>
      </c>
      <c r="H18" s="115">
        <f>'Saisie données stocks'!L28</f>
        <v>60</v>
      </c>
      <c r="I18" s="331"/>
      <c r="J18" s="3150">
        <f>IF(Quanti!$D$9="X", 'Calculs dispo Données FA'!N134, IF(Quanti!$D$10="X", 'Calculs dispo Données conso'!N136, "0"))</f>
        <v>0</v>
      </c>
      <c r="K18" s="3148">
        <f>IF(Quanti!$D$9="X", 'Calculs dispo Données FA'!O134, IF(Quanti!$D$10="X", 'Calculs dispo Données conso'!O136, "0"))</f>
        <v>0</v>
      </c>
      <c r="L18" s="3151">
        <f>Calculs!O441</f>
        <v>14</v>
      </c>
      <c r="M18" s="3140">
        <f t="shared" si="22"/>
        <v>0</v>
      </c>
      <c r="N18" s="3140">
        <f t="shared" si="0"/>
        <v>14</v>
      </c>
      <c r="O18" s="1513">
        <f>IF(Quanti!$O$54="OUI",
ROUNDUP(J18, 0)*(Quanti!$N$19+Quanti!$N$25)+ROUNDUP(K18, 0)*((Quanti!$N$19+Quanti!$N$25)*((Quanti!$N$19+Quanti!$N$25)+1)/2),
 J18*(Quanti!$N$19+Quanti!$N$25)+K18*((Quanti!$N$19+Quanti!$N$25)*((Quanti!$N$19+Quanti!$N$25)+1)/2))-M18</f>
        <v>0</v>
      </c>
      <c r="P18" s="3145">
        <f t="shared" si="23"/>
        <v>0</v>
      </c>
      <c r="Q18" s="1513">
        <f>IF(Quanti!$O$54="OUI",
ROUNDUP($J18, 0)*R$7+ROUNDUP($K18, 0)*(R$7*(R$7+1)/2),
 R$7*$J18+(R$7*(R$7+1)/2)*$K18)</f>
        <v>0</v>
      </c>
      <c r="R18" s="1511">
        <f t="shared" si="1"/>
        <v>0</v>
      </c>
      <c r="S18" s="3145">
        <f t="shared" si="2"/>
        <v>0</v>
      </c>
      <c r="T18" s="1513">
        <f>IF(Quanti!$O$54="OUI",
ROUNDUP($J18, 0)*U$7+ROUNDUP($K18, 0)*(U$7*(U$7+1)/2),
 U$7*$J18+(U$7*(U$7+1)/2)*$K18)</f>
        <v>0</v>
      </c>
      <c r="U18" s="1514">
        <f t="shared" si="24"/>
        <v>0</v>
      </c>
      <c r="V18" s="3145">
        <f t="shared" si="3"/>
        <v>0</v>
      </c>
      <c r="W18" s="1513">
        <f>IF(Quanti!$O$54="OUI",
ROUNDUP($J18, 0)*X$7+ROUNDUP($K18, 0)*(X$7*(X$7+1)/2),
 X$7*$J18+(X$7*(X$7+1)/2)*$K18)</f>
        <v>0</v>
      </c>
      <c r="X18" s="1514">
        <f t="shared" si="25"/>
        <v>0</v>
      </c>
      <c r="Y18" s="3145">
        <f t="shared" si="4"/>
        <v>0</v>
      </c>
      <c r="Z18" s="1513">
        <f>IF(Quanti!$O$54="OUI",
ROUNDUP($J18, 0)*AA$7+ROUNDUP($K18, 0)*(AA$7*(AA$7+1)/2),
 AA$7*$J18+(AA$7*(AA$7+1)/2)*$K18)</f>
        <v>0</v>
      </c>
      <c r="AA18" s="1514">
        <f t="shared" si="26"/>
        <v>0</v>
      </c>
      <c r="AB18" s="3145">
        <f t="shared" si="5"/>
        <v>0</v>
      </c>
      <c r="AC18" s="1513">
        <f>IF(Quanti!$O$54="OUI",
ROUNDUP($J18, 0)*AD$7+ROUNDUP($K18, 0)*(AD$7*(AD$7+1)/2),
 AD$7*$J18+(AD$7*(AD$7+1)/2)*$K18)</f>
        <v>0</v>
      </c>
      <c r="AD18" s="1514">
        <f t="shared" si="27"/>
        <v>0</v>
      </c>
      <c r="AE18" s="3145">
        <f t="shared" si="6"/>
        <v>0</v>
      </c>
      <c r="AF18" s="1513">
        <f>IF(Quanti!$O$54="OUI",
ROUNDUP($J18, 0)*AG$7+ROUNDUP($K18, 0)*(AG$7*(AG$7+1)/2),
 AG$7*$J18+(AG$7*(AG$7+1)/2)*$K18)</f>
        <v>0</v>
      </c>
      <c r="AG18" s="1514">
        <f t="shared" si="28"/>
        <v>0</v>
      </c>
      <c r="AH18" s="3145">
        <f t="shared" si="7"/>
        <v>0</v>
      </c>
      <c r="AI18" s="1513">
        <f>IF(Quanti!$O$54="OUI",
ROUNDUP($J18, 0)*AJ$7+ROUNDUP($K18, 0)*(AJ$7*(AJ$7+1)/2),
 AJ$7*$J18+(AJ$7*(AJ$7+1)/2)*$K18)</f>
        <v>0</v>
      </c>
      <c r="AJ18" s="1514">
        <f t="shared" si="29"/>
        <v>0</v>
      </c>
      <c r="AK18" s="3145">
        <f t="shared" si="8"/>
        <v>0</v>
      </c>
      <c r="AL18" s="1513">
        <f>IF(Quanti!$O$54="OUI",
ROUNDUP($J18, 0)*AM$7+ROUNDUP($K18, 0)*(AM$7*(AM$7+1)/2),
 AM$7*$J18+(AM$7*(AM$7+1)/2)*$K18)</f>
        <v>0</v>
      </c>
      <c r="AM18" s="1514">
        <f t="shared" si="30"/>
        <v>0</v>
      </c>
      <c r="AN18" s="3145">
        <f t="shared" si="9"/>
        <v>0</v>
      </c>
      <c r="AO18" s="1513">
        <f>IF(Quanti!$O$54="OUI",
ROUNDUP($J18, 0)*AP$7+ROUNDUP($K18, 0)*(AP$7*(AP$7+1)/2),
 AP$7*$J18+(AP$7*(AP$7+1)/2)*$K18)</f>
        <v>0</v>
      </c>
      <c r="AP18" s="1514">
        <f t="shared" si="31"/>
        <v>0</v>
      </c>
      <c r="AQ18" s="3145">
        <f t="shared" si="10"/>
        <v>0</v>
      </c>
      <c r="AR18" s="1513">
        <f>IF(Quanti!$O$54="OUI",
ROUNDUP($J18, 0)*AS$7+ROUNDUP($K18, 0)*(AS$7*(AS$7+1)/2),
 AS$7*$J18+(AS$7*(AS$7+1)/2)*$K18)</f>
        <v>0</v>
      </c>
      <c r="AS18" s="1514">
        <f t="shared" si="32"/>
        <v>0</v>
      </c>
      <c r="AT18" s="3145">
        <f t="shared" si="11"/>
        <v>0</v>
      </c>
      <c r="AU18" s="1513">
        <f>IF(Quanti!$O$54="OUI",
ROUNDUP($J18, 0)*AV$7+ROUNDUP($K18, 0)*(AV$7*(AV$7+1)/2),
 AV$7*$J18+(AV$7*(AV$7+1)/2)*$K18)</f>
        <v>0</v>
      </c>
      <c r="AV18" s="1514">
        <f t="shared" si="33"/>
        <v>0</v>
      </c>
      <c r="AW18" s="3145">
        <f t="shared" si="12"/>
        <v>0</v>
      </c>
      <c r="AX18" s="1513">
        <f>IF(Quanti!$O$54="OUI",
ROUNDUP($J18, 0)*AY$7+ROUNDUP($K18, 0)*(AY$7*(AY$7+1)/2),
 AY$7*$J18+(AY$7*(AY$7+1)/2)*$K18)</f>
        <v>0</v>
      </c>
      <c r="AY18" s="1514">
        <f t="shared" si="34"/>
        <v>0</v>
      </c>
      <c r="AZ18" s="3145">
        <f t="shared" si="13"/>
        <v>0</v>
      </c>
      <c r="BA18" s="1513">
        <f>IF(Quanti!$O$54="OUI",
ROUNDUP($J18, 0)*BB$7+ROUNDUP($K18, 0)*(BB$7*(BB$7+1)/2),
 BB$7*$J18+(BB$7*(BB$7+1)/2)*$K18)</f>
        <v>0</v>
      </c>
      <c r="BB18" s="1514">
        <f t="shared" si="35"/>
        <v>0</v>
      </c>
      <c r="BC18" s="3145">
        <f t="shared" si="14"/>
        <v>0</v>
      </c>
      <c r="BD18" s="1513">
        <f>IF(Quanti!$O$54="OUI",
ROUNDUP($J18, 0)*BE$7+ROUNDUP($K18, 0)*(BE$7*(BE$7+1)/2),
 BE$7*$J18+(BE$7*(BE$7+1)/2)*$K18)</f>
        <v>0</v>
      </c>
      <c r="BE18" s="1514">
        <f t="shared" si="36"/>
        <v>0</v>
      </c>
      <c r="BF18" s="3145">
        <f t="shared" si="15"/>
        <v>0</v>
      </c>
      <c r="BG18" s="1513">
        <f>IF(Quanti!$O$54="OUI",
ROUNDUP($J18, 0)*BH$7+ROUNDUP($K18, 0)*(BH$7*(BH$7+1)/2),
 BH$7*$J18+(BH$7*(BH$7+1)/2)*$K18)</f>
        <v>0</v>
      </c>
      <c r="BH18" s="1514">
        <f t="shared" si="37"/>
        <v>0</v>
      </c>
      <c r="BI18" s="3145">
        <f t="shared" si="16"/>
        <v>0</v>
      </c>
      <c r="BJ18" s="1513">
        <f>IF(Quanti!$O$54="OUI",
ROUNDUP($J18, 0)*BK$7+ROUNDUP($K18, 0)*(BK$7*(BK$7+1)/2),
 BK$7*$J18+(BK$7*(BK$7+1)/2)*$K18)</f>
        <v>0</v>
      </c>
      <c r="BK18" s="1514">
        <f t="shared" si="38"/>
        <v>0</v>
      </c>
      <c r="BL18" s="3145">
        <f t="shared" si="17"/>
        <v>0</v>
      </c>
      <c r="BM18" s="1513">
        <f>IF(Quanti!$O$54="OUI",
ROUNDUP($J18, 0)*BN$7+ROUNDUP($K18, 0)*(BN$7*(BN$7+1)/2),
 BN$7*$J18+(BN$7*(BN$7+1)/2)*$K18)</f>
        <v>0</v>
      </c>
      <c r="BN18" s="1514">
        <f t="shared" si="39"/>
        <v>0</v>
      </c>
      <c r="BO18" s="3145">
        <f t="shared" si="18"/>
        <v>0</v>
      </c>
      <c r="BP18" s="1513">
        <f>IF(Quanti!$O$54="OUI",
ROUNDUP($J18, 0)*BQ$7+ROUNDUP($K18, 0)*(BQ$7*(BQ$7+1)/2),
 BQ$7*$J18+(BQ$7*(BQ$7+1)/2)*$K18)</f>
        <v>0</v>
      </c>
      <c r="BQ18" s="1514">
        <f t="shared" si="40"/>
        <v>0</v>
      </c>
      <c r="BR18" s="3145">
        <f t="shared" si="19"/>
        <v>0</v>
      </c>
      <c r="BS18" s="1513">
        <f>IF(Quanti!$O$54="OUI",
ROUNDUP($J18, 0)*BT$7+ROUNDUP($K18, 0)*(BT$7*(BT$7+1)/2),
 BT$7*$J18+(BT$7*(BT$7+1)/2)*$K18)</f>
        <v>0</v>
      </c>
      <c r="BT18" s="1514">
        <f t="shared" si="41"/>
        <v>0</v>
      </c>
      <c r="BU18" s="3145">
        <f t="shared" si="20"/>
        <v>0</v>
      </c>
      <c r="BV18" s="1513">
        <f>IF(Quanti!$O$54="OUI",
ROUNDUP($J18, 0)*BW$7+ROUNDUP($K18, 0)*(BW$7*(BW$7+1)/2),
 BW$7*$J18+(BW$7*(BW$7+1)/2)*$K18)</f>
        <v>0</v>
      </c>
      <c r="BW18" s="1514">
        <f t="shared" si="42"/>
        <v>0</v>
      </c>
      <c r="BX18" s="3145">
        <f t="shared" si="21"/>
        <v>0</v>
      </c>
    </row>
    <row r="19" spans="2:76" ht="38.25" x14ac:dyDescent="0.2">
      <c r="B19" s="37"/>
      <c r="C19" s="98"/>
      <c r="D19" s="1660" t="str">
        <f>'Saisie données stocks'!F29</f>
        <v>TDF+FTC+EFV</v>
      </c>
      <c r="E19" s="1661" t="str">
        <f>'Saisie données stocks'!G29</f>
        <v>Cp</v>
      </c>
      <c r="F19" s="1661" t="str">
        <f>'Saisie données stocks'!H29</f>
        <v>300/200/600 mg</v>
      </c>
      <c r="G19" s="89" t="str">
        <f>'Saisie données stocks'!I29</f>
        <v>Tenofovir+ Emtricitabine+ Efavirenz</v>
      </c>
      <c r="H19" s="115">
        <f>'Saisie données stocks'!L29</f>
        <v>30</v>
      </c>
      <c r="I19" s="331"/>
      <c r="J19" s="3150">
        <f>IF(Quanti!$D$9="X", 'Calculs dispo Données FA'!N135, IF(Quanti!$D$10="X", 'Calculs dispo Données conso'!N137, "0"))</f>
        <v>0</v>
      </c>
      <c r="K19" s="3148">
        <f>IF(Quanti!$D$9="X", 'Calculs dispo Données FA'!O135, IF(Quanti!$D$10="X", 'Calculs dispo Données conso'!O137, "0"))</f>
        <v>0</v>
      </c>
      <c r="L19" s="3151">
        <f>Calculs!O442</f>
        <v>0</v>
      </c>
      <c r="M19" s="3140">
        <f t="shared" si="22"/>
        <v>0</v>
      </c>
      <c r="N19" s="3140">
        <f t="shared" si="0"/>
        <v>0</v>
      </c>
      <c r="O19" s="1513">
        <f>IF(Quanti!$O$54="OUI",
ROUNDUP(J19, 0)*(Quanti!$N$19+Quanti!$N$25)+ROUNDUP(K19, 0)*((Quanti!$N$19+Quanti!$N$25)*((Quanti!$N$19+Quanti!$N$25)+1)/2),
 J19*(Quanti!$N$19+Quanti!$N$25)+K19*((Quanti!$N$19+Quanti!$N$25)*((Quanti!$N$19+Quanti!$N$25)+1)/2))-M19</f>
        <v>0</v>
      </c>
      <c r="P19" s="3145">
        <f t="shared" si="23"/>
        <v>0</v>
      </c>
      <c r="Q19" s="1513">
        <f>IF(Quanti!$O$54="OUI",
ROUNDUP($J19, 0)*R$7+ROUNDUP($K19, 0)*(R$7*(R$7+1)/2),
 R$7*$J19+(R$7*(R$7+1)/2)*$K19)</f>
        <v>0</v>
      </c>
      <c r="R19" s="1511">
        <f t="shared" si="1"/>
        <v>0</v>
      </c>
      <c r="S19" s="3145">
        <f t="shared" si="2"/>
        <v>0</v>
      </c>
      <c r="T19" s="1513">
        <f>IF(Quanti!$O$54="OUI",
ROUNDUP($J19, 0)*U$7+ROUNDUP($K19, 0)*(U$7*(U$7+1)/2),
 U$7*$J19+(U$7*(U$7+1)/2)*$K19)</f>
        <v>0</v>
      </c>
      <c r="U19" s="1514">
        <f t="shared" si="24"/>
        <v>0</v>
      </c>
      <c r="V19" s="3145">
        <f t="shared" si="3"/>
        <v>0</v>
      </c>
      <c r="W19" s="1513">
        <f>IF(Quanti!$O$54="OUI",
ROUNDUP($J19, 0)*X$7+ROUNDUP($K19, 0)*(X$7*(X$7+1)/2),
 X$7*$J19+(X$7*(X$7+1)/2)*$K19)</f>
        <v>0</v>
      </c>
      <c r="X19" s="1514">
        <f t="shared" si="25"/>
        <v>0</v>
      </c>
      <c r="Y19" s="3145">
        <f t="shared" si="4"/>
        <v>0</v>
      </c>
      <c r="Z19" s="1513">
        <f>IF(Quanti!$O$54="OUI",
ROUNDUP($J19, 0)*AA$7+ROUNDUP($K19, 0)*(AA$7*(AA$7+1)/2),
 AA$7*$J19+(AA$7*(AA$7+1)/2)*$K19)</f>
        <v>0</v>
      </c>
      <c r="AA19" s="1514">
        <f t="shared" si="26"/>
        <v>0</v>
      </c>
      <c r="AB19" s="3145">
        <f t="shared" si="5"/>
        <v>0</v>
      </c>
      <c r="AC19" s="1513">
        <f>IF(Quanti!$O$54="OUI",
ROUNDUP($J19, 0)*AD$7+ROUNDUP($K19, 0)*(AD$7*(AD$7+1)/2),
 AD$7*$J19+(AD$7*(AD$7+1)/2)*$K19)</f>
        <v>0</v>
      </c>
      <c r="AD19" s="1514">
        <f t="shared" si="27"/>
        <v>0</v>
      </c>
      <c r="AE19" s="3145">
        <f t="shared" si="6"/>
        <v>0</v>
      </c>
      <c r="AF19" s="1513">
        <f>IF(Quanti!$O$54="OUI",
ROUNDUP($J19, 0)*AG$7+ROUNDUP($K19, 0)*(AG$7*(AG$7+1)/2),
 AG$7*$J19+(AG$7*(AG$7+1)/2)*$K19)</f>
        <v>0</v>
      </c>
      <c r="AG19" s="1514">
        <f t="shared" si="28"/>
        <v>0</v>
      </c>
      <c r="AH19" s="3145">
        <f t="shared" si="7"/>
        <v>0</v>
      </c>
      <c r="AI19" s="1513">
        <f>IF(Quanti!$O$54="OUI",
ROUNDUP($J19, 0)*AJ$7+ROUNDUP($K19, 0)*(AJ$7*(AJ$7+1)/2),
 AJ$7*$J19+(AJ$7*(AJ$7+1)/2)*$K19)</f>
        <v>0</v>
      </c>
      <c r="AJ19" s="1514">
        <f t="shared" si="29"/>
        <v>0</v>
      </c>
      <c r="AK19" s="3145">
        <f t="shared" si="8"/>
        <v>0</v>
      </c>
      <c r="AL19" s="1513">
        <f>IF(Quanti!$O$54="OUI",
ROUNDUP($J19, 0)*AM$7+ROUNDUP($K19, 0)*(AM$7*(AM$7+1)/2),
 AM$7*$J19+(AM$7*(AM$7+1)/2)*$K19)</f>
        <v>0</v>
      </c>
      <c r="AM19" s="1514">
        <f t="shared" si="30"/>
        <v>0</v>
      </c>
      <c r="AN19" s="3145">
        <f t="shared" si="9"/>
        <v>0</v>
      </c>
      <c r="AO19" s="1513">
        <f>IF(Quanti!$O$54="OUI",
ROUNDUP($J19, 0)*AP$7+ROUNDUP($K19, 0)*(AP$7*(AP$7+1)/2),
 AP$7*$J19+(AP$7*(AP$7+1)/2)*$K19)</f>
        <v>0</v>
      </c>
      <c r="AP19" s="1514">
        <f t="shared" si="31"/>
        <v>0</v>
      </c>
      <c r="AQ19" s="3145">
        <f t="shared" si="10"/>
        <v>0</v>
      </c>
      <c r="AR19" s="1513">
        <f>IF(Quanti!$O$54="OUI",
ROUNDUP($J19, 0)*AS$7+ROUNDUP($K19, 0)*(AS$7*(AS$7+1)/2),
 AS$7*$J19+(AS$7*(AS$7+1)/2)*$K19)</f>
        <v>0</v>
      </c>
      <c r="AS19" s="1514">
        <f t="shared" si="32"/>
        <v>0</v>
      </c>
      <c r="AT19" s="3145">
        <f t="shared" si="11"/>
        <v>0</v>
      </c>
      <c r="AU19" s="1513">
        <f>IF(Quanti!$O$54="OUI",
ROUNDUP($J19, 0)*AV$7+ROUNDUP($K19, 0)*(AV$7*(AV$7+1)/2),
 AV$7*$J19+(AV$7*(AV$7+1)/2)*$K19)</f>
        <v>0</v>
      </c>
      <c r="AV19" s="1514">
        <f t="shared" si="33"/>
        <v>0</v>
      </c>
      <c r="AW19" s="3145">
        <f t="shared" si="12"/>
        <v>0</v>
      </c>
      <c r="AX19" s="1513">
        <f>IF(Quanti!$O$54="OUI",
ROUNDUP($J19, 0)*AY$7+ROUNDUP($K19, 0)*(AY$7*(AY$7+1)/2),
 AY$7*$J19+(AY$7*(AY$7+1)/2)*$K19)</f>
        <v>0</v>
      </c>
      <c r="AY19" s="1514">
        <f t="shared" si="34"/>
        <v>0</v>
      </c>
      <c r="AZ19" s="3145">
        <f t="shared" si="13"/>
        <v>0</v>
      </c>
      <c r="BA19" s="1513">
        <f>IF(Quanti!$O$54="OUI",
ROUNDUP($J19, 0)*BB$7+ROUNDUP($K19, 0)*(BB$7*(BB$7+1)/2),
 BB$7*$J19+(BB$7*(BB$7+1)/2)*$K19)</f>
        <v>0</v>
      </c>
      <c r="BB19" s="1514">
        <f t="shared" si="35"/>
        <v>0</v>
      </c>
      <c r="BC19" s="3145">
        <f t="shared" si="14"/>
        <v>0</v>
      </c>
      <c r="BD19" s="1513">
        <f>IF(Quanti!$O$54="OUI",
ROUNDUP($J19, 0)*BE$7+ROUNDUP($K19, 0)*(BE$7*(BE$7+1)/2),
 BE$7*$J19+(BE$7*(BE$7+1)/2)*$K19)</f>
        <v>0</v>
      </c>
      <c r="BE19" s="1514">
        <f t="shared" si="36"/>
        <v>0</v>
      </c>
      <c r="BF19" s="3145">
        <f t="shared" si="15"/>
        <v>0</v>
      </c>
      <c r="BG19" s="1513">
        <f>IF(Quanti!$O$54="OUI",
ROUNDUP($J19, 0)*BH$7+ROUNDUP($K19, 0)*(BH$7*(BH$7+1)/2),
 BH$7*$J19+(BH$7*(BH$7+1)/2)*$K19)</f>
        <v>0</v>
      </c>
      <c r="BH19" s="1514">
        <f t="shared" si="37"/>
        <v>0</v>
      </c>
      <c r="BI19" s="3145">
        <f t="shared" si="16"/>
        <v>0</v>
      </c>
      <c r="BJ19" s="1513">
        <f>IF(Quanti!$O$54="OUI",
ROUNDUP($J19, 0)*BK$7+ROUNDUP($K19, 0)*(BK$7*(BK$7+1)/2),
 BK$7*$J19+(BK$7*(BK$7+1)/2)*$K19)</f>
        <v>0</v>
      </c>
      <c r="BK19" s="1514">
        <f t="shared" si="38"/>
        <v>0</v>
      </c>
      <c r="BL19" s="3145">
        <f t="shared" si="17"/>
        <v>0</v>
      </c>
      <c r="BM19" s="1513">
        <f>IF(Quanti!$O$54="OUI",
ROUNDUP($J19, 0)*BN$7+ROUNDUP($K19, 0)*(BN$7*(BN$7+1)/2),
 BN$7*$J19+(BN$7*(BN$7+1)/2)*$K19)</f>
        <v>0</v>
      </c>
      <c r="BN19" s="1514">
        <f t="shared" si="39"/>
        <v>0</v>
      </c>
      <c r="BO19" s="3145">
        <f t="shared" si="18"/>
        <v>0</v>
      </c>
      <c r="BP19" s="1513">
        <f>IF(Quanti!$O$54="OUI",
ROUNDUP($J19, 0)*BQ$7+ROUNDUP($K19, 0)*(BQ$7*(BQ$7+1)/2),
 BQ$7*$J19+(BQ$7*(BQ$7+1)/2)*$K19)</f>
        <v>0</v>
      </c>
      <c r="BQ19" s="1514">
        <f t="shared" si="40"/>
        <v>0</v>
      </c>
      <c r="BR19" s="3145">
        <f t="shared" si="19"/>
        <v>0</v>
      </c>
      <c r="BS19" s="1513">
        <f>IF(Quanti!$O$54="OUI",
ROUNDUP($J19, 0)*BT$7+ROUNDUP($K19, 0)*(BT$7*(BT$7+1)/2),
 BT$7*$J19+(BT$7*(BT$7+1)/2)*$K19)</f>
        <v>0</v>
      </c>
      <c r="BT19" s="1514">
        <f t="shared" si="41"/>
        <v>0</v>
      </c>
      <c r="BU19" s="3145">
        <f t="shared" si="20"/>
        <v>0</v>
      </c>
      <c r="BV19" s="1513">
        <f>IF(Quanti!$O$54="OUI",
ROUNDUP($J19, 0)*BW$7+ROUNDUP($K19, 0)*(BW$7*(BW$7+1)/2),
 BW$7*$J19+(BW$7*(BW$7+1)/2)*$K19)</f>
        <v>0</v>
      </c>
      <c r="BW19" s="1514">
        <f t="shared" si="42"/>
        <v>0</v>
      </c>
      <c r="BX19" s="3145">
        <f t="shared" si="21"/>
        <v>0</v>
      </c>
    </row>
    <row r="20" spans="2:76" ht="25.5" x14ac:dyDescent="0.2">
      <c r="B20" s="37"/>
      <c r="C20" s="98"/>
      <c r="D20" s="1660" t="str">
        <f>'Saisie données stocks'!F30</f>
        <v>TDF+FTC</v>
      </c>
      <c r="E20" s="1661" t="str">
        <f>'Saisie données stocks'!G30</f>
        <v>Cp</v>
      </c>
      <c r="F20" s="1661" t="str">
        <f>'Saisie données stocks'!H30</f>
        <v>300/200 mg</v>
      </c>
      <c r="G20" s="89" t="str">
        <f>'Saisie données stocks'!I30</f>
        <v>Tenofovir+ Emtricitabine</v>
      </c>
      <c r="H20" s="115">
        <f>'Saisie données stocks'!L30</f>
        <v>30</v>
      </c>
      <c r="I20" s="331"/>
      <c r="J20" s="3150">
        <f>IF(Quanti!$D$9="X", 'Calculs dispo Données FA'!N136, IF(Quanti!$D$10="X", 'Calculs dispo Données conso'!N138, "0"))</f>
        <v>0</v>
      </c>
      <c r="K20" s="3148">
        <f>IF(Quanti!$D$9="X", 'Calculs dispo Données FA'!O136, IF(Quanti!$D$10="X", 'Calculs dispo Données conso'!O138, "0"))</f>
        <v>0</v>
      </c>
      <c r="L20" s="3151">
        <f>Calculs!O443</f>
        <v>0</v>
      </c>
      <c r="M20" s="3140">
        <f t="shared" si="22"/>
        <v>0</v>
      </c>
      <c r="N20" s="3140">
        <f t="shared" si="0"/>
        <v>0</v>
      </c>
      <c r="O20" s="1513">
        <f>IF(Quanti!$O$54="OUI",
ROUNDUP(J20, 0)*(Quanti!$N$19+Quanti!$N$25)+ROUNDUP(K20, 0)*((Quanti!$N$19+Quanti!$N$25)*((Quanti!$N$19+Quanti!$N$25)+1)/2),
 J20*(Quanti!$N$19+Quanti!$N$25)+K20*((Quanti!$N$19+Quanti!$N$25)*((Quanti!$N$19+Quanti!$N$25)+1)/2))-M20</f>
        <v>0</v>
      </c>
      <c r="P20" s="3145">
        <f t="shared" si="23"/>
        <v>0</v>
      </c>
      <c r="Q20" s="1513">
        <f>IF(Quanti!$O$54="OUI",
ROUNDUP($J20, 0)*R$7+ROUNDUP($K20, 0)*(R$7*(R$7+1)/2),
 R$7*$J20+(R$7*(R$7+1)/2)*$K20)</f>
        <v>0</v>
      </c>
      <c r="R20" s="1511">
        <f t="shared" si="1"/>
        <v>0</v>
      </c>
      <c r="S20" s="3145">
        <f t="shared" si="2"/>
        <v>0</v>
      </c>
      <c r="T20" s="1513">
        <f>IF(Quanti!$O$54="OUI",
ROUNDUP($J20, 0)*U$7+ROUNDUP($K20, 0)*(U$7*(U$7+1)/2),
 U$7*$J20+(U$7*(U$7+1)/2)*$K20)</f>
        <v>0</v>
      </c>
      <c r="U20" s="1514">
        <f t="shared" si="24"/>
        <v>0</v>
      </c>
      <c r="V20" s="3145">
        <f t="shared" si="3"/>
        <v>0</v>
      </c>
      <c r="W20" s="1513">
        <f>IF(Quanti!$O$54="OUI",
ROUNDUP($J20, 0)*X$7+ROUNDUP($K20, 0)*(X$7*(X$7+1)/2),
 X$7*$J20+(X$7*(X$7+1)/2)*$K20)</f>
        <v>0</v>
      </c>
      <c r="X20" s="1514">
        <f t="shared" si="25"/>
        <v>0</v>
      </c>
      <c r="Y20" s="3145">
        <f t="shared" si="4"/>
        <v>0</v>
      </c>
      <c r="Z20" s="1513">
        <f>IF(Quanti!$O$54="OUI",
ROUNDUP($J20, 0)*AA$7+ROUNDUP($K20, 0)*(AA$7*(AA$7+1)/2),
 AA$7*$J20+(AA$7*(AA$7+1)/2)*$K20)</f>
        <v>0</v>
      </c>
      <c r="AA20" s="1514">
        <f t="shared" si="26"/>
        <v>0</v>
      </c>
      <c r="AB20" s="3145">
        <f t="shared" si="5"/>
        <v>0</v>
      </c>
      <c r="AC20" s="1513">
        <f>IF(Quanti!$O$54="OUI",
ROUNDUP($J20, 0)*AD$7+ROUNDUP($K20, 0)*(AD$7*(AD$7+1)/2),
 AD$7*$J20+(AD$7*(AD$7+1)/2)*$K20)</f>
        <v>0</v>
      </c>
      <c r="AD20" s="1514">
        <f t="shared" si="27"/>
        <v>0</v>
      </c>
      <c r="AE20" s="3145">
        <f t="shared" si="6"/>
        <v>0</v>
      </c>
      <c r="AF20" s="1513">
        <f>IF(Quanti!$O$54="OUI",
ROUNDUP($J20, 0)*AG$7+ROUNDUP($K20, 0)*(AG$7*(AG$7+1)/2),
 AG$7*$J20+(AG$7*(AG$7+1)/2)*$K20)</f>
        <v>0</v>
      </c>
      <c r="AG20" s="1514">
        <f t="shared" si="28"/>
        <v>0</v>
      </c>
      <c r="AH20" s="3145">
        <f t="shared" si="7"/>
        <v>0</v>
      </c>
      <c r="AI20" s="1513">
        <f>IF(Quanti!$O$54="OUI",
ROUNDUP($J20, 0)*AJ$7+ROUNDUP($K20, 0)*(AJ$7*(AJ$7+1)/2),
 AJ$7*$J20+(AJ$7*(AJ$7+1)/2)*$K20)</f>
        <v>0</v>
      </c>
      <c r="AJ20" s="1514">
        <f t="shared" si="29"/>
        <v>0</v>
      </c>
      <c r="AK20" s="3145">
        <f t="shared" si="8"/>
        <v>0</v>
      </c>
      <c r="AL20" s="1513">
        <f>IF(Quanti!$O$54="OUI",
ROUNDUP($J20, 0)*AM$7+ROUNDUP($K20, 0)*(AM$7*(AM$7+1)/2),
 AM$7*$J20+(AM$7*(AM$7+1)/2)*$K20)</f>
        <v>0</v>
      </c>
      <c r="AM20" s="1514">
        <f t="shared" si="30"/>
        <v>0</v>
      </c>
      <c r="AN20" s="3145">
        <f t="shared" si="9"/>
        <v>0</v>
      </c>
      <c r="AO20" s="1513">
        <f>IF(Quanti!$O$54="OUI",
ROUNDUP($J20, 0)*AP$7+ROUNDUP($K20, 0)*(AP$7*(AP$7+1)/2),
 AP$7*$J20+(AP$7*(AP$7+1)/2)*$K20)</f>
        <v>0</v>
      </c>
      <c r="AP20" s="1514">
        <f t="shared" si="31"/>
        <v>0</v>
      </c>
      <c r="AQ20" s="3145">
        <f t="shared" si="10"/>
        <v>0</v>
      </c>
      <c r="AR20" s="1513">
        <f>IF(Quanti!$O$54="OUI",
ROUNDUP($J20, 0)*AS$7+ROUNDUP($K20, 0)*(AS$7*(AS$7+1)/2),
 AS$7*$J20+(AS$7*(AS$7+1)/2)*$K20)</f>
        <v>0</v>
      </c>
      <c r="AS20" s="1514">
        <f t="shared" si="32"/>
        <v>0</v>
      </c>
      <c r="AT20" s="3145">
        <f t="shared" si="11"/>
        <v>0</v>
      </c>
      <c r="AU20" s="1513">
        <f>IF(Quanti!$O$54="OUI",
ROUNDUP($J20, 0)*AV$7+ROUNDUP($K20, 0)*(AV$7*(AV$7+1)/2),
 AV$7*$J20+(AV$7*(AV$7+1)/2)*$K20)</f>
        <v>0</v>
      </c>
      <c r="AV20" s="1514">
        <f t="shared" si="33"/>
        <v>0</v>
      </c>
      <c r="AW20" s="3145">
        <f t="shared" si="12"/>
        <v>0</v>
      </c>
      <c r="AX20" s="1513">
        <f>IF(Quanti!$O$54="OUI",
ROUNDUP($J20, 0)*AY$7+ROUNDUP($K20, 0)*(AY$7*(AY$7+1)/2),
 AY$7*$J20+(AY$7*(AY$7+1)/2)*$K20)</f>
        <v>0</v>
      </c>
      <c r="AY20" s="1514">
        <f t="shared" si="34"/>
        <v>0</v>
      </c>
      <c r="AZ20" s="3145">
        <f t="shared" si="13"/>
        <v>0</v>
      </c>
      <c r="BA20" s="1513">
        <f>IF(Quanti!$O$54="OUI",
ROUNDUP($J20, 0)*BB$7+ROUNDUP($K20, 0)*(BB$7*(BB$7+1)/2),
 BB$7*$J20+(BB$7*(BB$7+1)/2)*$K20)</f>
        <v>0</v>
      </c>
      <c r="BB20" s="1514">
        <f t="shared" si="35"/>
        <v>0</v>
      </c>
      <c r="BC20" s="3145">
        <f t="shared" si="14"/>
        <v>0</v>
      </c>
      <c r="BD20" s="1513">
        <f>IF(Quanti!$O$54="OUI",
ROUNDUP($J20, 0)*BE$7+ROUNDUP($K20, 0)*(BE$7*(BE$7+1)/2),
 BE$7*$J20+(BE$7*(BE$7+1)/2)*$K20)</f>
        <v>0</v>
      </c>
      <c r="BE20" s="1514">
        <f t="shared" si="36"/>
        <v>0</v>
      </c>
      <c r="BF20" s="3145">
        <f t="shared" si="15"/>
        <v>0</v>
      </c>
      <c r="BG20" s="1513">
        <f>IF(Quanti!$O$54="OUI",
ROUNDUP($J20, 0)*BH$7+ROUNDUP($K20, 0)*(BH$7*(BH$7+1)/2),
 BH$7*$J20+(BH$7*(BH$7+1)/2)*$K20)</f>
        <v>0</v>
      </c>
      <c r="BH20" s="1514">
        <f t="shared" si="37"/>
        <v>0</v>
      </c>
      <c r="BI20" s="3145">
        <f t="shared" si="16"/>
        <v>0</v>
      </c>
      <c r="BJ20" s="1513">
        <f>IF(Quanti!$O$54="OUI",
ROUNDUP($J20, 0)*BK$7+ROUNDUP($K20, 0)*(BK$7*(BK$7+1)/2),
 BK$7*$J20+(BK$7*(BK$7+1)/2)*$K20)</f>
        <v>0</v>
      </c>
      <c r="BK20" s="1514">
        <f t="shared" si="38"/>
        <v>0</v>
      </c>
      <c r="BL20" s="3145">
        <f t="shared" si="17"/>
        <v>0</v>
      </c>
      <c r="BM20" s="1513">
        <f>IF(Quanti!$O$54="OUI",
ROUNDUP($J20, 0)*BN$7+ROUNDUP($K20, 0)*(BN$7*(BN$7+1)/2),
 BN$7*$J20+(BN$7*(BN$7+1)/2)*$K20)</f>
        <v>0</v>
      </c>
      <c r="BN20" s="1514">
        <f t="shared" si="39"/>
        <v>0</v>
      </c>
      <c r="BO20" s="3145">
        <f t="shared" si="18"/>
        <v>0</v>
      </c>
      <c r="BP20" s="1513">
        <f>IF(Quanti!$O$54="OUI",
ROUNDUP($J20, 0)*BQ$7+ROUNDUP($K20, 0)*(BQ$7*(BQ$7+1)/2),
 BQ$7*$J20+(BQ$7*(BQ$7+1)/2)*$K20)</f>
        <v>0</v>
      </c>
      <c r="BQ20" s="1514">
        <f t="shared" si="40"/>
        <v>0</v>
      </c>
      <c r="BR20" s="3145">
        <f t="shared" si="19"/>
        <v>0</v>
      </c>
      <c r="BS20" s="1513">
        <f>IF(Quanti!$O$54="OUI",
ROUNDUP($J20, 0)*BT$7+ROUNDUP($K20, 0)*(BT$7*(BT$7+1)/2),
 BT$7*$J20+(BT$7*(BT$7+1)/2)*$K20)</f>
        <v>0</v>
      </c>
      <c r="BT20" s="1514">
        <f t="shared" si="41"/>
        <v>0</v>
      </c>
      <c r="BU20" s="3145">
        <f t="shared" si="20"/>
        <v>0</v>
      </c>
      <c r="BV20" s="1513">
        <f>IF(Quanti!$O$54="OUI",
ROUNDUP($J20, 0)*BW$7+ROUNDUP($K20, 0)*(BW$7*(BW$7+1)/2),
 BW$7*$J20+(BW$7*(BW$7+1)/2)*$K20)</f>
        <v>0</v>
      </c>
      <c r="BW20" s="1514">
        <f t="shared" si="42"/>
        <v>0</v>
      </c>
      <c r="BX20" s="3145">
        <f t="shared" si="21"/>
        <v>0</v>
      </c>
    </row>
    <row r="21" spans="2:76" ht="38.25" x14ac:dyDescent="0.2">
      <c r="B21" s="37"/>
      <c r="C21" s="123"/>
      <c r="D21" s="1660" t="str">
        <f>'Saisie données stocks'!F31</f>
        <v>TDF+3TC+EFV</v>
      </c>
      <c r="E21" s="1661" t="str">
        <f>'Saisie données stocks'!G31</f>
        <v>Cp</v>
      </c>
      <c r="F21" s="1661" t="str">
        <f>'Saisie données stocks'!H31</f>
        <v>300/200/600 mg</v>
      </c>
      <c r="G21" s="89" t="str">
        <f>'Saisie données stocks'!I31</f>
        <v>Tenofovir+ Lamivudine+ Efavirenz</v>
      </c>
      <c r="H21" s="115">
        <f>'Saisie données stocks'!L31</f>
        <v>30</v>
      </c>
      <c r="I21" s="331"/>
      <c r="J21" s="3150">
        <f>IF(Quanti!$D$9="X", 'Calculs dispo Données FA'!N137, IF(Quanti!$D$10="X", 'Calculs dispo Données conso'!N139, "0"))</f>
        <v>0</v>
      </c>
      <c r="K21" s="3148">
        <f>IF(Quanti!$D$9="X", 'Calculs dispo Données FA'!O137, IF(Quanti!$D$10="X", 'Calculs dispo Données conso'!O139, "0"))</f>
        <v>0</v>
      </c>
      <c r="L21" s="3151">
        <f>Calculs!O444</f>
        <v>2712</v>
      </c>
      <c r="M21" s="3140">
        <f t="shared" si="22"/>
        <v>0</v>
      </c>
      <c r="N21" s="3140">
        <f t="shared" si="0"/>
        <v>2712</v>
      </c>
      <c r="O21" s="1513">
        <f>IF(Quanti!$O$54="OUI",
ROUNDUP(J21, 0)*(Quanti!$N$19+Quanti!$N$25)+ROUNDUP(K21, 0)*((Quanti!$N$19+Quanti!$N$25)*((Quanti!$N$19+Quanti!$N$25)+1)/2),
 J21*(Quanti!$N$19+Quanti!$N$25)+K21*((Quanti!$N$19+Quanti!$N$25)*((Quanti!$N$19+Quanti!$N$25)+1)/2))-M21</f>
        <v>0</v>
      </c>
      <c r="P21" s="3145">
        <f t="shared" si="23"/>
        <v>0</v>
      </c>
      <c r="Q21" s="1513">
        <f>IF(Quanti!$O$54="OUI",
ROUNDUP($J21, 0)*R$7+ROUNDUP($K21, 0)*(R$7*(R$7+1)/2),
 R$7*$J21+(R$7*(R$7+1)/2)*$K21)</f>
        <v>0</v>
      </c>
      <c r="R21" s="1511">
        <f t="shared" si="1"/>
        <v>0</v>
      </c>
      <c r="S21" s="3145">
        <f t="shared" si="2"/>
        <v>0</v>
      </c>
      <c r="T21" s="1513">
        <f>IF(Quanti!$O$54="OUI",
ROUNDUP($J21, 0)*U$7+ROUNDUP($K21, 0)*(U$7*(U$7+1)/2),
 U$7*$J21+(U$7*(U$7+1)/2)*$K21)</f>
        <v>0</v>
      </c>
      <c r="U21" s="1514">
        <f t="shared" si="24"/>
        <v>0</v>
      </c>
      <c r="V21" s="3145">
        <f t="shared" si="3"/>
        <v>0</v>
      </c>
      <c r="W21" s="1513">
        <f>IF(Quanti!$O$54="OUI",
ROUNDUP($J21, 0)*X$7+ROUNDUP($K21, 0)*(X$7*(X$7+1)/2),
 X$7*$J21+(X$7*(X$7+1)/2)*$K21)</f>
        <v>0</v>
      </c>
      <c r="X21" s="1514">
        <f t="shared" si="25"/>
        <v>0</v>
      </c>
      <c r="Y21" s="3145">
        <f t="shared" si="4"/>
        <v>0</v>
      </c>
      <c r="Z21" s="1513">
        <f>IF(Quanti!$O$54="OUI",
ROUNDUP($J21, 0)*AA$7+ROUNDUP($K21, 0)*(AA$7*(AA$7+1)/2),
 AA$7*$J21+(AA$7*(AA$7+1)/2)*$K21)</f>
        <v>0</v>
      </c>
      <c r="AA21" s="1514">
        <f t="shared" si="26"/>
        <v>0</v>
      </c>
      <c r="AB21" s="3145">
        <f t="shared" si="5"/>
        <v>0</v>
      </c>
      <c r="AC21" s="1513">
        <f>IF(Quanti!$O$54="OUI",
ROUNDUP($J21, 0)*AD$7+ROUNDUP($K21, 0)*(AD$7*(AD$7+1)/2),
 AD$7*$J21+(AD$7*(AD$7+1)/2)*$K21)</f>
        <v>0</v>
      </c>
      <c r="AD21" s="1514">
        <f t="shared" si="27"/>
        <v>0</v>
      </c>
      <c r="AE21" s="3145">
        <f t="shared" si="6"/>
        <v>0</v>
      </c>
      <c r="AF21" s="1513">
        <f>IF(Quanti!$O$54="OUI",
ROUNDUP($J21, 0)*AG$7+ROUNDUP($K21, 0)*(AG$7*(AG$7+1)/2),
 AG$7*$J21+(AG$7*(AG$7+1)/2)*$K21)</f>
        <v>0</v>
      </c>
      <c r="AG21" s="1514">
        <f t="shared" si="28"/>
        <v>0</v>
      </c>
      <c r="AH21" s="3145">
        <f t="shared" si="7"/>
        <v>0</v>
      </c>
      <c r="AI21" s="1513">
        <f>IF(Quanti!$O$54="OUI",
ROUNDUP($J21, 0)*AJ$7+ROUNDUP($K21, 0)*(AJ$7*(AJ$7+1)/2),
 AJ$7*$J21+(AJ$7*(AJ$7+1)/2)*$K21)</f>
        <v>0</v>
      </c>
      <c r="AJ21" s="1514">
        <f t="shared" si="29"/>
        <v>0</v>
      </c>
      <c r="AK21" s="3145">
        <f t="shared" si="8"/>
        <v>0</v>
      </c>
      <c r="AL21" s="1513">
        <f>IF(Quanti!$O$54="OUI",
ROUNDUP($J21, 0)*AM$7+ROUNDUP($K21, 0)*(AM$7*(AM$7+1)/2),
 AM$7*$J21+(AM$7*(AM$7+1)/2)*$K21)</f>
        <v>0</v>
      </c>
      <c r="AM21" s="1514">
        <f t="shared" si="30"/>
        <v>0</v>
      </c>
      <c r="AN21" s="3145">
        <f t="shared" si="9"/>
        <v>0</v>
      </c>
      <c r="AO21" s="1513">
        <f>IF(Quanti!$O$54="OUI",
ROUNDUP($J21, 0)*AP$7+ROUNDUP($K21, 0)*(AP$7*(AP$7+1)/2),
 AP$7*$J21+(AP$7*(AP$7+1)/2)*$K21)</f>
        <v>0</v>
      </c>
      <c r="AP21" s="1514">
        <f t="shared" si="31"/>
        <v>0</v>
      </c>
      <c r="AQ21" s="3145">
        <f t="shared" si="10"/>
        <v>0</v>
      </c>
      <c r="AR21" s="1513">
        <f>IF(Quanti!$O$54="OUI",
ROUNDUP($J21, 0)*AS$7+ROUNDUP($K21, 0)*(AS$7*(AS$7+1)/2),
 AS$7*$J21+(AS$7*(AS$7+1)/2)*$K21)</f>
        <v>0</v>
      </c>
      <c r="AS21" s="1514">
        <f t="shared" si="32"/>
        <v>0</v>
      </c>
      <c r="AT21" s="3145">
        <f t="shared" si="11"/>
        <v>0</v>
      </c>
      <c r="AU21" s="1513">
        <f>IF(Quanti!$O$54="OUI",
ROUNDUP($J21, 0)*AV$7+ROUNDUP($K21, 0)*(AV$7*(AV$7+1)/2),
 AV$7*$J21+(AV$7*(AV$7+1)/2)*$K21)</f>
        <v>0</v>
      </c>
      <c r="AV21" s="1514">
        <f t="shared" si="33"/>
        <v>0</v>
      </c>
      <c r="AW21" s="3145">
        <f t="shared" si="12"/>
        <v>0</v>
      </c>
      <c r="AX21" s="1513">
        <f>IF(Quanti!$O$54="OUI",
ROUNDUP($J21, 0)*AY$7+ROUNDUP($K21, 0)*(AY$7*(AY$7+1)/2),
 AY$7*$J21+(AY$7*(AY$7+1)/2)*$K21)</f>
        <v>0</v>
      </c>
      <c r="AY21" s="1514">
        <f t="shared" si="34"/>
        <v>0</v>
      </c>
      <c r="AZ21" s="3145">
        <f t="shared" si="13"/>
        <v>0</v>
      </c>
      <c r="BA21" s="1513">
        <f>IF(Quanti!$O$54="OUI",
ROUNDUP($J21, 0)*BB$7+ROUNDUP($K21, 0)*(BB$7*(BB$7+1)/2),
 BB$7*$J21+(BB$7*(BB$7+1)/2)*$K21)</f>
        <v>0</v>
      </c>
      <c r="BB21" s="1514">
        <f t="shared" si="35"/>
        <v>0</v>
      </c>
      <c r="BC21" s="3145">
        <f t="shared" si="14"/>
        <v>0</v>
      </c>
      <c r="BD21" s="1513">
        <f>IF(Quanti!$O$54="OUI",
ROUNDUP($J21, 0)*BE$7+ROUNDUP($K21, 0)*(BE$7*(BE$7+1)/2),
 BE$7*$J21+(BE$7*(BE$7+1)/2)*$K21)</f>
        <v>0</v>
      </c>
      <c r="BE21" s="1514">
        <f t="shared" si="36"/>
        <v>0</v>
      </c>
      <c r="BF21" s="3145">
        <f t="shared" si="15"/>
        <v>0</v>
      </c>
      <c r="BG21" s="1513">
        <f>IF(Quanti!$O$54="OUI",
ROUNDUP($J21, 0)*BH$7+ROUNDUP($K21, 0)*(BH$7*(BH$7+1)/2),
 BH$7*$J21+(BH$7*(BH$7+1)/2)*$K21)</f>
        <v>0</v>
      </c>
      <c r="BH21" s="1514">
        <f t="shared" si="37"/>
        <v>0</v>
      </c>
      <c r="BI21" s="3145">
        <f t="shared" si="16"/>
        <v>0</v>
      </c>
      <c r="BJ21" s="1513">
        <f>IF(Quanti!$O$54="OUI",
ROUNDUP($J21, 0)*BK$7+ROUNDUP($K21, 0)*(BK$7*(BK$7+1)/2),
 BK$7*$J21+(BK$7*(BK$7+1)/2)*$K21)</f>
        <v>0</v>
      </c>
      <c r="BK21" s="1514">
        <f t="shared" si="38"/>
        <v>0</v>
      </c>
      <c r="BL21" s="3145">
        <f t="shared" si="17"/>
        <v>0</v>
      </c>
      <c r="BM21" s="1513">
        <f>IF(Quanti!$O$54="OUI",
ROUNDUP($J21, 0)*BN$7+ROUNDUP($K21, 0)*(BN$7*(BN$7+1)/2),
 BN$7*$J21+(BN$7*(BN$7+1)/2)*$K21)</f>
        <v>0</v>
      </c>
      <c r="BN21" s="1514">
        <f t="shared" si="39"/>
        <v>0</v>
      </c>
      <c r="BO21" s="3145">
        <f t="shared" si="18"/>
        <v>0</v>
      </c>
      <c r="BP21" s="1513">
        <f>IF(Quanti!$O$54="OUI",
ROUNDUP($J21, 0)*BQ$7+ROUNDUP($K21, 0)*(BQ$7*(BQ$7+1)/2),
 BQ$7*$J21+(BQ$7*(BQ$7+1)/2)*$K21)</f>
        <v>0</v>
      </c>
      <c r="BQ21" s="1514">
        <f t="shared" si="40"/>
        <v>0</v>
      </c>
      <c r="BR21" s="3145">
        <f t="shared" si="19"/>
        <v>0</v>
      </c>
      <c r="BS21" s="1513">
        <f>IF(Quanti!$O$54="OUI",
ROUNDUP($J21, 0)*BT$7+ROUNDUP($K21, 0)*(BT$7*(BT$7+1)/2),
 BT$7*$J21+(BT$7*(BT$7+1)/2)*$K21)</f>
        <v>0</v>
      </c>
      <c r="BT21" s="1514">
        <f t="shared" si="41"/>
        <v>0</v>
      </c>
      <c r="BU21" s="3145">
        <f t="shared" si="20"/>
        <v>0</v>
      </c>
      <c r="BV21" s="1513">
        <f>IF(Quanti!$O$54="OUI",
ROUNDUP($J21, 0)*BW$7+ROUNDUP($K21, 0)*(BW$7*(BW$7+1)/2),
 BW$7*$J21+(BW$7*(BW$7+1)/2)*$K21)</f>
        <v>0</v>
      </c>
      <c r="BW21" s="1514">
        <f t="shared" si="42"/>
        <v>0</v>
      </c>
      <c r="BX21" s="3145">
        <f t="shared" si="21"/>
        <v>0</v>
      </c>
    </row>
    <row r="22" spans="2:76" ht="25.5" x14ac:dyDescent="0.2">
      <c r="B22" s="37"/>
      <c r="C22" s="123"/>
      <c r="D22" s="1660" t="str">
        <f>'Saisie données stocks'!F32</f>
        <v>TDF+3TC</v>
      </c>
      <c r="E22" s="1661" t="str">
        <f>'Saisie données stocks'!G32</f>
        <v>Cp</v>
      </c>
      <c r="F22" s="1661" t="str">
        <f>'Saisie données stocks'!H32</f>
        <v>300/200 mg</v>
      </c>
      <c r="G22" s="89" t="str">
        <f>'Saisie données stocks'!I32</f>
        <v>Tenofovir+ Lamivudine</v>
      </c>
      <c r="H22" s="115">
        <f>'Saisie données stocks'!L32</f>
        <v>30</v>
      </c>
      <c r="I22" s="331"/>
      <c r="J22" s="3150">
        <f>IF(Quanti!$D$9="X", 'Calculs dispo Données FA'!N138, IF(Quanti!$D$10="X", 'Calculs dispo Données conso'!N140, "0"))</f>
        <v>0</v>
      </c>
      <c r="K22" s="3148">
        <f>IF(Quanti!$D$9="X", 'Calculs dispo Données FA'!O138, IF(Quanti!$D$10="X", 'Calculs dispo Données conso'!O140, "0"))</f>
        <v>0</v>
      </c>
      <c r="L22" s="3151">
        <f>Calculs!O445</f>
        <v>0</v>
      </c>
      <c r="M22" s="3140">
        <f t="shared" si="22"/>
        <v>0</v>
      </c>
      <c r="N22" s="3140">
        <f t="shared" si="0"/>
        <v>0</v>
      </c>
      <c r="O22" s="1513">
        <f>IF(Quanti!$O$54="OUI",
ROUNDUP(J22, 0)*(Quanti!$N$19+Quanti!$N$25)+ROUNDUP(K22, 0)*((Quanti!$N$19+Quanti!$N$25)*((Quanti!$N$19+Quanti!$N$25)+1)/2),
 J22*(Quanti!$N$19+Quanti!$N$25)+K22*((Quanti!$N$19+Quanti!$N$25)*((Quanti!$N$19+Quanti!$N$25)+1)/2))-M22</f>
        <v>0</v>
      </c>
      <c r="P22" s="3145">
        <f t="shared" si="23"/>
        <v>0</v>
      </c>
      <c r="Q22" s="1513">
        <f>IF(Quanti!$O$54="OUI",
ROUNDUP($J22, 0)*R$7+ROUNDUP($K22, 0)*(R$7*(R$7+1)/2),
 R$7*$J22+(R$7*(R$7+1)/2)*$K22)</f>
        <v>0</v>
      </c>
      <c r="R22" s="1511">
        <f t="shared" si="1"/>
        <v>0</v>
      </c>
      <c r="S22" s="3145">
        <f t="shared" si="2"/>
        <v>0</v>
      </c>
      <c r="T22" s="1513">
        <f>IF(Quanti!$O$54="OUI",
ROUNDUP($J22, 0)*U$7+ROUNDUP($K22, 0)*(U$7*(U$7+1)/2),
 U$7*$J22+(U$7*(U$7+1)/2)*$K22)</f>
        <v>0</v>
      </c>
      <c r="U22" s="1514">
        <f t="shared" si="24"/>
        <v>0</v>
      </c>
      <c r="V22" s="3145">
        <f t="shared" si="3"/>
        <v>0</v>
      </c>
      <c r="W22" s="1513">
        <f>IF(Quanti!$O$54="OUI",
ROUNDUP($J22, 0)*X$7+ROUNDUP($K22, 0)*(X$7*(X$7+1)/2),
 X$7*$J22+(X$7*(X$7+1)/2)*$K22)</f>
        <v>0</v>
      </c>
      <c r="X22" s="1514">
        <f t="shared" si="25"/>
        <v>0</v>
      </c>
      <c r="Y22" s="3145">
        <f t="shared" si="4"/>
        <v>0</v>
      </c>
      <c r="Z22" s="1513">
        <f>IF(Quanti!$O$54="OUI",
ROUNDUP($J22, 0)*AA$7+ROUNDUP($K22, 0)*(AA$7*(AA$7+1)/2),
 AA$7*$J22+(AA$7*(AA$7+1)/2)*$K22)</f>
        <v>0</v>
      </c>
      <c r="AA22" s="1514">
        <f t="shared" si="26"/>
        <v>0</v>
      </c>
      <c r="AB22" s="3145">
        <f t="shared" si="5"/>
        <v>0</v>
      </c>
      <c r="AC22" s="1513">
        <f>IF(Quanti!$O$54="OUI",
ROUNDUP($J22, 0)*AD$7+ROUNDUP($K22, 0)*(AD$7*(AD$7+1)/2),
 AD$7*$J22+(AD$7*(AD$7+1)/2)*$K22)</f>
        <v>0</v>
      </c>
      <c r="AD22" s="1514">
        <f t="shared" si="27"/>
        <v>0</v>
      </c>
      <c r="AE22" s="3145">
        <f t="shared" si="6"/>
        <v>0</v>
      </c>
      <c r="AF22" s="1513">
        <f>IF(Quanti!$O$54="OUI",
ROUNDUP($J22, 0)*AG$7+ROUNDUP($K22, 0)*(AG$7*(AG$7+1)/2),
 AG$7*$J22+(AG$7*(AG$7+1)/2)*$K22)</f>
        <v>0</v>
      </c>
      <c r="AG22" s="1514">
        <f t="shared" si="28"/>
        <v>0</v>
      </c>
      <c r="AH22" s="3145">
        <f t="shared" si="7"/>
        <v>0</v>
      </c>
      <c r="AI22" s="1513">
        <f>IF(Quanti!$O$54="OUI",
ROUNDUP($J22, 0)*AJ$7+ROUNDUP($K22, 0)*(AJ$7*(AJ$7+1)/2),
 AJ$7*$J22+(AJ$7*(AJ$7+1)/2)*$K22)</f>
        <v>0</v>
      </c>
      <c r="AJ22" s="1514">
        <f t="shared" si="29"/>
        <v>0</v>
      </c>
      <c r="AK22" s="3145">
        <f t="shared" si="8"/>
        <v>0</v>
      </c>
      <c r="AL22" s="1513">
        <f>IF(Quanti!$O$54="OUI",
ROUNDUP($J22, 0)*AM$7+ROUNDUP($K22, 0)*(AM$7*(AM$7+1)/2),
 AM$7*$J22+(AM$7*(AM$7+1)/2)*$K22)</f>
        <v>0</v>
      </c>
      <c r="AM22" s="1514">
        <f t="shared" si="30"/>
        <v>0</v>
      </c>
      <c r="AN22" s="3145">
        <f t="shared" si="9"/>
        <v>0</v>
      </c>
      <c r="AO22" s="1513">
        <f>IF(Quanti!$O$54="OUI",
ROUNDUP($J22, 0)*AP$7+ROUNDUP($K22, 0)*(AP$7*(AP$7+1)/2),
 AP$7*$J22+(AP$7*(AP$7+1)/2)*$K22)</f>
        <v>0</v>
      </c>
      <c r="AP22" s="1514">
        <f t="shared" si="31"/>
        <v>0</v>
      </c>
      <c r="AQ22" s="3145">
        <f t="shared" si="10"/>
        <v>0</v>
      </c>
      <c r="AR22" s="1513">
        <f>IF(Quanti!$O$54="OUI",
ROUNDUP($J22, 0)*AS$7+ROUNDUP($K22, 0)*(AS$7*(AS$7+1)/2),
 AS$7*$J22+(AS$7*(AS$7+1)/2)*$K22)</f>
        <v>0</v>
      </c>
      <c r="AS22" s="1514">
        <f t="shared" si="32"/>
        <v>0</v>
      </c>
      <c r="AT22" s="3145">
        <f t="shared" si="11"/>
        <v>0</v>
      </c>
      <c r="AU22" s="1513">
        <f>IF(Quanti!$O$54="OUI",
ROUNDUP($J22, 0)*AV$7+ROUNDUP($K22, 0)*(AV$7*(AV$7+1)/2),
 AV$7*$J22+(AV$7*(AV$7+1)/2)*$K22)</f>
        <v>0</v>
      </c>
      <c r="AV22" s="1514">
        <f t="shared" si="33"/>
        <v>0</v>
      </c>
      <c r="AW22" s="3145">
        <f t="shared" si="12"/>
        <v>0</v>
      </c>
      <c r="AX22" s="1513">
        <f>IF(Quanti!$O$54="OUI",
ROUNDUP($J22, 0)*AY$7+ROUNDUP($K22, 0)*(AY$7*(AY$7+1)/2),
 AY$7*$J22+(AY$7*(AY$7+1)/2)*$K22)</f>
        <v>0</v>
      </c>
      <c r="AY22" s="1514">
        <f t="shared" si="34"/>
        <v>0</v>
      </c>
      <c r="AZ22" s="3145">
        <f t="shared" si="13"/>
        <v>0</v>
      </c>
      <c r="BA22" s="1513">
        <f>IF(Quanti!$O$54="OUI",
ROUNDUP($J22, 0)*BB$7+ROUNDUP($K22, 0)*(BB$7*(BB$7+1)/2),
 BB$7*$J22+(BB$7*(BB$7+1)/2)*$K22)</f>
        <v>0</v>
      </c>
      <c r="BB22" s="1514">
        <f t="shared" si="35"/>
        <v>0</v>
      </c>
      <c r="BC22" s="3145">
        <f t="shared" si="14"/>
        <v>0</v>
      </c>
      <c r="BD22" s="1513">
        <f>IF(Quanti!$O$54="OUI",
ROUNDUP($J22, 0)*BE$7+ROUNDUP($K22, 0)*(BE$7*(BE$7+1)/2),
 BE$7*$J22+(BE$7*(BE$7+1)/2)*$K22)</f>
        <v>0</v>
      </c>
      <c r="BE22" s="1514">
        <f t="shared" si="36"/>
        <v>0</v>
      </c>
      <c r="BF22" s="3145">
        <f t="shared" si="15"/>
        <v>0</v>
      </c>
      <c r="BG22" s="1513">
        <f>IF(Quanti!$O$54="OUI",
ROUNDUP($J22, 0)*BH$7+ROUNDUP($K22, 0)*(BH$7*(BH$7+1)/2),
 BH$7*$J22+(BH$7*(BH$7+1)/2)*$K22)</f>
        <v>0</v>
      </c>
      <c r="BH22" s="1514">
        <f t="shared" si="37"/>
        <v>0</v>
      </c>
      <c r="BI22" s="3145">
        <f t="shared" si="16"/>
        <v>0</v>
      </c>
      <c r="BJ22" s="1513">
        <f>IF(Quanti!$O$54="OUI",
ROUNDUP($J22, 0)*BK$7+ROUNDUP($K22, 0)*(BK$7*(BK$7+1)/2),
 BK$7*$J22+(BK$7*(BK$7+1)/2)*$K22)</f>
        <v>0</v>
      </c>
      <c r="BK22" s="1514">
        <f t="shared" si="38"/>
        <v>0</v>
      </c>
      <c r="BL22" s="3145">
        <f t="shared" si="17"/>
        <v>0</v>
      </c>
      <c r="BM22" s="1513">
        <f>IF(Quanti!$O$54="OUI",
ROUNDUP($J22, 0)*BN$7+ROUNDUP($K22, 0)*(BN$7*(BN$7+1)/2),
 BN$7*$J22+(BN$7*(BN$7+1)/2)*$K22)</f>
        <v>0</v>
      </c>
      <c r="BN22" s="1514">
        <f t="shared" si="39"/>
        <v>0</v>
      </c>
      <c r="BO22" s="3145">
        <f t="shared" si="18"/>
        <v>0</v>
      </c>
      <c r="BP22" s="1513">
        <f>IF(Quanti!$O$54="OUI",
ROUNDUP($J22, 0)*BQ$7+ROUNDUP($K22, 0)*(BQ$7*(BQ$7+1)/2),
 BQ$7*$J22+(BQ$7*(BQ$7+1)/2)*$K22)</f>
        <v>0</v>
      </c>
      <c r="BQ22" s="1514">
        <f t="shared" si="40"/>
        <v>0</v>
      </c>
      <c r="BR22" s="3145">
        <f t="shared" si="19"/>
        <v>0</v>
      </c>
      <c r="BS22" s="1513">
        <f>IF(Quanti!$O$54="OUI",
ROUNDUP($J22, 0)*BT$7+ROUNDUP($K22, 0)*(BT$7*(BT$7+1)/2),
 BT$7*$J22+(BT$7*(BT$7+1)/2)*$K22)</f>
        <v>0</v>
      </c>
      <c r="BT22" s="1514">
        <f t="shared" si="41"/>
        <v>0</v>
      </c>
      <c r="BU22" s="3145">
        <f t="shared" si="20"/>
        <v>0</v>
      </c>
      <c r="BV22" s="1513">
        <f>IF(Quanti!$O$54="OUI",
ROUNDUP($J22, 0)*BW$7+ROUNDUP($K22, 0)*(BW$7*(BW$7+1)/2),
 BW$7*$J22+(BW$7*(BW$7+1)/2)*$K22)</f>
        <v>0</v>
      </c>
      <c r="BW22" s="1514">
        <f t="shared" si="42"/>
        <v>0</v>
      </c>
      <c r="BX22" s="3145">
        <f t="shared" si="21"/>
        <v>0</v>
      </c>
    </row>
    <row r="23" spans="2:76" ht="51" x14ac:dyDescent="0.2">
      <c r="B23" s="100"/>
      <c r="C23" s="101"/>
      <c r="D23" s="1663" t="str">
        <f>'Saisie données stocks'!F33</f>
        <v>[TDF+3TC]+ATV/r</v>
      </c>
      <c r="E23" s="1664" t="str">
        <f>'Saisie données stocks'!G33</f>
        <v>Cp coblister</v>
      </c>
      <c r="F23" s="1664" t="str">
        <f>'Saisie données stocks'!H33</f>
        <v>[300/300]+300/100 mg</v>
      </c>
      <c r="G23" s="1640" t="str">
        <f>'Saisie données stocks'!I33</f>
        <v>[Tenofovir+ Lamivudine]+ Atazanavir/Ritonavir</v>
      </c>
      <c r="H23" s="116">
        <f>'Saisie données stocks'!L33</f>
        <v>30</v>
      </c>
      <c r="I23" s="333"/>
      <c r="J23" s="3150">
        <f>IF(Quanti!$D$9="X", 'Calculs dispo Données FA'!N139, IF(Quanti!$D$10="X", 'Calculs dispo Données conso'!N141, "0"))</f>
        <v>0</v>
      </c>
      <c r="K23" s="3148">
        <f>IF(Quanti!$D$9="X", 'Calculs dispo Données FA'!O139, IF(Quanti!$D$10="X", 'Calculs dispo Données conso'!O141, "0"))</f>
        <v>0</v>
      </c>
      <c r="L23" s="3151">
        <f>Calculs!O446</f>
        <v>0</v>
      </c>
      <c r="M23" s="3140">
        <f t="shared" si="22"/>
        <v>0</v>
      </c>
      <c r="N23" s="3140">
        <f t="shared" si="0"/>
        <v>0</v>
      </c>
      <c r="O23" s="1513">
        <f>IF(Quanti!$O$54="OUI",
ROUNDUP(J23, 0)*(Quanti!$N$19+Quanti!$N$25)+ROUNDUP(K23, 0)*((Quanti!$N$19+Quanti!$N$25)*((Quanti!$N$19+Quanti!$N$25)+1)/2),
 J23*(Quanti!$N$19+Quanti!$N$25)+K23*((Quanti!$N$19+Quanti!$N$25)*((Quanti!$N$19+Quanti!$N$25)+1)/2))-M23</f>
        <v>0</v>
      </c>
      <c r="P23" s="3145">
        <f t="shared" si="23"/>
        <v>0</v>
      </c>
      <c r="Q23" s="1513">
        <f>IF(Quanti!$O$54="OUI",
ROUNDUP($J23, 0)*R$7+ROUNDUP($K23, 0)*(R$7*(R$7+1)/2),
 R$7*$J23+(R$7*(R$7+1)/2)*$K23)</f>
        <v>0</v>
      </c>
      <c r="R23" s="1511">
        <f t="shared" si="1"/>
        <v>0</v>
      </c>
      <c r="S23" s="3145">
        <f t="shared" si="2"/>
        <v>0</v>
      </c>
      <c r="T23" s="1513">
        <f>IF(Quanti!$O$54="OUI",
ROUNDUP($J23, 0)*U$7+ROUNDUP($K23, 0)*(U$7*(U$7+1)/2),
 U$7*$J23+(U$7*(U$7+1)/2)*$K23)</f>
        <v>0</v>
      </c>
      <c r="U23" s="1514">
        <f t="shared" si="24"/>
        <v>0</v>
      </c>
      <c r="V23" s="3145">
        <f t="shared" si="3"/>
        <v>0</v>
      </c>
      <c r="W23" s="1513">
        <f>IF(Quanti!$O$54="OUI",
ROUNDUP($J23, 0)*X$7+ROUNDUP($K23, 0)*(X$7*(X$7+1)/2),
 X$7*$J23+(X$7*(X$7+1)/2)*$K23)</f>
        <v>0</v>
      </c>
      <c r="X23" s="1514">
        <f t="shared" si="25"/>
        <v>0</v>
      </c>
      <c r="Y23" s="3145">
        <f t="shared" si="4"/>
        <v>0</v>
      </c>
      <c r="Z23" s="1513">
        <f>IF(Quanti!$O$54="OUI",
ROUNDUP($J23, 0)*AA$7+ROUNDUP($K23, 0)*(AA$7*(AA$7+1)/2),
 AA$7*$J23+(AA$7*(AA$7+1)/2)*$K23)</f>
        <v>0</v>
      </c>
      <c r="AA23" s="1514">
        <f t="shared" si="26"/>
        <v>0</v>
      </c>
      <c r="AB23" s="3145">
        <f t="shared" si="5"/>
        <v>0</v>
      </c>
      <c r="AC23" s="1513">
        <f>IF(Quanti!$O$54="OUI",
ROUNDUP($J23, 0)*AD$7+ROUNDUP($K23, 0)*(AD$7*(AD$7+1)/2),
 AD$7*$J23+(AD$7*(AD$7+1)/2)*$K23)</f>
        <v>0</v>
      </c>
      <c r="AD23" s="1514">
        <f t="shared" si="27"/>
        <v>0</v>
      </c>
      <c r="AE23" s="3145">
        <f t="shared" si="6"/>
        <v>0</v>
      </c>
      <c r="AF23" s="1513">
        <f>IF(Quanti!$O$54="OUI",
ROUNDUP($J23, 0)*AG$7+ROUNDUP($K23, 0)*(AG$7*(AG$7+1)/2),
 AG$7*$J23+(AG$7*(AG$7+1)/2)*$K23)</f>
        <v>0</v>
      </c>
      <c r="AG23" s="1514">
        <f t="shared" si="28"/>
        <v>0</v>
      </c>
      <c r="AH23" s="3145">
        <f t="shared" si="7"/>
        <v>0</v>
      </c>
      <c r="AI23" s="1513">
        <f>IF(Quanti!$O$54="OUI",
ROUNDUP($J23, 0)*AJ$7+ROUNDUP($K23, 0)*(AJ$7*(AJ$7+1)/2),
 AJ$7*$J23+(AJ$7*(AJ$7+1)/2)*$K23)</f>
        <v>0</v>
      </c>
      <c r="AJ23" s="1514">
        <f t="shared" si="29"/>
        <v>0</v>
      </c>
      <c r="AK23" s="3145">
        <f t="shared" si="8"/>
        <v>0</v>
      </c>
      <c r="AL23" s="1513">
        <f>IF(Quanti!$O$54="OUI",
ROUNDUP($J23, 0)*AM$7+ROUNDUP($K23, 0)*(AM$7*(AM$7+1)/2),
 AM$7*$J23+(AM$7*(AM$7+1)/2)*$K23)</f>
        <v>0</v>
      </c>
      <c r="AM23" s="1514">
        <f t="shared" si="30"/>
        <v>0</v>
      </c>
      <c r="AN23" s="3145">
        <f t="shared" si="9"/>
        <v>0</v>
      </c>
      <c r="AO23" s="1513">
        <f>IF(Quanti!$O$54="OUI",
ROUNDUP($J23, 0)*AP$7+ROUNDUP($K23, 0)*(AP$7*(AP$7+1)/2),
 AP$7*$J23+(AP$7*(AP$7+1)/2)*$K23)</f>
        <v>0</v>
      </c>
      <c r="AP23" s="1514">
        <f t="shared" si="31"/>
        <v>0</v>
      </c>
      <c r="AQ23" s="3145">
        <f t="shared" si="10"/>
        <v>0</v>
      </c>
      <c r="AR23" s="1513">
        <f>IF(Quanti!$O$54="OUI",
ROUNDUP($J23, 0)*AS$7+ROUNDUP($K23, 0)*(AS$7*(AS$7+1)/2),
 AS$7*$J23+(AS$7*(AS$7+1)/2)*$K23)</f>
        <v>0</v>
      </c>
      <c r="AS23" s="1514">
        <f t="shared" si="32"/>
        <v>0</v>
      </c>
      <c r="AT23" s="3145">
        <f t="shared" si="11"/>
        <v>0</v>
      </c>
      <c r="AU23" s="1513">
        <f>IF(Quanti!$O$54="OUI",
ROUNDUP($J23, 0)*AV$7+ROUNDUP($K23, 0)*(AV$7*(AV$7+1)/2),
 AV$7*$J23+(AV$7*(AV$7+1)/2)*$K23)</f>
        <v>0</v>
      </c>
      <c r="AV23" s="1514">
        <f t="shared" si="33"/>
        <v>0</v>
      </c>
      <c r="AW23" s="3145">
        <f t="shared" si="12"/>
        <v>0</v>
      </c>
      <c r="AX23" s="1513">
        <f>IF(Quanti!$O$54="OUI",
ROUNDUP($J23, 0)*AY$7+ROUNDUP($K23, 0)*(AY$7*(AY$7+1)/2),
 AY$7*$J23+(AY$7*(AY$7+1)/2)*$K23)</f>
        <v>0</v>
      </c>
      <c r="AY23" s="1514">
        <f t="shared" si="34"/>
        <v>0</v>
      </c>
      <c r="AZ23" s="3145">
        <f t="shared" si="13"/>
        <v>0</v>
      </c>
      <c r="BA23" s="1513">
        <f>IF(Quanti!$O$54="OUI",
ROUNDUP($J23, 0)*BB$7+ROUNDUP($K23, 0)*(BB$7*(BB$7+1)/2),
 BB$7*$J23+(BB$7*(BB$7+1)/2)*$K23)</f>
        <v>0</v>
      </c>
      <c r="BB23" s="1514">
        <f t="shared" si="35"/>
        <v>0</v>
      </c>
      <c r="BC23" s="3145">
        <f t="shared" si="14"/>
        <v>0</v>
      </c>
      <c r="BD23" s="1513">
        <f>IF(Quanti!$O$54="OUI",
ROUNDUP($J23, 0)*BE$7+ROUNDUP($K23, 0)*(BE$7*(BE$7+1)/2),
 BE$7*$J23+(BE$7*(BE$7+1)/2)*$K23)</f>
        <v>0</v>
      </c>
      <c r="BE23" s="1514">
        <f t="shared" si="36"/>
        <v>0</v>
      </c>
      <c r="BF23" s="3145">
        <f t="shared" si="15"/>
        <v>0</v>
      </c>
      <c r="BG23" s="1513">
        <f>IF(Quanti!$O$54="OUI",
ROUNDUP($J23, 0)*BH$7+ROUNDUP($K23, 0)*(BH$7*(BH$7+1)/2),
 BH$7*$J23+(BH$7*(BH$7+1)/2)*$K23)</f>
        <v>0</v>
      </c>
      <c r="BH23" s="1514">
        <f t="shared" si="37"/>
        <v>0</v>
      </c>
      <c r="BI23" s="3145">
        <f t="shared" si="16"/>
        <v>0</v>
      </c>
      <c r="BJ23" s="1513">
        <f>IF(Quanti!$O$54="OUI",
ROUNDUP($J23, 0)*BK$7+ROUNDUP($K23, 0)*(BK$7*(BK$7+1)/2),
 BK$7*$J23+(BK$7*(BK$7+1)/2)*$K23)</f>
        <v>0</v>
      </c>
      <c r="BK23" s="1514">
        <f t="shared" si="38"/>
        <v>0</v>
      </c>
      <c r="BL23" s="3145">
        <f t="shared" si="17"/>
        <v>0</v>
      </c>
      <c r="BM23" s="1513">
        <f>IF(Quanti!$O$54="OUI",
ROUNDUP($J23, 0)*BN$7+ROUNDUP($K23, 0)*(BN$7*(BN$7+1)/2),
 BN$7*$J23+(BN$7*(BN$7+1)/2)*$K23)</f>
        <v>0</v>
      </c>
      <c r="BN23" s="1514">
        <f t="shared" si="39"/>
        <v>0</v>
      </c>
      <c r="BO23" s="3145">
        <f t="shared" si="18"/>
        <v>0</v>
      </c>
      <c r="BP23" s="1513">
        <f>IF(Quanti!$O$54="OUI",
ROUNDUP($J23, 0)*BQ$7+ROUNDUP($K23, 0)*(BQ$7*(BQ$7+1)/2),
 BQ$7*$J23+(BQ$7*(BQ$7+1)/2)*$K23)</f>
        <v>0</v>
      </c>
      <c r="BQ23" s="1514">
        <f t="shared" si="40"/>
        <v>0</v>
      </c>
      <c r="BR23" s="3145">
        <f t="shared" si="19"/>
        <v>0</v>
      </c>
      <c r="BS23" s="1513">
        <f>IF(Quanti!$O$54="OUI",
ROUNDUP($J23, 0)*BT$7+ROUNDUP($K23, 0)*(BT$7*(BT$7+1)/2),
 BT$7*$J23+(BT$7*(BT$7+1)/2)*$K23)</f>
        <v>0</v>
      </c>
      <c r="BT23" s="1514">
        <f t="shared" si="41"/>
        <v>0</v>
      </c>
      <c r="BU23" s="3145">
        <f t="shared" si="20"/>
        <v>0</v>
      </c>
      <c r="BV23" s="1513">
        <f>IF(Quanti!$O$54="OUI",
ROUNDUP($J23, 0)*BW$7+ROUNDUP($K23, 0)*(BW$7*(BW$7+1)/2),
 BW$7*$J23+(BW$7*(BW$7+1)/2)*$K23)</f>
        <v>0</v>
      </c>
      <c r="BW23" s="1514">
        <f t="shared" si="42"/>
        <v>0</v>
      </c>
      <c r="BX23" s="3145">
        <f t="shared" si="21"/>
        <v>0</v>
      </c>
    </row>
    <row r="24" spans="2:76" x14ac:dyDescent="0.2">
      <c r="B24" s="37"/>
      <c r="C24" s="98" t="str">
        <f>'Saisie données stocks'!$E$34</f>
        <v>INNTI</v>
      </c>
      <c r="D24" s="1658" t="str">
        <f>'Saisie données stocks'!F34</f>
        <v>EFV</v>
      </c>
      <c r="E24" s="1659" t="str">
        <f>'Saisie données stocks'!G34</f>
        <v>Gél</v>
      </c>
      <c r="F24" s="1659" t="str">
        <f>'Saisie données stocks'!H34</f>
        <v>50 mg</v>
      </c>
      <c r="G24" s="89" t="str">
        <f>'Saisie données stocks'!I34</f>
        <v>Efavirenz</v>
      </c>
      <c r="H24" s="114">
        <f>'Saisie données stocks'!L34</f>
        <v>30</v>
      </c>
      <c r="I24" s="330"/>
      <c r="J24" s="3150">
        <f>IF(Quanti!$D$9="X", 'Calculs dispo Données FA'!N140, IF(Quanti!$D$10="X", 'Calculs dispo Données conso'!N142, "0"))</f>
        <v>0</v>
      </c>
      <c r="K24" s="3148">
        <f>IF(Quanti!$D$9="X", 'Calculs dispo Données FA'!O140, IF(Quanti!$D$10="X", 'Calculs dispo Données conso'!O142, "0"))</f>
        <v>0</v>
      </c>
      <c r="L24" s="3151">
        <f>Calculs!O447</f>
        <v>0</v>
      </c>
      <c r="M24" s="3140">
        <f t="shared" si="22"/>
        <v>0</v>
      </c>
      <c r="N24" s="3140">
        <f t="shared" si="0"/>
        <v>0</v>
      </c>
      <c r="O24" s="1513">
        <f>IF(Quanti!$O$54="OUI",
ROUNDUP(J24, 0)*(Quanti!$N$19+Quanti!$N$25)+ROUNDUP(K24, 0)*((Quanti!$N$19+Quanti!$N$25)*((Quanti!$N$19+Quanti!$N$25)+1)/2),
 J24*(Quanti!$N$19+Quanti!$N$25)+K24*((Quanti!$N$19+Quanti!$N$25)*((Quanti!$N$19+Quanti!$N$25)+1)/2))-M24</f>
        <v>0</v>
      </c>
      <c r="P24" s="3145">
        <f t="shared" si="23"/>
        <v>0</v>
      </c>
      <c r="Q24" s="1513">
        <f>IF(Quanti!$O$54="OUI",
ROUNDUP($J24, 0)*R$7+ROUNDUP($K24, 0)*(R$7*(R$7+1)/2),
 R$7*$J24+(R$7*(R$7+1)/2)*$K24)</f>
        <v>0</v>
      </c>
      <c r="R24" s="1511">
        <f t="shared" si="1"/>
        <v>0</v>
      </c>
      <c r="S24" s="3145">
        <f t="shared" si="2"/>
        <v>0</v>
      </c>
      <c r="T24" s="1513">
        <f>IF(Quanti!$O$54="OUI",
ROUNDUP($J24, 0)*U$7+ROUNDUP($K24, 0)*(U$7*(U$7+1)/2),
 U$7*$J24+(U$7*(U$7+1)/2)*$K24)</f>
        <v>0</v>
      </c>
      <c r="U24" s="1514">
        <f t="shared" si="24"/>
        <v>0</v>
      </c>
      <c r="V24" s="3145">
        <f t="shared" si="3"/>
        <v>0</v>
      </c>
      <c r="W24" s="1513">
        <f>IF(Quanti!$O$54="OUI",
ROUNDUP($J24, 0)*X$7+ROUNDUP($K24, 0)*(X$7*(X$7+1)/2),
 X$7*$J24+(X$7*(X$7+1)/2)*$K24)</f>
        <v>0</v>
      </c>
      <c r="X24" s="1514">
        <f t="shared" si="25"/>
        <v>0</v>
      </c>
      <c r="Y24" s="3145">
        <f t="shared" si="4"/>
        <v>0</v>
      </c>
      <c r="Z24" s="1513">
        <f>IF(Quanti!$O$54="OUI",
ROUNDUP($J24, 0)*AA$7+ROUNDUP($K24, 0)*(AA$7*(AA$7+1)/2),
 AA$7*$J24+(AA$7*(AA$7+1)/2)*$K24)</f>
        <v>0</v>
      </c>
      <c r="AA24" s="1514">
        <f t="shared" si="26"/>
        <v>0</v>
      </c>
      <c r="AB24" s="3145">
        <f t="shared" si="5"/>
        <v>0</v>
      </c>
      <c r="AC24" s="1513">
        <f>IF(Quanti!$O$54="OUI",
ROUNDUP($J24, 0)*AD$7+ROUNDUP($K24, 0)*(AD$7*(AD$7+1)/2),
 AD$7*$J24+(AD$7*(AD$7+1)/2)*$K24)</f>
        <v>0</v>
      </c>
      <c r="AD24" s="1514">
        <f t="shared" si="27"/>
        <v>0</v>
      </c>
      <c r="AE24" s="3145">
        <f t="shared" si="6"/>
        <v>0</v>
      </c>
      <c r="AF24" s="1513">
        <f>IF(Quanti!$O$54="OUI",
ROUNDUP($J24, 0)*AG$7+ROUNDUP($K24, 0)*(AG$7*(AG$7+1)/2),
 AG$7*$J24+(AG$7*(AG$7+1)/2)*$K24)</f>
        <v>0</v>
      </c>
      <c r="AG24" s="1514">
        <f t="shared" si="28"/>
        <v>0</v>
      </c>
      <c r="AH24" s="3145">
        <f t="shared" si="7"/>
        <v>0</v>
      </c>
      <c r="AI24" s="1513">
        <f>IF(Quanti!$O$54="OUI",
ROUNDUP($J24, 0)*AJ$7+ROUNDUP($K24, 0)*(AJ$7*(AJ$7+1)/2),
 AJ$7*$J24+(AJ$7*(AJ$7+1)/2)*$K24)</f>
        <v>0</v>
      </c>
      <c r="AJ24" s="1514">
        <f t="shared" si="29"/>
        <v>0</v>
      </c>
      <c r="AK24" s="3145">
        <f t="shared" si="8"/>
        <v>0</v>
      </c>
      <c r="AL24" s="1513">
        <f>IF(Quanti!$O$54="OUI",
ROUNDUP($J24, 0)*AM$7+ROUNDUP($K24, 0)*(AM$7*(AM$7+1)/2),
 AM$7*$J24+(AM$7*(AM$7+1)/2)*$K24)</f>
        <v>0</v>
      </c>
      <c r="AM24" s="1514">
        <f t="shared" si="30"/>
        <v>0</v>
      </c>
      <c r="AN24" s="3145">
        <f t="shared" si="9"/>
        <v>0</v>
      </c>
      <c r="AO24" s="1513">
        <f>IF(Quanti!$O$54="OUI",
ROUNDUP($J24, 0)*AP$7+ROUNDUP($K24, 0)*(AP$7*(AP$7+1)/2),
 AP$7*$J24+(AP$7*(AP$7+1)/2)*$K24)</f>
        <v>0</v>
      </c>
      <c r="AP24" s="1514">
        <f t="shared" si="31"/>
        <v>0</v>
      </c>
      <c r="AQ24" s="3145">
        <f t="shared" si="10"/>
        <v>0</v>
      </c>
      <c r="AR24" s="1513">
        <f>IF(Quanti!$O$54="OUI",
ROUNDUP($J24, 0)*AS$7+ROUNDUP($K24, 0)*(AS$7*(AS$7+1)/2),
 AS$7*$J24+(AS$7*(AS$7+1)/2)*$K24)</f>
        <v>0</v>
      </c>
      <c r="AS24" s="1514">
        <f t="shared" si="32"/>
        <v>0</v>
      </c>
      <c r="AT24" s="3145">
        <f t="shared" si="11"/>
        <v>0</v>
      </c>
      <c r="AU24" s="1513">
        <f>IF(Quanti!$O$54="OUI",
ROUNDUP($J24, 0)*AV$7+ROUNDUP($K24, 0)*(AV$7*(AV$7+1)/2),
 AV$7*$J24+(AV$7*(AV$7+1)/2)*$K24)</f>
        <v>0</v>
      </c>
      <c r="AV24" s="1514">
        <f t="shared" si="33"/>
        <v>0</v>
      </c>
      <c r="AW24" s="3145">
        <f t="shared" si="12"/>
        <v>0</v>
      </c>
      <c r="AX24" s="1513">
        <f>IF(Quanti!$O$54="OUI",
ROUNDUP($J24, 0)*AY$7+ROUNDUP($K24, 0)*(AY$7*(AY$7+1)/2),
 AY$7*$J24+(AY$7*(AY$7+1)/2)*$K24)</f>
        <v>0</v>
      </c>
      <c r="AY24" s="1514">
        <f t="shared" si="34"/>
        <v>0</v>
      </c>
      <c r="AZ24" s="3145">
        <f t="shared" si="13"/>
        <v>0</v>
      </c>
      <c r="BA24" s="1513">
        <f>IF(Quanti!$O$54="OUI",
ROUNDUP($J24, 0)*BB$7+ROUNDUP($K24, 0)*(BB$7*(BB$7+1)/2),
 BB$7*$J24+(BB$7*(BB$7+1)/2)*$K24)</f>
        <v>0</v>
      </c>
      <c r="BB24" s="1514">
        <f t="shared" si="35"/>
        <v>0</v>
      </c>
      <c r="BC24" s="3145">
        <f t="shared" si="14"/>
        <v>0</v>
      </c>
      <c r="BD24" s="1513">
        <f>IF(Quanti!$O$54="OUI",
ROUNDUP($J24, 0)*BE$7+ROUNDUP($K24, 0)*(BE$7*(BE$7+1)/2),
 BE$7*$J24+(BE$7*(BE$7+1)/2)*$K24)</f>
        <v>0</v>
      </c>
      <c r="BE24" s="1514">
        <f t="shared" si="36"/>
        <v>0</v>
      </c>
      <c r="BF24" s="3145">
        <f t="shared" si="15"/>
        <v>0</v>
      </c>
      <c r="BG24" s="1513">
        <f>IF(Quanti!$O$54="OUI",
ROUNDUP($J24, 0)*BH$7+ROUNDUP($K24, 0)*(BH$7*(BH$7+1)/2),
 BH$7*$J24+(BH$7*(BH$7+1)/2)*$K24)</f>
        <v>0</v>
      </c>
      <c r="BH24" s="1514">
        <f t="shared" si="37"/>
        <v>0</v>
      </c>
      <c r="BI24" s="3145">
        <f t="shared" si="16"/>
        <v>0</v>
      </c>
      <c r="BJ24" s="1513">
        <f>IF(Quanti!$O$54="OUI",
ROUNDUP($J24, 0)*BK$7+ROUNDUP($K24, 0)*(BK$7*(BK$7+1)/2),
 BK$7*$J24+(BK$7*(BK$7+1)/2)*$K24)</f>
        <v>0</v>
      </c>
      <c r="BK24" s="1514">
        <f t="shared" si="38"/>
        <v>0</v>
      </c>
      <c r="BL24" s="3145">
        <f t="shared" si="17"/>
        <v>0</v>
      </c>
      <c r="BM24" s="1513">
        <f>IF(Quanti!$O$54="OUI",
ROUNDUP($J24, 0)*BN$7+ROUNDUP($K24, 0)*(BN$7*(BN$7+1)/2),
 BN$7*$J24+(BN$7*(BN$7+1)/2)*$K24)</f>
        <v>0</v>
      </c>
      <c r="BN24" s="1514">
        <f t="shared" si="39"/>
        <v>0</v>
      </c>
      <c r="BO24" s="3145">
        <f t="shared" si="18"/>
        <v>0</v>
      </c>
      <c r="BP24" s="1513">
        <f>IF(Quanti!$O$54="OUI",
ROUNDUP($J24, 0)*BQ$7+ROUNDUP($K24, 0)*(BQ$7*(BQ$7+1)/2),
 BQ$7*$J24+(BQ$7*(BQ$7+1)/2)*$K24)</f>
        <v>0</v>
      </c>
      <c r="BQ24" s="1514">
        <f t="shared" si="40"/>
        <v>0</v>
      </c>
      <c r="BR24" s="3145">
        <f t="shared" si="19"/>
        <v>0</v>
      </c>
      <c r="BS24" s="1513">
        <f>IF(Quanti!$O$54="OUI",
ROUNDUP($J24, 0)*BT$7+ROUNDUP($K24, 0)*(BT$7*(BT$7+1)/2),
 BT$7*$J24+(BT$7*(BT$7+1)/2)*$K24)</f>
        <v>0</v>
      </c>
      <c r="BT24" s="1514">
        <f t="shared" si="41"/>
        <v>0</v>
      </c>
      <c r="BU24" s="3145">
        <f t="shared" si="20"/>
        <v>0</v>
      </c>
      <c r="BV24" s="1513">
        <f>IF(Quanti!$O$54="OUI",
ROUNDUP($J24, 0)*BW$7+ROUNDUP($K24, 0)*(BW$7*(BW$7+1)/2),
 BW$7*$J24+(BW$7*(BW$7+1)/2)*$K24)</f>
        <v>0</v>
      </c>
      <c r="BW24" s="1514">
        <f t="shared" si="42"/>
        <v>0</v>
      </c>
      <c r="BX24" s="3145">
        <f t="shared" si="21"/>
        <v>0</v>
      </c>
    </row>
    <row r="25" spans="2:76" x14ac:dyDescent="0.2">
      <c r="B25" s="37"/>
      <c r="C25" s="98"/>
      <c r="D25" s="1660" t="str">
        <f>'Saisie données stocks'!F35</f>
        <v>EFV</v>
      </c>
      <c r="E25" s="1661" t="str">
        <f>'Saisie données stocks'!G35</f>
        <v>Gél</v>
      </c>
      <c r="F25" s="1661" t="str">
        <f>'Saisie données stocks'!H35</f>
        <v>200 mg</v>
      </c>
      <c r="G25" s="89" t="str">
        <f>'Saisie données stocks'!I35</f>
        <v>Efavirenz</v>
      </c>
      <c r="H25" s="115">
        <f>'Saisie données stocks'!L35</f>
        <v>90</v>
      </c>
      <c r="I25" s="331"/>
      <c r="J25" s="3150">
        <f>IF(Quanti!$D$9="X", 'Calculs dispo Données FA'!N141, IF(Quanti!$D$10="X", 'Calculs dispo Données conso'!N143, "0"))</f>
        <v>0</v>
      </c>
      <c r="K25" s="3148">
        <f>IF(Quanti!$D$9="X", 'Calculs dispo Données FA'!O141, IF(Quanti!$D$10="X", 'Calculs dispo Données conso'!O143, "0"))</f>
        <v>0</v>
      </c>
      <c r="L25" s="3151">
        <f>Calculs!O448</f>
        <v>108</v>
      </c>
      <c r="M25" s="3140">
        <f t="shared" si="22"/>
        <v>0</v>
      </c>
      <c r="N25" s="3140">
        <f t="shared" si="0"/>
        <v>108</v>
      </c>
      <c r="O25" s="1513">
        <f>IF(Quanti!$O$54="OUI",
ROUNDUP(J25, 0)*(Quanti!$N$19+Quanti!$N$25)+ROUNDUP(K25, 0)*((Quanti!$N$19+Quanti!$N$25)*((Quanti!$N$19+Quanti!$N$25)+1)/2),
 J25*(Quanti!$N$19+Quanti!$N$25)+K25*((Quanti!$N$19+Quanti!$N$25)*((Quanti!$N$19+Quanti!$N$25)+1)/2))-M25</f>
        <v>0</v>
      </c>
      <c r="P25" s="3145">
        <f t="shared" si="23"/>
        <v>0</v>
      </c>
      <c r="Q25" s="1513">
        <f>IF(Quanti!$O$54="OUI",
ROUNDUP($J25, 0)*R$7+ROUNDUP($K25, 0)*(R$7*(R$7+1)/2),
 R$7*$J25+(R$7*(R$7+1)/2)*$K25)</f>
        <v>0</v>
      </c>
      <c r="R25" s="1511">
        <f t="shared" si="1"/>
        <v>0</v>
      </c>
      <c r="S25" s="3145">
        <f t="shared" si="2"/>
        <v>0</v>
      </c>
      <c r="T25" s="1513">
        <f>IF(Quanti!$O$54="OUI",
ROUNDUP($J25, 0)*U$7+ROUNDUP($K25, 0)*(U$7*(U$7+1)/2),
 U$7*$J25+(U$7*(U$7+1)/2)*$K25)</f>
        <v>0</v>
      </c>
      <c r="U25" s="1514">
        <f t="shared" si="24"/>
        <v>0</v>
      </c>
      <c r="V25" s="3145">
        <f t="shared" si="3"/>
        <v>0</v>
      </c>
      <c r="W25" s="1513">
        <f>IF(Quanti!$O$54="OUI",
ROUNDUP($J25, 0)*X$7+ROUNDUP($K25, 0)*(X$7*(X$7+1)/2),
 X$7*$J25+(X$7*(X$7+1)/2)*$K25)</f>
        <v>0</v>
      </c>
      <c r="X25" s="1514">
        <f t="shared" si="25"/>
        <v>0</v>
      </c>
      <c r="Y25" s="3145">
        <f t="shared" si="4"/>
        <v>0</v>
      </c>
      <c r="Z25" s="1513">
        <f>IF(Quanti!$O$54="OUI",
ROUNDUP($J25, 0)*AA$7+ROUNDUP($K25, 0)*(AA$7*(AA$7+1)/2),
 AA$7*$J25+(AA$7*(AA$7+1)/2)*$K25)</f>
        <v>0</v>
      </c>
      <c r="AA25" s="1514">
        <f t="shared" si="26"/>
        <v>0</v>
      </c>
      <c r="AB25" s="3145">
        <f t="shared" si="5"/>
        <v>0</v>
      </c>
      <c r="AC25" s="1513">
        <f>IF(Quanti!$O$54="OUI",
ROUNDUP($J25, 0)*AD$7+ROUNDUP($K25, 0)*(AD$7*(AD$7+1)/2),
 AD$7*$J25+(AD$7*(AD$7+1)/2)*$K25)</f>
        <v>0</v>
      </c>
      <c r="AD25" s="1514">
        <f t="shared" si="27"/>
        <v>0</v>
      </c>
      <c r="AE25" s="3145">
        <f t="shared" si="6"/>
        <v>0</v>
      </c>
      <c r="AF25" s="1513">
        <f>IF(Quanti!$O$54="OUI",
ROUNDUP($J25, 0)*AG$7+ROUNDUP($K25, 0)*(AG$7*(AG$7+1)/2),
 AG$7*$J25+(AG$7*(AG$7+1)/2)*$K25)</f>
        <v>0</v>
      </c>
      <c r="AG25" s="1514">
        <f t="shared" si="28"/>
        <v>0</v>
      </c>
      <c r="AH25" s="3145">
        <f t="shared" si="7"/>
        <v>0</v>
      </c>
      <c r="AI25" s="1513">
        <f>IF(Quanti!$O$54="OUI",
ROUNDUP($J25, 0)*AJ$7+ROUNDUP($K25, 0)*(AJ$7*(AJ$7+1)/2),
 AJ$7*$J25+(AJ$7*(AJ$7+1)/2)*$K25)</f>
        <v>0</v>
      </c>
      <c r="AJ25" s="1514">
        <f t="shared" si="29"/>
        <v>0</v>
      </c>
      <c r="AK25" s="3145">
        <f t="shared" si="8"/>
        <v>0</v>
      </c>
      <c r="AL25" s="1513">
        <f>IF(Quanti!$O$54="OUI",
ROUNDUP($J25, 0)*AM$7+ROUNDUP($K25, 0)*(AM$7*(AM$7+1)/2),
 AM$7*$J25+(AM$7*(AM$7+1)/2)*$K25)</f>
        <v>0</v>
      </c>
      <c r="AM25" s="1514">
        <f t="shared" si="30"/>
        <v>0</v>
      </c>
      <c r="AN25" s="3145">
        <f t="shared" si="9"/>
        <v>0</v>
      </c>
      <c r="AO25" s="1513">
        <f>IF(Quanti!$O$54="OUI",
ROUNDUP($J25, 0)*AP$7+ROUNDUP($K25, 0)*(AP$7*(AP$7+1)/2),
 AP$7*$J25+(AP$7*(AP$7+1)/2)*$K25)</f>
        <v>0</v>
      </c>
      <c r="AP25" s="1514">
        <f t="shared" si="31"/>
        <v>0</v>
      </c>
      <c r="AQ25" s="3145">
        <f t="shared" si="10"/>
        <v>0</v>
      </c>
      <c r="AR25" s="1513">
        <f>IF(Quanti!$O$54="OUI",
ROUNDUP($J25, 0)*AS$7+ROUNDUP($K25, 0)*(AS$7*(AS$7+1)/2),
 AS$7*$J25+(AS$7*(AS$7+1)/2)*$K25)</f>
        <v>0</v>
      </c>
      <c r="AS25" s="1514">
        <f t="shared" si="32"/>
        <v>0</v>
      </c>
      <c r="AT25" s="3145">
        <f t="shared" si="11"/>
        <v>0</v>
      </c>
      <c r="AU25" s="1513">
        <f>IF(Quanti!$O$54="OUI",
ROUNDUP($J25, 0)*AV$7+ROUNDUP($K25, 0)*(AV$7*(AV$7+1)/2),
 AV$7*$J25+(AV$7*(AV$7+1)/2)*$K25)</f>
        <v>0</v>
      </c>
      <c r="AV25" s="1514">
        <f t="shared" si="33"/>
        <v>0</v>
      </c>
      <c r="AW25" s="3145">
        <f t="shared" si="12"/>
        <v>0</v>
      </c>
      <c r="AX25" s="1513">
        <f>IF(Quanti!$O$54="OUI",
ROUNDUP($J25, 0)*AY$7+ROUNDUP($K25, 0)*(AY$7*(AY$7+1)/2),
 AY$7*$J25+(AY$7*(AY$7+1)/2)*$K25)</f>
        <v>0</v>
      </c>
      <c r="AY25" s="1514">
        <f t="shared" si="34"/>
        <v>0</v>
      </c>
      <c r="AZ25" s="3145">
        <f t="shared" si="13"/>
        <v>0</v>
      </c>
      <c r="BA25" s="1513">
        <f>IF(Quanti!$O$54="OUI",
ROUNDUP($J25, 0)*BB$7+ROUNDUP($K25, 0)*(BB$7*(BB$7+1)/2),
 BB$7*$J25+(BB$7*(BB$7+1)/2)*$K25)</f>
        <v>0</v>
      </c>
      <c r="BB25" s="1514">
        <f t="shared" si="35"/>
        <v>0</v>
      </c>
      <c r="BC25" s="3145">
        <f t="shared" si="14"/>
        <v>0</v>
      </c>
      <c r="BD25" s="1513">
        <f>IF(Quanti!$O$54="OUI",
ROUNDUP($J25, 0)*BE$7+ROUNDUP($K25, 0)*(BE$7*(BE$7+1)/2),
 BE$7*$J25+(BE$7*(BE$7+1)/2)*$K25)</f>
        <v>0</v>
      </c>
      <c r="BE25" s="1514">
        <f t="shared" si="36"/>
        <v>0</v>
      </c>
      <c r="BF25" s="3145">
        <f t="shared" si="15"/>
        <v>0</v>
      </c>
      <c r="BG25" s="1513">
        <f>IF(Quanti!$O$54="OUI",
ROUNDUP($J25, 0)*BH$7+ROUNDUP($K25, 0)*(BH$7*(BH$7+1)/2),
 BH$7*$J25+(BH$7*(BH$7+1)/2)*$K25)</f>
        <v>0</v>
      </c>
      <c r="BH25" s="1514">
        <f t="shared" si="37"/>
        <v>0</v>
      </c>
      <c r="BI25" s="3145">
        <f t="shared" si="16"/>
        <v>0</v>
      </c>
      <c r="BJ25" s="1513">
        <f>IF(Quanti!$O$54="OUI",
ROUNDUP($J25, 0)*BK$7+ROUNDUP($K25, 0)*(BK$7*(BK$7+1)/2),
 BK$7*$J25+(BK$7*(BK$7+1)/2)*$K25)</f>
        <v>0</v>
      </c>
      <c r="BK25" s="1514">
        <f t="shared" si="38"/>
        <v>0</v>
      </c>
      <c r="BL25" s="3145">
        <f t="shared" si="17"/>
        <v>0</v>
      </c>
      <c r="BM25" s="1513">
        <f>IF(Quanti!$O$54="OUI",
ROUNDUP($J25, 0)*BN$7+ROUNDUP($K25, 0)*(BN$7*(BN$7+1)/2),
 BN$7*$J25+(BN$7*(BN$7+1)/2)*$K25)</f>
        <v>0</v>
      </c>
      <c r="BN25" s="1514">
        <f t="shared" si="39"/>
        <v>0</v>
      </c>
      <c r="BO25" s="3145">
        <f t="shared" si="18"/>
        <v>0</v>
      </c>
      <c r="BP25" s="1513">
        <f>IF(Quanti!$O$54="OUI",
ROUNDUP($J25, 0)*BQ$7+ROUNDUP($K25, 0)*(BQ$7*(BQ$7+1)/2),
 BQ$7*$J25+(BQ$7*(BQ$7+1)/2)*$K25)</f>
        <v>0</v>
      </c>
      <c r="BQ25" s="1514">
        <f t="shared" si="40"/>
        <v>0</v>
      </c>
      <c r="BR25" s="3145">
        <f t="shared" si="19"/>
        <v>0</v>
      </c>
      <c r="BS25" s="1513">
        <f>IF(Quanti!$O$54="OUI",
ROUNDUP($J25, 0)*BT$7+ROUNDUP($K25, 0)*(BT$7*(BT$7+1)/2),
 BT$7*$J25+(BT$7*(BT$7+1)/2)*$K25)</f>
        <v>0</v>
      </c>
      <c r="BT25" s="1514">
        <f t="shared" si="41"/>
        <v>0</v>
      </c>
      <c r="BU25" s="3145">
        <f t="shared" si="20"/>
        <v>0</v>
      </c>
      <c r="BV25" s="1513">
        <f>IF(Quanti!$O$54="OUI",
ROUNDUP($J25, 0)*BW$7+ROUNDUP($K25, 0)*(BW$7*(BW$7+1)/2),
 BW$7*$J25+(BW$7*(BW$7+1)/2)*$K25)</f>
        <v>0</v>
      </c>
      <c r="BW25" s="1514">
        <f t="shared" si="42"/>
        <v>0</v>
      </c>
      <c r="BX25" s="3145">
        <f t="shared" si="21"/>
        <v>0</v>
      </c>
    </row>
    <row r="26" spans="2:76" x14ac:dyDescent="0.2">
      <c r="B26" s="37"/>
      <c r="C26" s="98"/>
      <c r="D26" s="1665" t="str">
        <f>'Saisie données stocks'!F36</f>
        <v>EFV</v>
      </c>
      <c r="E26" s="1666" t="str">
        <f>'Saisie données stocks'!G36</f>
        <v>Cp</v>
      </c>
      <c r="F26" s="1662" t="str">
        <f>'Saisie données stocks'!H36</f>
        <v>600 mg</v>
      </c>
      <c r="G26" s="89" t="str">
        <f>'Saisie données stocks'!I36</f>
        <v>Efavirenz</v>
      </c>
      <c r="H26" s="117">
        <f>'Saisie données stocks'!L36</f>
        <v>30</v>
      </c>
      <c r="I26" s="334"/>
      <c r="J26" s="3150">
        <f>IF(Quanti!$D$9="X", 'Calculs dispo Données FA'!N142, IF(Quanti!$D$10="X", 'Calculs dispo Données conso'!N144, "0"))</f>
        <v>0</v>
      </c>
      <c r="K26" s="3148">
        <f>IF(Quanti!$D$9="X", 'Calculs dispo Données FA'!O142, IF(Quanti!$D$10="X", 'Calculs dispo Données conso'!O144, "0"))</f>
        <v>0</v>
      </c>
      <c r="L26" s="3151">
        <f>Calculs!O449</f>
        <v>2210</v>
      </c>
      <c r="M26" s="3140">
        <f t="shared" si="22"/>
        <v>0</v>
      </c>
      <c r="N26" s="3140">
        <f t="shared" si="0"/>
        <v>2210</v>
      </c>
      <c r="O26" s="1513">
        <f>IF(Quanti!$O$54="OUI",
ROUNDUP(J26, 0)*(Quanti!$N$19+Quanti!$N$25)+ROUNDUP(K26, 0)*((Quanti!$N$19+Quanti!$N$25)*((Quanti!$N$19+Quanti!$N$25)+1)/2),
 J26*(Quanti!$N$19+Quanti!$N$25)+K26*((Quanti!$N$19+Quanti!$N$25)*((Quanti!$N$19+Quanti!$N$25)+1)/2))-M26</f>
        <v>0</v>
      </c>
      <c r="P26" s="3145">
        <f t="shared" si="23"/>
        <v>0</v>
      </c>
      <c r="Q26" s="1513">
        <f>IF(Quanti!$O$54="OUI",
ROUNDUP($J26, 0)*R$7+ROUNDUP($K26, 0)*(R$7*(R$7+1)/2),
 R$7*$J26+(R$7*(R$7+1)/2)*$K26)</f>
        <v>0</v>
      </c>
      <c r="R26" s="1511">
        <f t="shared" si="1"/>
        <v>0</v>
      </c>
      <c r="S26" s="3145">
        <f t="shared" si="2"/>
        <v>0</v>
      </c>
      <c r="T26" s="1513">
        <f>IF(Quanti!$O$54="OUI",
ROUNDUP($J26, 0)*U$7+ROUNDUP($K26, 0)*(U$7*(U$7+1)/2),
 U$7*$J26+(U$7*(U$7+1)/2)*$K26)</f>
        <v>0</v>
      </c>
      <c r="U26" s="1514">
        <f t="shared" si="24"/>
        <v>0</v>
      </c>
      <c r="V26" s="3145">
        <f t="shared" si="3"/>
        <v>0</v>
      </c>
      <c r="W26" s="1513">
        <f>IF(Quanti!$O$54="OUI",
ROUNDUP($J26, 0)*X$7+ROUNDUP($K26, 0)*(X$7*(X$7+1)/2),
 X$7*$J26+(X$7*(X$7+1)/2)*$K26)</f>
        <v>0</v>
      </c>
      <c r="X26" s="1514">
        <f t="shared" si="25"/>
        <v>0</v>
      </c>
      <c r="Y26" s="3145">
        <f t="shared" si="4"/>
        <v>0</v>
      </c>
      <c r="Z26" s="1513">
        <f>IF(Quanti!$O$54="OUI",
ROUNDUP($J26, 0)*AA$7+ROUNDUP($K26, 0)*(AA$7*(AA$7+1)/2),
 AA$7*$J26+(AA$7*(AA$7+1)/2)*$K26)</f>
        <v>0</v>
      </c>
      <c r="AA26" s="1514">
        <f t="shared" si="26"/>
        <v>0</v>
      </c>
      <c r="AB26" s="3145">
        <f t="shared" si="5"/>
        <v>0</v>
      </c>
      <c r="AC26" s="1513">
        <f>IF(Quanti!$O$54="OUI",
ROUNDUP($J26, 0)*AD$7+ROUNDUP($K26, 0)*(AD$7*(AD$7+1)/2),
 AD$7*$J26+(AD$7*(AD$7+1)/2)*$K26)</f>
        <v>0</v>
      </c>
      <c r="AD26" s="1514">
        <f t="shared" si="27"/>
        <v>0</v>
      </c>
      <c r="AE26" s="3145">
        <f t="shared" si="6"/>
        <v>0</v>
      </c>
      <c r="AF26" s="1513">
        <f>IF(Quanti!$O$54="OUI",
ROUNDUP($J26, 0)*AG$7+ROUNDUP($K26, 0)*(AG$7*(AG$7+1)/2),
 AG$7*$J26+(AG$7*(AG$7+1)/2)*$K26)</f>
        <v>0</v>
      </c>
      <c r="AG26" s="1514">
        <f t="shared" si="28"/>
        <v>0</v>
      </c>
      <c r="AH26" s="3145">
        <f t="shared" si="7"/>
        <v>0</v>
      </c>
      <c r="AI26" s="1513">
        <f>IF(Quanti!$O$54="OUI",
ROUNDUP($J26, 0)*AJ$7+ROUNDUP($K26, 0)*(AJ$7*(AJ$7+1)/2),
 AJ$7*$J26+(AJ$7*(AJ$7+1)/2)*$K26)</f>
        <v>0</v>
      </c>
      <c r="AJ26" s="1514">
        <f t="shared" si="29"/>
        <v>0</v>
      </c>
      <c r="AK26" s="3145">
        <f t="shared" si="8"/>
        <v>0</v>
      </c>
      <c r="AL26" s="1513">
        <f>IF(Quanti!$O$54="OUI",
ROUNDUP($J26, 0)*AM$7+ROUNDUP($K26, 0)*(AM$7*(AM$7+1)/2),
 AM$7*$J26+(AM$7*(AM$7+1)/2)*$K26)</f>
        <v>0</v>
      </c>
      <c r="AM26" s="1514">
        <f t="shared" si="30"/>
        <v>0</v>
      </c>
      <c r="AN26" s="3145">
        <f t="shared" si="9"/>
        <v>0</v>
      </c>
      <c r="AO26" s="1513">
        <f>IF(Quanti!$O$54="OUI",
ROUNDUP($J26, 0)*AP$7+ROUNDUP($K26, 0)*(AP$7*(AP$7+1)/2),
 AP$7*$J26+(AP$7*(AP$7+1)/2)*$K26)</f>
        <v>0</v>
      </c>
      <c r="AP26" s="1514">
        <f t="shared" si="31"/>
        <v>0</v>
      </c>
      <c r="AQ26" s="3145">
        <f t="shared" si="10"/>
        <v>0</v>
      </c>
      <c r="AR26" s="1513">
        <f>IF(Quanti!$O$54="OUI",
ROUNDUP($J26, 0)*AS$7+ROUNDUP($K26, 0)*(AS$7*(AS$7+1)/2),
 AS$7*$J26+(AS$7*(AS$7+1)/2)*$K26)</f>
        <v>0</v>
      </c>
      <c r="AS26" s="1514">
        <f t="shared" si="32"/>
        <v>0</v>
      </c>
      <c r="AT26" s="3145">
        <f t="shared" si="11"/>
        <v>0</v>
      </c>
      <c r="AU26" s="1513">
        <f>IF(Quanti!$O$54="OUI",
ROUNDUP($J26, 0)*AV$7+ROUNDUP($K26, 0)*(AV$7*(AV$7+1)/2),
 AV$7*$J26+(AV$7*(AV$7+1)/2)*$K26)</f>
        <v>0</v>
      </c>
      <c r="AV26" s="1514">
        <f t="shared" si="33"/>
        <v>0</v>
      </c>
      <c r="AW26" s="3145">
        <f t="shared" si="12"/>
        <v>0</v>
      </c>
      <c r="AX26" s="1513">
        <f>IF(Quanti!$O$54="OUI",
ROUNDUP($J26, 0)*AY$7+ROUNDUP($K26, 0)*(AY$7*(AY$7+1)/2),
 AY$7*$J26+(AY$7*(AY$7+1)/2)*$K26)</f>
        <v>0</v>
      </c>
      <c r="AY26" s="1514">
        <f t="shared" si="34"/>
        <v>0</v>
      </c>
      <c r="AZ26" s="3145">
        <f t="shared" si="13"/>
        <v>0</v>
      </c>
      <c r="BA26" s="1513">
        <f>IF(Quanti!$O$54="OUI",
ROUNDUP($J26, 0)*BB$7+ROUNDUP($K26, 0)*(BB$7*(BB$7+1)/2),
 BB$7*$J26+(BB$7*(BB$7+1)/2)*$K26)</f>
        <v>0</v>
      </c>
      <c r="BB26" s="1514">
        <f t="shared" si="35"/>
        <v>0</v>
      </c>
      <c r="BC26" s="3145">
        <f t="shared" si="14"/>
        <v>0</v>
      </c>
      <c r="BD26" s="1513">
        <f>IF(Quanti!$O$54="OUI",
ROUNDUP($J26, 0)*BE$7+ROUNDUP($K26, 0)*(BE$7*(BE$7+1)/2),
 BE$7*$J26+(BE$7*(BE$7+1)/2)*$K26)</f>
        <v>0</v>
      </c>
      <c r="BE26" s="1514">
        <f t="shared" si="36"/>
        <v>0</v>
      </c>
      <c r="BF26" s="3145">
        <f t="shared" si="15"/>
        <v>0</v>
      </c>
      <c r="BG26" s="1513">
        <f>IF(Quanti!$O$54="OUI",
ROUNDUP($J26, 0)*BH$7+ROUNDUP($K26, 0)*(BH$7*(BH$7+1)/2),
 BH$7*$J26+(BH$7*(BH$7+1)/2)*$K26)</f>
        <v>0</v>
      </c>
      <c r="BH26" s="1514">
        <f t="shared" si="37"/>
        <v>0</v>
      </c>
      <c r="BI26" s="3145">
        <f t="shared" si="16"/>
        <v>0</v>
      </c>
      <c r="BJ26" s="1513">
        <f>IF(Quanti!$O$54="OUI",
ROUNDUP($J26, 0)*BK$7+ROUNDUP($K26, 0)*(BK$7*(BK$7+1)/2),
 BK$7*$J26+(BK$7*(BK$7+1)/2)*$K26)</f>
        <v>0</v>
      </c>
      <c r="BK26" s="1514">
        <f t="shared" si="38"/>
        <v>0</v>
      </c>
      <c r="BL26" s="3145">
        <f t="shared" si="17"/>
        <v>0</v>
      </c>
      <c r="BM26" s="1513">
        <f>IF(Quanti!$O$54="OUI",
ROUNDUP($J26, 0)*BN$7+ROUNDUP($K26, 0)*(BN$7*(BN$7+1)/2),
 BN$7*$J26+(BN$7*(BN$7+1)/2)*$K26)</f>
        <v>0</v>
      </c>
      <c r="BN26" s="1514">
        <f t="shared" si="39"/>
        <v>0</v>
      </c>
      <c r="BO26" s="3145">
        <f t="shared" si="18"/>
        <v>0</v>
      </c>
      <c r="BP26" s="1513">
        <f>IF(Quanti!$O$54="OUI",
ROUNDUP($J26, 0)*BQ$7+ROUNDUP($K26, 0)*(BQ$7*(BQ$7+1)/2),
 BQ$7*$J26+(BQ$7*(BQ$7+1)/2)*$K26)</f>
        <v>0</v>
      </c>
      <c r="BQ26" s="1514">
        <f t="shared" si="40"/>
        <v>0</v>
      </c>
      <c r="BR26" s="3145">
        <f t="shared" si="19"/>
        <v>0</v>
      </c>
      <c r="BS26" s="1513">
        <f>IF(Quanti!$O$54="OUI",
ROUNDUP($J26, 0)*BT$7+ROUNDUP($K26, 0)*(BT$7*(BT$7+1)/2),
 BT$7*$J26+(BT$7*(BT$7+1)/2)*$K26)</f>
        <v>0</v>
      </c>
      <c r="BT26" s="1514">
        <f t="shared" si="41"/>
        <v>0</v>
      </c>
      <c r="BU26" s="3145">
        <f t="shared" si="20"/>
        <v>0</v>
      </c>
      <c r="BV26" s="1513">
        <f>IF(Quanti!$O$54="OUI",
ROUNDUP($J26, 0)*BW$7+ROUNDUP($K26, 0)*(BW$7*(BW$7+1)/2),
 BW$7*$J26+(BW$7*(BW$7+1)/2)*$K26)</f>
        <v>0</v>
      </c>
      <c r="BW26" s="1514">
        <f t="shared" si="42"/>
        <v>0</v>
      </c>
      <c r="BX26" s="3145">
        <f t="shared" si="21"/>
        <v>0</v>
      </c>
    </row>
    <row r="27" spans="2:76" x14ac:dyDescent="0.2">
      <c r="B27" s="37"/>
      <c r="C27" s="98"/>
      <c r="D27" s="1667" t="str">
        <f>'Saisie données stocks'!F37</f>
        <v>ETV</v>
      </c>
      <c r="E27" s="1668" t="str">
        <f>'Saisie données stocks'!G37</f>
        <v>Cp</v>
      </c>
      <c r="F27" s="1662" t="str">
        <f>'Saisie données stocks'!H37</f>
        <v>200 mg</v>
      </c>
      <c r="G27" s="89" t="str">
        <f>'Saisie données stocks'!I37</f>
        <v>Etravirine</v>
      </c>
      <c r="H27" s="1386">
        <f>'Saisie données stocks'!L37</f>
        <v>60</v>
      </c>
      <c r="I27" s="1387"/>
      <c r="J27" s="3150">
        <f>IF(Quanti!$D$9="X", 'Calculs dispo Données FA'!N143, IF(Quanti!$D$10="X", 'Calculs dispo Données conso'!N145, "0"))</f>
        <v>0</v>
      </c>
      <c r="K27" s="3148">
        <f>IF(Quanti!$D$9="X", 'Calculs dispo Données FA'!O143, IF(Quanti!$D$10="X", 'Calculs dispo Données conso'!O145, "0"))</f>
        <v>0</v>
      </c>
      <c r="L27" s="3151">
        <f>Calculs!O450</f>
        <v>0</v>
      </c>
      <c r="M27" s="3140">
        <f t="shared" si="22"/>
        <v>0</v>
      </c>
      <c r="N27" s="3140">
        <f t="shared" si="0"/>
        <v>0</v>
      </c>
      <c r="O27" s="1513">
        <f>IF(Quanti!$O$54="OUI",
ROUNDUP(J27, 0)*(Quanti!$N$19+Quanti!$N$25)+ROUNDUP(K27, 0)*((Quanti!$N$19+Quanti!$N$25)*((Quanti!$N$19+Quanti!$N$25)+1)/2),
 J27*(Quanti!$N$19+Quanti!$N$25)+K27*((Quanti!$N$19+Quanti!$N$25)*((Quanti!$N$19+Quanti!$N$25)+1)/2))-M27</f>
        <v>0</v>
      </c>
      <c r="P27" s="3145">
        <f t="shared" si="23"/>
        <v>0</v>
      </c>
      <c r="Q27" s="1513">
        <f>IF(Quanti!$O$54="OUI",
ROUNDUP($J27, 0)*R$7+ROUNDUP($K27, 0)*(R$7*(R$7+1)/2),
 R$7*$J27+(R$7*(R$7+1)/2)*$K27)</f>
        <v>0</v>
      </c>
      <c r="R27" s="1511">
        <f t="shared" si="1"/>
        <v>0</v>
      </c>
      <c r="S27" s="3145">
        <f t="shared" si="2"/>
        <v>0</v>
      </c>
      <c r="T27" s="1513">
        <f>IF(Quanti!$O$54="OUI",
ROUNDUP($J27, 0)*U$7+ROUNDUP($K27, 0)*(U$7*(U$7+1)/2),
 U$7*$J27+(U$7*(U$7+1)/2)*$K27)</f>
        <v>0</v>
      </c>
      <c r="U27" s="1514">
        <f t="shared" si="24"/>
        <v>0</v>
      </c>
      <c r="V27" s="3145">
        <f t="shared" si="3"/>
        <v>0</v>
      </c>
      <c r="W27" s="1513">
        <f>IF(Quanti!$O$54="OUI",
ROUNDUP($J27, 0)*X$7+ROUNDUP($K27, 0)*(X$7*(X$7+1)/2),
 X$7*$J27+(X$7*(X$7+1)/2)*$K27)</f>
        <v>0</v>
      </c>
      <c r="X27" s="1514">
        <f t="shared" si="25"/>
        <v>0</v>
      </c>
      <c r="Y27" s="3145">
        <f t="shared" si="4"/>
        <v>0</v>
      </c>
      <c r="Z27" s="1513">
        <f>IF(Quanti!$O$54="OUI",
ROUNDUP($J27, 0)*AA$7+ROUNDUP($K27, 0)*(AA$7*(AA$7+1)/2),
 AA$7*$J27+(AA$7*(AA$7+1)/2)*$K27)</f>
        <v>0</v>
      </c>
      <c r="AA27" s="1514">
        <f t="shared" si="26"/>
        <v>0</v>
      </c>
      <c r="AB27" s="3145">
        <f t="shared" si="5"/>
        <v>0</v>
      </c>
      <c r="AC27" s="1513">
        <f>IF(Quanti!$O$54="OUI",
ROUNDUP($J27, 0)*AD$7+ROUNDUP($K27, 0)*(AD$7*(AD$7+1)/2),
 AD$7*$J27+(AD$7*(AD$7+1)/2)*$K27)</f>
        <v>0</v>
      </c>
      <c r="AD27" s="1514">
        <f t="shared" si="27"/>
        <v>0</v>
      </c>
      <c r="AE27" s="3145">
        <f t="shared" si="6"/>
        <v>0</v>
      </c>
      <c r="AF27" s="1513">
        <f>IF(Quanti!$O$54="OUI",
ROUNDUP($J27, 0)*AG$7+ROUNDUP($K27, 0)*(AG$7*(AG$7+1)/2),
 AG$7*$J27+(AG$7*(AG$7+1)/2)*$K27)</f>
        <v>0</v>
      </c>
      <c r="AG27" s="1514">
        <f t="shared" si="28"/>
        <v>0</v>
      </c>
      <c r="AH27" s="3145">
        <f t="shared" si="7"/>
        <v>0</v>
      </c>
      <c r="AI27" s="1513">
        <f>IF(Quanti!$O$54="OUI",
ROUNDUP($J27, 0)*AJ$7+ROUNDUP($K27, 0)*(AJ$7*(AJ$7+1)/2),
 AJ$7*$J27+(AJ$7*(AJ$7+1)/2)*$K27)</f>
        <v>0</v>
      </c>
      <c r="AJ27" s="1514">
        <f t="shared" si="29"/>
        <v>0</v>
      </c>
      <c r="AK27" s="3145">
        <f t="shared" si="8"/>
        <v>0</v>
      </c>
      <c r="AL27" s="1513">
        <f>IF(Quanti!$O$54="OUI",
ROUNDUP($J27, 0)*AM$7+ROUNDUP($K27, 0)*(AM$7*(AM$7+1)/2),
 AM$7*$J27+(AM$7*(AM$7+1)/2)*$K27)</f>
        <v>0</v>
      </c>
      <c r="AM27" s="1514">
        <f t="shared" si="30"/>
        <v>0</v>
      </c>
      <c r="AN27" s="3145">
        <f t="shared" si="9"/>
        <v>0</v>
      </c>
      <c r="AO27" s="1513">
        <f>IF(Quanti!$O$54="OUI",
ROUNDUP($J27, 0)*AP$7+ROUNDUP($K27, 0)*(AP$7*(AP$7+1)/2),
 AP$7*$J27+(AP$7*(AP$7+1)/2)*$K27)</f>
        <v>0</v>
      </c>
      <c r="AP27" s="1514">
        <f t="shared" si="31"/>
        <v>0</v>
      </c>
      <c r="AQ27" s="3145">
        <f t="shared" si="10"/>
        <v>0</v>
      </c>
      <c r="AR27" s="1513">
        <f>IF(Quanti!$O$54="OUI",
ROUNDUP($J27, 0)*AS$7+ROUNDUP($K27, 0)*(AS$7*(AS$7+1)/2),
 AS$7*$J27+(AS$7*(AS$7+1)/2)*$K27)</f>
        <v>0</v>
      </c>
      <c r="AS27" s="1514">
        <f t="shared" si="32"/>
        <v>0</v>
      </c>
      <c r="AT27" s="3145">
        <f t="shared" si="11"/>
        <v>0</v>
      </c>
      <c r="AU27" s="1513">
        <f>IF(Quanti!$O$54="OUI",
ROUNDUP($J27, 0)*AV$7+ROUNDUP($K27, 0)*(AV$7*(AV$7+1)/2),
 AV$7*$J27+(AV$7*(AV$7+1)/2)*$K27)</f>
        <v>0</v>
      </c>
      <c r="AV27" s="1514">
        <f t="shared" si="33"/>
        <v>0</v>
      </c>
      <c r="AW27" s="3145">
        <f t="shared" si="12"/>
        <v>0</v>
      </c>
      <c r="AX27" s="1513">
        <f>IF(Quanti!$O$54="OUI",
ROUNDUP($J27, 0)*AY$7+ROUNDUP($K27, 0)*(AY$7*(AY$7+1)/2),
 AY$7*$J27+(AY$7*(AY$7+1)/2)*$K27)</f>
        <v>0</v>
      </c>
      <c r="AY27" s="1514">
        <f t="shared" si="34"/>
        <v>0</v>
      </c>
      <c r="AZ27" s="3145">
        <f t="shared" si="13"/>
        <v>0</v>
      </c>
      <c r="BA27" s="1513">
        <f>IF(Quanti!$O$54="OUI",
ROUNDUP($J27, 0)*BB$7+ROUNDUP($K27, 0)*(BB$7*(BB$7+1)/2),
 BB$7*$J27+(BB$7*(BB$7+1)/2)*$K27)</f>
        <v>0</v>
      </c>
      <c r="BB27" s="1514">
        <f t="shared" si="35"/>
        <v>0</v>
      </c>
      <c r="BC27" s="3145">
        <f t="shared" si="14"/>
        <v>0</v>
      </c>
      <c r="BD27" s="1513">
        <f>IF(Quanti!$O$54="OUI",
ROUNDUP($J27, 0)*BE$7+ROUNDUP($K27, 0)*(BE$7*(BE$7+1)/2),
 BE$7*$J27+(BE$7*(BE$7+1)/2)*$K27)</f>
        <v>0</v>
      </c>
      <c r="BE27" s="1514">
        <f t="shared" si="36"/>
        <v>0</v>
      </c>
      <c r="BF27" s="3145">
        <f t="shared" si="15"/>
        <v>0</v>
      </c>
      <c r="BG27" s="1513">
        <f>IF(Quanti!$O$54="OUI",
ROUNDUP($J27, 0)*BH$7+ROUNDUP($K27, 0)*(BH$7*(BH$7+1)/2),
 BH$7*$J27+(BH$7*(BH$7+1)/2)*$K27)</f>
        <v>0</v>
      </c>
      <c r="BH27" s="1514">
        <f t="shared" si="37"/>
        <v>0</v>
      </c>
      <c r="BI27" s="3145">
        <f t="shared" si="16"/>
        <v>0</v>
      </c>
      <c r="BJ27" s="1513">
        <f>IF(Quanti!$O$54="OUI",
ROUNDUP($J27, 0)*BK$7+ROUNDUP($K27, 0)*(BK$7*(BK$7+1)/2),
 BK$7*$J27+(BK$7*(BK$7+1)/2)*$K27)</f>
        <v>0</v>
      </c>
      <c r="BK27" s="1514">
        <f t="shared" si="38"/>
        <v>0</v>
      </c>
      <c r="BL27" s="3145">
        <f t="shared" si="17"/>
        <v>0</v>
      </c>
      <c r="BM27" s="1513">
        <f>IF(Quanti!$O$54="OUI",
ROUNDUP($J27, 0)*BN$7+ROUNDUP($K27, 0)*(BN$7*(BN$7+1)/2),
 BN$7*$J27+(BN$7*(BN$7+1)/2)*$K27)</f>
        <v>0</v>
      </c>
      <c r="BN27" s="1514">
        <f t="shared" si="39"/>
        <v>0</v>
      </c>
      <c r="BO27" s="3145">
        <f t="shared" si="18"/>
        <v>0</v>
      </c>
      <c r="BP27" s="1513">
        <f>IF(Quanti!$O$54="OUI",
ROUNDUP($J27, 0)*BQ$7+ROUNDUP($K27, 0)*(BQ$7*(BQ$7+1)/2),
 BQ$7*$J27+(BQ$7*(BQ$7+1)/2)*$K27)</f>
        <v>0</v>
      </c>
      <c r="BQ27" s="1514">
        <f t="shared" si="40"/>
        <v>0</v>
      </c>
      <c r="BR27" s="3145">
        <f t="shared" si="19"/>
        <v>0</v>
      </c>
      <c r="BS27" s="1513">
        <f>IF(Quanti!$O$54="OUI",
ROUNDUP($J27, 0)*BT$7+ROUNDUP($K27, 0)*(BT$7*(BT$7+1)/2),
 BT$7*$J27+(BT$7*(BT$7+1)/2)*$K27)</f>
        <v>0</v>
      </c>
      <c r="BT27" s="1514">
        <f t="shared" si="41"/>
        <v>0</v>
      </c>
      <c r="BU27" s="3145">
        <f t="shared" si="20"/>
        <v>0</v>
      </c>
      <c r="BV27" s="1513">
        <f>IF(Quanti!$O$54="OUI",
ROUNDUP($J27, 0)*BW$7+ROUNDUP($K27, 0)*(BW$7*(BW$7+1)/2),
 BW$7*$J27+(BW$7*(BW$7+1)/2)*$K27)</f>
        <v>0</v>
      </c>
      <c r="BW27" s="1514">
        <f t="shared" si="42"/>
        <v>0</v>
      </c>
      <c r="BX27" s="3145">
        <f t="shared" si="21"/>
        <v>0</v>
      </c>
    </row>
    <row r="28" spans="2:76" x14ac:dyDescent="0.2">
      <c r="B28" s="37"/>
      <c r="C28" s="123"/>
      <c r="D28" s="1660" t="str">
        <f>'Saisie données stocks'!F38</f>
        <v>NVP</v>
      </c>
      <c r="E28" s="1661" t="str">
        <f>'Saisie données stocks'!G38</f>
        <v>Cp</v>
      </c>
      <c r="F28" s="1671" t="str">
        <f>'Saisie données stocks'!H38</f>
        <v>200 mg</v>
      </c>
      <c r="G28" s="377" t="str">
        <f>'Saisie données stocks'!I38</f>
        <v>Nevirapine</v>
      </c>
      <c r="H28" s="115">
        <f>'Saisie données stocks'!L38</f>
        <v>60</v>
      </c>
      <c r="I28" s="331"/>
      <c r="J28" s="3150">
        <f>IF(Quanti!$D$9="X", 'Calculs dispo Données FA'!N144, IF(Quanti!$D$10="X", 'Calculs dispo Données conso'!N146, "0"))</f>
        <v>0</v>
      </c>
      <c r="K28" s="3148">
        <f>IF(Quanti!$D$9="X", 'Calculs dispo Données FA'!O144, IF(Quanti!$D$10="X", 'Calculs dispo Données conso'!O146, "0"))</f>
        <v>0</v>
      </c>
      <c r="L28" s="3151">
        <f>Calculs!O451</f>
        <v>0</v>
      </c>
      <c r="M28" s="3140">
        <f t="shared" si="22"/>
        <v>0</v>
      </c>
      <c r="N28" s="3140">
        <f t="shared" si="0"/>
        <v>0</v>
      </c>
      <c r="O28" s="1513">
        <f>IF(Quanti!$O$54="OUI",
ROUNDUP(J28, 0)*(Quanti!$N$19+Quanti!$N$25)+ROUNDUP(K28, 0)*((Quanti!$N$19+Quanti!$N$25)*((Quanti!$N$19+Quanti!$N$25)+1)/2),
 J28*(Quanti!$N$19+Quanti!$N$25)+K28*((Quanti!$N$19+Quanti!$N$25)*((Quanti!$N$19+Quanti!$N$25)+1)/2))-M28</f>
        <v>0</v>
      </c>
      <c r="P28" s="3145">
        <f t="shared" si="23"/>
        <v>0</v>
      </c>
      <c r="Q28" s="1513">
        <f>IF(Quanti!$O$54="OUI",
ROUNDUP($J28, 0)*R$7+ROUNDUP($K28, 0)*(R$7*(R$7+1)/2),
 R$7*$J28+(R$7*(R$7+1)/2)*$K28)</f>
        <v>0</v>
      </c>
      <c r="R28" s="1511">
        <f t="shared" si="1"/>
        <v>0</v>
      </c>
      <c r="S28" s="3145">
        <f t="shared" si="2"/>
        <v>0</v>
      </c>
      <c r="T28" s="1513">
        <f>IF(Quanti!$O$54="OUI",
ROUNDUP($J28, 0)*U$7+ROUNDUP($K28, 0)*(U$7*(U$7+1)/2),
 U$7*$J28+(U$7*(U$7+1)/2)*$K28)</f>
        <v>0</v>
      </c>
      <c r="U28" s="1514">
        <f t="shared" si="24"/>
        <v>0</v>
      </c>
      <c r="V28" s="3145">
        <f t="shared" si="3"/>
        <v>0</v>
      </c>
      <c r="W28" s="1513">
        <f>IF(Quanti!$O$54="OUI",
ROUNDUP($J28, 0)*X$7+ROUNDUP($K28, 0)*(X$7*(X$7+1)/2),
 X$7*$J28+(X$7*(X$7+1)/2)*$K28)</f>
        <v>0</v>
      </c>
      <c r="X28" s="1514">
        <f t="shared" si="25"/>
        <v>0</v>
      </c>
      <c r="Y28" s="3145">
        <f t="shared" si="4"/>
        <v>0</v>
      </c>
      <c r="Z28" s="1513">
        <f>IF(Quanti!$O$54="OUI",
ROUNDUP($J28, 0)*AA$7+ROUNDUP($K28, 0)*(AA$7*(AA$7+1)/2),
 AA$7*$J28+(AA$7*(AA$7+1)/2)*$K28)</f>
        <v>0</v>
      </c>
      <c r="AA28" s="1514">
        <f t="shared" si="26"/>
        <v>0</v>
      </c>
      <c r="AB28" s="3145">
        <f t="shared" si="5"/>
        <v>0</v>
      </c>
      <c r="AC28" s="1513">
        <f>IF(Quanti!$O$54="OUI",
ROUNDUP($J28, 0)*AD$7+ROUNDUP($K28, 0)*(AD$7*(AD$7+1)/2),
 AD$7*$J28+(AD$7*(AD$7+1)/2)*$K28)</f>
        <v>0</v>
      </c>
      <c r="AD28" s="1514">
        <f t="shared" si="27"/>
        <v>0</v>
      </c>
      <c r="AE28" s="3145">
        <f t="shared" si="6"/>
        <v>0</v>
      </c>
      <c r="AF28" s="1513">
        <f>IF(Quanti!$O$54="OUI",
ROUNDUP($J28, 0)*AG$7+ROUNDUP($K28, 0)*(AG$7*(AG$7+1)/2),
 AG$7*$J28+(AG$7*(AG$7+1)/2)*$K28)</f>
        <v>0</v>
      </c>
      <c r="AG28" s="1514">
        <f t="shared" si="28"/>
        <v>0</v>
      </c>
      <c r="AH28" s="3145">
        <f t="shared" si="7"/>
        <v>0</v>
      </c>
      <c r="AI28" s="1513">
        <f>IF(Quanti!$O$54="OUI",
ROUNDUP($J28, 0)*AJ$7+ROUNDUP($K28, 0)*(AJ$7*(AJ$7+1)/2),
 AJ$7*$J28+(AJ$7*(AJ$7+1)/2)*$K28)</f>
        <v>0</v>
      </c>
      <c r="AJ28" s="1514">
        <f t="shared" si="29"/>
        <v>0</v>
      </c>
      <c r="AK28" s="3145">
        <f t="shared" si="8"/>
        <v>0</v>
      </c>
      <c r="AL28" s="1513">
        <f>IF(Quanti!$O$54="OUI",
ROUNDUP($J28, 0)*AM$7+ROUNDUP($K28, 0)*(AM$7*(AM$7+1)/2),
 AM$7*$J28+(AM$7*(AM$7+1)/2)*$K28)</f>
        <v>0</v>
      </c>
      <c r="AM28" s="1514">
        <f t="shared" si="30"/>
        <v>0</v>
      </c>
      <c r="AN28" s="3145">
        <f t="shared" si="9"/>
        <v>0</v>
      </c>
      <c r="AO28" s="1513">
        <f>IF(Quanti!$O$54="OUI",
ROUNDUP($J28, 0)*AP$7+ROUNDUP($K28, 0)*(AP$7*(AP$7+1)/2),
 AP$7*$J28+(AP$7*(AP$7+1)/2)*$K28)</f>
        <v>0</v>
      </c>
      <c r="AP28" s="1514">
        <f t="shared" si="31"/>
        <v>0</v>
      </c>
      <c r="AQ28" s="3145">
        <f t="shared" si="10"/>
        <v>0</v>
      </c>
      <c r="AR28" s="1513">
        <f>IF(Quanti!$O$54="OUI",
ROUNDUP($J28, 0)*AS$7+ROUNDUP($K28, 0)*(AS$7*(AS$7+1)/2),
 AS$7*$J28+(AS$7*(AS$7+1)/2)*$K28)</f>
        <v>0</v>
      </c>
      <c r="AS28" s="1514">
        <f t="shared" si="32"/>
        <v>0</v>
      </c>
      <c r="AT28" s="3145">
        <f t="shared" si="11"/>
        <v>0</v>
      </c>
      <c r="AU28" s="1513">
        <f>IF(Quanti!$O$54="OUI",
ROUNDUP($J28, 0)*AV$7+ROUNDUP($K28, 0)*(AV$7*(AV$7+1)/2),
 AV$7*$J28+(AV$7*(AV$7+1)/2)*$K28)</f>
        <v>0</v>
      </c>
      <c r="AV28" s="1514">
        <f t="shared" si="33"/>
        <v>0</v>
      </c>
      <c r="AW28" s="3145">
        <f t="shared" si="12"/>
        <v>0</v>
      </c>
      <c r="AX28" s="1513">
        <f>IF(Quanti!$O$54="OUI",
ROUNDUP($J28, 0)*AY$7+ROUNDUP($K28, 0)*(AY$7*(AY$7+1)/2),
 AY$7*$J28+(AY$7*(AY$7+1)/2)*$K28)</f>
        <v>0</v>
      </c>
      <c r="AY28" s="1514">
        <f t="shared" si="34"/>
        <v>0</v>
      </c>
      <c r="AZ28" s="3145">
        <f t="shared" si="13"/>
        <v>0</v>
      </c>
      <c r="BA28" s="1513">
        <f>IF(Quanti!$O$54="OUI",
ROUNDUP($J28, 0)*BB$7+ROUNDUP($K28, 0)*(BB$7*(BB$7+1)/2),
 BB$7*$J28+(BB$7*(BB$7+1)/2)*$K28)</f>
        <v>0</v>
      </c>
      <c r="BB28" s="1514">
        <f t="shared" si="35"/>
        <v>0</v>
      </c>
      <c r="BC28" s="3145">
        <f t="shared" si="14"/>
        <v>0</v>
      </c>
      <c r="BD28" s="1513">
        <f>IF(Quanti!$O$54="OUI",
ROUNDUP($J28, 0)*BE$7+ROUNDUP($K28, 0)*(BE$7*(BE$7+1)/2),
 BE$7*$J28+(BE$7*(BE$7+1)/2)*$K28)</f>
        <v>0</v>
      </c>
      <c r="BE28" s="1514">
        <f t="shared" si="36"/>
        <v>0</v>
      </c>
      <c r="BF28" s="3145">
        <f t="shared" si="15"/>
        <v>0</v>
      </c>
      <c r="BG28" s="1513">
        <f>IF(Quanti!$O$54="OUI",
ROUNDUP($J28, 0)*BH$7+ROUNDUP($K28, 0)*(BH$7*(BH$7+1)/2),
 BH$7*$J28+(BH$7*(BH$7+1)/2)*$K28)</f>
        <v>0</v>
      </c>
      <c r="BH28" s="1514">
        <f t="shared" si="37"/>
        <v>0</v>
      </c>
      <c r="BI28" s="3145">
        <f t="shared" si="16"/>
        <v>0</v>
      </c>
      <c r="BJ28" s="1513">
        <f>IF(Quanti!$O$54="OUI",
ROUNDUP($J28, 0)*BK$7+ROUNDUP($K28, 0)*(BK$7*(BK$7+1)/2),
 BK$7*$J28+(BK$7*(BK$7+1)/2)*$K28)</f>
        <v>0</v>
      </c>
      <c r="BK28" s="1514">
        <f t="shared" si="38"/>
        <v>0</v>
      </c>
      <c r="BL28" s="3145">
        <f t="shared" si="17"/>
        <v>0</v>
      </c>
      <c r="BM28" s="1513">
        <f>IF(Quanti!$O$54="OUI",
ROUNDUP($J28, 0)*BN$7+ROUNDUP($K28, 0)*(BN$7*(BN$7+1)/2),
 BN$7*$J28+(BN$7*(BN$7+1)/2)*$K28)</f>
        <v>0</v>
      </c>
      <c r="BN28" s="1514">
        <f t="shared" si="39"/>
        <v>0</v>
      </c>
      <c r="BO28" s="3145">
        <f t="shared" si="18"/>
        <v>0</v>
      </c>
      <c r="BP28" s="1513">
        <f>IF(Quanti!$O$54="OUI",
ROUNDUP($J28, 0)*BQ$7+ROUNDUP($K28, 0)*(BQ$7*(BQ$7+1)/2),
 BQ$7*$J28+(BQ$7*(BQ$7+1)/2)*$K28)</f>
        <v>0</v>
      </c>
      <c r="BQ28" s="1514">
        <f t="shared" si="40"/>
        <v>0</v>
      </c>
      <c r="BR28" s="3145">
        <f t="shared" si="19"/>
        <v>0</v>
      </c>
      <c r="BS28" s="1513">
        <f>IF(Quanti!$O$54="OUI",
ROUNDUP($J28, 0)*BT$7+ROUNDUP($K28, 0)*(BT$7*(BT$7+1)/2),
 BT$7*$J28+(BT$7*(BT$7+1)/2)*$K28)</f>
        <v>0</v>
      </c>
      <c r="BT28" s="1514">
        <f t="shared" si="41"/>
        <v>0</v>
      </c>
      <c r="BU28" s="3145">
        <f t="shared" si="20"/>
        <v>0</v>
      </c>
      <c r="BV28" s="1513">
        <f>IF(Quanti!$O$54="OUI",
ROUNDUP($J28, 0)*BW$7+ROUNDUP($K28, 0)*(BW$7*(BW$7+1)/2),
 BW$7*$J28+(BW$7*(BW$7+1)/2)*$K28)</f>
        <v>0</v>
      </c>
      <c r="BW28" s="1514">
        <f t="shared" si="42"/>
        <v>0</v>
      </c>
      <c r="BX28" s="3145">
        <f t="shared" si="21"/>
        <v>0</v>
      </c>
    </row>
    <row r="29" spans="2:76" x14ac:dyDescent="0.2">
      <c r="B29" s="100"/>
      <c r="C29" s="101"/>
      <c r="D29" s="1663" t="str">
        <f>'Saisie données stocks'!F39</f>
        <v>RPV</v>
      </c>
      <c r="E29" s="1664" t="str">
        <f>'Saisie données stocks'!G39</f>
        <v>Cp</v>
      </c>
      <c r="F29" s="1664" t="str">
        <f>'Saisie données stocks'!H39</f>
        <v>25 mg</v>
      </c>
      <c r="G29" s="1640" t="str">
        <f>'Saisie données stocks'!I39</f>
        <v>Rilpivirine</v>
      </c>
      <c r="H29" s="116">
        <f>'Saisie données stocks'!L39</f>
        <v>30</v>
      </c>
      <c r="I29" s="333"/>
      <c r="J29" s="3150">
        <f>IF(Quanti!$D$9="X", 'Calculs dispo Données FA'!N145, IF(Quanti!$D$10="X", 'Calculs dispo Données conso'!N147, "0"))</f>
        <v>0</v>
      </c>
      <c r="K29" s="3148">
        <f>IF(Quanti!$D$9="X", 'Calculs dispo Données FA'!O145, IF(Quanti!$D$10="X", 'Calculs dispo Données conso'!O147, "0"))</f>
        <v>0</v>
      </c>
      <c r="L29" s="3151">
        <f>Calculs!O452</f>
        <v>0</v>
      </c>
      <c r="M29" s="3140">
        <f t="shared" si="22"/>
        <v>0</v>
      </c>
      <c r="N29" s="3140">
        <f t="shared" si="0"/>
        <v>0</v>
      </c>
      <c r="O29" s="1513">
        <f>IF(Quanti!$O$54="OUI",
ROUNDUP(J29, 0)*(Quanti!$N$19+Quanti!$N$25)+ROUNDUP(K29, 0)*((Quanti!$N$19+Quanti!$N$25)*((Quanti!$N$19+Quanti!$N$25)+1)/2),
 J29*(Quanti!$N$19+Quanti!$N$25)+K29*((Quanti!$N$19+Quanti!$N$25)*((Quanti!$N$19+Quanti!$N$25)+1)/2))-M29</f>
        <v>0</v>
      </c>
      <c r="P29" s="3145">
        <f t="shared" si="23"/>
        <v>0</v>
      </c>
      <c r="Q29" s="1513">
        <f>IF(Quanti!$O$54="OUI",
ROUNDUP($J29, 0)*R$7+ROUNDUP($K29, 0)*(R$7*(R$7+1)/2),
 R$7*$J29+(R$7*(R$7+1)/2)*$K29)</f>
        <v>0</v>
      </c>
      <c r="R29" s="1511">
        <f t="shared" si="1"/>
        <v>0</v>
      </c>
      <c r="S29" s="3145">
        <f t="shared" si="2"/>
        <v>0</v>
      </c>
      <c r="T29" s="1513">
        <f>IF(Quanti!$O$54="OUI",
ROUNDUP($J29, 0)*U$7+ROUNDUP($K29, 0)*(U$7*(U$7+1)/2),
 U$7*$J29+(U$7*(U$7+1)/2)*$K29)</f>
        <v>0</v>
      </c>
      <c r="U29" s="1514">
        <f t="shared" si="24"/>
        <v>0</v>
      </c>
      <c r="V29" s="3145">
        <f t="shared" si="3"/>
        <v>0</v>
      </c>
      <c r="W29" s="1513">
        <f>IF(Quanti!$O$54="OUI",
ROUNDUP($J29, 0)*X$7+ROUNDUP($K29, 0)*(X$7*(X$7+1)/2),
 X$7*$J29+(X$7*(X$7+1)/2)*$K29)</f>
        <v>0</v>
      </c>
      <c r="X29" s="1514">
        <f t="shared" si="25"/>
        <v>0</v>
      </c>
      <c r="Y29" s="3145">
        <f t="shared" si="4"/>
        <v>0</v>
      </c>
      <c r="Z29" s="1513">
        <f>IF(Quanti!$O$54="OUI",
ROUNDUP($J29, 0)*AA$7+ROUNDUP($K29, 0)*(AA$7*(AA$7+1)/2),
 AA$7*$J29+(AA$7*(AA$7+1)/2)*$K29)</f>
        <v>0</v>
      </c>
      <c r="AA29" s="1514">
        <f t="shared" si="26"/>
        <v>0</v>
      </c>
      <c r="AB29" s="3145">
        <f t="shared" si="5"/>
        <v>0</v>
      </c>
      <c r="AC29" s="1513">
        <f>IF(Quanti!$O$54="OUI",
ROUNDUP($J29, 0)*AD$7+ROUNDUP($K29, 0)*(AD$7*(AD$7+1)/2),
 AD$7*$J29+(AD$7*(AD$7+1)/2)*$K29)</f>
        <v>0</v>
      </c>
      <c r="AD29" s="1514">
        <f t="shared" si="27"/>
        <v>0</v>
      </c>
      <c r="AE29" s="3145">
        <f t="shared" si="6"/>
        <v>0</v>
      </c>
      <c r="AF29" s="1513">
        <f>IF(Quanti!$O$54="OUI",
ROUNDUP($J29, 0)*AG$7+ROUNDUP($K29, 0)*(AG$7*(AG$7+1)/2),
 AG$7*$J29+(AG$7*(AG$7+1)/2)*$K29)</f>
        <v>0</v>
      </c>
      <c r="AG29" s="1514">
        <f t="shared" si="28"/>
        <v>0</v>
      </c>
      <c r="AH29" s="3145">
        <f t="shared" si="7"/>
        <v>0</v>
      </c>
      <c r="AI29" s="1513">
        <f>IF(Quanti!$O$54="OUI",
ROUNDUP($J29, 0)*AJ$7+ROUNDUP($K29, 0)*(AJ$7*(AJ$7+1)/2),
 AJ$7*$J29+(AJ$7*(AJ$7+1)/2)*$K29)</f>
        <v>0</v>
      </c>
      <c r="AJ29" s="1514">
        <f t="shared" si="29"/>
        <v>0</v>
      </c>
      <c r="AK29" s="3145">
        <f t="shared" si="8"/>
        <v>0</v>
      </c>
      <c r="AL29" s="1513">
        <f>IF(Quanti!$O$54="OUI",
ROUNDUP($J29, 0)*AM$7+ROUNDUP($K29, 0)*(AM$7*(AM$7+1)/2),
 AM$7*$J29+(AM$7*(AM$7+1)/2)*$K29)</f>
        <v>0</v>
      </c>
      <c r="AM29" s="1514">
        <f t="shared" si="30"/>
        <v>0</v>
      </c>
      <c r="AN29" s="3145">
        <f t="shared" si="9"/>
        <v>0</v>
      </c>
      <c r="AO29" s="1513">
        <f>IF(Quanti!$O$54="OUI",
ROUNDUP($J29, 0)*AP$7+ROUNDUP($K29, 0)*(AP$7*(AP$7+1)/2),
 AP$7*$J29+(AP$7*(AP$7+1)/2)*$K29)</f>
        <v>0</v>
      </c>
      <c r="AP29" s="1514">
        <f t="shared" si="31"/>
        <v>0</v>
      </c>
      <c r="AQ29" s="3145">
        <f t="shared" si="10"/>
        <v>0</v>
      </c>
      <c r="AR29" s="1513">
        <f>IF(Quanti!$O$54="OUI",
ROUNDUP($J29, 0)*AS$7+ROUNDUP($K29, 0)*(AS$7*(AS$7+1)/2),
 AS$7*$J29+(AS$7*(AS$7+1)/2)*$K29)</f>
        <v>0</v>
      </c>
      <c r="AS29" s="1514">
        <f t="shared" si="32"/>
        <v>0</v>
      </c>
      <c r="AT29" s="3145">
        <f t="shared" si="11"/>
        <v>0</v>
      </c>
      <c r="AU29" s="1513">
        <f>IF(Quanti!$O$54="OUI",
ROUNDUP($J29, 0)*AV$7+ROUNDUP($K29, 0)*(AV$7*(AV$7+1)/2),
 AV$7*$J29+(AV$7*(AV$7+1)/2)*$K29)</f>
        <v>0</v>
      </c>
      <c r="AV29" s="1514">
        <f t="shared" si="33"/>
        <v>0</v>
      </c>
      <c r="AW29" s="3145">
        <f t="shared" si="12"/>
        <v>0</v>
      </c>
      <c r="AX29" s="1513">
        <f>IF(Quanti!$O$54="OUI",
ROUNDUP($J29, 0)*AY$7+ROUNDUP($K29, 0)*(AY$7*(AY$7+1)/2),
 AY$7*$J29+(AY$7*(AY$7+1)/2)*$K29)</f>
        <v>0</v>
      </c>
      <c r="AY29" s="1514">
        <f t="shared" si="34"/>
        <v>0</v>
      </c>
      <c r="AZ29" s="3145">
        <f t="shared" si="13"/>
        <v>0</v>
      </c>
      <c r="BA29" s="1513">
        <f>IF(Quanti!$O$54="OUI",
ROUNDUP($J29, 0)*BB$7+ROUNDUP($K29, 0)*(BB$7*(BB$7+1)/2),
 BB$7*$J29+(BB$7*(BB$7+1)/2)*$K29)</f>
        <v>0</v>
      </c>
      <c r="BB29" s="1514">
        <f t="shared" si="35"/>
        <v>0</v>
      </c>
      <c r="BC29" s="3145">
        <f t="shared" si="14"/>
        <v>0</v>
      </c>
      <c r="BD29" s="1513">
        <f>IF(Quanti!$O$54="OUI",
ROUNDUP($J29, 0)*BE$7+ROUNDUP($K29, 0)*(BE$7*(BE$7+1)/2),
 BE$7*$J29+(BE$7*(BE$7+1)/2)*$K29)</f>
        <v>0</v>
      </c>
      <c r="BE29" s="1514">
        <f t="shared" si="36"/>
        <v>0</v>
      </c>
      <c r="BF29" s="3145">
        <f t="shared" si="15"/>
        <v>0</v>
      </c>
      <c r="BG29" s="1513">
        <f>IF(Quanti!$O$54="OUI",
ROUNDUP($J29, 0)*BH$7+ROUNDUP($K29, 0)*(BH$7*(BH$7+1)/2),
 BH$7*$J29+(BH$7*(BH$7+1)/2)*$K29)</f>
        <v>0</v>
      </c>
      <c r="BH29" s="1514">
        <f t="shared" si="37"/>
        <v>0</v>
      </c>
      <c r="BI29" s="3145">
        <f t="shared" si="16"/>
        <v>0</v>
      </c>
      <c r="BJ29" s="1513">
        <f>IF(Quanti!$O$54="OUI",
ROUNDUP($J29, 0)*BK$7+ROUNDUP($K29, 0)*(BK$7*(BK$7+1)/2),
 BK$7*$J29+(BK$7*(BK$7+1)/2)*$K29)</f>
        <v>0</v>
      </c>
      <c r="BK29" s="1514">
        <f t="shared" si="38"/>
        <v>0</v>
      </c>
      <c r="BL29" s="3145">
        <f t="shared" si="17"/>
        <v>0</v>
      </c>
      <c r="BM29" s="1513">
        <f>IF(Quanti!$O$54="OUI",
ROUNDUP($J29, 0)*BN$7+ROUNDUP($K29, 0)*(BN$7*(BN$7+1)/2),
 BN$7*$J29+(BN$7*(BN$7+1)/2)*$K29)</f>
        <v>0</v>
      </c>
      <c r="BN29" s="1514">
        <f t="shared" si="39"/>
        <v>0</v>
      </c>
      <c r="BO29" s="3145">
        <f t="shared" si="18"/>
        <v>0</v>
      </c>
      <c r="BP29" s="1513">
        <f>IF(Quanti!$O$54="OUI",
ROUNDUP($J29, 0)*BQ$7+ROUNDUP($K29, 0)*(BQ$7*(BQ$7+1)/2),
 BQ$7*$J29+(BQ$7*(BQ$7+1)/2)*$K29)</f>
        <v>0</v>
      </c>
      <c r="BQ29" s="1514">
        <f t="shared" si="40"/>
        <v>0</v>
      </c>
      <c r="BR29" s="3145">
        <f t="shared" si="19"/>
        <v>0</v>
      </c>
      <c r="BS29" s="1513">
        <f>IF(Quanti!$O$54="OUI",
ROUNDUP($J29, 0)*BT$7+ROUNDUP($K29, 0)*(BT$7*(BT$7+1)/2),
 BT$7*$J29+(BT$7*(BT$7+1)/2)*$K29)</f>
        <v>0</v>
      </c>
      <c r="BT29" s="1514">
        <f t="shared" si="41"/>
        <v>0</v>
      </c>
      <c r="BU29" s="3145">
        <f t="shared" si="20"/>
        <v>0</v>
      </c>
      <c r="BV29" s="1513">
        <f>IF(Quanti!$O$54="OUI",
ROUNDUP($J29, 0)*BW$7+ROUNDUP($K29, 0)*(BW$7*(BW$7+1)/2),
 BW$7*$J29+(BW$7*(BW$7+1)/2)*$K29)</f>
        <v>0</v>
      </c>
      <c r="BW29" s="1514">
        <f t="shared" si="42"/>
        <v>0</v>
      </c>
      <c r="BX29" s="3145">
        <f t="shared" si="21"/>
        <v>0</v>
      </c>
    </row>
    <row r="30" spans="2:76" x14ac:dyDescent="0.2">
      <c r="B30" s="37"/>
      <c r="C30" s="123" t="str">
        <f>'Saisie données stocks'!$E$40</f>
        <v>INTI</v>
      </c>
      <c r="D30" s="1660" t="str">
        <f>'Saisie données stocks'!F40</f>
        <v>ABC</v>
      </c>
      <c r="E30" s="1661" t="str">
        <f>'Saisie données stocks'!G40</f>
        <v>Cp</v>
      </c>
      <c r="F30" s="1661" t="str">
        <f>'Saisie données stocks'!H40</f>
        <v>300 mg</v>
      </c>
      <c r="G30" s="89" t="str">
        <f>'Saisie données stocks'!I40</f>
        <v>Abacavir</v>
      </c>
      <c r="H30" s="115">
        <f>'Saisie données stocks'!L40</f>
        <v>60</v>
      </c>
      <c r="I30" s="331"/>
      <c r="J30" s="3150">
        <f>IF(Quanti!$D$9="X", 'Calculs dispo Données FA'!N146, IF(Quanti!$D$10="X", 'Calculs dispo Données conso'!N148, "0"))</f>
        <v>0</v>
      </c>
      <c r="K30" s="3148">
        <f>IF(Quanti!$D$9="X", 'Calculs dispo Données FA'!O146, IF(Quanti!$D$10="X", 'Calculs dispo Données conso'!O148, "0"))</f>
        <v>0</v>
      </c>
      <c r="L30" s="3151">
        <f>Calculs!O453</f>
        <v>0</v>
      </c>
      <c r="M30" s="3140">
        <f t="shared" si="22"/>
        <v>0</v>
      </c>
      <c r="N30" s="3140">
        <f t="shared" si="0"/>
        <v>0</v>
      </c>
      <c r="O30" s="1513">
        <f>IF(Quanti!$O$54="OUI",
ROUNDUP(J30, 0)*(Quanti!$N$19+Quanti!$N$25)+ROUNDUP(K30, 0)*((Quanti!$N$19+Quanti!$N$25)*((Quanti!$N$19+Quanti!$N$25)+1)/2),
 J30*(Quanti!$N$19+Quanti!$N$25)+K30*((Quanti!$N$19+Quanti!$N$25)*((Quanti!$N$19+Quanti!$N$25)+1)/2))-M30</f>
        <v>0</v>
      </c>
      <c r="P30" s="3145">
        <f t="shared" si="23"/>
        <v>0</v>
      </c>
      <c r="Q30" s="1513">
        <f>IF(Quanti!$O$54="OUI",
ROUNDUP($J30, 0)*R$7+ROUNDUP($K30, 0)*(R$7*(R$7+1)/2),
 R$7*$J30+(R$7*(R$7+1)/2)*$K30)</f>
        <v>0</v>
      </c>
      <c r="R30" s="1511">
        <f t="shared" si="1"/>
        <v>0</v>
      </c>
      <c r="S30" s="3145">
        <f t="shared" si="2"/>
        <v>0</v>
      </c>
      <c r="T30" s="1513">
        <f>IF(Quanti!$O$54="OUI",
ROUNDUP($J30, 0)*U$7+ROUNDUP($K30, 0)*(U$7*(U$7+1)/2),
 U$7*$J30+(U$7*(U$7+1)/2)*$K30)</f>
        <v>0</v>
      </c>
      <c r="U30" s="1514">
        <f t="shared" si="24"/>
        <v>0</v>
      </c>
      <c r="V30" s="3145">
        <f t="shared" si="3"/>
        <v>0</v>
      </c>
      <c r="W30" s="1513">
        <f>IF(Quanti!$O$54="OUI",
ROUNDUP($J30, 0)*X$7+ROUNDUP($K30, 0)*(X$7*(X$7+1)/2),
 X$7*$J30+(X$7*(X$7+1)/2)*$K30)</f>
        <v>0</v>
      </c>
      <c r="X30" s="1514">
        <f t="shared" si="25"/>
        <v>0</v>
      </c>
      <c r="Y30" s="3145">
        <f t="shared" si="4"/>
        <v>0</v>
      </c>
      <c r="Z30" s="1513">
        <f>IF(Quanti!$O$54="OUI",
ROUNDUP($J30, 0)*AA$7+ROUNDUP($K30, 0)*(AA$7*(AA$7+1)/2),
 AA$7*$J30+(AA$7*(AA$7+1)/2)*$K30)</f>
        <v>0</v>
      </c>
      <c r="AA30" s="1514">
        <f t="shared" si="26"/>
        <v>0</v>
      </c>
      <c r="AB30" s="3145">
        <f t="shared" si="5"/>
        <v>0</v>
      </c>
      <c r="AC30" s="1513">
        <f>IF(Quanti!$O$54="OUI",
ROUNDUP($J30, 0)*AD$7+ROUNDUP($K30, 0)*(AD$7*(AD$7+1)/2),
 AD$7*$J30+(AD$7*(AD$7+1)/2)*$K30)</f>
        <v>0</v>
      </c>
      <c r="AD30" s="1514">
        <f t="shared" si="27"/>
        <v>0</v>
      </c>
      <c r="AE30" s="3145">
        <f t="shared" si="6"/>
        <v>0</v>
      </c>
      <c r="AF30" s="1513">
        <f>IF(Quanti!$O$54="OUI",
ROUNDUP($J30, 0)*AG$7+ROUNDUP($K30, 0)*(AG$7*(AG$7+1)/2),
 AG$7*$J30+(AG$7*(AG$7+1)/2)*$K30)</f>
        <v>0</v>
      </c>
      <c r="AG30" s="1514">
        <f t="shared" si="28"/>
        <v>0</v>
      </c>
      <c r="AH30" s="3145">
        <f t="shared" si="7"/>
        <v>0</v>
      </c>
      <c r="AI30" s="1513">
        <f>IF(Quanti!$O$54="OUI",
ROUNDUP($J30, 0)*AJ$7+ROUNDUP($K30, 0)*(AJ$7*(AJ$7+1)/2),
 AJ$7*$J30+(AJ$7*(AJ$7+1)/2)*$K30)</f>
        <v>0</v>
      </c>
      <c r="AJ30" s="1514">
        <f t="shared" si="29"/>
        <v>0</v>
      </c>
      <c r="AK30" s="3145">
        <f t="shared" si="8"/>
        <v>0</v>
      </c>
      <c r="AL30" s="1513">
        <f>IF(Quanti!$O$54="OUI",
ROUNDUP($J30, 0)*AM$7+ROUNDUP($K30, 0)*(AM$7*(AM$7+1)/2),
 AM$7*$J30+(AM$7*(AM$7+1)/2)*$K30)</f>
        <v>0</v>
      </c>
      <c r="AM30" s="1514">
        <f t="shared" si="30"/>
        <v>0</v>
      </c>
      <c r="AN30" s="3145">
        <f t="shared" si="9"/>
        <v>0</v>
      </c>
      <c r="AO30" s="1513">
        <f>IF(Quanti!$O$54="OUI",
ROUNDUP($J30, 0)*AP$7+ROUNDUP($K30, 0)*(AP$7*(AP$7+1)/2),
 AP$7*$J30+(AP$7*(AP$7+1)/2)*$K30)</f>
        <v>0</v>
      </c>
      <c r="AP30" s="1514">
        <f t="shared" si="31"/>
        <v>0</v>
      </c>
      <c r="AQ30" s="3145">
        <f t="shared" si="10"/>
        <v>0</v>
      </c>
      <c r="AR30" s="1513">
        <f>IF(Quanti!$O$54="OUI",
ROUNDUP($J30, 0)*AS$7+ROUNDUP($K30, 0)*(AS$7*(AS$7+1)/2),
 AS$7*$J30+(AS$7*(AS$7+1)/2)*$K30)</f>
        <v>0</v>
      </c>
      <c r="AS30" s="1514">
        <f t="shared" si="32"/>
        <v>0</v>
      </c>
      <c r="AT30" s="3145">
        <f t="shared" si="11"/>
        <v>0</v>
      </c>
      <c r="AU30" s="1513">
        <f>IF(Quanti!$O$54="OUI",
ROUNDUP($J30, 0)*AV$7+ROUNDUP($K30, 0)*(AV$7*(AV$7+1)/2),
 AV$7*$J30+(AV$7*(AV$7+1)/2)*$K30)</f>
        <v>0</v>
      </c>
      <c r="AV30" s="1514">
        <f t="shared" si="33"/>
        <v>0</v>
      </c>
      <c r="AW30" s="3145">
        <f t="shared" si="12"/>
        <v>0</v>
      </c>
      <c r="AX30" s="1513">
        <f>IF(Quanti!$O$54="OUI",
ROUNDUP($J30, 0)*AY$7+ROUNDUP($K30, 0)*(AY$7*(AY$7+1)/2),
 AY$7*$J30+(AY$7*(AY$7+1)/2)*$K30)</f>
        <v>0</v>
      </c>
      <c r="AY30" s="1514">
        <f t="shared" si="34"/>
        <v>0</v>
      </c>
      <c r="AZ30" s="3145">
        <f t="shared" si="13"/>
        <v>0</v>
      </c>
      <c r="BA30" s="1513">
        <f>IF(Quanti!$O$54="OUI",
ROUNDUP($J30, 0)*BB$7+ROUNDUP($K30, 0)*(BB$7*(BB$7+1)/2),
 BB$7*$J30+(BB$7*(BB$7+1)/2)*$K30)</f>
        <v>0</v>
      </c>
      <c r="BB30" s="1514">
        <f t="shared" si="35"/>
        <v>0</v>
      </c>
      <c r="BC30" s="3145">
        <f t="shared" si="14"/>
        <v>0</v>
      </c>
      <c r="BD30" s="1513">
        <f>IF(Quanti!$O$54="OUI",
ROUNDUP($J30, 0)*BE$7+ROUNDUP($K30, 0)*(BE$7*(BE$7+1)/2),
 BE$7*$J30+(BE$7*(BE$7+1)/2)*$K30)</f>
        <v>0</v>
      </c>
      <c r="BE30" s="1514">
        <f t="shared" si="36"/>
        <v>0</v>
      </c>
      <c r="BF30" s="3145">
        <f t="shared" si="15"/>
        <v>0</v>
      </c>
      <c r="BG30" s="1513">
        <f>IF(Quanti!$O$54="OUI",
ROUNDUP($J30, 0)*BH$7+ROUNDUP($K30, 0)*(BH$7*(BH$7+1)/2),
 BH$7*$J30+(BH$7*(BH$7+1)/2)*$K30)</f>
        <v>0</v>
      </c>
      <c r="BH30" s="1514">
        <f t="shared" si="37"/>
        <v>0</v>
      </c>
      <c r="BI30" s="3145">
        <f t="shared" si="16"/>
        <v>0</v>
      </c>
      <c r="BJ30" s="1513">
        <f>IF(Quanti!$O$54="OUI",
ROUNDUP($J30, 0)*BK$7+ROUNDUP($K30, 0)*(BK$7*(BK$7+1)/2),
 BK$7*$J30+(BK$7*(BK$7+1)/2)*$K30)</f>
        <v>0</v>
      </c>
      <c r="BK30" s="1514">
        <f t="shared" si="38"/>
        <v>0</v>
      </c>
      <c r="BL30" s="3145">
        <f t="shared" si="17"/>
        <v>0</v>
      </c>
      <c r="BM30" s="1513">
        <f>IF(Quanti!$O$54="OUI",
ROUNDUP($J30, 0)*BN$7+ROUNDUP($K30, 0)*(BN$7*(BN$7+1)/2),
 BN$7*$J30+(BN$7*(BN$7+1)/2)*$K30)</f>
        <v>0</v>
      </c>
      <c r="BN30" s="1514">
        <f t="shared" si="39"/>
        <v>0</v>
      </c>
      <c r="BO30" s="3145">
        <f t="shared" si="18"/>
        <v>0</v>
      </c>
      <c r="BP30" s="1513">
        <f>IF(Quanti!$O$54="OUI",
ROUNDUP($J30, 0)*BQ$7+ROUNDUP($K30, 0)*(BQ$7*(BQ$7+1)/2),
 BQ$7*$J30+(BQ$7*(BQ$7+1)/2)*$K30)</f>
        <v>0</v>
      </c>
      <c r="BQ30" s="1514">
        <f t="shared" si="40"/>
        <v>0</v>
      </c>
      <c r="BR30" s="3145">
        <f t="shared" si="19"/>
        <v>0</v>
      </c>
      <c r="BS30" s="1513">
        <f>IF(Quanti!$O$54="OUI",
ROUNDUP($J30, 0)*BT$7+ROUNDUP($K30, 0)*(BT$7*(BT$7+1)/2),
 BT$7*$J30+(BT$7*(BT$7+1)/2)*$K30)</f>
        <v>0</v>
      </c>
      <c r="BT30" s="1514">
        <f t="shared" si="41"/>
        <v>0</v>
      </c>
      <c r="BU30" s="3145">
        <f t="shared" si="20"/>
        <v>0</v>
      </c>
      <c r="BV30" s="1513">
        <f>IF(Quanti!$O$54="OUI",
ROUNDUP($J30, 0)*BW$7+ROUNDUP($K30, 0)*(BW$7*(BW$7+1)/2),
 BW$7*$J30+(BW$7*(BW$7+1)/2)*$K30)</f>
        <v>0</v>
      </c>
      <c r="BW30" s="1514">
        <f t="shared" si="42"/>
        <v>0</v>
      </c>
      <c r="BX30" s="3145">
        <f t="shared" si="21"/>
        <v>0</v>
      </c>
    </row>
    <row r="31" spans="2:76" x14ac:dyDescent="0.2">
      <c r="B31" s="37"/>
      <c r="C31" s="98"/>
      <c r="D31" s="1658" t="str">
        <f>'Saisie données stocks'!F41</f>
        <v>ABC</v>
      </c>
      <c r="E31" s="1659" t="str">
        <f>'Saisie données stocks'!G41</f>
        <v>Cp</v>
      </c>
      <c r="F31" s="1659" t="str">
        <f>'Saisie données stocks'!H41</f>
        <v>60 mg</v>
      </c>
      <c r="G31" s="89" t="str">
        <f>'Saisie données stocks'!I41</f>
        <v>Abacavir</v>
      </c>
      <c r="H31" s="114">
        <f>'Saisie données stocks'!L41</f>
        <v>60</v>
      </c>
      <c r="I31" s="330"/>
      <c r="J31" s="3150">
        <f>IF(Quanti!$D$9="X", 'Calculs dispo Données FA'!N147, IF(Quanti!$D$10="X", 'Calculs dispo Données conso'!N149, "0"))</f>
        <v>0</v>
      </c>
      <c r="K31" s="3148">
        <f>IF(Quanti!$D$9="X", 'Calculs dispo Données FA'!O147, IF(Quanti!$D$10="X", 'Calculs dispo Données conso'!O149, "0"))</f>
        <v>0</v>
      </c>
      <c r="L31" s="3151">
        <f>Calculs!O454</f>
        <v>0</v>
      </c>
      <c r="M31" s="3140">
        <f t="shared" si="22"/>
        <v>0</v>
      </c>
      <c r="N31" s="3140">
        <f t="shared" si="0"/>
        <v>0</v>
      </c>
      <c r="O31" s="1513">
        <f>IF(Quanti!$O$54="OUI",
ROUNDUP(J31, 0)*(Quanti!$N$19+Quanti!$N$25)+ROUNDUP(K31, 0)*((Quanti!$N$19+Quanti!$N$25)*((Quanti!$N$19+Quanti!$N$25)+1)/2),
 J31*(Quanti!$N$19+Quanti!$N$25)+K31*((Quanti!$N$19+Quanti!$N$25)*((Quanti!$N$19+Quanti!$N$25)+1)/2))-M31</f>
        <v>0</v>
      </c>
      <c r="P31" s="3145">
        <f t="shared" si="23"/>
        <v>0</v>
      </c>
      <c r="Q31" s="1513">
        <f>IF(Quanti!$O$54="OUI",
ROUNDUP($J31, 0)*R$7+ROUNDUP($K31, 0)*(R$7*(R$7+1)/2),
 R$7*$J31+(R$7*(R$7+1)/2)*$K31)</f>
        <v>0</v>
      </c>
      <c r="R31" s="1511">
        <f t="shared" si="1"/>
        <v>0</v>
      </c>
      <c r="S31" s="3145">
        <f t="shared" si="2"/>
        <v>0</v>
      </c>
      <c r="T31" s="1513">
        <f>IF(Quanti!$O$54="OUI",
ROUNDUP($J31, 0)*U$7+ROUNDUP($K31, 0)*(U$7*(U$7+1)/2),
 U$7*$J31+(U$7*(U$7+1)/2)*$K31)</f>
        <v>0</v>
      </c>
      <c r="U31" s="1514">
        <f t="shared" si="24"/>
        <v>0</v>
      </c>
      <c r="V31" s="3145">
        <f t="shared" si="3"/>
        <v>0</v>
      </c>
      <c r="W31" s="1513">
        <f>IF(Quanti!$O$54="OUI",
ROUNDUP($J31, 0)*X$7+ROUNDUP($K31, 0)*(X$7*(X$7+1)/2),
 X$7*$J31+(X$7*(X$7+1)/2)*$K31)</f>
        <v>0</v>
      </c>
      <c r="X31" s="1514">
        <f t="shared" si="25"/>
        <v>0</v>
      </c>
      <c r="Y31" s="3145">
        <f t="shared" si="4"/>
        <v>0</v>
      </c>
      <c r="Z31" s="1513">
        <f>IF(Quanti!$O$54="OUI",
ROUNDUP($J31, 0)*AA$7+ROUNDUP($K31, 0)*(AA$7*(AA$7+1)/2),
 AA$7*$J31+(AA$7*(AA$7+1)/2)*$K31)</f>
        <v>0</v>
      </c>
      <c r="AA31" s="1514">
        <f t="shared" si="26"/>
        <v>0</v>
      </c>
      <c r="AB31" s="3145">
        <f t="shared" si="5"/>
        <v>0</v>
      </c>
      <c r="AC31" s="1513">
        <f>IF(Quanti!$O$54="OUI",
ROUNDUP($J31, 0)*AD$7+ROUNDUP($K31, 0)*(AD$7*(AD$7+1)/2),
 AD$7*$J31+(AD$7*(AD$7+1)/2)*$K31)</f>
        <v>0</v>
      </c>
      <c r="AD31" s="1514">
        <f t="shared" si="27"/>
        <v>0</v>
      </c>
      <c r="AE31" s="3145">
        <f t="shared" si="6"/>
        <v>0</v>
      </c>
      <c r="AF31" s="1513">
        <f>IF(Quanti!$O$54="OUI",
ROUNDUP($J31, 0)*AG$7+ROUNDUP($K31, 0)*(AG$7*(AG$7+1)/2),
 AG$7*$J31+(AG$7*(AG$7+1)/2)*$K31)</f>
        <v>0</v>
      </c>
      <c r="AG31" s="1514">
        <f t="shared" si="28"/>
        <v>0</v>
      </c>
      <c r="AH31" s="3145">
        <f t="shared" si="7"/>
        <v>0</v>
      </c>
      <c r="AI31" s="1513">
        <f>IF(Quanti!$O$54="OUI",
ROUNDUP($J31, 0)*AJ$7+ROUNDUP($K31, 0)*(AJ$7*(AJ$7+1)/2),
 AJ$7*$J31+(AJ$7*(AJ$7+1)/2)*$K31)</f>
        <v>0</v>
      </c>
      <c r="AJ31" s="1514">
        <f t="shared" si="29"/>
        <v>0</v>
      </c>
      <c r="AK31" s="3145">
        <f t="shared" si="8"/>
        <v>0</v>
      </c>
      <c r="AL31" s="1513">
        <f>IF(Quanti!$O$54="OUI",
ROUNDUP($J31, 0)*AM$7+ROUNDUP($K31, 0)*(AM$7*(AM$7+1)/2),
 AM$7*$J31+(AM$7*(AM$7+1)/2)*$K31)</f>
        <v>0</v>
      </c>
      <c r="AM31" s="1514">
        <f t="shared" si="30"/>
        <v>0</v>
      </c>
      <c r="AN31" s="3145">
        <f t="shared" si="9"/>
        <v>0</v>
      </c>
      <c r="AO31" s="1513">
        <f>IF(Quanti!$O$54="OUI",
ROUNDUP($J31, 0)*AP$7+ROUNDUP($K31, 0)*(AP$7*(AP$7+1)/2),
 AP$7*$J31+(AP$7*(AP$7+1)/2)*$K31)</f>
        <v>0</v>
      </c>
      <c r="AP31" s="1514">
        <f t="shared" si="31"/>
        <v>0</v>
      </c>
      <c r="AQ31" s="3145">
        <f t="shared" si="10"/>
        <v>0</v>
      </c>
      <c r="AR31" s="1513">
        <f>IF(Quanti!$O$54="OUI",
ROUNDUP($J31, 0)*AS$7+ROUNDUP($K31, 0)*(AS$7*(AS$7+1)/2),
 AS$7*$J31+(AS$7*(AS$7+1)/2)*$K31)</f>
        <v>0</v>
      </c>
      <c r="AS31" s="1514">
        <f t="shared" si="32"/>
        <v>0</v>
      </c>
      <c r="AT31" s="3145">
        <f t="shared" si="11"/>
        <v>0</v>
      </c>
      <c r="AU31" s="1513">
        <f>IF(Quanti!$O$54="OUI",
ROUNDUP($J31, 0)*AV$7+ROUNDUP($K31, 0)*(AV$7*(AV$7+1)/2),
 AV$7*$J31+(AV$7*(AV$7+1)/2)*$K31)</f>
        <v>0</v>
      </c>
      <c r="AV31" s="1514">
        <f t="shared" si="33"/>
        <v>0</v>
      </c>
      <c r="AW31" s="3145">
        <f t="shared" si="12"/>
        <v>0</v>
      </c>
      <c r="AX31" s="1513">
        <f>IF(Quanti!$O$54="OUI",
ROUNDUP($J31, 0)*AY$7+ROUNDUP($K31, 0)*(AY$7*(AY$7+1)/2),
 AY$7*$J31+(AY$7*(AY$7+1)/2)*$K31)</f>
        <v>0</v>
      </c>
      <c r="AY31" s="1514">
        <f t="shared" si="34"/>
        <v>0</v>
      </c>
      <c r="AZ31" s="3145">
        <f t="shared" si="13"/>
        <v>0</v>
      </c>
      <c r="BA31" s="1513">
        <f>IF(Quanti!$O$54="OUI",
ROUNDUP($J31, 0)*BB$7+ROUNDUP($K31, 0)*(BB$7*(BB$7+1)/2),
 BB$7*$J31+(BB$7*(BB$7+1)/2)*$K31)</f>
        <v>0</v>
      </c>
      <c r="BB31" s="1514">
        <f t="shared" si="35"/>
        <v>0</v>
      </c>
      <c r="BC31" s="3145">
        <f t="shared" si="14"/>
        <v>0</v>
      </c>
      <c r="BD31" s="1513">
        <f>IF(Quanti!$O$54="OUI",
ROUNDUP($J31, 0)*BE$7+ROUNDUP($K31, 0)*(BE$7*(BE$7+1)/2),
 BE$7*$J31+(BE$7*(BE$7+1)/2)*$K31)</f>
        <v>0</v>
      </c>
      <c r="BE31" s="1514">
        <f t="shared" si="36"/>
        <v>0</v>
      </c>
      <c r="BF31" s="3145">
        <f t="shared" si="15"/>
        <v>0</v>
      </c>
      <c r="BG31" s="1513">
        <f>IF(Quanti!$O$54="OUI",
ROUNDUP($J31, 0)*BH$7+ROUNDUP($K31, 0)*(BH$7*(BH$7+1)/2),
 BH$7*$J31+(BH$7*(BH$7+1)/2)*$K31)</f>
        <v>0</v>
      </c>
      <c r="BH31" s="1514">
        <f t="shared" si="37"/>
        <v>0</v>
      </c>
      <c r="BI31" s="3145">
        <f t="shared" si="16"/>
        <v>0</v>
      </c>
      <c r="BJ31" s="1513">
        <f>IF(Quanti!$O$54="OUI",
ROUNDUP($J31, 0)*BK$7+ROUNDUP($K31, 0)*(BK$7*(BK$7+1)/2),
 BK$7*$J31+(BK$7*(BK$7+1)/2)*$K31)</f>
        <v>0</v>
      </c>
      <c r="BK31" s="1514">
        <f t="shared" si="38"/>
        <v>0</v>
      </c>
      <c r="BL31" s="3145">
        <f t="shared" si="17"/>
        <v>0</v>
      </c>
      <c r="BM31" s="1513">
        <f>IF(Quanti!$O$54="OUI",
ROUNDUP($J31, 0)*BN$7+ROUNDUP($K31, 0)*(BN$7*(BN$7+1)/2),
 BN$7*$J31+(BN$7*(BN$7+1)/2)*$K31)</f>
        <v>0</v>
      </c>
      <c r="BN31" s="1514">
        <f t="shared" si="39"/>
        <v>0</v>
      </c>
      <c r="BO31" s="3145">
        <f t="shared" si="18"/>
        <v>0</v>
      </c>
      <c r="BP31" s="1513">
        <f>IF(Quanti!$O$54="OUI",
ROUNDUP($J31, 0)*BQ$7+ROUNDUP($K31, 0)*(BQ$7*(BQ$7+1)/2),
 BQ$7*$J31+(BQ$7*(BQ$7+1)/2)*$K31)</f>
        <v>0</v>
      </c>
      <c r="BQ31" s="1514">
        <f t="shared" si="40"/>
        <v>0</v>
      </c>
      <c r="BR31" s="3145">
        <f t="shared" si="19"/>
        <v>0</v>
      </c>
      <c r="BS31" s="1513">
        <f>IF(Quanti!$O$54="OUI",
ROUNDUP($J31, 0)*BT$7+ROUNDUP($K31, 0)*(BT$7*(BT$7+1)/2),
 BT$7*$J31+(BT$7*(BT$7+1)/2)*$K31)</f>
        <v>0</v>
      </c>
      <c r="BT31" s="1514">
        <f t="shared" si="41"/>
        <v>0</v>
      </c>
      <c r="BU31" s="3145">
        <f t="shared" si="20"/>
        <v>0</v>
      </c>
      <c r="BV31" s="1513">
        <f>IF(Quanti!$O$54="OUI",
ROUNDUP($J31, 0)*BW$7+ROUNDUP($K31, 0)*(BW$7*(BW$7+1)/2),
 BW$7*$J31+(BW$7*(BW$7+1)/2)*$K31)</f>
        <v>0</v>
      </c>
      <c r="BW31" s="1514">
        <f t="shared" si="42"/>
        <v>0</v>
      </c>
      <c r="BX31" s="3145">
        <f t="shared" si="21"/>
        <v>0</v>
      </c>
    </row>
    <row r="32" spans="2:76" x14ac:dyDescent="0.2">
      <c r="B32" s="37"/>
      <c r="C32" s="98"/>
      <c r="D32" s="1658" t="str">
        <f>'Saisie données stocks'!F42</f>
        <v>AZT</v>
      </c>
      <c r="E32" s="1659" t="str">
        <f>'Saisie données stocks'!G42</f>
        <v>Cp</v>
      </c>
      <c r="F32" s="1661" t="str">
        <f>'Saisie données stocks'!H42</f>
        <v>300 mg</v>
      </c>
      <c r="G32" s="89" t="str">
        <f>'Saisie données stocks'!I42</f>
        <v>Zidovudine</v>
      </c>
      <c r="H32" s="114">
        <f>'Saisie données stocks'!L42</f>
        <v>60</v>
      </c>
      <c r="I32" s="330"/>
      <c r="J32" s="3150">
        <f>IF(Quanti!$D$9="X", 'Calculs dispo Données FA'!N148, IF(Quanti!$D$10="X", 'Calculs dispo Données conso'!N150, "0"))</f>
        <v>0</v>
      </c>
      <c r="K32" s="3148">
        <f>IF(Quanti!$D$9="X", 'Calculs dispo Données FA'!O148, IF(Quanti!$D$10="X", 'Calculs dispo Données conso'!O150, "0"))</f>
        <v>0</v>
      </c>
      <c r="L32" s="3151">
        <f>Calculs!O455</f>
        <v>0</v>
      </c>
      <c r="M32" s="3140">
        <f t="shared" si="22"/>
        <v>0</v>
      </c>
      <c r="N32" s="3140">
        <f t="shared" si="0"/>
        <v>0</v>
      </c>
      <c r="O32" s="1513">
        <f>IF(Quanti!$O$54="OUI",
ROUNDUP(J32, 0)*(Quanti!$N$19+Quanti!$N$25)+ROUNDUP(K32, 0)*((Quanti!$N$19+Quanti!$N$25)*((Quanti!$N$19+Quanti!$N$25)+1)/2),
 J32*(Quanti!$N$19+Quanti!$N$25)+K32*((Quanti!$N$19+Quanti!$N$25)*((Quanti!$N$19+Quanti!$N$25)+1)/2))-M32</f>
        <v>0</v>
      </c>
      <c r="P32" s="3145">
        <f t="shared" si="23"/>
        <v>0</v>
      </c>
      <c r="Q32" s="1513">
        <f>IF(Quanti!$O$54="OUI",
ROUNDUP($J32, 0)*R$7+ROUNDUP($K32, 0)*(R$7*(R$7+1)/2),
 R$7*$J32+(R$7*(R$7+1)/2)*$K32)</f>
        <v>0</v>
      </c>
      <c r="R32" s="1511">
        <f t="shared" si="1"/>
        <v>0</v>
      </c>
      <c r="S32" s="3145">
        <f t="shared" si="2"/>
        <v>0</v>
      </c>
      <c r="T32" s="1513">
        <f>IF(Quanti!$O$54="OUI",
ROUNDUP($J32, 0)*U$7+ROUNDUP($K32, 0)*(U$7*(U$7+1)/2),
 U$7*$J32+(U$7*(U$7+1)/2)*$K32)</f>
        <v>0</v>
      </c>
      <c r="U32" s="1514">
        <f t="shared" si="24"/>
        <v>0</v>
      </c>
      <c r="V32" s="3145">
        <f t="shared" si="3"/>
        <v>0</v>
      </c>
      <c r="W32" s="1513">
        <f>IF(Quanti!$O$54="OUI",
ROUNDUP($J32, 0)*X$7+ROUNDUP($K32, 0)*(X$7*(X$7+1)/2),
 X$7*$J32+(X$7*(X$7+1)/2)*$K32)</f>
        <v>0</v>
      </c>
      <c r="X32" s="1514">
        <f t="shared" si="25"/>
        <v>0</v>
      </c>
      <c r="Y32" s="3145">
        <f t="shared" si="4"/>
        <v>0</v>
      </c>
      <c r="Z32" s="1513">
        <f>IF(Quanti!$O$54="OUI",
ROUNDUP($J32, 0)*AA$7+ROUNDUP($K32, 0)*(AA$7*(AA$7+1)/2),
 AA$7*$J32+(AA$7*(AA$7+1)/2)*$K32)</f>
        <v>0</v>
      </c>
      <c r="AA32" s="1514">
        <f t="shared" si="26"/>
        <v>0</v>
      </c>
      <c r="AB32" s="3145">
        <f t="shared" si="5"/>
        <v>0</v>
      </c>
      <c r="AC32" s="1513">
        <f>IF(Quanti!$O$54="OUI",
ROUNDUP($J32, 0)*AD$7+ROUNDUP($K32, 0)*(AD$7*(AD$7+1)/2),
 AD$7*$J32+(AD$7*(AD$7+1)/2)*$K32)</f>
        <v>0</v>
      </c>
      <c r="AD32" s="1514">
        <f t="shared" si="27"/>
        <v>0</v>
      </c>
      <c r="AE32" s="3145">
        <f t="shared" si="6"/>
        <v>0</v>
      </c>
      <c r="AF32" s="1513">
        <f>IF(Quanti!$O$54="OUI",
ROUNDUP($J32, 0)*AG$7+ROUNDUP($K32, 0)*(AG$7*(AG$7+1)/2),
 AG$7*$J32+(AG$7*(AG$7+1)/2)*$K32)</f>
        <v>0</v>
      </c>
      <c r="AG32" s="1514">
        <f t="shared" si="28"/>
        <v>0</v>
      </c>
      <c r="AH32" s="3145">
        <f t="shared" si="7"/>
        <v>0</v>
      </c>
      <c r="AI32" s="1513">
        <f>IF(Quanti!$O$54="OUI",
ROUNDUP($J32, 0)*AJ$7+ROUNDUP($K32, 0)*(AJ$7*(AJ$7+1)/2),
 AJ$7*$J32+(AJ$7*(AJ$7+1)/2)*$K32)</f>
        <v>0</v>
      </c>
      <c r="AJ32" s="1514">
        <f t="shared" si="29"/>
        <v>0</v>
      </c>
      <c r="AK32" s="3145">
        <f t="shared" si="8"/>
        <v>0</v>
      </c>
      <c r="AL32" s="1513">
        <f>IF(Quanti!$O$54="OUI",
ROUNDUP($J32, 0)*AM$7+ROUNDUP($K32, 0)*(AM$7*(AM$7+1)/2),
 AM$7*$J32+(AM$7*(AM$7+1)/2)*$K32)</f>
        <v>0</v>
      </c>
      <c r="AM32" s="1514">
        <f t="shared" si="30"/>
        <v>0</v>
      </c>
      <c r="AN32" s="3145">
        <f t="shared" si="9"/>
        <v>0</v>
      </c>
      <c r="AO32" s="1513">
        <f>IF(Quanti!$O$54="OUI",
ROUNDUP($J32, 0)*AP$7+ROUNDUP($K32, 0)*(AP$7*(AP$7+1)/2),
 AP$7*$J32+(AP$7*(AP$7+1)/2)*$K32)</f>
        <v>0</v>
      </c>
      <c r="AP32" s="1514">
        <f t="shared" si="31"/>
        <v>0</v>
      </c>
      <c r="AQ32" s="3145">
        <f t="shared" si="10"/>
        <v>0</v>
      </c>
      <c r="AR32" s="1513">
        <f>IF(Quanti!$O$54="OUI",
ROUNDUP($J32, 0)*AS$7+ROUNDUP($K32, 0)*(AS$7*(AS$7+1)/2),
 AS$7*$J32+(AS$7*(AS$7+1)/2)*$K32)</f>
        <v>0</v>
      </c>
      <c r="AS32" s="1514">
        <f t="shared" si="32"/>
        <v>0</v>
      </c>
      <c r="AT32" s="3145">
        <f t="shared" si="11"/>
        <v>0</v>
      </c>
      <c r="AU32" s="1513">
        <f>IF(Quanti!$O$54="OUI",
ROUNDUP($J32, 0)*AV$7+ROUNDUP($K32, 0)*(AV$7*(AV$7+1)/2),
 AV$7*$J32+(AV$7*(AV$7+1)/2)*$K32)</f>
        <v>0</v>
      </c>
      <c r="AV32" s="1514">
        <f t="shared" si="33"/>
        <v>0</v>
      </c>
      <c r="AW32" s="3145">
        <f t="shared" si="12"/>
        <v>0</v>
      </c>
      <c r="AX32" s="1513">
        <f>IF(Quanti!$O$54="OUI",
ROUNDUP($J32, 0)*AY$7+ROUNDUP($K32, 0)*(AY$7*(AY$7+1)/2),
 AY$7*$J32+(AY$7*(AY$7+1)/2)*$K32)</f>
        <v>0</v>
      </c>
      <c r="AY32" s="1514">
        <f t="shared" si="34"/>
        <v>0</v>
      </c>
      <c r="AZ32" s="3145">
        <f t="shared" si="13"/>
        <v>0</v>
      </c>
      <c r="BA32" s="1513">
        <f>IF(Quanti!$O$54="OUI",
ROUNDUP($J32, 0)*BB$7+ROUNDUP($K32, 0)*(BB$7*(BB$7+1)/2),
 BB$7*$J32+(BB$7*(BB$7+1)/2)*$K32)</f>
        <v>0</v>
      </c>
      <c r="BB32" s="1514">
        <f t="shared" si="35"/>
        <v>0</v>
      </c>
      <c r="BC32" s="3145">
        <f t="shared" si="14"/>
        <v>0</v>
      </c>
      <c r="BD32" s="1513">
        <f>IF(Quanti!$O$54="OUI",
ROUNDUP($J32, 0)*BE$7+ROUNDUP($K32, 0)*(BE$7*(BE$7+1)/2),
 BE$7*$J32+(BE$7*(BE$7+1)/2)*$K32)</f>
        <v>0</v>
      </c>
      <c r="BE32" s="1514">
        <f t="shared" si="36"/>
        <v>0</v>
      </c>
      <c r="BF32" s="3145">
        <f t="shared" si="15"/>
        <v>0</v>
      </c>
      <c r="BG32" s="1513">
        <f>IF(Quanti!$O$54="OUI",
ROUNDUP($J32, 0)*BH$7+ROUNDUP($K32, 0)*(BH$7*(BH$7+1)/2),
 BH$7*$J32+(BH$7*(BH$7+1)/2)*$K32)</f>
        <v>0</v>
      </c>
      <c r="BH32" s="1514">
        <f t="shared" si="37"/>
        <v>0</v>
      </c>
      <c r="BI32" s="3145">
        <f t="shared" si="16"/>
        <v>0</v>
      </c>
      <c r="BJ32" s="1513">
        <f>IF(Quanti!$O$54="OUI",
ROUNDUP($J32, 0)*BK$7+ROUNDUP($K32, 0)*(BK$7*(BK$7+1)/2),
 BK$7*$J32+(BK$7*(BK$7+1)/2)*$K32)</f>
        <v>0</v>
      </c>
      <c r="BK32" s="1514">
        <f t="shared" si="38"/>
        <v>0</v>
      </c>
      <c r="BL32" s="3145">
        <f t="shared" si="17"/>
        <v>0</v>
      </c>
      <c r="BM32" s="1513">
        <f>IF(Quanti!$O$54="OUI",
ROUNDUP($J32, 0)*BN$7+ROUNDUP($K32, 0)*(BN$7*(BN$7+1)/2),
 BN$7*$J32+(BN$7*(BN$7+1)/2)*$K32)</f>
        <v>0</v>
      </c>
      <c r="BN32" s="1514">
        <f t="shared" si="39"/>
        <v>0</v>
      </c>
      <c r="BO32" s="3145">
        <f t="shared" si="18"/>
        <v>0</v>
      </c>
      <c r="BP32" s="1513">
        <f>IF(Quanti!$O$54="OUI",
ROUNDUP($J32, 0)*BQ$7+ROUNDUP($K32, 0)*(BQ$7*(BQ$7+1)/2),
 BQ$7*$J32+(BQ$7*(BQ$7+1)/2)*$K32)</f>
        <v>0</v>
      </c>
      <c r="BQ32" s="1514">
        <f t="shared" si="40"/>
        <v>0</v>
      </c>
      <c r="BR32" s="3145">
        <f t="shared" si="19"/>
        <v>0</v>
      </c>
      <c r="BS32" s="1513">
        <f>IF(Quanti!$O$54="OUI",
ROUNDUP($J32, 0)*BT$7+ROUNDUP($K32, 0)*(BT$7*(BT$7+1)/2),
 BT$7*$J32+(BT$7*(BT$7+1)/2)*$K32)</f>
        <v>0</v>
      </c>
      <c r="BT32" s="1514">
        <f t="shared" si="41"/>
        <v>0</v>
      </c>
      <c r="BU32" s="3145">
        <f t="shared" si="20"/>
        <v>0</v>
      </c>
      <c r="BV32" s="1513">
        <f>IF(Quanti!$O$54="OUI",
ROUNDUP($J32, 0)*BW$7+ROUNDUP($K32, 0)*(BW$7*(BW$7+1)/2),
 BW$7*$J32+(BW$7*(BW$7+1)/2)*$K32)</f>
        <v>0</v>
      </c>
      <c r="BW32" s="1514">
        <f t="shared" si="42"/>
        <v>0</v>
      </c>
      <c r="BX32" s="3145">
        <f t="shared" si="21"/>
        <v>0</v>
      </c>
    </row>
    <row r="33" spans="2:76" x14ac:dyDescent="0.2">
      <c r="B33" s="37"/>
      <c r="C33" s="98"/>
      <c r="D33" s="1658" t="str">
        <f>'Saisie données stocks'!F43</f>
        <v>AZT</v>
      </c>
      <c r="E33" s="1659" t="str">
        <f>'Saisie données stocks'!G43</f>
        <v>Cp</v>
      </c>
      <c r="F33" s="1662" t="str">
        <f>'Saisie données stocks'!H43</f>
        <v>100 mg</v>
      </c>
      <c r="G33" s="89" t="str">
        <f>'Saisie données stocks'!I43</f>
        <v>Zidovudine</v>
      </c>
      <c r="H33" s="114">
        <f>'Saisie données stocks'!L43</f>
        <v>100</v>
      </c>
      <c r="I33" s="330"/>
      <c r="J33" s="3150">
        <f>IF(Quanti!$D$9="X", 'Calculs dispo Données FA'!N149, IF(Quanti!$D$10="X", 'Calculs dispo Données conso'!N151, "0"))</f>
        <v>0</v>
      </c>
      <c r="K33" s="3148">
        <f>IF(Quanti!$D$9="X", 'Calculs dispo Données FA'!O149, IF(Quanti!$D$10="X", 'Calculs dispo Données conso'!O151, "0"))</f>
        <v>0</v>
      </c>
      <c r="L33" s="3151">
        <f>Calculs!O456</f>
        <v>0</v>
      </c>
      <c r="M33" s="3140">
        <f t="shared" si="22"/>
        <v>0</v>
      </c>
      <c r="N33" s="3140">
        <f t="shared" si="0"/>
        <v>0</v>
      </c>
      <c r="O33" s="1513">
        <f>IF(Quanti!$O$54="OUI",
ROUNDUP(J33, 0)*(Quanti!$N$19+Quanti!$N$25)+ROUNDUP(K33, 0)*((Quanti!$N$19+Quanti!$N$25)*((Quanti!$N$19+Quanti!$N$25)+1)/2),
 J33*(Quanti!$N$19+Quanti!$N$25)+K33*((Quanti!$N$19+Quanti!$N$25)*((Quanti!$N$19+Quanti!$N$25)+1)/2))-M33</f>
        <v>0</v>
      </c>
      <c r="P33" s="3145">
        <f t="shared" si="23"/>
        <v>0</v>
      </c>
      <c r="Q33" s="1513">
        <f>IF(Quanti!$O$54="OUI",
ROUNDUP($J33, 0)*R$7+ROUNDUP($K33, 0)*(R$7*(R$7+1)/2),
 R$7*$J33+(R$7*(R$7+1)/2)*$K33)</f>
        <v>0</v>
      </c>
      <c r="R33" s="1511">
        <f t="shared" si="1"/>
        <v>0</v>
      </c>
      <c r="S33" s="3145">
        <f t="shared" si="2"/>
        <v>0</v>
      </c>
      <c r="T33" s="1513">
        <f>IF(Quanti!$O$54="OUI",
ROUNDUP($J33, 0)*U$7+ROUNDUP($K33, 0)*(U$7*(U$7+1)/2),
 U$7*$J33+(U$7*(U$7+1)/2)*$K33)</f>
        <v>0</v>
      </c>
      <c r="U33" s="1514">
        <f t="shared" si="24"/>
        <v>0</v>
      </c>
      <c r="V33" s="3145">
        <f t="shared" si="3"/>
        <v>0</v>
      </c>
      <c r="W33" s="1513">
        <f>IF(Quanti!$O$54="OUI",
ROUNDUP($J33, 0)*X$7+ROUNDUP($K33, 0)*(X$7*(X$7+1)/2),
 X$7*$J33+(X$7*(X$7+1)/2)*$K33)</f>
        <v>0</v>
      </c>
      <c r="X33" s="1514">
        <f t="shared" si="25"/>
        <v>0</v>
      </c>
      <c r="Y33" s="3145">
        <f t="shared" si="4"/>
        <v>0</v>
      </c>
      <c r="Z33" s="1513">
        <f>IF(Quanti!$O$54="OUI",
ROUNDUP($J33, 0)*AA$7+ROUNDUP($K33, 0)*(AA$7*(AA$7+1)/2),
 AA$7*$J33+(AA$7*(AA$7+1)/2)*$K33)</f>
        <v>0</v>
      </c>
      <c r="AA33" s="1514">
        <f t="shared" si="26"/>
        <v>0</v>
      </c>
      <c r="AB33" s="3145">
        <f t="shared" si="5"/>
        <v>0</v>
      </c>
      <c r="AC33" s="1513">
        <f>IF(Quanti!$O$54="OUI",
ROUNDUP($J33, 0)*AD$7+ROUNDUP($K33, 0)*(AD$7*(AD$7+1)/2),
 AD$7*$J33+(AD$7*(AD$7+1)/2)*$K33)</f>
        <v>0</v>
      </c>
      <c r="AD33" s="1514">
        <f t="shared" si="27"/>
        <v>0</v>
      </c>
      <c r="AE33" s="3145">
        <f t="shared" si="6"/>
        <v>0</v>
      </c>
      <c r="AF33" s="1513">
        <f>IF(Quanti!$O$54="OUI",
ROUNDUP($J33, 0)*AG$7+ROUNDUP($K33, 0)*(AG$7*(AG$7+1)/2),
 AG$7*$J33+(AG$7*(AG$7+1)/2)*$K33)</f>
        <v>0</v>
      </c>
      <c r="AG33" s="1514">
        <f t="shared" si="28"/>
        <v>0</v>
      </c>
      <c r="AH33" s="3145">
        <f t="shared" si="7"/>
        <v>0</v>
      </c>
      <c r="AI33" s="1513">
        <f>IF(Quanti!$O$54="OUI",
ROUNDUP($J33, 0)*AJ$7+ROUNDUP($K33, 0)*(AJ$7*(AJ$7+1)/2),
 AJ$7*$J33+(AJ$7*(AJ$7+1)/2)*$K33)</f>
        <v>0</v>
      </c>
      <c r="AJ33" s="1514">
        <f t="shared" si="29"/>
        <v>0</v>
      </c>
      <c r="AK33" s="3145">
        <f t="shared" si="8"/>
        <v>0</v>
      </c>
      <c r="AL33" s="1513">
        <f>IF(Quanti!$O$54="OUI",
ROUNDUP($J33, 0)*AM$7+ROUNDUP($K33, 0)*(AM$7*(AM$7+1)/2),
 AM$7*$J33+(AM$7*(AM$7+1)/2)*$K33)</f>
        <v>0</v>
      </c>
      <c r="AM33" s="1514">
        <f t="shared" si="30"/>
        <v>0</v>
      </c>
      <c r="AN33" s="3145">
        <f t="shared" si="9"/>
        <v>0</v>
      </c>
      <c r="AO33" s="1513">
        <f>IF(Quanti!$O$54="OUI",
ROUNDUP($J33, 0)*AP$7+ROUNDUP($K33, 0)*(AP$7*(AP$7+1)/2),
 AP$7*$J33+(AP$7*(AP$7+1)/2)*$K33)</f>
        <v>0</v>
      </c>
      <c r="AP33" s="1514">
        <f t="shared" si="31"/>
        <v>0</v>
      </c>
      <c r="AQ33" s="3145">
        <f t="shared" si="10"/>
        <v>0</v>
      </c>
      <c r="AR33" s="1513">
        <f>IF(Quanti!$O$54="OUI",
ROUNDUP($J33, 0)*AS$7+ROUNDUP($K33, 0)*(AS$7*(AS$7+1)/2),
 AS$7*$J33+(AS$7*(AS$7+1)/2)*$K33)</f>
        <v>0</v>
      </c>
      <c r="AS33" s="1514">
        <f t="shared" si="32"/>
        <v>0</v>
      </c>
      <c r="AT33" s="3145">
        <f t="shared" si="11"/>
        <v>0</v>
      </c>
      <c r="AU33" s="1513">
        <f>IF(Quanti!$O$54="OUI",
ROUNDUP($J33, 0)*AV$7+ROUNDUP($K33, 0)*(AV$7*(AV$7+1)/2),
 AV$7*$J33+(AV$7*(AV$7+1)/2)*$K33)</f>
        <v>0</v>
      </c>
      <c r="AV33" s="1514">
        <f t="shared" si="33"/>
        <v>0</v>
      </c>
      <c r="AW33" s="3145">
        <f t="shared" si="12"/>
        <v>0</v>
      </c>
      <c r="AX33" s="1513">
        <f>IF(Quanti!$O$54="OUI",
ROUNDUP($J33, 0)*AY$7+ROUNDUP($K33, 0)*(AY$7*(AY$7+1)/2),
 AY$7*$J33+(AY$7*(AY$7+1)/2)*$K33)</f>
        <v>0</v>
      </c>
      <c r="AY33" s="1514">
        <f t="shared" si="34"/>
        <v>0</v>
      </c>
      <c r="AZ33" s="3145">
        <f t="shared" si="13"/>
        <v>0</v>
      </c>
      <c r="BA33" s="1513">
        <f>IF(Quanti!$O$54="OUI",
ROUNDUP($J33, 0)*BB$7+ROUNDUP($K33, 0)*(BB$7*(BB$7+1)/2),
 BB$7*$J33+(BB$7*(BB$7+1)/2)*$K33)</f>
        <v>0</v>
      </c>
      <c r="BB33" s="1514">
        <f t="shared" si="35"/>
        <v>0</v>
      </c>
      <c r="BC33" s="3145">
        <f t="shared" si="14"/>
        <v>0</v>
      </c>
      <c r="BD33" s="1513">
        <f>IF(Quanti!$O$54="OUI",
ROUNDUP($J33, 0)*BE$7+ROUNDUP($K33, 0)*(BE$7*(BE$7+1)/2),
 BE$7*$J33+(BE$7*(BE$7+1)/2)*$K33)</f>
        <v>0</v>
      </c>
      <c r="BE33" s="1514">
        <f t="shared" si="36"/>
        <v>0</v>
      </c>
      <c r="BF33" s="3145">
        <f t="shared" si="15"/>
        <v>0</v>
      </c>
      <c r="BG33" s="1513">
        <f>IF(Quanti!$O$54="OUI",
ROUNDUP($J33, 0)*BH$7+ROUNDUP($K33, 0)*(BH$7*(BH$7+1)/2),
 BH$7*$J33+(BH$7*(BH$7+1)/2)*$K33)</f>
        <v>0</v>
      </c>
      <c r="BH33" s="1514">
        <f t="shared" si="37"/>
        <v>0</v>
      </c>
      <c r="BI33" s="3145">
        <f t="shared" si="16"/>
        <v>0</v>
      </c>
      <c r="BJ33" s="1513">
        <f>IF(Quanti!$O$54="OUI",
ROUNDUP($J33, 0)*BK$7+ROUNDUP($K33, 0)*(BK$7*(BK$7+1)/2),
 BK$7*$J33+(BK$7*(BK$7+1)/2)*$K33)</f>
        <v>0</v>
      </c>
      <c r="BK33" s="1514">
        <f t="shared" si="38"/>
        <v>0</v>
      </c>
      <c r="BL33" s="3145">
        <f t="shared" si="17"/>
        <v>0</v>
      </c>
      <c r="BM33" s="1513">
        <f>IF(Quanti!$O$54="OUI",
ROUNDUP($J33, 0)*BN$7+ROUNDUP($K33, 0)*(BN$7*(BN$7+1)/2),
 BN$7*$J33+(BN$7*(BN$7+1)/2)*$K33)</f>
        <v>0</v>
      </c>
      <c r="BN33" s="1514">
        <f t="shared" si="39"/>
        <v>0</v>
      </c>
      <c r="BO33" s="3145">
        <f t="shared" si="18"/>
        <v>0</v>
      </c>
      <c r="BP33" s="1513">
        <f>IF(Quanti!$O$54="OUI",
ROUNDUP($J33, 0)*BQ$7+ROUNDUP($K33, 0)*(BQ$7*(BQ$7+1)/2),
 BQ$7*$J33+(BQ$7*(BQ$7+1)/2)*$K33)</f>
        <v>0</v>
      </c>
      <c r="BQ33" s="1514">
        <f t="shared" si="40"/>
        <v>0</v>
      </c>
      <c r="BR33" s="3145">
        <f t="shared" si="19"/>
        <v>0</v>
      </c>
      <c r="BS33" s="1513">
        <f>IF(Quanti!$O$54="OUI",
ROUNDUP($J33, 0)*BT$7+ROUNDUP($K33, 0)*(BT$7*(BT$7+1)/2),
 BT$7*$J33+(BT$7*(BT$7+1)/2)*$K33)</f>
        <v>0</v>
      </c>
      <c r="BT33" s="1514">
        <f t="shared" si="41"/>
        <v>0</v>
      </c>
      <c r="BU33" s="3145">
        <f t="shared" si="20"/>
        <v>0</v>
      </c>
      <c r="BV33" s="1513">
        <f>IF(Quanti!$O$54="OUI",
ROUNDUP($J33, 0)*BW$7+ROUNDUP($K33, 0)*(BW$7*(BW$7+1)/2),
 BW$7*$J33+(BW$7*(BW$7+1)/2)*$K33)</f>
        <v>0</v>
      </c>
      <c r="BW33" s="1514">
        <f t="shared" si="42"/>
        <v>0</v>
      </c>
      <c r="BX33" s="3145">
        <f t="shared" si="21"/>
        <v>0</v>
      </c>
    </row>
    <row r="34" spans="2:76" x14ac:dyDescent="0.2">
      <c r="B34" s="37"/>
      <c r="C34" s="98"/>
      <c r="D34" s="1658" t="str">
        <f>'Saisie données stocks'!F44</f>
        <v>AZT</v>
      </c>
      <c r="E34" s="1659" t="str">
        <f>'Saisie données stocks'!G44</f>
        <v>Cp</v>
      </c>
      <c r="F34" s="1662" t="str">
        <f>'Saisie données stocks'!H44</f>
        <v>60 mg</v>
      </c>
      <c r="G34" s="89" t="str">
        <f>'Saisie données stocks'!I44</f>
        <v>Zidovudine</v>
      </c>
      <c r="H34" s="114">
        <f>'Saisie données stocks'!L44</f>
        <v>60</v>
      </c>
      <c r="I34" s="330"/>
      <c r="J34" s="3150">
        <f>IF(Quanti!$D$9="X", 'Calculs dispo Données FA'!N150, IF(Quanti!$D$10="X", 'Calculs dispo Données conso'!N152, "0"))</f>
        <v>0</v>
      </c>
      <c r="K34" s="3148">
        <f>IF(Quanti!$D$9="X", 'Calculs dispo Données FA'!O150, IF(Quanti!$D$10="X", 'Calculs dispo Données conso'!O152, "0"))</f>
        <v>0</v>
      </c>
      <c r="L34" s="3151">
        <f>Calculs!O457</f>
        <v>0</v>
      </c>
      <c r="M34" s="3140">
        <f t="shared" si="22"/>
        <v>0</v>
      </c>
      <c r="N34" s="3140">
        <f t="shared" si="0"/>
        <v>0</v>
      </c>
      <c r="O34" s="1513">
        <f>IF(Quanti!$O$54="OUI",
ROUNDUP(J34, 0)*(Quanti!$N$19+Quanti!$N$25)+ROUNDUP(K34, 0)*((Quanti!$N$19+Quanti!$N$25)*((Quanti!$N$19+Quanti!$N$25)+1)/2),
 J34*(Quanti!$N$19+Quanti!$N$25)+K34*((Quanti!$N$19+Quanti!$N$25)*((Quanti!$N$19+Quanti!$N$25)+1)/2))-M34</f>
        <v>0</v>
      </c>
      <c r="P34" s="3145">
        <f t="shared" si="23"/>
        <v>0</v>
      </c>
      <c r="Q34" s="1513">
        <f>IF(Quanti!$O$54="OUI",
ROUNDUP($J34, 0)*R$7+ROUNDUP($K34, 0)*(R$7*(R$7+1)/2),
 R$7*$J34+(R$7*(R$7+1)/2)*$K34)</f>
        <v>0</v>
      </c>
      <c r="R34" s="1511">
        <f t="shared" si="1"/>
        <v>0</v>
      </c>
      <c r="S34" s="3145">
        <f t="shared" si="2"/>
        <v>0</v>
      </c>
      <c r="T34" s="1513">
        <f>IF(Quanti!$O$54="OUI",
ROUNDUP($J34, 0)*U$7+ROUNDUP($K34, 0)*(U$7*(U$7+1)/2),
 U$7*$J34+(U$7*(U$7+1)/2)*$K34)</f>
        <v>0</v>
      </c>
      <c r="U34" s="1514">
        <f t="shared" si="24"/>
        <v>0</v>
      </c>
      <c r="V34" s="3145">
        <f t="shared" si="3"/>
        <v>0</v>
      </c>
      <c r="W34" s="1513">
        <f>IF(Quanti!$O$54="OUI",
ROUNDUP($J34, 0)*X$7+ROUNDUP($K34, 0)*(X$7*(X$7+1)/2),
 X$7*$J34+(X$7*(X$7+1)/2)*$K34)</f>
        <v>0</v>
      </c>
      <c r="X34" s="1514">
        <f t="shared" si="25"/>
        <v>0</v>
      </c>
      <c r="Y34" s="3145">
        <f t="shared" si="4"/>
        <v>0</v>
      </c>
      <c r="Z34" s="1513">
        <f>IF(Quanti!$O$54="OUI",
ROUNDUP($J34, 0)*AA$7+ROUNDUP($K34, 0)*(AA$7*(AA$7+1)/2),
 AA$7*$J34+(AA$7*(AA$7+1)/2)*$K34)</f>
        <v>0</v>
      </c>
      <c r="AA34" s="1514">
        <f t="shared" si="26"/>
        <v>0</v>
      </c>
      <c r="AB34" s="3145">
        <f t="shared" si="5"/>
        <v>0</v>
      </c>
      <c r="AC34" s="1513">
        <f>IF(Quanti!$O$54="OUI",
ROUNDUP($J34, 0)*AD$7+ROUNDUP($K34, 0)*(AD$7*(AD$7+1)/2),
 AD$7*$J34+(AD$7*(AD$7+1)/2)*$K34)</f>
        <v>0</v>
      </c>
      <c r="AD34" s="1514">
        <f t="shared" si="27"/>
        <v>0</v>
      </c>
      <c r="AE34" s="3145">
        <f t="shared" si="6"/>
        <v>0</v>
      </c>
      <c r="AF34" s="1513">
        <f>IF(Quanti!$O$54="OUI",
ROUNDUP($J34, 0)*AG$7+ROUNDUP($K34, 0)*(AG$7*(AG$7+1)/2),
 AG$7*$J34+(AG$7*(AG$7+1)/2)*$K34)</f>
        <v>0</v>
      </c>
      <c r="AG34" s="1514">
        <f t="shared" si="28"/>
        <v>0</v>
      </c>
      <c r="AH34" s="3145">
        <f t="shared" si="7"/>
        <v>0</v>
      </c>
      <c r="AI34" s="1513">
        <f>IF(Quanti!$O$54="OUI",
ROUNDUP($J34, 0)*AJ$7+ROUNDUP($K34, 0)*(AJ$7*(AJ$7+1)/2),
 AJ$7*$J34+(AJ$7*(AJ$7+1)/2)*$K34)</f>
        <v>0</v>
      </c>
      <c r="AJ34" s="1514">
        <f t="shared" si="29"/>
        <v>0</v>
      </c>
      <c r="AK34" s="3145">
        <f t="shared" si="8"/>
        <v>0</v>
      </c>
      <c r="AL34" s="1513">
        <f>IF(Quanti!$O$54="OUI",
ROUNDUP($J34, 0)*AM$7+ROUNDUP($K34, 0)*(AM$7*(AM$7+1)/2),
 AM$7*$J34+(AM$7*(AM$7+1)/2)*$K34)</f>
        <v>0</v>
      </c>
      <c r="AM34" s="1514">
        <f t="shared" si="30"/>
        <v>0</v>
      </c>
      <c r="AN34" s="3145">
        <f t="shared" si="9"/>
        <v>0</v>
      </c>
      <c r="AO34" s="1513">
        <f>IF(Quanti!$O$54="OUI",
ROUNDUP($J34, 0)*AP$7+ROUNDUP($K34, 0)*(AP$7*(AP$7+1)/2),
 AP$7*$J34+(AP$7*(AP$7+1)/2)*$K34)</f>
        <v>0</v>
      </c>
      <c r="AP34" s="1514">
        <f t="shared" si="31"/>
        <v>0</v>
      </c>
      <c r="AQ34" s="3145">
        <f t="shared" si="10"/>
        <v>0</v>
      </c>
      <c r="AR34" s="1513">
        <f>IF(Quanti!$O$54="OUI",
ROUNDUP($J34, 0)*AS$7+ROUNDUP($K34, 0)*(AS$7*(AS$7+1)/2),
 AS$7*$J34+(AS$7*(AS$7+1)/2)*$K34)</f>
        <v>0</v>
      </c>
      <c r="AS34" s="1514">
        <f t="shared" si="32"/>
        <v>0</v>
      </c>
      <c r="AT34" s="3145">
        <f t="shared" si="11"/>
        <v>0</v>
      </c>
      <c r="AU34" s="1513">
        <f>IF(Quanti!$O$54="OUI",
ROUNDUP($J34, 0)*AV$7+ROUNDUP($K34, 0)*(AV$7*(AV$7+1)/2),
 AV$7*$J34+(AV$7*(AV$7+1)/2)*$K34)</f>
        <v>0</v>
      </c>
      <c r="AV34" s="1514">
        <f t="shared" si="33"/>
        <v>0</v>
      </c>
      <c r="AW34" s="3145">
        <f t="shared" si="12"/>
        <v>0</v>
      </c>
      <c r="AX34" s="1513">
        <f>IF(Quanti!$O$54="OUI",
ROUNDUP($J34, 0)*AY$7+ROUNDUP($K34, 0)*(AY$7*(AY$7+1)/2),
 AY$7*$J34+(AY$7*(AY$7+1)/2)*$K34)</f>
        <v>0</v>
      </c>
      <c r="AY34" s="1514">
        <f t="shared" si="34"/>
        <v>0</v>
      </c>
      <c r="AZ34" s="3145">
        <f t="shared" si="13"/>
        <v>0</v>
      </c>
      <c r="BA34" s="1513">
        <f>IF(Quanti!$O$54="OUI",
ROUNDUP($J34, 0)*BB$7+ROUNDUP($K34, 0)*(BB$7*(BB$7+1)/2),
 BB$7*$J34+(BB$7*(BB$7+1)/2)*$K34)</f>
        <v>0</v>
      </c>
      <c r="BB34" s="1514">
        <f t="shared" si="35"/>
        <v>0</v>
      </c>
      <c r="BC34" s="3145">
        <f t="shared" si="14"/>
        <v>0</v>
      </c>
      <c r="BD34" s="1513">
        <f>IF(Quanti!$O$54="OUI",
ROUNDUP($J34, 0)*BE$7+ROUNDUP($K34, 0)*(BE$7*(BE$7+1)/2),
 BE$7*$J34+(BE$7*(BE$7+1)/2)*$K34)</f>
        <v>0</v>
      </c>
      <c r="BE34" s="1514">
        <f t="shared" si="36"/>
        <v>0</v>
      </c>
      <c r="BF34" s="3145">
        <f t="shared" si="15"/>
        <v>0</v>
      </c>
      <c r="BG34" s="1513">
        <f>IF(Quanti!$O$54="OUI",
ROUNDUP($J34, 0)*BH$7+ROUNDUP($K34, 0)*(BH$7*(BH$7+1)/2),
 BH$7*$J34+(BH$7*(BH$7+1)/2)*$K34)</f>
        <v>0</v>
      </c>
      <c r="BH34" s="1514">
        <f t="shared" si="37"/>
        <v>0</v>
      </c>
      <c r="BI34" s="3145">
        <f t="shared" si="16"/>
        <v>0</v>
      </c>
      <c r="BJ34" s="1513">
        <f>IF(Quanti!$O$54="OUI",
ROUNDUP($J34, 0)*BK$7+ROUNDUP($K34, 0)*(BK$7*(BK$7+1)/2),
 BK$7*$J34+(BK$7*(BK$7+1)/2)*$K34)</f>
        <v>0</v>
      </c>
      <c r="BK34" s="1514">
        <f t="shared" si="38"/>
        <v>0</v>
      </c>
      <c r="BL34" s="3145">
        <f t="shared" si="17"/>
        <v>0</v>
      </c>
      <c r="BM34" s="1513">
        <f>IF(Quanti!$O$54="OUI",
ROUNDUP($J34, 0)*BN$7+ROUNDUP($K34, 0)*(BN$7*(BN$7+1)/2),
 BN$7*$J34+(BN$7*(BN$7+1)/2)*$K34)</f>
        <v>0</v>
      </c>
      <c r="BN34" s="1514">
        <f t="shared" si="39"/>
        <v>0</v>
      </c>
      <c r="BO34" s="3145">
        <f t="shared" si="18"/>
        <v>0</v>
      </c>
      <c r="BP34" s="1513">
        <f>IF(Quanti!$O$54="OUI",
ROUNDUP($J34, 0)*BQ$7+ROUNDUP($K34, 0)*(BQ$7*(BQ$7+1)/2),
 BQ$7*$J34+(BQ$7*(BQ$7+1)/2)*$K34)</f>
        <v>0</v>
      </c>
      <c r="BQ34" s="1514">
        <f t="shared" si="40"/>
        <v>0</v>
      </c>
      <c r="BR34" s="3145">
        <f t="shared" si="19"/>
        <v>0</v>
      </c>
      <c r="BS34" s="1513">
        <f>IF(Quanti!$O$54="OUI",
ROUNDUP($J34, 0)*BT$7+ROUNDUP($K34, 0)*(BT$7*(BT$7+1)/2),
 BT$7*$J34+(BT$7*(BT$7+1)/2)*$K34)</f>
        <v>0</v>
      </c>
      <c r="BT34" s="1514">
        <f t="shared" si="41"/>
        <v>0</v>
      </c>
      <c r="BU34" s="3145">
        <f t="shared" si="20"/>
        <v>0</v>
      </c>
      <c r="BV34" s="1513">
        <f>IF(Quanti!$O$54="OUI",
ROUNDUP($J34, 0)*BW$7+ROUNDUP($K34, 0)*(BW$7*(BW$7+1)/2),
 BW$7*$J34+(BW$7*(BW$7+1)/2)*$K34)</f>
        <v>0</v>
      </c>
      <c r="BW34" s="1514">
        <f t="shared" si="42"/>
        <v>0</v>
      </c>
      <c r="BX34" s="3145">
        <f t="shared" si="21"/>
        <v>0</v>
      </c>
    </row>
    <row r="35" spans="2:76" x14ac:dyDescent="0.2">
      <c r="B35" s="37"/>
      <c r="C35" s="98"/>
      <c r="D35" s="1669" t="str">
        <f>'Saisie données stocks'!F45</f>
        <v>D4T</v>
      </c>
      <c r="E35" s="1670" t="str">
        <f>'Saisie données stocks'!G45</f>
        <v>Cp</v>
      </c>
      <c r="F35" s="1671" t="str">
        <f>'Saisie données stocks'!H45</f>
        <v>30 mg</v>
      </c>
      <c r="G35" s="377" t="str">
        <f>'Saisie données stocks'!I45</f>
        <v>Stavudine</v>
      </c>
      <c r="H35" s="114">
        <f>'Saisie données stocks'!L45</f>
        <v>60</v>
      </c>
      <c r="I35" s="330"/>
      <c r="J35" s="3150">
        <f>IF(Quanti!$D$9="X", 'Calculs dispo Données FA'!N151, IF(Quanti!$D$10="X", 'Calculs dispo Données conso'!N153, "0"))</f>
        <v>0</v>
      </c>
      <c r="K35" s="3148">
        <f>IF(Quanti!$D$9="X", 'Calculs dispo Données FA'!O151, IF(Quanti!$D$10="X", 'Calculs dispo Données conso'!O153, "0"))</f>
        <v>0</v>
      </c>
      <c r="L35" s="3151">
        <f>Calculs!O458</f>
        <v>0</v>
      </c>
      <c r="M35" s="3140">
        <f t="shared" si="22"/>
        <v>0</v>
      </c>
      <c r="N35" s="3140">
        <f t="shared" si="0"/>
        <v>0</v>
      </c>
      <c r="O35" s="1513">
        <f>IF(Quanti!$O$54="OUI",
ROUNDUP(J35, 0)*(Quanti!$N$19+Quanti!$N$25)+ROUNDUP(K35, 0)*((Quanti!$N$19+Quanti!$N$25)*((Quanti!$N$19+Quanti!$N$25)+1)/2),
 J35*(Quanti!$N$19+Quanti!$N$25)+K35*((Quanti!$N$19+Quanti!$N$25)*((Quanti!$N$19+Quanti!$N$25)+1)/2))-M35</f>
        <v>0</v>
      </c>
      <c r="P35" s="3145">
        <f t="shared" si="23"/>
        <v>0</v>
      </c>
      <c r="Q35" s="1513">
        <f>IF(Quanti!$O$54="OUI",
ROUNDUP($J35, 0)*R$7+ROUNDUP($K35, 0)*(R$7*(R$7+1)/2),
 R$7*$J35+(R$7*(R$7+1)/2)*$K35)</f>
        <v>0</v>
      </c>
      <c r="R35" s="1511">
        <f t="shared" si="1"/>
        <v>0</v>
      </c>
      <c r="S35" s="3145">
        <f t="shared" si="2"/>
        <v>0</v>
      </c>
      <c r="T35" s="1513">
        <f>IF(Quanti!$O$54="OUI",
ROUNDUP($J35, 0)*U$7+ROUNDUP($K35, 0)*(U$7*(U$7+1)/2),
 U$7*$J35+(U$7*(U$7+1)/2)*$K35)</f>
        <v>0</v>
      </c>
      <c r="U35" s="1514">
        <f t="shared" si="24"/>
        <v>0</v>
      </c>
      <c r="V35" s="3145">
        <f t="shared" si="3"/>
        <v>0</v>
      </c>
      <c r="W35" s="1513">
        <f>IF(Quanti!$O$54="OUI",
ROUNDUP($J35, 0)*X$7+ROUNDUP($K35, 0)*(X$7*(X$7+1)/2),
 X$7*$J35+(X$7*(X$7+1)/2)*$K35)</f>
        <v>0</v>
      </c>
      <c r="X35" s="1514">
        <f t="shared" si="25"/>
        <v>0</v>
      </c>
      <c r="Y35" s="3145">
        <f t="shared" si="4"/>
        <v>0</v>
      </c>
      <c r="Z35" s="1513">
        <f>IF(Quanti!$O$54="OUI",
ROUNDUP($J35, 0)*AA$7+ROUNDUP($K35, 0)*(AA$7*(AA$7+1)/2),
 AA$7*$J35+(AA$7*(AA$7+1)/2)*$K35)</f>
        <v>0</v>
      </c>
      <c r="AA35" s="1514">
        <f t="shared" si="26"/>
        <v>0</v>
      </c>
      <c r="AB35" s="3145">
        <f t="shared" si="5"/>
        <v>0</v>
      </c>
      <c r="AC35" s="1513">
        <f>IF(Quanti!$O$54="OUI",
ROUNDUP($J35, 0)*AD$7+ROUNDUP($K35, 0)*(AD$7*(AD$7+1)/2),
 AD$7*$J35+(AD$7*(AD$7+1)/2)*$K35)</f>
        <v>0</v>
      </c>
      <c r="AD35" s="1514">
        <f t="shared" si="27"/>
        <v>0</v>
      </c>
      <c r="AE35" s="3145">
        <f t="shared" si="6"/>
        <v>0</v>
      </c>
      <c r="AF35" s="1513">
        <f>IF(Quanti!$O$54="OUI",
ROUNDUP($J35, 0)*AG$7+ROUNDUP($K35, 0)*(AG$7*(AG$7+1)/2),
 AG$7*$J35+(AG$7*(AG$7+1)/2)*$K35)</f>
        <v>0</v>
      </c>
      <c r="AG35" s="1514">
        <f t="shared" si="28"/>
        <v>0</v>
      </c>
      <c r="AH35" s="3145">
        <f t="shared" si="7"/>
        <v>0</v>
      </c>
      <c r="AI35" s="1513">
        <f>IF(Quanti!$O$54="OUI",
ROUNDUP($J35, 0)*AJ$7+ROUNDUP($K35, 0)*(AJ$7*(AJ$7+1)/2),
 AJ$7*$J35+(AJ$7*(AJ$7+1)/2)*$K35)</f>
        <v>0</v>
      </c>
      <c r="AJ35" s="1514">
        <f t="shared" si="29"/>
        <v>0</v>
      </c>
      <c r="AK35" s="3145">
        <f t="shared" si="8"/>
        <v>0</v>
      </c>
      <c r="AL35" s="1513">
        <f>IF(Quanti!$O$54="OUI",
ROUNDUP($J35, 0)*AM$7+ROUNDUP($K35, 0)*(AM$7*(AM$7+1)/2),
 AM$7*$J35+(AM$7*(AM$7+1)/2)*$K35)</f>
        <v>0</v>
      </c>
      <c r="AM35" s="1514">
        <f t="shared" si="30"/>
        <v>0</v>
      </c>
      <c r="AN35" s="3145">
        <f t="shared" si="9"/>
        <v>0</v>
      </c>
      <c r="AO35" s="1513">
        <f>IF(Quanti!$O$54="OUI",
ROUNDUP($J35, 0)*AP$7+ROUNDUP($K35, 0)*(AP$7*(AP$7+1)/2),
 AP$7*$J35+(AP$7*(AP$7+1)/2)*$K35)</f>
        <v>0</v>
      </c>
      <c r="AP35" s="1514">
        <f t="shared" si="31"/>
        <v>0</v>
      </c>
      <c r="AQ35" s="3145">
        <f t="shared" si="10"/>
        <v>0</v>
      </c>
      <c r="AR35" s="1513">
        <f>IF(Quanti!$O$54="OUI",
ROUNDUP($J35, 0)*AS$7+ROUNDUP($K35, 0)*(AS$7*(AS$7+1)/2),
 AS$7*$J35+(AS$7*(AS$7+1)/2)*$K35)</f>
        <v>0</v>
      </c>
      <c r="AS35" s="1514">
        <f t="shared" si="32"/>
        <v>0</v>
      </c>
      <c r="AT35" s="3145">
        <f t="shared" si="11"/>
        <v>0</v>
      </c>
      <c r="AU35" s="1513">
        <f>IF(Quanti!$O$54="OUI",
ROUNDUP($J35, 0)*AV$7+ROUNDUP($K35, 0)*(AV$7*(AV$7+1)/2),
 AV$7*$J35+(AV$7*(AV$7+1)/2)*$K35)</f>
        <v>0</v>
      </c>
      <c r="AV35" s="1514">
        <f t="shared" si="33"/>
        <v>0</v>
      </c>
      <c r="AW35" s="3145">
        <f t="shared" si="12"/>
        <v>0</v>
      </c>
      <c r="AX35" s="1513">
        <f>IF(Quanti!$O$54="OUI",
ROUNDUP($J35, 0)*AY$7+ROUNDUP($K35, 0)*(AY$7*(AY$7+1)/2),
 AY$7*$J35+(AY$7*(AY$7+1)/2)*$K35)</f>
        <v>0</v>
      </c>
      <c r="AY35" s="1514">
        <f t="shared" si="34"/>
        <v>0</v>
      </c>
      <c r="AZ35" s="3145">
        <f t="shared" si="13"/>
        <v>0</v>
      </c>
      <c r="BA35" s="1513">
        <f>IF(Quanti!$O$54="OUI",
ROUNDUP($J35, 0)*BB$7+ROUNDUP($K35, 0)*(BB$7*(BB$7+1)/2),
 BB$7*$J35+(BB$7*(BB$7+1)/2)*$K35)</f>
        <v>0</v>
      </c>
      <c r="BB35" s="1514">
        <f t="shared" si="35"/>
        <v>0</v>
      </c>
      <c r="BC35" s="3145">
        <f t="shared" si="14"/>
        <v>0</v>
      </c>
      <c r="BD35" s="1513">
        <f>IF(Quanti!$O$54="OUI",
ROUNDUP($J35, 0)*BE$7+ROUNDUP($K35, 0)*(BE$7*(BE$7+1)/2),
 BE$7*$J35+(BE$7*(BE$7+1)/2)*$K35)</f>
        <v>0</v>
      </c>
      <c r="BE35" s="1514">
        <f t="shared" si="36"/>
        <v>0</v>
      </c>
      <c r="BF35" s="3145">
        <f t="shared" si="15"/>
        <v>0</v>
      </c>
      <c r="BG35" s="1513">
        <f>IF(Quanti!$O$54="OUI",
ROUNDUP($J35, 0)*BH$7+ROUNDUP($K35, 0)*(BH$7*(BH$7+1)/2),
 BH$7*$J35+(BH$7*(BH$7+1)/2)*$K35)</f>
        <v>0</v>
      </c>
      <c r="BH35" s="1514">
        <f t="shared" si="37"/>
        <v>0</v>
      </c>
      <c r="BI35" s="3145">
        <f t="shared" si="16"/>
        <v>0</v>
      </c>
      <c r="BJ35" s="1513">
        <f>IF(Quanti!$O$54="OUI",
ROUNDUP($J35, 0)*BK$7+ROUNDUP($K35, 0)*(BK$7*(BK$7+1)/2),
 BK$7*$J35+(BK$7*(BK$7+1)/2)*$K35)</f>
        <v>0</v>
      </c>
      <c r="BK35" s="1514">
        <f t="shared" si="38"/>
        <v>0</v>
      </c>
      <c r="BL35" s="3145">
        <f t="shared" si="17"/>
        <v>0</v>
      </c>
      <c r="BM35" s="1513">
        <f>IF(Quanti!$O$54="OUI",
ROUNDUP($J35, 0)*BN$7+ROUNDUP($K35, 0)*(BN$7*(BN$7+1)/2),
 BN$7*$J35+(BN$7*(BN$7+1)/2)*$K35)</f>
        <v>0</v>
      </c>
      <c r="BN35" s="1514">
        <f t="shared" si="39"/>
        <v>0</v>
      </c>
      <c r="BO35" s="3145">
        <f t="shared" si="18"/>
        <v>0</v>
      </c>
      <c r="BP35" s="1513">
        <f>IF(Quanti!$O$54="OUI",
ROUNDUP($J35, 0)*BQ$7+ROUNDUP($K35, 0)*(BQ$7*(BQ$7+1)/2),
 BQ$7*$J35+(BQ$7*(BQ$7+1)/2)*$K35)</f>
        <v>0</v>
      </c>
      <c r="BQ35" s="1514">
        <f t="shared" si="40"/>
        <v>0</v>
      </c>
      <c r="BR35" s="3145">
        <f t="shared" si="19"/>
        <v>0</v>
      </c>
      <c r="BS35" s="1513">
        <f>IF(Quanti!$O$54="OUI",
ROUNDUP($J35, 0)*BT$7+ROUNDUP($K35, 0)*(BT$7*(BT$7+1)/2),
 BT$7*$J35+(BT$7*(BT$7+1)/2)*$K35)</f>
        <v>0</v>
      </c>
      <c r="BT35" s="1514">
        <f t="shared" si="41"/>
        <v>0</v>
      </c>
      <c r="BU35" s="3145">
        <f t="shared" si="20"/>
        <v>0</v>
      </c>
      <c r="BV35" s="1513">
        <f>IF(Quanti!$O$54="OUI",
ROUNDUP($J35, 0)*BW$7+ROUNDUP($K35, 0)*(BW$7*(BW$7+1)/2),
 BW$7*$J35+(BW$7*(BW$7+1)/2)*$K35)</f>
        <v>0</v>
      </c>
      <c r="BW35" s="1514">
        <f t="shared" si="42"/>
        <v>0</v>
      </c>
      <c r="BX35" s="3145">
        <f t="shared" si="21"/>
        <v>0</v>
      </c>
    </row>
    <row r="36" spans="2:76" x14ac:dyDescent="0.2">
      <c r="B36" s="37"/>
      <c r="C36" s="98"/>
      <c r="D36" s="1658" t="str">
        <f>'Saisie données stocks'!F46</f>
        <v>3TC</v>
      </c>
      <c r="E36" s="1659" t="str">
        <f>'Saisie données stocks'!G46</f>
        <v>Cp</v>
      </c>
      <c r="F36" s="1661" t="str">
        <f>'Saisie données stocks'!H46</f>
        <v>150 mg</v>
      </c>
      <c r="G36" s="89" t="str">
        <f>'Saisie données stocks'!I46</f>
        <v>Lamivudine</v>
      </c>
      <c r="H36" s="114">
        <f>'Saisie données stocks'!L46</f>
        <v>60</v>
      </c>
      <c r="I36" s="330"/>
      <c r="J36" s="3150">
        <f>IF(Quanti!$D$9="X", 'Calculs dispo Données FA'!N152, IF(Quanti!$D$10="X", 'Calculs dispo Données conso'!N154, "0"))</f>
        <v>0</v>
      </c>
      <c r="K36" s="3148">
        <f>IF(Quanti!$D$9="X", 'Calculs dispo Données FA'!O152, IF(Quanti!$D$10="X", 'Calculs dispo Données conso'!O154, "0"))</f>
        <v>0</v>
      </c>
      <c r="L36" s="3151">
        <f>Calculs!O459</f>
        <v>0</v>
      </c>
      <c r="M36" s="3140">
        <f t="shared" si="22"/>
        <v>0</v>
      </c>
      <c r="N36" s="3140">
        <f t="shared" si="0"/>
        <v>0</v>
      </c>
      <c r="O36" s="1513">
        <f>IF(Quanti!$O$54="OUI",
ROUNDUP(J36, 0)*(Quanti!$N$19+Quanti!$N$25)+ROUNDUP(K36, 0)*((Quanti!$N$19+Quanti!$N$25)*((Quanti!$N$19+Quanti!$N$25)+1)/2),
 J36*(Quanti!$N$19+Quanti!$N$25)+K36*((Quanti!$N$19+Quanti!$N$25)*((Quanti!$N$19+Quanti!$N$25)+1)/2))-M36</f>
        <v>0</v>
      </c>
      <c r="P36" s="3145">
        <f t="shared" si="23"/>
        <v>0</v>
      </c>
      <c r="Q36" s="1513">
        <f>IF(Quanti!$O$54="OUI",
ROUNDUP($J36, 0)*R$7+ROUNDUP($K36, 0)*(R$7*(R$7+1)/2),
 R$7*$J36+(R$7*(R$7+1)/2)*$K36)</f>
        <v>0</v>
      </c>
      <c r="R36" s="1511">
        <f t="shared" si="1"/>
        <v>0</v>
      </c>
      <c r="S36" s="3145">
        <f t="shared" si="2"/>
        <v>0</v>
      </c>
      <c r="T36" s="1513">
        <f>IF(Quanti!$O$54="OUI",
ROUNDUP($J36, 0)*U$7+ROUNDUP($K36, 0)*(U$7*(U$7+1)/2),
 U$7*$J36+(U$7*(U$7+1)/2)*$K36)</f>
        <v>0</v>
      </c>
      <c r="U36" s="1514">
        <f t="shared" si="24"/>
        <v>0</v>
      </c>
      <c r="V36" s="3145">
        <f t="shared" si="3"/>
        <v>0</v>
      </c>
      <c r="W36" s="1513">
        <f>IF(Quanti!$O$54="OUI",
ROUNDUP($J36, 0)*X$7+ROUNDUP($K36, 0)*(X$7*(X$7+1)/2),
 X$7*$J36+(X$7*(X$7+1)/2)*$K36)</f>
        <v>0</v>
      </c>
      <c r="X36" s="1514">
        <f t="shared" si="25"/>
        <v>0</v>
      </c>
      <c r="Y36" s="3145">
        <f t="shared" si="4"/>
        <v>0</v>
      </c>
      <c r="Z36" s="1513">
        <f>IF(Quanti!$O$54="OUI",
ROUNDUP($J36, 0)*AA$7+ROUNDUP($K36, 0)*(AA$7*(AA$7+1)/2),
 AA$7*$J36+(AA$7*(AA$7+1)/2)*$K36)</f>
        <v>0</v>
      </c>
      <c r="AA36" s="1514">
        <f t="shared" si="26"/>
        <v>0</v>
      </c>
      <c r="AB36" s="3145">
        <f t="shared" si="5"/>
        <v>0</v>
      </c>
      <c r="AC36" s="1513">
        <f>IF(Quanti!$O$54="OUI",
ROUNDUP($J36, 0)*AD$7+ROUNDUP($K36, 0)*(AD$7*(AD$7+1)/2),
 AD$7*$J36+(AD$7*(AD$7+1)/2)*$K36)</f>
        <v>0</v>
      </c>
      <c r="AD36" s="1514">
        <f t="shared" si="27"/>
        <v>0</v>
      </c>
      <c r="AE36" s="3145">
        <f t="shared" si="6"/>
        <v>0</v>
      </c>
      <c r="AF36" s="1513">
        <f>IF(Quanti!$O$54="OUI",
ROUNDUP($J36, 0)*AG$7+ROUNDUP($K36, 0)*(AG$7*(AG$7+1)/2),
 AG$7*$J36+(AG$7*(AG$7+1)/2)*$K36)</f>
        <v>0</v>
      </c>
      <c r="AG36" s="1514">
        <f t="shared" si="28"/>
        <v>0</v>
      </c>
      <c r="AH36" s="3145">
        <f t="shared" si="7"/>
        <v>0</v>
      </c>
      <c r="AI36" s="1513">
        <f>IF(Quanti!$O$54="OUI",
ROUNDUP($J36, 0)*AJ$7+ROUNDUP($K36, 0)*(AJ$7*(AJ$7+1)/2),
 AJ$7*$J36+(AJ$7*(AJ$7+1)/2)*$K36)</f>
        <v>0</v>
      </c>
      <c r="AJ36" s="1514">
        <f t="shared" si="29"/>
        <v>0</v>
      </c>
      <c r="AK36" s="3145">
        <f t="shared" si="8"/>
        <v>0</v>
      </c>
      <c r="AL36" s="1513">
        <f>IF(Quanti!$O$54="OUI",
ROUNDUP($J36, 0)*AM$7+ROUNDUP($K36, 0)*(AM$7*(AM$7+1)/2),
 AM$7*$J36+(AM$7*(AM$7+1)/2)*$K36)</f>
        <v>0</v>
      </c>
      <c r="AM36" s="1514">
        <f t="shared" si="30"/>
        <v>0</v>
      </c>
      <c r="AN36" s="3145">
        <f t="shared" si="9"/>
        <v>0</v>
      </c>
      <c r="AO36" s="1513">
        <f>IF(Quanti!$O$54="OUI",
ROUNDUP($J36, 0)*AP$7+ROUNDUP($K36, 0)*(AP$7*(AP$7+1)/2),
 AP$7*$J36+(AP$7*(AP$7+1)/2)*$K36)</f>
        <v>0</v>
      </c>
      <c r="AP36" s="1514">
        <f t="shared" si="31"/>
        <v>0</v>
      </c>
      <c r="AQ36" s="3145">
        <f t="shared" si="10"/>
        <v>0</v>
      </c>
      <c r="AR36" s="1513">
        <f>IF(Quanti!$O$54="OUI",
ROUNDUP($J36, 0)*AS$7+ROUNDUP($K36, 0)*(AS$7*(AS$7+1)/2),
 AS$7*$J36+(AS$7*(AS$7+1)/2)*$K36)</f>
        <v>0</v>
      </c>
      <c r="AS36" s="1514">
        <f t="shared" si="32"/>
        <v>0</v>
      </c>
      <c r="AT36" s="3145">
        <f t="shared" si="11"/>
        <v>0</v>
      </c>
      <c r="AU36" s="1513">
        <f>IF(Quanti!$O$54="OUI",
ROUNDUP($J36, 0)*AV$7+ROUNDUP($K36, 0)*(AV$7*(AV$7+1)/2),
 AV$7*$J36+(AV$7*(AV$7+1)/2)*$K36)</f>
        <v>0</v>
      </c>
      <c r="AV36" s="1514">
        <f t="shared" si="33"/>
        <v>0</v>
      </c>
      <c r="AW36" s="3145">
        <f t="shared" si="12"/>
        <v>0</v>
      </c>
      <c r="AX36" s="1513">
        <f>IF(Quanti!$O$54="OUI",
ROUNDUP($J36, 0)*AY$7+ROUNDUP($K36, 0)*(AY$7*(AY$7+1)/2),
 AY$7*$J36+(AY$7*(AY$7+1)/2)*$K36)</f>
        <v>0</v>
      </c>
      <c r="AY36" s="1514">
        <f t="shared" si="34"/>
        <v>0</v>
      </c>
      <c r="AZ36" s="3145">
        <f t="shared" si="13"/>
        <v>0</v>
      </c>
      <c r="BA36" s="1513">
        <f>IF(Quanti!$O$54="OUI",
ROUNDUP($J36, 0)*BB$7+ROUNDUP($K36, 0)*(BB$7*(BB$7+1)/2),
 BB$7*$J36+(BB$7*(BB$7+1)/2)*$K36)</f>
        <v>0</v>
      </c>
      <c r="BB36" s="1514">
        <f t="shared" si="35"/>
        <v>0</v>
      </c>
      <c r="BC36" s="3145">
        <f t="shared" si="14"/>
        <v>0</v>
      </c>
      <c r="BD36" s="1513">
        <f>IF(Quanti!$O$54="OUI",
ROUNDUP($J36, 0)*BE$7+ROUNDUP($K36, 0)*(BE$7*(BE$7+1)/2),
 BE$7*$J36+(BE$7*(BE$7+1)/2)*$K36)</f>
        <v>0</v>
      </c>
      <c r="BE36" s="1514">
        <f t="shared" si="36"/>
        <v>0</v>
      </c>
      <c r="BF36" s="3145">
        <f t="shared" si="15"/>
        <v>0</v>
      </c>
      <c r="BG36" s="1513">
        <f>IF(Quanti!$O$54="OUI",
ROUNDUP($J36, 0)*BH$7+ROUNDUP($K36, 0)*(BH$7*(BH$7+1)/2),
 BH$7*$J36+(BH$7*(BH$7+1)/2)*$K36)</f>
        <v>0</v>
      </c>
      <c r="BH36" s="1514">
        <f t="shared" si="37"/>
        <v>0</v>
      </c>
      <c r="BI36" s="3145">
        <f t="shared" si="16"/>
        <v>0</v>
      </c>
      <c r="BJ36" s="1513">
        <f>IF(Quanti!$O$54="OUI",
ROUNDUP($J36, 0)*BK$7+ROUNDUP($K36, 0)*(BK$7*(BK$7+1)/2),
 BK$7*$J36+(BK$7*(BK$7+1)/2)*$K36)</f>
        <v>0</v>
      </c>
      <c r="BK36" s="1514">
        <f t="shared" si="38"/>
        <v>0</v>
      </c>
      <c r="BL36" s="3145">
        <f t="shared" si="17"/>
        <v>0</v>
      </c>
      <c r="BM36" s="1513">
        <f>IF(Quanti!$O$54="OUI",
ROUNDUP($J36, 0)*BN$7+ROUNDUP($K36, 0)*(BN$7*(BN$7+1)/2),
 BN$7*$J36+(BN$7*(BN$7+1)/2)*$K36)</f>
        <v>0</v>
      </c>
      <c r="BN36" s="1514">
        <f t="shared" si="39"/>
        <v>0</v>
      </c>
      <c r="BO36" s="3145">
        <f t="shared" si="18"/>
        <v>0</v>
      </c>
      <c r="BP36" s="1513">
        <f>IF(Quanti!$O$54="OUI",
ROUNDUP($J36, 0)*BQ$7+ROUNDUP($K36, 0)*(BQ$7*(BQ$7+1)/2),
 BQ$7*$J36+(BQ$7*(BQ$7+1)/2)*$K36)</f>
        <v>0</v>
      </c>
      <c r="BQ36" s="1514">
        <f t="shared" si="40"/>
        <v>0</v>
      </c>
      <c r="BR36" s="3145">
        <f t="shared" si="19"/>
        <v>0</v>
      </c>
      <c r="BS36" s="1513">
        <f>IF(Quanti!$O$54="OUI",
ROUNDUP($J36, 0)*BT$7+ROUNDUP($K36, 0)*(BT$7*(BT$7+1)/2),
 BT$7*$J36+(BT$7*(BT$7+1)/2)*$K36)</f>
        <v>0</v>
      </c>
      <c r="BT36" s="1514">
        <f t="shared" si="41"/>
        <v>0</v>
      </c>
      <c r="BU36" s="3145">
        <f t="shared" si="20"/>
        <v>0</v>
      </c>
      <c r="BV36" s="1513">
        <f>IF(Quanti!$O$54="OUI",
ROUNDUP($J36, 0)*BW$7+ROUNDUP($K36, 0)*(BW$7*(BW$7+1)/2),
 BW$7*$J36+(BW$7*(BW$7+1)/2)*$K36)</f>
        <v>0</v>
      </c>
      <c r="BW36" s="1514">
        <f t="shared" si="42"/>
        <v>0</v>
      </c>
      <c r="BX36" s="3145">
        <f t="shared" si="21"/>
        <v>0</v>
      </c>
    </row>
    <row r="37" spans="2:76" x14ac:dyDescent="0.2">
      <c r="B37" s="37"/>
      <c r="C37" s="98"/>
      <c r="D37" s="1658" t="str">
        <f>'Saisie données stocks'!F47</f>
        <v>3TC</v>
      </c>
      <c r="E37" s="1659" t="str">
        <f>'Saisie données stocks'!G47</f>
        <v>Cp</v>
      </c>
      <c r="F37" s="1662" t="str">
        <f>'Saisie données stocks'!H47</f>
        <v>30 mg</v>
      </c>
      <c r="G37" s="89" t="str">
        <f>'Saisie données stocks'!I47</f>
        <v>Lamivudine</v>
      </c>
      <c r="H37" s="114">
        <f>'Saisie données stocks'!L47</f>
        <v>60</v>
      </c>
      <c r="I37" s="330"/>
      <c r="J37" s="3150">
        <f>IF(Quanti!$D$9="X", 'Calculs dispo Données FA'!N153, IF(Quanti!$D$10="X", 'Calculs dispo Données conso'!N155, "0"))</f>
        <v>0</v>
      </c>
      <c r="K37" s="3148">
        <f>IF(Quanti!$D$9="X", 'Calculs dispo Données FA'!O153, IF(Quanti!$D$10="X", 'Calculs dispo Données conso'!O155, "0"))</f>
        <v>0</v>
      </c>
      <c r="L37" s="3151">
        <f>Calculs!O460</f>
        <v>0</v>
      </c>
      <c r="M37" s="3140">
        <f t="shared" si="22"/>
        <v>0</v>
      </c>
      <c r="N37" s="3140">
        <f t="shared" si="0"/>
        <v>0</v>
      </c>
      <c r="O37" s="1513">
        <f>IF(Quanti!$O$54="OUI",
ROUNDUP(J37, 0)*(Quanti!$N$19+Quanti!$N$25)+ROUNDUP(K37, 0)*((Quanti!$N$19+Quanti!$N$25)*((Quanti!$N$19+Quanti!$N$25)+1)/2),
 J37*(Quanti!$N$19+Quanti!$N$25)+K37*((Quanti!$N$19+Quanti!$N$25)*((Quanti!$N$19+Quanti!$N$25)+1)/2))-M37</f>
        <v>0</v>
      </c>
      <c r="P37" s="3145">
        <f t="shared" si="23"/>
        <v>0</v>
      </c>
      <c r="Q37" s="1513">
        <f>IF(Quanti!$O$54="OUI",
ROUNDUP($J37, 0)*R$7+ROUNDUP($K37, 0)*(R$7*(R$7+1)/2),
 R$7*$J37+(R$7*(R$7+1)/2)*$K37)</f>
        <v>0</v>
      </c>
      <c r="R37" s="1511">
        <f t="shared" si="1"/>
        <v>0</v>
      </c>
      <c r="S37" s="3145">
        <f t="shared" si="2"/>
        <v>0</v>
      </c>
      <c r="T37" s="1513">
        <f>IF(Quanti!$O$54="OUI",
ROUNDUP($J37, 0)*U$7+ROUNDUP($K37, 0)*(U$7*(U$7+1)/2),
 U$7*$J37+(U$7*(U$7+1)/2)*$K37)</f>
        <v>0</v>
      </c>
      <c r="U37" s="1514">
        <f t="shared" si="24"/>
        <v>0</v>
      </c>
      <c r="V37" s="3145">
        <f t="shared" si="3"/>
        <v>0</v>
      </c>
      <c r="W37" s="1513">
        <f>IF(Quanti!$O$54="OUI",
ROUNDUP($J37, 0)*X$7+ROUNDUP($K37, 0)*(X$7*(X$7+1)/2),
 X$7*$J37+(X$7*(X$7+1)/2)*$K37)</f>
        <v>0</v>
      </c>
      <c r="X37" s="1514">
        <f t="shared" si="25"/>
        <v>0</v>
      </c>
      <c r="Y37" s="3145">
        <f t="shared" si="4"/>
        <v>0</v>
      </c>
      <c r="Z37" s="1513">
        <f>IF(Quanti!$O$54="OUI",
ROUNDUP($J37, 0)*AA$7+ROUNDUP($K37, 0)*(AA$7*(AA$7+1)/2),
 AA$7*$J37+(AA$7*(AA$7+1)/2)*$K37)</f>
        <v>0</v>
      </c>
      <c r="AA37" s="1514">
        <f t="shared" si="26"/>
        <v>0</v>
      </c>
      <c r="AB37" s="3145">
        <f t="shared" si="5"/>
        <v>0</v>
      </c>
      <c r="AC37" s="1513">
        <f>IF(Quanti!$O$54="OUI",
ROUNDUP($J37, 0)*AD$7+ROUNDUP($K37, 0)*(AD$7*(AD$7+1)/2),
 AD$7*$J37+(AD$7*(AD$7+1)/2)*$K37)</f>
        <v>0</v>
      </c>
      <c r="AD37" s="1514">
        <f t="shared" si="27"/>
        <v>0</v>
      </c>
      <c r="AE37" s="3145">
        <f t="shared" si="6"/>
        <v>0</v>
      </c>
      <c r="AF37" s="1513">
        <f>IF(Quanti!$O$54="OUI",
ROUNDUP($J37, 0)*AG$7+ROUNDUP($K37, 0)*(AG$7*(AG$7+1)/2),
 AG$7*$J37+(AG$7*(AG$7+1)/2)*$K37)</f>
        <v>0</v>
      </c>
      <c r="AG37" s="1514">
        <f t="shared" si="28"/>
        <v>0</v>
      </c>
      <c r="AH37" s="3145">
        <f t="shared" si="7"/>
        <v>0</v>
      </c>
      <c r="AI37" s="1513">
        <f>IF(Quanti!$O$54="OUI",
ROUNDUP($J37, 0)*AJ$7+ROUNDUP($K37, 0)*(AJ$7*(AJ$7+1)/2),
 AJ$7*$J37+(AJ$7*(AJ$7+1)/2)*$K37)</f>
        <v>0</v>
      </c>
      <c r="AJ37" s="1514">
        <f t="shared" si="29"/>
        <v>0</v>
      </c>
      <c r="AK37" s="3145">
        <f t="shared" si="8"/>
        <v>0</v>
      </c>
      <c r="AL37" s="1513">
        <f>IF(Quanti!$O$54="OUI",
ROUNDUP($J37, 0)*AM$7+ROUNDUP($K37, 0)*(AM$7*(AM$7+1)/2),
 AM$7*$J37+(AM$7*(AM$7+1)/2)*$K37)</f>
        <v>0</v>
      </c>
      <c r="AM37" s="1514">
        <f t="shared" si="30"/>
        <v>0</v>
      </c>
      <c r="AN37" s="3145">
        <f t="shared" si="9"/>
        <v>0</v>
      </c>
      <c r="AO37" s="1513">
        <f>IF(Quanti!$O$54="OUI",
ROUNDUP($J37, 0)*AP$7+ROUNDUP($K37, 0)*(AP$7*(AP$7+1)/2),
 AP$7*$J37+(AP$7*(AP$7+1)/2)*$K37)</f>
        <v>0</v>
      </c>
      <c r="AP37" s="1514">
        <f t="shared" si="31"/>
        <v>0</v>
      </c>
      <c r="AQ37" s="3145">
        <f t="shared" si="10"/>
        <v>0</v>
      </c>
      <c r="AR37" s="1513">
        <f>IF(Quanti!$O$54="OUI",
ROUNDUP($J37, 0)*AS$7+ROUNDUP($K37, 0)*(AS$7*(AS$7+1)/2),
 AS$7*$J37+(AS$7*(AS$7+1)/2)*$K37)</f>
        <v>0</v>
      </c>
      <c r="AS37" s="1514">
        <f t="shared" si="32"/>
        <v>0</v>
      </c>
      <c r="AT37" s="3145">
        <f t="shared" si="11"/>
        <v>0</v>
      </c>
      <c r="AU37" s="1513">
        <f>IF(Quanti!$O$54="OUI",
ROUNDUP($J37, 0)*AV$7+ROUNDUP($K37, 0)*(AV$7*(AV$7+1)/2),
 AV$7*$J37+(AV$7*(AV$7+1)/2)*$K37)</f>
        <v>0</v>
      </c>
      <c r="AV37" s="1514">
        <f t="shared" si="33"/>
        <v>0</v>
      </c>
      <c r="AW37" s="3145">
        <f t="shared" si="12"/>
        <v>0</v>
      </c>
      <c r="AX37" s="1513">
        <f>IF(Quanti!$O$54="OUI",
ROUNDUP($J37, 0)*AY$7+ROUNDUP($K37, 0)*(AY$7*(AY$7+1)/2),
 AY$7*$J37+(AY$7*(AY$7+1)/2)*$K37)</f>
        <v>0</v>
      </c>
      <c r="AY37" s="1514">
        <f t="shared" si="34"/>
        <v>0</v>
      </c>
      <c r="AZ37" s="3145">
        <f t="shared" si="13"/>
        <v>0</v>
      </c>
      <c r="BA37" s="1513">
        <f>IF(Quanti!$O$54="OUI",
ROUNDUP($J37, 0)*BB$7+ROUNDUP($K37, 0)*(BB$7*(BB$7+1)/2),
 BB$7*$J37+(BB$7*(BB$7+1)/2)*$K37)</f>
        <v>0</v>
      </c>
      <c r="BB37" s="1514">
        <f t="shared" si="35"/>
        <v>0</v>
      </c>
      <c r="BC37" s="3145">
        <f t="shared" si="14"/>
        <v>0</v>
      </c>
      <c r="BD37" s="1513">
        <f>IF(Quanti!$O$54="OUI",
ROUNDUP($J37, 0)*BE$7+ROUNDUP($K37, 0)*(BE$7*(BE$7+1)/2),
 BE$7*$J37+(BE$7*(BE$7+1)/2)*$K37)</f>
        <v>0</v>
      </c>
      <c r="BE37" s="1514">
        <f t="shared" si="36"/>
        <v>0</v>
      </c>
      <c r="BF37" s="3145">
        <f t="shared" si="15"/>
        <v>0</v>
      </c>
      <c r="BG37" s="1513">
        <f>IF(Quanti!$O$54="OUI",
ROUNDUP($J37, 0)*BH$7+ROUNDUP($K37, 0)*(BH$7*(BH$7+1)/2),
 BH$7*$J37+(BH$7*(BH$7+1)/2)*$K37)</f>
        <v>0</v>
      </c>
      <c r="BH37" s="1514">
        <f t="shared" si="37"/>
        <v>0</v>
      </c>
      <c r="BI37" s="3145">
        <f t="shared" si="16"/>
        <v>0</v>
      </c>
      <c r="BJ37" s="1513">
        <f>IF(Quanti!$O$54="OUI",
ROUNDUP($J37, 0)*BK$7+ROUNDUP($K37, 0)*(BK$7*(BK$7+1)/2),
 BK$7*$J37+(BK$7*(BK$7+1)/2)*$K37)</f>
        <v>0</v>
      </c>
      <c r="BK37" s="1514">
        <f t="shared" si="38"/>
        <v>0</v>
      </c>
      <c r="BL37" s="3145">
        <f t="shared" si="17"/>
        <v>0</v>
      </c>
      <c r="BM37" s="1513">
        <f>IF(Quanti!$O$54="OUI",
ROUNDUP($J37, 0)*BN$7+ROUNDUP($K37, 0)*(BN$7*(BN$7+1)/2),
 BN$7*$J37+(BN$7*(BN$7+1)/2)*$K37)</f>
        <v>0</v>
      </c>
      <c r="BN37" s="1514">
        <f t="shared" si="39"/>
        <v>0</v>
      </c>
      <c r="BO37" s="3145">
        <f t="shared" si="18"/>
        <v>0</v>
      </c>
      <c r="BP37" s="1513">
        <f>IF(Quanti!$O$54="OUI",
ROUNDUP($J37, 0)*BQ$7+ROUNDUP($K37, 0)*(BQ$7*(BQ$7+1)/2),
 BQ$7*$J37+(BQ$7*(BQ$7+1)/2)*$K37)</f>
        <v>0</v>
      </c>
      <c r="BQ37" s="1514">
        <f t="shared" si="40"/>
        <v>0</v>
      </c>
      <c r="BR37" s="3145">
        <f t="shared" si="19"/>
        <v>0</v>
      </c>
      <c r="BS37" s="1513">
        <f>IF(Quanti!$O$54="OUI",
ROUNDUP($J37, 0)*BT$7+ROUNDUP($K37, 0)*(BT$7*(BT$7+1)/2),
 BT$7*$J37+(BT$7*(BT$7+1)/2)*$K37)</f>
        <v>0</v>
      </c>
      <c r="BT37" s="1514">
        <f t="shared" si="41"/>
        <v>0</v>
      </c>
      <c r="BU37" s="3145">
        <f t="shared" si="20"/>
        <v>0</v>
      </c>
      <c r="BV37" s="1513">
        <f>IF(Quanti!$O$54="OUI",
ROUNDUP($J37, 0)*BW$7+ROUNDUP($K37, 0)*(BW$7*(BW$7+1)/2),
 BW$7*$J37+(BW$7*(BW$7+1)/2)*$K37)</f>
        <v>0</v>
      </c>
      <c r="BW37" s="1514">
        <f t="shared" si="42"/>
        <v>0</v>
      </c>
      <c r="BX37" s="3145">
        <f t="shared" si="21"/>
        <v>0</v>
      </c>
    </row>
    <row r="38" spans="2:76" x14ac:dyDescent="0.2">
      <c r="B38" s="37"/>
      <c r="C38" s="98"/>
      <c r="D38" s="1660" t="str">
        <f>'Saisie données stocks'!F48</f>
        <v>DDI</v>
      </c>
      <c r="E38" s="1661" t="str">
        <f>'Saisie données stocks'!G48</f>
        <v>Cp</v>
      </c>
      <c r="F38" s="1661" t="str">
        <f>'Saisie données stocks'!H48</f>
        <v>250 mg</v>
      </c>
      <c r="G38" s="1207" t="str">
        <f>'Saisie données stocks'!I48</f>
        <v>Didanosine</v>
      </c>
      <c r="H38" s="115">
        <f>'Saisie données stocks'!L48</f>
        <v>30</v>
      </c>
      <c r="I38" s="331"/>
      <c r="J38" s="3150">
        <f>IF(Quanti!$D$9="X", 'Calculs dispo Données FA'!N154, IF(Quanti!$D$10="X", 'Calculs dispo Données conso'!N156, "0"))</f>
        <v>0</v>
      </c>
      <c r="K38" s="3148">
        <f>IF(Quanti!$D$9="X", 'Calculs dispo Données FA'!O154, IF(Quanti!$D$10="X", 'Calculs dispo Données conso'!O156, "0"))</f>
        <v>0</v>
      </c>
      <c r="L38" s="3151">
        <f>Calculs!O461</f>
        <v>0</v>
      </c>
      <c r="M38" s="3140">
        <f t="shared" si="22"/>
        <v>0</v>
      </c>
      <c r="N38" s="3140">
        <f t="shared" si="0"/>
        <v>0</v>
      </c>
      <c r="O38" s="1513">
        <f>IF(Quanti!$O$54="OUI",
ROUNDUP(J38, 0)*(Quanti!$N$19+Quanti!$N$25)+ROUNDUP(K38, 0)*((Quanti!$N$19+Quanti!$N$25)*((Quanti!$N$19+Quanti!$N$25)+1)/2),
 J38*(Quanti!$N$19+Quanti!$N$25)+K38*((Quanti!$N$19+Quanti!$N$25)*((Quanti!$N$19+Quanti!$N$25)+1)/2))-M38</f>
        <v>0</v>
      </c>
      <c r="P38" s="3145">
        <f t="shared" si="23"/>
        <v>0</v>
      </c>
      <c r="Q38" s="1513">
        <f>IF(Quanti!$O$54="OUI",
ROUNDUP($J38, 0)*R$7+ROUNDUP($K38, 0)*(R$7*(R$7+1)/2),
 R$7*$J38+(R$7*(R$7+1)/2)*$K38)</f>
        <v>0</v>
      </c>
      <c r="R38" s="1511">
        <f t="shared" si="1"/>
        <v>0</v>
      </c>
      <c r="S38" s="3145">
        <f t="shared" si="2"/>
        <v>0</v>
      </c>
      <c r="T38" s="1513">
        <f>IF(Quanti!$O$54="OUI",
ROUNDUP($J38, 0)*U$7+ROUNDUP($K38, 0)*(U$7*(U$7+1)/2),
 U$7*$J38+(U$7*(U$7+1)/2)*$K38)</f>
        <v>0</v>
      </c>
      <c r="U38" s="1514">
        <f t="shared" si="24"/>
        <v>0</v>
      </c>
      <c r="V38" s="3145">
        <f t="shared" si="3"/>
        <v>0</v>
      </c>
      <c r="W38" s="1513">
        <f>IF(Quanti!$O$54="OUI",
ROUNDUP($J38, 0)*X$7+ROUNDUP($K38, 0)*(X$7*(X$7+1)/2),
 X$7*$J38+(X$7*(X$7+1)/2)*$K38)</f>
        <v>0</v>
      </c>
      <c r="X38" s="1514">
        <f t="shared" si="25"/>
        <v>0</v>
      </c>
      <c r="Y38" s="3145">
        <f t="shared" si="4"/>
        <v>0</v>
      </c>
      <c r="Z38" s="1513">
        <f>IF(Quanti!$O$54="OUI",
ROUNDUP($J38, 0)*AA$7+ROUNDUP($K38, 0)*(AA$7*(AA$7+1)/2),
 AA$7*$J38+(AA$7*(AA$7+1)/2)*$K38)</f>
        <v>0</v>
      </c>
      <c r="AA38" s="1514">
        <f t="shared" si="26"/>
        <v>0</v>
      </c>
      <c r="AB38" s="3145">
        <f t="shared" si="5"/>
        <v>0</v>
      </c>
      <c r="AC38" s="1513">
        <f>IF(Quanti!$O$54="OUI",
ROUNDUP($J38, 0)*AD$7+ROUNDUP($K38, 0)*(AD$7*(AD$7+1)/2),
 AD$7*$J38+(AD$7*(AD$7+1)/2)*$K38)</f>
        <v>0</v>
      </c>
      <c r="AD38" s="1514">
        <f t="shared" si="27"/>
        <v>0</v>
      </c>
      <c r="AE38" s="3145">
        <f t="shared" si="6"/>
        <v>0</v>
      </c>
      <c r="AF38" s="1513">
        <f>IF(Quanti!$O$54="OUI",
ROUNDUP($J38, 0)*AG$7+ROUNDUP($K38, 0)*(AG$7*(AG$7+1)/2),
 AG$7*$J38+(AG$7*(AG$7+1)/2)*$K38)</f>
        <v>0</v>
      </c>
      <c r="AG38" s="1514">
        <f t="shared" si="28"/>
        <v>0</v>
      </c>
      <c r="AH38" s="3145">
        <f t="shared" si="7"/>
        <v>0</v>
      </c>
      <c r="AI38" s="1513">
        <f>IF(Quanti!$O$54="OUI",
ROUNDUP($J38, 0)*AJ$7+ROUNDUP($K38, 0)*(AJ$7*(AJ$7+1)/2),
 AJ$7*$J38+(AJ$7*(AJ$7+1)/2)*$K38)</f>
        <v>0</v>
      </c>
      <c r="AJ38" s="1514">
        <f t="shared" si="29"/>
        <v>0</v>
      </c>
      <c r="AK38" s="3145">
        <f t="shared" si="8"/>
        <v>0</v>
      </c>
      <c r="AL38" s="1513">
        <f>IF(Quanti!$O$54="OUI",
ROUNDUP($J38, 0)*AM$7+ROUNDUP($K38, 0)*(AM$7*(AM$7+1)/2),
 AM$7*$J38+(AM$7*(AM$7+1)/2)*$K38)</f>
        <v>0</v>
      </c>
      <c r="AM38" s="1514">
        <f t="shared" si="30"/>
        <v>0</v>
      </c>
      <c r="AN38" s="3145">
        <f t="shared" si="9"/>
        <v>0</v>
      </c>
      <c r="AO38" s="1513">
        <f>IF(Quanti!$O$54="OUI",
ROUNDUP($J38, 0)*AP$7+ROUNDUP($K38, 0)*(AP$7*(AP$7+1)/2),
 AP$7*$J38+(AP$7*(AP$7+1)/2)*$K38)</f>
        <v>0</v>
      </c>
      <c r="AP38" s="1514">
        <f t="shared" si="31"/>
        <v>0</v>
      </c>
      <c r="AQ38" s="3145">
        <f t="shared" si="10"/>
        <v>0</v>
      </c>
      <c r="AR38" s="1513">
        <f>IF(Quanti!$O$54="OUI",
ROUNDUP($J38, 0)*AS$7+ROUNDUP($K38, 0)*(AS$7*(AS$7+1)/2),
 AS$7*$J38+(AS$7*(AS$7+1)/2)*$K38)</f>
        <v>0</v>
      </c>
      <c r="AS38" s="1514">
        <f t="shared" si="32"/>
        <v>0</v>
      </c>
      <c r="AT38" s="3145">
        <f t="shared" si="11"/>
        <v>0</v>
      </c>
      <c r="AU38" s="1513">
        <f>IF(Quanti!$O$54="OUI",
ROUNDUP($J38, 0)*AV$7+ROUNDUP($K38, 0)*(AV$7*(AV$7+1)/2),
 AV$7*$J38+(AV$7*(AV$7+1)/2)*$K38)</f>
        <v>0</v>
      </c>
      <c r="AV38" s="1514">
        <f t="shared" si="33"/>
        <v>0</v>
      </c>
      <c r="AW38" s="3145">
        <f t="shared" si="12"/>
        <v>0</v>
      </c>
      <c r="AX38" s="1513">
        <f>IF(Quanti!$O$54="OUI",
ROUNDUP($J38, 0)*AY$7+ROUNDUP($K38, 0)*(AY$7*(AY$7+1)/2),
 AY$7*$J38+(AY$7*(AY$7+1)/2)*$K38)</f>
        <v>0</v>
      </c>
      <c r="AY38" s="1514">
        <f t="shared" si="34"/>
        <v>0</v>
      </c>
      <c r="AZ38" s="3145">
        <f t="shared" si="13"/>
        <v>0</v>
      </c>
      <c r="BA38" s="1513">
        <f>IF(Quanti!$O$54="OUI",
ROUNDUP($J38, 0)*BB$7+ROUNDUP($K38, 0)*(BB$7*(BB$7+1)/2),
 BB$7*$J38+(BB$7*(BB$7+1)/2)*$K38)</f>
        <v>0</v>
      </c>
      <c r="BB38" s="1514">
        <f t="shared" si="35"/>
        <v>0</v>
      </c>
      <c r="BC38" s="3145">
        <f t="shared" si="14"/>
        <v>0</v>
      </c>
      <c r="BD38" s="1513">
        <f>IF(Quanti!$O$54="OUI",
ROUNDUP($J38, 0)*BE$7+ROUNDUP($K38, 0)*(BE$7*(BE$7+1)/2),
 BE$7*$J38+(BE$7*(BE$7+1)/2)*$K38)</f>
        <v>0</v>
      </c>
      <c r="BE38" s="1514">
        <f t="shared" si="36"/>
        <v>0</v>
      </c>
      <c r="BF38" s="3145">
        <f t="shared" si="15"/>
        <v>0</v>
      </c>
      <c r="BG38" s="1513">
        <f>IF(Quanti!$O$54="OUI",
ROUNDUP($J38, 0)*BH$7+ROUNDUP($K38, 0)*(BH$7*(BH$7+1)/2),
 BH$7*$J38+(BH$7*(BH$7+1)/2)*$K38)</f>
        <v>0</v>
      </c>
      <c r="BH38" s="1514">
        <f t="shared" si="37"/>
        <v>0</v>
      </c>
      <c r="BI38" s="3145">
        <f t="shared" si="16"/>
        <v>0</v>
      </c>
      <c r="BJ38" s="1513">
        <f>IF(Quanti!$O$54="OUI",
ROUNDUP($J38, 0)*BK$7+ROUNDUP($K38, 0)*(BK$7*(BK$7+1)/2),
 BK$7*$J38+(BK$7*(BK$7+1)/2)*$K38)</f>
        <v>0</v>
      </c>
      <c r="BK38" s="1514">
        <f t="shared" si="38"/>
        <v>0</v>
      </c>
      <c r="BL38" s="3145">
        <f t="shared" si="17"/>
        <v>0</v>
      </c>
      <c r="BM38" s="1513">
        <f>IF(Quanti!$O$54="OUI",
ROUNDUP($J38, 0)*BN$7+ROUNDUP($K38, 0)*(BN$7*(BN$7+1)/2),
 BN$7*$J38+(BN$7*(BN$7+1)/2)*$K38)</f>
        <v>0</v>
      </c>
      <c r="BN38" s="1514">
        <f t="shared" si="39"/>
        <v>0</v>
      </c>
      <c r="BO38" s="3145">
        <f t="shared" si="18"/>
        <v>0</v>
      </c>
      <c r="BP38" s="1513">
        <f>IF(Quanti!$O$54="OUI",
ROUNDUP($J38, 0)*BQ$7+ROUNDUP($K38, 0)*(BQ$7*(BQ$7+1)/2),
 BQ$7*$J38+(BQ$7*(BQ$7+1)/2)*$K38)</f>
        <v>0</v>
      </c>
      <c r="BQ38" s="1514">
        <f t="shared" si="40"/>
        <v>0</v>
      </c>
      <c r="BR38" s="3145">
        <f t="shared" si="19"/>
        <v>0</v>
      </c>
      <c r="BS38" s="1513">
        <f>IF(Quanti!$O$54="OUI",
ROUNDUP($J38, 0)*BT$7+ROUNDUP($K38, 0)*(BT$7*(BT$7+1)/2),
 BT$7*$J38+(BT$7*(BT$7+1)/2)*$K38)</f>
        <v>0</v>
      </c>
      <c r="BT38" s="1514">
        <f t="shared" si="41"/>
        <v>0</v>
      </c>
      <c r="BU38" s="3145">
        <f t="shared" si="20"/>
        <v>0</v>
      </c>
      <c r="BV38" s="1513">
        <f>IF(Quanti!$O$54="OUI",
ROUNDUP($J38, 0)*BW$7+ROUNDUP($K38, 0)*(BW$7*(BW$7+1)/2),
 BW$7*$J38+(BW$7*(BW$7+1)/2)*$K38)</f>
        <v>0</v>
      </c>
      <c r="BW38" s="1514">
        <f t="shared" si="42"/>
        <v>0</v>
      </c>
      <c r="BX38" s="3145">
        <f t="shared" si="21"/>
        <v>0</v>
      </c>
    </row>
    <row r="39" spans="2:76" x14ac:dyDescent="0.2">
      <c r="B39" s="37"/>
      <c r="C39" s="98"/>
      <c r="D39" s="1660" t="str">
        <f>'Saisie données stocks'!F49</f>
        <v>DDI</v>
      </c>
      <c r="E39" s="1661" t="str">
        <f>'Saisie données stocks'!G49</f>
        <v>Cp</v>
      </c>
      <c r="F39" s="1666" t="str">
        <f>'Saisie données stocks'!H49</f>
        <v>400 mg</v>
      </c>
      <c r="G39" s="1637" t="str">
        <f>'Saisie données stocks'!I49</f>
        <v>Didanosine</v>
      </c>
      <c r="H39" s="117">
        <f>'Saisie données stocks'!L49</f>
        <v>30</v>
      </c>
      <c r="I39" s="334"/>
      <c r="J39" s="3150">
        <f>IF(Quanti!$D$9="X", 'Calculs dispo Données FA'!N155, IF(Quanti!$D$10="X", 'Calculs dispo Données conso'!N157, "0"))</f>
        <v>0</v>
      </c>
      <c r="K39" s="3148">
        <f>IF(Quanti!$D$9="X", 'Calculs dispo Données FA'!O155, IF(Quanti!$D$10="X", 'Calculs dispo Données conso'!O157, "0"))</f>
        <v>0</v>
      </c>
      <c r="L39" s="3151">
        <f>Calculs!O462</f>
        <v>0</v>
      </c>
      <c r="M39" s="3140">
        <f t="shared" si="22"/>
        <v>0</v>
      </c>
      <c r="N39" s="3140">
        <f t="shared" si="0"/>
        <v>0</v>
      </c>
      <c r="O39" s="1513">
        <f>IF(Quanti!$O$54="OUI",
ROUNDUP(J39, 0)*(Quanti!$N$19+Quanti!$N$25)+ROUNDUP(K39, 0)*((Quanti!$N$19+Quanti!$N$25)*((Quanti!$N$19+Quanti!$N$25)+1)/2),
 J39*(Quanti!$N$19+Quanti!$N$25)+K39*((Quanti!$N$19+Quanti!$N$25)*((Quanti!$N$19+Quanti!$N$25)+1)/2))-M39</f>
        <v>0</v>
      </c>
      <c r="P39" s="3145">
        <f t="shared" si="23"/>
        <v>0</v>
      </c>
      <c r="Q39" s="1513">
        <f>IF(Quanti!$O$54="OUI",
ROUNDUP($J39, 0)*R$7+ROUNDUP($K39, 0)*(R$7*(R$7+1)/2),
 R$7*$J39+(R$7*(R$7+1)/2)*$K39)</f>
        <v>0</v>
      </c>
      <c r="R39" s="1511">
        <f t="shared" si="1"/>
        <v>0</v>
      </c>
      <c r="S39" s="3145">
        <f t="shared" si="2"/>
        <v>0</v>
      </c>
      <c r="T39" s="1513">
        <f>IF(Quanti!$O$54="OUI",
ROUNDUP($J39, 0)*U$7+ROUNDUP($K39, 0)*(U$7*(U$7+1)/2),
 U$7*$J39+(U$7*(U$7+1)/2)*$K39)</f>
        <v>0</v>
      </c>
      <c r="U39" s="1514">
        <f t="shared" si="24"/>
        <v>0</v>
      </c>
      <c r="V39" s="3145">
        <f t="shared" si="3"/>
        <v>0</v>
      </c>
      <c r="W39" s="1513">
        <f>IF(Quanti!$O$54="OUI",
ROUNDUP($J39, 0)*X$7+ROUNDUP($K39, 0)*(X$7*(X$7+1)/2),
 X$7*$J39+(X$7*(X$7+1)/2)*$K39)</f>
        <v>0</v>
      </c>
      <c r="X39" s="1514">
        <f t="shared" si="25"/>
        <v>0</v>
      </c>
      <c r="Y39" s="3145">
        <f t="shared" si="4"/>
        <v>0</v>
      </c>
      <c r="Z39" s="1513">
        <f>IF(Quanti!$O$54="OUI",
ROUNDUP($J39, 0)*AA$7+ROUNDUP($K39, 0)*(AA$7*(AA$7+1)/2),
 AA$7*$J39+(AA$7*(AA$7+1)/2)*$K39)</f>
        <v>0</v>
      </c>
      <c r="AA39" s="1514">
        <f t="shared" si="26"/>
        <v>0</v>
      </c>
      <c r="AB39" s="3145">
        <f t="shared" si="5"/>
        <v>0</v>
      </c>
      <c r="AC39" s="1513">
        <f>IF(Quanti!$O$54="OUI",
ROUNDUP($J39, 0)*AD$7+ROUNDUP($K39, 0)*(AD$7*(AD$7+1)/2),
 AD$7*$J39+(AD$7*(AD$7+1)/2)*$K39)</f>
        <v>0</v>
      </c>
      <c r="AD39" s="1514">
        <f t="shared" si="27"/>
        <v>0</v>
      </c>
      <c r="AE39" s="3145">
        <f t="shared" si="6"/>
        <v>0</v>
      </c>
      <c r="AF39" s="1513">
        <f>IF(Quanti!$O$54="OUI",
ROUNDUP($J39, 0)*AG$7+ROUNDUP($K39, 0)*(AG$7*(AG$7+1)/2),
 AG$7*$J39+(AG$7*(AG$7+1)/2)*$K39)</f>
        <v>0</v>
      </c>
      <c r="AG39" s="1514">
        <f t="shared" si="28"/>
        <v>0</v>
      </c>
      <c r="AH39" s="3145">
        <f t="shared" si="7"/>
        <v>0</v>
      </c>
      <c r="AI39" s="1513">
        <f>IF(Quanti!$O$54="OUI",
ROUNDUP($J39, 0)*AJ$7+ROUNDUP($K39, 0)*(AJ$7*(AJ$7+1)/2),
 AJ$7*$J39+(AJ$7*(AJ$7+1)/2)*$K39)</f>
        <v>0</v>
      </c>
      <c r="AJ39" s="1514">
        <f t="shared" si="29"/>
        <v>0</v>
      </c>
      <c r="AK39" s="3145">
        <f t="shared" si="8"/>
        <v>0</v>
      </c>
      <c r="AL39" s="1513">
        <f>IF(Quanti!$O$54="OUI",
ROUNDUP($J39, 0)*AM$7+ROUNDUP($K39, 0)*(AM$7*(AM$7+1)/2),
 AM$7*$J39+(AM$7*(AM$7+1)/2)*$K39)</f>
        <v>0</v>
      </c>
      <c r="AM39" s="1514">
        <f t="shared" si="30"/>
        <v>0</v>
      </c>
      <c r="AN39" s="3145">
        <f t="shared" si="9"/>
        <v>0</v>
      </c>
      <c r="AO39" s="1513">
        <f>IF(Quanti!$O$54="OUI",
ROUNDUP($J39, 0)*AP$7+ROUNDUP($K39, 0)*(AP$7*(AP$7+1)/2),
 AP$7*$J39+(AP$7*(AP$7+1)/2)*$K39)</f>
        <v>0</v>
      </c>
      <c r="AP39" s="1514">
        <f t="shared" si="31"/>
        <v>0</v>
      </c>
      <c r="AQ39" s="3145">
        <f t="shared" si="10"/>
        <v>0</v>
      </c>
      <c r="AR39" s="1513">
        <f>IF(Quanti!$O$54="OUI",
ROUNDUP($J39, 0)*AS$7+ROUNDUP($K39, 0)*(AS$7*(AS$7+1)/2),
 AS$7*$J39+(AS$7*(AS$7+1)/2)*$K39)</f>
        <v>0</v>
      </c>
      <c r="AS39" s="1514">
        <f t="shared" si="32"/>
        <v>0</v>
      </c>
      <c r="AT39" s="3145">
        <f t="shared" si="11"/>
        <v>0</v>
      </c>
      <c r="AU39" s="1513">
        <f>IF(Quanti!$O$54="OUI",
ROUNDUP($J39, 0)*AV$7+ROUNDUP($K39, 0)*(AV$7*(AV$7+1)/2),
 AV$7*$J39+(AV$7*(AV$7+1)/2)*$K39)</f>
        <v>0</v>
      </c>
      <c r="AV39" s="1514">
        <f t="shared" si="33"/>
        <v>0</v>
      </c>
      <c r="AW39" s="3145">
        <f t="shared" si="12"/>
        <v>0</v>
      </c>
      <c r="AX39" s="1513">
        <f>IF(Quanti!$O$54="OUI",
ROUNDUP($J39, 0)*AY$7+ROUNDUP($K39, 0)*(AY$7*(AY$7+1)/2),
 AY$7*$J39+(AY$7*(AY$7+1)/2)*$K39)</f>
        <v>0</v>
      </c>
      <c r="AY39" s="1514">
        <f t="shared" si="34"/>
        <v>0</v>
      </c>
      <c r="AZ39" s="3145">
        <f t="shared" si="13"/>
        <v>0</v>
      </c>
      <c r="BA39" s="1513">
        <f>IF(Quanti!$O$54="OUI",
ROUNDUP($J39, 0)*BB$7+ROUNDUP($K39, 0)*(BB$7*(BB$7+1)/2),
 BB$7*$J39+(BB$7*(BB$7+1)/2)*$K39)</f>
        <v>0</v>
      </c>
      <c r="BB39" s="1514">
        <f t="shared" si="35"/>
        <v>0</v>
      </c>
      <c r="BC39" s="3145">
        <f t="shared" si="14"/>
        <v>0</v>
      </c>
      <c r="BD39" s="1513">
        <f>IF(Quanti!$O$54="OUI",
ROUNDUP($J39, 0)*BE$7+ROUNDUP($K39, 0)*(BE$7*(BE$7+1)/2),
 BE$7*$J39+(BE$7*(BE$7+1)/2)*$K39)</f>
        <v>0</v>
      </c>
      <c r="BE39" s="1514">
        <f t="shared" si="36"/>
        <v>0</v>
      </c>
      <c r="BF39" s="3145">
        <f t="shared" si="15"/>
        <v>0</v>
      </c>
      <c r="BG39" s="1513">
        <f>IF(Quanti!$O$54="OUI",
ROUNDUP($J39, 0)*BH$7+ROUNDUP($K39, 0)*(BH$7*(BH$7+1)/2),
 BH$7*$J39+(BH$7*(BH$7+1)/2)*$K39)</f>
        <v>0</v>
      </c>
      <c r="BH39" s="1514">
        <f t="shared" si="37"/>
        <v>0</v>
      </c>
      <c r="BI39" s="3145">
        <f t="shared" si="16"/>
        <v>0</v>
      </c>
      <c r="BJ39" s="1513">
        <f>IF(Quanti!$O$54="OUI",
ROUNDUP($J39, 0)*BK$7+ROUNDUP($K39, 0)*(BK$7*(BK$7+1)/2),
 BK$7*$J39+(BK$7*(BK$7+1)/2)*$K39)</f>
        <v>0</v>
      </c>
      <c r="BK39" s="1514">
        <f t="shared" si="38"/>
        <v>0</v>
      </c>
      <c r="BL39" s="3145">
        <f t="shared" si="17"/>
        <v>0</v>
      </c>
      <c r="BM39" s="1513">
        <f>IF(Quanti!$O$54="OUI",
ROUNDUP($J39, 0)*BN$7+ROUNDUP($K39, 0)*(BN$7*(BN$7+1)/2),
 BN$7*$J39+(BN$7*(BN$7+1)/2)*$K39)</f>
        <v>0</v>
      </c>
      <c r="BN39" s="1514">
        <f t="shared" si="39"/>
        <v>0</v>
      </c>
      <c r="BO39" s="3145">
        <f t="shared" si="18"/>
        <v>0</v>
      </c>
      <c r="BP39" s="1513">
        <f>IF(Quanti!$O$54="OUI",
ROUNDUP($J39, 0)*BQ$7+ROUNDUP($K39, 0)*(BQ$7*(BQ$7+1)/2),
 BQ$7*$J39+(BQ$7*(BQ$7+1)/2)*$K39)</f>
        <v>0</v>
      </c>
      <c r="BQ39" s="1514">
        <f t="shared" si="40"/>
        <v>0</v>
      </c>
      <c r="BR39" s="3145">
        <f t="shared" si="19"/>
        <v>0</v>
      </c>
      <c r="BS39" s="1513">
        <f>IF(Quanti!$O$54="OUI",
ROUNDUP($J39, 0)*BT$7+ROUNDUP($K39, 0)*(BT$7*(BT$7+1)/2),
 BT$7*$J39+(BT$7*(BT$7+1)/2)*$K39)</f>
        <v>0</v>
      </c>
      <c r="BT39" s="1514">
        <f t="shared" si="41"/>
        <v>0</v>
      </c>
      <c r="BU39" s="3145">
        <f t="shared" si="20"/>
        <v>0</v>
      </c>
      <c r="BV39" s="1513">
        <f>IF(Quanti!$O$54="OUI",
ROUNDUP($J39, 0)*BW$7+ROUNDUP($K39, 0)*(BW$7*(BW$7+1)/2),
 BW$7*$J39+(BW$7*(BW$7+1)/2)*$K39)</f>
        <v>0</v>
      </c>
      <c r="BW39" s="1514">
        <f t="shared" si="42"/>
        <v>0</v>
      </c>
      <c r="BX39" s="3145">
        <f t="shared" si="21"/>
        <v>0</v>
      </c>
    </row>
    <row r="40" spans="2:76" x14ac:dyDescent="0.2">
      <c r="B40" s="100"/>
      <c r="C40" s="101"/>
      <c r="D40" s="1663" t="str">
        <f>'Saisie données stocks'!F50</f>
        <v>TDF</v>
      </c>
      <c r="E40" s="1664" t="str">
        <f>'Saisie données stocks'!G50</f>
        <v>Cp</v>
      </c>
      <c r="F40" s="1664" t="str">
        <f>'Saisie données stocks'!H50</f>
        <v>300 mg</v>
      </c>
      <c r="G40" s="1643" t="str">
        <f>'Saisie données stocks'!I50</f>
        <v>Tenofovir</v>
      </c>
      <c r="H40" s="116">
        <f>'Saisie données stocks'!L50</f>
        <v>30</v>
      </c>
      <c r="I40" s="333"/>
      <c r="J40" s="3150">
        <f>IF(Quanti!$D$9="X", 'Calculs dispo Données FA'!N156, IF(Quanti!$D$10="X", 'Calculs dispo Données conso'!N158, "0"))</f>
        <v>0</v>
      </c>
      <c r="K40" s="3148">
        <f>IF(Quanti!$D$9="X", 'Calculs dispo Données FA'!O156, IF(Quanti!$D$10="X", 'Calculs dispo Données conso'!O158, "0"))</f>
        <v>0</v>
      </c>
      <c r="L40" s="3151">
        <f>Calculs!O463</f>
        <v>0</v>
      </c>
      <c r="M40" s="3140">
        <f t="shared" si="22"/>
        <v>0</v>
      </c>
      <c r="N40" s="3140">
        <f t="shared" si="0"/>
        <v>0</v>
      </c>
      <c r="O40" s="1513">
        <f>IF(Quanti!$O$54="OUI",
ROUNDUP(J40, 0)*(Quanti!$N$19+Quanti!$N$25)+ROUNDUP(K40, 0)*((Quanti!$N$19+Quanti!$N$25)*((Quanti!$N$19+Quanti!$N$25)+1)/2),
 J40*(Quanti!$N$19+Quanti!$N$25)+K40*((Quanti!$N$19+Quanti!$N$25)*((Quanti!$N$19+Quanti!$N$25)+1)/2))-M40</f>
        <v>0</v>
      </c>
      <c r="P40" s="3145">
        <f t="shared" si="23"/>
        <v>0</v>
      </c>
      <c r="Q40" s="1513">
        <f>IF(Quanti!$O$54="OUI",
ROUNDUP($J40, 0)*R$7+ROUNDUP($K40, 0)*(R$7*(R$7+1)/2),
 R$7*$J40+(R$7*(R$7+1)/2)*$K40)</f>
        <v>0</v>
      </c>
      <c r="R40" s="1511">
        <f t="shared" si="1"/>
        <v>0</v>
      </c>
      <c r="S40" s="3145">
        <f t="shared" si="2"/>
        <v>0</v>
      </c>
      <c r="T40" s="1513">
        <f>IF(Quanti!$O$54="OUI",
ROUNDUP($J40, 0)*U$7+ROUNDUP($K40, 0)*(U$7*(U$7+1)/2),
 U$7*$J40+(U$7*(U$7+1)/2)*$K40)</f>
        <v>0</v>
      </c>
      <c r="U40" s="1514">
        <f t="shared" si="24"/>
        <v>0</v>
      </c>
      <c r="V40" s="3145">
        <f t="shared" si="3"/>
        <v>0</v>
      </c>
      <c r="W40" s="1513">
        <f>IF(Quanti!$O$54="OUI",
ROUNDUP($J40, 0)*X$7+ROUNDUP($K40, 0)*(X$7*(X$7+1)/2),
 X$7*$J40+(X$7*(X$7+1)/2)*$K40)</f>
        <v>0</v>
      </c>
      <c r="X40" s="1514">
        <f t="shared" si="25"/>
        <v>0</v>
      </c>
      <c r="Y40" s="3145">
        <f t="shared" si="4"/>
        <v>0</v>
      </c>
      <c r="Z40" s="1513">
        <f>IF(Quanti!$O$54="OUI",
ROUNDUP($J40, 0)*AA$7+ROUNDUP($K40, 0)*(AA$7*(AA$7+1)/2),
 AA$7*$J40+(AA$7*(AA$7+1)/2)*$K40)</f>
        <v>0</v>
      </c>
      <c r="AA40" s="1514">
        <f t="shared" si="26"/>
        <v>0</v>
      </c>
      <c r="AB40" s="3145">
        <f t="shared" si="5"/>
        <v>0</v>
      </c>
      <c r="AC40" s="1513">
        <f>IF(Quanti!$O$54="OUI",
ROUNDUP($J40, 0)*AD$7+ROUNDUP($K40, 0)*(AD$7*(AD$7+1)/2),
 AD$7*$J40+(AD$7*(AD$7+1)/2)*$K40)</f>
        <v>0</v>
      </c>
      <c r="AD40" s="1514">
        <f t="shared" si="27"/>
        <v>0</v>
      </c>
      <c r="AE40" s="3145">
        <f t="shared" si="6"/>
        <v>0</v>
      </c>
      <c r="AF40" s="1513">
        <f>IF(Quanti!$O$54="OUI",
ROUNDUP($J40, 0)*AG$7+ROUNDUP($K40, 0)*(AG$7*(AG$7+1)/2),
 AG$7*$J40+(AG$7*(AG$7+1)/2)*$K40)</f>
        <v>0</v>
      </c>
      <c r="AG40" s="1514">
        <f t="shared" si="28"/>
        <v>0</v>
      </c>
      <c r="AH40" s="3145">
        <f t="shared" si="7"/>
        <v>0</v>
      </c>
      <c r="AI40" s="1513">
        <f>IF(Quanti!$O$54="OUI",
ROUNDUP($J40, 0)*AJ$7+ROUNDUP($K40, 0)*(AJ$7*(AJ$7+1)/2),
 AJ$7*$J40+(AJ$7*(AJ$7+1)/2)*$K40)</f>
        <v>0</v>
      </c>
      <c r="AJ40" s="1514">
        <f t="shared" si="29"/>
        <v>0</v>
      </c>
      <c r="AK40" s="3145">
        <f t="shared" si="8"/>
        <v>0</v>
      </c>
      <c r="AL40" s="1513">
        <f>IF(Quanti!$O$54="OUI",
ROUNDUP($J40, 0)*AM$7+ROUNDUP($K40, 0)*(AM$7*(AM$7+1)/2),
 AM$7*$J40+(AM$7*(AM$7+1)/2)*$K40)</f>
        <v>0</v>
      </c>
      <c r="AM40" s="1514">
        <f t="shared" si="30"/>
        <v>0</v>
      </c>
      <c r="AN40" s="3145">
        <f t="shared" si="9"/>
        <v>0</v>
      </c>
      <c r="AO40" s="1513">
        <f>IF(Quanti!$O$54="OUI",
ROUNDUP($J40, 0)*AP$7+ROUNDUP($K40, 0)*(AP$7*(AP$7+1)/2),
 AP$7*$J40+(AP$7*(AP$7+1)/2)*$K40)</f>
        <v>0</v>
      </c>
      <c r="AP40" s="1514">
        <f t="shared" si="31"/>
        <v>0</v>
      </c>
      <c r="AQ40" s="3145">
        <f t="shared" si="10"/>
        <v>0</v>
      </c>
      <c r="AR40" s="1513">
        <f>IF(Quanti!$O$54="OUI",
ROUNDUP($J40, 0)*AS$7+ROUNDUP($K40, 0)*(AS$7*(AS$7+1)/2),
 AS$7*$J40+(AS$7*(AS$7+1)/2)*$K40)</f>
        <v>0</v>
      </c>
      <c r="AS40" s="1514">
        <f t="shared" si="32"/>
        <v>0</v>
      </c>
      <c r="AT40" s="3145">
        <f t="shared" si="11"/>
        <v>0</v>
      </c>
      <c r="AU40" s="1513">
        <f>IF(Quanti!$O$54="OUI",
ROUNDUP($J40, 0)*AV$7+ROUNDUP($K40, 0)*(AV$7*(AV$7+1)/2),
 AV$7*$J40+(AV$7*(AV$7+1)/2)*$K40)</f>
        <v>0</v>
      </c>
      <c r="AV40" s="1514">
        <f t="shared" si="33"/>
        <v>0</v>
      </c>
      <c r="AW40" s="3145">
        <f t="shared" si="12"/>
        <v>0</v>
      </c>
      <c r="AX40" s="1513">
        <f>IF(Quanti!$O$54="OUI",
ROUNDUP($J40, 0)*AY$7+ROUNDUP($K40, 0)*(AY$7*(AY$7+1)/2),
 AY$7*$J40+(AY$7*(AY$7+1)/2)*$K40)</f>
        <v>0</v>
      </c>
      <c r="AY40" s="1514">
        <f t="shared" si="34"/>
        <v>0</v>
      </c>
      <c r="AZ40" s="3145">
        <f t="shared" si="13"/>
        <v>0</v>
      </c>
      <c r="BA40" s="1513">
        <f>IF(Quanti!$O$54="OUI",
ROUNDUP($J40, 0)*BB$7+ROUNDUP($K40, 0)*(BB$7*(BB$7+1)/2),
 BB$7*$J40+(BB$7*(BB$7+1)/2)*$K40)</f>
        <v>0</v>
      </c>
      <c r="BB40" s="1514">
        <f t="shared" si="35"/>
        <v>0</v>
      </c>
      <c r="BC40" s="3145">
        <f t="shared" si="14"/>
        <v>0</v>
      </c>
      <c r="BD40" s="1513">
        <f>IF(Quanti!$O$54="OUI",
ROUNDUP($J40, 0)*BE$7+ROUNDUP($K40, 0)*(BE$7*(BE$7+1)/2),
 BE$7*$J40+(BE$7*(BE$7+1)/2)*$K40)</f>
        <v>0</v>
      </c>
      <c r="BE40" s="1514">
        <f t="shared" si="36"/>
        <v>0</v>
      </c>
      <c r="BF40" s="3145">
        <f t="shared" si="15"/>
        <v>0</v>
      </c>
      <c r="BG40" s="1513">
        <f>IF(Quanti!$O$54="OUI",
ROUNDUP($J40, 0)*BH$7+ROUNDUP($K40, 0)*(BH$7*(BH$7+1)/2),
 BH$7*$J40+(BH$7*(BH$7+1)/2)*$K40)</f>
        <v>0</v>
      </c>
      <c r="BH40" s="1514">
        <f t="shared" si="37"/>
        <v>0</v>
      </c>
      <c r="BI40" s="3145">
        <f t="shared" si="16"/>
        <v>0</v>
      </c>
      <c r="BJ40" s="1513">
        <f>IF(Quanti!$O$54="OUI",
ROUNDUP($J40, 0)*BK$7+ROUNDUP($K40, 0)*(BK$7*(BK$7+1)/2),
 BK$7*$J40+(BK$7*(BK$7+1)/2)*$K40)</f>
        <v>0</v>
      </c>
      <c r="BK40" s="1514">
        <f t="shared" si="38"/>
        <v>0</v>
      </c>
      <c r="BL40" s="3145">
        <f t="shared" si="17"/>
        <v>0</v>
      </c>
      <c r="BM40" s="1513">
        <f>IF(Quanti!$O$54="OUI",
ROUNDUP($J40, 0)*BN$7+ROUNDUP($K40, 0)*(BN$7*(BN$7+1)/2),
 BN$7*$J40+(BN$7*(BN$7+1)/2)*$K40)</f>
        <v>0</v>
      </c>
      <c r="BN40" s="1514">
        <f t="shared" si="39"/>
        <v>0</v>
      </c>
      <c r="BO40" s="3145">
        <f t="shared" si="18"/>
        <v>0</v>
      </c>
      <c r="BP40" s="1513">
        <f>IF(Quanti!$O$54="OUI",
ROUNDUP($J40, 0)*BQ$7+ROUNDUP($K40, 0)*(BQ$7*(BQ$7+1)/2),
 BQ$7*$J40+(BQ$7*(BQ$7+1)/2)*$K40)</f>
        <v>0</v>
      </c>
      <c r="BQ40" s="1514">
        <f t="shared" si="40"/>
        <v>0</v>
      </c>
      <c r="BR40" s="3145">
        <f t="shared" si="19"/>
        <v>0</v>
      </c>
      <c r="BS40" s="1513">
        <f>IF(Quanti!$O$54="OUI",
ROUNDUP($J40, 0)*BT$7+ROUNDUP($K40, 0)*(BT$7*(BT$7+1)/2),
 BT$7*$J40+(BT$7*(BT$7+1)/2)*$K40)</f>
        <v>0</v>
      </c>
      <c r="BT40" s="1514">
        <f t="shared" si="41"/>
        <v>0</v>
      </c>
      <c r="BU40" s="3145">
        <f t="shared" si="20"/>
        <v>0</v>
      </c>
      <c r="BV40" s="1513">
        <f>IF(Quanti!$O$54="OUI",
ROUNDUP($J40, 0)*BW$7+ROUNDUP($K40, 0)*(BW$7*(BW$7+1)/2),
 BW$7*$J40+(BW$7*(BW$7+1)/2)*$K40)</f>
        <v>0</v>
      </c>
      <c r="BW40" s="1514">
        <f t="shared" si="42"/>
        <v>0</v>
      </c>
      <c r="BX40" s="3145">
        <f t="shared" si="21"/>
        <v>0</v>
      </c>
    </row>
    <row r="41" spans="2:76" ht="25.5" x14ac:dyDescent="0.2">
      <c r="B41" s="37"/>
      <c r="C41" s="98" t="str">
        <f>'Saisie données stocks'!$E$51</f>
        <v>IP</v>
      </c>
      <c r="D41" s="1658" t="str">
        <f>'Saisie données stocks'!F51</f>
        <v>LPV/r</v>
      </c>
      <c r="E41" s="1659" t="str">
        <f>'Saisie données stocks'!G51</f>
        <v>Cp</v>
      </c>
      <c r="F41" s="1659" t="str">
        <f>'Saisie données stocks'!H51</f>
        <v>200/50 mg</v>
      </c>
      <c r="G41" s="89" t="str">
        <f>'Saisie données stocks'!I51</f>
        <v>Lopinavir/ Ritonavir</v>
      </c>
      <c r="H41" s="114">
        <f>'Saisie données stocks'!L51</f>
        <v>120</v>
      </c>
      <c r="I41" s="330"/>
      <c r="J41" s="3150">
        <f>IF(Quanti!$D$9="X", 'Calculs dispo Données FA'!N157, IF(Quanti!$D$10="X", 'Calculs dispo Données conso'!N159, "0"))</f>
        <v>0</v>
      </c>
      <c r="K41" s="3148">
        <f>IF(Quanti!$D$9="X", 'Calculs dispo Données FA'!O157, IF(Quanti!$D$10="X", 'Calculs dispo Données conso'!O159, "0"))</f>
        <v>0</v>
      </c>
      <c r="L41" s="3151">
        <f>Calculs!O464</f>
        <v>0</v>
      </c>
      <c r="M41" s="3140">
        <f t="shared" si="22"/>
        <v>0</v>
      </c>
      <c r="N41" s="3140">
        <f t="shared" si="0"/>
        <v>0</v>
      </c>
      <c r="O41" s="1513">
        <f>IF(Quanti!$O$54="OUI",
ROUNDUP(J41, 0)*(Quanti!$N$19+Quanti!$N$25)+ROUNDUP(K41, 0)*((Quanti!$N$19+Quanti!$N$25)*((Quanti!$N$19+Quanti!$N$25)+1)/2),
 J41*(Quanti!$N$19+Quanti!$N$25)+K41*((Quanti!$N$19+Quanti!$N$25)*((Quanti!$N$19+Quanti!$N$25)+1)/2))-M41</f>
        <v>0</v>
      </c>
      <c r="P41" s="3145">
        <f t="shared" si="23"/>
        <v>0</v>
      </c>
      <c r="Q41" s="1513">
        <f>IF(Quanti!$O$54="OUI",
ROUNDUP($J41, 0)*R$7+ROUNDUP($K41, 0)*(R$7*(R$7+1)/2),
 R$7*$J41+(R$7*(R$7+1)/2)*$K41)</f>
        <v>0</v>
      </c>
      <c r="R41" s="1511">
        <f t="shared" si="1"/>
        <v>0</v>
      </c>
      <c r="S41" s="3145">
        <f t="shared" si="2"/>
        <v>0</v>
      </c>
      <c r="T41" s="1513">
        <f>IF(Quanti!$O$54="OUI",
ROUNDUP($J41, 0)*U$7+ROUNDUP($K41, 0)*(U$7*(U$7+1)/2),
 U$7*$J41+(U$7*(U$7+1)/2)*$K41)</f>
        <v>0</v>
      </c>
      <c r="U41" s="1514">
        <f t="shared" si="24"/>
        <v>0</v>
      </c>
      <c r="V41" s="3145">
        <f t="shared" si="3"/>
        <v>0</v>
      </c>
      <c r="W41" s="1513">
        <f>IF(Quanti!$O$54="OUI",
ROUNDUP($J41, 0)*X$7+ROUNDUP($K41, 0)*(X$7*(X$7+1)/2),
 X$7*$J41+(X$7*(X$7+1)/2)*$K41)</f>
        <v>0</v>
      </c>
      <c r="X41" s="1514">
        <f t="shared" si="25"/>
        <v>0</v>
      </c>
      <c r="Y41" s="3145">
        <f t="shared" si="4"/>
        <v>0</v>
      </c>
      <c r="Z41" s="1513">
        <f>IF(Quanti!$O$54="OUI",
ROUNDUP($J41, 0)*AA$7+ROUNDUP($K41, 0)*(AA$7*(AA$7+1)/2),
 AA$7*$J41+(AA$7*(AA$7+1)/2)*$K41)</f>
        <v>0</v>
      </c>
      <c r="AA41" s="1514">
        <f t="shared" si="26"/>
        <v>0</v>
      </c>
      <c r="AB41" s="3145">
        <f t="shared" si="5"/>
        <v>0</v>
      </c>
      <c r="AC41" s="1513">
        <f>IF(Quanti!$O$54="OUI",
ROUNDUP($J41, 0)*AD$7+ROUNDUP($K41, 0)*(AD$7*(AD$7+1)/2),
 AD$7*$J41+(AD$7*(AD$7+1)/2)*$K41)</f>
        <v>0</v>
      </c>
      <c r="AD41" s="1514">
        <f t="shared" si="27"/>
        <v>0</v>
      </c>
      <c r="AE41" s="3145">
        <f t="shared" si="6"/>
        <v>0</v>
      </c>
      <c r="AF41" s="1513">
        <f>IF(Quanti!$O$54="OUI",
ROUNDUP($J41, 0)*AG$7+ROUNDUP($K41, 0)*(AG$7*(AG$7+1)/2),
 AG$7*$J41+(AG$7*(AG$7+1)/2)*$K41)</f>
        <v>0</v>
      </c>
      <c r="AG41" s="1514">
        <f t="shared" si="28"/>
        <v>0</v>
      </c>
      <c r="AH41" s="3145">
        <f t="shared" si="7"/>
        <v>0</v>
      </c>
      <c r="AI41" s="1513">
        <f>IF(Quanti!$O$54="OUI",
ROUNDUP($J41, 0)*AJ$7+ROUNDUP($K41, 0)*(AJ$7*(AJ$7+1)/2),
 AJ$7*$J41+(AJ$7*(AJ$7+1)/2)*$K41)</f>
        <v>0</v>
      </c>
      <c r="AJ41" s="1514">
        <f t="shared" si="29"/>
        <v>0</v>
      </c>
      <c r="AK41" s="3145">
        <f t="shared" si="8"/>
        <v>0</v>
      </c>
      <c r="AL41" s="1513">
        <f>IF(Quanti!$O$54="OUI",
ROUNDUP($J41, 0)*AM$7+ROUNDUP($K41, 0)*(AM$7*(AM$7+1)/2),
 AM$7*$J41+(AM$7*(AM$7+1)/2)*$K41)</f>
        <v>0</v>
      </c>
      <c r="AM41" s="1514">
        <f t="shared" si="30"/>
        <v>0</v>
      </c>
      <c r="AN41" s="3145">
        <f t="shared" si="9"/>
        <v>0</v>
      </c>
      <c r="AO41" s="1513">
        <f>IF(Quanti!$O$54="OUI",
ROUNDUP($J41, 0)*AP$7+ROUNDUP($K41, 0)*(AP$7*(AP$7+1)/2),
 AP$7*$J41+(AP$7*(AP$7+1)/2)*$K41)</f>
        <v>0</v>
      </c>
      <c r="AP41" s="1514">
        <f t="shared" si="31"/>
        <v>0</v>
      </c>
      <c r="AQ41" s="3145">
        <f t="shared" si="10"/>
        <v>0</v>
      </c>
      <c r="AR41" s="1513">
        <f>IF(Quanti!$O$54="OUI",
ROUNDUP($J41, 0)*AS$7+ROUNDUP($K41, 0)*(AS$7*(AS$7+1)/2),
 AS$7*$J41+(AS$7*(AS$7+1)/2)*$K41)</f>
        <v>0</v>
      </c>
      <c r="AS41" s="1514">
        <f t="shared" si="32"/>
        <v>0</v>
      </c>
      <c r="AT41" s="3145">
        <f t="shared" si="11"/>
        <v>0</v>
      </c>
      <c r="AU41" s="1513">
        <f>IF(Quanti!$O$54="OUI",
ROUNDUP($J41, 0)*AV$7+ROUNDUP($K41, 0)*(AV$7*(AV$7+1)/2),
 AV$7*$J41+(AV$7*(AV$7+1)/2)*$K41)</f>
        <v>0</v>
      </c>
      <c r="AV41" s="1514">
        <f t="shared" si="33"/>
        <v>0</v>
      </c>
      <c r="AW41" s="3145">
        <f t="shared" si="12"/>
        <v>0</v>
      </c>
      <c r="AX41" s="1513">
        <f>IF(Quanti!$O$54="OUI",
ROUNDUP($J41, 0)*AY$7+ROUNDUP($K41, 0)*(AY$7*(AY$7+1)/2),
 AY$7*$J41+(AY$7*(AY$7+1)/2)*$K41)</f>
        <v>0</v>
      </c>
      <c r="AY41" s="1514">
        <f t="shared" si="34"/>
        <v>0</v>
      </c>
      <c r="AZ41" s="3145">
        <f t="shared" si="13"/>
        <v>0</v>
      </c>
      <c r="BA41" s="1513">
        <f>IF(Quanti!$O$54="OUI",
ROUNDUP($J41, 0)*BB$7+ROUNDUP($K41, 0)*(BB$7*(BB$7+1)/2),
 BB$7*$J41+(BB$7*(BB$7+1)/2)*$K41)</f>
        <v>0</v>
      </c>
      <c r="BB41" s="1514">
        <f t="shared" si="35"/>
        <v>0</v>
      </c>
      <c r="BC41" s="3145">
        <f t="shared" si="14"/>
        <v>0</v>
      </c>
      <c r="BD41" s="1513">
        <f>IF(Quanti!$O$54="OUI",
ROUNDUP($J41, 0)*BE$7+ROUNDUP($K41, 0)*(BE$7*(BE$7+1)/2),
 BE$7*$J41+(BE$7*(BE$7+1)/2)*$K41)</f>
        <v>0</v>
      </c>
      <c r="BE41" s="1514">
        <f t="shared" si="36"/>
        <v>0</v>
      </c>
      <c r="BF41" s="3145">
        <f t="shared" si="15"/>
        <v>0</v>
      </c>
      <c r="BG41" s="1513">
        <f>IF(Quanti!$O$54="OUI",
ROUNDUP($J41, 0)*BH$7+ROUNDUP($K41, 0)*(BH$7*(BH$7+1)/2),
 BH$7*$J41+(BH$7*(BH$7+1)/2)*$K41)</f>
        <v>0</v>
      </c>
      <c r="BH41" s="1514">
        <f t="shared" si="37"/>
        <v>0</v>
      </c>
      <c r="BI41" s="3145">
        <f t="shared" si="16"/>
        <v>0</v>
      </c>
      <c r="BJ41" s="1513">
        <f>IF(Quanti!$O$54="OUI",
ROUNDUP($J41, 0)*BK$7+ROUNDUP($K41, 0)*(BK$7*(BK$7+1)/2),
 BK$7*$J41+(BK$7*(BK$7+1)/2)*$K41)</f>
        <v>0</v>
      </c>
      <c r="BK41" s="1514">
        <f t="shared" si="38"/>
        <v>0</v>
      </c>
      <c r="BL41" s="3145">
        <f t="shared" si="17"/>
        <v>0</v>
      </c>
      <c r="BM41" s="1513">
        <f>IF(Quanti!$O$54="OUI",
ROUNDUP($J41, 0)*BN$7+ROUNDUP($K41, 0)*(BN$7*(BN$7+1)/2),
 BN$7*$J41+(BN$7*(BN$7+1)/2)*$K41)</f>
        <v>0</v>
      </c>
      <c r="BN41" s="1514">
        <f t="shared" si="39"/>
        <v>0</v>
      </c>
      <c r="BO41" s="3145">
        <f t="shared" si="18"/>
        <v>0</v>
      </c>
      <c r="BP41" s="1513">
        <f>IF(Quanti!$O$54="OUI",
ROUNDUP($J41, 0)*BQ$7+ROUNDUP($K41, 0)*(BQ$7*(BQ$7+1)/2),
 BQ$7*$J41+(BQ$7*(BQ$7+1)/2)*$K41)</f>
        <v>0</v>
      </c>
      <c r="BQ41" s="1514">
        <f t="shared" si="40"/>
        <v>0</v>
      </c>
      <c r="BR41" s="3145">
        <f t="shared" si="19"/>
        <v>0</v>
      </c>
      <c r="BS41" s="1513">
        <f>IF(Quanti!$O$54="OUI",
ROUNDUP($J41, 0)*BT$7+ROUNDUP($K41, 0)*(BT$7*(BT$7+1)/2),
 BT$7*$J41+(BT$7*(BT$7+1)/2)*$K41)</f>
        <v>0</v>
      </c>
      <c r="BT41" s="1514">
        <f t="shared" si="41"/>
        <v>0</v>
      </c>
      <c r="BU41" s="3145">
        <f t="shared" si="20"/>
        <v>0</v>
      </c>
      <c r="BV41" s="1513">
        <f>IF(Quanti!$O$54="OUI",
ROUNDUP($J41, 0)*BW$7+ROUNDUP($K41, 0)*(BW$7*(BW$7+1)/2),
 BW$7*$J41+(BW$7*(BW$7+1)/2)*$K41)</f>
        <v>0</v>
      </c>
      <c r="BW41" s="1514">
        <f t="shared" si="42"/>
        <v>0</v>
      </c>
      <c r="BX41" s="3145">
        <f t="shared" si="21"/>
        <v>0</v>
      </c>
    </row>
    <row r="42" spans="2:76" ht="25.5" x14ac:dyDescent="0.2">
      <c r="B42" s="37"/>
      <c r="C42" s="98"/>
      <c r="D42" s="1672" t="str">
        <f>'Saisie données stocks'!F52</f>
        <v>LPV/r</v>
      </c>
      <c r="E42" s="1673" t="str">
        <f>'Saisie données stocks'!G52</f>
        <v>Cp coblister</v>
      </c>
      <c r="F42" s="1673" t="str">
        <f>'Saisie données stocks'!H52</f>
        <v>100/25 mg</v>
      </c>
      <c r="G42" s="1210" t="str">
        <f>'Saisie données stocks'!I52</f>
        <v>Lopinavir/ Ritonavir</v>
      </c>
      <c r="H42" s="537">
        <f>'Saisie données stocks'!L52</f>
        <v>60</v>
      </c>
      <c r="I42" s="506"/>
      <c r="J42" s="3150">
        <f>IF(Quanti!$D$9="X", 'Calculs dispo Données FA'!N158, IF(Quanti!$D$10="X", 'Calculs dispo Données conso'!N160, "0"))</f>
        <v>0</v>
      </c>
      <c r="K42" s="3148">
        <f>IF(Quanti!$D$9="X", 'Calculs dispo Données FA'!O158, IF(Quanti!$D$10="X", 'Calculs dispo Données conso'!O160, "0"))</f>
        <v>0</v>
      </c>
      <c r="L42" s="3151">
        <f>Calculs!O465</f>
        <v>83</v>
      </c>
      <c r="M42" s="3140">
        <f t="shared" si="22"/>
        <v>0</v>
      </c>
      <c r="N42" s="3140">
        <f t="shared" si="0"/>
        <v>83</v>
      </c>
      <c r="O42" s="1513">
        <f>IF(Quanti!$O$54="OUI",
ROUNDUP(J42, 0)*(Quanti!$N$19+Quanti!$N$25)+ROUNDUP(K42, 0)*((Quanti!$N$19+Quanti!$N$25)*((Quanti!$N$19+Quanti!$N$25)+1)/2),
 J42*(Quanti!$N$19+Quanti!$N$25)+K42*((Quanti!$N$19+Quanti!$N$25)*((Quanti!$N$19+Quanti!$N$25)+1)/2))-M42</f>
        <v>0</v>
      </c>
      <c r="P42" s="3145">
        <f t="shared" si="23"/>
        <v>0</v>
      </c>
      <c r="Q42" s="1513">
        <f>IF(Quanti!$O$54="OUI",
ROUNDUP($J42, 0)*R$7+ROUNDUP($K42, 0)*(R$7*(R$7+1)/2),
 R$7*$J42+(R$7*(R$7+1)/2)*$K42)</f>
        <v>0</v>
      </c>
      <c r="R42" s="1511">
        <f t="shared" si="1"/>
        <v>0</v>
      </c>
      <c r="S42" s="3145">
        <f t="shared" si="2"/>
        <v>0</v>
      </c>
      <c r="T42" s="1513">
        <f>IF(Quanti!$O$54="OUI",
ROUNDUP($J42, 0)*U$7+ROUNDUP($K42, 0)*(U$7*(U$7+1)/2),
 U$7*$J42+(U$7*(U$7+1)/2)*$K42)</f>
        <v>0</v>
      </c>
      <c r="U42" s="1514">
        <f t="shared" si="24"/>
        <v>0</v>
      </c>
      <c r="V42" s="3145">
        <f t="shared" si="3"/>
        <v>0</v>
      </c>
      <c r="W42" s="1513">
        <f>IF(Quanti!$O$54="OUI",
ROUNDUP($J42, 0)*X$7+ROUNDUP($K42, 0)*(X$7*(X$7+1)/2),
 X$7*$J42+(X$7*(X$7+1)/2)*$K42)</f>
        <v>0</v>
      </c>
      <c r="X42" s="1514">
        <f t="shared" si="25"/>
        <v>0</v>
      </c>
      <c r="Y42" s="3145">
        <f t="shared" si="4"/>
        <v>0</v>
      </c>
      <c r="Z42" s="1513">
        <f>IF(Quanti!$O$54="OUI",
ROUNDUP($J42, 0)*AA$7+ROUNDUP($K42, 0)*(AA$7*(AA$7+1)/2),
 AA$7*$J42+(AA$7*(AA$7+1)/2)*$K42)</f>
        <v>0</v>
      </c>
      <c r="AA42" s="1514">
        <f t="shared" si="26"/>
        <v>0</v>
      </c>
      <c r="AB42" s="3145">
        <f t="shared" si="5"/>
        <v>0</v>
      </c>
      <c r="AC42" s="1513">
        <f>IF(Quanti!$O$54="OUI",
ROUNDUP($J42, 0)*AD$7+ROUNDUP($K42, 0)*(AD$7*(AD$7+1)/2),
 AD$7*$J42+(AD$7*(AD$7+1)/2)*$K42)</f>
        <v>0</v>
      </c>
      <c r="AD42" s="1514">
        <f t="shared" si="27"/>
        <v>0</v>
      </c>
      <c r="AE42" s="3145">
        <f t="shared" si="6"/>
        <v>0</v>
      </c>
      <c r="AF42" s="1513">
        <f>IF(Quanti!$O$54="OUI",
ROUNDUP($J42, 0)*AG$7+ROUNDUP($K42, 0)*(AG$7*(AG$7+1)/2),
 AG$7*$J42+(AG$7*(AG$7+1)/2)*$K42)</f>
        <v>0</v>
      </c>
      <c r="AG42" s="1514">
        <f t="shared" si="28"/>
        <v>0</v>
      </c>
      <c r="AH42" s="3145">
        <f t="shared" si="7"/>
        <v>0</v>
      </c>
      <c r="AI42" s="1513">
        <f>IF(Quanti!$O$54="OUI",
ROUNDUP($J42, 0)*AJ$7+ROUNDUP($K42, 0)*(AJ$7*(AJ$7+1)/2),
 AJ$7*$J42+(AJ$7*(AJ$7+1)/2)*$K42)</f>
        <v>0</v>
      </c>
      <c r="AJ42" s="1514">
        <f t="shared" si="29"/>
        <v>0</v>
      </c>
      <c r="AK42" s="3145">
        <f t="shared" si="8"/>
        <v>0</v>
      </c>
      <c r="AL42" s="1513">
        <f>IF(Quanti!$O$54="OUI",
ROUNDUP($J42, 0)*AM$7+ROUNDUP($K42, 0)*(AM$7*(AM$7+1)/2),
 AM$7*$J42+(AM$7*(AM$7+1)/2)*$K42)</f>
        <v>0</v>
      </c>
      <c r="AM42" s="1514">
        <f t="shared" si="30"/>
        <v>0</v>
      </c>
      <c r="AN42" s="3145">
        <f t="shared" si="9"/>
        <v>0</v>
      </c>
      <c r="AO42" s="1513">
        <f>IF(Quanti!$O$54="OUI",
ROUNDUP($J42, 0)*AP$7+ROUNDUP($K42, 0)*(AP$7*(AP$7+1)/2),
 AP$7*$J42+(AP$7*(AP$7+1)/2)*$K42)</f>
        <v>0</v>
      </c>
      <c r="AP42" s="1514">
        <f t="shared" si="31"/>
        <v>0</v>
      </c>
      <c r="AQ42" s="3145">
        <f t="shared" si="10"/>
        <v>0</v>
      </c>
      <c r="AR42" s="1513">
        <f>IF(Quanti!$O$54="OUI",
ROUNDUP($J42, 0)*AS$7+ROUNDUP($K42, 0)*(AS$7*(AS$7+1)/2),
 AS$7*$J42+(AS$7*(AS$7+1)/2)*$K42)</f>
        <v>0</v>
      </c>
      <c r="AS42" s="1514">
        <f t="shared" si="32"/>
        <v>0</v>
      </c>
      <c r="AT42" s="3145">
        <f t="shared" si="11"/>
        <v>0</v>
      </c>
      <c r="AU42" s="1513">
        <f>IF(Quanti!$O$54="OUI",
ROUNDUP($J42, 0)*AV$7+ROUNDUP($K42, 0)*(AV$7*(AV$7+1)/2),
 AV$7*$J42+(AV$7*(AV$7+1)/2)*$K42)</f>
        <v>0</v>
      </c>
      <c r="AV42" s="1514">
        <f t="shared" si="33"/>
        <v>0</v>
      </c>
      <c r="AW42" s="3145">
        <f t="shared" si="12"/>
        <v>0</v>
      </c>
      <c r="AX42" s="1513">
        <f>IF(Quanti!$O$54="OUI",
ROUNDUP($J42, 0)*AY$7+ROUNDUP($K42, 0)*(AY$7*(AY$7+1)/2),
 AY$7*$J42+(AY$7*(AY$7+1)/2)*$K42)</f>
        <v>0</v>
      </c>
      <c r="AY42" s="1514">
        <f t="shared" si="34"/>
        <v>0</v>
      </c>
      <c r="AZ42" s="3145">
        <f t="shared" si="13"/>
        <v>0</v>
      </c>
      <c r="BA42" s="1513">
        <f>IF(Quanti!$O$54="OUI",
ROUNDUP($J42, 0)*BB$7+ROUNDUP($K42, 0)*(BB$7*(BB$7+1)/2),
 BB$7*$J42+(BB$7*(BB$7+1)/2)*$K42)</f>
        <v>0</v>
      </c>
      <c r="BB42" s="1514">
        <f t="shared" si="35"/>
        <v>0</v>
      </c>
      <c r="BC42" s="3145">
        <f t="shared" si="14"/>
        <v>0</v>
      </c>
      <c r="BD42" s="1513">
        <f>IF(Quanti!$O$54="OUI",
ROUNDUP($J42, 0)*BE$7+ROUNDUP($K42, 0)*(BE$7*(BE$7+1)/2),
 BE$7*$J42+(BE$7*(BE$7+1)/2)*$K42)</f>
        <v>0</v>
      </c>
      <c r="BE42" s="1514">
        <f t="shared" si="36"/>
        <v>0</v>
      </c>
      <c r="BF42" s="3145">
        <f t="shared" si="15"/>
        <v>0</v>
      </c>
      <c r="BG42" s="1513">
        <f>IF(Quanti!$O$54="OUI",
ROUNDUP($J42, 0)*BH$7+ROUNDUP($K42, 0)*(BH$7*(BH$7+1)/2),
 BH$7*$J42+(BH$7*(BH$7+1)/2)*$K42)</f>
        <v>0</v>
      </c>
      <c r="BH42" s="1514">
        <f t="shared" si="37"/>
        <v>0</v>
      </c>
      <c r="BI42" s="3145">
        <f t="shared" si="16"/>
        <v>0</v>
      </c>
      <c r="BJ42" s="1513">
        <f>IF(Quanti!$O$54="OUI",
ROUNDUP($J42, 0)*BK$7+ROUNDUP($K42, 0)*(BK$7*(BK$7+1)/2),
 BK$7*$J42+(BK$7*(BK$7+1)/2)*$K42)</f>
        <v>0</v>
      </c>
      <c r="BK42" s="1514">
        <f t="shared" si="38"/>
        <v>0</v>
      </c>
      <c r="BL42" s="3145">
        <f t="shared" si="17"/>
        <v>0</v>
      </c>
      <c r="BM42" s="1513">
        <f>IF(Quanti!$O$54="OUI",
ROUNDUP($J42, 0)*BN$7+ROUNDUP($K42, 0)*(BN$7*(BN$7+1)/2),
 BN$7*$J42+(BN$7*(BN$7+1)/2)*$K42)</f>
        <v>0</v>
      </c>
      <c r="BN42" s="1514">
        <f t="shared" si="39"/>
        <v>0</v>
      </c>
      <c r="BO42" s="3145">
        <f t="shared" si="18"/>
        <v>0</v>
      </c>
      <c r="BP42" s="1513">
        <f>IF(Quanti!$O$54="OUI",
ROUNDUP($J42, 0)*BQ$7+ROUNDUP($K42, 0)*(BQ$7*(BQ$7+1)/2),
 BQ$7*$J42+(BQ$7*(BQ$7+1)/2)*$K42)</f>
        <v>0</v>
      </c>
      <c r="BQ42" s="1514">
        <f t="shared" si="40"/>
        <v>0</v>
      </c>
      <c r="BR42" s="3145">
        <f t="shared" si="19"/>
        <v>0</v>
      </c>
      <c r="BS42" s="1513">
        <f>IF(Quanti!$O$54="OUI",
ROUNDUP($J42, 0)*BT$7+ROUNDUP($K42, 0)*(BT$7*(BT$7+1)/2),
 BT$7*$J42+(BT$7*(BT$7+1)/2)*$K42)</f>
        <v>0</v>
      </c>
      <c r="BT42" s="1514">
        <f t="shared" si="41"/>
        <v>0</v>
      </c>
      <c r="BU42" s="3145">
        <f t="shared" si="20"/>
        <v>0</v>
      </c>
      <c r="BV42" s="1513">
        <f>IF(Quanti!$O$54="OUI",
ROUNDUP($J42, 0)*BW$7+ROUNDUP($K42, 0)*(BW$7*(BW$7+1)/2),
 BW$7*$J42+(BW$7*(BW$7+1)/2)*$K42)</f>
        <v>0</v>
      </c>
      <c r="BW42" s="1514">
        <f t="shared" si="42"/>
        <v>0</v>
      </c>
      <c r="BX42" s="3145">
        <f t="shared" si="21"/>
        <v>0</v>
      </c>
    </row>
    <row r="43" spans="2:76" ht="25.5" x14ac:dyDescent="0.2">
      <c r="B43" s="37"/>
      <c r="C43" s="92"/>
      <c r="D43" s="1674" t="str">
        <f>'Saisie données stocks'!F53</f>
        <v>ATV/r</v>
      </c>
      <c r="E43" s="1675" t="str">
        <f>'Saisie données stocks'!G53</f>
        <v>Cp</v>
      </c>
      <c r="F43" s="1676" t="str">
        <f>'Saisie données stocks'!H53</f>
        <v>300/100 mg</v>
      </c>
      <c r="G43" s="1625" t="str">
        <f>'Saisie données stocks'!I53</f>
        <v>Atazanavir/ Ritonavir</v>
      </c>
      <c r="H43" s="512">
        <f>'Saisie données stocks'!L53</f>
        <v>30</v>
      </c>
      <c r="I43" s="334"/>
      <c r="J43" s="3150">
        <f>IF(Quanti!$D$9="X", 'Calculs dispo Données FA'!N159, IF(Quanti!$D$10="X", 'Calculs dispo Données conso'!N161, "0"))</f>
        <v>0</v>
      </c>
      <c r="K43" s="3148">
        <f>IF(Quanti!$D$9="X", 'Calculs dispo Données FA'!O159, IF(Quanti!$D$10="X", 'Calculs dispo Données conso'!O161, "0"))</f>
        <v>0</v>
      </c>
      <c r="L43" s="3151">
        <f>Calculs!O466</f>
        <v>0</v>
      </c>
      <c r="M43" s="3140">
        <f t="shared" si="22"/>
        <v>0</v>
      </c>
      <c r="N43" s="3140">
        <f t="shared" si="0"/>
        <v>0</v>
      </c>
      <c r="O43" s="1513">
        <f>IF(Quanti!$O$54="OUI",
ROUNDUP(J43, 0)*(Quanti!$N$19+Quanti!$N$25)+ROUNDUP(K43, 0)*((Quanti!$N$19+Quanti!$N$25)*((Quanti!$N$19+Quanti!$N$25)+1)/2),
 J43*(Quanti!$N$19+Quanti!$N$25)+K43*((Quanti!$N$19+Quanti!$N$25)*((Quanti!$N$19+Quanti!$N$25)+1)/2))-M43</f>
        <v>0</v>
      </c>
      <c r="P43" s="3145">
        <f t="shared" si="23"/>
        <v>0</v>
      </c>
      <c r="Q43" s="1513">
        <f>IF(Quanti!$O$54="OUI",
ROUNDUP($J43, 0)*R$7+ROUNDUP($K43, 0)*(R$7*(R$7+1)/2),
 R$7*$J43+(R$7*(R$7+1)/2)*$K43)</f>
        <v>0</v>
      </c>
      <c r="R43" s="1511">
        <f t="shared" si="1"/>
        <v>0</v>
      </c>
      <c r="S43" s="3145">
        <f t="shared" si="2"/>
        <v>0</v>
      </c>
      <c r="T43" s="1513">
        <f>IF(Quanti!$O$54="OUI",
ROUNDUP($J43, 0)*U$7+ROUNDUP($K43, 0)*(U$7*(U$7+1)/2),
 U$7*$J43+(U$7*(U$7+1)/2)*$K43)</f>
        <v>0</v>
      </c>
      <c r="U43" s="1514">
        <f t="shared" si="24"/>
        <v>0</v>
      </c>
      <c r="V43" s="3145">
        <f t="shared" si="3"/>
        <v>0</v>
      </c>
      <c r="W43" s="1513">
        <f>IF(Quanti!$O$54="OUI",
ROUNDUP($J43, 0)*X$7+ROUNDUP($K43, 0)*(X$7*(X$7+1)/2),
 X$7*$J43+(X$7*(X$7+1)/2)*$K43)</f>
        <v>0</v>
      </c>
      <c r="X43" s="1514">
        <f t="shared" si="25"/>
        <v>0</v>
      </c>
      <c r="Y43" s="3145">
        <f t="shared" si="4"/>
        <v>0</v>
      </c>
      <c r="Z43" s="1513">
        <f>IF(Quanti!$O$54="OUI",
ROUNDUP($J43, 0)*AA$7+ROUNDUP($K43, 0)*(AA$7*(AA$7+1)/2),
 AA$7*$J43+(AA$7*(AA$7+1)/2)*$K43)</f>
        <v>0</v>
      </c>
      <c r="AA43" s="1514">
        <f t="shared" si="26"/>
        <v>0</v>
      </c>
      <c r="AB43" s="3145">
        <f t="shared" si="5"/>
        <v>0</v>
      </c>
      <c r="AC43" s="1513">
        <f>IF(Quanti!$O$54="OUI",
ROUNDUP($J43, 0)*AD$7+ROUNDUP($K43, 0)*(AD$7*(AD$7+1)/2),
 AD$7*$J43+(AD$7*(AD$7+1)/2)*$K43)</f>
        <v>0</v>
      </c>
      <c r="AD43" s="1514">
        <f t="shared" si="27"/>
        <v>0</v>
      </c>
      <c r="AE43" s="3145">
        <f t="shared" si="6"/>
        <v>0</v>
      </c>
      <c r="AF43" s="1513">
        <f>IF(Quanti!$O$54="OUI",
ROUNDUP($J43, 0)*AG$7+ROUNDUP($K43, 0)*(AG$7*(AG$7+1)/2),
 AG$7*$J43+(AG$7*(AG$7+1)/2)*$K43)</f>
        <v>0</v>
      </c>
      <c r="AG43" s="1514">
        <f t="shared" si="28"/>
        <v>0</v>
      </c>
      <c r="AH43" s="3145">
        <f t="shared" si="7"/>
        <v>0</v>
      </c>
      <c r="AI43" s="1513">
        <f>IF(Quanti!$O$54="OUI",
ROUNDUP($J43, 0)*AJ$7+ROUNDUP($K43, 0)*(AJ$7*(AJ$7+1)/2),
 AJ$7*$J43+(AJ$7*(AJ$7+1)/2)*$K43)</f>
        <v>0</v>
      </c>
      <c r="AJ43" s="1514">
        <f t="shared" si="29"/>
        <v>0</v>
      </c>
      <c r="AK43" s="3145">
        <f t="shared" si="8"/>
        <v>0</v>
      </c>
      <c r="AL43" s="1513">
        <f>IF(Quanti!$O$54="OUI",
ROUNDUP($J43, 0)*AM$7+ROUNDUP($K43, 0)*(AM$7*(AM$7+1)/2),
 AM$7*$J43+(AM$7*(AM$7+1)/2)*$K43)</f>
        <v>0</v>
      </c>
      <c r="AM43" s="1514">
        <f t="shared" si="30"/>
        <v>0</v>
      </c>
      <c r="AN43" s="3145">
        <f t="shared" si="9"/>
        <v>0</v>
      </c>
      <c r="AO43" s="1513">
        <f>IF(Quanti!$O$54="OUI",
ROUNDUP($J43, 0)*AP$7+ROUNDUP($K43, 0)*(AP$7*(AP$7+1)/2),
 AP$7*$J43+(AP$7*(AP$7+1)/2)*$K43)</f>
        <v>0</v>
      </c>
      <c r="AP43" s="1514">
        <f t="shared" si="31"/>
        <v>0</v>
      </c>
      <c r="AQ43" s="3145">
        <f t="shared" si="10"/>
        <v>0</v>
      </c>
      <c r="AR43" s="1513">
        <f>IF(Quanti!$O$54="OUI",
ROUNDUP($J43, 0)*AS$7+ROUNDUP($K43, 0)*(AS$7*(AS$7+1)/2),
 AS$7*$J43+(AS$7*(AS$7+1)/2)*$K43)</f>
        <v>0</v>
      </c>
      <c r="AS43" s="1514">
        <f t="shared" si="32"/>
        <v>0</v>
      </c>
      <c r="AT43" s="3145">
        <f t="shared" si="11"/>
        <v>0</v>
      </c>
      <c r="AU43" s="1513">
        <f>IF(Quanti!$O$54="OUI",
ROUNDUP($J43, 0)*AV$7+ROUNDUP($K43, 0)*(AV$7*(AV$7+1)/2),
 AV$7*$J43+(AV$7*(AV$7+1)/2)*$K43)</f>
        <v>0</v>
      </c>
      <c r="AV43" s="1514">
        <f t="shared" si="33"/>
        <v>0</v>
      </c>
      <c r="AW43" s="3145">
        <f t="shared" si="12"/>
        <v>0</v>
      </c>
      <c r="AX43" s="1513">
        <f>IF(Quanti!$O$54="OUI",
ROUNDUP($J43, 0)*AY$7+ROUNDUP($K43, 0)*(AY$7*(AY$7+1)/2),
 AY$7*$J43+(AY$7*(AY$7+1)/2)*$K43)</f>
        <v>0</v>
      </c>
      <c r="AY43" s="1514">
        <f t="shared" si="34"/>
        <v>0</v>
      </c>
      <c r="AZ43" s="3145">
        <f t="shared" si="13"/>
        <v>0</v>
      </c>
      <c r="BA43" s="1513">
        <f>IF(Quanti!$O$54="OUI",
ROUNDUP($J43, 0)*BB$7+ROUNDUP($K43, 0)*(BB$7*(BB$7+1)/2),
 BB$7*$J43+(BB$7*(BB$7+1)/2)*$K43)</f>
        <v>0</v>
      </c>
      <c r="BB43" s="1514">
        <f t="shared" si="35"/>
        <v>0</v>
      </c>
      <c r="BC43" s="3145">
        <f t="shared" si="14"/>
        <v>0</v>
      </c>
      <c r="BD43" s="1513">
        <f>IF(Quanti!$O$54="OUI",
ROUNDUP($J43, 0)*BE$7+ROUNDUP($K43, 0)*(BE$7*(BE$7+1)/2),
 BE$7*$J43+(BE$7*(BE$7+1)/2)*$K43)</f>
        <v>0</v>
      </c>
      <c r="BE43" s="1514">
        <f t="shared" si="36"/>
        <v>0</v>
      </c>
      <c r="BF43" s="3145">
        <f t="shared" si="15"/>
        <v>0</v>
      </c>
      <c r="BG43" s="1513">
        <f>IF(Quanti!$O$54="OUI",
ROUNDUP($J43, 0)*BH$7+ROUNDUP($K43, 0)*(BH$7*(BH$7+1)/2),
 BH$7*$J43+(BH$7*(BH$7+1)/2)*$K43)</f>
        <v>0</v>
      </c>
      <c r="BH43" s="1514">
        <f t="shared" si="37"/>
        <v>0</v>
      </c>
      <c r="BI43" s="3145">
        <f t="shared" si="16"/>
        <v>0</v>
      </c>
      <c r="BJ43" s="1513">
        <f>IF(Quanti!$O$54="OUI",
ROUNDUP($J43, 0)*BK$7+ROUNDUP($K43, 0)*(BK$7*(BK$7+1)/2),
 BK$7*$J43+(BK$7*(BK$7+1)/2)*$K43)</f>
        <v>0</v>
      </c>
      <c r="BK43" s="1514">
        <f t="shared" si="38"/>
        <v>0</v>
      </c>
      <c r="BL43" s="3145">
        <f t="shared" si="17"/>
        <v>0</v>
      </c>
      <c r="BM43" s="1513">
        <f>IF(Quanti!$O$54="OUI",
ROUNDUP($J43, 0)*BN$7+ROUNDUP($K43, 0)*(BN$7*(BN$7+1)/2),
 BN$7*$J43+(BN$7*(BN$7+1)/2)*$K43)</f>
        <v>0</v>
      </c>
      <c r="BN43" s="1514">
        <f t="shared" si="39"/>
        <v>0</v>
      </c>
      <c r="BO43" s="3145">
        <f t="shared" si="18"/>
        <v>0</v>
      </c>
      <c r="BP43" s="1513">
        <f>IF(Quanti!$O$54="OUI",
ROUNDUP($J43, 0)*BQ$7+ROUNDUP($K43, 0)*(BQ$7*(BQ$7+1)/2),
 BQ$7*$J43+(BQ$7*(BQ$7+1)/2)*$K43)</f>
        <v>0</v>
      </c>
      <c r="BQ43" s="1514">
        <f t="shared" si="40"/>
        <v>0</v>
      </c>
      <c r="BR43" s="3145">
        <f t="shared" si="19"/>
        <v>0</v>
      </c>
      <c r="BS43" s="1513">
        <f>IF(Quanti!$O$54="OUI",
ROUNDUP($J43, 0)*BT$7+ROUNDUP($K43, 0)*(BT$7*(BT$7+1)/2),
 BT$7*$J43+(BT$7*(BT$7+1)/2)*$K43)</f>
        <v>0</v>
      </c>
      <c r="BT43" s="1514">
        <f t="shared" si="41"/>
        <v>0</v>
      </c>
      <c r="BU43" s="3145">
        <f t="shared" si="20"/>
        <v>0</v>
      </c>
      <c r="BV43" s="1513">
        <f>IF(Quanti!$O$54="OUI",
ROUNDUP($J43, 0)*BW$7+ROUNDUP($K43, 0)*(BW$7*(BW$7+1)/2),
 BW$7*$J43+(BW$7*(BW$7+1)/2)*$K43)</f>
        <v>0</v>
      </c>
      <c r="BW43" s="1514">
        <f t="shared" si="42"/>
        <v>0</v>
      </c>
      <c r="BX43" s="3145">
        <f t="shared" si="21"/>
        <v>0</v>
      </c>
    </row>
    <row r="44" spans="2:76" x14ac:dyDescent="0.2">
      <c r="B44" s="37"/>
      <c r="C44" s="92"/>
      <c r="D44" s="1677" t="str">
        <f>'Saisie données stocks'!F54</f>
        <v>FPV</v>
      </c>
      <c r="E44" s="1678" t="str">
        <f>'Saisie données stocks'!G54</f>
        <v>Cp</v>
      </c>
      <c r="F44" s="1678" t="str">
        <f>'Saisie données stocks'!H54</f>
        <v>700 mg</v>
      </c>
      <c r="G44" s="1625" t="str">
        <f>'Saisie données stocks'!I54</f>
        <v>Fosamprenavir</v>
      </c>
      <c r="H44" s="1388">
        <f>'Saisie données stocks'!L54</f>
        <v>60</v>
      </c>
      <c r="I44" s="1387"/>
      <c r="J44" s="3150">
        <f>IF(Quanti!$D$9="X", 'Calculs dispo Données FA'!N160, IF(Quanti!$D$10="X", 'Calculs dispo Données conso'!N162, "0"))</f>
        <v>0</v>
      </c>
      <c r="K44" s="3148">
        <f>IF(Quanti!$D$9="X", 'Calculs dispo Données FA'!O160, IF(Quanti!$D$10="X", 'Calculs dispo Données conso'!O162, "0"))</f>
        <v>0</v>
      </c>
      <c r="L44" s="3151">
        <f>Calculs!O467</f>
        <v>0</v>
      </c>
      <c r="M44" s="3140">
        <f t="shared" si="22"/>
        <v>0</v>
      </c>
      <c r="N44" s="3140">
        <f t="shared" si="0"/>
        <v>0</v>
      </c>
      <c r="O44" s="1513">
        <f>IF(Quanti!$O$54="OUI",
ROUNDUP(J44, 0)*(Quanti!$N$19+Quanti!$N$25)+ROUNDUP(K44, 0)*((Quanti!$N$19+Quanti!$N$25)*((Quanti!$N$19+Quanti!$N$25)+1)/2),
 J44*(Quanti!$N$19+Quanti!$N$25)+K44*((Quanti!$N$19+Quanti!$N$25)*((Quanti!$N$19+Quanti!$N$25)+1)/2))-M44</f>
        <v>0</v>
      </c>
      <c r="P44" s="3145">
        <f t="shared" si="23"/>
        <v>0</v>
      </c>
      <c r="Q44" s="1513">
        <f>IF(Quanti!$O$54="OUI",
ROUNDUP($J44, 0)*R$7+ROUNDUP($K44, 0)*(R$7*(R$7+1)/2),
 R$7*$J44+(R$7*(R$7+1)/2)*$K44)</f>
        <v>0</v>
      </c>
      <c r="R44" s="1511">
        <f t="shared" si="1"/>
        <v>0</v>
      </c>
      <c r="S44" s="3145">
        <f t="shared" si="2"/>
        <v>0</v>
      </c>
      <c r="T44" s="1513">
        <f>IF(Quanti!$O$54="OUI",
ROUNDUP($J44, 0)*U$7+ROUNDUP($K44, 0)*(U$7*(U$7+1)/2),
 U$7*$J44+(U$7*(U$7+1)/2)*$K44)</f>
        <v>0</v>
      </c>
      <c r="U44" s="1514">
        <f t="shared" si="24"/>
        <v>0</v>
      </c>
      <c r="V44" s="3145">
        <f t="shared" si="3"/>
        <v>0</v>
      </c>
      <c r="W44" s="1513">
        <f>IF(Quanti!$O$54="OUI",
ROUNDUP($J44, 0)*X$7+ROUNDUP($K44, 0)*(X$7*(X$7+1)/2),
 X$7*$J44+(X$7*(X$7+1)/2)*$K44)</f>
        <v>0</v>
      </c>
      <c r="X44" s="1514">
        <f t="shared" si="25"/>
        <v>0</v>
      </c>
      <c r="Y44" s="3145">
        <f t="shared" si="4"/>
        <v>0</v>
      </c>
      <c r="Z44" s="1513">
        <f>IF(Quanti!$O$54="OUI",
ROUNDUP($J44, 0)*AA$7+ROUNDUP($K44, 0)*(AA$7*(AA$7+1)/2),
 AA$7*$J44+(AA$7*(AA$7+1)/2)*$K44)</f>
        <v>0</v>
      </c>
      <c r="AA44" s="1514">
        <f t="shared" si="26"/>
        <v>0</v>
      </c>
      <c r="AB44" s="3145">
        <f t="shared" si="5"/>
        <v>0</v>
      </c>
      <c r="AC44" s="1513">
        <f>IF(Quanti!$O$54="OUI",
ROUNDUP($J44, 0)*AD$7+ROUNDUP($K44, 0)*(AD$7*(AD$7+1)/2),
 AD$7*$J44+(AD$7*(AD$7+1)/2)*$K44)</f>
        <v>0</v>
      </c>
      <c r="AD44" s="1514">
        <f t="shared" si="27"/>
        <v>0</v>
      </c>
      <c r="AE44" s="3145">
        <f t="shared" si="6"/>
        <v>0</v>
      </c>
      <c r="AF44" s="1513">
        <f>IF(Quanti!$O$54="OUI",
ROUNDUP($J44, 0)*AG$7+ROUNDUP($K44, 0)*(AG$7*(AG$7+1)/2),
 AG$7*$J44+(AG$7*(AG$7+1)/2)*$K44)</f>
        <v>0</v>
      </c>
      <c r="AG44" s="1514">
        <f t="shared" si="28"/>
        <v>0</v>
      </c>
      <c r="AH44" s="3145">
        <f t="shared" si="7"/>
        <v>0</v>
      </c>
      <c r="AI44" s="1513">
        <f>IF(Quanti!$O$54="OUI",
ROUNDUP($J44, 0)*AJ$7+ROUNDUP($K44, 0)*(AJ$7*(AJ$7+1)/2),
 AJ$7*$J44+(AJ$7*(AJ$7+1)/2)*$K44)</f>
        <v>0</v>
      </c>
      <c r="AJ44" s="1514">
        <f t="shared" si="29"/>
        <v>0</v>
      </c>
      <c r="AK44" s="3145">
        <f t="shared" si="8"/>
        <v>0</v>
      </c>
      <c r="AL44" s="1513">
        <f>IF(Quanti!$O$54="OUI",
ROUNDUP($J44, 0)*AM$7+ROUNDUP($K44, 0)*(AM$7*(AM$7+1)/2),
 AM$7*$J44+(AM$7*(AM$7+1)/2)*$K44)</f>
        <v>0</v>
      </c>
      <c r="AM44" s="1514">
        <f t="shared" si="30"/>
        <v>0</v>
      </c>
      <c r="AN44" s="3145">
        <f t="shared" si="9"/>
        <v>0</v>
      </c>
      <c r="AO44" s="1513">
        <f>IF(Quanti!$O$54="OUI",
ROUNDUP($J44, 0)*AP$7+ROUNDUP($K44, 0)*(AP$7*(AP$7+1)/2),
 AP$7*$J44+(AP$7*(AP$7+1)/2)*$K44)</f>
        <v>0</v>
      </c>
      <c r="AP44" s="1514">
        <f t="shared" si="31"/>
        <v>0</v>
      </c>
      <c r="AQ44" s="3145">
        <f t="shared" si="10"/>
        <v>0</v>
      </c>
      <c r="AR44" s="1513">
        <f>IF(Quanti!$O$54="OUI",
ROUNDUP($J44, 0)*AS$7+ROUNDUP($K44, 0)*(AS$7*(AS$7+1)/2),
 AS$7*$J44+(AS$7*(AS$7+1)/2)*$K44)</f>
        <v>0</v>
      </c>
      <c r="AS44" s="1514">
        <f t="shared" si="32"/>
        <v>0</v>
      </c>
      <c r="AT44" s="3145">
        <f t="shared" si="11"/>
        <v>0</v>
      </c>
      <c r="AU44" s="1513">
        <f>IF(Quanti!$O$54="OUI",
ROUNDUP($J44, 0)*AV$7+ROUNDUP($K44, 0)*(AV$7*(AV$7+1)/2),
 AV$7*$J44+(AV$7*(AV$7+1)/2)*$K44)</f>
        <v>0</v>
      </c>
      <c r="AV44" s="1514">
        <f t="shared" si="33"/>
        <v>0</v>
      </c>
      <c r="AW44" s="3145">
        <f t="shared" si="12"/>
        <v>0</v>
      </c>
      <c r="AX44" s="1513">
        <f>IF(Quanti!$O$54="OUI",
ROUNDUP($J44, 0)*AY$7+ROUNDUP($K44, 0)*(AY$7*(AY$7+1)/2),
 AY$7*$J44+(AY$7*(AY$7+1)/2)*$K44)</f>
        <v>0</v>
      </c>
      <c r="AY44" s="1514">
        <f t="shared" si="34"/>
        <v>0</v>
      </c>
      <c r="AZ44" s="3145">
        <f t="shared" si="13"/>
        <v>0</v>
      </c>
      <c r="BA44" s="1513">
        <f>IF(Quanti!$O$54="OUI",
ROUNDUP($J44, 0)*BB$7+ROUNDUP($K44, 0)*(BB$7*(BB$7+1)/2),
 BB$7*$J44+(BB$7*(BB$7+1)/2)*$K44)</f>
        <v>0</v>
      </c>
      <c r="BB44" s="1514">
        <f t="shared" si="35"/>
        <v>0</v>
      </c>
      <c r="BC44" s="3145">
        <f t="shared" si="14"/>
        <v>0</v>
      </c>
      <c r="BD44" s="1513">
        <f>IF(Quanti!$O$54="OUI",
ROUNDUP($J44, 0)*BE$7+ROUNDUP($K44, 0)*(BE$7*(BE$7+1)/2),
 BE$7*$J44+(BE$7*(BE$7+1)/2)*$K44)</f>
        <v>0</v>
      </c>
      <c r="BE44" s="1514">
        <f t="shared" si="36"/>
        <v>0</v>
      </c>
      <c r="BF44" s="3145">
        <f t="shared" si="15"/>
        <v>0</v>
      </c>
      <c r="BG44" s="1513">
        <f>IF(Quanti!$O$54="OUI",
ROUNDUP($J44, 0)*BH$7+ROUNDUP($K44, 0)*(BH$7*(BH$7+1)/2),
 BH$7*$J44+(BH$7*(BH$7+1)/2)*$K44)</f>
        <v>0</v>
      </c>
      <c r="BH44" s="1514">
        <f t="shared" si="37"/>
        <v>0</v>
      </c>
      <c r="BI44" s="3145">
        <f t="shared" si="16"/>
        <v>0</v>
      </c>
      <c r="BJ44" s="1513">
        <f>IF(Quanti!$O$54="OUI",
ROUNDUP($J44, 0)*BK$7+ROUNDUP($K44, 0)*(BK$7*(BK$7+1)/2),
 BK$7*$J44+(BK$7*(BK$7+1)/2)*$K44)</f>
        <v>0</v>
      </c>
      <c r="BK44" s="1514">
        <f t="shared" si="38"/>
        <v>0</v>
      </c>
      <c r="BL44" s="3145">
        <f t="shared" si="17"/>
        <v>0</v>
      </c>
      <c r="BM44" s="1513">
        <f>IF(Quanti!$O$54="OUI",
ROUNDUP($J44, 0)*BN$7+ROUNDUP($K44, 0)*(BN$7*(BN$7+1)/2),
 BN$7*$J44+(BN$7*(BN$7+1)/2)*$K44)</f>
        <v>0</v>
      </c>
      <c r="BN44" s="1514">
        <f t="shared" si="39"/>
        <v>0</v>
      </c>
      <c r="BO44" s="3145">
        <f t="shared" si="18"/>
        <v>0</v>
      </c>
      <c r="BP44" s="1513">
        <f>IF(Quanti!$O$54="OUI",
ROUNDUP($J44, 0)*BQ$7+ROUNDUP($K44, 0)*(BQ$7*(BQ$7+1)/2),
 BQ$7*$J44+(BQ$7*(BQ$7+1)/2)*$K44)</f>
        <v>0</v>
      </c>
      <c r="BQ44" s="1514">
        <f t="shared" si="40"/>
        <v>0</v>
      </c>
      <c r="BR44" s="3145">
        <f t="shared" si="19"/>
        <v>0</v>
      </c>
      <c r="BS44" s="1513">
        <f>IF(Quanti!$O$54="OUI",
ROUNDUP($J44, 0)*BT$7+ROUNDUP($K44, 0)*(BT$7*(BT$7+1)/2),
 BT$7*$J44+(BT$7*(BT$7+1)/2)*$K44)</f>
        <v>0</v>
      </c>
      <c r="BT44" s="1514">
        <f t="shared" si="41"/>
        <v>0</v>
      </c>
      <c r="BU44" s="3145">
        <f t="shared" si="20"/>
        <v>0</v>
      </c>
      <c r="BV44" s="1513">
        <f>IF(Quanti!$O$54="OUI",
ROUNDUP($J44, 0)*BW$7+ROUNDUP($K44, 0)*(BW$7*(BW$7+1)/2),
 BW$7*$J44+(BW$7*(BW$7+1)/2)*$K44)</f>
        <v>0</v>
      </c>
      <c r="BW44" s="1514">
        <f t="shared" si="42"/>
        <v>0</v>
      </c>
      <c r="BX44" s="3145">
        <f t="shared" si="21"/>
        <v>0</v>
      </c>
    </row>
    <row r="45" spans="2:76" x14ac:dyDescent="0.2">
      <c r="B45" s="37"/>
      <c r="C45" s="92"/>
      <c r="D45" s="1665" t="str">
        <f>'Saisie données stocks'!F55</f>
        <v>IDV</v>
      </c>
      <c r="E45" s="1666" t="str">
        <f>'Saisie données stocks'!G55</f>
        <v>Gel</v>
      </c>
      <c r="F45" s="1666" t="str">
        <f>'Saisie données stocks'!H55</f>
        <v>400 mg</v>
      </c>
      <c r="G45" s="1637" t="str">
        <f>'Saisie données stocks'!I55</f>
        <v>Indinavir</v>
      </c>
      <c r="H45" s="117">
        <f>'Saisie données stocks'!L55</f>
        <v>180</v>
      </c>
      <c r="I45" s="334"/>
      <c r="J45" s="3150">
        <f>IF(Quanti!$D$9="X", 'Calculs dispo Données FA'!N161, IF(Quanti!$D$10="X", 'Calculs dispo Données conso'!N163, "0"))</f>
        <v>0</v>
      </c>
      <c r="K45" s="3148">
        <f>IF(Quanti!$D$9="X", 'Calculs dispo Données FA'!O161, IF(Quanti!$D$10="X", 'Calculs dispo Données conso'!O163, "0"))</f>
        <v>0</v>
      </c>
      <c r="L45" s="3151">
        <f>Calculs!O468</f>
        <v>0</v>
      </c>
      <c r="M45" s="3140">
        <f t="shared" si="22"/>
        <v>0</v>
      </c>
      <c r="N45" s="3140">
        <f t="shared" si="0"/>
        <v>0</v>
      </c>
      <c r="O45" s="1513">
        <f>IF(Quanti!$O$54="OUI",
ROUNDUP(J45, 0)*(Quanti!$N$19+Quanti!$N$25)+ROUNDUP(K45, 0)*((Quanti!$N$19+Quanti!$N$25)*((Quanti!$N$19+Quanti!$N$25)+1)/2),
 J45*(Quanti!$N$19+Quanti!$N$25)+K45*((Quanti!$N$19+Quanti!$N$25)*((Quanti!$N$19+Quanti!$N$25)+1)/2))-M45</f>
        <v>0</v>
      </c>
      <c r="P45" s="3145">
        <f t="shared" si="23"/>
        <v>0</v>
      </c>
      <c r="Q45" s="1513">
        <f>IF(Quanti!$O$54="OUI",
ROUNDUP($J45, 0)*R$7+ROUNDUP($K45, 0)*(R$7*(R$7+1)/2),
 R$7*$J45+(R$7*(R$7+1)/2)*$K45)</f>
        <v>0</v>
      </c>
      <c r="R45" s="1511">
        <f t="shared" si="1"/>
        <v>0</v>
      </c>
      <c r="S45" s="3145">
        <f t="shared" si="2"/>
        <v>0</v>
      </c>
      <c r="T45" s="1513">
        <f>IF(Quanti!$O$54="OUI",
ROUNDUP($J45, 0)*U$7+ROUNDUP($K45, 0)*(U$7*(U$7+1)/2),
 U$7*$J45+(U$7*(U$7+1)/2)*$K45)</f>
        <v>0</v>
      </c>
      <c r="U45" s="1514">
        <f t="shared" si="24"/>
        <v>0</v>
      </c>
      <c r="V45" s="3145">
        <f t="shared" si="3"/>
        <v>0</v>
      </c>
      <c r="W45" s="1513">
        <f>IF(Quanti!$O$54="OUI",
ROUNDUP($J45, 0)*X$7+ROUNDUP($K45, 0)*(X$7*(X$7+1)/2),
 X$7*$J45+(X$7*(X$7+1)/2)*$K45)</f>
        <v>0</v>
      </c>
      <c r="X45" s="1514">
        <f t="shared" si="25"/>
        <v>0</v>
      </c>
      <c r="Y45" s="3145">
        <f t="shared" si="4"/>
        <v>0</v>
      </c>
      <c r="Z45" s="1513">
        <f>IF(Quanti!$O$54="OUI",
ROUNDUP($J45, 0)*AA$7+ROUNDUP($K45, 0)*(AA$7*(AA$7+1)/2),
 AA$7*$J45+(AA$7*(AA$7+1)/2)*$K45)</f>
        <v>0</v>
      </c>
      <c r="AA45" s="1514">
        <f t="shared" si="26"/>
        <v>0</v>
      </c>
      <c r="AB45" s="3145">
        <f t="shared" si="5"/>
        <v>0</v>
      </c>
      <c r="AC45" s="1513">
        <f>IF(Quanti!$O$54="OUI",
ROUNDUP($J45, 0)*AD$7+ROUNDUP($K45, 0)*(AD$7*(AD$7+1)/2),
 AD$7*$J45+(AD$7*(AD$7+1)/2)*$K45)</f>
        <v>0</v>
      </c>
      <c r="AD45" s="1514">
        <f t="shared" si="27"/>
        <v>0</v>
      </c>
      <c r="AE45" s="3145">
        <f t="shared" si="6"/>
        <v>0</v>
      </c>
      <c r="AF45" s="1513">
        <f>IF(Quanti!$O$54="OUI",
ROUNDUP($J45, 0)*AG$7+ROUNDUP($K45, 0)*(AG$7*(AG$7+1)/2),
 AG$7*$J45+(AG$7*(AG$7+1)/2)*$K45)</f>
        <v>0</v>
      </c>
      <c r="AG45" s="1514">
        <f t="shared" si="28"/>
        <v>0</v>
      </c>
      <c r="AH45" s="3145">
        <f t="shared" si="7"/>
        <v>0</v>
      </c>
      <c r="AI45" s="1513">
        <f>IF(Quanti!$O$54="OUI",
ROUNDUP($J45, 0)*AJ$7+ROUNDUP($K45, 0)*(AJ$7*(AJ$7+1)/2),
 AJ$7*$J45+(AJ$7*(AJ$7+1)/2)*$K45)</f>
        <v>0</v>
      </c>
      <c r="AJ45" s="1514">
        <f t="shared" si="29"/>
        <v>0</v>
      </c>
      <c r="AK45" s="3145">
        <f t="shared" si="8"/>
        <v>0</v>
      </c>
      <c r="AL45" s="1513">
        <f>IF(Quanti!$O$54="OUI",
ROUNDUP($J45, 0)*AM$7+ROUNDUP($K45, 0)*(AM$7*(AM$7+1)/2),
 AM$7*$J45+(AM$7*(AM$7+1)/2)*$K45)</f>
        <v>0</v>
      </c>
      <c r="AM45" s="1514">
        <f t="shared" si="30"/>
        <v>0</v>
      </c>
      <c r="AN45" s="3145">
        <f t="shared" si="9"/>
        <v>0</v>
      </c>
      <c r="AO45" s="1513">
        <f>IF(Quanti!$O$54="OUI",
ROUNDUP($J45, 0)*AP$7+ROUNDUP($K45, 0)*(AP$7*(AP$7+1)/2),
 AP$7*$J45+(AP$7*(AP$7+1)/2)*$K45)</f>
        <v>0</v>
      </c>
      <c r="AP45" s="1514">
        <f t="shared" si="31"/>
        <v>0</v>
      </c>
      <c r="AQ45" s="3145">
        <f t="shared" si="10"/>
        <v>0</v>
      </c>
      <c r="AR45" s="1513">
        <f>IF(Quanti!$O$54="OUI",
ROUNDUP($J45, 0)*AS$7+ROUNDUP($K45, 0)*(AS$7*(AS$7+1)/2),
 AS$7*$J45+(AS$7*(AS$7+1)/2)*$K45)</f>
        <v>0</v>
      </c>
      <c r="AS45" s="1514">
        <f t="shared" si="32"/>
        <v>0</v>
      </c>
      <c r="AT45" s="3145">
        <f t="shared" si="11"/>
        <v>0</v>
      </c>
      <c r="AU45" s="1513">
        <f>IF(Quanti!$O$54="OUI",
ROUNDUP($J45, 0)*AV$7+ROUNDUP($K45, 0)*(AV$7*(AV$7+1)/2),
 AV$7*$J45+(AV$7*(AV$7+1)/2)*$K45)</f>
        <v>0</v>
      </c>
      <c r="AV45" s="1514">
        <f t="shared" si="33"/>
        <v>0</v>
      </c>
      <c r="AW45" s="3145">
        <f t="shared" si="12"/>
        <v>0</v>
      </c>
      <c r="AX45" s="1513">
        <f>IF(Quanti!$O$54="OUI",
ROUNDUP($J45, 0)*AY$7+ROUNDUP($K45, 0)*(AY$7*(AY$7+1)/2),
 AY$7*$J45+(AY$7*(AY$7+1)/2)*$K45)</f>
        <v>0</v>
      </c>
      <c r="AY45" s="1514">
        <f t="shared" si="34"/>
        <v>0</v>
      </c>
      <c r="AZ45" s="3145">
        <f t="shared" si="13"/>
        <v>0</v>
      </c>
      <c r="BA45" s="1513">
        <f>IF(Quanti!$O$54="OUI",
ROUNDUP($J45, 0)*BB$7+ROUNDUP($K45, 0)*(BB$7*(BB$7+1)/2),
 BB$7*$J45+(BB$7*(BB$7+1)/2)*$K45)</f>
        <v>0</v>
      </c>
      <c r="BB45" s="1514">
        <f t="shared" si="35"/>
        <v>0</v>
      </c>
      <c r="BC45" s="3145">
        <f t="shared" si="14"/>
        <v>0</v>
      </c>
      <c r="BD45" s="1513">
        <f>IF(Quanti!$O$54="OUI",
ROUNDUP($J45, 0)*BE$7+ROUNDUP($K45, 0)*(BE$7*(BE$7+1)/2),
 BE$7*$J45+(BE$7*(BE$7+1)/2)*$K45)</f>
        <v>0</v>
      </c>
      <c r="BE45" s="1514">
        <f t="shared" si="36"/>
        <v>0</v>
      </c>
      <c r="BF45" s="3145">
        <f t="shared" si="15"/>
        <v>0</v>
      </c>
      <c r="BG45" s="1513">
        <f>IF(Quanti!$O$54="OUI",
ROUNDUP($J45, 0)*BH$7+ROUNDUP($K45, 0)*(BH$7*(BH$7+1)/2),
 BH$7*$J45+(BH$7*(BH$7+1)/2)*$K45)</f>
        <v>0</v>
      </c>
      <c r="BH45" s="1514">
        <f t="shared" si="37"/>
        <v>0</v>
      </c>
      <c r="BI45" s="3145">
        <f t="shared" si="16"/>
        <v>0</v>
      </c>
      <c r="BJ45" s="1513">
        <f>IF(Quanti!$O$54="OUI",
ROUNDUP($J45, 0)*BK$7+ROUNDUP($K45, 0)*(BK$7*(BK$7+1)/2),
 BK$7*$J45+(BK$7*(BK$7+1)/2)*$K45)</f>
        <v>0</v>
      </c>
      <c r="BK45" s="1514">
        <f t="shared" si="38"/>
        <v>0</v>
      </c>
      <c r="BL45" s="3145">
        <f t="shared" si="17"/>
        <v>0</v>
      </c>
      <c r="BM45" s="1513">
        <f>IF(Quanti!$O$54="OUI",
ROUNDUP($J45, 0)*BN$7+ROUNDUP($K45, 0)*(BN$7*(BN$7+1)/2),
 BN$7*$J45+(BN$7*(BN$7+1)/2)*$K45)</f>
        <v>0</v>
      </c>
      <c r="BN45" s="1514">
        <f t="shared" si="39"/>
        <v>0</v>
      </c>
      <c r="BO45" s="3145">
        <f t="shared" si="18"/>
        <v>0</v>
      </c>
      <c r="BP45" s="1513">
        <f>IF(Quanti!$O$54="OUI",
ROUNDUP($J45, 0)*BQ$7+ROUNDUP($K45, 0)*(BQ$7*(BQ$7+1)/2),
 BQ$7*$J45+(BQ$7*(BQ$7+1)/2)*$K45)</f>
        <v>0</v>
      </c>
      <c r="BQ45" s="1514">
        <f t="shared" si="40"/>
        <v>0</v>
      </c>
      <c r="BR45" s="3145">
        <f t="shared" si="19"/>
        <v>0</v>
      </c>
      <c r="BS45" s="1513">
        <f>IF(Quanti!$O$54="OUI",
ROUNDUP($J45, 0)*BT$7+ROUNDUP($K45, 0)*(BT$7*(BT$7+1)/2),
 BT$7*$J45+(BT$7*(BT$7+1)/2)*$K45)</f>
        <v>0</v>
      </c>
      <c r="BT45" s="1514">
        <f t="shared" si="41"/>
        <v>0</v>
      </c>
      <c r="BU45" s="3145">
        <f t="shared" si="20"/>
        <v>0</v>
      </c>
      <c r="BV45" s="1513">
        <f>IF(Quanti!$O$54="OUI",
ROUNDUP($J45, 0)*BW$7+ROUNDUP($K45, 0)*(BW$7*(BW$7+1)/2),
 BW$7*$J45+(BW$7*(BW$7+1)/2)*$K45)</f>
        <v>0</v>
      </c>
      <c r="BW45" s="1514">
        <f t="shared" si="42"/>
        <v>0</v>
      </c>
      <c r="BX45" s="3145">
        <f t="shared" si="21"/>
        <v>0</v>
      </c>
    </row>
    <row r="46" spans="2:76" x14ac:dyDescent="0.2">
      <c r="B46" s="37"/>
      <c r="C46" s="92"/>
      <c r="D46" s="1665" t="str">
        <f>'Saisie données stocks'!F56</f>
        <v>DRV</v>
      </c>
      <c r="E46" s="1666" t="str">
        <f>'Saisie données stocks'!G56</f>
        <v>Cp</v>
      </c>
      <c r="F46" s="1679" t="str">
        <f>'Saisie données stocks'!H56</f>
        <v>300 mg</v>
      </c>
      <c r="G46" s="1637" t="str">
        <f>'Saisie données stocks'!I56</f>
        <v>Darunavir</v>
      </c>
      <c r="H46" s="117">
        <f>'Saisie données stocks'!L56</f>
        <v>60</v>
      </c>
      <c r="I46" s="334"/>
      <c r="J46" s="3150">
        <f>IF(Quanti!$D$9="X", 'Calculs dispo Données FA'!N162, IF(Quanti!$D$10="X", 'Calculs dispo Données conso'!N164, "0"))</f>
        <v>0</v>
      </c>
      <c r="K46" s="3148">
        <f>IF(Quanti!$D$9="X", 'Calculs dispo Données FA'!O162, IF(Quanti!$D$10="X", 'Calculs dispo Données conso'!O164, "0"))</f>
        <v>0</v>
      </c>
      <c r="L46" s="3151">
        <f>Calculs!O469</f>
        <v>0</v>
      </c>
      <c r="M46" s="3140">
        <f t="shared" si="22"/>
        <v>0</v>
      </c>
      <c r="N46" s="3140">
        <f t="shared" si="0"/>
        <v>0</v>
      </c>
      <c r="O46" s="1513">
        <f>IF(Quanti!$O$54="OUI",
ROUNDUP(J46, 0)*(Quanti!$N$19+Quanti!$N$25)+ROUNDUP(K46, 0)*((Quanti!$N$19+Quanti!$N$25)*((Quanti!$N$19+Quanti!$N$25)+1)/2),
 J46*(Quanti!$N$19+Quanti!$N$25)+K46*((Quanti!$N$19+Quanti!$N$25)*((Quanti!$N$19+Quanti!$N$25)+1)/2))-M46</f>
        <v>0</v>
      </c>
      <c r="P46" s="3145">
        <f t="shared" si="23"/>
        <v>0</v>
      </c>
      <c r="Q46" s="1513">
        <f>IF(Quanti!$O$54="OUI",
ROUNDUP($J46, 0)*R$7+ROUNDUP($K46, 0)*(R$7*(R$7+1)/2),
 R$7*$J46+(R$7*(R$7+1)/2)*$K46)</f>
        <v>0</v>
      </c>
      <c r="R46" s="1511">
        <f t="shared" si="1"/>
        <v>0</v>
      </c>
      <c r="S46" s="3145">
        <f t="shared" si="2"/>
        <v>0</v>
      </c>
      <c r="T46" s="1513">
        <f>IF(Quanti!$O$54="OUI",
ROUNDUP($J46, 0)*U$7+ROUNDUP($K46, 0)*(U$7*(U$7+1)/2),
 U$7*$J46+(U$7*(U$7+1)/2)*$K46)</f>
        <v>0</v>
      </c>
      <c r="U46" s="1514">
        <f t="shared" si="24"/>
        <v>0</v>
      </c>
      <c r="V46" s="3145">
        <f t="shared" si="3"/>
        <v>0</v>
      </c>
      <c r="W46" s="1513">
        <f>IF(Quanti!$O$54="OUI",
ROUNDUP($J46, 0)*X$7+ROUNDUP($K46, 0)*(X$7*(X$7+1)/2),
 X$7*$J46+(X$7*(X$7+1)/2)*$K46)</f>
        <v>0</v>
      </c>
      <c r="X46" s="1514">
        <f t="shared" si="25"/>
        <v>0</v>
      </c>
      <c r="Y46" s="3145">
        <f t="shared" si="4"/>
        <v>0</v>
      </c>
      <c r="Z46" s="1513">
        <f>IF(Quanti!$O$54="OUI",
ROUNDUP($J46, 0)*AA$7+ROUNDUP($K46, 0)*(AA$7*(AA$7+1)/2),
 AA$7*$J46+(AA$7*(AA$7+1)/2)*$K46)</f>
        <v>0</v>
      </c>
      <c r="AA46" s="1514">
        <f t="shared" si="26"/>
        <v>0</v>
      </c>
      <c r="AB46" s="3145">
        <f t="shared" si="5"/>
        <v>0</v>
      </c>
      <c r="AC46" s="1513">
        <f>IF(Quanti!$O$54="OUI",
ROUNDUP($J46, 0)*AD$7+ROUNDUP($K46, 0)*(AD$7*(AD$7+1)/2),
 AD$7*$J46+(AD$7*(AD$7+1)/2)*$K46)</f>
        <v>0</v>
      </c>
      <c r="AD46" s="1514">
        <f t="shared" si="27"/>
        <v>0</v>
      </c>
      <c r="AE46" s="3145">
        <f t="shared" si="6"/>
        <v>0</v>
      </c>
      <c r="AF46" s="1513">
        <f>IF(Quanti!$O$54="OUI",
ROUNDUP($J46, 0)*AG$7+ROUNDUP($K46, 0)*(AG$7*(AG$7+1)/2),
 AG$7*$J46+(AG$7*(AG$7+1)/2)*$K46)</f>
        <v>0</v>
      </c>
      <c r="AG46" s="1514">
        <f t="shared" si="28"/>
        <v>0</v>
      </c>
      <c r="AH46" s="3145">
        <f t="shared" si="7"/>
        <v>0</v>
      </c>
      <c r="AI46" s="1513">
        <f>IF(Quanti!$O$54="OUI",
ROUNDUP($J46, 0)*AJ$7+ROUNDUP($K46, 0)*(AJ$7*(AJ$7+1)/2),
 AJ$7*$J46+(AJ$7*(AJ$7+1)/2)*$K46)</f>
        <v>0</v>
      </c>
      <c r="AJ46" s="1514">
        <f t="shared" si="29"/>
        <v>0</v>
      </c>
      <c r="AK46" s="3145">
        <f t="shared" si="8"/>
        <v>0</v>
      </c>
      <c r="AL46" s="1513">
        <f>IF(Quanti!$O$54="OUI",
ROUNDUP($J46, 0)*AM$7+ROUNDUP($K46, 0)*(AM$7*(AM$7+1)/2),
 AM$7*$J46+(AM$7*(AM$7+1)/2)*$K46)</f>
        <v>0</v>
      </c>
      <c r="AM46" s="1514">
        <f t="shared" si="30"/>
        <v>0</v>
      </c>
      <c r="AN46" s="3145">
        <f t="shared" si="9"/>
        <v>0</v>
      </c>
      <c r="AO46" s="1513">
        <f>IF(Quanti!$O$54="OUI",
ROUNDUP($J46, 0)*AP$7+ROUNDUP($K46, 0)*(AP$7*(AP$7+1)/2),
 AP$7*$J46+(AP$7*(AP$7+1)/2)*$K46)</f>
        <v>0</v>
      </c>
      <c r="AP46" s="1514">
        <f t="shared" si="31"/>
        <v>0</v>
      </c>
      <c r="AQ46" s="3145">
        <f t="shared" si="10"/>
        <v>0</v>
      </c>
      <c r="AR46" s="1513">
        <f>IF(Quanti!$O$54="OUI",
ROUNDUP($J46, 0)*AS$7+ROUNDUP($K46, 0)*(AS$7*(AS$7+1)/2),
 AS$7*$J46+(AS$7*(AS$7+1)/2)*$K46)</f>
        <v>0</v>
      </c>
      <c r="AS46" s="1514">
        <f t="shared" si="32"/>
        <v>0</v>
      </c>
      <c r="AT46" s="3145">
        <f t="shared" si="11"/>
        <v>0</v>
      </c>
      <c r="AU46" s="1513">
        <f>IF(Quanti!$O$54="OUI",
ROUNDUP($J46, 0)*AV$7+ROUNDUP($K46, 0)*(AV$7*(AV$7+1)/2),
 AV$7*$J46+(AV$7*(AV$7+1)/2)*$K46)</f>
        <v>0</v>
      </c>
      <c r="AV46" s="1514">
        <f t="shared" si="33"/>
        <v>0</v>
      </c>
      <c r="AW46" s="3145">
        <f t="shared" si="12"/>
        <v>0</v>
      </c>
      <c r="AX46" s="1513">
        <f>IF(Quanti!$O$54="OUI",
ROUNDUP($J46, 0)*AY$7+ROUNDUP($K46, 0)*(AY$7*(AY$7+1)/2),
 AY$7*$J46+(AY$7*(AY$7+1)/2)*$K46)</f>
        <v>0</v>
      </c>
      <c r="AY46" s="1514">
        <f t="shared" si="34"/>
        <v>0</v>
      </c>
      <c r="AZ46" s="3145">
        <f t="shared" si="13"/>
        <v>0</v>
      </c>
      <c r="BA46" s="1513">
        <f>IF(Quanti!$O$54="OUI",
ROUNDUP($J46, 0)*BB$7+ROUNDUP($K46, 0)*(BB$7*(BB$7+1)/2),
 BB$7*$J46+(BB$7*(BB$7+1)/2)*$K46)</f>
        <v>0</v>
      </c>
      <c r="BB46" s="1514">
        <f t="shared" si="35"/>
        <v>0</v>
      </c>
      <c r="BC46" s="3145">
        <f t="shared" si="14"/>
        <v>0</v>
      </c>
      <c r="BD46" s="1513">
        <f>IF(Quanti!$O$54="OUI",
ROUNDUP($J46, 0)*BE$7+ROUNDUP($K46, 0)*(BE$7*(BE$7+1)/2),
 BE$7*$J46+(BE$7*(BE$7+1)/2)*$K46)</f>
        <v>0</v>
      </c>
      <c r="BE46" s="1514">
        <f t="shared" si="36"/>
        <v>0</v>
      </c>
      <c r="BF46" s="3145">
        <f t="shared" si="15"/>
        <v>0</v>
      </c>
      <c r="BG46" s="1513">
        <f>IF(Quanti!$O$54="OUI",
ROUNDUP($J46, 0)*BH$7+ROUNDUP($K46, 0)*(BH$7*(BH$7+1)/2),
 BH$7*$J46+(BH$7*(BH$7+1)/2)*$K46)</f>
        <v>0</v>
      </c>
      <c r="BH46" s="1514">
        <f t="shared" si="37"/>
        <v>0</v>
      </c>
      <c r="BI46" s="3145">
        <f t="shared" si="16"/>
        <v>0</v>
      </c>
      <c r="BJ46" s="1513">
        <f>IF(Quanti!$O$54="OUI",
ROUNDUP($J46, 0)*BK$7+ROUNDUP($K46, 0)*(BK$7*(BK$7+1)/2),
 BK$7*$J46+(BK$7*(BK$7+1)/2)*$K46)</f>
        <v>0</v>
      </c>
      <c r="BK46" s="1514">
        <f t="shared" si="38"/>
        <v>0</v>
      </c>
      <c r="BL46" s="3145">
        <f t="shared" si="17"/>
        <v>0</v>
      </c>
      <c r="BM46" s="1513">
        <f>IF(Quanti!$O$54="OUI",
ROUNDUP($J46, 0)*BN$7+ROUNDUP($K46, 0)*(BN$7*(BN$7+1)/2),
 BN$7*$J46+(BN$7*(BN$7+1)/2)*$K46)</f>
        <v>0</v>
      </c>
      <c r="BN46" s="1514">
        <f t="shared" si="39"/>
        <v>0</v>
      </c>
      <c r="BO46" s="3145">
        <f t="shared" si="18"/>
        <v>0</v>
      </c>
      <c r="BP46" s="1513">
        <f>IF(Quanti!$O$54="OUI",
ROUNDUP($J46, 0)*BQ$7+ROUNDUP($K46, 0)*(BQ$7*(BQ$7+1)/2),
 BQ$7*$J46+(BQ$7*(BQ$7+1)/2)*$K46)</f>
        <v>0</v>
      </c>
      <c r="BQ46" s="1514">
        <f t="shared" si="40"/>
        <v>0</v>
      </c>
      <c r="BR46" s="3145">
        <f t="shared" si="19"/>
        <v>0</v>
      </c>
      <c r="BS46" s="1513">
        <f>IF(Quanti!$O$54="OUI",
ROUNDUP($J46, 0)*BT$7+ROUNDUP($K46, 0)*(BT$7*(BT$7+1)/2),
 BT$7*$J46+(BT$7*(BT$7+1)/2)*$K46)</f>
        <v>0</v>
      </c>
      <c r="BT46" s="1514">
        <f t="shared" si="41"/>
        <v>0</v>
      </c>
      <c r="BU46" s="3145">
        <f t="shared" si="20"/>
        <v>0</v>
      </c>
      <c r="BV46" s="1513">
        <f>IF(Quanti!$O$54="OUI",
ROUNDUP($J46, 0)*BW$7+ROUNDUP($K46, 0)*(BW$7*(BW$7+1)/2),
 BW$7*$J46+(BW$7*(BW$7+1)/2)*$K46)</f>
        <v>0</v>
      </c>
      <c r="BW46" s="1514">
        <f t="shared" si="42"/>
        <v>0</v>
      </c>
      <c r="BX46" s="3145">
        <f t="shared" si="21"/>
        <v>0</v>
      </c>
    </row>
    <row r="47" spans="2:76" x14ac:dyDescent="0.2">
      <c r="B47" s="37"/>
      <c r="C47" s="92"/>
      <c r="D47" s="1665" t="str">
        <f>'Saisie données stocks'!F57</f>
        <v>SQV</v>
      </c>
      <c r="E47" s="1666" t="str">
        <f>'Saisie données stocks'!G57</f>
        <v>Cp</v>
      </c>
      <c r="F47" s="1666" t="str">
        <f>'Saisie données stocks'!H57</f>
        <v>500 mg</v>
      </c>
      <c r="G47" s="1637" t="str">
        <f>'Saisie données stocks'!I57</f>
        <v>Saquinavir</v>
      </c>
      <c r="H47" s="117">
        <f>'Saisie données stocks'!L57</f>
        <v>120</v>
      </c>
      <c r="I47" s="334"/>
      <c r="J47" s="3150">
        <f>IF(Quanti!$D$9="X", 'Calculs dispo Données FA'!N163, IF(Quanti!$D$10="X", 'Calculs dispo Données conso'!N165, "0"))</f>
        <v>0</v>
      </c>
      <c r="K47" s="3148">
        <f>IF(Quanti!$D$9="X", 'Calculs dispo Données FA'!O163, IF(Quanti!$D$10="X", 'Calculs dispo Données conso'!O165, "0"))</f>
        <v>0</v>
      </c>
      <c r="L47" s="3151">
        <f>Calculs!O470</f>
        <v>0</v>
      </c>
      <c r="M47" s="3140">
        <f t="shared" si="22"/>
        <v>0</v>
      </c>
      <c r="N47" s="3140">
        <f t="shared" si="0"/>
        <v>0</v>
      </c>
      <c r="O47" s="1513">
        <f>IF(Quanti!$O$54="OUI",
ROUNDUP(J47, 0)*(Quanti!$N$19+Quanti!$N$25)+ROUNDUP(K47, 0)*((Quanti!$N$19+Quanti!$N$25)*((Quanti!$N$19+Quanti!$N$25)+1)/2),
 J47*(Quanti!$N$19+Quanti!$N$25)+K47*((Quanti!$N$19+Quanti!$N$25)*((Quanti!$N$19+Quanti!$N$25)+1)/2))-M47</f>
        <v>0</v>
      </c>
      <c r="P47" s="3145">
        <f t="shared" si="23"/>
        <v>0</v>
      </c>
      <c r="Q47" s="1513">
        <f>IF(Quanti!$O$54="OUI",
ROUNDUP($J47, 0)*R$7+ROUNDUP($K47, 0)*(R$7*(R$7+1)/2),
 R$7*$J47+(R$7*(R$7+1)/2)*$K47)</f>
        <v>0</v>
      </c>
      <c r="R47" s="1511">
        <f t="shared" si="1"/>
        <v>0</v>
      </c>
      <c r="S47" s="3145">
        <f t="shared" si="2"/>
        <v>0</v>
      </c>
      <c r="T47" s="1513">
        <f>IF(Quanti!$O$54="OUI",
ROUNDUP($J47, 0)*U$7+ROUNDUP($K47, 0)*(U$7*(U$7+1)/2),
 U$7*$J47+(U$7*(U$7+1)/2)*$K47)</f>
        <v>0</v>
      </c>
      <c r="U47" s="1514">
        <f t="shared" si="24"/>
        <v>0</v>
      </c>
      <c r="V47" s="3145">
        <f t="shared" si="3"/>
        <v>0</v>
      </c>
      <c r="W47" s="1513">
        <f>IF(Quanti!$O$54="OUI",
ROUNDUP($J47, 0)*X$7+ROUNDUP($K47, 0)*(X$7*(X$7+1)/2),
 X$7*$J47+(X$7*(X$7+1)/2)*$K47)</f>
        <v>0</v>
      </c>
      <c r="X47" s="1514">
        <f t="shared" si="25"/>
        <v>0</v>
      </c>
      <c r="Y47" s="3145">
        <f t="shared" si="4"/>
        <v>0</v>
      </c>
      <c r="Z47" s="1513">
        <f>IF(Quanti!$O$54="OUI",
ROUNDUP($J47, 0)*AA$7+ROUNDUP($K47, 0)*(AA$7*(AA$7+1)/2),
 AA$7*$J47+(AA$7*(AA$7+1)/2)*$K47)</f>
        <v>0</v>
      </c>
      <c r="AA47" s="1514">
        <f t="shared" si="26"/>
        <v>0</v>
      </c>
      <c r="AB47" s="3145">
        <f t="shared" si="5"/>
        <v>0</v>
      </c>
      <c r="AC47" s="1513">
        <f>IF(Quanti!$O$54="OUI",
ROUNDUP($J47, 0)*AD$7+ROUNDUP($K47, 0)*(AD$7*(AD$7+1)/2),
 AD$7*$J47+(AD$7*(AD$7+1)/2)*$K47)</f>
        <v>0</v>
      </c>
      <c r="AD47" s="1514">
        <f t="shared" si="27"/>
        <v>0</v>
      </c>
      <c r="AE47" s="3145">
        <f t="shared" si="6"/>
        <v>0</v>
      </c>
      <c r="AF47" s="1513">
        <f>IF(Quanti!$O$54="OUI",
ROUNDUP($J47, 0)*AG$7+ROUNDUP($K47, 0)*(AG$7*(AG$7+1)/2),
 AG$7*$J47+(AG$7*(AG$7+1)/2)*$K47)</f>
        <v>0</v>
      </c>
      <c r="AG47" s="1514">
        <f t="shared" si="28"/>
        <v>0</v>
      </c>
      <c r="AH47" s="3145">
        <f t="shared" si="7"/>
        <v>0</v>
      </c>
      <c r="AI47" s="1513">
        <f>IF(Quanti!$O$54="OUI",
ROUNDUP($J47, 0)*AJ$7+ROUNDUP($K47, 0)*(AJ$7*(AJ$7+1)/2),
 AJ$7*$J47+(AJ$7*(AJ$7+1)/2)*$K47)</f>
        <v>0</v>
      </c>
      <c r="AJ47" s="1514">
        <f t="shared" si="29"/>
        <v>0</v>
      </c>
      <c r="AK47" s="3145">
        <f t="shared" si="8"/>
        <v>0</v>
      </c>
      <c r="AL47" s="1513">
        <f>IF(Quanti!$O$54="OUI",
ROUNDUP($J47, 0)*AM$7+ROUNDUP($K47, 0)*(AM$7*(AM$7+1)/2),
 AM$7*$J47+(AM$7*(AM$7+1)/2)*$K47)</f>
        <v>0</v>
      </c>
      <c r="AM47" s="1514">
        <f t="shared" si="30"/>
        <v>0</v>
      </c>
      <c r="AN47" s="3145">
        <f t="shared" si="9"/>
        <v>0</v>
      </c>
      <c r="AO47" s="1513">
        <f>IF(Quanti!$O$54="OUI",
ROUNDUP($J47, 0)*AP$7+ROUNDUP($K47, 0)*(AP$7*(AP$7+1)/2),
 AP$7*$J47+(AP$7*(AP$7+1)/2)*$K47)</f>
        <v>0</v>
      </c>
      <c r="AP47" s="1514">
        <f t="shared" si="31"/>
        <v>0</v>
      </c>
      <c r="AQ47" s="3145">
        <f t="shared" si="10"/>
        <v>0</v>
      </c>
      <c r="AR47" s="1513">
        <f>IF(Quanti!$O$54="OUI",
ROUNDUP($J47, 0)*AS$7+ROUNDUP($K47, 0)*(AS$7*(AS$7+1)/2),
 AS$7*$J47+(AS$7*(AS$7+1)/2)*$K47)</f>
        <v>0</v>
      </c>
      <c r="AS47" s="1514">
        <f t="shared" si="32"/>
        <v>0</v>
      </c>
      <c r="AT47" s="3145">
        <f t="shared" si="11"/>
        <v>0</v>
      </c>
      <c r="AU47" s="1513">
        <f>IF(Quanti!$O$54="OUI",
ROUNDUP($J47, 0)*AV$7+ROUNDUP($K47, 0)*(AV$7*(AV$7+1)/2),
 AV$7*$J47+(AV$7*(AV$7+1)/2)*$K47)</f>
        <v>0</v>
      </c>
      <c r="AV47" s="1514">
        <f t="shared" si="33"/>
        <v>0</v>
      </c>
      <c r="AW47" s="3145">
        <f t="shared" si="12"/>
        <v>0</v>
      </c>
      <c r="AX47" s="1513">
        <f>IF(Quanti!$O$54="OUI",
ROUNDUP($J47, 0)*AY$7+ROUNDUP($K47, 0)*(AY$7*(AY$7+1)/2),
 AY$7*$J47+(AY$7*(AY$7+1)/2)*$K47)</f>
        <v>0</v>
      </c>
      <c r="AY47" s="1514">
        <f t="shared" si="34"/>
        <v>0</v>
      </c>
      <c r="AZ47" s="3145">
        <f t="shared" si="13"/>
        <v>0</v>
      </c>
      <c r="BA47" s="1513">
        <f>IF(Quanti!$O$54="OUI",
ROUNDUP($J47, 0)*BB$7+ROUNDUP($K47, 0)*(BB$7*(BB$7+1)/2),
 BB$7*$J47+(BB$7*(BB$7+1)/2)*$K47)</f>
        <v>0</v>
      </c>
      <c r="BB47" s="1514">
        <f t="shared" si="35"/>
        <v>0</v>
      </c>
      <c r="BC47" s="3145">
        <f t="shared" si="14"/>
        <v>0</v>
      </c>
      <c r="BD47" s="1513">
        <f>IF(Quanti!$O$54="OUI",
ROUNDUP($J47, 0)*BE$7+ROUNDUP($K47, 0)*(BE$7*(BE$7+1)/2),
 BE$7*$J47+(BE$7*(BE$7+1)/2)*$K47)</f>
        <v>0</v>
      </c>
      <c r="BE47" s="1514">
        <f t="shared" si="36"/>
        <v>0</v>
      </c>
      <c r="BF47" s="3145">
        <f t="shared" si="15"/>
        <v>0</v>
      </c>
      <c r="BG47" s="1513">
        <f>IF(Quanti!$O$54="OUI",
ROUNDUP($J47, 0)*BH$7+ROUNDUP($K47, 0)*(BH$7*(BH$7+1)/2),
 BH$7*$J47+(BH$7*(BH$7+1)/2)*$K47)</f>
        <v>0</v>
      </c>
      <c r="BH47" s="1514">
        <f t="shared" si="37"/>
        <v>0</v>
      </c>
      <c r="BI47" s="3145">
        <f t="shared" si="16"/>
        <v>0</v>
      </c>
      <c r="BJ47" s="1513">
        <f>IF(Quanti!$O$54="OUI",
ROUNDUP($J47, 0)*BK$7+ROUNDUP($K47, 0)*(BK$7*(BK$7+1)/2),
 BK$7*$J47+(BK$7*(BK$7+1)/2)*$K47)</f>
        <v>0</v>
      </c>
      <c r="BK47" s="1514">
        <f t="shared" si="38"/>
        <v>0</v>
      </c>
      <c r="BL47" s="3145">
        <f t="shared" si="17"/>
        <v>0</v>
      </c>
      <c r="BM47" s="1513">
        <f>IF(Quanti!$O$54="OUI",
ROUNDUP($J47, 0)*BN$7+ROUNDUP($K47, 0)*(BN$7*(BN$7+1)/2),
 BN$7*$J47+(BN$7*(BN$7+1)/2)*$K47)</f>
        <v>0</v>
      </c>
      <c r="BN47" s="1514">
        <f t="shared" si="39"/>
        <v>0</v>
      </c>
      <c r="BO47" s="3145">
        <f t="shared" si="18"/>
        <v>0</v>
      </c>
      <c r="BP47" s="1513">
        <f>IF(Quanti!$O$54="OUI",
ROUNDUP($J47, 0)*BQ$7+ROUNDUP($K47, 0)*(BQ$7*(BQ$7+1)/2),
 BQ$7*$J47+(BQ$7*(BQ$7+1)/2)*$K47)</f>
        <v>0</v>
      </c>
      <c r="BQ47" s="1514">
        <f t="shared" si="40"/>
        <v>0</v>
      </c>
      <c r="BR47" s="3145">
        <f t="shared" si="19"/>
        <v>0</v>
      </c>
      <c r="BS47" s="1513">
        <f>IF(Quanti!$O$54="OUI",
ROUNDUP($J47, 0)*BT$7+ROUNDUP($K47, 0)*(BT$7*(BT$7+1)/2),
 BT$7*$J47+(BT$7*(BT$7+1)/2)*$K47)</f>
        <v>0</v>
      </c>
      <c r="BT47" s="1514">
        <f t="shared" si="41"/>
        <v>0</v>
      </c>
      <c r="BU47" s="3145">
        <f t="shared" si="20"/>
        <v>0</v>
      </c>
      <c r="BV47" s="1513">
        <f>IF(Quanti!$O$54="OUI",
ROUNDUP($J47, 0)*BW$7+ROUNDUP($K47, 0)*(BW$7*(BW$7+1)/2),
 BW$7*$J47+(BW$7*(BW$7+1)/2)*$K47)</f>
        <v>0</v>
      </c>
      <c r="BW47" s="1514">
        <f t="shared" si="42"/>
        <v>0</v>
      </c>
      <c r="BX47" s="3145">
        <f t="shared" si="21"/>
        <v>0</v>
      </c>
    </row>
    <row r="48" spans="2:76" x14ac:dyDescent="0.2">
      <c r="B48" s="100"/>
      <c r="C48" s="101"/>
      <c r="D48" s="1663" t="str">
        <f>'Saisie données stocks'!F58</f>
        <v>RTV</v>
      </c>
      <c r="E48" s="1664" t="str">
        <f>'Saisie données stocks'!G58</f>
        <v>Caps</v>
      </c>
      <c r="F48" s="1664" t="str">
        <f>'Saisie données stocks'!H58</f>
        <v>100 mg</v>
      </c>
      <c r="G48" s="1643" t="str">
        <f>'Saisie données stocks'!I58</f>
        <v>Ritonavir</v>
      </c>
      <c r="H48" s="116">
        <f>'Saisie données stocks'!L58</f>
        <v>84</v>
      </c>
      <c r="I48" s="333"/>
      <c r="J48" s="3150">
        <f>IF(Quanti!$D$9="X", 'Calculs dispo Données FA'!N164, IF(Quanti!$D$10="X", 'Calculs dispo Données conso'!N166, "0"))</f>
        <v>0</v>
      </c>
      <c r="K48" s="3148">
        <f>IF(Quanti!$D$9="X", 'Calculs dispo Données FA'!O164, IF(Quanti!$D$10="X", 'Calculs dispo Données conso'!O166, "0"))</f>
        <v>0</v>
      </c>
      <c r="L48" s="3151">
        <f>Calculs!O471</f>
        <v>0</v>
      </c>
      <c r="M48" s="3140">
        <f t="shared" si="22"/>
        <v>0</v>
      </c>
      <c r="N48" s="3140">
        <f t="shared" si="0"/>
        <v>0</v>
      </c>
      <c r="O48" s="1513">
        <f>IF(Quanti!$O$54="OUI",
ROUNDUP(J48, 0)*(Quanti!$N$19+Quanti!$N$25)+ROUNDUP(K48, 0)*((Quanti!$N$19+Quanti!$N$25)*((Quanti!$N$19+Quanti!$N$25)+1)/2),
 J48*(Quanti!$N$19+Quanti!$N$25)+K48*((Quanti!$N$19+Quanti!$N$25)*((Quanti!$N$19+Quanti!$N$25)+1)/2))-M48</f>
        <v>0</v>
      </c>
      <c r="P48" s="3145">
        <f t="shared" si="23"/>
        <v>0</v>
      </c>
      <c r="Q48" s="1513">
        <f>IF(Quanti!$O$54="OUI",
ROUNDUP($J48, 0)*R$7+ROUNDUP($K48, 0)*(R$7*(R$7+1)/2),
 R$7*$J48+(R$7*(R$7+1)/2)*$K48)</f>
        <v>0</v>
      </c>
      <c r="R48" s="1511">
        <f t="shared" si="1"/>
        <v>0</v>
      </c>
      <c r="S48" s="3145">
        <f t="shared" si="2"/>
        <v>0</v>
      </c>
      <c r="T48" s="1513">
        <f>IF(Quanti!$O$54="OUI",
ROUNDUP($J48, 0)*U$7+ROUNDUP($K48, 0)*(U$7*(U$7+1)/2),
 U$7*$J48+(U$7*(U$7+1)/2)*$K48)</f>
        <v>0</v>
      </c>
      <c r="U48" s="1514">
        <f t="shared" si="24"/>
        <v>0</v>
      </c>
      <c r="V48" s="3145">
        <f t="shared" si="3"/>
        <v>0</v>
      </c>
      <c r="W48" s="1513">
        <f>IF(Quanti!$O$54="OUI",
ROUNDUP($J48, 0)*X$7+ROUNDUP($K48, 0)*(X$7*(X$7+1)/2),
 X$7*$J48+(X$7*(X$7+1)/2)*$K48)</f>
        <v>0</v>
      </c>
      <c r="X48" s="1514">
        <f t="shared" si="25"/>
        <v>0</v>
      </c>
      <c r="Y48" s="3145">
        <f t="shared" si="4"/>
        <v>0</v>
      </c>
      <c r="Z48" s="1513">
        <f>IF(Quanti!$O$54="OUI",
ROUNDUP($J48, 0)*AA$7+ROUNDUP($K48, 0)*(AA$7*(AA$7+1)/2),
 AA$7*$J48+(AA$7*(AA$7+1)/2)*$K48)</f>
        <v>0</v>
      </c>
      <c r="AA48" s="1514">
        <f t="shared" si="26"/>
        <v>0</v>
      </c>
      <c r="AB48" s="3145">
        <f t="shared" si="5"/>
        <v>0</v>
      </c>
      <c r="AC48" s="1513">
        <f>IF(Quanti!$O$54="OUI",
ROUNDUP($J48, 0)*AD$7+ROUNDUP($K48, 0)*(AD$7*(AD$7+1)/2),
 AD$7*$J48+(AD$7*(AD$7+1)/2)*$K48)</f>
        <v>0</v>
      </c>
      <c r="AD48" s="1514">
        <f t="shared" si="27"/>
        <v>0</v>
      </c>
      <c r="AE48" s="3145">
        <f t="shared" si="6"/>
        <v>0</v>
      </c>
      <c r="AF48" s="1513">
        <f>IF(Quanti!$O$54="OUI",
ROUNDUP($J48, 0)*AG$7+ROUNDUP($K48, 0)*(AG$7*(AG$7+1)/2),
 AG$7*$J48+(AG$7*(AG$7+1)/2)*$K48)</f>
        <v>0</v>
      </c>
      <c r="AG48" s="1514">
        <f t="shared" si="28"/>
        <v>0</v>
      </c>
      <c r="AH48" s="3145">
        <f t="shared" si="7"/>
        <v>0</v>
      </c>
      <c r="AI48" s="1513">
        <f>IF(Quanti!$O$54="OUI",
ROUNDUP($J48, 0)*AJ$7+ROUNDUP($K48, 0)*(AJ$7*(AJ$7+1)/2),
 AJ$7*$J48+(AJ$7*(AJ$7+1)/2)*$K48)</f>
        <v>0</v>
      </c>
      <c r="AJ48" s="1514">
        <f t="shared" si="29"/>
        <v>0</v>
      </c>
      <c r="AK48" s="3145">
        <f t="shared" si="8"/>
        <v>0</v>
      </c>
      <c r="AL48" s="1513">
        <f>IF(Quanti!$O$54="OUI",
ROUNDUP($J48, 0)*AM$7+ROUNDUP($K48, 0)*(AM$7*(AM$7+1)/2),
 AM$7*$J48+(AM$7*(AM$7+1)/2)*$K48)</f>
        <v>0</v>
      </c>
      <c r="AM48" s="1514">
        <f t="shared" si="30"/>
        <v>0</v>
      </c>
      <c r="AN48" s="3145">
        <f t="shared" si="9"/>
        <v>0</v>
      </c>
      <c r="AO48" s="1513">
        <f>IF(Quanti!$O$54="OUI",
ROUNDUP($J48, 0)*AP$7+ROUNDUP($K48, 0)*(AP$7*(AP$7+1)/2),
 AP$7*$J48+(AP$7*(AP$7+1)/2)*$K48)</f>
        <v>0</v>
      </c>
      <c r="AP48" s="1514">
        <f t="shared" si="31"/>
        <v>0</v>
      </c>
      <c r="AQ48" s="3145">
        <f t="shared" si="10"/>
        <v>0</v>
      </c>
      <c r="AR48" s="1513">
        <f>IF(Quanti!$O$54="OUI",
ROUNDUP($J48, 0)*AS$7+ROUNDUP($K48, 0)*(AS$7*(AS$7+1)/2),
 AS$7*$J48+(AS$7*(AS$7+1)/2)*$K48)</f>
        <v>0</v>
      </c>
      <c r="AS48" s="1514">
        <f t="shared" si="32"/>
        <v>0</v>
      </c>
      <c r="AT48" s="3145">
        <f t="shared" si="11"/>
        <v>0</v>
      </c>
      <c r="AU48" s="1513">
        <f>IF(Quanti!$O$54="OUI",
ROUNDUP($J48, 0)*AV$7+ROUNDUP($K48, 0)*(AV$7*(AV$7+1)/2),
 AV$7*$J48+(AV$7*(AV$7+1)/2)*$K48)</f>
        <v>0</v>
      </c>
      <c r="AV48" s="1514">
        <f t="shared" si="33"/>
        <v>0</v>
      </c>
      <c r="AW48" s="3145">
        <f t="shared" si="12"/>
        <v>0</v>
      </c>
      <c r="AX48" s="1513">
        <f>IF(Quanti!$O$54="OUI",
ROUNDUP($J48, 0)*AY$7+ROUNDUP($K48, 0)*(AY$7*(AY$7+1)/2),
 AY$7*$J48+(AY$7*(AY$7+1)/2)*$K48)</f>
        <v>0</v>
      </c>
      <c r="AY48" s="1514">
        <f t="shared" si="34"/>
        <v>0</v>
      </c>
      <c r="AZ48" s="3145">
        <f t="shared" si="13"/>
        <v>0</v>
      </c>
      <c r="BA48" s="1513">
        <f>IF(Quanti!$O$54="OUI",
ROUNDUP($J48, 0)*BB$7+ROUNDUP($K48, 0)*(BB$7*(BB$7+1)/2),
 BB$7*$J48+(BB$7*(BB$7+1)/2)*$K48)</f>
        <v>0</v>
      </c>
      <c r="BB48" s="1514">
        <f t="shared" si="35"/>
        <v>0</v>
      </c>
      <c r="BC48" s="3145">
        <f t="shared" si="14"/>
        <v>0</v>
      </c>
      <c r="BD48" s="1513">
        <f>IF(Quanti!$O$54="OUI",
ROUNDUP($J48, 0)*BE$7+ROUNDUP($K48, 0)*(BE$7*(BE$7+1)/2),
 BE$7*$J48+(BE$7*(BE$7+1)/2)*$K48)</f>
        <v>0</v>
      </c>
      <c r="BE48" s="1514">
        <f t="shared" si="36"/>
        <v>0</v>
      </c>
      <c r="BF48" s="3145">
        <f t="shared" si="15"/>
        <v>0</v>
      </c>
      <c r="BG48" s="1513">
        <f>IF(Quanti!$O$54="OUI",
ROUNDUP($J48, 0)*BH$7+ROUNDUP($K48, 0)*(BH$7*(BH$7+1)/2),
 BH$7*$J48+(BH$7*(BH$7+1)/2)*$K48)</f>
        <v>0</v>
      </c>
      <c r="BH48" s="1514">
        <f t="shared" si="37"/>
        <v>0</v>
      </c>
      <c r="BI48" s="3145">
        <f t="shared" si="16"/>
        <v>0</v>
      </c>
      <c r="BJ48" s="1513">
        <f>IF(Quanti!$O$54="OUI",
ROUNDUP($J48, 0)*BK$7+ROUNDUP($K48, 0)*(BK$7*(BK$7+1)/2),
 BK$7*$J48+(BK$7*(BK$7+1)/2)*$K48)</f>
        <v>0</v>
      </c>
      <c r="BK48" s="1514">
        <f t="shared" si="38"/>
        <v>0</v>
      </c>
      <c r="BL48" s="3145">
        <f t="shared" si="17"/>
        <v>0</v>
      </c>
      <c r="BM48" s="1513">
        <f>IF(Quanti!$O$54="OUI",
ROUNDUP($J48, 0)*BN$7+ROUNDUP($K48, 0)*(BN$7*(BN$7+1)/2),
 BN$7*$J48+(BN$7*(BN$7+1)/2)*$K48)</f>
        <v>0</v>
      </c>
      <c r="BN48" s="1514">
        <f t="shared" si="39"/>
        <v>0</v>
      </c>
      <c r="BO48" s="3145">
        <f t="shared" si="18"/>
        <v>0</v>
      </c>
      <c r="BP48" s="1513">
        <f>IF(Quanti!$O$54="OUI",
ROUNDUP($J48, 0)*BQ$7+ROUNDUP($K48, 0)*(BQ$7*(BQ$7+1)/2),
 BQ$7*$J48+(BQ$7*(BQ$7+1)/2)*$K48)</f>
        <v>0</v>
      </c>
      <c r="BQ48" s="1514">
        <f t="shared" si="40"/>
        <v>0</v>
      </c>
      <c r="BR48" s="3145">
        <f t="shared" si="19"/>
        <v>0</v>
      </c>
      <c r="BS48" s="1513">
        <f>IF(Quanti!$O$54="OUI",
ROUNDUP($J48, 0)*BT$7+ROUNDUP($K48, 0)*(BT$7*(BT$7+1)/2),
 BT$7*$J48+(BT$7*(BT$7+1)/2)*$K48)</f>
        <v>0</v>
      </c>
      <c r="BT48" s="1514">
        <f t="shared" si="41"/>
        <v>0</v>
      </c>
      <c r="BU48" s="3145">
        <f t="shared" si="20"/>
        <v>0</v>
      </c>
      <c r="BV48" s="1513">
        <f>IF(Quanti!$O$54="OUI",
ROUNDUP($J48, 0)*BW$7+ROUNDUP($K48, 0)*(BW$7*(BW$7+1)/2),
 BW$7*$J48+(BW$7*(BW$7+1)/2)*$K48)</f>
        <v>0</v>
      </c>
      <c r="BW48" s="1514">
        <f t="shared" si="42"/>
        <v>0</v>
      </c>
      <c r="BX48" s="3145">
        <f t="shared" si="21"/>
        <v>0</v>
      </c>
    </row>
    <row r="49" spans="2:76" ht="13.5" thickBot="1" x14ac:dyDescent="0.25">
      <c r="B49" s="519"/>
      <c r="C49" s="520" t="str">
        <f>'Saisie données stocks'!$E$59</f>
        <v>Inh Integrase</v>
      </c>
      <c r="D49" s="1680" t="str">
        <f>'Saisie données stocks'!F59</f>
        <v>RLT = RAL</v>
      </c>
      <c r="E49" s="1681" t="str">
        <f>'Saisie données stocks'!G59</f>
        <v>Cp</v>
      </c>
      <c r="F49" s="1681" t="str">
        <f>'Saisie données stocks'!H59</f>
        <v>400 mg</v>
      </c>
      <c r="G49" s="1644" t="str">
        <f>'Saisie données stocks'!I59</f>
        <v>Raltegravir</v>
      </c>
      <c r="H49" s="517">
        <f>'Saisie données stocks'!L59</f>
        <v>60</v>
      </c>
      <c r="I49" s="521"/>
      <c r="J49" s="3173">
        <f>IF(Quanti!$D$9="X", 'Calculs dispo Données FA'!N165, IF(Quanti!$D$10="X", 'Calculs dispo Données conso'!N167, "0"))</f>
        <v>0</v>
      </c>
      <c r="K49" s="3174">
        <f>IF(Quanti!$D$9="X", 'Calculs dispo Données FA'!O165, IF(Quanti!$D$10="X", 'Calculs dispo Données conso'!O167, "0"))</f>
        <v>0</v>
      </c>
      <c r="L49" s="3175">
        <f>Calculs!O472</f>
        <v>0</v>
      </c>
      <c r="M49" s="3141">
        <f t="shared" si="22"/>
        <v>0</v>
      </c>
      <c r="N49" s="3141">
        <f t="shared" si="0"/>
        <v>0</v>
      </c>
      <c r="O49" s="3092">
        <f>IF(Quanti!$O$54="OUI",
ROUNDUP(J49, 0)*(Quanti!$N$19+Quanti!$N$25)+ROUNDUP(K49, 0)*((Quanti!$N$19+Quanti!$N$25)*((Quanti!$N$19+Quanti!$N$25)+1)/2),
 J49*(Quanti!$N$19+Quanti!$N$25)+K49*((Quanti!$N$19+Quanti!$N$25)*((Quanti!$N$19+Quanti!$N$25)+1)/2))-M49</f>
        <v>0</v>
      </c>
      <c r="P49" s="3146">
        <f>IF((O49-N49)&gt;0, (O49-N49), 0)</f>
        <v>0</v>
      </c>
      <c r="Q49" s="3092">
        <f>IF(Quanti!$O$54="OUI",
ROUNDUP($J49, 0)*R$7+ROUNDUP($K49, 0)*(R$7*(R$7+1)/2),
 R$7*$J49+(R$7*(R$7+1)/2)*$K49)</f>
        <v>0</v>
      </c>
      <c r="R49" s="3176">
        <f t="shared" si="1"/>
        <v>0</v>
      </c>
      <c r="S49" s="3146">
        <f t="shared" si="2"/>
        <v>0</v>
      </c>
      <c r="T49" s="3092">
        <f>IF(Quanti!$O$54="OUI",
ROUNDUP($J49, 0)*U$7+ROUNDUP($K49, 0)*(U$7*(U$7+1)/2),
 U$7*$J49+(U$7*(U$7+1)/2)*$K49)</f>
        <v>0</v>
      </c>
      <c r="U49" s="3093">
        <f t="shared" si="24"/>
        <v>0</v>
      </c>
      <c r="V49" s="3146">
        <f t="shared" si="3"/>
        <v>0</v>
      </c>
      <c r="W49" s="3092">
        <f>IF(Quanti!$O$54="OUI",
ROUNDUP($J49, 0)*X$7+ROUNDUP($K49, 0)*(X$7*(X$7+1)/2),
 X$7*$J49+(X$7*(X$7+1)/2)*$K49)</f>
        <v>0</v>
      </c>
      <c r="X49" s="3093">
        <f t="shared" si="25"/>
        <v>0</v>
      </c>
      <c r="Y49" s="3146">
        <f t="shared" si="4"/>
        <v>0</v>
      </c>
      <c r="Z49" s="3092">
        <f>IF(Quanti!$O$54="OUI",
ROUNDUP($J49, 0)*AA$7+ROUNDUP($K49, 0)*(AA$7*(AA$7+1)/2),
 AA$7*$J49+(AA$7*(AA$7+1)/2)*$K49)</f>
        <v>0</v>
      </c>
      <c r="AA49" s="3093">
        <f t="shared" si="26"/>
        <v>0</v>
      </c>
      <c r="AB49" s="3146">
        <f t="shared" si="5"/>
        <v>0</v>
      </c>
      <c r="AC49" s="3092">
        <f>IF(Quanti!$O$54="OUI",
ROUNDUP($J49, 0)*AD$7+ROUNDUP($K49, 0)*(AD$7*(AD$7+1)/2),
 AD$7*$J49+(AD$7*(AD$7+1)/2)*$K49)</f>
        <v>0</v>
      </c>
      <c r="AD49" s="3093">
        <f t="shared" si="27"/>
        <v>0</v>
      </c>
      <c r="AE49" s="3146">
        <f t="shared" si="6"/>
        <v>0</v>
      </c>
      <c r="AF49" s="3092">
        <f>IF(Quanti!$O$54="OUI",
ROUNDUP($J49, 0)*AG$7+ROUNDUP($K49, 0)*(AG$7*(AG$7+1)/2),
 AG$7*$J49+(AG$7*(AG$7+1)/2)*$K49)</f>
        <v>0</v>
      </c>
      <c r="AG49" s="3093">
        <f t="shared" si="28"/>
        <v>0</v>
      </c>
      <c r="AH49" s="3146">
        <f t="shared" si="7"/>
        <v>0</v>
      </c>
      <c r="AI49" s="3092">
        <f>IF(Quanti!$O$54="OUI",
ROUNDUP($J49, 0)*AJ$7+ROUNDUP($K49, 0)*(AJ$7*(AJ$7+1)/2),
 AJ$7*$J49+(AJ$7*(AJ$7+1)/2)*$K49)</f>
        <v>0</v>
      </c>
      <c r="AJ49" s="3093">
        <f t="shared" si="29"/>
        <v>0</v>
      </c>
      <c r="AK49" s="3146">
        <f t="shared" si="8"/>
        <v>0</v>
      </c>
      <c r="AL49" s="3092">
        <f>IF(Quanti!$O$54="OUI",
ROUNDUP($J49, 0)*AM$7+ROUNDUP($K49, 0)*(AM$7*(AM$7+1)/2),
 AM$7*$J49+(AM$7*(AM$7+1)/2)*$K49)</f>
        <v>0</v>
      </c>
      <c r="AM49" s="3093">
        <f t="shared" si="30"/>
        <v>0</v>
      </c>
      <c r="AN49" s="3146">
        <f t="shared" si="9"/>
        <v>0</v>
      </c>
      <c r="AO49" s="3092">
        <f>IF(Quanti!$O$54="OUI",
ROUNDUP($J49, 0)*AP$7+ROUNDUP($K49, 0)*(AP$7*(AP$7+1)/2),
 AP$7*$J49+(AP$7*(AP$7+1)/2)*$K49)</f>
        <v>0</v>
      </c>
      <c r="AP49" s="3093">
        <f t="shared" si="31"/>
        <v>0</v>
      </c>
      <c r="AQ49" s="3146">
        <f t="shared" si="10"/>
        <v>0</v>
      </c>
      <c r="AR49" s="3092">
        <f>IF(Quanti!$O$54="OUI",
ROUNDUP($J49, 0)*AS$7+ROUNDUP($K49, 0)*(AS$7*(AS$7+1)/2),
 AS$7*$J49+(AS$7*(AS$7+1)/2)*$K49)</f>
        <v>0</v>
      </c>
      <c r="AS49" s="3093">
        <f t="shared" si="32"/>
        <v>0</v>
      </c>
      <c r="AT49" s="3146">
        <f t="shared" si="11"/>
        <v>0</v>
      </c>
      <c r="AU49" s="3092">
        <f>IF(Quanti!$O$54="OUI",
ROUNDUP($J49, 0)*AV$7+ROUNDUP($K49, 0)*(AV$7*(AV$7+1)/2),
 AV$7*$J49+(AV$7*(AV$7+1)/2)*$K49)</f>
        <v>0</v>
      </c>
      <c r="AV49" s="3093">
        <f t="shared" si="33"/>
        <v>0</v>
      </c>
      <c r="AW49" s="3146">
        <f t="shared" si="12"/>
        <v>0</v>
      </c>
      <c r="AX49" s="3092">
        <f>IF(Quanti!$O$54="OUI",
ROUNDUP($J49, 0)*AY$7+ROUNDUP($K49, 0)*(AY$7*(AY$7+1)/2),
 AY$7*$J49+(AY$7*(AY$7+1)/2)*$K49)</f>
        <v>0</v>
      </c>
      <c r="AY49" s="3093">
        <f t="shared" si="34"/>
        <v>0</v>
      </c>
      <c r="AZ49" s="3146">
        <f t="shared" si="13"/>
        <v>0</v>
      </c>
      <c r="BA49" s="3092">
        <f>IF(Quanti!$O$54="OUI",
ROUNDUP($J49, 0)*BB$7+ROUNDUP($K49, 0)*(BB$7*(BB$7+1)/2),
 BB$7*$J49+(BB$7*(BB$7+1)/2)*$K49)</f>
        <v>0</v>
      </c>
      <c r="BB49" s="3093">
        <f t="shared" si="35"/>
        <v>0</v>
      </c>
      <c r="BC49" s="3146">
        <f t="shared" si="14"/>
        <v>0</v>
      </c>
      <c r="BD49" s="3092">
        <f>IF(Quanti!$O$54="OUI",
ROUNDUP($J49, 0)*BE$7+ROUNDUP($K49, 0)*(BE$7*(BE$7+1)/2),
 BE$7*$J49+(BE$7*(BE$7+1)/2)*$K49)</f>
        <v>0</v>
      </c>
      <c r="BE49" s="3093">
        <f t="shared" si="36"/>
        <v>0</v>
      </c>
      <c r="BF49" s="3146">
        <f t="shared" si="15"/>
        <v>0</v>
      </c>
      <c r="BG49" s="3092">
        <f>IF(Quanti!$O$54="OUI",
ROUNDUP($J49, 0)*BH$7+ROUNDUP($K49, 0)*(BH$7*(BH$7+1)/2),
 BH$7*$J49+(BH$7*(BH$7+1)/2)*$K49)</f>
        <v>0</v>
      </c>
      <c r="BH49" s="3093">
        <f t="shared" si="37"/>
        <v>0</v>
      </c>
      <c r="BI49" s="3146">
        <f t="shared" si="16"/>
        <v>0</v>
      </c>
      <c r="BJ49" s="3092">
        <f>IF(Quanti!$O$54="OUI",
ROUNDUP($J49, 0)*BK$7+ROUNDUP($K49, 0)*(BK$7*(BK$7+1)/2),
 BK$7*$J49+(BK$7*(BK$7+1)/2)*$K49)</f>
        <v>0</v>
      </c>
      <c r="BK49" s="3093">
        <f t="shared" si="38"/>
        <v>0</v>
      </c>
      <c r="BL49" s="3146">
        <f t="shared" si="17"/>
        <v>0</v>
      </c>
      <c r="BM49" s="3092">
        <f>IF(Quanti!$O$54="OUI",
ROUNDUP($J49, 0)*BN$7+ROUNDUP($K49, 0)*(BN$7*(BN$7+1)/2),
 BN$7*$J49+(BN$7*(BN$7+1)/2)*$K49)</f>
        <v>0</v>
      </c>
      <c r="BN49" s="3093">
        <f t="shared" si="39"/>
        <v>0</v>
      </c>
      <c r="BO49" s="3146">
        <f t="shared" si="18"/>
        <v>0</v>
      </c>
      <c r="BP49" s="3092">
        <f>IF(Quanti!$O$54="OUI",
ROUNDUP($J49, 0)*BQ$7+ROUNDUP($K49, 0)*(BQ$7*(BQ$7+1)/2),
 BQ$7*$J49+(BQ$7*(BQ$7+1)/2)*$K49)</f>
        <v>0</v>
      </c>
      <c r="BQ49" s="3093">
        <f t="shared" si="40"/>
        <v>0</v>
      </c>
      <c r="BR49" s="3146">
        <f t="shared" si="19"/>
        <v>0</v>
      </c>
      <c r="BS49" s="3092">
        <f>IF(Quanti!$O$54="OUI",
ROUNDUP($J49, 0)*BT$7+ROUNDUP($K49, 0)*(BT$7*(BT$7+1)/2),
 BT$7*$J49+(BT$7*(BT$7+1)/2)*$K49)</f>
        <v>0</v>
      </c>
      <c r="BT49" s="3093">
        <f t="shared" si="41"/>
        <v>0</v>
      </c>
      <c r="BU49" s="3146">
        <f t="shared" si="20"/>
        <v>0</v>
      </c>
      <c r="BV49" s="3092">
        <f>IF(Quanti!$O$54="OUI",
ROUNDUP($J49, 0)*BW$7+ROUNDUP($K49, 0)*(BW$7*(BW$7+1)/2),
 BW$7*$J49+(BW$7*(BW$7+1)/2)*$K49)</f>
        <v>0</v>
      </c>
      <c r="BW49" s="3093">
        <f t="shared" si="42"/>
        <v>0</v>
      </c>
      <c r="BX49" s="3146">
        <f t="shared" si="21"/>
        <v>0</v>
      </c>
    </row>
    <row r="50" spans="2:76" ht="102.75" thickBot="1" x14ac:dyDescent="0.25">
      <c r="B50" s="2496" t="str">
        <f>'TRAD-Quanti et TdB Péremptions'!$B$37</f>
        <v>Forme</v>
      </c>
      <c r="C50" s="2497" t="str">
        <f>'TRAD-Quanti et TdB Péremptions'!$B$38</f>
        <v>Classe pharmaco</v>
      </c>
      <c r="D50" s="32" t="str">
        <f>'TRAD-Quanti et TdB Péremptions'!$B$39</f>
        <v>Composition</v>
      </c>
      <c r="E50" s="33" t="str">
        <f>'TRAD-Quanti et TdB Péremptions'!$B$40</f>
        <v>Forme galénique</v>
      </c>
      <c r="F50" s="33" t="str">
        <f>'TRAD-Quanti et TdB Péremptions'!$B$41</f>
        <v>Dosage</v>
      </c>
      <c r="G50" s="33" t="str">
        <f>'TRAD-Quanti et TdB Péremptions'!$B$42</f>
        <v>DCI</v>
      </c>
      <c r="H50" s="33" t="str">
        <f>'TRAD-Quanti et TdB Péremptions'!$B$43</f>
        <v>Conditionnement</v>
      </c>
      <c r="I50" s="34"/>
      <c r="J50" s="3119" t="str">
        <f>'TRAD-quanti trimestre'!$B$13</f>
        <v>Besoins mensuels patients suivis</v>
      </c>
      <c r="K50" s="3138" t="str">
        <f>'TRAD-quanti trimestre'!$B$14</f>
        <v>Besoins mensuels nouveaux patients</v>
      </c>
      <c r="L50" s="3164" t="str">
        <f>CONCATENATE('TRAD-quanti trimestre'!$B$16, " - ", IF(Quanti!$O$33="OUI", 'TRAD-quanti trimestre'!$B$17, 'TRAD-quanti trimestre'!$B$18))</f>
        <v>Quantités en stocks (nb de boites) - (Stock utilisable, prend en compte les DLU)</v>
      </c>
      <c r="M50" s="3164" t="str">
        <f>'TRAD-quanti trimestre'!$B$6</f>
        <v>Besoins sur la période intermédiaire (avant le début de la période quantifiée)</v>
      </c>
      <c r="N50" s="3165" t="str">
        <f>CONCATENATE('TRAD-quanti trimestre'!$B$16, " - ", 'TRAD-quanti trimestre'!$B$19, " -", DAY(Quanti!$N$24), "/", MONTH(Quanti!$N$24), "/", YEAR(Quanti!$N$24))</f>
        <v>Quantités en stocks (nb de boites) - Début de la période quantifiée -1/6/2013</v>
      </c>
      <c r="O50" s="3119" t="str">
        <f>'TRAD-Quanti et TdB Péremptions'!$B$45</f>
        <v>Besoins bruts sur période (nb de boites)</v>
      </c>
      <c r="P50" s="3121" t="str">
        <f>'TRAD-Quanti et TdB Péremptions'!$B$46</f>
        <v>Besoins nets sur la période (nb de cdt)</v>
      </c>
      <c r="Q50" s="3119" t="str">
        <f>'TRAD-quanti trimestre'!$B$8</f>
        <v>Besoins sur durée cumulée (nb de cdt)</v>
      </c>
      <c r="R50" s="3120" t="str">
        <f>'TRAD-quanti trimestre'!$B$9</f>
        <v>Besoins bruts sur le trimestre (nb de cdt)</v>
      </c>
      <c r="S50" s="3121" t="str">
        <f>'TRAD-Quanti et TdB Péremptions'!$B$46</f>
        <v>Besoins nets sur la période (nb de cdt)</v>
      </c>
      <c r="T50" s="3119" t="str">
        <f>'TRAD-quanti trimestre'!$B$8</f>
        <v>Besoins sur durée cumulée (nb de cdt)</v>
      </c>
      <c r="U50" s="3120" t="str">
        <f>'TRAD-quanti trimestre'!$B$9</f>
        <v>Besoins bruts sur le trimestre (nb de cdt)</v>
      </c>
      <c r="V50" s="3121" t="str">
        <f>'TRAD-Quanti et TdB Péremptions'!$B$46</f>
        <v>Besoins nets sur la période (nb de cdt)</v>
      </c>
      <c r="W50" s="3119" t="str">
        <f>'TRAD-quanti trimestre'!$B$8</f>
        <v>Besoins sur durée cumulée (nb de cdt)</v>
      </c>
      <c r="X50" s="3120" t="str">
        <f>'TRAD-quanti trimestre'!$B$9</f>
        <v>Besoins bruts sur le trimestre (nb de cdt)</v>
      </c>
      <c r="Y50" s="3121" t="str">
        <f>'TRAD-Quanti et TdB Péremptions'!$B$46</f>
        <v>Besoins nets sur la période (nb de cdt)</v>
      </c>
      <c r="Z50" s="3119" t="str">
        <f>'TRAD-quanti trimestre'!$B$8</f>
        <v>Besoins sur durée cumulée (nb de cdt)</v>
      </c>
      <c r="AA50" s="3120" t="str">
        <f>'TRAD-quanti trimestre'!$B$9</f>
        <v>Besoins bruts sur le trimestre (nb de cdt)</v>
      </c>
      <c r="AB50" s="3121" t="str">
        <f>'TRAD-Quanti et TdB Péremptions'!$B$46</f>
        <v>Besoins nets sur la période (nb de cdt)</v>
      </c>
      <c r="AC50" s="3119" t="str">
        <f>'TRAD-quanti trimestre'!$B$8</f>
        <v>Besoins sur durée cumulée (nb de cdt)</v>
      </c>
      <c r="AD50" s="3120" t="str">
        <f>'TRAD-quanti trimestre'!$B$9</f>
        <v>Besoins bruts sur le trimestre (nb de cdt)</v>
      </c>
      <c r="AE50" s="3121" t="str">
        <f>'TRAD-Quanti et TdB Péremptions'!$B$46</f>
        <v>Besoins nets sur la période (nb de cdt)</v>
      </c>
      <c r="AF50" s="3119" t="str">
        <f>'TRAD-quanti trimestre'!$B$8</f>
        <v>Besoins sur durée cumulée (nb de cdt)</v>
      </c>
      <c r="AG50" s="3120" t="str">
        <f>'TRAD-quanti trimestre'!$B$9</f>
        <v>Besoins bruts sur le trimestre (nb de cdt)</v>
      </c>
      <c r="AH50" s="3121" t="str">
        <f>'TRAD-Quanti et TdB Péremptions'!$B$46</f>
        <v>Besoins nets sur la période (nb de cdt)</v>
      </c>
      <c r="AI50" s="3119" t="str">
        <f>'TRAD-quanti trimestre'!$B$8</f>
        <v>Besoins sur durée cumulée (nb de cdt)</v>
      </c>
      <c r="AJ50" s="3120" t="str">
        <f>'TRAD-quanti trimestre'!$B$9</f>
        <v>Besoins bruts sur le trimestre (nb de cdt)</v>
      </c>
      <c r="AK50" s="3121" t="str">
        <f>'TRAD-Quanti et TdB Péremptions'!$B$46</f>
        <v>Besoins nets sur la période (nb de cdt)</v>
      </c>
      <c r="AL50" s="3119" t="str">
        <f>'TRAD-quanti trimestre'!$B$8</f>
        <v>Besoins sur durée cumulée (nb de cdt)</v>
      </c>
      <c r="AM50" s="3120" t="str">
        <f>'TRAD-quanti trimestre'!$B$9</f>
        <v>Besoins bruts sur le trimestre (nb de cdt)</v>
      </c>
      <c r="AN50" s="3121" t="str">
        <f>'TRAD-Quanti et TdB Péremptions'!$B$46</f>
        <v>Besoins nets sur la période (nb de cdt)</v>
      </c>
      <c r="AO50" s="3119" t="str">
        <f>'TRAD-quanti trimestre'!$B$8</f>
        <v>Besoins sur durée cumulée (nb de cdt)</v>
      </c>
      <c r="AP50" s="3120" t="str">
        <f>'TRAD-quanti trimestre'!$B$9</f>
        <v>Besoins bruts sur le trimestre (nb de cdt)</v>
      </c>
      <c r="AQ50" s="3121" t="str">
        <f>'TRAD-Quanti et TdB Péremptions'!$B$46</f>
        <v>Besoins nets sur la période (nb de cdt)</v>
      </c>
      <c r="AR50" s="3119" t="str">
        <f>'TRAD-quanti trimestre'!$B$8</f>
        <v>Besoins sur durée cumulée (nb de cdt)</v>
      </c>
      <c r="AS50" s="3120" t="str">
        <f>'TRAD-quanti trimestre'!$B$9</f>
        <v>Besoins bruts sur le trimestre (nb de cdt)</v>
      </c>
      <c r="AT50" s="3121" t="str">
        <f>'TRAD-Quanti et TdB Péremptions'!$B$46</f>
        <v>Besoins nets sur la période (nb de cdt)</v>
      </c>
      <c r="AU50" s="3119" t="str">
        <f>'TRAD-quanti trimestre'!$B$8</f>
        <v>Besoins sur durée cumulée (nb de cdt)</v>
      </c>
      <c r="AV50" s="3120" t="str">
        <f>'TRAD-quanti trimestre'!$B$9</f>
        <v>Besoins bruts sur le trimestre (nb de cdt)</v>
      </c>
      <c r="AW50" s="3121" t="str">
        <f>'TRAD-Quanti et TdB Péremptions'!$B$46</f>
        <v>Besoins nets sur la période (nb de cdt)</v>
      </c>
      <c r="AX50" s="3119" t="str">
        <f>'TRAD-quanti trimestre'!$B$8</f>
        <v>Besoins sur durée cumulée (nb de cdt)</v>
      </c>
      <c r="AY50" s="3120" t="str">
        <f>'TRAD-quanti trimestre'!$B$9</f>
        <v>Besoins bruts sur le trimestre (nb de cdt)</v>
      </c>
      <c r="AZ50" s="3121" t="str">
        <f>'TRAD-Quanti et TdB Péremptions'!$B$46</f>
        <v>Besoins nets sur la période (nb de cdt)</v>
      </c>
      <c r="BA50" s="3119" t="str">
        <f>'TRAD-quanti trimestre'!$B$8</f>
        <v>Besoins sur durée cumulée (nb de cdt)</v>
      </c>
      <c r="BB50" s="3120" t="str">
        <f>'TRAD-quanti trimestre'!$B$9</f>
        <v>Besoins bruts sur le trimestre (nb de cdt)</v>
      </c>
      <c r="BC50" s="3121" t="str">
        <f>'TRAD-Quanti et TdB Péremptions'!$B$46</f>
        <v>Besoins nets sur la période (nb de cdt)</v>
      </c>
      <c r="BD50" s="3119" t="str">
        <f>'TRAD-quanti trimestre'!$B$8</f>
        <v>Besoins sur durée cumulée (nb de cdt)</v>
      </c>
      <c r="BE50" s="3120" t="str">
        <f>'TRAD-quanti trimestre'!$B$9</f>
        <v>Besoins bruts sur le trimestre (nb de cdt)</v>
      </c>
      <c r="BF50" s="3121" t="str">
        <f>'TRAD-Quanti et TdB Péremptions'!$B$46</f>
        <v>Besoins nets sur la période (nb de cdt)</v>
      </c>
      <c r="BG50" s="3119" t="str">
        <f>'TRAD-quanti trimestre'!$B$8</f>
        <v>Besoins sur durée cumulée (nb de cdt)</v>
      </c>
      <c r="BH50" s="3120" t="str">
        <f>'TRAD-quanti trimestre'!$B$9</f>
        <v>Besoins bruts sur le trimestre (nb de cdt)</v>
      </c>
      <c r="BI50" s="3121" t="str">
        <f>'TRAD-Quanti et TdB Péremptions'!$B$46</f>
        <v>Besoins nets sur la période (nb de cdt)</v>
      </c>
      <c r="BJ50" s="3119" t="str">
        <f>'TRAD-quanti trimestre'!$B$8</f>
        <v>Besoins sur durée cumulée (nb de cdt)</v>
      </c>
      <c r="BK50" s="3120" t="str">
        <f>'TRAD-quanti trimestre'!$B$9</f>
        <v>Besoins bruts sur le trimestre (nb de cdt)</v>
      </c>
      <c r="BL50" s="3121" t="str">
        <f>'TRAD-Quanti et TdB Péremptions'!$B$46</f>
        <v>Besoins nets sur la période (nb de cdt)</v>
      </c>
      <c r="BM50" s="3119" t="str">
        <f>'TRAD-quanti trimestre'!$B$8</f>
        <v>Besoins sur durée cumulée (nb de cdt)</v>
      </c>
      <c r="BN50" s="3120" t="str">
        <f>'TRAD-quanti trimestre'!$B$9</f>
        <v>Besoins bruts sur le trimestre (nb de cdt)</v>
      </c>
      <c r="BO50" s="3121" t="str">
        <f>'TRAD-Quanti et TdB Péremptions'!$B$46</f>
        <v>Besoins nets sur la période (nb de cdt)</v>
      </c>
      <c r="BP50" s="3119" t="str">
        <f>'TRAD-quanti trimestre'!$B$8</f>
        <v>Besoins sur durée cumulée (nb de cdt)</v>
      </c>
      <c r="BQ50" s="3120" t="str">
        <f>'TRAD-quanti trimestre'!$B$9</f>
        <v>Besoins bruts sur le trimestre (nb de cdt)</v>
      </c>
      <c r="BR50" s="3121" t="str">
        <f>'TRAD-Quanti et TdB Péremptions'!$B$46</f>
        <v>Besoins nets sur la période (nb de cdt)</v>
      </c>
      <c r="BS50" s="3119" t="str">
        <f>'TRAD-quanti trimestre'!$B$8</f>
        <v>Besoins sur durée cumulée (nb de cdt)</v>
      </c>
      <c r="BT50" s="3120" t="str">
        <f>'TRAD-quanti trimestre'!$B$9</f>
        <v>Besoins bruts sur le trimestre (nb de cdt)</v>
      </c>
      <c r="BU50" s="3121" t="str">
        <f>'TRAD-Quanti et TdB Péremptions'!$B$46</f>
        <v>Besoins nets sur la période (nb de cdt)</v>
      </c>
      <c r="BV50" s="3119" t="str">
        <f>'TRAD-quanti trimestre'!$B$8</f>
        <v>Besoins sur durée cumulée (nb de cdt)</v>
      </c>
      <c r="BW50" s="3120" t="str">
        <f>'TRAD-quanti trimestre'!$B$9</f>
        <v>Besoins bruts sur le trimestre (nb de cdt)</v>
      </c>
      <c r="BX50" s="3121" t="str">
        <f>'TRAD-Quanti et TdB Péremptions'!$B$46</f>
        <v>Besoins nets sur la période (nb de cdt)</v>
      </c>
    </row>
    <row r="51" spans="2:76" x14ac:dyDescent="0.2">
      <c r="B51" s="1509" t="str">
        <f>'TRAD-Quanti et TdB Péremptions'!$B$56</f>
        <v>Solutions buvables</v>
      </c>
      <c r="C51" s="367" t="str">
        <f>'Saisie données stocks'!$E$61</f>
        <v>INTI</v>
      </c>
      <c r="D51" s="368" t="str">
        <f>'Saisie données stocks'!F61</f>
        <v>AZT</v>
      </c>
      <c r="E51" s="369" t="str">
        <f>'Saisie données stocks'!G61</f>
        <v>Sol buv</v>
      </c>
      <c r="F51" s="369" t="str">
        <f>'Saisie données stocks'!H61</f>
        <v>10 mg/mL</v>
      </c>
      <c r="G51" s="369" t="str">
        <f>'Saisie données stocks'!I61</f>
        <v>Zidovudine</v>
      </c>
      <c r="H51" s="482">
        <f>'Saisie données stocks'!L61</f>
        <v>240</v>
      </c>
      <c r="I51" s="482">
        <f>'Saisie données stocks'!M61</f>
        <v>1</v>
      </c>
      <c r="J51" s="3152">
        <f>IF(Quanti!$D$9="X", 'Calculs dispo Données FA'!N167, IF(Quanti!$D$10="X", 'Calculs dispo Données conso'!N169, "0"))</f>
        <v>0</v>
      </c>
      <c r="K51" s="3153">
        <f>IF(Quanti!$D$9="X", 'Calculs dispo Données FA'!O167, IF(Quanti!$D$10="X", 'Calculs dispo Données conso'!O169, "0"))</f>
        <v>0</v>
      </c>
      <c r="L51" s="3154">
        <f>Calculs!O474</f>
        <v>0</v>
      </c>
      <c r="M51" s="3140">
        <f t="shared" ref="M51:M58" si="43">M$7*$J51+(M$7*(M$7+1)/2)*$K51</f>
        <v>0</v>
      </c>
      <c r="N51" s="3140">
        <f t="shared" ref="N51:N58" si="44">IF((L51-M51)&gt;0, (L51-M51), 0)</f>
        <v>0</v>
      </c>
      <c r="O51" s="1513">
        <f>IF(Quanti!$O$54="OUI",
ROUNDUP(J51, 0)*(Quanti!$N$19+Quanti!$N$25)+ROUNDUP(K51, 0)*((Quanti!$N$19+Quanti!$N$25)*((Quanti!$N$19+Quanti!$N$25)+1)/2),
 J51*(Quanti!$N$19+Quanti!$N$25)+K51*((Quanti!$N$19+Quanti!$N$25)*((Quanti!$N$19+Quanti!$N$25)+1)/2))-M51</f>
        <v>0</v>
      </c>
      <c r="P51" s="3145">
        <f>IF((O51-N51)&gt;0, (O51-N51), 0)</f>
        <v>0</v>
      </c>
      <c r="Q51" s="1513">
        <f>IF(Quanti!$O$54="OUI",
ROUNDUP($J51, 0)*R$7+ROUNDUP($K51, 0)*(R$7*(R$7+1)/2),
 R$7*$J51+(R$7*(R$7+1)/2)*$K51)</f>
        <v>0</v>
      </c>
      <c r="R51" s="1514">
        <f t="shared" ref="R51:R58" si="45">IF(R$6=0, 0, Q51-M51)</f>
        <v>0</v>
      </c>
      <c r="S51" s="3145">
        <f t="shared" ref="S51:S58" si="46">IF(Q51&lt;$N51, 0, R51)</f>
        <v>0</v>
      </c>
      <c r="T51" s="1513">
        <f>IF(Quanti!$O$54="OUI",
ROUNDUP($J51, 0)*U$7+ROUNDUP($K51, 0)*(U$7*(U$7+1)/2),
 U$7*$J51+(U$7*(U$7+1)/2)*$K51)</f>
        <v>0</v>
      </c>
      <c r="U51" s="1514">
        <f t="shared" ref="U51" si="47">IF(U$6=0, 0, T51-Q51)</f>
        <v>0</v>
      </c>
      <c r="V51" s="3145">
        <f t="shared" ref="V51" si="48">IF(T51&lt;$N51, 0, U51)</f>
        <v>0</v>
      </c>
      <c r="W51" s="1513">
        <f>IF(Quanti!$O$54="OUI",
ROUNDUP($J51, 0)*X$7+ROUNDUP($K51, 0)*(X$7*(X$7+1)/2),
 X$7*$J51+(X$7*(X$7+1)/2)*$K51)</f>
        <v>0</v>
      </c>
      <c r="X51" s="1514">
        <f t="shared" ref="X51" si="49">IF(X$6=0, 0, W51-T51)</f>
        <v>0</v>
      </c>
      <c r="Y51" s="3145">
        <f t="shared" ref="Y51" si="50">IF(W51&lt;$N51, 0, X51)</f>
        <v>0</v>
      </c>
      <c r="Z51" s="1513">
        <f>IF(Quanti!$O$54="OUI",
ROUNDUP($J51, 0)*AA$7+ROUNDUP($K51, 0)*(AA$7*(AA$7+1)/2),
 AA$7*$J51+(AA$7*(AA$7+1)/2)*$K51)</f>
        <v>0</v>
      </c>
      <c r="AA51" s="1514">
        <f t="shared" ref="AA51" si="51">IF(AA$6=0, 0, Z51-W51)</f>
        <v>0</v>
      </c>
      <c r="AB51" s="3145">
        <f t="shared" ref="AB51" si="52">IF(Z51&lt;$N51, 0, AA51)</f>
        <v>0</v>
      </c>
      <c r="AC51" s="1513">
        <f>IF(Quanti!$O$54="OUI",
ROUNDUP($J51, 0)*AD$7+ROUNDUP($K51, 0)*(AD$7*(AD$7+1)/2),
 AD$7*$J51+(AD$7*(AD$7+1)/2)*$K51)</f>
        <v>0</v>
      </c>
      <c r="AD51" s="1514">
        <f t="shared" ref="AD51" si="53">IF(AD$6=0, 0, AC51-Z51)</f>
        <v>0</v>
      </c>
      <c r="AE51" s="3145">
        <f t="shared" ref="AE51" si="54">IF(AC51&lt;$N51, 0, AD51)</f>
        <v>0</v>
      </c>
      <c r="AF51" s="1513">
        <f>IF(Quanti!$O$54="OUI",
ROUNDUP($J51, 0)*AG$7+ROUNDUP($K51, 0)*(AG$7*(AG$7+1)/2),
 AG$7*$J51+(AG$7*(AG$7+1)/2)*$K51)</f>
        <v>0</v>
      </c>
      <c r="AG51" s="1514">
        <f t="shared" ref="AG51" si="55">IF(AG$6=0, 0, AF51-AC51)</f>
        <v>0</v>
      </c>
      <c r="AH51" s="3145">
        <f t="shared" ref="AH51" si="56">IF(AF51&lt;$N51, 0, AG51)</f>
        <v>0</v>
      </c>
      <c r="AI51" s="1513">
        <f>IF(Quanti!$O$54="OUI",
ROUNDUP($J51, 0)*AJ$7+ROUNDUP($K51, 0)*(AJ$7*(AJ$7+1)/2),
 AJ$7*$J51+(AJ$7*(AJ$7+1)/2)*$K51)</f>
        <v>0</v>
      </c>
      <c r="AJ51" s="1514">
        <f t="shared" ref="AJ51" si="57">IF(AJ$6=0, 0, AI51-AF51)</f>
        <v>0</v>
      </c>
      <c r="AK51" s="3145">
        <f t="shared" ref="AK51" si="58">IF(AI51&lt;$N51, 0, AJ51)</f>
        <v>0</v>
      </c>
      <c r="AL51" s="1513">
        <f>IF(Quanti!$O$54="OUI",
ROUNDUP($J51, 0)*AM$7+ROUNDUP($K51, 0)*(AM$7*(AM$7+1)/2),
 AM$7*$J51+(AM$7*(AM$7+1)/2)*$K51)</f>
        <v>0</v>
      </c>
      <c r="AM51" s="1514">
        <f t="shared" ref="AM51" si="59">IF(AM$6=0, 0, AL51-AI51)</f>
        <v>0</v>
      </c>
      <c r="AN51" s="3145">
        <f t="shared" ref="AN51" si="60">IF(AL51&lt;$N51, 0, AM51)</f>
        <v>0</v>
      </c>
      <c r="AO51" s="1513">
        <f>IF(Quanti!$O$54="OUI",
ROUNDUP($J51, 0)*AP$7+ROUNDUP($K51, 0)*(AP$7*(AP$7+1)/2),
 AP$7*$J51+(AP$7*(AP$7+1)/2)*$K51)</f>
        <v>0</v>
      </c>
      <c r="AP51" s="1514">
        <f t="shared" ref="AP51" si="61">IF(AP$6=0, 0, AO51-AL51)</f>
        <v>0</v>
      </c>
      <c r="AQ51" s="3145">
        <f t="shared" ref="AQ51" si="62">IF(AO51&lt;$N51, 0, AP51)</f>
        <v>0</v>
      </c>
      <c r="AR51" s="1513">
        <f>IF(Quanti!$O$54="OUI",
ROUNDUP($J51, 0)*AS$7+ROUNDUP($K51, 0)*(AS$7*(AS$7+1)/2),
 AS$7*$J51+(AS$7*(AS$7+1)/2)*$K51)</f>
        <v>0</v>
      </c>
      <c r="AS51" s="1514">
        <f t="shared" ref="AS51" si="63">IF(AS$6=0, 0, AR51-AO51)</f>
        <v>0</v>
      </c>
      <c r="AT51" s="3145">
        <f t="shared" ref="AT51" si="64">IF(AR51&lt;$N51, 0, AS51)</f>
        <v>0</v>
      </c>
      <c r="AU51" s="1513">
        <f>IF(Quanti!$O$54="OUI",
ROUNDUP($J51, 0)*AV$7+ROUNDUP($K51, 0)*(AV$7*(AV$7+1)/2),
 AV$7*$J51+(AV$7*(AV$7+1)/2)*$K51)</f>
        <v>0</v>
      </c>
      <c r="AV51" s="1514">
        <f t="shared" ref="AV51" si="65">IF(AV$6=0, 0, AU51-AR51)</f>
        <v>0</v>
      </c>
      <c r="AW51" s="3145">
        <f t="shared" ref="AW51" si="66">IF(AU51&lt;$N51, 0, AV51)</f>
        <v>0</v>
      </c>
      <c r="AX51" s="1513">
        <f>IF(Quanti!$O$54="OUI",
ROUNDUP($J51, 0)*AY$7+ROUNDUP($K51, 0)*(AY$7*(AY$7+1)/2),
 AY$7*$J51+(AY$7*(AY$7+1)/2)*$K51)</f>
        <v>0</v>
      </c>
      <c r="AY51" s="1514">
        <f t="shared" ref="AY51" si="67">IF(AY$6=0, 0, AX51-AU51)</f>
        <v>0</v>
      </c>
      <c r="AZ51" s="3145">
        <f t="shared" ref="AZ51" si="68">IF(AX51&lt;$N51, 0, AY51)</f>
        <v>0</v>
      </c>
      <c r="BA51" s="1513">
        <f>IF(Quanti!$O$54="OUI",
ROUNDUP($J51, 0)*BB$7+ROUNDUP($K51, 0)*(BB$7*(BB$7+1)/2),
 BB$7*$J51+(BB$7*(BB$7+1)/2)*$K51)</f>
        <v>0</v>
      </c>
      <c r="BB51" s="1514">
        <f t="shared" ref="BB51" si="69">IF(BB$6=0, 0, BA51-AX51)</f>
        <v>0</v>
      </c>
      <c r="BC51" s="3145">
        <f t="shared" ref="BC51" si="70">IF(BA51&lt;$N51, 0, BB51)</f>
        <v>0</v>
      </c>
      <c r="BD51" s="1513">
        <f>IF(Quanti!$O$54="OUI",
ROUNDUP($J51, 0)*BE$7+ROUNDUP($K51, 0)*(BE$7*(BE$7+1)/2),
 BE$7*$J51+(BE$7*(BE$7+1)/2)*$K51)</f>
        <v>0</v>
      </c>
      <c r="BE51" s="1514">
        <f t="shared" ref="BE51" si="71">IF(BE$6=0, 0, BD51-BA51)</f>
        <v>0</v>
      </c>
      <c r="BF51" s="3145">
        <f t="shared" ref="BF51" si="72">IF(BD51&lt;$N51, 0, BE51)</f>
        <v>0</v>
      </c>
      <c r="BG51" s="1513">
        <f>IF(Quanti!$O$54="OUI",
ROUNDUP($J51, 0)*BH$7+ROUNDUP($K51, 0)*(BH$7*(BH$7+1)/2),
 BH$7*$J51+(BH$7*(BH$7+1)/2)*$K51)</f>
        <v>0</v>
      </c>
      <c r="BH51" s="1514">
        <f t="shared" ref="BH51" si="73">IF(BH$6=0, 0, BG51-BD51)</f>
        <v>0</v>
      </c>
      <c r="BI51" s="3145">
        <f t="shared" ref="BI51" si="74">IF(BG51&lt;$N51, 0, BH51)</f>
        <v>0</v>
      </c>
      <c r="BJ51" s="1513">
        <f>IF(Quanti!$O$54="OUI",
ROUNDUP($J51, 0)*BK$7+ROUNDUP($K51, 0)*(BK$7*(BK$7+1)/2),
 BK$7*$J51+(BK$7*(BK$7+1)/2)*$K51)</f>
        <v>0</v>
      </c>
      <c r="BK51" s="1514">
        <f t="shared" ref="BK51" si="75">IF(BK$6=0, 0, BJ51-BG51)</f>
        <v>0</v>
      </c>
      <c r="BL51" s="3145">
        <f t="shared" ref="BL51" si="76">IF(BJ51&lt;$N51, 0, BK51)</f>
        <v>0</v>
      </c>
      <c r="BM51" s="1513">
        <f>IF(Quanti!$O$54="OUI",
ROUNDUP($J51, 0)*BN$7+ROUNDUP($K51, 0)*(BN$7*(BN$7+1)/2),
 BN$7*$J51+(BN$7*(BN$7+1)/2)*$K51)</f>
        <v>0</v>
      </c>
      <c r="BN51" s="1514">
        <f t="shared" ref="BN51" si="77">IF(BN$6=0, 0, BM51-BJ51)</f>
        <v>0</v>
      </c>
      <c r="BO51" s="3145">
        <f t="shared" ref="BO51" si="78">IF(BM51&lt;$N51, 0, BN51)</f>
        <v>0</v>
      </c>
      <c r="BP51" s="1513">
        <f>IF(Quanti!$O$54="OUI",
ROUNDUP($J51, 0)*BQ$7+ROUNDUP($K51, 0)*(BQ$7*(BQ$7+1)/2),
 BQ$7*$J51+(BQ$7*(BQ$7+1)/2)*$K51)</f>
        <v>0</v>
      </c>
      <c r="BQ51" s="1514">
        <f t="shared" ref="BQ51" si="79">IF(BQ$6=0, 0, BP51-BM51)</f>
        <v>0</v>
      </c>
      <c r="BR51" s="3145">
        <f t="shared" ref="BR51" si="80">IF(BP51&lt;$N51, 0, BQ51)</f>
        <v>0</v>
      </c>
      <c r="BS51" s="1513">
        <f>IF(Quanti!$O$54="OUI",
ROUNDUP($J51, 0)*BT$7+ROUNDUP($K51, 0)*(BT$7*(BT$7+1)/2),
 BT$7*$J51+(BT$7*(BT$7+1)/2)*$K51)</f>
        <v>0</v>
      </c>
      <c r="BT51" s="1514">
        <f t="shared" ref="BT51" si="81">IF(BT$6=0, 0, BS51-BP51)</f>
        <v>0</v>
      </c>
      <c r="BU51" s="3145">
        <f t="shared" ref="BU51" si="82">IF(BS51&lt;$N51, 0, BT51)</f>
        <v>0</v>
      </c>
      <c r="BV51" s="1513">
        <f>IF(Quanti!$O$54="OUI",
ROUNDUP($J51, 0)*BW$7+ROUNDUP($K51, 0)*(BW$7*(BW$7+1)/2),
 BW$7*$J51+(BW$7*(BW$7+1)/2)*$K51)</f>
        <v>0</v>
      </c>
      <c r="BW51" s="1514">
        <f t="shared" ref="BW51" si="83">IF(BW$6=0, 0, BV51-BS51)</f>
        <v>0</v>
      </c>
      <c r="BX51" s="3145">
        <f t="shared" ref="BX51" si="84">IF(BV51&lt;$N51, 0, BW51)</f>
        <v>0</v>
      </c>
    </row>
    <row r="52" spans="2:76" x14ac:dyDescent="0.2">
      <c r="B52" s="374"/>
      <c r="C52" s="375"/>
      <c r="D52" s="376" t="str">
        <f>'Saisie données stocks'!F62</f>
        <v>D4T</v>
      </c>
      <c r="E52" s="377" t="str">
        <f>'Saisie données stocks'!G62</f>
        <v>Sol buv</v>
      </c>
      <c r="F52" s="377" t="str">
        <f>'Saisie données stocks'!H62</f>
        <v>10 mg/mL</v>
      </c>
      <c r="G52" s="377" t="str">
        <f>'Saisie données stocks'!I62</f>
        <v>Stavudine</v>
      </c>
      <c r="H52" s="483">
        <f>'Saisie données stocks'!L62</f>
        <v>240</v>
      </c>
      <c r="I52" s="1410">
        <f>'Saisie données stocks'!M62</f>
        <v>1</v>
      </c>
      <c r="J52" s="3152">
        <f>IF(Quanti!$D$9="X", 'Calculs dispo Données FA'!N168, IF(Quanti!$D$10="X", 'Calculs dispo Données conso'!N170, "0"))</f>
        <v>0</v>
      </c>
      <c r="K52" s="3153">
        <f>IF(Quanti!$D$9="X", 'Calculs dispo Données FA'!O168, IF(Quanti!$D$10="X", 'Calculs dispo Données conso'!O170, "0"))</f>
        <v>0</v>
      </c>
      <c r="L52" s="3154">
        <f>Calculs!O475</f>
        <v>0</v>
      </c>
      <c r="M52" s="3140">
        <f t="shared" si="43"/>
        <v>0</v>
      </c>
      <c r="N52" s="3140">
        <f t="shared" si="44"/>
        <v>0</v>
      </c>
      <c r="O52" s="1513">
        <f>IF(Quanti!$O$54="OUI",
ROUNDUP(J52, 0)*(Quanti!$N$19+Quanti!$N$25)+ROUNDUP(K52, 0)*((Quanti!$N$19+Quanti!$N$25)*((Quanti!$N$19+Quanti!$N$25)+1)/2),
 J52*(Quanti!$N$19+Quanti!$N$25)+K52*((Quanti!$N$19+Quanti!$N$25)*((Quanti!$N$19+Quanti!$N$25)+1)/2))-M52</f>
        <v>0</v>
      </c>
      <c r="P52" s="3145">
        <f t="shared" ref="P52:P58" si="85">IF((O52-N52)&gt;0, (O52-N52), 0)</f>
        <v>0</v>
      </c>
      <c r="Q52" s="1513">
        <f>IF(Quanti!$O$54="OUI",
ROUNDUP($J52, 0)*R$7+ROUNDUP($K52, 0)*(R$7*(R$7+1)/2),
 R$7*$J52+(R$7*(R$7+1)/2)*$K52)</f>
        <v>0</v>
      </c>
      <c r="R52" s="1514">
        <f t="shared" si="45"/>
        <v>0</v>
      </c>
      <c r="S52" s="3145">
        <f t="shared" si="46"/>
        <v>0</v>
      </c>
      <c r="T52" s="1513">
        <f>IF(Quanti!$O$54="OUI",
ROUNDUP($J52, 0)*U$7+ROUNDUP($K52, 0)*(U$7*(U$7+1)/2),
 U$7*$J52+(U$7*(U$7+1)/2)*$K52)</f>
        <v>0</v>
      </c>
      <c r="U52" s="1514">
        <f t="shared" ref="U52:U58" si="86">IF(U$6=0, 0, T52-Q52)</f>
        <v>0</v>
      </c>
      <c r="V52" s="3145">
        <f t="shared" ref="V52:V58" si="87">IF(T52&lt;$N52, 0, U52)</f>
        <v>0</v>
      </c>
      <c r="W52" s="1513">
        <f>IF(Quanti!$O$54="OUI",
ROUNDUP($J52, 0)*X$7+ROUNDUP($K52, 0)*(X$7*(X$7+1)/2),
 X$7*$J52+(X$7*(X$7+1)/2)*$K52)</f>
        <v>0</v>
      </c>
      <c r="X52" s="1514">
        <f t="shared" ref="X52:X58" si="88">IF(X$6=0, 0, W52-T52)</f>
        <v>0</v>
      </c>
      <c r="Y52" s="3145">
        <f t="shared" ref="Y52:Y58" si="89">IF(W52&lt;$N52, 0, X52)</f>
        <v>0</v>
      </c>
      <c r="Z52" s="1513">
        <f>IF(Quanti!$O$54="OUI",
ROUNDUP($J52, 0)*AA$7+ROUNDUP($K52, 0)*(AA$7*(AA$7+1)/2),
 AA$7*$J52+(AA$7*(AA$7+1)/2)*$K52)</f>
        <v>0</v>
      </c>
      <c r="AA52" s="1514">
        <f t="shared" ref="AA52:AA58" si="90">IF(AA$6=0, 0, Z52-W52)</f>
        <v>0</v>
      </c>
      <c r="AB52" s="3145">
        <f t="shared" ref="AB52:AB58" si="91">IF(Z52&lt;$N52, 0, AA52)</f>
        <v>0</v>
      </c>
      <c r="AC52" s="1513">
        <f>IF(Quanti!$O$54="OUI",
ROUNDUP($J52, 0)*AD$7+ROUNDUP($K52, 0)*(AD$7*(AD$7+1)/2),
 AD$7*$J52+(AD$7*(AD$7+1)/2)*$K52)</f>
        <v>0</v>
      </c>
      <c r="AD52" s="1514">
        <f t="shared" ref="AD52:AD58" si="92">IF(AD$6=0, 0, AC52-Z52)</f>
        <v>0</v>
      </c>
      <c r="AE52" s="3145">
        <f t="shared" ref="AE52:AE58" si="93">IF(AC52&lt;$N52, 0, AD52)</f>
        <v>0</v>
      </c>
      <c r="AF52" s="1513">
        <f>IF(Quanti!$O$54="OUI",
ROUNDUP($J52, 0)*AG$7+ROUNDUP($K52, 0)*(AG$7*(AG$7+1)/2),
 AG$7*$J52+(AG$7*(AG$7+1)/2)*$K52)</f>
        <v>0</v>
      </c>
      <c r="AG52" s="1514">
        <f t="shared" ref="AG52:AG58" si="94">IF(AG$6=0, 0, AF52-AC52)</f>
        <v>0</v>
      </c>
      <c r="AH52" s="3145">
        <f t="shared" ref="AH52:AH58" si="95">IF(AF52&lt;$N52, 0, AG52)</f>
        <v>0</v>
      </c>
      <c r="AI52" s="1513">
        <f>IF(Quanti!$O$54="OUI",
ROUNDUP($J52, 0)*AJ$7+ROUNDUP($K52, 0)*(AJ$7*(AJ$7+1)/2),
 AJ$7*$J52+(AJ$7*(AJ$7+1)/2)*$K52)</f>
        <v>0</v>
      </c>
      <c r="AJ52" s="1514">
        <f t="shared" ref="AJ52:AJ58" si="96">IF(AJ$6=0, 0, AI52-AF52)</f>
        <v>0</v>
      </c>
      <c r="AK52" s="3145">
        <f t="shared" ref="AK52:AK58" si="97">IF(AI52&lt;$N52, 0, AJ52)</f>
        <v>0</v>
      </c>
      <c r="AL52" s="1513">
        <f>IF(Quanti!$O$54="OUI",
ROUNDUP($J52, 0)*AM$7+ROUNDUP($K52, 0)*(AM$7*(AM$7+1)/2),
 AM$7*$J52+(AM$7*(AM$7+1)/2)*$K52)</f>
        <v>0</v>
      </c>
      <c r="AM52" s="1514">
        <f t="shared" ref="AM52:AM58" si="98">IF(AM$6=0, 0, AL52-AI52)</f>
        <v>0</v>
      </c>
      <c r="AN52" s="3145">
        <f t="shared" ref="AN52:AN58" si="99">IF(AL52&lt;$N52, 0, AM52)</f>
        <v>0</v>
      </c>
      <c r="AO52" s="1513">
        <f>IF(Quanti!$O$54="OUI",
ROUNDUP($J52, 0)*AP$7+ROUNDUP($K52, 0)*(AP$7*(AP$7+1)/2),
 AP$7*$J52+(AP$7*(AP$7+1)/2)*$K52)</f>
        <v>0</v>
      </c>
      <c r="AP52" s="1514">
        <f t="shared" ref="AP52:AP58" si="100">IF(AP$6=0, 0, AO52-AL52)</f>
        <v>0</v>
      </c>
      <c r="AQ52" s="3145">
        <f t="shared" ref="AQ52:AQ58" si="101">IF(AO52&lt;$N52, 0, AP52)</f>
        <v>0</v>
      </c>
      <c r="AR52" s="1513">
        <f>IF(Quanti!$O$54="OUI",
ROUNDUP($J52, 0)*AS$7+ROUNDUP($K52, 0)*(AS$7*(AS$7+1)/2),
 AS$7*$J52+(AS$7*(AS$7+1)/2)*$K52)</f>
        <v>0</v>
      </c>
      <c r="AS52" s="1514">
        <f t="shared" ref="AS52:AS58" si="102">IF(AS$6=0, 0, AR52-AO52)</f>
        <v>0</v>
      </c>
      <c r="AT52" s="3145">
        <f t="shared" ref="AT52:AT58" si="103">IF(AR52&lt;$N52, 0, AS52)</f>
        <v>0</v>
      </c>
      <c r="AU52" s="1513">
        <f>IF(Quanti!$O$54="OUI",
ROUNDUP($J52, 0)*AV$7+ROUNDUP($K52, 0)*(AV$7*(AV$7+1)/2),
 AV$7*$J52+(AV$7*(AV$7+1)/2)*$K52)</f>
        <v>0</v>
      </c>
      <c r="AV52" s="1514">
        <f t="shared" ref="AV52:AV58" si="104">IF(AV$6=0, 0, AU52-AR52)</f>
        <v>0</v>
      </c>
      <c r="AW52" s="3145">
        <f t="shared" ref="AW52:AW58" si="105">IF(AU52&lt;$N52, 0, AV52)</f>
        <v>0</v>
      </c>
      <c r="AX52" s="1513">
        <f>IF(Quanti!$O$54="OUI",
ROUNDUP($J52, 0)*AY$7+ROUNDUP($K52, 0)*(AY$7*(AY$7+1)/2),
 AY$7*$J52+(AY$7*(AY$7+1)/2)*$K52)</f>
        <v>0</v>
      </c>
      <c r="AY52" s="1514">
        <f t="shared" ref="AY52:AY58" si="106">IF(AY$6=0, 0, AX52-AU52)</f>
        <v>0</v>
      </c>
      <c r="AZ52" s="3145">
        <f t="shared" ref="AZ52:AZ58" si="107">IF(AX52&lt;$N52, 0, AY52)</f>
        <v>0</v>
      </c>
      <c r="BA52" s="1513">
        <f>IF(Quanti!$O$54="OUI",
ROUNDUP($J52, 0)*BB$7+ROUNDUP($K52, 0)*(BB$7*(BB$7+1)/2),
 BB$7*$J52+(BB$7*(BB$7+1)/2)*$K52)</f>
        <v>0</v>
      </c>
      <c r="BB52" s="1514">
        <f t="shared" ref="BB52:BB58" si="108">IF(BB$6=0, 0, BA52-AX52)</f>
        <v>0</v>
      </c>
      <c r="BC52" s="3145">
        <f t="shared" ref="BC52:BC58" si="109">IF(BA52&lt;$N52, 0, BB52)</f>
        <v>0</v>
      </c>
      <c r="BD52" s="1513">
        <f>IF(Quanti!$O$54="OUI",
ROUNDUP($J52, 0)*BE$7+ROUNDUP($K52, 0)*(BE$7*(BE$7+1)/2),
 BE$7*$J52+(BE$7*(BE$7+1)/2)*$K52)</f>
        <v>0</v>
      </c>
      <c r="BE52" s="1514">
        <f t="shared" ref="BE52:BE58" si="110">IF(BE$6=0, 0, BD52-BA52)</f>
        <v>0</v>
      </c>
      <c r="BF52" s="3145">
        <f t="shared" ref="BF52:BF58" si="111">IF(BD52&lt;$N52, 0, BE52)</f>
        <v>0</v>
      </c>
      <c r="BG52" s="1513">
        <f>IF(Quanti!$O$54="OUI",
ROUNDUP($J52, 0)*BH$7+ROUNDUP($K52, 0)*(BH$7*(BH$7+1)/2),
 BH$7*$J52+(BH$7*(BH$7+1)/2)*$K52)</f>
        <v>0</v>
      </c>
      <c r="BH52" s="1514">
        <f t="shared" ref="BH52:BH58" si="112">IF(BH$6=0, 0, BG52-BD52)</f>
        <v>0</v>
      </c>
      <c r="BI52" s="3145">
        <f t="shared" ref="BI52:BI58" si="113">IF(BG52&lt;$N52, 0, BH52)</f>
        <v>0</v>
      </c>
      <c r="BJ52" s="1513">
        <f>IF(Quanti!$O$54="OUI",
ROUNDUP($J52, 0)*BK$7+ROUNDUP($K52, 0)*(BK$7*(BK$7+1)/2),
 BK$7*$J52+(BK$7*(BK$7+1)/2)*$K52)</f>
        <v>0</v>
      </c>
      <c r="BK52" s="1514">
        <f t="shared" ref="BK52:BK58" si="114">IF(BK$6=0, 0, BJ52-BG52)</f>
        <v>0</v>
      </c>
      <c r="BL52" s="3145">
        <f t="shared" ref="BL52:BL58" si="115">IF(BJ52&lt;$N52, 0, BK52)</f>
        <v>0</v>
      </c>
      <c r="BM52" s="1513">
        <f>IF(Quanti!$O$54="OUI",
ROUNDUP($J52, 0)*BN$7+ROUNDUP($K52, 0)*(BN$7*(BN$7+1)/2),
 BN$7*$J52+(BN$7*(BN$7+1)/2)*$K52)</f>
        <v>0</v>
      </c>
      <c r="BN52" s="1514">
        <f t="shared" ref="BN52:BN58" si="116">IF(BN$6=0, 0, BM52-BJ52)</f>
        <v>0</v>
      </c>
      <c r="BO52" s="3145">
        <f t="shared" ref="BO52:BO58" si="117">IF(BM52&lt;$N52, 0, BN52)</f>
        <v>0</v>
      </c>
      <c r="BP52" s="1513">
        <f>IF(Quanti!$O$54="OUI",
ROUNDUP($J52, 0)*BQ$7+ROUNDUP($K52, 0)*(BQ$7*(BQ$7+1)/2),
 BQ$7*$J52+(BQ$7*(BQ$7+1)/2)*$K52)</f>
        <v>0</v>
      </c>
      <c r="BQ52" s="1514">
        <f t="shared" ref="BQ52:BQ58" si="118">IF(BQ$6=0, 0, BP52-BM52)</f>
        <v>0</v>
      </c>
      <c r="BR52" s="3145">
        <f t="shared" ref="BR52:BR58" si="119">IF(BP52&lt;$N52, 0, BQ52)</f>
        <v>0</v>
      </c>
      <c r="BS52" s="1513">
        <f>IF(Quanti!$O$54="OUI",
ROUNDUP($J52, 0)*BT$7+ROUNDUP($K52, 0)*(BT$7*(BT$7+1)/2),
 BT$7*$J52+(BT$7*(BT$7+1)/2)*$K52)</f>
        <v>0</v>
      </c>
      <c r="BT52" s="1514">
        <f t="shared" ref="BT52:BT58" si="120">IF(BT$6=0, 0, BS52-BP52)</f>
        <v>0</v>
      </c>
      <c r="BU52" s="3145">
        <f t="shared" ref="BU52:BU58" si="121">IF(BS52&lt;$N52, 0, BT52)</f>
        <v>0</v>
      </c>
      <c r="BV52" s="1513">
        <f>IF(Quanti!$O$54="OUI",
ROUNDUP($J52, 0)*BW$7+ROUNDUP($K52, 0)*(BW$7*(BW$7+1)/2),
 BW$7*$J52+(BW$7*(BW$7+1)/2)*$K52)</f>
        <v>0</v>
      </c>
      <c r="BW52" s="1514">
        <f t="shared" ref="BW52:BW58" si="122">IF(BW$6=0, 0, BV52-BS52)</f>
        <v>0</v>
      </c>
      <c r="BX52" s="3145">
        <f t="shared" ref="BX52:BX58" si="123">IF(BV52&lt;$N52, 0, BW52)</f>
        <v>0</v>
      </c>
    </row>
    <row r="53" spans="2:76" x14ac:dyDescent="0.2">
      <c r="B53" s="374"/>
      <c r="C53" s="375"/>
      <c r="D53" s="1516" t="str">
        <f>'Saisie données stocks'!F63</f>
        <v>3TC</v>
      </c>
      <c r="E53" s="1208" t="str">
        <f>'Saisie données stocks'!G63</f>
        <v>Sol buv</v>
      </c>
      <c r="F53" s="1208" t="str">
        <f>'Saisie données stocks'!H63</f>
        <v>10 mg/mL</v>
      </c>
      <c r="G53" s="1208" t="str">
        <f>'Saisie données stocks'!I63</f>
        <v>Lamivudine</v>
      </c>
      <c r="H53" s="1411">
        <f>'Saisie données stocks'!L63</f>
        <v>240</v>
      </c>
      <c r="I53" s="1412">
        <f>'Saisie données stocks'!M63</f>
        <v>1</v>
      </c>
      <c r="J53" s="3152">
        <f>IF(Quanti!$D$9="X", 'Calculs dispo Données FA'!N169, IF(Quanti!$D$10="X", 'Calculs dispo Données conso'!N171, "0"))</f>
        <v>0</v>
      </c>
      <c r="K53" s="3153">
        <f>IF(Quanti!$D$9="X", 'Calculs dispo Données FA'!O169, IF(Quanti!$D$10="X", 'Calculs dispo Données conso'!O171, "0"))</f>
        <v>0</v>
      </c>
      <c r="L53" s="3154">
        <f>Calculs!O476</f>
        <v>0</v>
      </c>
      <c r="M53" s="3140">
        <f t="shared" si="43"/>
        <v>0</v>
      </c>
      <c r="N53" s="3140">
        <f t="shared" si="44"/>
        <v>0</v>
      </c>
      <c r="O53" s="1513">
        <f>IF(Quanti!$O$54="OUI",
ROUNDUP(J53, 0)*(Quanti!$N$19+Quanti!$N$25)+ROUNDUP(K53, 0)*((Quanti!$N$19+Quanti!$N$25)*((Quanti!$N$19+Quanti!$N$25)+1)/2),
 J53*(Quanti!$N$19+Quanti!$N$25)+K53*((Quanti!$N$19+Quanti!$N$25)*((Quanti!$N$19+Quanti!$N$25)+1)/2))-M53</f>
        <v>0</v>
      </c>
      <c r="P53" s="3145">
        <f>IF((O53-N53)&gt;0, (O53-N53), 0)</f>
        <v>0</v>
      </c>
      <c r="Q53" s="1513">
        <f>IF(Quanti!$O$54="OUI",
ROUNDUP($J53, 0)*R$7+ROUNDUP($K53, 0)*(R$7*(R$7+1)/2),
 R$7*$J53+(R$7*(R$7+1)/2)*$K53)</f>
        <v>0</v>
      </c>
      <c r="R53" s="1514">
        <f t="shared" si="45"/>
        <v>0</v>
      </c>
      <c r="S53" s="3145">
        <f t="shared" si="46"/>
        <v>0</v>
      </c>
      <c r="T53" s="1513">
        <f>IF(Quanti!$O$54="OUI",
ROUNDUP($J53, 0)*U$7+ROUNDUP($K53, 0)*(U$7*(U$7+1)/2),
 U$7*$J53+(U$7*(U$7+1)/2)*$K53)</f>
        <v>0</v>
      </c>
      <c r="U53" s="1514">
        <f t="shared" si="86"/>
        <v>0</v>
      </c>
      <c r="V53" s="3145">
        <f t="shared" si="87"/>
        <v>0</v>
      </c>
      <c r="W53" s="1513">
        <f>IF(Quanti!$O$54="OUI",
ROUNDUP($J53, 0)*X$7+ROUNDUP($K53, 0)*(X$7*(X$7+1)/2),
 X$7*$J53+(X$7*(X$7+1)/2)*$K53)</f>
        <v>0</v>
      </c>
      <c r="X53" s="1514">
        <f t="shared" si="88"/>
        <v>0</v>
      </c>
      <c r="Y53" s="3145">
        <f t="shared" si="89"/>
        <v>0</v>
      </c>
      <c r="Z53" s="1513">
        <f>IF(Quanti!$O$54="OUI",
ROUNDUP($J53, 0)*AA$7+ROUNDUP($K53, 0)*(AA$7*(AA$7+1)/2),
 AA$7*$J53+(AA$7*(AA$7+1)/2)*$K53)</f>
        <v>0</v>
      </c>
      <c r="AA53" s="1514">
        <f t="shared" si="90"/>
        <v>0</v>
      </c>
      <c r="AB53" s="3145">
        <f t="shared" si="91"/>
        <v>0</v>
      </c>
      <c r="AC53" s="1513">
        <f>IF(Quanti!$O$54="OUI",
ROUNDUP($J53, 0)*AD$7+ROUNDUP($K53, 0)*(AD$7*(AD$7+1)/2),
 AD$7*$J53+(AD$7*(AD$7+1)/2)*$K53)</f>
        <v>0</v>
      </c>
      <c r="AD53" s="1514">
        <f t="shared" si="92"/>
        <v>0</v>
      </c>
      <c r="AE53" s="3145">
        <f t="shared" si="93"/>
        <v>0</v>
      </c>
      <c r="AF53" s="1513">
        <f>IF(Quanti!$O$54="OUI",
ROUNDUP($J53, 0)*AG$7+ROUNDUP($K53, 0)*(AG$7*(AG$7+1)/2),
 AG$7*$J53+(AG$7*(AG$7+1)/2)*$K53)</f>
        <v>0</v>
      </c>
      <c r="AG53" s="1514">
        <f t="shared" si="94"/>
        <v>0</v>
      </c>
      <c r="AH53" s="3145">
        <f t="shared" si="95"/>
        <v>0</v>
      </c>
      <c r="AI53" s="1513">
        <f>IF(Quanti!$O$54="OUI",
ROUNDUP($J53, 0)*AJ$7+ROUNDUP($K53, 0)*(AJ$7*(AJ$7+1)/2),
 AJ$7*$J53+(AJ$7*(AJ$7+1)/2)*$K53)</f>
        <v>0</v>
      </c>
      <c r="AJ53" s="1514">
        <f t="shared" si="96"/>
        <v>0</v>
      </c>
      <c r="AK53" s="3145">
        <f t="shared" si="97"/>
        <v>0</v>
      </c>
      <c r="AL53" s="1513">
        <f>IF(Quanti!$O$54="OUI",
ROUNDUP($J53, 0)*AM$7+ROUNDUP($K53, 0)*(AM$7*(AM$7+1)/2),
 AM$7*$J53+(AM$7*(AM$7+1)/2)*$K53)</f>
        <v>0</v>
      </c>
      <c r="AM53" s="1514">
        <f t="shared" si="98"/>
        <v>0</v>
      </c>
      <c r="AN53" s="3145">
        <f t="shared" si="99"/>
        <v>0</v>
      </c>
      <c r="AO53" s="1513">
        <f>IF(Quanti!$O$54="OUI",
ROUNDUP($J53, 0)*AP$7+ROUNDUP($K53, 0)*(AP$7*(AP$7+1)/2),
 AP$7*$J53+(AP$7*(AP$7+1)/2)*$K53)</f>
        <v>0</v>
      </c>
      <c r="AP53" s="1514">
        <f t="shared" si="100"/>
        <v>0</v>
      </c>
      <c r="AQ53" s="3145">
        <f t="shared" si="101"/>
        <v>0</v>
      </c>
      <c r="AR53" s="1513">
        <f>IF(Quanti!$O$54="OUI",
ROUNDUP($J53, 0)*AS$7+ROUNDUP($K53, 0)*(AS$7*(AS$7+1)/2),
 AS$7*$J53+(AS$7*(AS$7+1)/2)*$K53)</f>
        <v>0</v>
      </c>
      <c r="AS53" s="1514">
        <f t="shared" si="102"/>
        <v>0</v>
      </c>
      <c r="AT53" s="3145">
        <f t="shared" si="103"/>
        <v>0</v>
      </c>
      <c r="AU53" s="1513">
        <f>IF(Quanti!$O$54="OUI",
ROUNDUP($J53, 0)*AV$7+ROUNDUP($K53, 0)*(AV$7*(AV$7+1)/2),
 AV$7*$J53+(AV$7*(AV$7+1)/2)*$K53)</f>
        <v>0</v>
      </c>
      <c r="AV53" s="1514">
        <f t="shared" si="104"/>
        <v>0</v>
      </c>
      <c r="AW53" s="3145">
        <f t="shared" si="105"/>
        <v>0</v>
      </c>
      <c r="AX53" s="1513">
        <f>IF(Quanti!$O$54="OUI",
ROUNDUP($J53, 0)*AY$7+ROUNDUP($K53, 0)*(AY$7*(AY$7+1)/2),
 AY$7*$J53+(AY$7*(AY$7+1)/2)*$K53)</f>
        <v>0</v>
      </c>
      <c r="AY53" s="1514">
        <f t="shared" si="106"/>
        <v>0</v>
      </c>
      <c r="AZ53" s="3145">
        <f t="shared" si="107"/>
        <v>0</v>
      </c>
      <c r="BA53" s="1513">
        <f>IF(Quanti!$O$54="OUI",
ROUNDUP($J53, 0)*BB$7+ROUNDUP($K53, 0)*(BB$7*(BB$7+1)/2),
 BB$7*$J53+(BB$7*(BB$7+1)/2)*$K53)</f>
        <v>0</v>
      </c>
      <c r="BB53" s="1514">
        <f t="shared" si="108"/>
        <v>0</v>
      </c>
      <c r="BC53" s="3145">
        <f t="shared" si="109"/>
        <v>0</v>
      </c>
      <c r="BD53" s="1513">
        <f>IF(Quanti!$O$54="OUI",
ROUNDUP($J53, 0)*BE$7+ROUNDUP($K53, 0)*(BE$7*(BE$7+1)/2),
 BE$7*$J53+(BE$7*(BE$7+1)/2)*$K53)</f>
        <v>0</v>
      </c>
      <c r="BE53" s="1514">
        <f t="shared" si="110"/>
        <v>0</v>
      </c>
      <c r="BF53" s="3145">
        <f t="shared" si="111"/>
        <v>0</v>
      </c>
      <c r="BG53" s="1513">
        <f>IF(Quanti!$O$54="OUI",
ROUNDUP($J53, 0)*BH$7+ROUNDUP($K53, 0)*(BH$7*(BH$7+1)/2),
 BH$7*$J53+(BH$7*(BH$7+1)/2)*$K53)</f>
        <v>0</v>
      </c>
      <c r="BH53" s="1514">
        <f t="shared" si="112"/>
        <v>0</v>
      </c>
      <c r="BI53" s="3145">
        <f t="shared" si="113"/>
        <v>0</v>
      </c>
      <c r="BJ53" s="1513">
        <f>IF(Quanti!$O$54="OUI",
ROUNDUP($J53, 0)*BK$7+ROUNDUP($K53, 0)*(BK$7*(BK$7+1)/2),
 BK$7*$J53+(BK$7*(BK$7+1)/2)*$K53)</f>
        <v>0</v>
      </c>
      <c r="BK53" s="1514">
        <f t="shared" si="114"/>
        <v>0</v>
      </c>
      <c r="BL53" s="3145">
        <f t="shared" si="115"/>
        <v>0</v>
      </c>
      <c r="BM53" s="1513">
        <f>IF(Quanti!$O$54="OUI",
ROUNDUP($J53, 0)*BN$7+ROUNDUP($K53, 0)*(BN$7*(BN$7+1)/2),
 BN$7*$J53+(BN$7*(BN$7+1)/2)*$K53)</f>
        <v>0</v>
      </c>
      <c r="BN53" s="1514">
        <f t="shared" si="116"/>
        <v>0</v>
      </c>
      <c r="BO53" s="3145">
        <f t="shared" si="117"/>
        <v>0</v>
      </c>
      <c r="BP53" s="1513">
        <f>IF(Quanti!$O$54="OUI",
ROUNDUP($J53, 0)*BQ$7+ROUNDUP($K53, 0)*(BQ$7*(BQ$7+1)/2),
 BQ$7*$J53+(BQ$7*(BQ$7+1)/2)*$K53)</f>
        <v>0</v>
      </c>
      <c r="BQ53" s="1514">
        <f t="shared" si="118"/>
        <v>0</v>
      </c>
      <c r="BR53" s="3145">
        <f t="shared" si="119"/>
        <v>0</v>
      </c>
      <c r="BS53" s="1513">
        <f>IF(Quanti!$O$54="OUI",
ROUNDUP($J53, 0)*BT$7+ROUNDUP($K53, 0)*(BT$7*(BT$7+1)/2),
 BT$7*$J53+(BT$7*(BT$7+1)/2)*$K53)</f>
        <v>0</v>
      </c>
      <c r="BT53" s="1514">
        <f t="shared" si="120"/>
        <v>0</v>
      </c>
      <c r="BU53" s="3145">
        <f t="shared" si="121"/>
        <v>0</v>
      </c>
      <c r="BV53" s="1513">
        <f>IF(Quanti!$O$54="OUI",
ROUNDUP($J53, 0)*BW$7+ROUNDUP($K53, 0)*(BW$7*(BW$7+1)/2),
 BW$7*$J53+(BW$7*(BW$7+1)/2)*$K53)</f>
        <v>0</v>
      </c>
      <c r="BW53" s="1514">
        <f t="shared" si="122"/>
        <v>0</v>
      </c>
      <c r="BX53" s="3145">
        <f t="shared" si="123"/>
        <v>0</v>
      </c>
    </row>
    <row r="54" spans="2:76" x14ac:dyDescent="0.2">
      <c r="B54" s="374"/>
      <c r="C54" s="407"/>
      <c r="D54" s="376" t="str">
        <f>'Saisie données stocks'!F64</f>
        <v>ABC</v>
      </c>
      <c r="E54" s="377" t="str">
        <f>'Saisie données stocks'!G64</f>
        <v>Sol buv</v>
      </c>
      <c r="F54" s="377" t="str">
        <f>'Saisie données stocks'!H64</f>
        <v>20 mg/mL</v>
      </c>
      <c r="G54" s="377" t="str">
        <f>'Saisie données stocks'!I64</f>
        <v>Abacavir</v>
      </c>
      <c r="H54" s="483">
        <f>'Saisie données stocks'!L64</f>
        <v>240</v>
      </c>
      <c r="I54" s="1410">
        <f>'Saisie données stocks'!M64</f>
        <v>1</v>
      </c>
      <c r="J54" s="3152">
        <f>IF(Quanti!$D$9="X", 'Calculs dispo Données FA'!N170, IF(Quanti!$D$10="X", 'Calculs dispo Données conso'!N172, "0"))</f>
        <v>0</v>
      </c>
      <c r="K54" s="3153">
        <f>IF(Quanti!$D$9="X", 'Calculs dispo Données FA'!O170, IF(Quanti!$D$10="X", 'Calculs dispo Données conso'!O172, "0"))</f>
        <v>0</v>
      </c>
      <c r="L54" s="3154">
        <f>Calculs!O477</f>
        <v>0</v>
      </c>
      <c r="M54" s="3140">
        <f t="shared" si="43"/>
        <v>0</v>
      </c>
      <c r="N54" s="3140">
        <f t="shared" si="44"/>
        <v>0</v>
      </c>
      <c r="O54" s="1513">
        <f>IF(Quanti!$O$54="OUI",
ROUNDUP(J54, 0)*(Quanti!$N$19+Quanti!$N$25)+ROUNDUP(K54, 0)*((Quanti!$N$19+Quanti!$N$25)*((Quanti!$N$19+Quanti!$N$25)+1)/2),
 J54*(Quanti!$N$19+Quanti!$N$25)+K54*((Quanti!$N$19+Quanti!$N$25)*((Quanti!$N$19+Quanti!$N$25)+1)/2))-M54</f>
        <v>0</v>
      </c>
      <c r="P54" s="3145">
        <f t="shared" si="85"/>
        <v>0</v>
      </c>
      <c r="Q54" s="1513">
        <f>IF(Quanti!$O$54="OUI",
ROUNDUP($J54, 0)*R$7+ROUNDUP($K54, 0)*(R$7*(R$7+1)/2),
 R$7*$J54+(R$7*(R$7+1)/2)*$K54)</f>
        <v>0</v>
      </c>
      <c r="R54" s="1514">
        <f t="shared" si="45"/>
        <v>0</v>
      </c>
      <c r="S54" s="3145">
        <f t="shared" si="46"/>
        <v>0</v>
      </c>
      <c r="T54" s="1513">
        <f>IF(Quanti!$O$54="OUI",
ROUNDUP($J54, 0)*U$7+ROUNDUP($K54, 0)*(U$7*(U$7+1)/2),
 U$7*$J54+(U$7*(U$7+1)/2)*$K54)</f>
        <v>0</v>
      </c>
      <c r="U54" s="1514">
        <f t="shared" si="86"/>
        <v>0</v>
      </c>
      <c r="V54" s="3145">
        <f t="shared" si="87"/>
        <v>0</v>
      </c>
      <c r="W54" s="1513">
        <f>IF(Quanti!$O$54="OUI",
ROUNDUP($J54, 0)*X$7+ROUNDUP($K54, 0)*(X$7*(X$7+1)/2),
 X$7*$J54+(X$7*(X$7+1)/2)*$K54)</f>
        <v>0</v>
      </c>
      <c r="X54" s="1514">
        <f t="shared" si="88"/>
        <v>0</v>
      </c>
      <c r="Y54" s="3145">
        <f t="shared" si="89"/>
        <v>0</v>
      </c>
      <c r="Z54" s="1513">
        <f>IF(Quanti!$O$54="OUI",
ROUNDUP($J54, 0)*AA$7+ROUNDUP($K54, 0)*(AA$7*(AA$7+1)/2),
 AA$7*$J54+(AA$7*(AA$7+1)/2)*$K54)</f>
        <v>0</v>
      </c>
      <c r="AA54" s="1514">
        <f t="shared" si="90"/>
        <v>0</v>
      </c>
      <c r="AB54" s="3145">
        <f t="shared" si="91"/>
        <v>0</v>
      </c>
      <c r="AC54" s="1513">
        <f>IF(Quanti!$O$54="OUI",
ROUNDUP($J54, 0)*AD$7+ROUNDUP($K54, 0)*(AD$7*(AD$7+1)/2),
 AD$7*$J54+(AD$7*(AD$7+1)/2)*$K54)</f>
        <v>0</v>
      </c>
      <c r="AD54" s="1514">
        <f t="shared" si="92"/>
        <v>0</v>
      </c>
      <c r="AE54" s="3145">
        <f t="shared" si="93"/>
        <v>0</v>
      </c>
      <c r="AF54" s="1513">
        <f>IF(Quanti!$O$54="OUI",
ROUNDUP($J54, 0)*AG$7+ROUNDUP($K54, 0)*(AG$7*(AG$7+1)/2),
 AG$7*$J54+(AG$7*(AG$7+1)/2)*$K54)</f>
        <v>0</v>
      </c>
      <c r="AG54" s="1514">
        <f t="shared" si="94"/>
        <v>0</v>
      </c>
      <c r="AH54" s="3145">
        <f t="shared" si="95"/>
        <v>0</v>
      </c>
      <c r="AI54" s="1513">
        <f>IF(Quanti!$O$54="OUI",
ROUNDUP($J54, 0)*AJ$7+ROUNDUP($K54, 0)*(AJ$7*(AJ$7+1)/2),
 AJ$7*$J54+(AJ$7*(AJ$7+1)/2)*$K54)</f>
        <v>0</v>
      </c>
      <c r="AJ54" s="1514">
        <f t="shared" si="96"/>
        <v>0</v>
      </c>
      <c r="AK54" s="3145">
        <f t="shared" si="97"/>
        <v>0</v>
      </c>
      <c r="AL54" s="1513">
        <f>IF(Quanti!$O$54="OUI",
ROUNDUP($J54, 0)*AM$7+ROUNDUP($K54, 0)*(AM$7*(AM$7+1)/2),
 AM$7*$J54+(AM$7*(AM$7+1)/2)*$K54)</f>
        <v>0</v>
      </c>
      <c r="AM54" s="1514">
        <f t="shared" si="98"/>
        <v>0</v>
      </c>
      <c r="AN54" s="3145">
        <f t="shared" si="99"/>
        <v>0</v>
      </c>
      <c r="AO54" s="1513">
        <f>IF(Quanti!$O$54="OUI",
ROUNDUP($J54, 0)*AP$7+ROUNDUP($K54, 0)*(AP$7*(AP$7+1)/2),
 AP$7*$J54+(AP$7*(AP$7+1)/2)*$K54)</f>
        <v>0</v>
      </c>
      <c r="AP54" s="1514">
        <f t="shared" si="100"/>
        <v>0</v>
      </c>
      <c r="AQ54" s="3145">
        <f t="shared" si="101"/>
        <v>0</v>
      </c>
      <c r="AR54" s="1513">
        <f>IF(Quanti!$O$54="OUI",
ROUNDUP($J54, 0)*AS$7+ROUNDUP($K54, 0)*(AS$7*(AS$7+1)/2),
 AS$7*$J54+(AS$7*(AS$7+1)/2)*$K54)</f>
        <v>0</v>
      </c>
      <c r="AS54" s="1514">
        <f t="shared" si="102"/>
        <v>0</v>
      </c>
      <c r="AT54" s="3145">
        <f t="shared" si="103"/>
        <v>0</v>
      </c>
      <c r="AU54" s="1513">
        <f>IF(Quanti!$O$54="OUI",
ROUNDUP($J54, 0)*AV$7+ROUNDUP($K54, 0)*(AV$7*(AV$7+1)/2),
 AV$7*$J54+(AV$7*(AV$7+1)/2)*$K54)</f>
        <v>0</v>
      </c>
      <c r="AV54" s="1514">
        <f t="shared" si="104"/>
        <v>0</v>
      </c>
      <c r="AW54" s="3145">
        <f t="shared" si="105"/>
        <v>0</v>
      </c>
      <c r="AX54" s="1513">
        <f>IF(Quanti!$O$54="OUI",
ROUNDUP($J54, 0)*AY$7+ROUNDUP($K54, 0)*(AY$7*(AY$7+1)/2),
 AY$7*$J54+(AY$7*(AY$7+1)/2)*$K54)</f>
        <v>0</v>
      </c>
      <c r="AY54" s="1514">
        <f t="shared" si="106"/>
        <v>0</v>
      </c>
      <c r="AZ54" s="3145">
        <f t="shared" si="107"/>
        <v>0</v>
      </c>
      <c r="BA54" s="1513">
        <f>IF(Quanti!$O$54="OUI",
ROUNDUP($J54, 0)*BB$7+ROUNDUP($K54, 0)*(BB$7*(BB$7+1)/2),
 BB$7*$J54+(BB$7*(BB$7+1)/2)*$K54)</f>
        <v>0</v>
      </c>
      <c r="BB54" s="1514">
        <f t="shared" si="108"/>
        <v>0</v>
      </c>
      <c r="BC54" s="3145">
        <f t="shared" si="109"/>
        <v>0</v>
      </c>
      <c r="BD54" s="1513">
        <f>IF(Quanti!$O$54="OUI",
ROUNDUP($J54, 0)*BE$7+ROUNDUP($K54, 0)*(BE$7*(BE$7+1)/2),
 BE$7*$J54+(BE$7*(BE$7+1)/2)*$K54)</f>
        <v>0</v>
      </c>
      <c r="BE54" s="1514">
        <f t="shared" si="110"/>
        <v>0</v>
      </c>
      <c r="BF54" s="3145">
        <f t="shared" si="111"/>
        <v>0</v>
      </c>
      <c r="BG54" s="1513">
        <f>IF(Quanti!$O$54="OUI",
ROUNDUP($J54, 0)*BH$7+ROUNDUP($K54, 0)*(BH$7*(BH$7+1)/2),
 BH$7*$J54+(BH$7*(BH$7+1)/2)*$K54)</f>
        <v>0</v>
      </c>
      <c r="BH54" s="1514">
        <f t="shared" si="112"/>
        <v>0</v>
      </c>
      <c r="BI54" s="3145">
        <f t="shared" si="113"/>
        <v>0</v>
      </c>
      <c r="BJ54" s="1513">
        <f>IF(Quanti!$O$54="OUI",
ROUNDUP($J54, 0)*BK$7+ROUNDUP($K54, 0)*(BK$7*(BK$7+1)/2),
 BK$7*$J54+(BK$7*(BK$7+1)/2)*$K54)</f>
        <v>0</v>
      </c>
      <c r="BK54" s="1514">
        <f t="shared" si="114"/>
        <v>0</v>
      </c>
      <c r="BL54" s="3145">
        <f t="shared" si="115"/>
        <v>0</v>
      </c>
      <c r="BM54" s="1513">
        <f>IF(Quanti!$O$54="OUI",
ROUNDUP($J54, 0)*BN$7+ROUNDUP($K54, 0)*(BN$7*(BN$7+1)/2),
 BN$7*$J54+(BN$7*(BN$7+1)/2)*$K54)</f>
        <v>0</v>
      </c>
      <c r="BN54" s="1514">
        <f t="shared" si="116"/>
        <v>0</v>
      </c>
      <c r="BO54" s="3145">
        <f t="shared" si="117"/>
        <v>0</v>
      </c>
      <c r="BP54" s="1513">
        <f>IF(Quanti!$O$54="OUI",
ROUNDUP($J54, 0)*BQ$7+ROUNDUP($K54, 0)*(BQ$7*(BQ$7+1)/2),
 BQ$7*$J54+(BQ$7*(BQ$7+1)/2)*$K54)</f>
        <v>0</v>
      </c>
      <c r="BQ54" s="1514">
        <f t="shared" si="118"/>
        <v>0</v>
      </c>
      <c r="BR54" s="3145">
        <f t="shared" si="119"/>
        <v>0</v>
      </c>
      <c r="BS54" s="1513">
        <f>IF(Quanti!$O$54="OUI",
ROUNDUP($J54, 0)*BT$7+ROUNDUP($K54, 0)*(BT$7*(BT$7+1)/2),
 BT$7*$J54+(BT$7*(BT$7+1)/2)*$K54)</f>
        <v>0</v>
      </c>
      <c r="BT54" s="1514">
        <f t="shared" si="120"/>
        <v>0</v>
      </c>
      <c r="BU54" s="3145">
        <f t="shared" si="121"/>
        <v>0</v>
      </c>
      <c r="BV54" s="1513">
        <f>IF(Quanti!$O$54="OUI",
ROUNDUP($J54, 0)*BW$7+ROUNDUP($K54, 0)*(BW$7*(BW$7+1)/2),
 BW$7*$J54+(BW$7*(BW$7+1)/2)*$K54)</f>
        <v>0</v>
      </c>
      <c r="BW54" s="1514">
        <f t="shared" si="122"/>
        <v>0</v>
      </c>
      <c r="BX54" s="3145">
        <f t="shared" si="123"/>
        <v>0</v>
      </c>
    </row>
    <row r="55" spans="2:76" ht="25.5" x14ac:dyDescent="0.2">
      <c r="B55" s="374"/>
      <c r="C55" s="389"/>
      <c r="D55" s="1518" t="str">
        <f>'Saisie données stocks'!F65</f>
        <v>DDI</v>
      </c>
      <c r="E55" s="1519" t="str">
        <f>'Saisie données stocks'!G65</f>
        <v>Poudre buvable</v>
      </c>
      <c r="F55" s="1519" t="str">
        <f>'Saisie données stocks'!H65</f>
        <v>2 g</v>
      </c>
      <c r="G55" s="1519" t="str">
        <f>'Saisie données stocks'!I65</f>
        <v>Didanosine</v>
      </c>
      <c r="H55" s="1413">
        <f>'Saisie données stocks'!L65</f>
        <v>200</v>
      </c>
      <c r="I55" s="1414">
        <f>'Saisie données stocks'!M65</f>
        <v>1</v>
      </c>
      <c r="J55" s="3152">
        <f>IF(Quanti!$D$9="X", 'Calculs dispo Données FA'!N171, IF(Quanti!$D$10="X", 'Calculs dispo Données conso'!N173, "0"))</f>
        <v>0</v>
      </c>
      <c r="K55" s="3153">
        <f>IF(Quanti!$D$9="X", 'Calculs dispo Données FA'!O171, IF(Quanti!$D$10="X", 'Calculs dispo Données conso'!O173, "0"))</f>
        <v>0</v>
      </c>
      <c r="L55" s="3154">
        <f>Calculs!O478</f>
        <v>0</v>
      </c>
      <c r="M55" s="3140">
        <f t="shared" si="43"/>
        <v>0</v>
      </c>
      <c r="N55" s="3140">
        <f t="shared" si="44"/>
        <v>0</v>
      </c>
      <c r="O55" s="1513">
        <f>IF(Quanti!$O$54="OUI",
ROUNDUP(J55, 0)*(Quanti!$N$19+Quanti!$N$25)+ROUNDUP(K55, 0)*((Quanti!$N$19+Quanti!$N$25)*((Quanti!$N$19+Quanti!$N$25)+1)/2),
 J55*(Quanti!$N$19+Quanti!$N$25)+K55*((Quanti!$N$19+Quanti!$N$25)*((Quanti!$N$19+Quanti!$N$25)+1)/2))-M55</f>
        <v>0</v>
      </c>
      <c r="P55" s="3145">
        <f t="shared" si="85"/>
        <v>0</v>
      </c>
      <c r="Q55" s="1513">
        <f>IF(Quanti!$O$54="OUI",
ROUNDUP($J55, 0)*R$7+ROUNDUP($K55, 0)*(R$7*(R$7+1)/2),
 R$7*$J55+(R$7*(R$7+1)/2)*$K55)</f>
        <v>0</v>
      </c>
      <c r="R55" s="1514">
        <f t="shared" si="45"/>
        <v>0</v>
      </c>
      <c r="S55" s="3145">
        <f t="shared" si="46"/>
        <v>0</v>
      </c>
      <c r="T55" s="1513">
        <f>IF(Quanti!$O$54="OUI",
ROUNDUP($J55, 0)*U$7+ROUNDUP($K55, 0)*(U$7*(U$7+1)/2),
 U$7*$J55+(U$7*(U$7+1)/2)*$K55)</f>
        <v>0</v>
      </c>
      <c r="U55" s="1514">
        <f t="shared" si="86"/>
        <v>0</v>
      </c>
      <c r="V55" s="3145">
        <f t="shared" si="87"/>
        <v>0</v>
      </c>
      <c r="W55" s="1513">
        <f>IF(Quanti!$O$54="OUI",
ROUNDUP($J55, 0)*X$7+ROUNDUP($K55, 0)*(X$7*(X$7+1)/2),
 X$7*$J55+(X$7*(X$7+1)/2)*$K55)</f>
        <v>0</v>
      </c>
      <c r="X55" s="1514">
        <f t="shared" si="88"/>
        <v>0</v>
      </c>
      <c r="Y55" s="3145">
        <f t="shared" si="89"/>
        <v>0</v>
      </c>
      <c r="Z55" s="1513">
        <f>IF(Quanti!$O$54="OUI",
ROUNDUP($J55, 0)*AA$7+ROUNDUP($K55, 0)*(AA$7*(AA$7+1)/2),
 AA$7*$J55+(AA$7*(AA$7+1)/2)*$K55)</f>
        <v>0</v>
      </c>
      <c r="AA55" s="1514">
        <f t="shared" si="90"/>
        <v>0</v>
      </c>
      <c r="AB55" s="3145">
        <f t="shared" si="91"/>
        <v>0</v>
      </c>
      <c r="AC55" s="1513">
        <f>IF(Quanti!$O$54="OUI",
ROUNDUP($J55, 0)*AD$7+ROUNDUP($K55, 0)*(AD$7*(AD$7+1)/2),
 AD$7*$J55+(AD$7*(AD$7+1)/2)*$K55)</f>
        <v>0</v>
      </c>
      <c r="AD55" s="1514">
        <f t="shared" si="92"/>
        <v>0</v>
      </c>
      <c r="AE55" s="3145">
        <f t="shared" si="93"/>
        <v>0</v>
      </c>
      <c r="AF55" s="1513">
        <f>IF(Quanti!$O$54="OUI",
ROUNDUP($J55, 0)*AG$7+ROUNDUP($K55, 0)*(AG$7*(AG$7+1)/2),
 AG$7*$J55+(AG$7*(AG$7+1)/2)*$K55)</f>
        <v>0</v>
      </c>
      <c r="AG55" s="1514">
        <f t="shared" si="94"/>
        <v>0</v>
      </c>
      <c r="AH55" s="3145">
        <f t="shared" si="95"/>
        <v>0</v>
      </c>
      <c r="AI55" s="1513">
        <f>IF(Quanti!$O$54="OUI",
ROUNDUP($J55, 0)*AJ$7+ROUNDUP($K55, 0)*(AJ$7*(AJ$7+1)/2),
 AJ$7*$J55+(AJ$7*(AJ$7+1)/2)*$K55)</f>
        <v>0</v>
      </c>
      <c r="AJ55" s="1514">
        <f t="shared" si="96"/>
        <v>0</v>
      </c>
      <c r="AK55" s="3145">
        <f t="shared" si="97"/>
        <v>0</v>
      </c>
      <c r="AL55" s="1513">
        <f>IF(Quanti!$O$54="OUI",
ROUNDUP($J55, 0)*AM$7+ROUNDUP($K55, 0)*(AM$7*(AM$7+1)/2),
 AM$7*$J55+(AM$7*(AM$7+1)/2)*$K55)</f>
        <v>0</v>
      </c>
      <c r="AM55" s="1514">
        <f t="shared" si="98"/>
        <v>0</v>
      </c>
      <c r="AN55" s="3145">
        <f t="shared" si="99"/>
        <v>0</v>
      </c>
      <c r="AO55" s="1513">
        <f>IF(Quanti!$O$54="OUI",
ROUNDUP($J55, 0)*AP$7+ROUNDUP($K55, 0)*(AP$7*(AP$7+1)/2),
 AP$7*$J55+(AP$7*(AP$7+1)/2)*$K55)</f>
        <v>0</v>
      </c>
      <c r="AP55" s="1514">
        <f t="shared" si="100"/>
        <v>0</v>
      </c>
      <c r="AQ55" s="3145">
        <f t="shared" si="101"/>
        <v>0</v>
      </c>
      <c r="AR55" s="1513">
        <f>IF(Quanti!$O$54="OUI",
ROUNDUP($J55, 0)*AS$7+ROUNDUP($K55, 0)*(AS$7*(AS$7+1)/2),
 AS$7*$J55+(AS$7*(AS$7+1)/2)*$K55)</f>
        <v>0</v>
      </c>
      <c r="AS55" s="1514">
        <f t="shared" si="102"/>
        <v>0</v>
      </c>
      <c r="AT55" s="3145">
        <f t="shared" si="103"/>
        <v>0</v>
      </c>
      <c r="AU55" s="1513">
        <f>IF(Quanti!$O$54="OUI",
ROUNDUP($J55, 0)*AV$7+ROUNDUP($K55, 0)*(AV$7*(AV$7+1)/2),
 AV$7*$J55+(AV$7*(AV$7+1)/2)*$K55)</f>
        <v>0</v>
      </c>
      <c r="AV55" s="1514">
        <f t="shared" si="104"/>
        <v>0</v>
      </c>
      <c r="AW55" s="3145">
        <f t="shared" si="105"/>
        <v>0</v>
      </c>
      <c r="AX55" s="1513">
        <f>IF(Quanti!$O$54="OUI",
ROUNDUP($J55, 0)*AY$7+ROUNDUP($K55, 0)*(AY$7*(AY$7+1)/2),
 AY$7*$J55+(AY$7*(AY$7+1)/2)*$K55)</f>
        <v>0</v>
      </c>
      <c r="AY55" s="1514">
        <f t="shared" si="106"/>
        <v>0</v>
      </c>
      <c r="AZ55" s="3145">
        <f t="shared" si="107"/>
        <v>0</v>
      </c>
      <c r="BA55" s="1513">
        <f>IF(Quanti!$O$54="OUI",
ROUNDUP($J55, 0)*BB$7+ROUNDUP($K55, 0)*(BB$7*(BB$7+1)/2),
 BB$7*$J55+(BB$7*(BB$7+1)/2)*$K55)</f>
        <v>0</v>
      </c>
      <c r="BB55" s="1514">
        <f t="shared" si="108"/>
        <v>0</v>
      </c>
      <c r="BC55" s="3145">
        <f t="shared" si="109"/>
        <v>0</v>
      </c>
      <c r="BD55" s="1513">
        <f>IF(Quanti!$O$54="OUI",
ROUNDUP($J55, 0)*BE$7+ROUNDUP($K55, 0)*(BE$7*(BE$7+1)/2),
 BE$7*$J55+(BE$7*(BE$7+1)/2)*$K55)</f>
        <v>0</v>
      </c>
      <c r="BE55" s="1514">
        <f t="shared" si="110"/>
        <v>0</v>
      </c>
      <c r="BF55" s="3145">
        <f t="shared" si="111"/>
        <v>0</v>
      </c>
      <c r="BG55" s="1513">
        <f>IF(Quanti!$O$54="OUI",
ROUNDUP($J55, 0)*BH$7+ROUNDUP($K55, 0)*(BH$7*(BH$7+1)/2),
 BH$7*$J55+(BH$7*(BH$7+1)/2)*$K55)</f>
        <v>0</v>
      </c>
      <c r="BH55" s="1514">
        <f t="shared" si="112"/>
        <v>0</v>
      </c>
      <c r="BI55" s="3145">
        <f t="shared" si="113"/>
        <v>0</v>
      </c>
      <c r="BJ55" s="1513">
        <f>IF(Quanti!$O$54="OUI",
ROUNDUP($J55, 0)*BK$7+ROUNDUP($K55, 0)*(BK$7*(BK$7+1)/2),
 BK$7*$J55+(BK$7*(BK$7+1)/2)*$K55)</f>
        <v>0</v>
      </c>
      <c r="BK55" s="1514">
        <f t="shared" si="114"/>
        <v>0</v>
      </c>
      <c r="BL55" s="3145">
        <f t="shared" si="115"/>
        <v>0</v>
      </c>
      <c r="BM55" s="1513">
        <f>IF(Quanti!$O$54="OUI",
ROUNDUP($J55, 0)*BN$7+ROUNDUP($K55, 0)*(BN$7*(BN$7+1)/2),
 BN$7*$J55+(BN$7*(BN$7+1)/2)*$K55)</f>
        <v>0</v>
      </c>
      <c r="BN55" s="1514">
        <f t="shared" si="116"/>
        <v>0</v>
      </c>
      <c r="BO55" s="3145">
        <f t="shared" si="117"/>
        <v>0</v>
      </c>
      <c r="BP55" s="1513">
        <f>IF(Quanti!$O$54="OUI",
ROUNDUP($J55, 0)*BQ$7+ROUNDUP($K55, 0)*(BQ$7*(BQ$7+1)/2),
 BQ$7*$J55+(BQ$7*(BQ$7+1)/2)*$K55)</f>
        <v>0</v>
      </c>
      <c r="BQ55" s="1514">
        <f t="shared" si="118"/>
        <v>0</v>
      </c>
      <c r="BR55" s="3145">
        <f t="shared" si="119"/>
        <v>0</v>
      </c>
      <c r="BS55" s="1513">
        <f>IF(Quanti!$O$54="OUI",
ROUNDUP($J55, 0)*BT$7+ROUNDUP($K55, 0)*(BT$7*(BT$7+1)/2),
 BT$7*$J55+(BT$7*(BT$7+1)/2)*$K55)</f>
        <v>0</v>
      </c>
      <c r="BT55" s="1514">
        <f t="shared" si="120"/>
        <v>0</v>
      </c>
      <c r="BU55" s="3145">
        <f t="shared" si="121"/>
        <v>0</v>
      </c>
      <c r="BV55" s="1513">
        <f>IF(Quanti!$O$54="OUI",
ROUNDUP($J55, 0)*BW$7+ROUNDUP($K55, 0)*(BW$7*(BW$7+1)/2),
 BW$7*$J55+(BW$7*(BW$7+1)/2)*$K55)</f>
        <v>0</v>
      </c>
      <c r="BW55" s="1514">
        <f t="shared" si="122"/>
        <v>0</v>
      </c>
      <c r="BX55" s="3145">
        <f t="shared" si="123"/>
        <v>0</v>
      </c>
    </row>
    <row r="56" spans="2:76" x14ac:dyDescent="0.2">
      <c r="B56" s="374"/>
      <c r="C56" s="375" t="str">
        <f>'Saisie données stocks'!$E$66</f>
        <v>INNTI</v>
      </c>
      <c r="D56" s="376" t="str">
        <f>'Saisie données stocks'!F66</f>
        <v>NVP</v>
      </c>
      <c r="E56" s="377" t="str">
        <f>'Saisie données stocks'!G66</f>
        <v>Sol buv</v>
      </c>
      <c r="F56" s="377" t="str">
        <f>'Saisie données stocks'!H66</f>
        <v>10 mg/mL</v>
      </c>
      <c r="G56" s="377" t="str">
        <f>'Saisie données stocks'!I66</f>
        <v>Nevirapine</v>
      </c>
      <c r="H56" s="483">
        <f>'Saisie données stocks'!L66</f>
        <v>240</v>
      </c>
      <c r="I56" s="1410">
        <f>'Saisie données stocks'!M66</f>
        <v>1</v>
      </c>
      <c r="J56" s="3152">
        <f>IF(Quanti!$D$9="X", 'Calculs dispo Données FA'!N172, IF(Quanti!$D$10="X", 'Calculs dispo Données conso'!N174, "0"))</f>
        <v>0</v>
      </c>
      <c r="K56" s="3153">
        <f>IF(Quanti!$D$9="X", 'Calculs dispo Données FA'!O172, IF(Quanti!$D$10="X", 'Calculs dispo Données conso'!O174, "0"))</f>
        <v>0</v>
      </c>
      <c r="L56" s="3154">
        <f>Calculs!O479</f>
        <v>0</v>
      </c>
      <c r="M56" s="3140">
        <f t="shared" si="43"/>
        <v>0</v>
      </c>
      <c r="N56" s="3140">
        <f t="shared" si="44"/>
        <v>0</v>
      </c>
      <c r="O56" s="1513">
        <f>IF(Quanti!$O$54="OUI",
ROUNDUP(J56, 0)*(Quanti!$N$19+Quanti!$N$25)+ROUNDUP(K56, 0)*((Quanti!$N$19+Quanti!$N$25)*((Quanti!$N$19+Quanti!$N$25)+1)/2),
 J56*(Quanti!$N$19+Quanti!$N$25)+K56*((Quanti!$N$19+Quanti!$N$25)*((Quanti!$N$19+Quanti!$N$25)+1)/2))-M56</f>
        <v>0</v>
      </c>
      <c r="P56" s="3145">
        <f t="shared" si="85"/>
        <v>0</v>
      </c>
      <c r="Q56" s="1513">
        <f>IF(Quanti!$O$54="OUI",
ROUNDUP($J56, 0)*R$7+ROUNDUP($K56, 0)*(R$7*(R$7+1)/2),
 R$7*$J56+(R$7*(R$7+1)/2)*$K56)</f>
        <v>0</v>
      </c>
      <c r="R56" s="1514">
        <f t="shared" si="45"/>
        <v>0</v>
      </c>
      <c r="S56" s="3145">
        <f t="shared" si="46"/>
        <v>0</v>
      </c>
      <c r="T56" s="1513">
        <f>IF(Quanti!$O$54="OUI",
ROUNDUP($J56, 0)*U$7+ROUNDUP($K56, 0)*(U$7*(U$7+1)/2),
 U$7*$J56+(U$7*(U$7+1)/2)*$K56)</f>
        <v>0</v>
      </c>
      <c r="U56" s="1514">
        <f t="shared" si="86"/>
        <v>0</v>
      </c>
      <c r="V56" s="3145">
        <f t="shared" si="87"/>
        <v>0</v>
      </c>
      <c r="W56" s="1513">
        <f>IF(Quanti!$O$54="OUI",
ROUNDUP($J56, 0)*X$7+ROUNDUP($K56, 0)*(X$7*(X$7+1)/2),
 X$7*$J56+(X$7*(X$7+1)/2)*$K56)</f>
        <v>0</v>
      </c>
      <c r="X56" s="1514">
        <f t="shared" si="88"/>
        <v>0</v>
      </c>
      <c r="Y56" s="3145">
        <f t="shared" si="89"/>
        <v>0</v>
      </c>
      <c r="Z56" s="1513">
        <f>IF(Quanti!$O$54="OUI",
ROUNDUP($J56, 0)*AA$7+ROUNDUP($K56, 0)*(AA$7*(AA$7+1)/2),
 AA$7*$J56+(AA$7*(AA$7+1)/2)*$K56)</f>
        <v>0</v>
      </c>
      <c r="AA56" s="1514">
        <f t="shared" si="90"/>
        <v>0</v>
      </c>
      <c r="AB56" s="3145">
        <f t="shared" si="91"/>
        <v>0</v>
      </c>
      <c r="AC56" s="1513">
        <f>IF(Quanti!$O$54="OUI",
ROUNDUP($J56, 0)*AD$7+ROUNDUP($K56, 0)*(AD$7*(AD$7+1)/2),
 AD$7*$J56+(AD$7*(AD$7+1)/2)*$K56)</f>
        <v>0</v>
      </c>
      <c r="AD56" s="1514">
        <f t="shared" si="92"/>
        <v>0</v>
      </c>
      <c r="AE56" s="3145">
        <f t="shared" si="93"/>
        <v>0</v>
      </c>
      <c r="AF56" s="1513">
        <f>IF(Quanti!$O$54="OUI",
ROUNDUP($J56, 0)*AG$7+ROUNDUP($K56, 0)*(AG$7*(AG$7+1)/2),
 AG$7*$J56+(AG$7*(AG$7+1)/2)*$K56)</f>
        <v>0</v>
      </c>
      <c r="AG56" s="1514">
        <f t="shared" si="94"/>
        <v>0</v>
      </c>
      <c r="AH56" s="3145">
        <f t="shared" si="95"/>
        <v>0</v>
      </c>
      <c r="AI56" s="1513">
        <f>IF(Quanti!$O$54="OUI",
ROUNDUP($J56, 0)*AJ$7+ROUNDUP($K56, 0)*(AJ$7*(AJ$7+1)/2),
 AJ$7*$J56+(AJ$7*(AJ$7+1)/2)*$K56)</f>
        <v>0</v>
      </c>
      <c r="AJ56" s="1514">
        <f t="shared" si="96"/>
        <v>0</v>
      </c>
      <c r="AK56" s="3145">
        <f t="shared" si="97"/>
        <v>0</v>
      </c>
      <c r="AL56" s="1513">
        <f>IF(Quanti!$O$54="OUI",
ROUNDUP($J56, 0)*AM$7+ROUNDUP($K56, 0)*(AM$7*(AM$7+1)/2),
 AM$7*$J56+(AM$7*(AM$7+1)/2)*$K56)</f>
        <v>0</v>
      </c>
      <c r="AM56" s="1514">
        <f t="shared" si="98"/>
        <v>0</v>
      </c>
      <c r="AN56" s="3145">
        <f t="shared" si="99"/>
        <v>0</v>
      </c>
      <c r="AO56" s="1513">
        <f>IF(Quanti!$O$54="OUI",
ROUNDUP($J56, 0)*AP$7+ROUNDUP($K56, 0)*(AP$7*(AP$7+1)/2),
 AP$7*$J56+(AP$7*(AP$7+1)/2)*$K56)</f>
        <v>0</v>
      </c>
      <c r="AP56" s="1514">
        <f t="shared" si="100"/>
        <v>0</v>
      </c>
      <c r="AQ56" s="3145">
        <f t="shared" si="101"/>
        <v>0</v>
      </c>
      <c r="AR56" s="1513">
        <f>IF(Quanti!$O$54="OUI",
ROUNDUP($J56, 0)*AS$7+ROUNDUP($K56, 0)*(AS$7*(AS$7+1)/2),
 AS$7*$J56+(AS$7*(AS$7+1)/2)*$K56)</f>
        <v>0</v>
      </c>
      <c r="AS56" s="1514">
        <f t="shared" si="102"/>
        <v>0</v>
      </c>
      <c r="AT56" s="3145">
        <f t="shared" si="103"/>
        <v>0</v>
      </c>
      <c r="AU56" s="1513">
        <f>IF(Quanti!$O$54="OUI",
ROUNDUP($J56, 0)*AV$7+ROUNDUP($K56, 0)*(AV$7*(AV$7+1)/2),
 AV$7*$J56+(AV$7*(AV$7+1)/2)*$K56)</f>
        <v>0</v>
      </c>
      <c r="AV56" s="1514">
        <f t="shared" si="104"/>
        <v>0</v>
      </c>
      <c r="AW56" s="3145">
        <f t="shared" si="105"/>
        <v>0</v>
      </c>
      <c r="AX56" s="1513">
        <f>IF(Quanti!$O$54="OUI",
ROUNDUP($J56, 0)*AY$7+ROUNDUP($K56, 0)*(AY$7*(AY$7+1)/2),
 AY$7*$J56+(AY$7*(AY$7+1)/2)*$K56)</f>
        <v>0</v>
      </c>
      <c r="AY56" s="1514">
        <f t="shared" si="106"/>
        <v>0</v>
      </c>
      <c r="AZ56" s="3145">
        <f t="shared" si="107"/>
        <v>0</v>
      </c>
      <c r="BA56" s="1513">
        <f>IF(Quanti!$O$54="OUI",
ROUNDUP($J56, 0)*BB$7+ROUNDUP($K56, 0)*(BB$7*(BB$7+1)/2),
 BB$7*$J56+(BB$7*(BB$7+1)/2)*$K56)</f>
        <v>0</v>
      </c>
      <c r="BB56" s="1514">
        <f t="shared" si="108"/>
        <v>0</v>
      </c>
      <c r="BC56" s="3145">
        <f t="shared" si="109"/>
        <v>0</v>
      </c>
      <c r="BD56" s="1513">
        <f>IF(Quanti!$O$54="OUI",
ROUNDUP($J56, 0)*BE$7+ROUNDUP($K56, 0)*(BE$7*(BE$7+1)/2),
 BE$7*$J56+(BE$7*(BE$7+1)/2)*$K56)</f>
        <v>0</v>
      </c>
      <c r="BE56" s="1514">
        <f t="shared" si="110"/>
        <v>0</v>
      </c>
      <c r="BF56" s="3145">
        <f t="shared" si="111"/>
        <v>0</v>
      </c>
      <c r="BG56" s="1513">
        <f>IF(Quanti!$O$54="OUI",
ROUNDUP($J56, 0)*BH$7+ROUNDUP($K56, 0)*(BH$7*(BH$7+1)/2),
 BH$7*$J56+(BH$7*(BH$7+1)/2)*$K56)</f>
        <v>0</v>
      </c>
      <c r="BH56" s="1514">
        <f t="shared" si="112"/>
        <v>0</v>
      </c>
      <c r="BI56" s="3145">
        <f t="shared" si="113"/>
        <v>0</v>
      </c>
      <c r="BJ56" s="1513">
        <f>IF(Quanti!$O$54="OUI",
ROUNDUP($J56, 0)*BK$7+ROUNDUP($K56, 0)*(BK$7*(BK$7+1)/2),
 BK$7*$J56+(BK$7*(BK$7+1)/2)*$K56)</f>
        <v>0</v>
      </c>
      <c r="BK56" s="1514">
        <f t="shared" si="114"/>
        <v>0</v>
      </c>
      <c r="BL56" s="3145">
        <f t="shared" si="115"/>
        <v>0</v>
      </c>
      <c r="BM56" s="1513">
        <f>IF(Quanti!$O$54="OUI",
ROUNDUP($J56, 0)*BN$7+ROUNDUP($K56, 0)*(BN$7*(BN$7+1)/2),
 BN$7*$J56+(BN$7*(BN$7+1)/2)*$K56)</f>
        <v>0</v>
      </c>
      <c r="BN56" s="1514">
        <f t="shared" si="116"/>
        <v>0</v>
      </c>
      <c r="BO56" s="3145">
        <f t="shared" si="117"/>
        <v>0</v>
      </c>
      <c r="BP56" s="1513">
        <f>IF(Quanti!$O$54="OUI",
ROUNDUP($J56, 0)*BQ$7+ROUNDUP($K56, 0)*(BQ$7*(BQ$7+1)/2),
 BQ$7*$J56+(BQ$7*(BQ$7+1)/2)*$K56)</f>
        <v>0</v>
      </c>
      <c r="BQ56" s="1514">
        <f t="shared" si="118"/>
        <v>0</v>
      </c>
      <c r="BR56" s="3145">
        <f t="shared" si="119"/>
        <v>0</v>
      </c>
      <c r="BS56" s="1513">
        <f>IF(Quanti!$O$54="OUI",
ROUNDUP($J56, 0)*BT$7+ROUNDUP($K56, 0)*(BT$7*(BT$7+1)/2),
 BT$7*$J56+(BT$7*(BT$7+1)/2)*$K56)</f>
        <v>0</v>
      </c>
      <c r="BT56" s="1514">
        <f t="shared" si="120"/>
        <v>0</v>
      </c>
      <c r="BU56" s="3145">
        <f t="shared" si="121"/>
        <v>0</v>
      </c>
      <c r="BV56" s="1513">
        <f>IF(Quanti!$O$54="OUI",
ROUNDUP($J56, 0)*BW$7+ROUNDUP($K56, 0)*(BW$7*(BW$7+1)/2),
 BW$7*$J56+(BW$7*(BW$7+1)/2)*$K56)</f>
        <v>0</v>
      </c>
      <c r="BW56" s="1514">
        <f t="shared" si="122"/>
        <v>0</v>
      </c>
      <c r="BX56" s="3145">
        <f t="shared" si="123"/>
        <v>0</v>
      </c>
    </row>
    <row r="57" spans="2:76" x14ac:dyDescent="0.2">
      <c r="B57" s="374"/>
      <c r="C57" s="389"/>
      <c r="D57" s="1518" t="str">
        <f>'Saisie données stocks'!F67</f>
        <v>EFV</v>
      </c>
      <c r="E57" s="1519" t="str">
        <f>'Saisie données stocks'!G67</f>
        <v>Sol buv</v>
      </c>
      <c r="F57" s="1519" t="str">
        <f>'Saisie données stocks'!H67</f>
        <v>30 mg/mL</v>
      </c>
      <c r="G57" s="1519" t="str">
        <f>'Saisie données stocks'!I67</f>
        <v>Efavirenz</v>
      </c>
      <c r="H57" s="1413">
        <f>'Saisie données stocks'!L67</f>
        <v>180</v>
      </c>
      <c r="I57" s="1414">
        <f>'Saisie données stocks'!M67</f>
        <v>1</v>
      </c>
      <c r="J57" s="3152">
        <f>IF(Quanti!$D$9="X", 'Calculs dispo Données FA'!N173, IF(Quanti!$D$10="X", 'Calculs dispo Données conso'!N175, "0"))</f>
        <v>0</v>
      </c>
      <c r="K57" s="3153">
        <f>IF(Quanti!$D$9="X", 'Calculs dispo Données FA'!O173, IF(Quanti!$D$10="X", 'Calculs dispo Données conso'!O175, "0"))</f>
        <v>0</v>
      </c>
      <c r="L57" s="3154">
        <f>Calculs!O480</f>
        <v>0</v>
      </c>
      <c r="M57" s="3140">
        <f t="shared" si="43"/>
        <v>0</v>
      </c>
      <c r="N57" s="3140">
        <f t="shared" si="44"/>
        <v>0</v>
      </c>
      <c r="O57" s="1513">
        <f>IF(Quanti!$O$54="OUI",
ROUNDUP(J57, 0)*(Quanti!$N$19+Quanti!$N$25)+ROUNDUP(K57, 0)*((Quanti!$N$19+Quanti!$N$25)*((Quanti!$N$19+Quanti!$N$25)+1)/2),
 J57*(Quanti!$N$19+Quanti!$N$25)+K57*((Quanti!$N$19+Quanti!$N$25)*((Quanti!$N$19+Quanti!$N$25)+1)/2))-M57</f>
        <v>0</v>
      </c>
      <c r="P57" s="3145">
        <f t="shared" si="85"/>
        <v>0</v>
      </c>
      <c r="Q57" s="1513">
        <f>IF(Quanti!$O$54="OUI",
ROUNDUP($J57, 0)*R$7+ROUNDUP($K57, 0)*(R$7*(R$7+1)/2),
 R$7*$J57+(R$7*(R$7+1)/2)*$K57)</f>
        <v>0</v>
      </c>
      <c r="R57" s="1514">
        <f t="shared" si="45"/>
        <v>0</v>
      </c>
      <c r="S57" s="3145">
        <f t="shared" si="46"/>
        <v>0</v>
      </c>
      <c r="T57" s="1513">
        <f>IF(Quanti!$O$54="OUI",
ROUNDUP($J57, 0)*U$7+ROUNDUP($K57, 0)*(U$7*(U$7+1)/2),
 U$7*$J57+(U$7*(U$7+1)/2)*$K57)</f>
        <v>0</v>
      </c>
      <c r="U57" s="1514">
        <f t="shared" si="86"/>
        <v>0</v>
      </c>
      <c r="V57" s="3145">
        <f t="shared" si="87"/>
        <v>0</v>
      </c>
      <c r="W57" s="1513">
        <f>IF(Quanti!$O$54="OUI",
ROUNDUP($J57, 0)*X$7+ROUNDUP($K57, 0)*(X$7*(X$7+1)/2),
 X$7*$J57+(X$7*(X$7+1)/2)*$K57)</f>
        <v>0</v>
      </c>
      <c r="X57" s="1514">
        <f t="shared" si="88"/>
        <v>0</v>
      </c>
      <c r="Y57" s="3145">
        <f t="shared" si="89"/>
        <v>0</v>
      </c>
      <c r="Z57" s="1513">
        <f>IF(Quanti!$O$54="OUI",
ROUNDUP($J57, 0)*AA$7+ROUNDUP($K57, 0)*(AA$7*(AA$7+1)/2),
 AA$7*$J57+(AA$7*(AA$7+1)/2)*$K57)</f>
        <v>0</v>
      </c>
      <c r="AA57" s="1514">
        <f t="shared" si="90"/>
        <v>0</v>
      </c>
      <c r="AB57" s="3145">
        <f t="shared" si="91"/>
        <v>0</v>
      </c>
      <c r="AC57" s="1513">
        <f>IF(Quanti!$O$54="OUI",
ROUNDUP($J57, 0)*AD$7+ROUNDUP($K57, 0)*(AD$7*(AD$7+1)/2),
 AD$7*$J57+(AD$7*(AD$7+1)/2)*$K57)</f>
        <v>0</v>
      </c>
      <c r="AD57" s="1514">
        <f t="shared" si="92"/>
        <v>0</v>
      </c>
      <c r="AE57" s="3145">
        <f t="shared" si="93"/>
        <v>0</v>
      </c>
      <c r="AF57" s="1513">
        <f>IF(Quanti!$O$54="OUI",
ROUNDUP($J57, 0)*AG$7+ROUNDUP($K57, 0)*(AG$7*(AG$7+1)/2),
 AG$7*$J57+(AG$7*(AG$7+1)/2)*$K57)</f>
        <v>0</v>
      </c>
      <c r="AG57" s="1514">
        <f t="shared" si="94"/>
        <v>0</v>
      </c>
      <c r="AH57" s="3145">
        <f t="shared" si="95"/>
        <v>0</v>
      </c>
      <c r="AI57" s="1513">
        <f>IF(Quanti!$O$54="OUI",
ROUNDUP($J57, 0)*AJ$7+ROUNDUP($K57, 0)*(AJ$7*(AJ$7+1)/2),
 AJ$7*$J57+(AJ$7*(AJ$7+1)/2)*$K57)</f>
        <v>0</v>
      </c>
      <c r="AJ57" s="1514">
        <f t="shared" si="96"/>
        <v>0</v>
      </c>
      <c r="AK57" s="3145">
        <f t="shared" si="97"/>
        <v>0</v>
      </c>
      <c r="AL57" s="1513">
        <f>IF(Quanti!$O$54="OUI",
ROUNDUP($J57, 0)*AM$7+ROUNDUP($K57, 0)*(AM$7*(AM$7+1)/2),
 AM$7*$J57+(AM$7*(AM$7+1)/2)*$K57)</f>
        <v>0</v>
      </c>
      <c r="AM57" s="1514">
        <f t="shared" si="98"/>
        <v>0</v>
      </c>
      <c r="AN57" s="3145">
        <f t="shared" si="99"/>
        <v>0</v>
      </c>
      <c r="AO57" s="1513">
        <f>IF(Quanti!$O$54="OUI",
ROUNDUP($J57, 0)*AP$7+ROUNDUP($K57, 0)*(AP$7*(AP$7+1)/2),
 AP$7*$J57+(AP$7*(AP$7+1)/2)*$K57)</f>
        <v>0</v>
      </c>
      <c r="AP57" s="1514">
        <f t="shared" si="100"/>
        <v>0</v>
      </c>
      <c r="AQ57" s="3145">
        <f t="shared" si="101"/>
        <v>0</v>
      </c>
      <c r="AR57" s="1513">
        <f>IF(Quanti!$O$54="OUI",
ROUNDUP($J57, 0)*AS$7+ROUNDUP($K57, 0)*(AS$7*(AS$7+1)/2),
 AS$7*$J57+(AS$7*(AS$7+1)/2)*$K57)</f>
        <v>0</v>
      </c>
      <c r="AS57" s="1514">
        <f t="shared" si="102"/>
        <v>0</v>
      </c>
      <c r="AT57" s="3145">
        <f t="shared" si="103"/>
        <v>0</v>
      </c>
      <c r="AU57" s="1513">
        <f>IF(Quanti!$O$54="OUI",
ROUNDUP($J57, 0)*AV$7+ROUNDUP($K57, 0)*(AV$7*(AV$7+1)/2),
 AV$7*$J57+(AV$7*(AV$7+1)/2)*$K57)</f>
        <v>0</v>
      </c>
      <c r="AV57" s="1514">
        <f t="shared" si="104"/>
        <v>0</v>
      </c>
      <c r="AW57" s="3145">
        <f t="shared" si="105"/>
        <v>0</v>
      </c>
      <c r="AX57" s="1513">
        <f>IF(Quanti!$O$54="OUI",
ROUNDUP($J57, 0)*AY$7+ROUNDUP($K57, 0)*(AY$7*(AY$7+1)/2),
 AY$7*$J57+(AY$7*(AY$7+1)/2)*$K57)</f>
        <v>0</v>
      </c>
      <c r="AY57" s="1514">
        <f t="shared" si="106"/>
        <v>0</v>
      </c>
      <c r="AZ57" s="3145">
        <f t="shared" si="107"/>
        <v>0</v>
      </c>
      <c r="BA57" s="1513">
        <f>IF(Quanti!$O$54="OUI",
ROUNDUP($J57, 0)*BB$7+ROUNDUP($K57, 0)*(BB$7*(BB$7+1)/2),
 BB$7*$J57+(BB$7*(BB$7+1)/2)*$K57)</f>
        <v>0</v>
      </c>
      <c r="BB57" s="1514">
        <f t="shared" si="108"/>
        <v>0</v>
      </c>
      <c r="BC57" s="3145">
        <f t="shared" si="109"/>
        <v>0</v>
      </c>
      <c r="BD57" s="1513">
        <f>IF(Quanti!$O$54="OUI",
ROUNDUP($J57, 0)*BE$7+ROUNDUP($K57, 0)*(BE$7*(BE$7+1)/2),
 BE$7*$J57+(BE$7*(BE$7+1)/2)*$K57)</f>
        <v>0</v>
      </c>
      <c r="BE57" s="1514">
        <f t="shared" si="110"/>
        <v>0</v>
      </c>
      <c r="BF57" s="3145">
        <f t="shared" si="111"/>
        <v>0</v>
      </c>
      <c r="BG57" s="1513">
        <f>IF(Quanti!$O$54="OUI",
ROUNDUP($J57, 0)*BH$7+ROUNDUP($K57, 0)*(BH$7*(BH$7+1)/2),
 BH$7*$J57+(BH$7*(BH$7+1)/2)*$K57)</f>
        <v>0</v>
      </c>
      <c r="BH57" s="1514">
        <f t="shared" si="112"/>
        <v>0</v>
      </c>
      <c r="BI57" s="3145">
        <f t="shared" si="113"/>
        <v>0</v>
      </c>
      <c r="BJ57" s="1513">
        <f>IF(Quanti!$O$54="OUI",
ROUNDUP($J57, 0)*BK$7+ROUNDUP($K57, 0)*(BK$7*(BK$7+1)/2),
 BK$7*$J57+(BK$7*(BK$7+1)/2)*$K57)</f>
        <v>0</v>
      </c>
      <c r="BK57" s="1514">
        <f t="shared" si="114"/>
        <v>0</v>
      </c>
      <c r="BL57" s="3145">
        <f t="shared" si="115"/>
        <v>0</v>
      </c>
      <c r="BM57" s="1513">
        <f>IF(Quanti!$O$54="OUI",
ROUNDUP($J57, 0)*BN$7+ROUNDUP($K57, 0)*(BN$7*(BN$7+1)/2),
 BN$7*$J57+(BN$7*(BN$7+1)/2)*$K57)</f>
        <v>0</v>
      </c>
      <c r="BN57" s="1514">
        <f t="shared" si="116"/>
        <v>0</v>
      </c>
      <c r="BO57" s="3145">
        <f t="shared" si="117"/>
        <v>0</v>
      </c>
      <c r="BP57" s="1513">
        <f>IF(Quanti!$O$54="OUI",
ROUNDUP($J57, 0)*BQ$7+ROUNDUP($K57, 0)*(BQ$7*(BQ$7+1)/2),
 BQ$7*$J57+(BQ$7*(BQ$7+1)/2)*$K57)</f>
        <v>0</v>
      </c>
      <c r="BQ57" s="1514">
        <f t="shared" si="118"/>
        <v>0</v>
      </c>
      <c r="BR57" s="3145">
        <f t="shared" si="119"/>
        <v>0</v>
      </c>
      <c r="BS57" s="1513">
        <f>IF(Quanti!$O$54="OUI",
ROUNDUP($J57, 0)*BT$7+ROUNDUP($K57, 0)*(BT$7*(BT$7+1)/2),
 BT$7*$J57+(BT$7*(BT$7+1)/2)*$K57)</f>
        <v>0</v>
      </c>
      <c r="BT57" s="1514">
        <f t="shared" si="120"/>
        <v>0</v>
      </c>
      <c r="BU57" s="3145">
        <f t="shared" si="121"/>
        <v>0</v>
      </c>
      <c r="BV57" s="1513">
        <f>IF(Quanti!$O$54="OUI",
ROUNDUP($J57, 0)*BW$7+ROUNDUP($K57, 0)*(BW$7*(BW$7+1)/2),
 BW$7*$J57+(BW$7*(BW$7+1)/2)*$K57)</f>
        <v>0</v>
      </c>
      <c r="BW57" s="1514">
        <f t="shared" si="122"/>
        <v>0</v>
      </c>
      <c r="BX57" s="3145">
        <f t="shared" si="123"/>
        <v>0</v>
      </c>
    </row>
    <row r="58" spans="2:76" ht="26.25" thickBot="1" x14ac:dyDescent="0.25">
      <c r="B58" s="404"/>
      <c r="C58" s="408" t="str">
        <f>'Saisie données stocks'!$E$68</f>
        <v>IP</v>
      </c>
      <c r="D58" s="409" t="str">
        <f>'Saisie données stocks'!F68</f>
        <v>LPV/r</v>
      </c>
      <c r="E58" s="410" t="str">
        <f>'Saisie données stocks'!G68</f>
        <v>Sol buv</v>
      </c>
      <c r="F58" s="410" t="str">
        <f>'Saisie données stocks'!H68</f>
        <v>80/20 mg/mL</v>
      </c>
      <c r="G58" s="410" t="str">
        <f>'Saisie données stocks'!I68</f>
        <v>Lopinavir/Ritonavir</v>
      </c>
      <c r="H58" s="486">
        <f>'Saisie données stocks'!L68</f>
        <v>60</v>
      </c>
      <c r="I58" s="1415">
        <f>'Saisie données stocks'!M68</f>
        <v>4</v>
      </c>
      <c r="J58" s="3155">
        <f>IF(Quanti!$D$9="X", 'Calculs dispo Données FA'!N174, IF(Quanti!$D$10="X", 'Calculs dispo Données conso'!N176, "0"))</f>
        <v>0</v>
      </c>
      <c r="K58" s="3156">
        <f>IF(Quanti!$D$9="X", 'Calculs dispo Données FA'!O174, IF(Quanti!$D$10="X", 'Calculs dispo Données conso'!O176, "0"))</f>
        <v>0</v>
      </c>
      <c r="L58" s="3157">
        <f>Calculs!O481</f>
        <v>2168</v>
      </c>
      <c r="M58" s="3141">
        <f t="shared" si="43"/>
        <v>0</v>
      </c>
      <c r="N58" s="3141">
        <f t="shared" si="44"/>
        <v>2168</v>
      </c>
      <c r="O58" s="3092">
        <f>IF(Quanti!$O$54="OUI",
ROUNDUP(J58, 0)*(Quanti!$N$19+Quanti!$N$25)+ROUNDUP(K58, 0)*((Quanti!$N$19+Quanti!$N$25)*((Quanti!$N$19+Quanti!$N$25)+1)/2),
 J58*(Quanti!$N$19+Quanti!$N$25)+K58*((Quanti!$N$19+Quanti!$N$25)*((Quanti!$N$19+Quanti!$N$25)+1)/2))-M58</f>
        <v>0</v>
      </c>
      <c r="P58" s="3146">
        <f t="shared" si="85"/>
        <v>0</v>
      </c>
      <c r="Q58" s="3092">
        <f>IF(Quanti!$O$54="OUI",
ROUNDUP($J58, 0)*R$7+ROUNDUP($K58, 0)*(R$7*(R$7+1)/2),
 R$7*$J58+(R$7*(R$7+1)/2)*$K58)</f>
        <v>0</v>
      </c>
      <c r="R58" s="3093">
        <f t="shared" si="45"/>
        <v>0</v>
      </c>
      <c r="S58" s="3146">
        <f t="shared" si="46"/>
        <v>0</v>
      </c>
      <c r="T58" s="3092">
        <f>IF(Quanti!$O$54="OUI",
ROUNDUP($J58, 0)*U$7+ROUNDUP($K58, 0)*(U$7*(U$7+1)/2),
 U$7*$J58+(U$7*(U$7+1)/2)*$K58)</f>
        <v>0</v>
      </c>
      <c r="U58" s="3093">
        <f t="shared" si="86"/>
        <v>0</v>
      </c>
      <c r="V58" s="3146">
        <f t="shared" si="87"/>
        <v>0</v>
      </c>
      <c r="W58" s="3092">
        <f>IF(Quanti!$O$54="OUI",
ROUNDUP($J58, 0)*X$7+ROUNDUP($K58, 0)*(X$7*(X$7+1)/2),
 X$7*$J58+(X$7*(X$7+1)/2)*$K58)</f>
        <v>0</v>
      </c>
      <c r="X58" s="3093">
        <f t="shared" si="88"/>
        <v>0</v>
      </c>
      <c r="Y58" s="3146">
        <f t="shared" si="89"/>
        <v>0</v>
      </c>
      <c r="Z58" s="3092">
        <f>IF(Quanti!$O$54="OUI",
ROUNDUP($J58, 0)*AA$7+ROUNDUP($K58, 0)*(AA$7*(AA$7+1)/2),
 AA$7*$J58+(AA$7*(AA$7+1)/2)*$K58)</f>
        <v>0</v>
      </c>
      <c r="AA58" s="3093">
        <f t="shared" si="90"/>
        <v>0</v>
      </c>
      <c r="AB58" s="3146">
        <f t="shared" si="91"/>
        <v>0</v>
      </c>
      <c r="AC58" s="3092">
        <f>IF(Quanti!$O$54="OUI",
ROUNDUP($J58, 0)*AD$7+ROUNDUP($K58, 0)*(AD$7*(AD$7+1)/2),
 AD$7*$J58+(AD$7*(AD$7+1)/2)*$K58)</f>
        <v>0</v>
      </c>
      <c r="AD58" s="3093">
        <f t="shared" si="92"/>
        <v>0</v>
      </c>
      <c r="AE58" s="3146">
        <f t="shared" si="93"/>
        <v>0</v>
      </c>
      <c r="AF58" s="3092">
        <f>IF(Quanti!$O$54="OUI",
ROUNDUP($J58, 0)*AG$7+ROUNDUP($K58, 0)*(AG$7*(AG$7+1)/2),
 AG$7*$J58+(AG$7*(AG$7+1)/2)*$K58)</f>
        <v>0</v>
      </c>
      <c r="AG58" s="3093">
        <f t="shared" si="94"/>
        <v>0</v>
      </c>
      <c r="AH58" s="3146">
        <f t="shared" si="95"/>
        <v>0</v>
      </c>
      <c r="AI58" s="3092">
        <f>IF(Quanti!$O$54="OUI",
ROUNDUP($J58, 0)*AJ$7+ROUNDUP($K58, 0)*(AJ$7*(AJ$7+1)/2),
 AJ$7*$J58+(AJ$7*(AJ$7+1)/2)*$K58)</f>
        <v>0</v>
      </c>
      <c r="AJ58" s="3093">
        <f t="shared" si="96"/>
        <v>0</v>
      </c>
      <c r="AK58" s="3146">
        <f t="shared" si="97"/>
        <v>0</v>
      </c>
      <c r="AL58" s="3092">
        <f>IF(Quanti!$O$54="OUI",
ROUNDUP($J58, 0)*AM$7+ROUNDUP($K58, 0)*(AM$7*(AM$7+1)/2),
 AM$7*$J58+(AM$7*(AM$7+1)/2)*$K58)</f>
        <v>0</v>
      </c>
      <c r="AM58" s="3093">
        <f t="shared" si="98"/>
        <v>0</v>
      </c>
      <c r="AN58" s="3146">
        <f t="shared" si="99"/>
        <v>0</v>
      </c>
      <c r="AO58" s="3092">
        <f>IF(Quanti!$O$54="OUI",
ROUNDUP($J58, 0)*AP$7+ROUNDUP($K58, 0)*(AP$7*(AP$7+1)/2),
 AP$7*$J58+(AP$7*(AP$7+1)/2)*$K58)</f>
        <v>0</v>
      </c>
      <c r="AP58" s="3093">
        <f t="shared" si="100"/>
        <v>0</v>
      </c>
      <c r="AQ58" s="3146">
        <f t="shared" si="101"/>
        <v>0</v>
      </c>
      <c r="AR58" s="3092">
        <f>IF(Quanti!$O$54="OUI",
ROUNDUP($J58, 0)*AS$7+ROUNDUP($K58, 0)*(AS$7*(AS$7+1)/2),
 AS$7*$J58+(AS$7*(AS$7+1)/2)*$K58)</f>
        <v>0</v>
      </c>
      <c r="AS58" s="3093">
        <f t="shared" si="102"/>
        <v>0</v>
      </c>
      <c r="AT58" s="3146">
        <f t="shared" si="103"/>
        <v>0</v>
      </c>
      <c r="AU58" s="3092">
        <f>IF(Quanti!$O$54="OUI",
ROUNDUP($J58, 0)*AV$7+ROUNDUP($K58, 0)*(AV$7*(AV$7+1)/2),
 AV$7*$J58+(AV$7*(AV$7+1)/2)*$K58)</f>
        <v>0</v>
      </c>
      <c r="AV58" s="3093">
        <f t="shared" si="104"/>
        <v>0</v>
      </c>
      <c r="AW58" s="3146">
        <f t="shared" si="105"/>
        <v>0</v>
      </c>
      <c r="AX58" s="3092">
        <f>IF(Quanti!$O$54="OUI",
ROUNDUP($J58, 0)*AY$7+ROUNDUP($K58, 0)*(AY$7*(AY$7+1)/2),
 AY$7*$J58+(AY$7*(AY$7+1)/2)*$K58)</f>
        <v>0</v>
      </c>
      <c r="AY58" s="3093">
        <f t="shared" si="106"/>
        <v>0</v>
      </c>
      <c r="AZ58" s="3146">
        <f t="shared" si="107"/>
        <v>0</v>
      </c>
      <c r="BA58" s="3092">
        <f>IF(Quanti!$O$54="OUI",
ROUNDUP($J58, 0)*BB$7+ROUNDUP($K58, 0)*(BB$7*(BB$7+1)/2),
 BB$7*$J58+(BB$7*(BB$7+1)/2)*$K58)</f>
        <v>0</v>
      </c>
      <c r="BB58" s="3093">
        <f t="shared" si="108"/>
        <v>0</v>
      </c>
      <c r="BC58" s="3146">
        <f t="shared" si="109"/>
        <v>0</v>
      </c>
      <c r="BD58" s="3092">
        <f>IF(Quanti!$O$54="OUI",
ROUNDUP($J58, 0)*BE$7+ROUNDUP($K58, 0)*(BE$7*(BE$7+1)/2),
 BE$7*$J58+(BE$7*(BE$7+1)/2)*$K58)</f>
        <v>0</v>
      </c>
      <c r="BE58" s="3093">
        <f t="shared" si="110"/>
        <v>0</v>
      </c>
      <c r="BF58" s="3146">
        <f t="shared" si="111"/>
        <v>0</v>
      </c>
      <c r="BG58" s="3092">
        <f>IF(Quanti!$O$54="OUI",
ROUNDUP($J58, 0)*BH$7+ROUNDUP($K58, 0)*(BH$7*(BH$7+1)/2),
 BH$7*$J58+(BH$7*(BH$7+1)/2)*$K58)</f>
        <v>0</v>
      </c>
      <c r="BH58" s="3093">
        <f t="shared" si="112"/>
        <v>0</v>
      </c>
      <c r="BI58" s="3146">
        <f t="shared" si="113"/>
        <v>0</v>
      </c>
      <c r="BJ58" s="3092">
        <f>IF(Quanti!$O$54="OUI",
ROUNDUP($J58, 0)*BK$7+ROUNDUP($K58, 0)*(BK$7*(BK$7+1)/2),
 BK$7*$J58+(BK$7*(BK$7+1)/2)*$K58)</f>
        <v>0</v>
      </c>
      <c r="BK58" s="3093">
        <f t="shared" si="114"/>
        <v>0</v>
      </c>
      <c r="BL58" s="3146">
        <f t="shared" si="115"/>
        <v>0</v>
      </c>
      <c r="BM58" s="3092">
        <f>IF(Quanti!$O$54="OUI",
ROUNDUP($J58, 0)*BN$7+ROUNDUP($K58, 0)*(BN$7*(BN$7+1)/2),
 BN$7*$J58+(BN$7*(BN$7+1)/2)*$K58)</f>
        <v>0</v>
      </c>
      <c r="BN58" s="3093">
        <f t="shared" si="116"/>
        <v>0</v>
      </c>
      <c r="BO58" s="3146">
        <f t="shared" si="117"/>
        <v>0</v>
      </c>
      <c r="BP58" s="3092">
        <f>IF(Quanti!$O$54="OUI",
ROUNDUP($J58, 0)*BQ$7+ROUNDUP($K58, 0)*(BQ$7*(BQ$7+1)/2),
 BQ$7*$J58+(BQ$7*(BQ$7+1)/2)*$K58)</f>
        <v>0</v>
      </c>
      <c r="BQ58" s="3093">
        <f t="shared" si="118"/>
        <v>0</v>
      </c>
      <c r="BR58" s="3146">
        <f t="shared" si="119"/>
        <v>0</v>
      </c>
      <c r="BS58" s="3092">
        <f>IF(Quanti!$O$54="OUI",
ROUNDUP($J58, 0)*BT$7+ROUNDUP($K58, 0)*(BT$7*(BT$7+1)/2),
 BT$7*$J58+(BT$7*(BT$7+1)/2)*$K58)</f>
        <v>0</v>
      </c>
      <c r="BT58" s="3093">
        <f t="shared" si="120"/>
        <v>0</v>
      </c>
      <c r="BU58" s="3146">
        <f t="shared" si="121"/>
        <v>0</v>
      </c>
      <c r="BV58" s="3092">
        <f>IF(Quanti!$O$54="OUI",
ROUNDUP($J58, 0)*BW$7+ROUNDUP($K58, 0)*(BW$7*(BW$7+1)/2),
 BW$7*$J58+(BW$7*(BW$7+1)/2)*$K58)</f>
        <v>0</v>
      </c>
      <c r="BW58" s="3093">
        <f t="shared" si="122"/>
        <v>0</v>
      </c>
      <c r="BX58" s="3146">
        <f t="shared" si="123"/>
        <v>0</v>
      </c>
    </row>
  </sheetData>
  <sheetProtection password="D0E7" sheet="1" objects="1" scenarios="1"/>
  <mergeCells count="2">
    <mergeCell ref="A2:S2"/>
    <mergeCell ref="J7:K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tabColor theme="0"/>
  </sheetPr>
  <dimension ref="B1:U78"/>
  <sheetViews>
    <sheetView workbookViewId="0">
      <selection activeCell="F18" sqref="F18"/>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21" s="2586" customFormat="1" x14ac:dyDescent="0.2">
      <c r="B1" s="2586" t="s">
        <v>865</v>
      </c>
      <c r="D1" s="2586" t="s">
        <v>866</v>
      </c>
      <c r="F1" s="2586" t="s">
        <v>867</v>
      </c>
    </row>
    <row r="2" spans="2:21" s="2586" customFormat="1" ht="25.5" x14ac:dyDescent="0.2">
      <c r="B2" s="2586" t="str">
        <f>IF(Présentation!$E$2="Français",'TRAD-quanti trimestre'!D2,IF(Présentation!$E$2="Anglais",'TRAD-quanti trimestre'!F2,""))</f>
        <v>Quantification des besoins répartie par trimestre</v>
      </c>
      <c r="D2" s="2558" t="s">
        <v>1982</v>
      </c>
      <c r="F2" s="2558" t="s">
        <v>2009</v>
      </c>
    </row>
    <row r="3" spans="2:21" s="2586" customFormat="1" ht="38.25" x14ac:dyDescent="0.2">
      <c r="B3" s="2586" t="str">
        <f>IF(Présentation!$E$2="Français",'TRAD-quanti trimestre'!D3,IF(Présentation!$E$2="Anglais",'TRAD-quanti trimestre'!F3,""))</f>
        <v>Aucun paramétrage ou aucune valeur ne doit être renseigné ici. Tout se fait dans la feuille "Quanti"</v>
      </c>
      <c r="D3" s="2558" t="s">
        <v>1983</v>
      </c>
      <c r="F3" s="2558" t="s">
        <v>2010</v>
      </c>
    </row>
    <row r="4" spans="2:21" s="2586" customFormat="1" x14ac:dyDescent="0.2">
      <c r="B4" s="2586">
        <f>IF(Présentation!$E$2="Français",'TRAD-quanti trimestre'!D4,IF(Présentation!$E$2="Anglais",'TRAD-quanti trimestre'!F4,""))</f>
        <v>0</v>
      </c>
      <c r="D4" s="2558"/>
    </row>
    <row r="5" spans="2:21" x14ac:dyDescent="0.2">
      <c r="B5" s="2586" t="str">
        <f>IF(Présentation!$E$2="Français",'TRAD-quanti trimestre'!D5,IF(Présentation!$E$2="Anglais",'TRAD-quanti trimestre'!F5,""))</f>
        <v>Trimestre</v>
      </c>
      <c r="D5" s="2563" t="s">
        <v>1978</v>
      </c>
      <c r="E5" s="2562"/>
      <c r="F5" s="2562" t="s">
        <v>1979</v>
      </c>
      <c r="G5" s="2562"/>
      <c r="H5" s="2562"/>
      <c r="I5" s="2553"/>
      <c r="J5" s="2553"/>
      <c r="K5" s="2553"/>
      <c r="L5" s="2553"/>
      <c r="M5" s="2553"/>
      <c r="N5" s="2553"/>
      <c r="O5" s="2553"/>
      <c r="P5" s="2553"/>
      <c r="Q5" s="2553"/>
      <c r="R5" s="2553"/>
      <c r="S5" s="2553"/>
      <c r="T5" s="2553"/>
      <c r="U5" s="2553"/>
    </row>
    <row r="6" spans="2:21" ht="25.5" x14ac:dyDescent="0.2">
      <c r="B6" s="2586" t="str">
        <f>IF(Présentation!$E$2="Français",'TRAD-quanti trimestre'!D6,IF(Présentation!$E$2="Anglais",'TRAD-quanti trimestre'!F6,""))</f>
        <v>Besoins sur la période intermédiaire (avant le début de la période quantifiée)</v>
      </c>
      <c r="D6" s="2562" t="s">
        <v>1981</v>
      </c>
      <c r="F6" s="2553" t="s">
        <v>1980</v>
      </c>
      <c r="G6" s="2553"/>
      <c r="H6" s="2553"/>
      <c r="I6" s="2553"/>
      <c r="J6" s="2553"/>
      <c r="K6" s="2553"/>
      <c r="L6" s="2553"/>
      <c r="M6" s="2553"/>
      <c r="N6" s="2553"/>
      <c r="O6" s="2553"/>
      <c r="P6" s="2553"/>
      <c r="Q6" s="2553"/>
      <c r="R6" s="2553"/>
      <c r="S6" s="2553"/>
      <c r="T6" s="2553"/>
      <c r="U6" s="2553"/>
    </row>
    <row r="7" spans="2:21" x14ac:dyDescent="0.2">
      <c r="B7" s="2586" t="str">
        <f>IF(Présentation!$E$2="Français",'TRAD-quanti trimestre'!D7,IF(Présentation!$E$2="Anglais",'TRAD-quanti trimestre'!F7,""))</f>
        <v>Durée (mois)</v>
      </c>
      <c r="D7" s="2562" t="s">
        <v>1990</v>
      </c>
      <c r="F7" s="2563" t="s">
        <v>2011</v>
      </c>
      <c r="G7" s="2562"/>
      <c r="H7" s="2562"/>
      <c r="I7" s="2553"/>
      <c r="J7" s="2553"/>
      <c r="K7" s="2553"/>
      <c r="L7" s="2553"/>
      <c r="M7" s="2553"/>
      <c r="N7" s="2553"/>
      <c r="O7" s="2553"/>
      <c r="P7" s="2553"/>
      <c r="Q7" s="2553"/>
      <c r="R7" s="2553"/>
      <c r="S7" s="2553"/>
      <c r="T7" s="2553"/>
      <c r="U7" s="2553"/>
    </row>
    <row r="8" spans="2:21" x14ac:dyDescent="0.2">
      <c r="B8" s="2586" t="str">
        <f>IF(Présentation!$E$2="Français",'TRAD-quanti trimestre'!D8,IF(Présentation!$E$2="Anglais",'TRAD-quanti trimestre'!F8,""))</f>
        <v>Besoins sur durée cumulée (nb de cdt)</v>
      </c>
      <c r="D8" s="2553" t="s">
        <v>2005</v>
      </c>
      <c r="F8" s="2562" t="s">
        <v>2012</v>
      </c>
      <c r="G8" s="2562"/>
      <c r="H8" s="2562"/>
      <c r="I8" s="2553"/>
      <c r="J8" s="2553"/>
      <c r="K8" s="2553"/>
      <c r="L8" s="2553"/>
      <c r="M8" s="2553"/>
      <c r="N8" s="2553"/>
      <c r="O8" s="2553"/>
      <c r="P8" s="2553"/>
      <c r="Q8" s="2553"/>
      <c r="R8" s="2553"/>
      <c r="S8" s="2553"/>
      <c r="T8" s="2553"/>
      <c r="U8" s="2553"/>
    </row>
    <row r="9" spans="2:21" x14ac:dyDescent="0.2">
      <c r="B9" s="2586" t="str">
        <f>IF(Présentation!$E$2="Français",'TRAD-quanti trimestre'!D9,IF(Présentation!$E$2="Anglais",'TRAD-quanti trimestre'!F9,""))</f>
        <v>Besoins bruts sur le trimestre (nb de cdt)</v>
      </c>
      <c r="D9" s="2553" t="s">
        <v>2004</v>
      </c>
      <c r="F9" s="2562" t="s">
        <v>2013</v>
      </c>
      <c r="G9" s="2562"/>
      <c r="H9" s="2562"/>
      <c r="I9" s="2553"/>
      <c r="J9" s="2553"/>
      <c r="K9" s="2553"/>
      <c r="L9" s="2553"/>
      <c r="M9" s="2553"/>
      <c r="N9" s="2553"/>
      <c r="O9" s="2553"/>
      <c r="P9" s="2553"/>
      <c r="Q9" s="2553"/>
      <c r="R9" s="2553"/>
      <c r="S9" s="2553"/>
      <c r="T9" s="2553"/>
      <c r="U9" s="2553"/>
    </row>
    <row r="10" spans="2:21" x14ac:dyDescent="0.2">
      <c r="B10" s="2586" t="str">
        <f>IF(Présentation!$E$2="Français",'TRAD-quanti trimestre'!D10,IF(Présentation!$E$2="Anglais",'TRAD-quanti trimestre'!F10,""))</f>
        <v>Période quantifiée totale</v>
      </c>
      <c r="D10" s="2553" t="s">
        <v>2006</v>
      </c>
      <c r="F10" s="2562" t="s">
        <v>2014</v>
      </c>
      <c r="G10" s="2562"/>
      <c r="H10" s="2562"/>
      <c r="I10" s="2553"/>
      <c r="J10" s="2553"/>
      <c r="K10" s="2553"/>
      <c r="L10" s="2553"/>
      <c r="M10" s="2553"/>
      <c r="N10" s="2553"/>
      <c r="O10" s="2553"/>
      <c r="P10" s="2553"/>
      <c r="Q10" s="2553"/>
      <c r="R10" s="2553"/>
      <c r="S10" s="2553"/>
      <c r="T10" s="2553"/>
      <c r="U10" s="2553"/>
    </row>
    <row r="11" spans="2:21" x14ac:dyDescent="0.2">
      <c r="B11" s="2586" t="str">
        <f>IF(Présentation!$E$2="Français",'TRAD-quanti trimestre'!D11,IF(Présentation!$E$2="Anglais",'TRAD-quanti trimestre'!F11,""))</f>
        <v>Période intermédiaire</v>
      </c>
      <c r="D11" s="2553" t="s">
        <v>823</v>
      </c>
      <c r="F11" s="2553" t="s">
        <v>2015</v>
      </c>
      <c r="G11" s="2553"/>
      <c r="H11" s="2553"/>
      <c r="I11" s="2553"/>
      <c r="J11" s="2553"/>
      <c r="K11" s="2553"/>
      <c r="L11" s="2553"/>
      <c r="M11" s="2553"/>
      <c r="N11" s="2553"/>
      <c r="O11" s="2553"/>
      <c r="P11" s="2553"/>
      <c r="Q11" s="2553"/>
      <c r="R11" s="2553"/>
      <c r="S11" s="2553"/>
      <c r="T11" s="2553"/>
      <c r="U11" s="2553"/>
    </row>
    <row r="12" spans="2:21" ht="25.5" x14ac:dyDescent="0.2">
      <c r="B12" s="2586" t="str">
        <f>IF(Présentation!$E$2="Français",'TRAD-quanti trimestre'!D12,IF(Présentation!$E$2="Anglais",'TRAD-quanti trimestre'!F12,""))</f>
        <v>Durée cumulée depuis la date d'estimation (mois)</v>
      </c>
      <c r="D12" s="2553" t="s">
        <v>1999</v>
      </c>
      <c r="F12" s="2553" t="s">
        <v>2016</v>
      </c>
      <c r="G12" s="2553"/>
      <c r="H12" s="2553"/>
      <c r="I12" s="2553"/>
      <c r="J12" s="2553"/>
      <c r="K12" s="2553"/>
      <c r="L12" s="2553"/>
      <c r="M12" s="2553"/>
      <c r="N12" s="2553"/>
      <c r="O12" s="2553"/>
      <c r="P12" s="2553"/>
      <c r="Q12" s="2553"/>
      <c r="R12" s="2553"/>
      <c r="S12" s="2553"/>
      <c r="T12" s="2553"/>
      <c r="U12" s="2553"/>
    </row>
    <row r="13" spans="2:21" x14ac:dyDescent="0.2">
      <c r="B13" s="2586" t="str">
        <f>IF(Présentation!$E$2="Français",'TRAD-quanti trimestre'!D13,IF(Présentation!$E$2="Anglais",'TRAD-quanti trimestre'!F13,""))</f>
        <v>Besoins mensuels patients suivis</v>
      </c>
      <c r="D13" s="2553" t="s">
        <v>1994</v>
      </c>
      <c r="F13" s="2553" t="s">
        <v>2017</v>
      </c>
      <c r="G13" s="2553"/>
      <c r="H13" s="2553"/>
      <c r="I13" s="2553"/>
      <c r="J13" s="2553"/>
      <c r="K13" s="2553"/>
      <c r="L13" s="2553"/>
      <c r="M13" s="2553"/>
      <c r="N13" s="2553"/>
      <c r="O13" s="2553"/>
      <c r="P13" s="2553"/>
      <c r="Q13" s="2553"/>
      <c r="R13" s="2553"/>
      <c r="S13" s="2553"/>
      <c r="T13" s="2553"/>
      <c r="U13" s="2553"/>
    </row>
    <row r="14" spans="2:21" x14ac:dyDescent="0.2">
      <c r="B14" s="2586" t="str">
        <f>IF(Présentation!$E$2="Français",'TRAD-quanti trimestre'!D14,IF(Présentation!$E$2="Anglais",'TRAD-quanti trimestre'!F14,""))</f>
        <v>Besoins mensuels nouveaux patients</v>
      </c>
      <c r="D14" s="2553" t="s">
        <v>1995</v>
      </c>
      <c r="F14" s="2553" t="s">
        <v>2018</v>
      </c>
      <c r="G14" s="2553"/>
      <c r="H14" s="2553"/>
      <c r="I14" s="2553"/>
      <c r="J14" s="2553"/>
      <c r="K14" s="2553"/>
      <c r="L14" s="2553"/>
      <c r="M14" s="2553"/>
      <c r="N14" s="2553"/>
      <c r="O14" s="2553"/>
      <c r="P14" s="2553"/>
      <c r="Q14" s="2553"/>
      <c r="R14" s="2553"/>
      <c r="S14" s="2553"/>
      <c r="T14" s="2553"/>
      <c r="U14" s="2553"/>
    </row>
    <row r="15" spans="2:21" x14ac:dyDescent="0.2">
      <c r="B15" s="2586" t="str">
        <f>IF(Présentation!$E$2="Français",'TRAD-quanti trimestre'!D15,IF(Présentation!$E$2="Anglais",'TRAD-quanti trimestre'!F15,""))</f>
        <v>Méthode</v>
      </c>
      <c r="D15" s="2553" t="s">
        <v>540</v>
      </c>
      <c r="F15" s="2553" t="s">
        <v>880</v>
      </c>
      <c r="G15" s="2553"/>
      <c r="H15" s="2553"/>
      <c r="I15" s="2553"/>
      <c r="J15" s="2553"/>
      <c r="K15" s="2553"/>
      <c r="L15" s="2553"/>
      <c r="M15" s="2553"/>
      <c r="N15" s="2553"/>
      <c r="O15" s="2553"/>
      <c r="P15" s="2553"/>
      <c r="Q15" s="2553"/>
      <c r="R15" s="2553"/>
      <c r="S15" s="2553"/>
      <c r="T15" s="2553"/>
      <c r="U15" s="2553"/>
    </row>
    <row r="16" spans="2:21" x14ac:dyDescent="0.2">
      <c r="B16" s="2586" t="str">
        <f>IF(Présentation!$E$2="Français",'TRAD-quanti trimestre'!D16,IF(Présentation!$E$2="Anglais",'TRAD-quanti trimestre'!F16,""))</f>
        <v>Quantités en stocks (nb de boites)</v>
      </c>
      <c r="D16" s="2562" t="s">
        <v>1993</v>
      </c>
      <c r="F16" s="2553" t="s">
        <v>2019</v>
      </c>
      <c r="G16" s="2553"/>
      <c r="H16" s="2553"/>
      <c r="I16" s="2553"/>
      <c r="J16" s="2553"/>
      <c r="K16" s="2562"/>
      <c r="L16" s="2553"/>
      <c r="M16" s="2553"/>
      <c r="N16" s="2553"/>
      <c r="O16" s="2553"/>
      <c r="P16" s="2553"/>
      <c r="Q16" s="2553"/>
      <c r="R16" s="2553"/>
      <c r="S16" s="2553"/>
      <c r="T16" s="2553"/>
      <c r="U16" s="2553"/>
    </row>
    <row r="17" spans="2:21" ht="25.5" x14ac:dyDescent="0.2">
      <c r="B17" s="2586" t="str">
        <f>IF(Présentation!$E$2="Français",'TRAD-quanti trimestre'!D17,IF(Présentation!$E$2="Anglais",'TRAD-quanti trimestre'!F17,""))</f>
        <v>(Stock utilisable, prend en compte les DLU)</v>
      </c>
      <c r="D17" s="2562" t="s">
        <v>1997</v>
      </c>
      <c r="F17" s="2553" t="s">
        <v>2020</v>
      </c>
      <c r="G17" s="2553"/>
      <c r="H17" s="2553"/>
      <c r="I17" s="2553"/>
      <c r="J17" s="2553"/>
      <c r="K17" s="2553"/>
      <c r="L17" s="2553"/>
      <c r="M17" s="2553"/>
      <c r="N17" s="2553"/>
      <c r="O17" s="2553"/>
      <c r="P17" s="2553"/>
      <c r="Q17" s="2553"/>
      <c r="R17" s="2553"/>
      <c r="S17" s="2553"/>
      <c r="T17" s="2553"/>
      <c r="U17" s="2553"/>
    </row>
    <row r="18" spans="2:21" ht="25.5" x14ac:dyDescent="0.2">
      <c r="B18" s="2586" t="str">
        <f>IF(Présentation!$E$2="Français",'TRAD-quanti trimestre'!D18,IF(Présentation!$E$2="Anglais",'TRAD-quanti trimestre'!F18,""))</f>
        <v>(Stock total, ne prend pas en compte les DLU)</v>
      </c>
      <c r="D18" s="2562" t="s">
        <v>1996</v>
      </c>
      <c r="F18" s="2553" t="s">
        <v>2021</v>
      </c>
      <c r="G18" s="2553"/>
      <c r="H18" s="2553"/>
      <c r="I18" s="2553"/>
      <c r="J18" s="2553"/>
      <c r="K18" s="2553"/>
      <c r="L18" s="2553"/>
      <c r="M18" s="2553"/>
      <c r="N18" s="2553"/>
      <c r="O18" s="2553"/>
      <c r="P18" s="2553"/>
      <c r="Q18" s="2553"/>
      <c r="R18" s="2553"/>
      <c r="S18" s="2553"/>
      <c r="T18" s="2553"/>
      <c r="U18" s="2553"/>
    </row>
    <row r="19" spans="2:21" x14ac:dyDescent="0.2">
      <c r="B19" s="2586" t="str">
        <f>IF(Présentation!$E$2="Français",'TRAD-quanti trimestre'!D19,IF(Présentation!$E$2="Anglais",'TRAD-quanti trimestre'!F19,""))</f>
        <v>Début de la période quantifiée</v>
      </c>
      <c r="D19" s="2562" t="s">
        <v>1998</v>
      </c>
      <c r="F19" s="2553" t="s">
        <v>2022</v>
      </c>
      <c r="G19" s="2553"/>
      <c r="H19" s="2553"/>
      <c r="I19" s="2553"/>
      <c r="J19" s="2553"/>
      <c r="K19" s="2553"/>
      <c r="L19" s="2553"/>
      <c r="M19" s="2553"/>
      <c r="N19" s="2553"/>
      <c r="O19" s="2553"/>
      <c r="P19" s="2553"/>
      <c r="Q19" s="2553"/>
      <c r="R19" s="2553"/>
      <c r="S19" s="2553"/>
      <c r="T19" s="2553"/>
      <c r="U19" s="2553"/>
    </row>
    <row r="20" spans="2:21" x14ac:dyDescent="0.2">
      <c r="B20" s="2586" t="str">
        <f>IF(Présentation!$E$2="Français",'TRAD-quanti trimestre'!D20,IF(Présentation!$E$2="Anglais",'TRAD-quanti trimestre'!F20,""))</f>
        <v>Besoins nets sur le trimestre (nb cdt)</v>
      </c>
      <c r="D20" s="2562" t="s">
        <v>2003</v>
      </c>
      <c r="F20" s="2553" t="s">
        <v>2023</v>
      </c>
      <c r="G20" s="2553"/>
      <c r="H20" s="2553"/>
      <c r="I20" s="2553"/>
      <c r="J20" s="2553"/>
      <c r="K20" s="2553"/>
      <c r="L20" s="2553"/>
      <c r="M20" s="2553"/>
      <c r="N20" s="2553"/>
      <c r="O20" s="2553"/>
      <c r="P20" s="2553"/>
      <c r="Q20" s="2553"/>
      <c r="R20" s="2553"/>
      <c r="S20" s="2553"/>
      <c r="T20" s="2553"/>
      <c r="U20" s="2553"/>
    </row>
    <row r="21" spans="2:21" x14ac:dyDescent="0.2">
      <c r="B21" s="2586">
        <f>IF(Présentation!$E$2="Français",'TRAD-quanti trimestre'!D21,IF(Présentation!$E$2="Anglais",'TRAD-quanti trimestre'!F21,""))</f>
        <v>0</v>
      </c>
      <c r="D21" s="2562"/>
      <c r="F21" s="2553"/>
      <c r="G21" s="2553"/>
      <c r="H21" s="2553"/>
      <c r="I21" s="2553"/>
      <c r="J21" s="2553"/>
      <c r="K21" s="2553"/>
      <c r="L21" s="2553"/>
      <c r="M21" s="2553"/>
      <c r="N21" s="2553"/>
      <c r="O21" s="2553"/>
      <c r="P21" s="2553"/>
      <c r="Q21" s="2553"/>
      <c r="R21" s="2553"/>
      <c r="S21" s="2553"/>
      <c r="T21" s="2553"/>
      <c r="U21" s="2553"/>
    </row>
    <row r="22" spans="2:21" x14ac:dyDescent="0.2">
      <c r="B22" s="2586">
        <f>IF(Présentation!$E$2="Français",'TRAD-quanti trimestre'!D22,IF(Présentation!$E$2="Anglais",'TRAD-quanti trimestre'!F22,""))</f>
        <v>0</v>
      </c>
      <c r="D22" s="2562"/>
      <c r="F22" s="2553"/>
      <c r="G22" s="2553"/>
      <c r="H22" s="2553"/>
      <c r="I22" s="2553"/>
      <c r="J22" s="2553"/>
      <c r="K22" s="2553"/>
      <c r="L22" s="2553"/>
      <c r="M22" s="2553"/>
      <c r="N22" s="2553"/>
      <c r="O22" s="2553"/>
      <c r="P22" s="2553"/>
      <c r="Q22" s="2553"/>
      <c r="R22" s="2553"/>
      <c r="S22" s="2553"/>
      <c r="T22" s="2553"/>
      <c r="U22" s="2553"/>
    </row>
    <row r="23" spans="2:21" x14ac:dyDescent="0.2">
      <c r="B23" s="2586">
        <f>IF(Présentation!$E$2="Français",'TRAD-quanti trimestre'!D23,IF(Présentation!$E$2="Anglais",'TRAD-quanti trimestre'!F23,""))</f>
        <v>0</v>
      </c>
      <c r="D23" s="2553"/>
      <c r="F23" s="2553"/>
      <c r="G23" s="2553"/>
      <c r="H23" s="2553"/>
      <c r="I23" s="2553"/>
      <c r="J23" s="2553"/>
      <c r="K23" s="2553"/>
      <c r="L23" s="2553"/>
      <c r="M23" s="2553"/>
      <c r="N23" s="2553"/>
      <c r="O23" s="2553"/>
      <c r="P23" s="2553"/>
      <c r="Q23" s="2553"/>
      <c r="R23" s="2553"/>
      <c r="S23" s="2553"/>
      <c r="T23" s="2553"/>
      <c r="U23" s="2553"/>
    </row>
    <row r="24" spans="2:21" x14ac:dyDescent="0.2">
      <c r="B24" s="2586">
        <f>IF(Présentation!$E$2="Français",'TRAD-quanti trimestre'!D24,IF(Présentation!$E$2="Anglais",'TRAD-quanti trimestre'!F24,""))</f>
        <v>0</v>
      </c>
      <c r="D24" s="2562"/>
      <c r="F24" s="2562"/>
      <c r="G24" s="2562"/>
      <c r="H24" s="2562"/>
      <c r="I24" s="2562"/>
      <c r="J24" s="2562"/>
      <c r="K24" s="2562"/>
      <c r="L24" s="2562"/>
      <c r="M24" s="2562"/>
      <c r="N24" s="2562"/>
      <c r="O24" s="2562"/>
      <c r="P24" s="2562"/>
      <c r="Q24" s="2562"/>
      <c r="R24" s="2562"/>
      <c r="S24" s="2553"/>
      <c r="T24" s="2553"/>
      <c r="U24" s="2553"/>
    </row>
    <row r="25" spans="2:21" x14ac:dyDescent="0.2">
      <c r="B25" s="2586">
        <f>IF(Présentation!$E$2="Français",'TRAD-quanti trimestre'!D25,IF(Présentation!$E$2="Anglais",'TRAD-quanti trimestre'!F25,""))</f>
        <v>0</v>
      </c>
      <c r="D25" s="2562"/>
      <c r="F25" s="2553"/>
      <c r="G25" s="2553"/>
      <c r="H25" s="2553"/>
      <c r="I25" s="2553"/>
      <c r="J25" s="2553"/>
      <c r="K25" s="2553"/>
      <c r="L25" s="2553"/>
      <c r="M25" s="2553"/>
      <c r="N25" s="2553"/>
      <c r="O25" s="2553"/>
      <c r="P25" s="2553"/>
      <c r="Q25" s="2553"/>
      <c r="R25" s="2553"/>
      <c r="S25" s="2553"/>
      <c r="T25" s="2553"/>
      <c r="U25" s="2553"/>
    </row>
    <row r="26" spans="2:21" x14ac:dyDescent="0.2">
      <c r="B26" s="2586">
        <f>IF(Présentation!$E$2="Français",'TRAD-quanti trimestre'!D26,IF(Présentation!$E$2="Anglais",'TRAD-quanti trimestre'!F26,""))</f>
        <v>0</v>
      </c>
      <c r="D26" s="2562"/>
      <c r="F26" s="2553"/>
      <c r="G26" s="2553"/>
      <c r="H26" s="2553"/>
      <c r="I26" s="2553"/>
      <c r="J26" s="2553"/>
      <c r="K26" s="2553"/>
      <c r="L26" s="2553"/>
      <c r="M26" s="2553"/>
      <c r="N26" s="2553"/>
      <c r="O26" s="2553"/>
      <c r="P26" s="2553"/>
      <c r="Q26" s="2553"/>
      <c r="R26" s="2553"/>
      <c r="S26" s="2553"/>
      <c r="T26" s="2553"/>
      <c r="U26" s="2553"/>
    </row>
    <row r="27" spans="2:21" x14ac:dyDescent="0.2">
      <c r="B27" s="2586">
        <f>IF(Présentation!$E$2="Français",'TRAD-quanti trimestre'!D27,IF(Présentation!$E$2="Anglais",'TRAD-quanti trimestre'!F27,""))</f>
        <v>0</v>
      </c>
      <c r="D27" s="2562"/>
      <c r="F27" s="2553"/>
      <c r="G27" s="2553"/>
      <c r="H27" s="2553"/>
      <c r="I27" s="2553"/>
      <c r="J27" s="2553"/>
      <c r="K27" s="2553"/>
      <c r="L27" s="2553"/>
      <c r="M27" s="2553"/>
      <c r="N27" s="2553"/>
      <c r="O27" s="2553"/>
      <c r="P27" s="2553"/>
      <c r="Q27" s="2553"/>
      <c r="R27" s="2553"/>
      <c r="S27" s="2553"/>
      <c r="T27" s="2553"/>
      <c r="U27" s="2553"/>
    </row>
    <row r="28" spans="2:21" x14ac:dyDescent="0.2">
      <c r="B28" s="2586">
        <f>IF(Présentation!$E$2="Français",'TRAD-quanti trimestre'!D28,IF(Présentation!$E$2="Anglais",'TRAD-quanti trimestre'!F28,""))</f>
        <v>0</v>
      </c>
      <c r="D28" s="2562"/>
      <c r="F28" s="2553"/>
      <c r="G28" s="2553"/>
      <c r="H28" s="2553"/>
      <c r="I28" s="2553"/>
      <c r="J28" s="2553"/>
      <c r="K28" s="2553"/>
      <c r="L28" s="2553"/>
      <c r="M28" s="2553"/>
      <c r="N28" s="2553"/>
      <c r="O28" s="2553"/>
      <c r="P28" s="2553"/>
      <c r="Q28" s="2553"/>
      <c r="R28" s="2553"/>
      <c r="S28" s="2553"/>
      <c r="T28" s="2553"/>
      <c r="U28" s="2553"/>
    </row>
    <row r="29" spans="2:21" x14ac:dyDescent="0.2">
      <c r="B29" s="2586">
        <f>IF(Présentation!$E$2="Français",'TRAD-quanti trimestre'!D29,IF(Présentation!$E$2="Anglais",'TRAD-quanti trimestre'!F29,""))</f>
        <v>0</v>
      </c>
      <c r="D29" s="2562"/>
      <c r="F29" s="2553"/>
      <c r="G29" s="2553"/>
      <c r="H29" s="2553"/>
      <c r="I29" s="2553"/>
      <c r="J29" s="2553"/>
      <c r="K29" s="2553"/>
      <c r="L29" s="2553"/>
      <c r="M29" s="2553"/>
      <c r="N29" s="2553"/>
      <c r="O29" s="2553"/>
      <c r="P29" s="2553"/>
      <c r="Q29" s="2553"/>
      <c r="R29" s="2553"/>
      <c r="S29" s="2553"/>
      <c r="T29" s="2553"/>
      <c r="U29" s="2553"/>
    </row>
    <row r="30" spans="2:21" x14ac:dyDescent="0.2">
      <c r="B30" s="2586">
        <f>IF(Présentation!$E$2="Français",'TRAD-quanti trimestre'!D30,IF(Présentation!$E$2="Anglais",'TRAD-quanti trimestre'!F30,""))</f>
        <v>0</v>
      </c>
      <c r="D30" s="2562"/>
      <c r="F30" s="2553"/>
      <c r="G30" s="2553"/>
      <c r="H30" s="2553"/>
      <c r="I30" s="2553"/>
      <c r="J30" s="2553"/>
      <c r="K30" s="2553"/>
      <c r="L30" s="2553"/>
      <c r="M30" s="2553"/>
      <c r="N30" s="2553"/>
      <c r="O30" s="2553"/>
      <c r="P30" s="2553"/>
      <c r="Q30" s="2553"/>
      <c r="R30" s="2553"/>
      <c r="S30" s="2553"/>
      <c r="T30" s="2553"/>
      <c r="U30" s="2553"/>
    </row>
    <row r="31" spans="2:21" x14ac:dyDescent="0.2">
      <c r="B31" s="2586">
        <f>IF(Présentation!$E$2="Français",'TRAD-quanti trimestre'!D31,IF(Présentation!$E$2="Anglais",'TRAD-quanti trimestre'!F31,""))</f>
        <v>0</v>
      </c>
      <c r="D31" s="2562"/>
      <c r="F31" s="2553"/>
      <c r="G31" s="2553"/>
      <c r="H31" s="2553"/>
      <c r="I31" s="2553"/>
      <c r="J31" s="2553"/>
      <c r="K31" s="2553"/>
      <c r="L31" s="2553"/>
      <c r="M31" s="2553"/>
      <c r="N31" s="2553"/>
      <c r="O31" s="2553"/>
      <c r="P31" s="2553"/>
      <c r="Q31" s="2553"/>
      <c r="R31" s="2553"/>
      <c r="S31" s="2553"/>
      <c r="T31" s="2553"/>
      <c r="U31" s="2553"/>
    </row>
    <row r="32" spans="2:21" x14ac:dyDescent="0.2">
      <c r="B32" s="2586">
        <f>IF(Présentation!$E$2="Français",'TRAD-quanti trimestre'!D32,IF(Présentation!$E$2="Anglais",'TRAD-quanti trimestre'!F32,""))</f>
        <v>0</v>
      </c>
      <c r="D32" s="2562"/>
      <c r="F32" s="2553"/>
      <c r="G32" s="2553"/>
      <c r="H32" s="2553"/>
      <c r="I32" s="2553"/>
      <c r="J32" s="2553"/>
      <c r="K32" s="2553"/>
      <c r="L32" s="2553"/>
      <c r="M32" s="2553"/>
      <c r="N32" s="2553"/>
      <c r="O32" s="2553"/>
      <c r="P32" s="2553"/>
      <c r="Q32" s="2553"/>
      <c r="R32" s="2553"/>
      <c r="S32" s="2553"/>
      <c r="T32" s="2553"/>
      <c r="U32" s="2553"/>
    </row>
    <row r="33" spans="2:21" x14ac:dyDescent="0.2">
      <c r="B33" s="2586">
        <f>IF(Présentation!$E$2="Français",'TRAD-quanti trimestre'!D33,IF(Présentation!$E$2="Anglais",'TRAD-quanti trimestre'!F33,""))</f>
        <v>0</v>
      </c>
      <c r="D33" s="2562"/>
      <c r="F33" s="2553"/>
      <c r="G33" s="2553"/>
      <c r="H33" s="2553"/>
      <c r="I33" s="2553"/>
      <c r="J33" s="2553"/>
      <c r="K33" s="2553"/>
      <c r="L33" s="2553"/>
      <c r="M33" s="2553"/>
      <c r="N33" s="2553"/>
      <c r="O33" s="2553"/>
      <c r="P33" s="2553"/>
      <c r="Q33" s="2553"/>
      <c r="R33" s="2553"/>
      <c r="S33" s="2553"/>
      <c r="T33" s="2553"/>
      <c r="U33" s="2553"/>
    </row>
    <row r="34" spans="2:21" x14ac:dyDescent="0.2">
      <c r="B34" s="2586">
        <f>IF(Présentation!$E$2="Français",'TRAD-quanti trimestre'!D34,IF(Présentation!$E$2="Anglais",'TRAD-quanti trimestre'!F34,""))</f>
        <v>0</v>
      </c>
      <c r="D34" s="2562"/>
      <c r="F34" s="2553"/>
      <c r="G34" s="2553"/>
      <c r="H34" s="2553"/>
      <c r="I34" s="2553"/>
      <c r="J34" s="2553"/>
      <c r="K34" s="2553"/>
      <c r="L34" s="2553"/>
      <c r="M34" s="2553"/>
      <c r="N34" s="2553"/>
      <c r="O34" s="2553"/>
      <c r="P34" s="2553"/>
      <c r="Q34" s="2553"/>
      <c r="R34" s="2553"/>
      <c r="S34" s="2553"/>
      <c r="T34" s="2553"/>
      <c r="U34" s="2553"/>
    </row>
    <row r="35" spans="2:21" x14ac:dyDescent="0.2">
      <c r="B35" s="2586">
        <f>IF(Présentation!$E$2="Français",'TRAD-quanti trimestre'!D35,IF(Présentation!$E$2="Anglais",'TRAD-quanti trimestre'!F35,""))</f>
        <v>0</v>
      </c>
      <c r="D35" s="2562"/>
      <c r="F35" s="2553"/>
      <c r="G35" s="2553"/>
      <c r="H35" s="2553"/>
      <c r="I35" s="2553"/>
      <c r="J35" s="2553"/>
      <c r="K35" s="2553"/>
      <c r="L35" s="2553"/>
      <c r="M35" s="2553"/>
      <c r="N35" s="2553"/>
      <c r="O35" s="2553"/>
      <c r="P35" s="2553"/>
      <c r="Q35" s="2553"/>
      <c r="R35" s="2553"/>
      <c r="S35" s="2553"/>
      <c r="T35" s="2553"/>
      <c r="U35" s="2553"/>
    </row>
    <row r="36" spans="2:21" x14ac:dyDescent="0.2">
      <c r="B36" s="2586">
        <f>IF(Présentation!$E$2="Français",'TRAD-quanti trimestre'!D36,IF(Présentation!$E$2="Anglais",'TRAD-quanti trimestre'!F36,""))</f>
        <v>0</v>
      </c>
      <c r="D36" s="2562"/>
      <c r="F36" s="2553"/>
      <c r="G36" s="2553"/>
      <c r="H36" s="2553"/>
      <c r="I36" s="2553"/>
      <c r="J36" s="2553"/>
      <c r="K36" s="2553"/>
      <c r="L36" s="2553"/>
      <c r="M36" s="2553"/>
      <c r="N36" s="2553"/>
      <c r="O36" s="2553"/>
      <c r="P36" s="2553"/>
      <c r="Q36" s="2553"/>
      <c r="R36" s="2553"/>
      <c r="S36" s="2553"/>
      <c r="T36" s="2553"/>
      <c r="U36" s="2553"/>
    </row>
    <row r="37" spans="2:21" x14ac:dyDescent="0.2">
      <c r="B37" s="2586">
        <f>IF(Présentation!$E$2="Français",'TRAD-quanti trimestre'!D37,IF(Présentation!$E$2="Anglais",'TRAD-quanti trimestre'!F37,""))</f>
        <v>0</v>
      </c>
      <c r="D37" s="2562"/>
      <c r="F37" s="2553"/>
      <c r="G37" s="2553"/>
      <c r="H37" s="2553"/>
      <c r="I37" s="2553"/>
      <c r="J37" s="2553"/>
      <c r="K37" s="2553"/>
      <c r="L37" s="2553"/>
      <c r="M37" s="2553"/>
      <c r="N37" s="2553"/>
      <c r="O37" s="2553"/>
      <c r="P37" s="2553"/>
      <c r="Q37" s="2553"/>
      <c r="R37" s="2553"/>
      <c r="S37" s="2553"/>
      <c r="T37" s="2553"/>
      <c r="U37" s="2553"/>
    </row>
    <row r="38" spans="2:21" x14ac:dyDescent="0.2">
      <c r="B38" s="2586">
        <f>IF(Présentation!$E$2="Français",'TRAD-quanti trimestre'!D38,IF(Présentation!$E$2="Anglais",'TRAD-quanti trimestre'!F38,""))</f>
        <v>0</v>
      </c>
      <c r="D38" s="2562"/>
      <c r="F38" s="2553"/>
      <c r="G38" s="2553"/>
      <c r="H38" s="2553"/>
      <c r="I38" s="2553"/>
      <c r="J38" s="2553"/>
      <c r="K38" s="2553"/>
      <c r="L38" s="2553"/>
      <c r="M38" s="2553"/>
      <c r="N38" s="2553"/>
      <c r="O38" s="2553"/>
      <c r="P38" s="2553"/>
      <c r="Q38" s="2553"/>
      <c r="R38" s="2553"/>
      <c r="S38" s="2553"/>
      <c r="T38" s="2553"/>
      <c r="U38" s="2553"/>
    </row>
    <row r="39" spans="2:21" x14ac:dyDescent="0.2">
      <c r="B39" s="2586">
        <f>IF(Présentation!$E$2="Français",'TRAD-quanti trimestre'!D39,IF(Présentation!$E$2="Anglais",'TRAD-quanti trimestre'!F39,""))</f>
        <v>0</v>
      </c>
      <c r="D39" s="2562"/>
      <c r="F39" s="2553"/>
      <c r="G39" s="2553"/>
      <c r="H39" s="2553"/>
      <c r="I39" s="2553"/>
      <c r="J39" s="2553"/>
      <c r="K39" s="2553"/>
      <c r="L39" s="2553"/>
      <c r="M39" s="2553"/>
      <c r="N39" s="2553"/>
      <c r="O39" s="2553"/>
      <c r="P39" s="2553"/>
      <c r="Q39" s="2553"/>
      <c r="R39" s="2553"/>
      <c r="S39" s="2553"/>
      <c r="T39" s="2553"/>
      <c r="U39" s="2553"/>
    </row>
    <row r="40" spans="2:21" x14ac:dyDescent="0.2">
      <c r="B40" s="2586">
        <f>IF(Présentation!$E$2="Français",'TRAD-quanti trimestre'!D40,IF(Présentation!$E$2="Anglais",'TRAD-quanti trimestre'!F40,""))</f>
        <v>0</v>
      </c>
      <c r="D40" s="2562"/>
      <c r="F40" s="2553"/>
      <c r="G40" s="2553"/>
      <c r="H40" s="2553"/>
      <c r="I40" s="2553"/>
      <c r="J40" s="2553"/>
      <c r="K40" s="2553"/>
      <c r="L40" s="2553"/>
      <c r="M40" s="2553"/>
      <c r="N40" s="2553"/>
      <c r="O40" s="2553"/>
      <c r="P40" s="2553"/>
      <c r="Q40" s="2553"/>
      <c r="R40" s="2553"/>
      <c r="S40" s="2553"/>
      <c r="T40" s="2553"/>
      <c r="U40" s="2553"/>
    </row>
    <row r="41" spans="2:21" x14ac:dyDescent="0.2">
      <c r="B41" s="2586">
        <f>IF(Présentation!$E$2="Français",'TRAD-quanti trimestre'!D41,IF(Présentation!$E$2="Anglais",'TRAD-quanti trimestre'!F41,""))</f>
        <v>0</v>
      </c>
      <c r="D41" s="2562"/>
      <c r="F41" s="2553"/>
      <c r="G41" s="2553"/>
      <c r="H41" s="2553"/>
      <c r="I41" s="2553"/>
      <c r="J41" s="2553"/>
      <c r="K41" s="2553"/>
      <c r="L41" s="2553"/>
      <c r="M41" s="2553"/>
      <c r="N41" s="2553"/>
      <c r="O41" s="2553"/>
      <c r="P41" s="2553"/>
      <c r="Q41" s="2553"/>
      <c r="R41" s="2553"/>
      <c r="S41" s="2553"/>
      <c r="T41" s="2553"/>
      <c r="U41" s="2553"/>
    </row>
    <row r="42" spans="2:21" x14ac:dyDescent="0.2">
      <c r="B42" s="2586">
        <f>IF(Présentation!$E$2="Français",'TRAD-quanti trimestre'!D42,IF(Présentation!$E$2="Anglais",'TRAD-quanti trimestre'!F42,""))</f>
        <v>0</v>
      </c>
      <c r="D42" s="2562"/>
      <c r="F42" s="2553"/>
      <c r="G42" s="2553"/>
      <c r="H42" s="2553"/>
      <c r="I42" s="2553"/>
      <c r="J42" s="2553"/>
      <c r="K42" s="2553"/>
      <c r="L42" s="2553"/>
      <c r="M42" s="2553"/>
      <c r="N42" s="2553"/>
      <c r="O42" s="2553"/>
      <c r="P42" s="2553"/>
      <c r="Q42" s="2553"/>
      <c r="R42" s="2553"/>
      <c r="S42" s="2553"/>
      <c r="T42" s="2553"/>
      <c r="U42" s="2553"/>
    </row>
    <row r="43" spans="2:21" x14ac:dyDescent="0.2">
      <c r="B43" s="2586">
        <f>IF(Présentation!$E$2="Français",'TRAD-quanti trimestre'!D43,IF(Présentation!$E$2="Anglais",'TRAD-quanti trimestre'!F43,""))</f>
        <v>0</v>
      </c>
      <c r="D43" s="2562"/>
      <c r="F43" s="2553"/>
      <c r="G43" s="2553"/>
      <c r="H43" s="2553"/>
      <c r="I43" s="2553"/>
      <c r="J43" s="2553"/>
      <c r="K43" s="2553"/>
      <c r="L43" s="2553"/>
      <c r="M43" s="2553"/>
      <c r="N43" s="2553"/>
      <c r="O43" s="2553"/>
      <c r="P43" s="2553"/>
      <c r="Q43" s="2553"/>
      <c r="R43" s="2553"/>
      <c r="S43" s="2553"/>
      <c r="T43" s="2553"/>
      <c r="U43" s="2553"/>
    </row>
    <row r="44" spans="2:21" x14ac:dyDescent="0.2">
      <c r="B44" s="2586">
        <f>IF(Présentation!$E$2="Français",'TRAD-quanti trimestre'!D44,IF(Présentation!$E$2="Anglais",'TRAD-quanti trimestre'!F44,""))</f>
        <v>0</v>
      </c>
      <c r="D44" s="2562"/>
      <c r="F44" s="2553"/>
      <c r="G44" s="2553"/>
      <c r="H44" s="2553"/>
      <c r="I44" s="2553"/>
      <c r="J44" s="2553"/>
      <c r="K44" s="2553"/>
      <c r="L44" s="2553"/>
      <c r="M44" s="2553"/>
      <c r="N44" s="2553"/>
      <c r="O44" s="2553"/>
      <c r="P44" s="2553"/>
      <c r="Q44" s="2553"/>
      <c r="R44" s="2553"/>
      <c r="S44" s="2553"/>
      <c r="T44" s="2553"/>
      <c r="U44" s="2553"/>
    </row>
    <row r="45" spans="2:21" x14ac:dyDescent="0.2">
      <c r="B45" s="2586">
        <f>IF(Présentation!$E$2="Français",'TRAD-quanti trimestre'!D45,IF(Présentation!$E$2="Anglais",'TRAD-quanti trimestre'!F45,""))</f>
        <v>0</v>
      </c>
      <c r="D45" s="2562"/>
      <c r="F45" s="2553"/>
      <c r="G45" s="2553"/>
      <c r="H45" s="2553"/>
      <c r="I45" s="2553"/>
      <c r="J45" s="2553"/>
      <c r="K45" s="2553"/>
      <c r="L45" s="2553"/>
      <c r="M45" s="2553"/>
      <c r="N45" s="2553"/>
      <c r="O45" s="2553"/>
      <c r="P45" s="2553"/>
      <c r="Q45" s="2553"/>
      <c r="R45" s="2553"/>
      <c r="S45" s="2553"/>
      <c r="T45" s="2553"/>
      <c r="U45" s="2553"/>
    </row>
    <row r="46" spans="2:21" x14ac:dyDescent="0.2">
      <c r="B46" s="2586">
        <f>IF(Présentation!$E$2="Français",'TRAD-quanti trimestre'!D46,IF(Présentation!$E$2="Anglais",'TRAD-quanti trimestre'!F46,""))</f>
        <v>0</v>
      </c>
      <c r="D46" s="2562"/>
      <c r="F46" s="2553"/>
      <c r="G46" s="2553"/>
      <c r="H46" s="2553"/>
      <c r="I46" s="2553"/>
      <c r="J46" s="2553"/>
      <c r="K46" s="2553"/>
      <c r="L46" s="2553"/>
      <c r="M46" s="2553"/>
      <c r="N46" s="2553"/>
      <c r="O46" s="2553"/>
      <c r="P46" s="2553"/>
      <c r="Q46" s="2553"/>
      <c r="R46" s="2553"/>
      <c r="S46" s="2553"/>
      <c r="T46" s="2553"/>
      <c r="U46" s="2553"/>
    </row>
    <row r="47" spans="2:21" x14ac:dyDescent="0.2">
      <c r="B47" s="2586">
        <f>IF(Présentation!$E$2="Français",'TRAD-quanti trimestre'!D47,IF(Présentation!$E$2="Anglais",'TRAD-quanti trimestre'!F47,""))</f>
        <v>0</v>
      </c>
      <c r="D47" s="2562"/>
      <c r="F47" s="2553"/>
      <c r="G47" s="2553"/>
      <c r="H47" s="2553"/>
      <c r="I47" s="2553"/>
      <c r="J47" s="2553"/>
      <c r="K47" s="2553"/>
      <c r="L47" s="2553"/>
      <c r="M47" s="2553"/>
      <c r="N47" s="2553"/>
      <c r="O47" s="2553"/>
      <c r="P47" s="2553"/>
      <c r="Q47" s="2553"/>
      <c r="R47" s="2553"/>
      <c r="S47" s="2553"/>
      <c r="T47" s="2553"/>
      <c r="U47" s="2553"/>
    </row>
    <row r="48" spans="2:21" x14ac:dyDescent="0.2">
      <c r="B48" s="2586">
        <f>IF(Présentation!$E$2="Français",'TRAD-quanti trimestre'!D48,IF(Présentation!$E$2="Anglais",'TRAD-quanti trimestre'!F48,""))</f>
        <v>0</v>
      </c>
      <c r="D48" s="2553"/>
      <c r="F48" s="2553"/>
      <c r="G48" s="2553"/>
      <c r="H48" s="2553"/>
      <c r="I48" s="2553"/>
      <c r="J48" s="2553"/>
      <c r="K48" s="2553"/>
      <c r="L48" s="2553"/>
      <c r="M48" s="2553"/>
      <c r="N48" s="2553"/>
      <c r="O48" s="2553"/>
      <c r="P48" s="2553"/>
      <c r="Q48" s="2553"/>
      <c r="R48" s="2553"/>
      <c r="S48" s="2553"/>
      <c r="T48" s="2553"/>
      <c r="U48" s="2553"/>
    </row>
    <row r="49" spans="2:21" x14ac:dyDescent="0.2">
      <c r="B49" s="2586">
        <f>IF(Présentation!$E$2="Français",'TRAD-quanti trimestre'!D49,IF(Présentation!$E$2="Anglais",'TRAD-quanti trimestre'!F49,""))</f>
        <v>0</v>
      </c>
      <c r="D49" s="2562"/>
      <c r="F49" s="2553"/>
      <c r="G49" s="2562"/>
      <c r="H49" s="2562"/>
      <c r="I49" s="2562"/>
      <c r="J49" s="2562"/>
      <c r="K49" s="2562"/>
      <c r="L49" s="2562"/>
      <c r="M49" s="2553"/>
      <c r="N49" s="2553"/>
      <c r="O49" s="2553"/>
      <c r="P49" s="2553"/>
      <c r="Q49" s="2553"/>
      <c r="R49" s="2553"/>
      <c r="S49" s="2553"/>
      <c r="T49" s="2553"/>
      <c r="U49" s="2553"/>
    </row>
    <row r="50" spans="2:21" x14ac:dyDescent="0.2">
      <c r="B50" s="2586">
        <f>IF(Présentation!$E$2="Français",'TRAD-quanti trimestre'!D50,IF(Présentation!$E$2="Anglais",'TRAD-quanti trimestre'!F50,""))</f>
        <v>0</v>
      </c>
      <c r="D50" s="2562"/>
      <c r="F50" s="2553"/>
      <c r="G50" s="2562"/>
      <c r="H50" s="2562"/>
      <c r="I50" s="2562"/>
      <c r="J50" s="2562"/>
      <c r="K50" s="2562"/>
      <c r="L50" s="2562"/>
      <c r="M50" s="2553"/>
      <c r="N50" s="2553"/>
      <c r="O50" s="2553"/>
      <c r="P50" s="2553"/>
      <c r="Q50" s="2553"/>
      <c r="R50" s="2553"/>
      <c r="S50" s="2553"/>
      <c r="T50" s="2553"/>
      <c r="U50" s="2553"/>
    </row>
    <row r="51" spans="2:21" x14ac:dyDescent="0.2">
      <c r="B51" s="2586">
        <f>IF(Présentation!$E$2="Français",'TRAD-quanti trimestre'!D51,IF(Présentation!$E$2="Anglais",'TRAD-quanti trimestre'!F51,""))</f>
        <v>0</v>
      </c>
      <c r="D51" s="2562"/>
      <c r="F51" s="2562"/>
      <c r="G51" s="2562"/>
      <c r="H51" s="2562"/>
      <c r="I51" s="2562"/>
      <c r="J51" s="2562"/>
      <c r="K51" s="2562"/>
      <c r="L51" s="2562"/>
      <c r="M51" s="2553"/>
      <c r="N51" s="2553"/>
      <c r="O51" s="2553"/>
      <c r="P51" s="2553"/>
      <c r="Q51" s="2553"/>
      <c r="R51" s="2553"/>
      <c r="S51" s="2553"/>
      <c r="T51" s="2553"/>
      <c r="U51" s="2553"/>
    </row>
    <row r="52" spans="2:21" x14ac:dyDescent="0.2">
      <c r="B52" s="2586">
        <f>IF(Présentation!$E$2="Français",'TRAD-quanti trimestre'!D52,IF(Présentation!$E$2="Anglais",'TRAD-quanti trimestre'!F52,""))</f>
        <v>0</v>
      </c>
      <c r="D52" s="2562"/>
      <c r="F52" s="2562"/>
      <c r="G52" s="2562"/>
      <c r="H52" s="2562"/>
      <c r="I52" s="2562"/>
      <c r="J52" s="2562"/>
      <c r="K52" s="2562"/>
      <c r="L52" s="2562"/>
      <c r="M52" s="2553"/>
      <c r="N52" s="2553"/>
      <c r="O52" s="2553"/>
      <c r="P52" s="2553"/>
      <c r="Q52" s="2553"/>
      <c r="R52" s="2553"/>
      <c r="S52" s="2553"/>
      <c r="T52" s="2553"/>
      <c r="U52" s="2553"/>
    </row>
    <row r="53" spans="2:21" x14ac:dyDescent="0.2">
      <c r="B53" s="2586">
        <f>IF(Présentation!$E$2="Français",'TRAD-quanti trimestre'!D53,IF(Présentation!$E$2="Anglais",'TRAD-quanti trimestre'!F53,""))</f>
        <v>0</v>
      </c>
      <c r="D53" s="2660"/>
      <c r="F53" s="2661"/>
      <c r="G53" s="2562"/>
      <c r="H53" s="2562"/>
      <c r="I53" s="2562"/>
      <c r="J53" s="2562"/>
      <c r="K53" s="2562"/>
      <c r="L53" s="2562"/>
      <c r="M53" s="2553"/>
      <c r="N53" s="2553"/>
      <c r="O53" s="2553"/>
      <c r="P53" s="2553"/>
      <c r="Q53" s="2553"/>
      <c r="R53" s="2553"/>
      <c r="S53" s="2553"/>
      <c r="T53" s="2553"/>
      <c r="U53" s="2553"/>
    </row>
    <row r="54" spans="2:21" x14ac:dyDescent="0.2">
      <c r="B54" s="2586">
        <f>IF(Présentation!$E$2="Français",'TRAD-quanti trimestre'!D54,IF(Présentation!$E$2="Anglais",'TRAD-quanti trimestre'!F54,""))</f>
        <v>0</v>
      </c>
      <c r="D54" s="2660"/>
      <c r="F54" s="2562"/>
      <c r="G54" s="2562"/>
      <c r="H54" s="2562"/>
      <c r="I54" s="2562"/>
      <c r="J54" s="2562"/>
      <c r="K54" s="2562"/>
      <c r="L54" s="2562"/>
      <c r="M54" s="2553"/>
      <c r="N54" s="2553"/>
      <c r="O54" s="2553"/>
      <c r="P54" s="2553"/>
      <c r="Q54" s="2553"/>
      <c r="R54" s="2553"/>
      <c r="S54" s="2553"/>
      <c r="T54" s="2553"/>
      <c r="U54" s="2553"/>
    </row>
    <row r="55" spans="2:21" x14ac:dyDescent="0.2">
      <c r="B55" s="2586">
        <f>IF(Présentation!$E$2="Français",'TRAD-quanti trimestre'!D55,IF(Présentation!$E$2="Anglais",'TRAD-quanti trimestre'!F55,""))</f>
        <v>0</v>
      </c>
      <c r="D55" s="2553"/>
      <c r="F55" s="2562"/>
      <c r="G55" s="2562"/>
      <c r="H55" s="2562"/>
      <c r="I55" s="2562"/>
      <c r="J55" s="2562"/>
      <c r="K55" s="2562"/>
      <c r="L55" s="2553"/>
      <c r="M55" s="2553"/>
      <c r="N55" s="2553"/>
      <c r="O55" s="2553"/>
      <c r="P55" s="2553"/>
      <c r="Q55" s="2553"/>
      <c r="R55" s="2553"/>
      <c r="S55" s="2553"/>
      <c r="T55" s="2553"/>
      <c r="U55" s="2553"/>
    </row>
    <row r="56" spans="2:21" x14ac:dyDescent="0.2">
      <c r="B56" s="2586">
        <f>IF(Présentation!$E$2="Français",'TRAD-quanti trimestre'!D56,IF(Présentation!$E$2="Anglais",'TRAD-quanti trimestre'!F56,""))</f>
        <v>0</v>
      </c>
      <c r="D56" s="2553"/>
      <c r="F56" s="2553"/>
      <c r="G56" s="2553"/>
      <c r="H56" s="2553"/>
      <c r="I56" s="2553"/>
      <c r="J56" s="2553"/>
      <c r="K56" s="2553"/>
      <c r="L56" s="2553"/>
      <c r="M56" s="2553"/>
      <c r="N56" s="2553"/>
      <c r="O56" s="2553"/>
      <c r="P56" s="2553"/>
      <c r="Q56" s="2553"/>
      <c r="R56" s="2553"/>
      <c r="S56" s="2553"/>
      <c r="T56" s="2553"/>
      <c r="U56" s="2553"/>
    </row>
    <row r="57" spans="2:21" x14ac:dyDescent="0.2">
      <c r="B57" s="2586">
        <f>IF(Présentation!$E$2="Français",'TRAD-quanti trimestre'!D57,IF(Présentation!$E$2="Anglais",'TRAD-quanti trimestre'!F57,""))</f>
        <v>0</v>
      </c>
      <c r="D57" s="2553"/>
      <c r="F57" s="2553"/>
      <c r="G57" s="2553"/>
      <c r="H57" s="2553"/>
      <c r="I57" s="2553"/>
      <c r="J57" s="2553"/>
      <c r="K57" s="2553"/>
      <c r="L57" s="2553"/>
      <c r="M57" s="2553"/>
      <c r="N57" s="2553"/>
      <c r="O57" s="2553"/>
      <c r="P57" s="2553"/>
      <c r="Q57" s="2553"/>
      <c r="R57" s="2553"/>
      <c r="S57" s="2553"/>
      <c r="T57" s="2553"/>
      <c r="U57" s="2553"/>
    </row>
    <row r="58" spans="2:21" x14ac:dyDescent="0.2">
      <c r="B58" s="2586">
        <f>IF(Présentation!$E$2="Français",'TRAD-quanti trimestre'!D58,IF(Présentation!$E$2="Anglais",'TRAD-quanti trimestre'!F58,""))</f>
        <v>0</v>
      </c>
      <c r="D58" s="2562"/>
      <c r="F58" s="2562"/>
      <c r="G58" s="2562"/>
      <c r="H58" s="2562"/>
      <c r="I58" s="2553"/>
      <c r="J58" s="2553"/>
      <c r="K58" s="2553"/>
      <c r="L58" s="2553"/>
      <c r="M58" s="2553"/>
      <c r="N58" s="2553"/>
      <c r="O58" s="2553"/>
      <c r="P58" s="2553"/>
      <c r="Q58" s="2553"/>
      <c r="R58" s="2553"/>
      <c r="S58" s="2553"/>
      <c r="T58" s="2553"/>
      <c r="U58" s="2553"/>
    </row>
    <row r="59" spans="2:21" x14ac:dyDescent="0.2">
      <c r="B59" s="2586">
        <f>IF(Présentation!$E$2="Français",'TRAD-quanti trimestre'!D59,IF(Présentation!$E$2="Anglais",'TRAD-quanti trimestre'!F59,""))</f>
        <v>0</v>
      </c>
      <c r="D59" s="2562"/>
      <c r="F59" s="2562"/>
      <c r="G59" s="2562"/>
      <c r="H59" s="2562"/>
      <c r="I59" s="2553"/>
      <c r="J59" s="2553"/>
      <c r="K59" s="2553"/>
      <c r="L59" s="2553"/>
      <c r="M59" s="2553"/>
      <c r="N59" s="2553"/>
      <c r="O59" s="2553"/>
      <c r="P59" s="2553"/>
      <c r="Q59" s="2553"/>
      <c r="R59" s="2553"/>
      <c r="S59" s="2553"/>
      <c r="T59" s="2553"/>
      <c r="U59" s="2553"/>
    </row>
    <row r="60" spans="2:21" x14ac:dyDescent="0.2">
      <c r="B60" s="2586">
        <f>IF(Présentation!$E$2="Français",'TRAD-quanti trimestre'!D60,IF(Présentation!$E$2="Anglais",'TRAD-quanti trimestre'!F60,""))</f>
        <v>0</v>
      </c>
      <c r="D60" s="2564"/>
      <c r="F60" s="2553"/>
      <c r="G60" s="2562"/>
      <c r="H60" s="2562"/>
      <c r="I60" s="2553"/>
      <c r="J60" s="2553"/>
      <c r="K60" s="2553"/>
      <c r="L60" s="2553"/>
      <c r="M60" s="2553"/>
      <c r="N60" s="2553"/>
      <c r="O60" s="2553"/>
      <c r="P60" s="2553"/>
      <c r="Q60" s="2553"/>
      <c r="R60" s="2553"/>
      <c r="S60" s="2553"/>
      <c r="T60" s="2553"/>
      <c r="U60" s="2553"/>
    </row>
    <row r="61" spans="2:21" x14ac:dyDescent="0.2">
      <c r="B61" s="2586">
        <f>IF(Présentation!$E$2="Français",'TRAD-quanti trimestre'!D61,IF(Présentation!$E$2="Anglais",'TRAD-quanti trimestre'!F61,""))</f>
        <v>0</v>
      </c>
      <c r="D61" s="2564"/>
      <c r="F61" s="2553"/>
      <c r="G61" s="2553"/>
      <c r="H61" s="2553"/>
      <c r="I61" s="2553"/>
      <c r="J61" s="2553"/>
      <c r="K61" s="2553"/>
      <c r="L61" s="2553"/>
      <c r="M61" s="2553"/>
      <c r="N61" s="2553"/>
      <c r="O61" s="2553"/>
      <c r="P61" s="2553"/>
      <c r="Q61" s="2553"/>
      <c r="R61" s="2553"/>
      <c r="S61" s="2553"/>
      <c r="T61" s="2553"/>
      <c r="U61" s="2553"/>
    </row>
    <row r="62" spans="2:21" x14ac:dyDescent="0.2">
      <c r="B62" s="2586">
        <f>IF(Présentation!$E$2="Français",'TRAD-quanti trimestre'!D62,IF(Présentation!$E$2="Anglais",'TRAD-quanti trimestre'!F62,""))</f>
        <v>0</v>
      </c>
      <c r="D62" s="2553"/>
      <c r="F62" s="2553"/>
      <c r="G62" s="2553"/>
      <c r="H62" s="2553"/>
      <c r="I62" s="2553"/>
      <c r="J62" s="2553"/>
      <c r="K62" s="2553"/>
      <c r="L62" s="2553"/>
      <c r="M62" s="2553"/>
      <c r="N62" s="2553"/>
      <c r="O62" s="2553"/>
      <c r="P62" s="2553"/>
      <c r="Q62" s="2553"/>
      <c r="R62" s="2553"/>
      <c r="S62" s="2553"/>
      <c r="T62" s="2553"/>
      <c r="U62" s="2553"/>
    </row>
    <row r="63" spans="2:21" x14ac:dyDescent="0.2">
      <c r="B63" s="2586">
        <f>IF(Présentation!$E$2="Français",'TRAD-quanti trimestre'!D63,IF(Présentation!$E$2="Anglais",'TRAD-quanti trimestre'!F63,""))</f>
        <v>0</v>
      </c>
      <c r="D63" s="2562"/>
      <c r="F63" s="2553"/>
      <c r="G63" s="2553"/>
      <c r="H63" s="2553"/>
      <c r="I63" s="2553"/>
      <c r="J63" s="2553"/>
      <c r="K63" s="2553"/>
      <c r="L63" s="2553"/>
      <c r="M63" s="2553"/>
      <c r="N63" s="2553"/>
      <c r="O63" s="2553"/>
      <c r="P63" s="2553"/>
      <c r="Q63" s="2553"/>
      <c r="R63" s="2553"/>
      <c r="S63" s="2553"/>
      <c r="T63" s="2553"/>
      <c r="U63" s="2553"/>
    </row>
    <row r="64" spans="2:21" x14ac:dyDescent="0.2">
      <c r="B64" s="2586">
        <f>IF(Présentation!$E$2="Français",'TRAD-quanti trimestre'!D64,IF(Présentation!$E$2="Anglais",'TRAD-quanti trimestre'!F64,""))</f>
        <v>0</v>
      </c>
      <c r="D64" s="2562"/>
      <c r="F64" s="2553"/>
      <c r="G64" s="2553"/>
      <c r="H64" s="2553"/>
      <c r="I64" s="2553"/>
      <c r="J64" s="2553"/>
      <c r="K64" s="2553"/>
      <c r="L64" s="2553"/>
      <c r="M64" s="2553"/>
      <c r="N64" s="2553"/>
      <c r="O64" s="2553"/>
      <c r="P64" s="2553"/>
      <c r="Q64" s="2553"/>
      <c r="R64" s="2553"/>
      <c r="S64" s="2553"/>
      <c r="T64" s="2553"/>
      <c r="U64" s="2553"/>
    </row>
    <row r="65" spans="2:21" x14ac:dyDescent="0.2">
      <c r="B65" s="2586">
        <f>IF(Présentation!$E$2="Français",'TRAD-quanti trimestre'!D65,IF(Présentation!$E$2="Anglais",'TRAD-quanti trimestre'!F65,""))</f>
        <v>0</v>
      </c>
      <c r="D65" s="2562"/>
      <c r="F65" s="2553"/>
      <c r="G65" s="2553"/>
      <c r="H65" s="2553"/>
      <c r="I65" s="2553"/>
      <c r="J65" s="2553"/>
      <c r="K65" s="2553"/>
      <c r="L65" s="2553"/>
      <c r="M65" s="2553"/>
      <c r="N65" s="2553"/>
      <c r="O65" s="2553"/>
      <c r="P65" s="2553"/>
      <c r="Q65" s="2553"/>
      <c r="R65" s="2553"/>
      <c r="S65" s="2553"/>
      <c r="T65" s="2553"/>
      <c r="U65" s="2553"/>
    </row>
    <row r="66" spans="2:21" x14ac:dyDescent="0.2">
      <c r="B66" s="2586">
        <f>IF(Présentation!$E$2="Français",'TRAD-quanti trimestre'!D66,IF(Présentation!$E$2="Anglais",'TRAD-quanti trimestre'!F66,""))</f>
        <v>0</v>
      </c>
      <c r="D66" s="2562"/>
      <c r="E66" s="2553"/>
      <c r="F66" s="2553"/>
      <c r="G66" s="2553"/>
      <c r="H66" s="2553"/>
      <c r="I66" s="2553"/>
      <c r="J66" s="2553"/>
      <c r="K66" s="2553"/>
      <c r="L66" s="2553"/>
      <c r="M66" s="2553"/>
      <c r="N66" s="2553"/>
      <c r="O66" s="2553"/>
      <c r="P66" s="2553"/>
      <c r="Q66" s="2553"/>
      <c r="R66" s="2553"/>
      <c r="S66" s="2553"/>
      <c r="T66" s="2553"/>
      <c r="U66" s="2553"/>
    </row>
    <row r="67" spans="2:21" x14ac:dyDescent="0.2">
      <c r="B67" s="2586">
        <f>IF(Présentation!$E$2="Français",'TRAD-quanti trimestre'!D67,IF(Présentation!$E$2="Anglais",'TRAD-quanti trimestre'!F67,""))</f>
        <v>0</v>
      </c>
      <c r="D67" s="2553"/>
      <c r="E67" s="2553"/>
      <c r="F67" s="2553"/>
      <c r="G67" s="2553"/>
      <c r="H67" s="2553"/>
      <c r="I67" s="2553"/>
      <c r="J67" s="2553"/>
      <c r="K67" s="2553"/>
      <c r="L67" s="2553"/>
      <c r="M67" s="2553"/>
      <c r="N67" s="2553"/>
      <c r="O67" s="2553"/>
      <c r="P67" s="2553"/>
      <c r="Q67" s="2553"/>
      <c r="R67" s="2553"/>
      <c r="S67" s="2553"/>
      <c r="T67" s="2553"/>
      <c r="U67" s="2553"/>
    </row>
    <row r="68" spans="2:21" x14ac:dyDescent="0.2">
      <c r="B68" s="2586">
        <f>IF(Présentation!$E$2="Français",'TRAD-quanti trimestre'!D68,IF(Présentation!$E$2="Anglais",'TRAD-quanti trimestre'!F68,""))</f>
        <v>0</v>
      </c>
      <c r="D68" s="2553"/>
      <c r="E68" s="2553"/>
      <c r="F68" s="2553"/>
      <c r="G68" s="2553"/>
      <c r="H68" s="2553"/>
      <c r="I68" s="2553"/>
      <c r="J68" s="2553"/>
      <c r="K68" s="2553"/>
      <c r="L68" s="2553"/>
      <c r="M68" s="2553"/>
      <c r="N68" s="2553"/>
      <c r="O68" s="2553"/>
      <c r="P68" s="2553"/>
      <c r="Q68" s="2553"/>
      <c r="R68" s="2553"/>
      <c r="S68" s="2553"/>
      <c r="T68" s="2553"/>
      <c r="U68" s="2553"/>
    </row>
    <row r="69" spans="2:21" x14ac:dyDescent="0.2">
      <c r="B69" s="2586">
        <f>IF(Présentation!$E$2="Français",'TRAD-quanti trimestre'!D69,IF(Présentation!$E$2="Anglais",'TRAD-quanti trimestre'!F69,""))</f>
        <v>0</v>
      </c>
      <c r="D69" s="2553"/>
      <c r="E69" s="2553"/>
      <c r="F69" s="2553"/>
      <c r="G69" s="2553"/>
      <c r="H69" s="2553"/>
      <c r="I69" s="2553"/>
      <c r="J69" s="2553"/>
      <c r="K69" s="2553"/>
      <c r="L69" s="2553"/>
      <c r="M69" s="2553"/>
      <c r="N69" s="2553"/>
      <c r="O69" s="2553"/>
      <c r="P69" s="2553"/>
      <c r="Q69" s="2553"/>
      <c r="R69" s="2553"/>
      <c r="S69" s="2553"/>
      <c r="T69" s="2553"/>
      <c r="U69" s="2553"/>
    </row>
    <row r="70" spans="2:21" x14ac:dyDescent="0.2">
      <c r="B70" s="2586">
        <f>IF(Présentation!$E$2="Français",'TRAD-quanti trimestre'!D70,IF(Présentation!$E$2="Anglais",'TRAD-quanti trimestre'!F70,""))</f>
        <v>0</v>
      </c>
      <c r="D70" s="2553"/>
      <c r="E70" s="2553"/>
      <c r="F70" s="2553"/>
      <c r="G70" s="2553"/>
      <c r="H70" s="2553"/>
      <c r="I70" s="2553"/>
      <c r="J70" s="2553"/>
      <c r="K70" s="2553"/>
      <c r="L70" s="2553"/>
      <c r="M70" s="2553"/>
      <c r="N70" s="2553"/>
      <c r="O70" s="2553"/>
      <c r="P70" s="2553"/>
      <c r="Q70" s="2553"/>
      <c r="R70" s="2553"/>
      <c r="S70" s="2553"/>
      <c r="T70" s="2553"/>
      <c r="U70" s="2553"/>
    </row>
    <row r="71" spans="2:21" x14ac:dyDescent="0.2">
      <c r="B71" s="2586">
        <f>IF(Présentation!$E$2="Français",'TRAD-quanti trimestre'!D71,IF(Présentation!$E$2="Anglais",'TRAD-quanti trimestre'!F71,""))</f>
        <v>0</v>
      </c>
      <c r="D71" s="2553"/>
      <c r="E71" s="2553"/>
      <c r="F71" s="2553"/>
      <c r="G71" s="2553"/>
      <c r="H71" s="2553"/>
      <c r="I71" s="2553"/>
      <c r="J71" s="2553"/>
      <c r="K71" s="2553"/>
      <c r="L71" s="2553"/>
      <c r="M71" s="2553"/>
      <c r="N71" s="2553"/>
      <c r="O71" s="2553"/>
      <c r="P71" s="2553"/>
      <c r="Q71" s="2553"/>
      <c r="R71" s="2553"/>
      <c r="S71" s="2553"/>
      <c r="T71" s="2553"/>
      <c r="U71" s="2553"/>
    </row>
    <row r="72" spans="2:21" x14ac:dyDescent="0.2">
      <c r="B72" s="2586">
        <f>IF(Présentation!$E$2="Français",'TRAD-quanti trimestre'!D72,IF(Présentation!$E$2="Anglais",'TRAD-quanti trimestre'!F72,""))</f>
        <v>0</v>
      </c>
      <c r="D72" s="2553"/>
      <c r="F72" s="2553"/>
    </row>
    <row r="73" spans="2:21" x14ac:dyDescent="0.2">
      <c r="B73" s="2586">
        <f>IF(Présentation!$E$2="Français",'TRAD-quanti trimestre'!D73,IF(Présentation!$E$2="Anglais",'TRAD-quanti trimestre'!F73,""))</f>
        <v>0</v>
      </c>
      <c r="D73" s="2553"/>
      <c r="F73" s="2553"/>
    </row>
    <row r="74" spans="2:21" x14ac:dyDescent="0.2">
      <c r="B74" s="2586">
        <f>IF(Présentation!$E$2="Français",'TRAD-quanti trimestre'!D74,IF(Présentation!$E$2="Anglais",'TRAD-quanti trimestre'!F74,""))</f>
        <v>0</v>
      </c>
    </row>
    <row r="75" spans="2:21" x14ac:dyDescent="0.2">
      <c r="B75" s="2586">
        <f>IF(Présentation!$E$2="Français",'TRAD-quanti trimestre'!D75,IF(Présentation!$E$2="Anglais",'TRAD-quanti trimestre'!F75,""))</f>
        <v>0</v>
      </c>
    </row>
    <row r="76" spans="2:21" x14ac:dyDescent="0.2">
      <c r="B76" s="2586">
        <f>IF(Présentation!$E$2="Français",'TRAD-quanti trimestre'!D76,IF(Présentation!$E$2="Anglais",'TRAD-quanti trimestre'!F76,""))</f>
        <v>0</v>
      </c>
    </row>
    <row r="77" spans="2:21" x14ac:dyDescent="0.2">
      <c r="B77" s="2586">
        <f>IF(Présentation!$E$2="Français",'TRAD-quanti trimestre'!D77,IF(Présentation!$E$2="Anglais",'TRAD-quanti trimestre'!F77,""))</f>
        <v>0</v>
      </c>
    </row>
    <row r="78" spans="2:21" x14ac:dyDescent="0.2">
      <c r="B78" s="2586">
        <f>IF(Présentation!$E$2="Français",'TRAD-quanti trimestre'!D78,IF(Présentation!$E$2="Anglais",'TRAD-quanti trimestre'!F78,""))</f>
        <v>0</v>
      </c>
    </row>
  </sheetData>
  <sheetProtection password="D0E7" sheet="1" objects="1" scenarios="1"/>
  <conditionalFormatting sqref="D53:D54 J56:K59 J49:K54 D15 D20:D21">
    <cfRule type="cellIs" dxfId="8" priority="1" operator="equal">
      <formula>0</formula>
    </cfRule>
  </conditionalFormatting>
  <dataValidations count="1">
    <dataValidation allowBlank="1" showInputMessage="1" showErrorMessage="1" sqref="D53:D54"/>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tabColor theme="0" tint="-0.249977111117893"/>
  </sheetPr>
  <dimension ref="A1:K95"/>
  <sheetViews>
    <sheetView showGridLines="0" view="pageBreakPreview" zoomScaleSheetLayoutView="100" workbookViewId="0">
      <selection activeCell="O8" sqref="O8"/>
    </sheetView>
  </sheetViews>
  <sheetFormatPr defaultColWidth="11.42578125" defaultRowHeight="12" x14ac:dyDescent="0.2"/>
  <cols>
    <col min="1" max="1" width="4.7109375" style="433" customWidth="1"/>
    <col min="2" max="2" width="21.5703125" style="433" bestFit="1" customWidth="1"/>
    <col min="3" max="3" width="11.42578125" style="433"/>
    <col min="4" max="4" width="4.140625" style="433" customWidth="1"/>
    <col min="5" max="5" width="20.42578125" style="433" customWidth="1"/>
    <col min="6" max="7" width="11.42578125" style="433"/>
    <col min="8" max="8" width="3.42578125" style="433" customWidth="1"/>
    <col min="9" max="9" width="21" style="433" customWidth="1"/>
    <col min="10" max="11" width="11.42578125" style="433"/>
    <col min="12" max="12" width="3.28515625" style="433" customWidth="1"/>
    <col min="13" max="13" width="10.85546875" style="433" customWidth="1"/>
    <col min="14" max="14" width="6.140625" style="433" customWidth="1"/>
    <col min="15" max="15" width="14.42578125" style="433" bestFit="1" customWidth="1"/>
    <col min="16" max="16" width="11.42578125" style="433"/>
    <col min="17" max="17" width="13.7109375" style="433" bestFit="1" customWidth="1"/>
    <col min="18" max="18" width="16.28515625" style="433" bestFit="1" customWidth="1"/>
    <col min="19" max="19" width="32.5703125" style="433" bestFit="1" customWidth="1"/>
    <col min="20" max="16384" width="11.42578125" style="433"/>
  </cols>
  <sheetData>
    <row r="1" spans="1:11" ht="12.75" thickBot="1" x14ac:dyDescent="0.25">
      <c r="A1" s="434" t="str">
        <f>'TRAD-impressions'!B2</f>
        <v>Tableau d'évaluation des besoins en ARV</v>
      </c>
      <c r="F1" s="1296" t="str">
        <f>'TRAD-impressions'!B4</f>
        <v>Pays / Région</v>
      </c>
      <c r="G1" s="2430"/>
      <c r="H1" s="2430"/>
      <c r="I1" s="2465" t="str">
        <f>Paramétrage!D11:D11</f>
        <v>TEST</v>
      </c>
    </row>
    <row r="2" spans="1:11" ht="12.75" thickBot="1" x14ac:dyDescent="0.25">
      <c r="A2" s="434" t="str">
        <f>'TRAD-impressions'!B3</f>
        <v>Synthèse des données &amp; hypothèses prises en compte</v>
      </c>
      <c r="F2" s="1296" t="str">
        <f>'TRAD-impressions'!B5</f>
        <v>Date de mise à jour des données</v>
      </c>
      <c r="G2" s="2430"/>
      <c r="H2" s="2430"/>
      <c r="I2" s="2466">
        <f>Paramétrage!H19</f>
        <v>41919</v>
      </c>
    </row>
    <row r="4" spans="1:11" ht="12.75" thickBot="1" x14ac:dyDescent="0.25">
      <c r="A4" s="3305" t="str">
        <f>'TRAD-impressions'!B6</f>
        <v>1. Données de suivi de patients - ADULTES</v>
      </c>
      <c r="B4" s="3306"/>
      <c r="C4" s="3306"/>
      <c r="D4" s="3306"/>
      <c r="E4" s="3306"/>
      <c r="F4" s="3306"/>
      <c r="G4" s="3306"/>
      <c r="H4" s="3306"/>
      <c r="I4" s="3306"/>
      <c r="J4" s="3306"/>
      <c r="K4" s="3306"/>
    </row>
    <row r="5" spans="1:11" ht="12.75" thickBot="1" x14ac:dyDescent="0.25">
      <c r="B5" s="434"/>
    </row>
    <row r="6" spans="1:11" ht="12.75" thickBot="1" x14ac:dyDescent="0.25">
      <c r="B6" s="1296" t="str">
        <f>'Saisie données file act.'!$D$367</f>
        <v>B.1. Répartition par schémas thérapeutiques</v>
      </c>
      <c r="C6" s="1297"/>
      <c r="E6" s="1296" t="str">
        <f>'Saisie données file act.'!D207</f>
        <v>B.1. Initiations TARV</v>
      </c>
      <c r="F6" s="1298"/>
      <c r="G6" s="1297"/>
      <c r="I6" s="1296" t="str">
        <f>'Saisie données file act.'!D239</f>
        <v>B.2. Passage en 2ème ligne</v>
      </c>
      <c r="J6" s="1298"/>
      <c r="K6" s="1297"/>
    </row>
    <row r="7" spans="1:11" ht="12.75" thickBot="1" x14ac:dyDescent="0.25"/>
    <row r="8" spans="1:11" ht="72.75" thickBot="1" x14ac:dyDescent="0.25">
      <c r="B8" s="441" t="str">
        <f>'Saisie données file act.'!D116</f>
        <v>Schéma thérapeutique</v>
      </c>
      <c r="C8" s="442" t="str">
        <f>'Saisie données file act.'!E116</f>
        <v xml:space="preserve">Nombre de patients </v>
      </c>
      <c r="E8" s="444" t="str">
        <f>'Saisie données file act.'!D209</f>
        <v>Augmentation mensuelle du nombre de patients réellement suivi (= Nombre d'iniations mensuelles - attrition mensuelle) :</v>
      </c>
      <c r="F8" s="434">
        <f>'Saisie données file act.'!K209</f>
        <v>0</v>
      </c>
      <c r="G8" s="434" t="str">
        <f>'Saisie données file act.'!F245</f>
        <v>patients / mois</v>
      </c>
      <c r="I8" s="444" t="str">
        <f>'Saisie données file act.'!D241</f>
        <v>Proportion de passage mensuel envisagé (/2ème ligne)</v>
      </c>
      <c r="J8" s="475">
        <f>'Saisie données file act.'!G241</f>
        <v>0</v>
      </c>
    </row>
    <row r="9" spans="1:11" ht="12.75" thickBot="1" x14ac:dyDescent="0.25">
      <c r="B9" s="438" t="str">
        <f>'Saisie données file act.'!D117</f>
        <v>Premières lignes</v>
      </c>
      <c r="C9" s="439"/>
      <c r="E9" s="444"/>
      <c r="F9" s="444"/>
      <c r="G9" s="444"/>
      <c r="I9" s="434" t="str">
        <f>'Saisie données file act.'!D245</f>
        <v>Cela représente donc :</v>
      </c>
      <c r="J9" s="470">
        <f>'Saisie données file act.'!E245</f>
        <v>0</v>
      </c>
      <c r="K9" s="434" t="str">
        <f>'Saisie données file act.'!F245</f>
        <v>patients / mois</v>
      </c>
    </row>
    <row r="10" spans="1:11" ht="48.75" thickBot="1" x14ac:dyDescent="0.25">
      <c r="B10" s="471" t="str">
        <f>'Saisie données file act.'!D118</f>
        <v>TDF+FTC+EFV</v>
      </c>
      <c r="C10" s="466">
        <f>'Saisie données file act.'!E118</f>
        <v>0</v>
      </c>
      <c r="E10" s="447" t="str">
        <f>'Saisie données file act.'!D213</f>
        <v>Schéma thérapeutique</v>
      </c>
      <c r="F10" s="453" t="str">
        <f>'Saisie données file act.'!E213</f>
        <v>Proportion %</v>
      </c>
      <c r="G10" s="440" t="str">
        <f>'Saisie données file act.'!F213</f>
        <v>Nombre théorique de patients  attendus</v>
      </c>
    </row>
    <row r="11" spans="1:11" ht="48.75" thickBot="1" x14ac:dyDescent="0.25">
      <c r="B11" s="436" t="str">
        <f>'Saisie données file act.'!D119</f>
        <v>ABC+3TC+ATV/r</v>
      </c>
      <c r="C11" s="435">
        <f>'Saisie données file act.'!E119</f>
        <v>0</v>
      </c>
      <c r="E11" s="438" t="str">
        <f>'Saisie données file act.'!D214</f>
        <v>Premières lignes</v>
      </c>
      <c r="F11" s="464"/>
      <c r="G11" s="454"/>
      <c r="I11" s="447" t="str">
        <f>'Saisie données file act.'!D270</f>
        <v>Schéma thérapeutique</v>
      </c>
      <c r="J11" s="453" t="str">
        <f>'Saisie données file act.'!F270</f>
        <v>Proportion %</v>
      </c>
      <c r="K11" s="440" t="str">
        <f>'Saisie données file act.'!E270</f>
        <v>Nombre théorique de patients  attendus</v>
      </c>
    </row>
    <row r="12" spans="1:11" ht="12.75" thickBot="1" x14ac:dyDescent="0.25">
      <c r="B12" s="436" t="str">
        <f>'Saisie données file act.'!D120</f>
        <v>TDF+FTC+ATV/r</v>
      </c>
      <c r="C12" s="435">
        <f>'Saisie données file act.'!E120</f>
        <v>0</v>
      </c>
      <c r="E12" s="471" t="str">
        <f>'Saisie données file act.'!D215</f>
        <v>TDF+FTC+EFV</v>
      </c>
      <c r="F12" s="465">
        <f>'Saisie données file act.'!E215</f>
        <v>0</v>
      </c>
      <c r="G12" s="466">
        <f>'Saisie données file act.'!F215</f>
        <v>0</v>
      </c>
      <c r="I12" s="437" t="str">
        <f>'Saisie données file act.'!D271</f>
        <v>Deuxièmes lignes</v>
      </c>
      <c r="J12" s="469"/>
      <c r="K12" s="472"/>
    </row>
    <row r="13" spans="1:11" x14ac:dyDescent="0.2">
      <c r="B13" s="436">
        <f>'Saisie données file act.'!D121</f>
        <v>0</v>
      </c>
      <c r="C13" s="435">
        <f>'Saisie données file act.'!E121</f>
        <v>0</v>
      </c>
      <c r="E13" s="436" t="str">
        <f>'Saisie données file act.'!D216</f>
        <v>ABC+3TC+ATV/r</v>
      </c>
      <c r="F13" s="463">
        <f>'Saisie données file act.'!E216</f>
        <v>0</v>
      </c>
      <c r="G13" s="435">
        <f>'Saisie données file act.'!F216</f>
        <v>0</v>
      </c>
      <c r="I13" s="471" t="str">
        <f>'Saisie données file act.'!D272</f>
        <v>ABC+3TC+AZT+ATV/r</v>
      </c>
      <c r="J13" s="465" t="e">
        <f>'Saisie données file act.'!F272</f>
        <v>#DIV/0!</v>
      </c>
      <c r="K13" s="473">
        <f>'Saisie données file act.'!E272</f>
        <v>0</v>
      </c>
    </row>
    <row r="14" spans="1:11" x14ac:dyDescent="0.2">
      <c r="B14" s="436">
        <f>'Saisie données file act.'!D122</f>
        <v>0</v>
      </c>
      <c r="C14" s="435">
        <f>'Saisie données file act.'!E122</f>
        <v>0</v>
      </c>
      <c r="E14" s="436" t="str">
        <f>'Saisie données file act.'!D217</f>
        <v>TDF+FTC+ATV/r</v>
      </c>
      <c r="F14" s="463">
        <f>'Saisie données file act.'!E217</f>
        <v>0</v>
      </c>
      <c r="G14" s="435">
        <f>'Saisie données file act.'!F217</f>
        <v>0</v>
      </c>
      <c r="I14" s="436" t="str">
        <f>'Saisie données file act.'!D274</f>
        <v>TDF+FTC+AZT+ATV/r</v>
      </c>
      <c r="J14" s="463" t="e">
        <f>'Saisie données file act.'!F274</f>
        <v>#DIV/0!</v>
      </c>
      <c r="K14" s="435">
        <f>'Saisie données file act.'!E274</f>
        <v>0</v>
      </c>
    </row>
    <row r="15" spans="1:11" x14ac:dyDescent="0.2">
      <c r="B15" s="436">
        <f>'Saisie données file act.'!D123</f>
        <v>0</v>
      </c>
      <c r="C15" s="435">
        <f>'Saisie données file act.'!E123</f>
        <v>0</v>
      </c>
      <c r="E15" s="436">
        <f>'Saisie données file act.'!D218</f>
        <v>0</v>
      </c>
      <c r="F15" s="463">
        <f>'Saisie données file act.'!E218</f>
        <v>0</v>
      </c>
      <c r="G15" s="435">
        <f>'Saisie données file act.'!F218</f>
        <v>0</v>
      </c>
      <c r="I15" s="436">
        <f>'Saisie données file act.'!D275</f>
        <v>0</v>
      </c>
      <c r="J15" s="463" t="e">
        <f>'Saisie données file act.'!F275</f>
        <v>#DIV/0!</v>
      </c>
      <c r="K15" s="435">
        <f>'Saisie données file act.'!E275</f>
        <v>0</v>
      </c>
    </row>
    <row r="16" spans="1:11" x14ac:dyDescent="0.2">
      <c r="B16" s="436">
        <f>'Saisie données file act.'!D124</f>
        <v>0</v>
      </c>
      <c r="C16" s="435">
        <f>'Saisie données file act.'!E124</f>
        <v>0</v>
      </c>
      <c r="E16" s="436">
        <f>'Saisie données file act.'!D219</f>
        <v>0</v>
      </c>
      <c r="F16" s="463">
        <f>'Saisie données file act.'!E219</f>
        <v>0</v>
      </c>
      <c r="G16" s="435">
        <f>'Saisie données file act.'!F219</f>
        <v>0</v>
      </c>
      <c r="I16" s="436">
        <f>'Saisie données file act.'!D276</f>
        <v>0</v>
      </c>
      <c r="J16" s="463" t="e">
        <f>'Saisie données file act.'!F276</f>
        <v>#DIV/0!</v>
      </c>
      <c r="K16" s="435">
        <f>'Saisie données file act.'!E276</f>
        <v>0</v>
      </c>
    </row>
    <row r="17" spans="2:11" x14ac:dyDescent="0.2">
      <c r="B17" s="436">
        <f>'Saisie données file act.'!D125</f>
        <v>0</v>
      </c>
      <c r="C17" s="435">
        <f>'Saisie données file act.'!E125</f>
        <v>0</v>
      </c>
      <c r="E17" s="436">
        <f>'Saisie données file act.'!D220</f>
        <v>0</v>
      </c>
      <c r="F17" s="463">
        <f>'Saisie données file act.'!E220</f>
        <v>0</v>
      </c>
      <c r="G17" s="435">
        <f>'Saisie données file act.'!F220</f>
        <v>0</v>
      </c>
      <c r="I17" s="436">
        <f>'Saisie données file act.'!D277</f>
        <v>0</v>
      </c>
      <c r="J17" s="463" t="e">
        <f>'Saisie données file act.'!F277</f>
        <v>#DIV/0!</v>
      </c>
      <c r="K17" s="435">
        <f>'Saisie données file act.'!E277</f>
        <v>0</v>
      </c>
    </row>
    <row r="18" spans="2:11" x14ac:dyDescent="0.2">
      <c r="B18" s="436">
        <f>'Saisie données file act.'!D126</f>
        <v>0</v>
      </c>
      <c r="C18" s="435">
        <f>'Saisie données file act.'!E126</f>
        <v>0</v>
      </c>
      <c r="E18" s="436">
        <f>'Saisie données file act.'!D221</f>
        <v>0</v>
      </c>
      <c r="F18" s="463">
        <f>'Saisie données file act.'!E221</f>
        <v>0</v>
      </c>
      <c r="G18" s="435">
        <f>'Saisie données file act.'!F221</f>
        <v>0</v>
      </c>
      <c r="I18" s="436">
        <f>'Saisie données file act.'!D278</f>
        <v>0</v>
      </c>
      <c r="J18" s="463" t="e">
        <f>'Saisie données file act.'!F278</f>
        <v>#DIV/0!</v>
      </c>
      <c r="K18" s="435">
        <f>'Saisie données file act.'!E278</f>
        <v>0</v>
      </c>
    </row>
    <row r="19" spans="2:11" x14ac:dyDescent="0.2">
      <c r="B19" s="436">
        <f>'Saisie données file act.'!D127</f>
        <v>0</v>
      </c>
      <c r="C19" s="435">
        <f>'Saisie données file act.'!E127</f>
        <v>0</v>
      </c>
      <c r="E19" s="436">
        <f>'Saisie données file act.'!D222</f>
        <v>0</v>
      </c>
      <c r="F19" s="463">
        <f>'Saisie données file act.'!E222</f>
        <v>0</v>
      </c>
      <c r="G19" s="435">
        <f>'Saisie données file act.'!F222</f>
        <v>0</v>
      </c>
      <c r="I19" s="436">
        <f>'Saisie données file act.'!D279</f>
        <v>0</v>
      </c>
      <c r="J19" s="463" t="e">
        <f>'Saisie données file act.'!F279</f>
        <v>#DIV/0!</v>
      </c>
      <c r="K19" s="435">
        <f>'Saisie données file act.'!E279</f>
        <v>0</v>
      </c>
    </row>
    <row r="20" spans="2:11" ht="12.75" thickBot="1" x14ac:dyDescent="0.25">
      <c r="B20" s="474">
        <f>'Saisie données file act.'!D128</f>
        <v>0</v>
      </c>
      <c r="C20" s="1228">
        <f>'Saisie données file act.'!E128</f>
        <v>0</v>
      </c>
      <c r="E20" s="436">
        <f>'Saisie données file act.'!D223</f>
        <v>0</v>
      </c>
      <c r="F20" s="463">
        <f>'Saisie données file act.'!E223</f>
        <v>0</v>
      </c>
      <c r="G20" s="435">
        <f>'Saisie données file act.'!F223</f>
        <v>0</v>
      </c>
      <c r="I20" s="436">
        <f>'Saisie données file act.'!D280</f>
        <v>0</v>
      </c>
      <c r="J20" s="463" t="e">
        <f>'Saisie données file act.'!F280</f>
        <v>#DIV/0!</v>
      </c>
      <c r="K20" s="435">
        <f>'Saisie données file act.'!E280</f>
        <v>0</v>
      </c>
    </row>
    <row r="21" spans="2:11" ht="12.75" thickBot="1" x14ac:dyDescent="0.25">
      <c r="B21" s="437" t="str">
        <f>'Saisie données file act.'!D129</f>
        <v>Deuxièmes lignes</v>
      </c>
      <c r="C21" s="443"/>
      <c r="E21" s="436">
        <f>'Saisie données file act.'!D224</f>
        <v>0</v>
      </c>
      <c r="F21" s="463">
        <f>'Saisie données file act.'!E224</f>
        <v>0</v>
      </c>
      <c r="G21" s="435">
        <f>'Saisie données file act.'!F224</f>
        <v>0</v>
      </c>
      <c r="I21" s="436">
        <f>'Saisie données file act.'!D281</f>
        <v>0</v>
      </c>
      <c r="J21" s="463" t="e">
        <f>'Saisie données file act.'!F281</f>
        <v>#DIV/0!</v>
      </c>
      <c r="K21" s="435">
        <f>'Saisie données file act.'!E281</f>
        <v>0</v>
      </c>
    </row>
    <row r="22" spans="2:11" ht="12.75" thickBot="1" x14ac:dyDescent="0.25">
      <c r="B22" s="448" t="str">
        <f>'Saisie données file act.'!D130</f>
        <v>ABC+3TC+AZT+ATV/r</v>
      </c>
      <c r="C22" s="1227">
        <f>'Saisie données file act.'!E130</f>
        <v>0</v>
      </c>
      <c r="E22" s="436">
        <f>'Saisie données file act.'!D225</f>
        <v>0</v>
      </c>
      <c r="F22" s="463">
        <f>'Saisie données file act.'!E225</f>
        <v>0</v>
      </c>
      <c r="G22" s="435">
        <f>'Saisie données file act.'!F225</f>
        <v>0</v>
      </c>
      <c r="I22" s="437" t="str">
        <f>'Saisie données file act.'!D282</f>
        <v>Lignes alternatives</v>
      </c>
      <c r="J22" s="469"/>
      <c r="K22" s="472"/>
    </row>
    <row r="23" spans="2:11" ht="12.75" thickBot="1" x14ac:dyDescent="0.25">
      <c r="B23" s="448" t="str">
        <f>'Saisie données file act.'!D131</f>
        <v>ABC+3TC+AZT+LPV/r</v>
      </c>
      <c r="C23" s="1227">
        <f>'Saisie données file act.'!E131</f>
        <v>0</v>
      </c>
      <c r="E23" s="437" t="str">
        <f>'Saisie données file act.'!D226</f>
        <v>Lignes alternatives</v>
      </c>
      <c r="F23" s="469"/>
      <c r="G23" s="472"/>
      <c r="I23" s="436">
        <f>'Saisie données file act.'!D283</f>
        <v>0</v>
      </c>
      <c r="J23" s="463">
        <f>'Saisie données file act.'!F283</f>
        <v>0</v>
      </c>
      <c r="K23" s="435">
        <f>'Saisie données file act.'!E283</f>
        <v>0</v>
      </c>
    </row>
    <row r="24" spans="2:11" x14ac:dyDescent="0.2">
      <c r="B24" s="436" t="str">
        <f>'Saisie données file act.'!D132</f>
        <v>TDF+FTC+AZT+ATV/r</v>
      </c>
      <c r="C24" s="435">
        <f>'Saisie données file act.'!E132</f>
        <v>0</v>
      </c>
      <c r="E24" s="436">
        <f>'Saisie données file act.'!D227</f>
        <v>0</v>
      </c>
      <c r="F24" s="463">
        <f>'Saisie données file act.'!E227</f>
        <v>0</v>
      </c>
      <c r="G24" s="435">
        <f>'Saisie données file act.'!F227</f>
        <v>0</v>
      </c>
      <c r="I24" s="436">
        <f>'Saisie données file act.'!D284</f>
        <v>0</v>
      </c>
      <c r="J24" s="463">
        <f>'Saisie données file act.'!F284</f>
        <v>0</v>
      </c>
      <c r="K24" s="435">
        <f>'Saisie données file act.'!E284</f>
        <v>0</v>
      </c>
    </row>
    <row r="25" spans="2:11" x14ac:dyDescent="0.2">
      <c r="B25" s="436">
        <f>'Saisie données file act.'!D133</f>
        <v>0</v>
      </c>
      <c r="C25" s="435">
        <f>'Saisie données file act.'!E133</f>
        <v>0</v>
      </c>
      <c r="E25" s="436">
        <f>'Saisie données file act.'!D228</f>
        <v>0</v>
      </c>
      <c r="F25" s="463">
        <f>'Saisie données file act.'!E228</f>
        <v>0</v>
      </c>
      <c r="G25" s="435">
        <f>'Saisie données file act.'!F228</f>
        <v>0</v>
      </c>
      <c r="I25" s="436">
        <f>'Saisie données file act.'!D285</f>
        <v>0</v>
      </c>
      <c r="J25" s="463">
        <f>'Saisie données file act.'!F285</f>
        <v>0</v>
      </c>
      <c r="K25" s="435">
        <f>'Saisie données file act.'!E285</f>
        <v>0</v>
      </c>
    </row>
    <row r="26" spans="2:11" x14ac:dyDescent="0.2">
      <c r="B26" s="436">
        <f>'Saisie données file act.'!D134</f>
        <v>0</v>
      </c>
      <c r="C26" s="435">
        <f>'Saisie données file act.'!E134</f>
        <v>0</v>
      </c>
      <c r="E26" s="436">
        <f>'Saisie données file act.'!D229</f>
        <v>0</v>
      </c>
      <c r="F26" s="463">
        <f>'Saisie données file act.'!E229</f>
        <v>0</v>
      </c>
      <c r="G26" s="435">
        <f>'Saisie données file act.'!F229</f>
        <v>0</v>
      </c>
      <c r="I26" s="436">
        <f>'Saisie données file act.'!D286</f>
        <v>0</v>
      </c>
      <c r="J26" s="463">
        <f>'Saisie données file act.'!F286</f>
        <v>0</v>
      </c>
      <c r="K26" s="435">
        <f>'Saisie données file act.'!E286</f>
        <v>0</v>
      </c>
    </row>
    <row r="27" spans="2:11" x14ac:dyDescent="0.2">
      <c r="B27" s="436">
        <f>'Saisie données file act.'!D135</f>
        <v>0</v>
      </c>
      <c r="C27" s="435">
        <f>'Saisie données file act.'!E135</f>
        <v>0</v>
      </c>
      <c r="E27" s="436">
        <f>'Saisie données file act.'!D230</f>
        <v>0</v>
      </c>
      <c r="F27" s="463">
        <f>'Saisie données file act.'!E230</f>
        <v>0</v>
      </c>
      <c r="G27" s="435">
        <f>'Saisie données file act.'!F230</f>
        <v>0</v>
      </c>
      <c r="I27" s="436">
        <f>'Saisie données file act.'!D287</f>
        <v>0</v>
      </c>
      <c r="J27" s="463">
        <f>'Saisie données file act.'!F287</f>
        <v>0</v>
      </c>
      <c r="K27" s="435">
        <f>'Saisie données file act.'!E287</f>
        <v>0</v>
      </c>
    </row>
    <row r="28" spans="2:11" x14ac:dyDescent="0.2">
      <c r="B28" s="436">
        <f>'Saisie données file act.'!D136</f>
        <v>0</v>
      </c>
      <c r="C28" s="435">
        <f>'Saisie données file act.'!E136</f>
        <v>0</v>
      </c>
      <c r="E28" s="436">
        <f>'Saisie données file act.'!D231</f>
        <v>0</v>
      </c>
      <c r="F28" s="463">
        <f>'Saisie données file act.'!E231</f>
        <v>0</v>
      </c>
      <c r="G28" s="435">
        <f>'Saisie données file act.'!F231</f>
        <v>0</v>
      </c>
      <c r="I28" s="436">
        <f>'Saisie données file act.'!D288</f>
        <v>0</v>
      </c>
      <c r="J28" s="463">
        <f>'Saisie données file act.'!F288</f>
        <v>0</v>
      </c>
      <c r="K28" s="435">
        <f>'Saisie données file act.'!E288</f>
        <v>0</v>
      </c>
    </row>
    <row r="29" spans="2:11" x14ac:dyDescent="0.2">
      <c r="B29" s="436">
        <f>'Saisie données file act.'!D137</f>
        <v>0</v>
      </c>
      <c r="C29" s="435">
        <f>'Saisie données file act.'!E137</f>
        <v>0</v>
      </c>
      <c r="E29" s="436">
        <f>'Saisie données file act.'!D232</f>
        <v>0</v>
      </c>
      <c r="F29" s="463">
        <f>'Saisie données file act.'!E232</f>
        <v>0</v>
      </c>
      <c r="G29" s="435">
        <f>'Saisie données file act.'!F232</f>
        <v>0</v>
      </c>
      <c r="I29" s="436">
        <f>'Saisie données file act.'!D289</f>
        <v>0</v>
      </c>
      <c r="J29" s="463">
        <f>'Saisie données file act.'!F289</f>
        <v>0</v>
      </c>
      <c r="K29" s="435">
        <f>'Saisie données file act.'!E289</f>
        <v>0</v>
      </c>
    </row>
    <row r="30" spans="2:11" x14ac:dyDescent="0.2">
      <c r="B30" s="436">
        <f>'Saisie données file act.'!D138</f>
        <v>0</v>
      </c>
      <c r="C30" s="435">
        <f>'Saisie données file act.'!E138</f>
        <v>0</v>
      </c>
      <c r="E30" s="436">
        <f>'Saisie données file act.'!D233</f>
        <v>0</v>
      </c>
      <c r="F30" s="463">
        <f>'Saisie données file act.'!E233</f>
        <v>0</v>
      </c>
      <c r="G30" s="435">
        <f>'Saisie données file act.'!F233</f>
        <v>0</v>
      </c>
      <c r="I30" s="436">
        <f>'Saisie données file act.'!D290</f>
        <v>0</v>
      </c>
      <c r="J30" s="463">
        <f>'Saisie données file act.'!F290</f>
        <v>0</v>
      </c>
      <c r="K30" s="435">
        <f>'Saisie données file act.'!E290</f>
        <v>0</v>
      </c>
    </row>
    <row r="31" spans="2:11" ht="12.75" thickBot="1" x14ac:dyDescent="0.25">
      <c r="B31" s="455">
        <f>'Saisie données file act.'!D139</f>
        <v>0</v>
      </c>
      <c r="C31" s="467">
        <f>'Saisie données file act.'!E139</f>
        <v>0</v>
      </c>
      <c r="E31" s="436">
        <f>'Saisie données file act.'!D234</f>
        <v>0</v>
      </c>
      <c r="F31" s="463">
        <f>'Saisie données file act.'!E234</f>
        <v>0</v>
      </c>
      <c r="G31" s="435">
        <f>'Saisie données file act.'!F234</f>
        <v>0</v>
      </c>
      <c r="I31" s="436">
        <f>'Saisie données file act.'!D291</f>
        <v>0</v>
      </c>
      <c r="J31" s="463">
        <f>'Saisie données file act.'!F291</f>
        <v>0</v>
      </c>
      <c r="K31" s="435">
        <f>'Saisie données file act.'!E291</f>
        <v>0</v>
      </c>
    </row>
    <row r="32" spans="2:11" ht="12.75" thickBot="1" x14ac:dyDescent="0.25">
      <c r="B32" s="437" t="str">
        <f>'Saisie données file act.'!D140</f>
        <v>Lignes alternatives</v>
      </c>
      <c r="C32" s="443">
        <f>'Saisie données file act.'!E140</f>
        <v>0</v>
      </c>
      <c r="E32" s="468" t="str">
        <f>'Saisie données file act.'!D235</f>
        <v>TOTAL</v>
      </c>
      <c r="F32" s="469">
        <f>'Saisie données file act.'!E235</f>
        <v>0</v>
      </c>
      <c r="G32" s="443">
        <f>'Saisie données file act.'!F235</f>
        <v>0</v>
      </c>
      <c r="I32" s="436">
        <f>'Saisie données file act.'!D292</f>
        <v>0</v>
      </c>
      <c r="J32" s="463">
        <f>'Saisie données file act.'!F292</f>
        <v>0</v>
      </c>
      <c r="K32" s="435">
        <f>'Saisie données file act.'!E292</f>
        <v>0</v>
      </c>
    </row>
    <row r="33" spans="2:11" x14ac:dyDescent="0.2">
      <c r="B33" s="448">
        <f>'Saisie données file act.'!D141</f>
        <v>0</v>
      </c>
      <c r="C33" s="1227">
        <f>'Saisie données file act.'!E141</f>
        <v>0</v>
      </c>
      <c r="I33" s="436">
        <f>'Saisie données file act.'!D293</f>
        <v>0</v>
      </c>
      <c r="J33" s="463">
        <f>'Saisie données file act.'!F293</f>
        <v>0</v>
      </c>
      <c r="K33" s="435">
        <f>'Saisie données file act.'!E293</f>
        <v>0</v>
      </c>
    </row>
    <row r="34" spans="2:11" x14ac:dyDescent="0.2">
      <c r="B34" s="436">
        <f>'Saisie données file act.'!D142</f>
        <v>0</v>
      </c>
      <c r="C34" s="435">
        <f>'Saisie données file act.'!E142</f>
        <v>0</v>
      </c>
      <c r="I34" s="436">
        <f>'Saisie données file act.'!D294</f>
        <v>0</v>
      </c>
      <c r="J34" s="463">
        <f>'Saisie données file act.'!F294</f>
        <v>0</v>
      </c>
      <c r="K34" s="435">
        <f>'Saisie données file act.'!E294</f>
        <v>0</v>
      </c>
    </row>
    <row r="35" spans="2:11" x14ac:dyDescent="0.2">
      <c r="B35" s="436">
        <f>'Saisie données file act.'!D143</f>
        <v>0</v>
      </c>
      <c r="C35" s="435">
        <f>'Saisie données file act.'!E143</f>
        <v>0</v>
      </c>
      <c r="I35" s="436">
        <f>'Saisie données file act.'!D295</f>
        <v>0</v>
      </c>
      <c r="J35" s="463">
        <f>'Saisie données file act.'!F295</f>
        <v>0</v>
      </c>
      <c r="K35" s="435">
        <f>'Saisie données file act.'!E295</f>
        <v>0</v>
      </c>
    </row>
    <row r="36" spans="2:11" x14ac:dyDescent="0.2">
      <c r="B36" s="436">
        <f>'Saisie données file act.'!D144</f>
        <v>0</v>
      </c>
      <c r="C36" s="435">
        <f>'Saisie données file act.'!E144</f>
        <v>0</v>
      </c>
      <c r="I36" s="436">
        <f>'Saisie données file act.'!D296</f>
        <v>0</v>
      </c>
      <c r="J36" s="463">
        <f>'Saisie données file act.'!F296</f>
        <v>0</v>
      </c>
      <c r="K36" s="435">
        <f>'Saisie données file act.'!E296</f>
        <v>0</v>
      </c>
    </row>
    <row r="37" spans="2:11" x14ac:dyDescent="0.2">
      <c r="B37" s="436">
        <f>'Saisie données file act.'!D145</f>
        <v>0</v>
      </c>
      <c r="C37" s="435">
        <f>'Saisie données file act.'!E145</f>
        <v>0</v>
      </c>
      <c r="I37" s="436">
        <f>'Saisie données file act.'!D297</f>
        <v>0</v>
      </c>
      <c r="J37" s="463">
        <f>'Saisie données file act.'!F297</f>
        <v>0</v>
      </c>
      <c r="K37" s="435">
        <f>'Saisie données file act.'!E297</f>
        <v>0</v>
      </c>
    </row>
    <row r="38" spans="2:11" x14ac:dyDescent="0.2">
      <c r="B38" s="436">
        <f>'Saisie données file act.'!D146</f>
        <v>0</v>
      </c>
      <c r="C38" s="435">
        <f>'Saisie données file act.'!E146</f>
        <v>0</v>
      </c>
      <c r="I38" s="436">
        <f>'Saisie données file act.'!D298</f>
        <v>0</v>
      </c>
      <c r="J38" s="463">
        <f>'Saisie données file act.'!F298</f>
        <v>0</v>
      </c>
      <c r="K38" s="435">
        <f>'Saisie données file act.'!E298</f>
        <v>0</v>
      </c>
    </row>
    <row r="39" spans="2:11" x14ac:dyDescent="0.2">
      <c r="B39" s="436">
        <f>'Saisie données file act.'!D147</f>
        <v>0</v>
      </c>
      <c r="C39" s="435">
        <f>'Saisie données file act.'!E147</f>
        <v>0</v>
      </c>
      <c r="I39" s="436">
        <f>'Saisie données file act.'!D299</f>
        <v>0</v>
      </c>
      <c r="J39" s="463">
        <f>'Saisie données file act.'!F299</f>
        <v>0</v>
      </c>
      <c r="K39" s="435">
        <f>'Saisie données file act.'!E299</f>
        <v>0</v>
      </c>
    </row>
    <row r="40" spans="2:11" x14ac:dyDescent="0.2">
      <c r="B40" s="436">
        <f>'Saisie données file act.'!D148</f>
        <v>0</v>
      </c>
      <c r="C40" s="435">
        <f>'Saisie données file act.'!E148</f>
        <v>0</v>
      </c>
      <c r="I40" s="436">
        <f>'Saisie données file act.'!D300</f>
        <v>0</v>
      </c>
      <c r="J40" s="463">
        <f>'Saisie données file act.'!F300</f>
        <v>0</v>
      </c>
      <c r="K40" s="435">
        <f>'Saisie données file act.'!E300</f>
        <v>0</v>
      </c>
    </row>
    <row r="41" spans="2:11" x14ac:dyDescent="0.2">
      <c r="B41" s="436">
        <f>'Saisie données file act.'!D149</f>
        <v>0</v>
      </c>
      <c r="C41" s="435">
        <f>'Saisie données file act.'!E149</f>
        <v>0</v>
      </c>
      <c r="I41" s="436">
        <f>'Saisie données file act.'!D301</f>
        <v>0</v>
      </c>
      <c r="J41" s="463">
        <f>'Saisie données file act.'!F301</f>
        <v>0</v>
      </c>
      <c r="K41" s="435">
        <f>'Saisie données file act.'!E301</f>
        <v>0</v>
      </c>
    </row>
    <row r="42" spans="2:11" x14ac:dyDescent="0.2">
      <c r="B42" s="436">
        <f>'Saisie données file act.'!D150</f>
        <v>0</v>
      </c>
      <c r="C42" s="435">
        <f>'Saisie données file act.'!E150</f>
        <v>0</v>
      </c>
      <c r="I42" s="436">
        <f>'Saisie données file act.'!D302</f>
        <v>0</v>
      </c>
      <c r="J42" s="463">
        <f>'Saisie données file act.'!F302</f>
        <v>0</v>
      </c>
      <c r="K42" s="435">
        <f>'Saisie données file act.'!E302</f>
        <v>0</v>
      </c>
    </row>
    <row r="43" spans="2:11" x14ac:dyDescent="0.2">
      <c r="B43" s="436">
        <f>'Saisie données file act.'!D151</f>
        <v>0</v>
      </c>
      <c r="C43" s="435">
        <f>'Saisie données file act.'!E151</f>
        <v>0</v>
      </c>
      <c r="I43" s="436">
        <f>'Saisie données file act.'!D303</f>
        <v>0</v>
      </c>
      <c r="J43" s="463">
        <f>'Saisie données file act.'!F303</f>
        <v>0</v>
      </c>
      <c r="K43" s="435">
        <f>'Saisie données file act.'!E303</f>
        <v>0</v>
      </c>
    </row>
    <row r="44" spans="2:11" x14ac:dyDescent="0.2">
      <c r="B44" s="436">
        <f>'Saisie données file act.'!D152</f>
        <v>0</v>
      </c>
      <c r="C44" s="435">
        <f>'Saisie données file act.'!E152</f>
        <v>0</v>
      </c>
      <c r="I44" s="436">
        <f>'Saisie données file act.'!D304</f>
        <v>0</v>
      </c>
      <c r="J44" s="463">
        <f>'Saisie données file act.'!F304</f>
        <v>0</v>
      </c>
      <c r="K44" s="435">
        <f>'Saisie données file act.'!E304</f>
        <v>0</v>
      </c>
    </row>
    <row r="45" spans="2:11" x14ac:dyDescent="0.2">
      <c r="B45" s="436">
        <f>'Saisie données file act.'!D153</f>
        <v>0</v>
      </c>
      <c r="C45" s="435">
        <f>'Saisie données file act.'!E153</f>
        <v>0</v>
      </c>
      <c r="I45" s="436">
        <f>'Saisie données file act.'!D305</f>
        <v>0</v>
      </c>
      <c r="J45" s="463">
        <f>'Saisie données file act.'!F305</f>
        <v>0</v>
      </c>
      <c r="K45" s="435">
        <f>'Saisie données file act.'!E305</f>
        <v>0</v>
      </c>
    </row>
    <row r="46" spans="2:11" x14ac:dyDescent="0.2">
      <c r="B46" s="436">
        <f>'Saisie données file act.'!D154</f>
        <v>0</v>
      </c>
      <c r="C46" s="435">
        <f>'Saisie données file act.'!E154</f>
        <v>0</v>
      </c>
      <c r="I46" s="436">
        <f>'Saisie données file act.'!D306</f>
        <v>0</v>
      </c>
      <c r="J46" s="463">
        <f>'Saisie données file act.'!F306</f>
        <v>0</v>
      </c>
      <c r="K46" s="435">
        <f>'Saisie données file act.'!E306</f>
        <v>0</v>
      </c>
    </row>
    <row r="47" spans="2:11" x14ac:dyDescent="0.2">
      <c r="B47" s="436">
        <f>'Saisie données file act.'!D155</f>
        <v>0</v>
      </c>
      <c r="C47" s="435">
        <f>'Saisie données file act.'!E155</f>
        <v>0</v>
      </c>
      <c r="I47" s="436">
        <f>'Saisie données file act.'!D307</f>
        <v>0</v>
      </c>
      <c r="J47" s="463">
        <f>'Saisie données file act.'!F307</f>
        <v>0</v>
      </c>
      <c r="K47" s="435">
        <f>'Saisie données file act.'!E307</f>
        <v>0</v>
      </c>
    </row>
    <row r="48" spans="2:11" x14ac:dyDescent="0.2">
      <c r="B48" s="436">
        <f>'Saisie données file act.'!D156</f>
        <v>0</v>
      </c>
      <c r="C48" s="435">
        <f>'Saisie données file act.'!E156</f>
        <v>0</v>
      </c>
      <c r="I48" s="436">
        <f>'Saisie données file act.'!D308</f>
        <v>0</v>
      </c>
      <c r="J48" s="463">
        <f>'Saisie données file act.'!F308</f>
        <v>0</v>
      </c>
      <c r="K48" s="435">
        <f>'Saisie données file act.'!E308</f>
        <v>0</v>
      </c>
    </row>
    <row r="49" spans="1:11" x14ac:dyDescent="0.2">
      <c r="B49" s="436">
        <f>'Saisie données file act.'!D157</f>
        <v>0</v>
      </c>
      <c r="C49" s="435">
        <f>'Saisie données file act.'!E157</f>
        <v>0</v>
      </c>
      <c r="I49" s="436">
        <f>'Saisie données file act.'!D309</f>
        <v>0</v>
      </c>
      <c r="J49" s="463">
        <f>'Saisie données file act.'!F309</f>
        <v>0</v>
      </c>
      <c r="K49" s="435">
        <f>'Saisie données file act.'!E309</f>
        <v>0</v>
      </c>
    </row>
    <row r="50" spans="1:11" x14ac:dyDescent="0.2">
      <c r="B50" s="436">
        <f>'Saisie données file act.'!D158</f>
        <v>0</v>
      </c>
      <c r="C50" s="435">
        <f>'Saisie données file act.'!E158</f>
        <v>0</v>
      </c>
      <c r="I50" s="436">
        <f>'Saisie données file act.'!D310</f>
        <v>0</v>
      </c>
      <c r="J50" s="463">
        <f>'Saisie données file act.'!F310</f>
        <v>0</v>
      </c>
      <c r="K50" s="435">
        <f>'Saisie données file act.'!E310</f>
        <v>0</v>
      </c>
    </row>
    <row r="51" spans="1:11" x14ac:dyDescent="0.2">
      <c r="B51" s="436">
        <f>'Saisie données file act.'!D159</f>
        <v>0</v>
      </c>
      <c r="C51" s="435">
        <f>'Saisie données file act.'!E159</f>
        <v>0</v>
      </c>
      <c r="I51" s="436">
        <f>'Saisie données file act.'!D311</f>
        <v>0</v>
      </c>
      <c r="J51" s="463">
        <f>'Saisie données file act.'!F311</f>
        <v>0</v>
      </c>
      <c r="K51" s="435">
        <f>'Saisie données file act.'!E311</f>
        <v>0</v>
      </c>
    </row>
    <row r="52" spans="1:11" x14ac:dyDescent="0.2">
      <c r="B52" s="436">
        <f>'Saisie données file act.'!D160</f>
        <v>0</v>
      </c>
      <c r="C52" s="435">
        <f>'Saisie données file act.'!E160</f>
        <v>0</v>
      </c>
      <c r="I52" s="436">
        <f>'Saisie données file act.'!D312</f>
        <v>0</v>
      </c>
      <c r="J52" s="463">
        <f>'Saisie données file act.'!F312</f>
        <v>0</v>
      </c>
      <c r="K52" s="435">
        <f>'Saisie données file act.'!E312</f>
        <v>0</v>
      </c>
    </row>
    <row r="53" spans="1:11" x14ac:dyDescent="0.2">
      <c r="B53" s="436">
        <f>'Saisie données file act.'!D161</f>
        <v>0</v>
      </c>
      <c r="C53" s="435">
        <f>'Saisie données file act.'!E161</f>
        <v>0</v>
      </c>
      <c r="I53" s="436">
        <f>'Saisie données file act.'!D313</f>
        <v>0</v>
      </c>
      <c r="J53" s="463">
        <f>'Saisie données file act.'!F313</f>
        <v>0</v>
      </c>
      <c r="K53" s="435">
        <f>'Saisie données file act.'!E313</f>
        <v>0</v>
      </c>
    </row>
    <row r="54" spans="1:11" x14ac:dyDescent="0.2">
      <c r="B54" s="436">
        <f>'Saisie données file act.'!D162</f>
        <v>0</v>
      </c>
      <c r="C54" s="435">
        <f>'Saisie données file act.'!E162</f>
        <v>0</v>
      </c>
      <c r="I54" s="436">
        <f>'Saisie données file act.'!D314</f>
        <v>0</v>
      </c>
      <c r="J54" s="463">
        <f>'Saisie données file act.'!F314</f>
        <v>0</v>
      </c>
      <c r="K54" s="435">
        <f>'Saisie données file act.'!E314</f>
        <v>0</v>
      </c>
    </row>
    <row r="55" spans="1:11" x14ac:dyDescent="0.2">
      <c r="B55" s="436">
        <f>'Saisie données file act.'!D163</f>
        <v>0</v>
      </c>
      <c r="C55" s="435">
        <f>'Saisie données file act.'!E163</f>
        <v>0</v>
      </c>
      <c r="I55" s="436">
        <f>'Saisie données file act.'!D315</f>
        <v>0</v>
      </c>
      <c r="J55" s="463">
        <f>'Saisie données file act.'!F315</f>
        <v>0</v>
      </c>
      <c r="K55" s="435">
        <f>'Saisie données file act.'!E315</f>
        <v>0</v>
      </c>
    </row>
    <row r="56" spans="1:11" x14ac:dyDescent="0.2">
      <c r="B56" s="436">
        <f>'Saisie données file act.'!D164</f>
        <v>0</v>
      </c>
      <c r="C56" s="435">
        <f>'Saisie données file act.'!E164</f>
        <v>0</v>
      </c>
      <c r="I56" s="436">
        <f>'Saisie données file act.'!D316</f>
        <v>0</v>
      </c>
      <c r="J56" s="463">
        <f>'Saisie données file act.'!F316</f>
        <v>0</v>
      </c>
      <c r="K56" s="435">
        <f>'Saisie données file act.'!E316</f>
        <v>0</v>
      </c>
    </row>
    <row r="57" spans="1:11" x14ac:dyDescent="0.2">
      <c r="B57" s="436">
        <f>'Saisie données file act.'!D165</f>
        <v>0</v>
      </c>
      <c r="C57" s="435">
        <f>'Saisie données file act.'!E165</f>
        <v>0</v>
      </c>
      <c r="I57" s="436">
        <f>'Saisie données file act.'!D317</f>
        <v>0</v>
      </c>
      <c r="J57" s="463">
        <f>'Saisie données file act.'!F317</f>
        <v>0</v>
      </c>
      <c r="K57" s="435">
        <f>'Saisie données file act.'!E317</f>
        <v>0</v>
      </c>
    </row>
    <row r="58" spans="1:11" x14ac:dyDescent="0.2">
      <c r="B58" s="436">
        <f>'Saisie données file act.'!D166</f>
        <v>0</v>
      </c>
      <c r="C58" s="435">
        <f>'Saisie données file act.'!E166</f>
        <v>0</v>
      </c>
      <c r="I58" s="436">
        <f>'Saisie données file act.'!D318</f>
        <v>0</v>
      </c>
      <c r="J58" s="463">
        <f>'Saisie données file act.'!F318</f>
        <v>0</v>
      </c>
      <c r="K58" s="435">
        <f>'Saisie données file act.'!E318</f>
        <v>0</v>
      </c>
    </row>
    <row r="59" spans="1:11" x14ac:dyDescent="0.2">
      <c r="B59" s="436">
        <f>'Saisie données file act.'!D167</f>
        <v>0</v>
      </c>
      <c r="C59" s="435">
        <f>'Saisie données file act.'!E167</f>
        <v>0</v>
      </c>
      <c r="I59" s="436">
        <f>'Saisie données file act.'!D319</f>
        <v>0</v>
      </c>
      <c r="J59" s="463">
        <f>'Saisie données file act.'!F319</f>
        <v>0</v>
      </c>
      <c r="K59" s="435">
        <f>'Saisie données file act.'!E319</f>
        <v>0</v>
      </c>
    </row>
    <row r="60" spans="1:11" s="444" customFormat="1" x14ac:dyDescent="0.2">
      <c r="A60" s="433"/>
      <c r="B60" s="436">
        <f>'Saisie données file act.'!D168</f>
        <v>0</v>
      </c>
      <c r="C60" s="435">
        <f>'Saisie données file act.'!E168</f>
        <v>0</v>
      </c>
      <c r="I60" s="436">
        <f>'Saisie données file act.'!D320</f>
        <v>0</v>
      </c>
      <c r="J60" s="463">
        <f>'Saisie données file act.'!F320</f>
        <v>0</v>
      </c>
      <c r="K60" s="435">
        <f>'Saisie données file act.'!E320</f>
        <v>0</v>
      </c>
    </row>
    <row r="61" spans="1:11" x14ac:dyDescent="0.2">
      <c r="B61" s="436">
        <f>'Saisie données file act.'!D169</f>
        <v>0</v>
      </c>
      <c r="C61" s="435">
        <f>'Saisie données file act.'!E169</f>
        <v>0</v>
      </c>
      <c r="I61" s="436">
        <f>'Saisie données file act.'!D321</f>
        <v>0</v>
      </c>
      <c r="J61" s="463">
        <f>'Saisie données file act.'!F321</f>
        <v>0</v>
      </c>
      <c r="K61" s="435">
        <f>'Saisie données file act.'!E321</f>
        <v>0</v>
      </c>
    </row>
    <row r="62" spans="1:11" ht="12.75" thickBot="1" x14ac:dyDescent="0.25">
      <c r="A62" s="444"/>
      <c r="B62" s="436">
        <f>'Saisie données file act.'!D170</f>
        <v>0</v>
      </c>
      <c r="C62" s="435">
        <f>'Saisie données file act.'!E170</f>
        <v>0</v>
      </c>
      <c r="I62" s="436">
        <f>'Saisie données file act.'!D322</f>
        <v>0</v>
      </c>
      <c r="J62" s="463">
        <f>'Saisie données file act.'!F322</f>
        <v>0</v>
      </c>
      <c r="K62" s="435">
        <f>'Saisie données file act.'!E322</f>
        <v>0</v>
      </c>
    </row>
    <row r="63" spans="1:11" ht="12.75" thickBot="1" x14ac:dyDescent="0.25">
      <c r="B63" s="436">
        <f>'Saisie données file act.'!D171</f>
        <v>0</v>
      </c>
      <c r="C63" s="435">
        <f>'Saisie données file act.'!E171</f>
        <v>0</v>
      </c>
      <c r="E63" s="1296" t="str">
        <f>'Saisie données file act.'!D334</f>
        <v>B.3. Passage en 3ème ligne</v>
      </c>
      <c r="F63" s="1298"/>
      <c r="G63" s="1297"/>
      <c r="I63" s="436">
        <f>'Saisie données file act.'!D323</f>
        <v>0</v>
      </c>
      <c r="J63" s="463">
        <f>'Saisie données file act.'!F323</f>
        <v>0</v>
      </c>
      <c r="K63" s="435">
        <f>'Saisie données file act.'!E323</f>
        <v>0</v>
      </c>
    </row>
    <row r="64" spans="1:11" x14ac:dyDescent="0.2">
      <c r="B64" s="436">
        <f>'Saisie données file act.'!D172</f>
        <v>0</v>
      </c>
      <c r="C64" s="435">
        <f>'Saisie données file act.'!E172</f>
        <v>0</v>
      </c>
      <c r="I64" s="436">
        <f>'Saisie données file act.'!D324</f>
        <v>0</v>
      </c>
      <c r="J64" s="463">
        <f>'Saisie données file act.'!F324</f>
        <v>0</v>
      </c>
      <c r="K64" s="435">
        <f>'Saisie données file act.'!E324</f>
        <v>0</v>
      </c>
    </row>
    <row r="65" spans="2:11" ht="36" x14ac:dyDescent="0.2">
      <c r="B65" s="436">
        <f>'Saisie données file act.'!D173</f>
        <v>0</v>
      </c>
      <c r="C65" s="435">
        <f>'Saisie données file act.'!E173</f>
        <v>0</v>
      </c>
      <c r="E65" s="1230" t="str">
        <f>'Saisie données file act.'!D336</f>
        <v>Proportion de passage mensuel envisagé (/2ème ligne)</v>
      </c>
      <c r="F65" s="1231">
        <f>'Saisie données file act.'!G433</f>
        <v>0</v>
      </c>
      <c r="G65" s="1232"/>
      <c r="I65" s="436">
        <f>'Saisie données file act.'!D325</f>
        <v>0</v>
      </c>
      <c r="J65" s="463">
        <f>'Saisie données file act.'!F325</f>
        <v>0</v>
      </c>
      <c r="K65" s="435">
        <f>'Saisie données file act.'!E325</f>
        <v>0</v>
      </c>
    </row>
    <row r="66" spans="2:11" ht="24" x14ac:dyDescent="0.2">
      <c r="B66" s="436">
        <f>'Saisie données file act.'!D174</f>
        <v>0</v>
      </c>
      <c r="C66" s="435">
        <f>'Saisie données file act.'!E174</f>
        <v>0</v>
      </c>
      <c r="E66" s="1233" t="str">
        <f>'Saisie données file act.'!D342</f>
        <v>Cela représente donc :</v>
      </c>
      <c r="F66" s="1234">
        <f>'Saisie données file act.'!E437</f>
        <v>0</v>
      </c>
      <c r="G66" s="1235" t="str">
        <f>'Saisie données file act.'!F342</f>
        <v>Patient / mois</v>
      </c>
      <c r="I66" s="436">
        <f>'Saisie données file act.'!D326</f>
        <v>0</v>
      </c>
      <c r="J66" s="463">
        <f>'Saisie données file act.'!F326</f>
        <v>0</v>
      </c>
      <c r="K66" s="435">
        <f>'Saisie données file act.'!E326</f>
        <v>0</v>
      </c>
    </row>
    <row r="67" spans="2:11" ht="12.75" thickBot="1" x14ac:dyDescent="0.25">
      <c r="B67" s="436">
        <f>'Saisie données file act.'!D175</f>
        <v>0</v>
      </c>
      <c r="C67" s="435">
        <f>'Saisie données file act.'!E175</f>
        <v>0</v>
      </c>
      <c r="I67" s="436">
        <f>'Saisie données file act.'!D327</f>
        <v>0</v>
      </c>
      <c r="J67" s="463">
        <f>'Saisie données file act.'!F327</f>
        <v>0</v>
      </c>
      <c r="K67" s="435">
        <f>'Saisie données file act.'!E327</f>
        <v>0</v>
      </c>
    </row>
    <row r="68" spans="2:11" ht="48.75" thickBot="1" x14ac:dyDescent="0.25">
      <c r="B68" s="436">
        <f>'Saisie données file act.'!D176</f>
        <v>0</v>
      </c>
      <c r="C68" s="435">
        <f>'Saisie données file act.'!E176</f>
        <v>0</v>
      </c>
      <c r="E68" s="447" t="str">
        <f>'Saisie données file act.'!D344</f>
        <v>Schéma thérapeutique</v>
      </c>
      <c r="F68" s="453" t="str">
        <f>'Saisie données file act.'!E344</f>
        <v>Proportion %</v>
      </c>
      <c r="G68" s="440" t="str">
        <f>'Saisie données file act.'!F344</f>
        <v>Nombre théorique de patients  attendus</v>
      </c>
      <c r="I68" s="436">
        <f>'Saisie données file act.'!D328</f>
        <v>0</v>
      </c>
      <c r="J68" s="463">
        <f>'Saisie données file act.'!F328</f>
        <v>0</v>
      </c>
      <c r="K68" s="435">
        <f>'Saisie données file act.'!E328</f>
        <v>0</v>
      </c>
    </row>
    <row r="69" spans="2:11" ht="12.75" thickBot="1" x14ac:dyDescent="0.25">
      <c r="B69" s="436">
        <f>'Saisie données file act.'!D177</f>
        <v>0</v>
      </c>
      <c r="C69" s="435">
        <f>'Saisie données file act.'!E177</f>
        <v>0</v>
      </c>
      <c r="E69" s="437" t="str">
        <f>'Saisie données file act.'!D345</f>
        <v>Troisièmes lignes</v>
      </c>
      <c r="F69" s="469"/>
      <c r="G69" s="472"/>
      <c r="I69" s="436">
        <f>'Saisie données file act.'!D329</f>
        <v>0</v>
      </c>
      <c r="J69" s="463">
        <f>'Saisie données file act.'!F329</f>
        <v>0</v>
      </c>
      <c r="K69" s="435">
        <f>'Saisie données file act.'!E329</f>
        <v>0</v>
      </c>
    </row>
    <row r="70" spans="2:11" ht="12.75" thickBot="1" x14ac:dyDescent="0.25">
      <c r="B70" s="436">
        <f>'Saisie données file act.'!D178</f>
        <v>0</v>
      </c>
      <c r="C70" s="435">
        <f>'Saisie données file act.'!E178</f>
        <v>0</v>
      </c>
      <c r="E70" s="436" t="str">
        <f>'Saisie données file act.'!D352</f>
        <v>Patients recevant ATV+RTV</v>
      </c>
      <c r="F70" s="463">
        <f>'Saisie données file act.'!E352</f>
        <v>0</v>
      </c>
      <c r="G70" s="435">
        <f>'Saisie données file act.'!F352</f>
        <v>0</v>
      </c>
      <c r="I70" s="436">
        <f>'Saisie données file act.'!D330</f>
        <v>0</v>
      </c>
      <c r="J70" s="463">
        <f>'Saisie données file act.'!F330</f>
        <v>0</v>
      </c>
      <c r="K70" s="435">
        <f>'Saisie données file act.'!E330</f>
        <v>0</v>
      </c>
    </row>
    <row r="71" spans="2:11" ht="12.75" thickBot="1" x14ac:dyDescent="0.25">
      <c r="B71" s="436">
        <f>'Saisie données file act.'!D179</f>
        <v>0</v>
      </c>
      <c r="C71" s="435">
        <f>'Saisie données file act.'!E179</f>
        <v>0</v>
      </c>
      <c r="E71" s="436" t="str">
        <f>'Saisie données file act.'!D354</f>
        <v>Patients recevant DRV+RTV</v>
      </c>
      <c r="F71" s="463">
        <f>'Saisie données file act.'!E354</f>
        <v>0</v>
      </c>
      <c r="G71" s="435">
        <f>'Saisie données file act.'!F354</f>
        <v>0</v>
      </c>
      <c r="I71" s="437" t="str">
        <f>'Saisie données file act.'!D331</f>
        <v>TOTAL</v>
      </c>
      <c r="J71" s="469" t="e">
        <f>'Saisie données file act.'!F331</f>
        <v>#DIV/0!</v>
      </c>
      <c r="K71" s="472">
        <f>'Saisie données file act.'!E331</f>
        <v>0</v>
      </c>
    </row>
    <row r="72" spans="2:11" ht="12.75" thickBot="1" x14ac:dyDescent="0.25">
      <c r="B72" s="436">
        <f>'Saisie données file act.'!D180</f>
        <v>0</v>
      </c>
      <c r="C72" s="435">
        <f>'Saisie données file act.'!E180</f>
        <v>0</v>
      </c>
      <c r="E72" s="436" t="str">
        <f>'Saisie données file act.'!D357</f>
        <v>Patients recevant RLT</v>
      </c>
      <c r="F72" s="463">
        <f>'Saisie données file act.'!E357</f>
        <v>0</v>
      </c>
      <c r="G72" s="435">
        <f>'Saisie données file act.'!F357</f>
        <v>0</v>
      </c>
    </row>
    <row r="73" spans="2:11" ht="12.75" thickBot="1" x14ac:dyDescent="0.25">
      <c r="B73" s="436">
        <f>'Saisie données file act.'!D181</f>
        <v>0</v>
      </c>
      <c r="C73" s="435">
        <f>'Saisie données file act.'!E181</f>
        <v>0</v>
      </c>
      <c r="E73" s="1229" t="str">
        <f>'Saisie données file act.'!D358</f>
        <v>TOTAL</v>
      </c>
      <c r="F73" s="469">
        <f>'Saisie données file act.'!E358</f>
        <v>0</v>
      </c>
      <c r="G73" s="472">
        <f>'Saisie données file act.'!F358</f>
        <v>0</v>
      </c>
    </row>
    <row r="74" spans="2:11" x14ac:dyDescent="0.2">
      <c r="B74" s="436">
        <f>'Saisie données file act.'!D182</f>
        <v>0</v>
      </c>
      <c r="C74" s="435">
        <f>'Saisie données file act.'!E182</f>
        <v>0</v>
      </c>
    </row>
    <row r="75" spans="2:11" x14ac:dyDescent="0.2">
      <c r="B75" s="436">
        <f>'Saisie données file act.'!D183</f>
        <v>0</v>
      </c>
      <c r="C75" s="435">
        <f>'Saisie données file act.'!E183</f>
        <v>0</v>
      </c>
    </row>
    <row r="76" spans="2:11" x14ac:dyDescent="0.2">
      <c r="B76" s="436">
        <f>'Saisie données file act.'!D184</f>
        <v>0</v>
      </c>
      <c r="C76" s="435">
        <f>'Saisie données file act.'!E184</f>
        <v>0</v>
      </c>
    </row>
    <row r="77" spans="2:11" x14ac:dyDescent="0.2">
      <c r="B77" s="436">
        <f>'Saisie données file act.'!D185</f>
        <v>0</v>
      </c>
      <c r="C77" s="435">
        <f>'Saisie données file act.'!E185</f>
        <v>0</v>
      </c>
    </row>
    <row r="78" spans="2:11" x14ac:dyDescent="0.2">
      <c r="B78" s="436">
        <f>'Saisie données file act.'!D186</f>
        <v>0</v>
      </c>
      <c r="C78" s="435">
        <f>'Saisie données file act.'!E186</f>
        <v>0</v>
      </c>
    </row>
    <row r="79" spans="2:11" x14ac:dyDescent="0.2">
      <c r="B79" s="436">
        <f>'Saisie données file act.'!D187</f>
        <v>0</v>
      </c>
      <c r="C79" s="435">
        <f>'Saisie données file act.'!E187</f>
        <v>0</v>
      </c>
    </row>
    <row r="80" spans="2:11" ht="12.75" thickBot="1" x14ac:dyDescent="0.25">
      <c r="B80" s="436">
        <f>'Saisie données file act.'!D188</f>
        <v>0</v>
      </c>
      <c r="C80" s="435">
        <f>'Saisie données file act.'!E188</f>
        <v>0</v>
      </c>
    </row>
    <row r="81" spans="1:7" ht="12.75" thickBot="1" x14ac:dyDescent="0.25">
      <c r="B81" s="437" t="str">
        <f>'Saisie données file act.'!D189</f>
        <v>Troisièmes lignes</v>
      </c>
      <c r="C81" s="443"/>
    </row>
    <row r="82" spans="1:7" x14ac:dyDescent="0.2">
      <c r="B82" s="436" t="str">
        <f>'Saisie données file act.'!D190</f>
        <v>Patients recevant TDF</v>
      </c>
      <c r="C82" s="435">
        <f>'Saisie données file act.'!E190</f>
        <v>0</v>
      </c>
    </row>
    <row r="83" spans="1:7" x14ac:dyDescent="0.2">
      <c r="B83" s="436" t="str">
        <f>'Saisie données file act.'!D191</f>
        <v>Patients recevant AZT</v>
      </c>
      <c r="C83" s="435">
        <f>'Saisie données file act.'!E191</f>
        <v>0</v>
      </c>
    </row>
    <row r="84" spans="1:7" x14ac:dyDescent="0.2">
      <c r="B84" s="436" t="str">
        <f>'Saisie données file act.'!D192</f>
        <v>Patients recevant 3TC</v>
      </c>
      <c r="C84" s="435">
        <f>'Saisie données file act.'!E192</f>
        <v>0</v>
      </c>
    </row>
    <row r="85" spans="1:7" s="444" customFormat="1" x14ac:dyDescent="0.2">
      <c r="A85" s="433"/>
      <c r="B85" s="436" t="str">
        <f>'Saisie données file act.'!D193</f>
        <v>Patients recevant ABC</v>
      </c>
      <c r="C85" s="435">
        <f>'Saisie données file act.'!E193</f>
        <v>0</v>
      </c>
      <c r="F85" s="433"/>
      <c r="G85" s="433"/>
    </row>
    <row r="86" spans="1:7" x14ac:dyDescent="0.2">
      <c r="B86" s="436" t="str">
        <f>'Saisie données file act.'!D194</f>
        <v>Patients recevant DDI 250</v>
      </c>
      <c r="C86" s="435">
        <f>'Saisie données file act.'!E194</f>
        <v>0</v>
      </c>
    </row>
    <row r="87" spans="1:7" x14ac:dyDescent="0.2">
      <c r="A87" s="444"/>
      <c r="B87" s="436" t="str">
        <f>'Saisie données file act.'!D195</f>
        <v>Patients recevant DDI 400</v>
      </c>
      <c r="C87" s="435">
        <f>'Saisie données file act.'!E195</f>
        <v>0</v>
      </c>
      <c r="F87" s="444"/>
    </row>
    <row r="88" spans="1:7" x14ac:dyDescent="0.2">
      <c r="B88" s="436" t="str">
        <f>'Saisie données file act.'!D196</f>
        <v>Patients recevant ATV+RTV</v>
      </c>
      <c r="C88" s="435">
        <f>'Saisie données file act.'!E196</f>
        <v>0</v>
      </c>
    </row>
    <row r="89" spans="1:7" x14ac:dyDescent="0.2">
      <c r="B89" s="436" t="str">
        <f>'Saisie données file act.'!D197</f>
        <v>Patients recevant FPV+RTV</v>
      </c>
      <c r="C89" s="435">
        <f>'Saisie données file act.'!E197</f>
        <v>0</v>
      </c>
    </row>
    <row r="90" spans="1:7" x14ac:dyDescent="0.2">
      <c r="B90" s="436" t="str">
        <f>'Saisie données file act.'!D198</f>
        <v>Patients recevant DRV+RTV</v>
      </c>
      <c r="C90" s="435">
        <f>'Saisie données file act.'!E198</f>
        <v>0</v>
      </c>
    </row>
    <row r="91" spans="1:7" x14ac:dyDescent="0.2">
      <c r="B91" s="436" t="str">
        <f>'Saisie données file act.'!D199</f>
        <v>Patients recevant ETV</v>
      </c>
      <c r="C91" s="435">
        <f>'Saisie données file act.'!E199</f>
        <v>0</v>
      </c>
    </row>
    <row r="92" spans="1:7" x14ac:dyDescent="0.2">
      <c r="B92" s="436" t="str">
        <f>'Saisie données file act.'!D200</f>
        <v>Patients recevant RPV</v>
      </c>
      <c r="C92" s="435">
        <f>'Saisie données file act.'!E200</f>
        <v>0</v>
      </c>
    </row>
    <row r="93" spans="1:7" ht="12.75" thickBot="1" x14ac:dyDescent="0.25">
      <c r="B93" s="436" t="str">
        <f>'Saisie données file act.'!D201</f>
        <v>Patients recevant RLT</v>
      </c>
      <c r="C93" s="435">
        <f>'Saisie données file act.'!E201</f>
        <v>0</v>
      </c>
    </row>
    <row r="94" spans="1:7" ht="12.75" thickBot="1" x14ac:dyDescent="0.25">
      <c r="B94" s="441" t="str">
        <f>'Saisie données file act.'!D202</f>
        <v>TOTAL</v>
      </c>
      <c r="C94" s="442">
        <f>'Saisie données file act.'!E202</f>
        <v>0</v>
      </c>
    </row>
    <row r="95" spans="1:7" x14ac:dyDescent="0.2">
      <c r="B95" s="444"/>
      <c r="C95" s="444"/>
    </row>
  </sheetData>
  <mergeCells count="1">
    <mergeCell ref="A4:K4"/>
  </mergeCells>
  <conditionalFormatting sqref="G3:G1048576 H1:XFD1048576 A1:F1048576">
    <cfRule type="cellIs" dxfId="7" priority="1" operator="equal">
      <formula>0</formula>
    </cfRule>
  </conditionalFormatting>
  <printOptions horizontalCentered="1"/>
  <pageMargins left="0.23622047244094491" right="0.23622047244094491" top="0.27559055118110237" bottom="0.31496062992125984" header="0.31496062992125984" footer="0.31496062992125984"/>
  <pageSetup paperSize="9" scale="62" orientation="portrait" horizontalDpi="300" verticalDpi="300" r:id="rId1"/>
  <colBreaks count="1" manualBreakCount="1">
    <brk id="11"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tabColor theme="0" tint="-0.249977111117893"/>
  </sheetPr>
  <dimension ref="A1:AT94"/>
  <sheetViews>
    <sheetView showGridLines="0" zoomScaleSheetLayoutView="40" workbookViewId="0">
      <selection activeCell="D27" sqref="D27"/>
    </sheetView>
  </sheetViews>
  <sheetFormatPr defaultColWidth="11.42578125" defaultRowHeight="11.25" x14ac:dyDescent="0.2"/>
  <cols>
    <col min="1" max="1" width="3.28515625" style="3089" customWidth="1"/>
    <col min="2" max="2" width="3.5703125" style="1279" customWidth="1"/>
    <col min="3" max="3" width="24.85546875" style="1279" bestFit="1" customWidth="1"/>
    <col min="4" max="16384" width="11.42578125" style="1279"/>
  </cols>
  <sheetData>
    <row r="1" spans="1:46" ht="12.75" thickBot="1" x14ac:dyDescent="0.25">
      <c r="A1" s="3088" t="str">
        <f>'TRAD-impressions'!B2</f>
        <v>Tableau d'évaluation des besoins en ARV</v>
      </c>
      <c r="B1" s="433"/>
      <c r="C1" s="433"/>
      <c r="D1" s="433"/>
      <c r="E1" s="433"/>
      <c r="F1" s="1296" t="str">
        <f>'TRAD-impressions'!B4</f>
        <v>Pays / Région</v>
      </c>
      <c r="G1" s="2430"/>
      <c r="H1" s="2430"/>
      <c r="I1" s="2465" t="str">
        <f>Paramétrage!D11:D11</f>
        <v>TEST</v>
      </c>
    </row>
    <row r="2" spans="1:46" ht="12.75" thickBot="1" x14ac:dyDescent="0.25">
      <c r="A2" s="3088" t="str">
        <f>'TRAD-impressions'!B3</f>
        <v>Synthèse des données &amp; hypothèses prises en compte</v>
      </c>
      <c r="B2" s="433"/>
      <c r="C2" s="433"/>
      <c r="D2" s="433"/>
      <c r="E2" s="433"/>
      <c r="F2" s="1296" t="str">
        <f>'TRAD-impressions'!B5</f>
        <v>Date de mise à jour des données</v>
      </c>
      <c r="G2" s="2430"/>
      <c r="H2" s="2430"/>
      <c r="I2" s="2466">
        <f>Paramétrage!H19</f>
        <v>41919</v>
      </c>
    </row>
    <row r="3" spans="1:46" ht="12" thickBot="1" x14ac:dyDescent="0.25"/>
    <row r="4" spans="1:46" ht="12" thickBot="1" x14ac:dyDescent="0.25">
      <c r="B4" s="1236"/>
      <c r="C4" s="1237"/>
      <c r="D4" s="1734" t="str">
        <f>'Saisie données file act.'!E21</f>
        <v>Formes solides (cp/gél/caps)</v>
      </c>
      <c r="E4" s="1735"/>
      <c r="F4" s="1735"/>
      <c r="G4" s="1735"/>
      <c r="H4" s="1735"/>
      <c r="I4" s="1735"/>
      <c r="J4" s="1735"/>
      <c r="K4" s="1735"/>
      <c r="L4" s="1735"/>
      <c r="M4" s="1735"/>
      <c r="N4" s="1735"/>
      <c r="O4" s="1735"/>
      <c r="P4" s="1735"/>
      <c r="Q4" s="1735"/>
      <c r="R4" s="1735"/>
      <c r="S4" s="1735"/>
      <c r="T4" s="1735"/>
      <c r="U4" s="1735"/>
      <c r="V4" s="1735"/>
      <c r="W4" s="1735"/>
      <c r="X4" s="1735"/>
      <c r="Y4" s="1735"/>
      <c r="Z4" s="1735"/>
      <c r="AA4" s="1735"/>
      <c r="AB4" s="1735"/>
      <c r="AC4" s="1735"/>
      <c r="AD4" s="1735"/>
      <c r="AE4" s="1735"/>
      <c r="AF4" s="1735"/>
      <c r="AG4" s="1735"/>
      <c r="AH4" s="1735"/>
      <c r="AI4" s="1735"/>
      <c r="AJ4" s="1735"/>
      <c r="AK4" s="1735"/>
      <c r="AL4" s="1735"/>
      <c r="AM4" s="1735"/>
      <c r="AN4" s="1735"/>
      <c r="AO4" s="1735"/>
      <c r="AP4" s="1735"/>
      <c r="AQ4" s="1735"/>
      <c r="AR4" s="1735"/>
      <c r="AS4" s="1735"/>
      <c r="AT4" s="1736"/>
    </row>
    <row r="5" spans="1:46" ht="12" thickBot="1" x14ac:dyDescent="0.25">
      <c r="B5" s="1236"/>
      <c r="C5" s="1238"/>
      <c r="D5" s="1734" t="str">
        <f>'Saisie données file act.'!E22</f>
        <v>CDF</v>
      </c>
      <c r="E5" s="1735"/>
      <c r="F5" s="1735"/>
      <c r="G5" s="1735"/>
      <c r="H5" s="1735"/>
      <c r="I5" s="1735"/>
      <c r="J5" s="1735"/>
      <c r="K5" s="1735"/>
      <c r="L5" s="1735"/>
      <c r="M5" s="1735"/>
      <c r="N5" s="1735"/>
      <c r="O5" s="1735"/>
      <c r="P5" s="1735"/>
      <c r="Q5" s="1761"/>
      <c r="R5" s="1735"/>
      <c r="S5" s="1734" t="str">
        <f>'Saisie données file act.'!T22</f>
        <v>NNRTI</v>
      </c>
      <c r="T5" s="1735"/>
      <c r="U5" s="1735"/>
      <c r="V5" s="1735"/>
      <c r="W5" s="1761"/>
      <c r="X5" s="1685"/>
      <c r="Y5" s="1760" t="str">
        <f>'Saisie données file act.'!Z22</f>
        <v>NRTI</v>
      </c>
      <c r="Z5" s="1735">
        <f>'Saisie données file act.'!AA22</f>
        <v>0</v>
      </c>
      <c r="AA5" s="1735"/>
      <c r="AB5" s="1735"/>
      <c r="AC5" s="1735"/>
      <c r="AD5" s="1735"/>
      <c r="AE5" s="1735"/>
      <c r="AF5" s="1735"/>
      <c r="AG5" s="1735"/>
      <c r="AH5" s="1735"/>
      <c r="AI5" s="1736"/>
      <c r="AJ5" s="1735" t="str">
        <f>'Saisie données file act.'!AK22</f>
        <v>IP</v>
      </c>
      <c r="AK5" s="1735">
        <f>'Saisie données file act.'!AL22</f>
        <v>0</v>
      </c>
      <c r="AL5" s="1735"/>
      <c r="AM5" s="1735"/>
      <c r="AN5" s="1735"/>
      <c r="AO5" s="1735"/>
      <c r="AP5" s="1735"/>
      <c r="AQ5" s="1735"/>
      <c r="AR5" s="1735"/>
      <c r="AS5" s="1735"/>
      <c r="AT5" s="1239" t="str">
        <f>'Saisie données file act.'!AU22</f>
        <v>I Int.</v>
      </c>
    </row>
    <row r="6" spans="1:46" ht="23.25" thickBot="1" x14ac:dyDescent="0.25">
      <c r="B6" s="1236"/>
      <c r="C6" s="1240" t="str">
        <f>'Saisie données file act.'!D23</f>
        <v>Composition</v>
      </c>
      <c r="D6" s="1280" t="str">
        <f>'Saisie données file act.'!E23</f>
        <v>AZT+3TC+NVP</v>
      </c>
      <c r="E6" s="1281" t="str">
        <f>'Saisie données file act.'!F23</f>
        <v>AZT+3TC+NVP</v>
      </c>
      <c r="F6" s="1281" t="str">
        <f>'Saisie données file act.'!G23</f>
        <v>AZT+3TC+ABC</v>
      </c>
      <c r="G6" s="1281" t="str">
        <f>'Saisie données file act.'!H23</f>
        <v>AZT+3TC</v>
      </c>
      <c r="H6" s="1281" t="str">
        <f>'Saisie données file act.'!I23</f>
        <v>AZT+3TC</v>
      </c>
      <c r="I6" s="1281" t="str">
        <f>'Saisie données file act.'!J23</f>
        <v>3TC+ABC</v>
      </c>
      <c r="J6" s="1281" t="str">
        <f>'Saisie données file act.'!K23</f>
        <v>3TC+ABC</v>
      </c>
      <c r="K6" s="1281" t="str">
        <f>'Saisie données file act.'!L23</f>
        <v>D4T+3TC+NVP</v>
      </c>
      <c r="L6" s="1281" t="str">
        <f>'Saisie données file act.'!M23</f>
        <v>D4T+3TC+NVP</v>
      </c>
      <c r="M6" s="1281" t="str">
        <f>'Saisie données file act.'!N23</f>
        <v>D4T+3TC</v>
      </c>
      <c r="N6" s="1281" t="str">
        <f>'Saisie données file act.'!O23</f>
        <v>TDF+FTC+EFV</v>
      </c>
      <c r="O6" s="1281" t="str">
        <f>'Saisie données file act.'!P23</f>
        <v>TDF+FTC</v>
      </c>
      <c r="P6" s="1281" t="str">
        <f>'Saisie données file act.'!Q23</f>
        <v>TDF+3TC+EFV</v>
      </c>
      <c r="Q6" s="1737" t="str">
        <f>'Saisie données file act.'!R23</f>
        <v>TDF+3TC</v>
      </c>
      <c r="R6" s="1740" t="str">
        <f>'Saisie données file act.'!S23</f>
        <v>[TDF+3TC]+ATV/r</v>
      </c>
      <c r="S6" s="1280" t="str">
        <f>'Saisie données file act.'!T23</f>
        <v>EFV</v>
      </c>
      <c r="T6" s="1737" t="str">
        <f>'Saisie données file act.'!U23</f>
        <v>EFV</v>
      </c>
      <c r="U6" s="1737" t="str">
        <f>'Saisie données file act.'!V23</f>
        <v>EFV</v>
      </c>
      <c r="V6" s="1737" t="str">
        <f>'Saisie données file act.'!W23</f>
        <v>ETV</v>
      </c>
      <c r="W6" s="1737" t="str">
        <f>'Saisie données file act.'!X23</f>
        <v>NVP</v>
      </c>
      <c r="X6" s="1762" t="str">
        <f>'Saisie données file act.'!Y23</f>
        <v>RPV</v>
      </c>
      <c r="Y6" s="1280" t="str">
        <f>'Saisie données file act.'!Z23</f>
        <v>ABC</v>
      </c>
      <c r="Z6" s="1746" t="str">
        <f>'Saisie données file act.'!AA23</f>
        <v>ABC</v>
      </c>
      <c r="AA6" s="1737" t="str">
        <f>'Saisie données file act.'!AB23</f>
        <v>AZT</v>
      </c>
      <c r="AB6" s="1737" t="str">
        <f>'Saisie données file act.'!AC23</f>
        <v>AZT</v>
      </c>
      <c r="AC6" s="1737" t="str">
        <f>'Saisie données file act.'!AD23</f>
        <v>AZT</v>
      </c>
      <c r="AD6" s="1737" t="str">
        <f>'Saisie données file act.'!AE23</f>
        <v>D4T</v>
      </c>
      <c r="AE6" s="1737" t="str">
        <f>'Saisie données file act.'!AF23</f>
        <v>3TC</v>
      </c>
      <c r="AF6" s="1737" t="str">
        <f>'Saisie données file act.'!AG23</f>
        <v>3TC</v>
      </c>
      <c r="AG6" s="1737" t="str">
        <f>'Saisie données file act.'!AH23</f>
        <v>DDI</v>
      </c>
      <c r="AH6" s="1737" t="str">
        <f>'Saisie données file act.'!AI23</f>
        <v>DDI</v>
      </c>
      <c r="AI6" s="1241" t="str">
        <f>'Saisie données file act.'!AJ23</f>
        <v>TDF</v>
      </c>
      <c r="AJ6" s="1746" t="str">
        <f>'Saisie données file act.'!AK23</f>
        <v>LPV/r</v>
      </c>
      <c r="AK6" s="1746" t="str">
        <f>'Saisie données file act.'!AL23</f>
        <v>LPV/r</v>
      </c>
      <c r="AL6" s="1281" t="str">
        <f>'Saisie données file act.'!AM23</f>
        <v>ATV/r</v>
      </c>
      <c r="AM6" s="1281" t="str">
        <f>'Saisie données file act.'!AN23</f>
        <v>FPV</v>
      </c>
      <c r="AN6" s="1281" t="str">
        <f>'Saisie données file act.'!AO23</f>
        <v>IDV hors RTV</v>
      </c>
      <c r="AO6" s="1281" t="str">
        <f>'Saisie données file act.'!AP23</f>
        <v>IDV avec RTV</v>
      </c>
      <c r="AP6" s="1281" t="str">
        <f>'Saisie données file act.'!AQ23</f>
        <v>DRV avec RTV</v>
      </c>
      <c r="AQ6" s="1281" t="str">
        <f>'Saisie données file act.'!AR23</f>
        <v>SQV avec RTV</v>
      </c>
      <c r="AR6" s="1281" t="str">
        <f>'Saisie données file act.'!AS23</f>
        <v>RTV</v>
      </c>
      <c r="AS6" s="1743" t="str">
        <f>'Saisie données file act.'!AT23</f>
        <v>RTV</v>
      </c>
      <c r="AT6" s="1242" t="str">
        <f>'Saisie données file act.'!AU23</f>
        <v>RLT = RAL</v>
      </c>
    </row>
    <row r="7" spans="1:46" ht="23.25" thickBot="1" x14ac:dyDescent="0.25">
      <c r="B7" s="1236"/>
      <c r="C7" s="1240" t="str">
        <f>'Saisie données file act.'!D24</f>
        <v>Dosage</v>
      </c>
      <c r="D7" s="1243" t="str">
        <f>'Saisie données file act.'!E24</f>
        <v>300/150/200 mg</v>
      </c>
      <c r="E7" s="1244" t="str">
        <f>'Saisie données file act.'!F24</f>
        <v>60/30/50 mg</v>
      </c>
      <c r="F7" s="1244" t="str">
        <f>'Saisie données file act.'!G24</f>
        <v>300/150/300 mg</v>
      </c>
      <c r="G7" s="1244" t="str">
        <f>'Saisie données file act.'!H24</f>
        <v>300/150 mg</v>
      </c>
      <c r="H7" s="1244" t="str">
        <f>'Saisie données file act.'!I24</f>
        <v>60/30 mg</v>
      </c>
      <c r="I7" s="1244" t="str">
        <f>'Saisie données file act.'!J24</f>
        <v>300/600 mg</v>
      </c>
      <c r="J7" s="1244" t="str">
        <f>'Saisie données file act.'!K24</f>
        <v>30/60 mg</v>
      </c>
      <c r="K7" s="1244" t="str">
        <f>'Saisie données file act.'!L24</f>
        <v>30/150/200 mg</v>
      </c>
      <c r="L7" s="1244" t="str">
        <f>'Saisie données file act.'!M24</f>
        <v>6/30/50 mg</v>
      </c>
      <c r="M7" s="1244" t="str">
        <f>'Saisie données file act.'!N24</f>
        <v>30/150 mg</v>
      </c>
      <c r="N7" s="1244" t="str">
        <f>'Saisie données file act.'!O24</f>
        <v>300/200/600 mg</v>
      </c>
      <c r="O7" s="1244" t="str">
        <f>'Saisie données file act.'!P24</f>
        <v>300/200 mg</v>
      </c>
      <c r="P7" s="1244" t="str">
        <f>'Saisie données file act.'!Q24</f>
        <v>300/200/600 mg</v>
      </c>
      <c r="Q7" s="1244" t="str">
        <f>'Saisie données file act.'!R24</f>
        <v>300/200 mg</v>
      </c>
      <c r="R7" s="1741" t="str">
        <f>'Saisie données file act.'!S24</f>
        <v>[300/300]+300/100 mg</v>
      </c>
      <c r="S7" s="1243" t="str">
        <f>'Saisie données file act.'!T24</f>
        <v>50 mg</v>
      </c>
      <c r="T7" s="1244" t="str">
        <f>'Saisie données file act.'!U24</f>
        <v>200 mg</v>
      </c>
      <c r="U7" s="1244" t="str">
        <f>'Saisie données file act.'!V24</f>
        <v>600 mg</v>
      </c>
      <c r="V7" s="1244" t="str">
        <f>'Saisie données file act.'!W24</f>
        <v>200 mg</v>
      </c>
      <c r="W7" s="1244" t="str">
        <f>'Saisie données file act.'!X24</f>
        <v>200 mg</v>
      </c>
      <c r="X7" s="1763" t="str">
        <f>'Saisie données file act.'!Y24</f>
        <v>25 mg</v>
      </c>
      <c r="Y7" s="1243" t="str">
        <f>'Saisie données file act.'!Z24</f>
        <v>300 mg</v>
      </c>
      <c r="Z7" s="1747" t="str">
        <f>'Saisie données file act.'!AA24</f>
        <v>60 mg</v>
      </c>
      <c r="AA7" s="1244" t="str">
        <f>'Saisie données file act.'!AB24</f>
        <v>300 mg</v>
      </c>
      <c r="AB7" s="1244" t="str">
        <f>'Saisie données file act.'!AC24</f>
        <v>100 mg</v>
      </c>
      <c r="AC7" s="1244" t="str">
        <f>'Saisie données file act.'!AD24</f>
        <v>60 mg</v>
      </c>
      <c r="AD7" s="1244" t="str">
        <f>'Saisie données file act.'!AE24</f>
        <v>30 mg</v>
      </c>
      <c r="AE7" s="1244" t="str">
        <f>'Saisie données file act.'!AF24</f>
        <v>150 mg</v>
      </c>
      <c r="AF7" s="1244" t="str">
        <f>'Saisie données file act.'!AG24</f>
        <v>30 mg</v>
      </c>
      <c r="AG7" s="1244" t="str">
        <f>'Saisie données file act.'!AH24</f>
        <v>250 mg</v>
      </c>
      <c r="AH7" s="1244" t="str">
        <f>'Saisie données file act.'!AI24</f>
        <v>400 mg</v>
      </c>
      <c r="AI7" s="1245" t="str">
        <f>'Saisie données file act.'!AJ24</f>
        <v>300 mg</v>
      </c>
      <c r="AJ7" s="1747" t="str">
        <f>'Saisie données file act.'!AK24</f>
        <v>200/50 mg</v>
      </c>
      <c r="AK7" s="1747" t="str">
        <f>'Saisie données file act.'!AL24</f>
        <v>100/25 mg</v>
      </c>
      <c r="AL7" s="1244" t="str">
        <f>'Saisie données file act.'!AM24</f>
        <v>300/100 mg</v>
      </c>
      <c r="AM7" s="1244" t="str">
        <f>'Saisie données file act.'!AN24</f>
        <v>700 mg</v>
      </c>
      <c r="AN7" s="1244" t="str">
        <f>'Saisie données file act.'!AO24</f>
        <v>400 mg</v>
      </c>
      <c r="AO7" s="1244" t="str">
        <f>'Saisie données file act.'!AP24</f>
        <v>400 mg</v>
      </c>
      <c r="AP7" s="1244" t="str">
        <f>'Saisie données file act.'!AQ24</f>
        <v>300 mg</v>
      </c>
      <c r="AQ7" s="1244" t="str">
        <f>'Saisie données file act.'!AR24</f>
        <v>500 mg</v>
      </c>
      <c r="AR7" s="1244" t="str">
        <f>'Saisie données file act.'!AS24</f>
        <v>100 mg</v>
      </c>
      <c r="AS7" s="1744" t="str">
        <f>'Saisie données file act.'!AT24</f>
        <v>100 mg</v>
      </c>
      <c r="AT7" s="1246" t="str">
        <f>'Saisie données file act.'!AU24</f>
        <v>400 mg</v>
      </c>
    </row>
    <row r="8" spans="1:46" ht="12" thickBot="1" x14ac:dyDescent="0.25">
      <c r="B8" s="1236"/>
      <c r="C8" s="1240" t="str">
        <f>'Saisie données file act.'!D25</f>
        <v>Posologies (nb de cp / jour)</v>
      </c>
      <c r="D8" s="1243">
        <f>'Saisie données file act.'!E25</f>
        <v>2</v>
      </c>
      <c r="E8" s="1244">
        <f>'Saisie données file act.'!F25</f>
        <v>2</v>
      </c>
      <c r="F8" s="1244">
        <f>'Saisie données file act.'!G25</f>
        <v>2</v>
      </c>
      <c r="G8" s="1244">
        <f>'Saisie données file act.'!H25</f>
        <v>2</v>
      </c>
      <c r="H8" s="1244">
        <f>'Saisie données file act.'!I25</f>
        <v>2</v>
      </c>
      <c r="I8" s="1244">
        <f>'Saisie données file act.'!J25</f>
        <v>1</v>
      </c>
      <c r="J8" s="1244">
        <f>'Saisie données file act.'!K25</f>
        <v>2</v>
      </c>
      <c r="K8" s="1244">
        <f>'Saisie données file act.'!L25</f>
        <v>2</v>
      </c>
      <c r="L8" s="1244">
        <f>'Saisie données file act.'!M25</f>
        <v>2</v>
      </c>
      <c r="M8" s="1244">
        <f>'Saisie données file act.'!N25</f>
        <v>2</v>
      </c>
      <c r="N8" s="1244">
        <f>'Saisie données file act.'!O25</f>
        <v>1</v>
      </c>
      <c r="O8" s="1244">
        <f>'Saisie données file act.'!P25</f>
        <v>1</v>
      </c>
      <c r="P8" s="1244">
        <f>'Saisie données file act.'!Q25</f>
        <v>1</v>
      </c>
      <c r="Q8" s="1244">
        <f>'Saisie données file act.'!R25</f>
        <v>1</v>
      </c>
      <c r="R8" s="1741">
        <f>'Saisie données file act.'!S25</f>
        <v>1</v>
      </c>
      <c r="S8" s="1243">
        <f>'Saisie données file act.'!T25</f>
        <v>0</v>
      </c>
      <c r="T8" s="1244">
        <f>'Saisie données file act.'!U25</f>
        <v>0</v>
      </c>
      <c r="U8" s="1244">
        <f>'Saisie données file act.'!V25</f>
        <v>1</v>
      </c>
      <c r="V8" s="1244">
        <f>'Saisie données file act.'!W25</f>
        <v>2</v>
      </c>
      <c r="W8" s="1244">
        <f>'Saisie données file act.'!X25</f>
        <v>2</v>
      </c>
      <c r="X8" s="1763">
        <f>'Saisie données file act.'!Y25</f>
        <v>1</v>
      </c>
      <c r="Y8" s="1243">
        <f>'Saisie données file act.'!Z25</f>
        <v>2</v>
      </c>
      <c r="Z8" s="1747">
        <f>'Saisie données file act.'!AA25</f>
        <v>2</v>
      </c>
      <c r="AA8" s="1244">
        <f>'Saisie données file act.'!AB25</f>
        <v>2</v>
      </c>
      <c r="AB8" s="1244">
        <f>'Saisie données file act.'!AC25</f>
        <v>0</v>
      </c>
      <c r="AC8" s="1244">
        <f>'Saisie données file act.'!AD25</f>
        <v>2</v>
      </c>
      <c r="AD8" s="1244">
        <f>'Saisie données file act.'!AE25</f>
        <v>2</v>
      </c>
      <c r="AE8" s="1244">
        <f>'Saisie données file act.'!AF25</f>
        <v>2</v>
      </c>
      <c r="AF8" s="1244">
        <f>'Saisie données file act.'!AG25</f>
        <v>2</v>
      </c>
      <c r="AG8" s="1244">
        <f>'Saisie données file act.'!AH25</f>
        <v>1</v>
      </c>
      <c r="AH8" s="1244">
        <f>'Saisie données file act.'!AI25</f>
        <v>1</v>
      </c>
      <c r="AI8" s="1245">
        <f>'Saisie données file act.'!AJ25</f>
        <v>1</v>
      </c>
      <c r="AJ8" s="1747">
        <f>'Saisie données file act.'!AK25</f>
        <v>4</v>
      </c>
      <c r="AK8" s="1747">
        <f>'Saisie données file act.'!AL25</f>
        <v>2</v>
      </c>
      <c r="AL8" s="1244">
        <f>'Saisie données file act.'!AM25</f>
        <v>2</v>
      </c>
      <c r="AM8" s="1244">
        <f>'Saisie données file act.'!AN25</f>
        <v>2</v>
      </c>
      <c r="AN8" s="1244">
        <f>'Saisie données file act.'!AO25</f>
        <v>6</v>
      </c>
      <c r="AO8" s="1244">
        <f>'Saisie données file act.'!AP25</f>
        <v>4</v>
      </c>
      <c r="AP8" s="1244">
        <f>'Saisie données file act.'!AQ25</f>
        <v>4</v>
      </c>
      <c r="AQ8" s="1244">
        <f>'Saisie données file act.'!AR25</f>
        <v>4</v>
      </c>
      <c r="AR8" s="1244">
        <f>'Saisie données file act.'!AS25</f>
        <v>1</v>
      </c>
      <c r="AS8" s="1744">
        <f>'Saisie données file act.'!AT25</f>
        <v>2</v>
      </c>
      <c r="AT8" s="1246">
        <f>'Saisie données file act.'!AU25</f>
        <v>2</v>
      </c>
    </row>
    <row r="9" spans="1:46" ht="26.25" customHeight="1" thickBot="1" x14ac:dyDescent="0.25">
      <c r="B9" s="3307" t="str">
        <f>'Saisie données file act.'!C26</f>
        <v>Schéma thérapeutique</v>
      </c>
      <c r="C9" s="1240" t="str">
        <f>'Saisie données file act.'!D26</f>
        <v>Conditionnement</v>
      </c>
      <c r="D9" s="1247">
        <f>'Saisie données file act.'!E26</f>
        <v>60</v>
      </c>
      <c r="E9" s="1248">
        <f>'Saisie données file act.'!F26</f>
        <v>60</v>
      </c>
      <c r="F9" s="1248">
        <f>'Saisie données file act.'!G26</f>
        <v>60</v>
      </c>
      <c r="G9" s="1248">
        <f>'Saisie données file act.'!H26</f>
        <v>60</v>
      </c>
      <c r="H9" s="1248">
        <f>'Saisie données file act.'!I26</f>
        <v>60</v>
      </c>
      <c r="I9" s="1248">
        <f>'Saisie données file act.'!J26</f>
        <v>30</v>
      </c>
      <c r="J9" s="1248">
        <f>'Saisie données file act.'!K26</f>
        <v>60</v>
      </c>
      <c r="K9" s="1248">
        <f>'Saisie données file act.'!L26</f>
        <v>60</v>
      </c>
      <c r="L9" s="1248">
        <f>'Saisie données file act.'!M26</f>
        <v>60</v>
      </c>
      <c r="M9" s="1248">
        <f>'Saisie données file act.'!N26</f>
        <v>60</v>
      </c>
      <c r="N9" s="1248">
        <f>'Saisie données file act.'!O26</f>
        <v>30</v>
      </c>
      <c r="O9" s="1248">
        <f>'Saisie données file act.'!P26</f>
        <v>30</v>
      </c>
      <c r="P9" s="1248">
        <f>'Saisie données file act.'!Q26</f>
        <v>30</v>
      </c>
      <c r="Q9" s="1248">
        <f>'Saisie données file act.'!R26</f>
        <v>30</v>
      </c>
      <c r="R9" s="1742">
        <f>'Saisie données file act.'!S26</f>
        <v>30</v>
      </c>
      <c r="S9" s="1247">
        <f>'Saisie données file act.'!T26</f>
        <v>30</v>
      </c>
      <c r="T9" s="1248">
        <f>'Saisie données file act.'!U26</f>
        <v>90</v>
      </c>
      <c r="U9" s="1248">
        <f>'Saisie données file act.'!V26</f>
        <v>30</v>
      </c>
      <c r="V9" s="1248">
        <f>'Saisie données file act.'!W26</f>
        <v>60</v>
      </c>
      <c r="W9" s="1248">
        <f>'Saisie données file act.'!X26</f>
        <v>60</v>
      </c>
      <c r="X9" s="1764">
        <f>'Saisie données file act.'!Y26</f>
        <v>30</v>
      </c>
      <c r="Y9" s="1247">
        <f>'Saisie données file act.'!Z26</f>
        <v>60</v>
      </c>
      <c r="Z9" s="1748">
        <f>'Saisie données file act.'!AA26</f>
        <v>60</v>
      </c>
      <c r="AA9" s="1248">
        <f>'Saisie données file act.'!AB26</f>
        <v>60</v>
      </c>
      <c r="AB9" s="1248">
        <f>'Saisie données file act.'!AC26</f>
        <v>100</v>
      </c>
      <c r="AC9" s="1248">
        <f>'Saisie données file act.'!AD26</f>
        <v>60</v>
      </c>
      <c r="AD9" s="1248">
        <f>'Saisie données file act.'!AE26</f>
        <v>60</v>
      </c>
      <c r="AE9" s="1248">
        <f>'Saisie données file act.'!AF26</f>
        <v>60</v>
      </c>
      <c r="AF9" s="1248">
        <f>'Saisie données file act.'!AG26</f>
        <v>60</v>
      </c>
      <c r="AG9" s="1248">
        <f>'Saisie données file act.'!AH26</f>
        <v>30</v>
      </c>
      <c r="AH9" s="1248">
        <f>'Saisie données file act.'!AI26</f>
        <v>30</v>
      </c>
      <c r="AI9" s="1249">
        <f>'Saisie données file act.'!AJ26</f>
        <v>30</v>
      </c>
      <c r="AJ9" s="1748">
        <f>'Saisie données file act.'!AK26</f>
        <v>120</v>
      </c>
      <c r="AK9" s="1748">
        <f>'Saisie données file act.'!AL26</f>
        <v>60</v>
      </c>
      <c r="AL9" s="1248">
        <f>'Saisie données file act.'!AM26</f>
        <v>60</v>
      </c>
      <c r="AM9" s="1248">
        <f>'Saisie données file act.'!AN26</f>
        <v>60</v>
      </c>
      <c r="AN9" s="1248">
        <f>'Saisie données file act.'!AO26</f>
        <v>180</v>
      </c>
      <c r="AO9" s="1248">
        <f>'Saisie données file act.'!AP26</f>
        <v>180</v>
      </c>
      <c r="AP9" s="1248">
        <f>'Saisie données file act.'!AQ26</f>
        <v>120</v>
      </c>
      <c r="AQ9" s="1248">
        <f>'Saisie données file act.'!AR26</f>
        <v>120</v>
      </c>
      <c r="AR9" s="1248">
        <f>'Saisie données file act.'!AS26</f>
        <v>84</v>
      </c>
      <c r="AS9" s="1745">
        <f>'Saisie données file act.'!AT26</f>
        <v>84</v>
      </c>
      <c r="AT9" s="1250">
        <f>'Saisie données file act.'!AU26</f>
        <v>60</v>
      </c>
    </row>
    <row r="10" spans="1:46" ht="13.5" customHeight="1" thickBot="1" x14ac:dyDescent="0.25">
      <c r="B10" s="3308"/>
      <c r="C10" s="1282" t="str">
        <f>'Saisie données file act.'!D27</f>
        <v>Premières lignes</v>
      </c>
      <c r="D10" s="1251"/>
      <c r="E10" s="1251"/>
      <c r="F10" s="1251"/>
      <c r="G10" s="1251"/>
      <c r="H10" s="1251"/>
      <c r="I10" s="1251"/>
      <c r="J10" s="1251"/>
      <c r="K10" s="1251"/>
      <c r="L10" s="1251"/>
      <c r="M10" s="1251"/>
      <c r="N10" s="1251"/>
      <c r="O10" s="1251"/>
      <c r="P10" s="1251"/>
      <c r="Q10" s="1251"/>
      <c r="R10" s="1251"/>
      <c r="S10" s="1765"/>
      <c r="T10" s="1251"/>
      <c r="U10" s="1251"/>
      <c r="V10" s="1251"/>
      <c r="W10" s="1251"/>
      <c r="X10" s="1253"/>
      <c r="Y10" s="1765"/>
      <c r="Z10" s="1251"/>
      <c r="AA10" s="1251"/>
      <c r="AB10" s="1251"/>
      <c r="AC10" s="1251"/>
      <c r="AD10" s="1251"/>
      <c r="AE10" s="1251"/>
      <c r="AF10" s="1251"/>
      <c r="AG10" s="1251"/>
      <c r="AH10" s="1251"/>
      <c r="AI10" s="1253"/>
      <c r="AJ10" s="1252"/>
      <c r="AK10" s="1252"/>
      <c r="AL10" s="1252"/>
      <c r="AM10" s="1252"/>
      <c r="AN10" s="1252"/>
      <c r="AO10" s="1252"/>
      <c r="AP10" s="1252"/>
      <c r="AQ10" s="1252"/>
      <c r="AR10" s="1251"/>
      <c r="AS10" s="1251"/>
      <c r="AT10" s="1755"/>
    </row>
    <row r="11" spans="1:46" ht="12.75" customHeight="1" x14ac:dyDescent="0.2">
      <c r="B11" s="3308"/>
      <c r="C11" s="1254" t="str">
        <f>'Saisie données file act.'!D28</f>
        <v>TDF+FTC+EFV</v>
      </c>
      <c r="D11" s="1274">
        <f>'Saisie données file act.'!E28</f>
        <v>0</v>
      </c>
      <c r="E11" s="1275">
        <f>'Saisie données file act.'!F28</f>
        <v>0</v>
      </c>
      <c r="F11" s="1275">
        <f>'Saisie données file act.'!G28</f>
        <v>0</v>
      </c>
      <c r="G11" s="1275">
        <f>'Saisie données file act.'!H28</f>
        <v>0</v>
      </c>
      <c r="H11" s="1275">
        <f>'Saisie données file act.'!I28</f>
        <v>0</v>
      </c>
      <c r="I11" s="1275">
        <f>'Saisie données file act.'!J28</f>
        <v>0</v>
      </c>
      <c r="J11" s="1275">
        <f>'Saisie données file act.'!K28</f>
        <v>0</v>
      </c>
      <c r="K11" s="1275">
        <f>'Saisie données file act.'!L28</f>
        <v>0</v>
      </c>
      <c r="L11" s="1275">
        <f>'Saisie données file act.'!M28</f>
        <v>0</v>
      </c>
      <c r="M11" s="1275">
        <f>'Saisie données file act.'!N28</f>
        <v>0</v>
      </c>
      <c r="N11" s="1275">
        <f>'Saisie données file act.'!O28</f>
        <v>0</v>
      </c>
      <c r="O11" s="1275">
        <f>'Saisie données file act.'!P28</f>
        <v>0</v>
      </c>
      <c r="P11" s="1275">
        <f>'Saisie données file act.'!Q28</f>
        <v>0</v>
      </c>
      <c r="Q11" s="1275">
        <f>'Saisie données file act.'!R28</f>
        <v>0</v>
      </c>
      <c r="R11" s="1752">
        <f>'Saisie données file act.'!S28</f>
        <v>0</v>
      </c>
      <c r="S11" s="1766">
        <f>'Saisie données file act.'!T28</f>
        <v>0</v>
      </c>
      <c r="T11" s="1275">
        <f>'Saisie données file act.'!U28</f>
        <v>0</v>
      </c>
      <c r="U11" s="1275">
        <f>'Saisie données file act.'!V28</f>
        <v>0</v>
      </c>
      <c r="V11" s="1275">
        <f>'Saisie données file act.'!W28</f>
        <v>0</v>
      </c>
      <c r="W11" s="1275">
        <f>'Saisie données file act.'!X28</f>
        <v>0</v>
      </c>
      <c r="X11" s="1277">
        <f>'Saisie données file act.'!Y28</f>
        <v>0</v>
      </c>
      <c r="Y11" s="1766">
        <f>'Saisie données file act.'!Z28</f>
        <v>0</v>
      </c>
      <c r="Z11" s="1275">
        <f>'Saisie données file act.'!AA28</f>
        <v>0</v>
      </c>
      <c r="AA11" s="1275">
        <f>'Saisie données file act.'!AB28</f>
        <v>0</v>
      </c>
      <c r="AB11" s="1275">
        <f>'Saisie données file act.'!AC28</f>
        <v>0</v>
      </c>
      <c r="AC11" s="1275">
        <f>'Saisie données file act.'!AD28</f>
        <v>0</v>
      </c>
      <c r="AD11" s="1275">
        <f>'Saisie données file act.'!AE28</f>
        <v>0</v>
      </c>
      <c r="AE11" s="1275">
        <f>'Saisie données file act.'!AF28</f>
        <v>0</v>
      </c>
      <c r="AF11" s="1275">
        <f>'Saisie données file act.'!AG28</f>
        <v>0</v>
      </c>
      <c r="AG11" s="1275">
        <f>'Saisie données file act.'!AH28</f>
        <v>0</v>
      </c>
      <c r="AH11" s="1275">
        <f>'Saisie données file act.'!AI28</f>
        <v>0</v>
      </c>
      <c r="AI11" s="1277">
        <f>'Saisie données file act.'!AJ28</f>
        <v>0</v>
      </c>
      <c r="AJ11" s="1772">
        <f>'Saisie données file act.'!AK28</f>
        <v>0</v>
      </c>
      <c r="AK11" s="1276">
        <f>'Saisie données file act.'!AL28</f>
        <v>0</v>
      </c>
      <c r="AL11" s="1276">
        <f>'Saisie données file act.'!AM28</f>
        <v>0</v>
      </c>
      <c r="AM11" s="1276">
        <f>'Saisie données file act.'!AN28</f>
        <v>0</v>
      </c>
      <c r="AN11" s="1276">
        <f>'Saisie données file act.'!AO28</f>
        <v>0</v>
      </c>
      <c r="AO11" s="1276">
        <f>'Saisie données file act.'!AP28</f>
        <v>0</v>
      </c>
      <c r="AP11" s="1276">
        <f>'Saisie données file act.'!AQ28</f>
        <v>0</v>
      </c>
      <c r="AQ11" s="1276">
        <f>'Saisie données file act.'!AR28</f>
        <v>0</v>
      </c>
      <c r="AR11" s="1275">
        <f>'Saisie données file act.'!AS28</f>
        <v>0</v>
      </c>
      <c r="AS11" s="1752">
        <f>'Saisie données file act.'!AT28</f>
        <v>0</v>
      </c>
      <c r="AT11" s="1756">
        <f>'Saisie données file act.'!AU28</f>
        <v>0</v>
      </c>
    </row>
    <row r="12" spans="1:46" ht="12.75" customHeight="1" x14ac:dyDescent="0.2">
      <c r="B12" s="3308"/>
      <c r="C12" s="1283" t="str">
        <f>'Saisie données file act.'!D29</f>
        <v>ABC+3TC+ATV/r</v>
      </c>
      <c r="D12" s="1284">
        <f>'Saisie données file act.'!E29</f>
        <v>0</v>
      </c>
      <c r="E12" s="1285">
        <f>'Saisie données file act.'!F29</f>
        <v>0</v>
      </c>
      <c r="F12" s="1285">
        <f>'Saisie données file act.'!G29</f>
        <v>0</v>
      </c>
      <c r="G12" s="1285">
        <f>'Saisie données file act.'!H29</f>
        <v>0</v>
      </c>
      <c r="H12" s="1285">
        <f>'Saisie données file act.'!I29</f>
        <v>0</v>
      </c>
      <c r="I12" s="1285">
        <f>'Saisie données file act.'!J29</f>
        <v>0</v>
      </c>
      <c r="J12" s="1285">
        <f>'Saisie données file act.'!K29</f>
        <v>0</v>
      </c>
      <c r="K12" s="1285">
        <f>'Saisie données file act.'!L29</f>
        <v>0</v>
      </c>
      <c r="L12" s="1285">
        <f>'Saisie données file act.'!M29</f>
        <v>0</v>
      </c>
      <c r="M12" s="1285">
        <f>'Saisie données file act.'!N29</f>
        <v>0</v>
      </c>
      <c r="N12" s="1285">
        <f>'Saisie données file act.'!O29</f>
        <v>0</v>
      </c>
      <c r="O12" s="1285">
        <f>'Saisie données file act.'!P29</f>
        <v>0</v>
      </c>
      <c r="P12" s="1285">
        <f>'Saisie données file act.'!Q29</f>
        <v>0</v>
      </c>
      <c r="Q12" s="1285">
        <f>'Saisie données file act.'!R29</f>
        <v>0</v>
      </c>
      <c r="R12" s="1753">
        <f>'Saisie données file act.'!S29</f>
        <v>0</v>
      </c>
      <c r="S12" s="1767">
        <f>'Saisie données file act.'!T29</f>
        <v>0</v>
      </c>
      <c r="T12" s="1738">
        <f>'Saisie données file act.'!U29</f>
        <v>0</v>
      </c>
      <c r="U12" s="1738">
        <f>'Saisie données file act.'!V29</f>
        <v>0</v>
      </c>
      <c r="V12" s="1738">
        <f>'Saisie données file act.'!W29</f>
        <v>0</v>
      </c>
      <c r="W12" s="1738">
        <f>'Saisie données file act.'!X29</f>
        <v>0</v>
      </c>
      <c r="X12" s="1768">
        <f>'Saisie données file act.'!Y29</f>
        <v>0</v>
      </c>
      <c r="Y12" s="1767">
        <f>'Saisie données file act.'!Z29</f>
        <v>0</v>
      </c>
      <c r="Z12" s="1738">
        <f>'Saisie données file act.'!AA29</f>
        <v>0</v>
      </c>
      <c r="AA12" s="1738">
        <f>'Saisie données file act.'!AB29</f>
        <v>0</v>
      </c>
      <c r="AB12" s="1738">
        <f>'Saisie données file act.'!AC29</f>
        <v>0</v>
      </c>
      <c r="AC12" s="1738">
        <f>'Saisie données file act.'!AD29</f>
        <v>0</v>
      </c>
      <c r="AD12" s="1738">
        <f>'Saisie données file act.'!AE29</f>
        <v>0</v>
      </c>
      <c r="AE12" s="1738">
        <f>'Saisie données file act.'!AF29</f>
        <v>0</v>
      </c>
      <c r="AF12" s="1738">
        <f>'Saisie données file act.'!AG29</f>
        <v>0</v>
      </c>
      <c r="AG12" s="1738">
        <f>'Saisie données file act.'!AH29</f>
        <v>0</v>
      </c>
      <c r="AH12" s="1738">
        <f>'Saisie données file act.'!AI29</f>
        <v>0</v>
      </c>
      <c r="AI12" s="1768">
        <f>'Saisie données file act.'!AJ29</f>
        <v>0</v>
      </c>
      <c r="AJ12" s="1773">
        <f>'Saisie données file act.'!AK29</f>
        <v>0</v>
      </c>
      <c r="AK12" s="1286">
        <f>'Saisie données file act.'!AL29</f>
        <v>0</v>
      </c>
      <c r="AL12" s="1286">
        <f>'Saisie données file act.'!AM29</f>
        <v>0</v>
      </c>
      <c r="AM12" s="1286">
        <f>'Saisie données file act.'!AN29</f>
        <v>0</v>
      </c>
      <c r="AN12" s="1286">
        <f>'Saisie données file act.'!AO29</f>
        <v>0</v>
      </c>
      <c r="AO12" s="1286">
        <f>'Saisie données file act.'!AP29</f>
        <v>0</v>
      </c>
      <c r="AP12" s="1286">
        <f>'Saisie données file act.'!AQ29</f>
        <v>0</v>
      </c>
      <c r="AQ12" s="1286">
        <f>'Saisie données file act.'!AR29</f>
        <v>0</v>
      </c>
      <c r="AR12" s="1285">
        <f>'Saisie données file act.'!AS29</f>
        <v>0</v>
      </c>
      <c r="AS12" s="1753">
        <f>'Saisie données file act.'!AT29</f>
        <v>0</v>
      </c>
      <c r="AT12" s="1757">
        <f>'Saisie données file act.'!AU29</f>
        <v>0</v>
      </c>
    </row>
    <row r="13" spans="1:46" ht="12.75" customHeight="1" x14ac:dyDescent="0.2">
      <c r="B13" s="3308"/>
      <c r="C13" s="1255" t="str">
        <f>'Saisie données file act.'!D30</f>
        <v>TDF+FTC+ATV/r</v>
      </c>
      <c r="D13" s="1284">
        <f>'Saisie données file act.'!E30</f>
        <v>0</v>
      </c>
      <c r="E13" s="1285">
        <f>'Saisie données file act.'!F30</f>
        <v>0</v>
      </c>
      <c r="F13" s="1285">
        <f>'Saisie données file act.'!G30</f>
        <v>0</v>
      </c>
      <c r="G13" s="1285">
        <f>'Saisie données file act.'!H30</f>
        <v>0</v>
      </c>
      <c r="H13" s="1285">
        <f>'Saisie données file act.'!I30</f>
        <v>0</v>
      </c>
      <c r="I13" s="1285">
        <f>'Saisie données file act.'!J30</f>
        <v>0</v>
      </c>
      <c r="J13" s="1285">
        <f>'Saisie données file act.'!K30</f>
        <v>0</v>
      </c>
      <c r="K13" s="1285">
        <f>'Saisie données file act.'!L30</f>
        <v>0</v>
      </c>
      <c r="L13" s="1285">
        <f>'Saisie données file act.'!M30</f>
        <v>0</v>
      </c>
      <c r="M13" s="1285">
        <f>'Saisie données file act.'!N30</f>
        <v>0</v>
      </c>
      <c r="N13" s="1285">
        <f>'Saisie données file act.'!O30</f>
        <v>0</v>
      </c>
      <c r="O13" s="1285">
        <f>'Saisie données file act.'!P30</f>
        <v>0</v>
      </c>
      <c r="P13" s="1285">
        <f>'Saisie données file act.'!Q30</f>
        <v>0</v>
      </c>
      <c r="Q13" s="1285">
        <f>'Saisie données file act.'!R30</f>
        <v>0</v>
      </c>
      <c r="R13" s="1753">
        <f>'Saisie données file act.'!S30</f>
        <v>0</v>
      </c>
      <c r="S13" s="1767">
        <f>'Saisie données file act.'!T30</f>
        <v>0</v>
      </c>
      <c r="T13" s="1738">
        <f>'Saisie données file act.'!U30</f>
        <v>0</v>
      </c>
      <c r="U13" s="1738">
        <f>'Saisie données file act.'!V30</f>
        <v>0</v>
      </c>
      <c r="V13" s="1738">
        <f>'Saisie données file act.'!W30</f>
        <v>0</v>
      </c>
      <c r="W13" s="1738">
        <f>'Saisie données file act.'!X30</f>
        <v>0</v>
      </c>
      <c r="X13" s="1768">
        <f>'Saisie données file act.'!Y30</f>
        <v>0</v>
      </c>
      <c r="Y13" s="1767">
        <f>'Saisie données file act.'!Z30</f>
        <v>0</v>
      </c>
      <c r="Z13" s="1738">
        <f>'Saisie données file act.'!AA30</f>
        <v>0</v>
      </c>
      <c r="AA13" s="1738">
        <f>'Saisie données file act.'!AB30</f>
        <v>0</v>
      </c>
      <c r="AB13" s="1738">
        <f>'Saisie données file act.'!AC30</f>
        <v>0</v>
      </c>
      <c r="AC13" s="1738">
        <f>'Saisie données file act.'!AD30</f>
        <v>0</v>
      </c>
      <c r="AD13" s="1738">
        <f>'Saisie données file act.'!AE30</f>
        <v>0</v>
      </c>
      <c r="AE13" s="1738">
        <f>'Saisie données file act.'!AF30</f>
        <v>0</v>
      </c>
      <c r="AF13" s="1738">
        <f>'Saisie données file act.'!AG30</f>
        <v>0</v>
      </c>
      <c r="AG13" s="1738">
        <f>'Saisie données file act.'!AH30</f>
        <v>0</v>
      </c>
      <c r="AH13" s="1738">
        <f>'Saisie données file act.'!AI30</f>
        <v>0</v>
      </c>
      <c r="AI13" s="1768">
        <f>'Saisie données file act.'!AJ30</f>
        <v>0</v>
      </c>
      <c r="AJ13" s="1773">
        <f>'Saisie données file act.'!AK30</f>
        <v>0</v>
      </c>
      <c r="AK13" s="1286">
        <f>'Saisie données file act.'!AL30</f>
        <v>0</v>
      </c>
      <c r="AL13" s="1286">
        <f>'Saisie données file act.'!AM30</f>
        <v>0</v>
      </c>
      <c r="AM13" s="1286">
        <f>'Saisie données file act.'!AN30</f>
        <v>0</v>
      </c>
      <c r="AN13" s="1286">
        <f>'Saisie données file act.'!AO30</f>
        <v>0</v>
      </c>
      <c r="AO13" s="1286">
        <f>'Saisie données file act.'!AP30</f>
        <v>0</v>
      </c>
      <c r="AP13" s="1286">
        <f>'Saisie données file act.'!AQ30</f>
        <v>0</v>
      </c>
      <c r="AQ13" s="1286">
        <f>'Saisie données file act.'!AR30</f>
        <v>0</v>
      </c>
      <c r="AR13" s="1285">
        <f>'Saisie données file act.'!AS30</f>
        <v>0</v>
      </c>
      <c r="AS13" s="1753">
        <f>'Saisie données file act.'!AT30</f>
        <v>0</v>
      </c>
      <c r="AT13" s="1757">
        <f>'Saisie données file act.'!AU30</f>
        <v>0</v>
      </c>
    </row>
    <row r="14" spans="1:46" ht="12.75" customHeight="1" x14ac:dyDescent="0.2">
      <c r="B14" s="3308"/>
      <c r="C14" s="1256">
        <f>'Saisie données file act.'!D31</f>
        <v>0</v>
      </c>
      <c r="D14" s="1284">
        <f>'Saisie données file act.'!E31</f>
        <v>0</v>
      </c>
      <c r="E14" s="1285">
        <f>'Saisie données file act.'!F31</f>
        <v>0</v>
      </c>
      <c r="F14" s="1285">
        <f>'Saisie données file act.'!G31</f>
        <v>0</v>
      </c>
      <c r="G14" s="1285">
        <f>'Saisie données file act.'!H31</f>
        <v>0</v>
      </c>
      <c r="H14" s="1285">
        <f>'Saisie données file act.'!I31</f>
        <v>0</v>
      </c>
      <c r="I14" s="1285">
        <f>'Saisie données file act.'!J31</f>
        <v>0</v>
      </c>
      <c r="J14" s="1285">
        <f>'Saisie données file act.'!K31</f>
        <v>0</v>
      </c>
      <c r="K14" s="1285">
        <f>'Saisie données file act.'!L31</f>
        <v>0</v>
      </c>
      <c r="L14" s="1285">
        <f>'Saisie données file act.'!M31</f>
        <v>0</v>
      </c>
      <c r="M14" s="1285">
        <f>'Saisie données file act.'!N31</f>
        <v>0</v>
      </c>
      <c r="N14" s="1285">
        <f>'Saisie données file act.'!O31</f>
        <v>0</v>
      </c>
      <c r="O14" s="1285">
        <f>'Saisie données file act.'!P31</f>
        <v>0</v>
      </c>
      <c r="P14" s="1285">
        <f>'Saisie données file act.'!Q31</f>
        <v>0</v>
      </c>
      <c r="Q14" s="1285">
        <f>'Saisie données file act.'!R31</f>
        <v>0</v>
      </c>
      <c r="R14" s="1753">
        <f>'Saisie données file act.'!S31</f>
        <v>0</v>
      </c>
      <c r="S14" s="1767">
        <f>'Saisie données file act.'!T31</f>
        <v>0</v>
      </c>
      <c r="T14" s="1738">
        <f>'Saisie données file act.'!U31</f>
        <v>0</v>
      </c>
      <c r="U14" s="1738">
        <f>'Saisie données file act.'!V31</f>
        <v>0</v>
      </c>
      <c r="V14" s="1738">
        <f>'Saisie données file act.'!W31</f>
        <v>0</v>
      </c>
      <c r="W14" s="1738">
        <f>'Saisie données file act.'!X31</f>
        <v>0</v>
      </c>
      <c r="X14" s="1768">
        <f>'Saisie données file act.'!Y31</f>
        <v>0</v>
      </c>
      <c r="Y14" s="1767">
        <f>'Saisie données file act.'!Z31</f>
        <v>0</v>
      </c>
      <c r="Z14" s="1738">
        <f>'Saisie données file act.'!AA31</f>
        <v>0</v>
      </c>
      <c r="AA14" s="1738">
        <f>'Saisie données file act.'!AB31</f>
        <v>0</v>
      </c>
      <c r="AB14" s="1738">
        <f>'Saisie données file act.'!AC31</f>
        <v>0</v>
      </c>
      <c r="AC14" s="1738">
        <f>'Saisie données file act.'!AD31</f>
        <v>0</v>
      </c>
      <c r="AD14" s="1738">
        <f>'Saisie données file act.'!AE31</f>
        <v>0</v>
      </c>
      <c r="AE14" s="1738">
        <f>'Saisie données file act.'!AF31</f>
        <v>0</v>
      </c>
      <c r="AF14" s="1738">
        <f>'Saisie données file act.'!AG31</f>
        <v>0</v>
      </c>
      <c r="AG14" s="1738">
        <f>'Saisie données file act.'!AH31</f>
        <v>0</v>
      </c>
      <c r="AH14" s="1738">
        <f>'Saisie données file act.'!AI31</f>
        <v>0</v>
      </c>
      <c r="AI14" s="1768">
        <f>'Saisie données file act.'!AJ31</f>
        <v>0</v>
      </c>
      <c r="AJ14" s="1773">
        <f>'Saisie données file act.'!AK31</f>
        <v>0</v>
      </c>
      <c r="AK14" s="1286">
        <f>'Saisie données file act.'!AL31</f>
        <v>0</v>
      </c>
      <c r="AL14" s="1286">
        <f>'Saisie données file act.'!AM31</f>
        <v>0</v>
      </c>
      <c r="AM14" s="1286">
        <f>'Saisie données file act.'!AN31</f>
        <v>0</v>
      </c>
      <c r="AN14" s="1286">
        <f>'Saisie données file act.'!AO31</f>
        <v>0</v>
      </c>
      <c r="AO14" s="1286">
        <f>'Saisie données file act.'!AP31</f>
        <v>0</v>
      </c>
      <c r="AP14" s="1286">
        <f>'Saisie données file act.'!AQ31</f>
        <v>0</v>
      </c>
      <c r="AQ14" s="1286">
        <f>'Saisie données file act.'!AR31</f>
        <v>0</v>
      </c>
      <c r="AR14" s="1285">
        <f>'Saisie données file act.'!AS31</f>
        <v>0</v>
      </c>
      <c r="AS14" s="1753">
        <f>'Saisie données file act.'!AT31</f>
        <v>0</v>
      </c>
      <c r="AT14" s="1757">
        <f>'Saisie données file act.'!AU31</f>
        <v>0</v>
      </c>
    </row>
    <row r="15" spans="1:46" ht="12.75" customHeight="1" x14ac:dyDescent="0.2">
      <c r="B15" s="3308"/>
      <c r="C15" s="1256">
        <f>'Saisie données file act.'!D32</f>
        <v>0</v>
      </c>
      <c r="D15" s="1284">
        <f>'Saisie données file act.'!E32</f>
        <v>0</v>
      </c>
      <c r="E15" s="1285">
        <f>'Saisie données file act.'!F32</f>
        <v>0</v>
      </c>
      <c r="F15" s="1285">
        <f>'Saisie données file act.'!G32</f>
        <v>0</v>
      </c>
      <c r="G15" s="1285">
        <f>'Saisie données file act.'!H32</f>
        <v>0</v>
      </c>
      <c r="H15" s="1285">
        <f>'Saisie données file act.'!I32</f>
        <v>0</v>
      </c>
      <c r="I15" s="1285">
        <f>'Saisie données file act.'!J32</f>
        <v>0</v>
      </c>
      <c r="J15" s="1285">
        <f>'Saisie données file act.'!K32</f>
        <v>0</v>
      </c>
      <c r="K15" s="1285">
        <f>'Saisie données file act.'!L32</f>
        <v>0</v>
      </c>
      <c r="L15" s="1285">
        <f>'Saisie données file act.'!M32</f>
        <v>0</v>
      </c>
      <c r="M15" s="1285">
        <f>'Saisie données file act.'!N32</f>
        <v>0</v>
      </c>
      <c r="N15" s="1285">
        <f>'Saisie données file act.'!O32</f>
        <v>0</v>
      </c>
      <c r="O15" s="1285">
        <f>'Saisie données file act.'!P32</f>
        <v>0</v>
      </c>
      <c r="P15" s="1285">
        <f>'Saisie données file act.'!Q32</f>
        <v>0</v>
      </c>
      <c r="Q15" s="1285">
        <f>'Saisie données file act.'!R32</f>
        <v>0</v>
      </c>
      <c r="R15" s="1753">
        <f>'Saisie données file act.'!S32</f>
        <v>0</v>
      </c>
      <c r="S15" s="1767">
        <f>'Saisie données file act.'!T32</f>
        <v>0</v>
      </c>
      <c r="T15" s="1738">
        <f>'Saisie données file act.'!U32</f>
        <v>0</v>
      </c>
      <c r="U15" s="1738">
        <f>'Saisie données file act.'!V32</f>
        <v>0</v>
      </c>
      <c r="V15" s="1738">
        <f>'Saisie données file act.'!W32</f>
        <v>0</v>
      </c>
      <c r="W15" s="1738">
        <f>'Saisie données file act.'!X32</f>
        <v>0</v>
      </c>
      <c r="X15" s="1768">
        <f>'Saisie données file act.'!Y32</f>
        <v>0</v>
      </c>
      <c r="Y15" s="1767">
        <f>'Saisie données file act.'!Z32</f>
        <v>0</v>
      </c>
      <c r="Z15" s="1738">
        <f>'Saisie données file act.'!AA32</f>
        <v>0</v>
      </c>
      <c r="AA15" s="1738">
        <f>'Saisie données file act.'!AB32</f>
        <v>0</v>
      </c>
      <c r="AB15" s="1738">
        <f>'Saisie données file act.'!AC32</f>
        <v>0</v>
      </c>
      <c r="AC15" s="1738">
        <f>'Saisie données file act.'!AD32</f>
        <v>0</v>
      </c>
      <c r="AD15" s="1738">
        <f>'Saisie données file act.'!AE32</f>
        <v>0</v>
      </c>
      <c r="AE15" s="1738">
        <f>'Saisie données file act.'!AF32</f>
        <v>0</v>
      </c>
      <c r="AF15" s="1738">
        <f>'Saisie données file act.'!AG32</f>
        <v>0</v>
      </c>
      <c r="AG15" s="1738">
        <f>'Saisie données file act.'!AH32</f>
        <v>0</v>
      </c>
      <c r="AH15" s="1738">
        <f>'Saisie données file act.'!AI32</f>
        <v>0</v>
      </c>
      <c r="AI15" s="1768">
        <f>'Saisie données file act.'!AJ32</f>
        <v>0</v>
      </c>
      <c r="AJ15" s="1773">
        <f>'Saisie données file act.'!AK32</f>
        <v>0</v>
      </c>
      <c r="AK15" s="1286">
        <f>'Saisie données file act.'!AL32</f>
        <v>0</v>
      </c>
      <c r="AL15" s="1286">
        <f>'Saisie données file act.'!AM32</f>
        <v>0</v>
      </c>
      <c r="AM15" s="1286">
        <f>'Saisie données file act.'!AN32</f>
        <v>0</v>
      </c>
      <c r="AN15" s="1286">
        <f>'Saisie données file act.'!AO32</f>
        <v>0</v>
      </c>
      <c r="AO15" s="1286">
        <f>'Saisie données file act.'!AP32</f>
        <v>0</v>
      </c>
      <c r="AP15" s="1286">
        <f>'Saisie données file act.'!AQ32</f>
        <v>0</v>
      </c>
      <c r="AQ15" s="1286">
        <f>'Saisie données file act.'!AR32</f>
        <v>0</v>
      </c>
      <c r="AR15" s="1285">
        <f>'Saisie données file act.'!AS32</f>
        <v>0</v>
      </c>
      <c r="AS15" s="1753">
        <f>'Saisie données file act.'!AT32</f>
        <v>0</v>
      </c>
      <c r="AT15" s="1757">
        <f>'Saisie données file act.'!AU32</f>
        <v>0</v>
      </c>
    </row>
    <row r="16" spans="1:46" ht="12.75" customHeight="1" x14ac:dyDescent="0.2">
      <c r="B16" s="3308"/>
      <c r="C16" s="1256">
        <f>'Saisie données file act.'!D33</f>
        <v>0</v>
      </c>
      <c r="D16" s="1284">
        <f>'Saisie données file act.'!E33</f>
        <v>0</v>
      </c>
      <c r="E16" s="1285">
        <f>'Saisie données file act.'!F33</f>
        <v>0</v>
      </c>
      <c r="F16" s="1285">
        <f>'Saisie données file act.'!G33</f>
        <v>0</v>
      </c>
      <c r="G16" s="1285">
        <f>'Saisie données file act.'!H33</f>
        <v>0</v>
      </c>
      <c r="H16" s="1285">
        <f>'Saisie données file act.'!I33</f>
        <v>0</v>
      </c>
      <c r="I16" s="1285">
        <f>'Saisie données file act.'!J33</f>
        <v>0</v>
      </c>
      <c r="J16" s="1285">
        <f>'Saisie données file act.'!K33</f>
        <v>0</v>
      </c>
      <c r="K16" s="1285">
        <f>'Saisie données file act.'!L33</f>
        <v>0</v>
      </c>
      <c r="L16" s="1285">
        <f>'Saisie données file act.'!M33</f>
        <v>0</v>
      </c>
      <c r="M16" s="1285">
        <f>'Saisie données file act.'!N33</f>
        <v>0</v>
      </c>
      <c r="N16" s="1285">
        <f>'Saisie données file act.'!O33</f>
        <v>0</v>
      </c>
      <c r="O16" s="1285">
        <f>'Saisie données file act.'!P33</f>
        <v>0</v>
      </c>
      <c r="P16" s="1285">
        <f>'Saisie données file act.'!Q33</f>
        <v>0</v>
      </c>
      <c r="Q16" s="1285">
        <f>'Saisie données file act.'!R33</f>
        <v>0</v>
      </c>
      <c r="R16" s="1753">
        <f>'Saisie données file act.'!S33</f>
        <v>0</v>
      </c>
      <c r="S16" s="1767">
        <f>'Saisie données file act.'!T33</f>
        <v>0</v>
      </c>
      <c r="T16" s="1738">
        <f>'Saisie données file act.'!U33</f>
        <v>0</v>
      </c>
      <c r="U16" s="1738">
        <f>'Saisie données file act.'!V33</f>
        <v>0</v>
      </c>
      <c r="V16" s="1738">
        <f>'Saisie données file act.'!W33</f>
        <v>0</v>
      </c>
      <c r="W16" s="1738">
        <f>'Saisie données file act.'!X33</f>
        <v>0</v>
      </c>
      <c r="X16" s="1768">
        <f>'Saisie données file act.'!Y33</f>
        <v>0</v>
      </c>
      <c r="Y16" s="1767">
        <f>'Saisie données file act.'!Z33</f>
        <v>0</v>
      </c>
      <c r="Z16" s="1738">
        <f>'Saisie données file act.'!AA33</f>
        <v>0</v>
      </c>
      <c r="AA16" s="1738">
        <f>'Saisie données file act.'!AB33</f>
        <v>0</v>
      </c>
      <c r="AB16" s="1738">
        <f>'Saisie données file act.'!AC33</f>
        <v>0</v>
      </c>
      <c r="AC16" s="1738">
        <f>'Saisie données file act.'!AD33</f>
        <v>0</v>
      </c>
      <c r="AD16" s="1738">
        <f>'Saisie données file act.'!AE33</f>
        <v>0</v>
      </c>
      <c r="AE16" s="1738">
        <f>'Saisie données file act.'!AF33</f>
        <v>0</v>
      </c>
      <c r="AF16" s="1738">
        <f>'Saisie données file act.'!AG33</f>
        <v>0</v>
      </c>
      <c r="AG16" s="1738">
        <f>'Saisie données file act.'!AH33</f>
        <v>0</v>
      </c>
      <c r="AH16" s="1738">
        <f>'Saisie données file act.'!AI33</f>
        <v>0</v>
      </c>
      <c r="AI16" s="1768">
        <f>'Saisie données file act.'!AJ33</f>
        <v>0</v>
      </c>
      <c r="AJ16" s="1773">
        <f>'Saisie données file act.'!AK33</f>
        <v>0</v>
      </c>
      <c r="AK16" s="1286">
        <f>'Saisie données file act.'!AL33</f>
        <v>0</v>
      </c>
      <c r="AL16" s="1286">
        <f>'Saisie données file act.'!AM33</f>
        <v>0</v>
      </c>
      <c r="AM16" s="1286">
        <f>'Saisie données file act.'!AN33</f>
        <v>0</v>
      </c>
      <c r="AN16" s="1286">
        <f>'Saisie données file act.'!AO33</f>
        <v>0</v>
      </c>
      <c r="AO16" s="1286">
        <f>'Saisie données file act.'!AP33</f>
        <v>0</v>
      </c>
      <c r="AP16" s="1286">
        <f>'Saisie données file act.'!AQ33</f>
        <v>0</v>
      </c>
      <c r="AQ16" s="1286">
        <f>'Saisie données file act.'!AR33</f>
        <v>0</v>
      </c>
      <c r="AR16" s="1285">
        <f>'Saisie données file act.'!AS33</f>
        <v>0</v>
      </c>
      <c r="AS16" s="1753">
        <f>'Saisie données file act.'!AT33</f>
        <v>0</v>
      </c>
      <c r="AT16" s="1757">
        <f>'Saisie données file act.'!AU33</f>
        <v>0</v>
      </c>
    </row>
    <row r="17" spans="2:46" ht="12.75" customHeight="1" x14ac:dyDescent="0.2">
      <c r="B17" s="3308"/>
      <c r="C17" s="1256">
        <f>'Saisie données file act.'!D34</f>
        <v>0</v>
      </c>
      <c r="D17" s="1284">
        <f>'Saisie données file act.'!E34</f>
        <v>0</v>
      </c>
      <c r="E17" s="1285">
        <f>'Saisie données file act.'!F34</f>
        <v>0</v>
      </c>
      <c r="F17" s="1285">
        <f>'Saisie données file act.'!G34</f>
        <v>0</v>
      </c>
      <c r="G17" s="1285">
        <f>'Saisie données file act.'!H34</f>
        <v>0</v>
      </c>
      <c r="H17" s="1285">
        <f>'Saisie données file act.'!I34</f>
        <v>0</v>
      </c>
      <c r="I17" s="1285">
        <f>'Saisie données file act.'!J34</f>
        <v>0</v>
      </c>
      <c r="J17" s="1285">
        <f>'Saisie données file act.'!K34</f>
        <v>0</v>
      </c>
      <c r="K17" s="1285">
        <f>'Saisie données file act.'!L34</f>
        <v>0</v>
      </c>
      <c r="L17" s="1285">
        <f>'Saisie données file act.'!M34</f>
        <v>0</v>
      </c>
      <c r="M17" s="1285">
        <f>'Saisie données file act.'!N34</f>
        <v>0</v>
      </c>
      <c r="N17" s="1285">
        <f>'Saisie données file act.'!O34</f>
        <v>0</v>
      </c>
      <c r="O17" s="1285">
        <f>'Saisie données file act.'!P34</f>
        <v>0</v>
      </c>
      <c r="P17" s="1285">
        <f>'Saisie données file act.'!Q34</f>
        <v>0</v>
      </c>
      <c r="Q17" s="1285">
        <f>'Saisie données file act.'!R34</f>
        <v>0</v>
      </c>
      <c r="R17" s="1753">
        <f>'Saisie données file act.'!S34</f>
        <v>0</v>
      </c>
      <c r="S17" s="1767">
        <f>'Saisie données file act.'!T34</f>
        <v>0</v>
      </c>
      <c r="T17" s="1738">
        <f>'Saisie données file act.'!U34</f>
        <v>0</v>
      </c>
      <c r="U17" s="1738">
        <f>'Saisie données file act.'!V34</f>
        <v>0</v>
      </c>
      <c r="V17" s="1738">
        <f>'Saisie données file act.'!W34</f>
        <v>0</v>
      </c>
      <c r="W17" s="1738">
        <f>'Saisie données file act.'!X34</f>
        <v>0</v>
      </c>
      <c r="X17" s="1768">
        <f>'Saisie données file act.'!Y34</f>
        <v>0</v>
      </c>
      <c r="Y17" s="1767">
        <f>'Saisie données file act.'!Z34</f>
        <v>0</v>
      </c>
      <c r="Z17" s="1738">
        <f>'Saisie données file act.'!AA34</f>
        <v>0</v>
      </c>
      <c r="AA17" s="1738">
        <f>'Saisie données file act.'!AB34</f>
        <v>0</v>
      </c>
      <c r="AB17" s="1738">
        <f>'Saisie données file act.'!AC34</f>
        <v>0</v>
      </c>
      <c r="AC17" s="1738">
        <f>'Saisie données file act.'!AD34</f>
        <v>0</v>
      </c>
      <c r="AD17" s="1738">
        <f>'Saisie données file act.'!AE34</f>
        <v>0</v>
      </c>
      <c r="AE17" s="1738">
        <f>'Saisie données file act.'!AF34</f>
        <v>0</v>
      </c>
      <c r="AF17" s="1738">
        <f>'Saisie données file act.'!AG34</f>
        <v>0</v>
      </c>
      <c r="AG17" s="1738">
        <f>'Saisie données file act.'!AH34</f>
        <v>0</v>
      </c>
      <c r="AH17" s="1738">
        <f>'Saisie données file act.'!AI34</f>
        <v>0</v>
      </c>
      <c r="AI17" s="1768">
        <f>'Saisie données file act.'!AJ34</f>
        <v>0</v>
      </c>
      <c r="AJ17" s="1773">
        <f>'Saisie données file act.'!AK34</f>
        <v>0</v>
      </c>
      <c r="AK17" s="1286">
        <f>'Saisie données file act.'!AL34</f>
        <v>0</v>
      </c>
      <c r="AL17" s="1286">
        <f>'Saisie données file act.'!AM34</f>
        <v>0</v>
      </c>
      <c r="AM17" s="1286">
        <f>'Saisie données file act.'!AN34</f>
        <v>0</v>
      </c>
      <c r="AN17" s="1286">
        <f>'Saisie données file act.'!AO34</f>
        <v>0</v>
      </c>
      <c r="AO17" s="1286">
        <f>'Saisie données file act.'!AP34</f>
        <v>0</v>
      </c>
      <c r="AP17" s="1286">
        <f>'Saisie données file act.'!AQ34</f>
        <v>0</v>
      </c>
      <c r="AQ17" s="1286">
        <f>'Saisie données file act.'!AR34</f>
        <v>0</v>
      </c>
      <c r="AR17" s="1285">
        <f>'Saisie données file act.'!AS34</f>
        <v>0</v>
      </c>
      <c r="AS17" s="1753">
        <f>'Saisie données file act.'!AT34</f>
        <v>0</v>
      </c>
      <c r="AT17" s="1757">
        <f>'Saisie données file act.'!AU34</f>
        <v>0</v>
      </c>
    </row>
    <row r="18" spans="2:46" ht="12.75" customHeight="1" x14ac:dyDescent="0.2">
      <c r="B18" s="3308"/>
      <c r="C18" s="1256">
        <f>'Saisie données file act.'!D35</f>
        <v>0</v>
      </c>
      <c r="D18" s="1284">
        <f>'Saisie données file act.'!E35</f>
        <v>0</v>
      </c>
      <c r="E18" s="1285">
        <f>'Saisie données file act.'!F35</f>
        <v>0</v>
      </c>
      <c r="F18" s="1285">
        <f>'Saisie données file act.'!G35</f>
        <v>0</v>
      </c>
      <c r="G18" s="1285">
        <f>'Saisie données file act.'!H35</f>
        <v>0</v>
      </c>
      <c r="H18" s="1285">
        <f>'Saisie données file act.'!I35</f>
        <v>0</v>
      </c>
      <c r="I18" s="1285">
        <f>'Saisie données file act.'!J35</f>
        <v>0</v>
      </c>
      <c r="J18" s="1285">
        <f>'Saisie données file act.'!K35</f>
        <v>0</v>
      </c>
      <c r="K18" s="1285">
        <f>'Saisie données file act.'!L35</f>
        <v>0</v>
      </c>
      <c r="L18" s="1285">
        <f>'Saisie données file act.'!M35</f>
        <v>0</v>
      </c>
      <c r="M18" s="1285">
        <f>'Saisie données file act.'!N35</f>
        <v>0</v>
      </c>
      <c r="N18" s="1285">
        <f>'Saisie données file act.'!O35</f>
        <v>0</v>
      </c>
      <c r="O18" s="1285">
        <f>'Saisie données file act.'!P35</f>
        <v>0</v>
      </c>
      <c r="P18" s="1285">
        <f>'Saisie données file act.'!Q35</f>
        <v>0</v>
      </c>
      <c r="Q18" s="1285">
        <f>'Saisie données file act.'!R35</f>
        <v>0</v>
      </c>
      <c r="R18" s="1753">
        <f>'Saisie données file act.'!S35</f>
        <v>0</v>
      </c>
      <c r="S18" s="1767">
        <f>'Saisie données file act.'!T35</f>
        <v>0</v>
      </c>
      <c r="T18" s="1738">
        <f>'Saisie données file act.'!U35</f>
        <v>0</v>
      </c>
      <c r="U18" s="1738">
        <f>'Saisie données file act.'!V35</f>
        <v>0</v>
      </c>
      <c r="V18" s="1738">
        <f>'Saisie données file act.'!W35</f>
        <v>0</v>
      </c>
      <c r="W18" s="1738">
        <f>'Saisie données file act.'!X35</f>
        <v>0</v>
      </c>
      <c r="X18" s="1768">
        <f>'Saisie données file act.'!Y35</f>
        <v>0</v>
      </c>
      <c r="Y18" s="1767">
        <f>'Saisie données file act.'!Z35</f>
        <v>0</v>
      </c>
      <c r="Z18" s="1738">
        <f>'Saisie données file act.'!AA35</f>
        <v>0</v>
      </c>
      <c r="AA18" s="1738">
        <f>'Saisie données file act.'!AB35</f>
        <v>0</v>
      </c>
      <c r="AB18" s="1738">
        <f>'Saisie données file act.'!AC35</f>
        <v>0</v>
      </c>
      <c r="AC18" s="1738">
        <f>'Saisie données file act.'!AD35</f>
        <v>0</v>
      </c>
      <c r="AD18" s="1738">
        <f>'Saisie données file act.'!AE35</f>
        <v>0</v>
      </c>
      <c r="AE18" s="1738">
        <f>'Saisie données file act.'!AF35</f>
        <v>0</v>
      </c>
      <c r="AF18" s="1738">
        <f>'Saisie données file act.'!AG35</f>
        <v>0</v>
      </c>
      <c r="AG18" s="1738">
        <f>'Saisie données file act.'!AH35</f>
        <v>0</v>
      </c>
      <c r="AH18" s="1738">
        <f>'Saisie données file act.'!AI35</f>
        <v>0</v>
      </c>
      <c r="AI18" s="1768">
        <f>'Saisie données file act.'!AJ35</f>
        <v>0</v>
      </c>
      <c r="AJ18" s="1773">
        <f>'Saisie données file act.'!AK35</f>
        <v>0</v>
      </c>
      <c r="AK18" s="1286">
        <f>'Saisie données file act.'!AL35</f>
        <v>0</v>
      </c>
      <c r="AL18" s="1286">
        <f>'Saisie données file act.'!AM35</f>
        <v>0</v>
      </c>
      <c r="AM18" s="1286">
        <f>'Saisie données file act.'!AN35</f>
        <v>0</v>
      </c>
      <c r="AN18" s="1286">
        <f>'Saisie données file act.'!AO35</f>
        <v>0</v>
      </c>
      <c r="AO18" s="1286">
        <f>'Saisie données file act.'!AP35</f>
        <v>0</v>
      </c>
      <c r="AP18" s="1286">
        <f>'Saisie données file act.'!AQ35</f>
        <v>0</v>
      </c>
      <c r="AQ18" s="1286">
        <f>'Saisie données file act.'!AR35</f>
        <v>0</v>
      </c>
      <c r="AR18" s="1285">
        <f>'Saisie données file act.'!AS35</f>
        <v>0</v>
      </c>
      <c r="AS18" s="1753">
        <f>'Saisie données file act.'!AT35</f>
        <v>0</v>
      </c>
      <c r="AT18" s="1757">
        <f>'Saisie données file act.'!AU35</f>
        <v>0</v>
      </c>
    </row>
    <row r="19" spans="2:46" ht="12.75" customHeight="1" x14ac:dyDescent="0.2">
      <c r="B19" s="3308"/>
      <c r="C19" s="1256">
        <f>'Saisie données file act.'!D36</f>
        <v>0</v>
      </c>
      <c r="D19" s="1284">
        <f>'Saisie données file act.'!E36</f>
        <v>0</v>
      </c>
      <c r="E19" s="1285">
        <f>'Saisie données file act.'!F36</f>
        <v>0</v>
      </c>
      <c r="F19" s="1285">
        <f>'Saisie données file act.'!G36</f>
        <v>0</v>
      </c>
      <c r="G19" s="1285">
        <f>'Saisie données file act.'!H36</f>
        <v>0</v>
      </c>
      <c r="H19" s="1285">
        <f>'Saisie données file act.'!I36</f>
        <v>0</v>
      </c>
      <c r="I19" s="1285">
        <f>'Saisie données file act.'!J36</f>
        <v>0</v>
      </c>
      <c r="J19" s="1285">
        <f>'Saisie données file act.'!K36</f>
        <v>0</v>
      </c>
      <c r="K19" s="1285">
        <f>'Saisie données file act.'!L36</f>
        <v>0</v>
      </c>
      <c r="L19" s="1285">
        <f>'Saisie données file act.'!M36</f>
        <v>0</v>
      </c>
      <c r="M19" s="1285">
        <f>'Saisie données file act.'!N36</f>
        <v>0</v>
      </c>
      <c r="N19" s="1285">
        <f>'Saisie données file act.'!O36</f>
        <v>0</v>
      </c>
      <c r="O19" s="1285">
        <f>'Saisie données file act.'!P36</f>
        <v>0</v>
      </c>
      <c r="P19" s="1285">
        <f>'Saisie données file act.'!Q36</f>
        <v>0</v>
      </c>
      <c r="Q19" s="1285">
        <f>'Saisie données file act.'!R36</f>
        <v>0</v>
      </c>
      <c r="R19" s="1753">
        <f>'Saisie données file act.'!S36</f>
        <v>0</v>
      </c>
      <c r="S19" s="1767">
        <f>'Saisie données file act.'!T36</f>
        <v>0</v>
      </c>
      <c r="T19" s="1738">
        <f>'Saisie données file act.'!U36</f>
        <v>0</v>
      </c>
      <c r="U19" s="1738">
        <f>'Saisie données file act.'!V36</f>
        <v>0</v>
      </c>
      <c r="V19" s="1738">
        <f>'Saisie données file act.'!W36</f>
        <v>0</v>
      </c>
      <c r="W19" s="1738">
        <f>'Saisie données file act.'!X36</f>
        <v>0</v>
      </c>
      <c r="X19" s="1768">
        <f>'Saisie données file act.'!Y36</f>
        <v>0</v>
      </c>
      <c r="Y19" s="1767">
        <f>'Saisie données file act.'!Z36</f>
        <v>0</v>
      </c>
      <c r="Z19" s="1738">
        <f>'Saisie données file act.'!AA36</f>
        <v>0</v>
      </c>
      <c r="AA19" s="1738">
        <f>'Saisie données file act.'!AB36</f>
        <v>0</v>
      </c>
      <c r="AB19" s="1738">
        <f>'Saisie données file act.'!AC36</f>
        <v>0</v>
      </c>
      <c r="AC19" s="1738">
        <f>'Saisie données file act.'!AD36</f>
        <v>0</v>
      </c>
      <c r="AD19" s="1738">
        <f>'Saisie données file act.'!AE36</f>
        <v>0</v>
      </c>
      <c r="AE19" s="1738">
        <f>'Saisie données file act.'!AF36</f>
        <v>0</v>
      </c>
      <c r="AF19" s="1738">
        <f>'Saisie données file act.'!AG36</f>
        <v>0</v>
      </c>
      <c r="AG19" s="1738">
        <f>'Saisie données file act.'!AH36</f>
        <v>0</v>
      </c>
      <c r="AH19" s="1738">
        <f>'Saisie données file act.'!AI36</f>
        <v>0</v>
      </c>
      <c r="AI19" s="1768">
        <f>'Saisie données file act.'!AJ36</f>
        <v>0</v>
      </c>
      <c r="AJ19" s="1773">
        <f>'Saisie données file act.'!AK36</f>
        <v>0</v>
      </c>
      <c r="AK19" s="1286">
        <f>'Saisie données file act.'!AL36</f>
        <v>0</v>
      </c>
      <c r="AL19" s="1286">
        <f>'Saisie données file act.'!AM36</f>
        <v>0</v>
      </c>
      <c r="AM19" s="1286">
        <f>'Saisie données file act.'!AN36</f>
        <v>0</v>
      </c>
      <c r="AN19" s="1286">
        <f>'Saisie données file act.'!AO36</f>
        <v>0</v>
      </c>
      <c r="AO19" s="1286">
        <f>'Saisie données file act.'!AP36</f>
        <v>0</v>
      </c>
      <c r="AP19" s="1286">
        <f>'Saisie données file act.'!AQ36</f>
        <v>0</v>
      </c>
      <c r="AQ19" s="1286">
        <f>'Saisie données file act.'!AR36</f>
        <v>0</v>
      </c>
      <c r="AR19" s="1285">
        <f>'Saisie données file act.'!AS36</f>
        <v>0</v>
      </c>
      <c r="AS19" s="1753">
        <f>'Saisie données file act.'!AT36</f>
        <v>0</v>
      </c>
      <c r="AT19" s="1757">
        <f>'Saisie données file act.'!AU36</f>
        <v>0</v>
      </c>
    </row>
    <row r="20" spans="2:46" ht="12.75" customHeight="1" x14ac:dyDescent="0.2">
      <c r="B20" s="3308"/>
      <c r="C20" s="1256">
        <f>'Saisie données file act.'!D37</f>
        <v>0</v>
      </c>
      <c r="D20" s="1284">
        <f>'Saisie données file act.'!E37</f>
        <v>0</v>
      </c>
      <c r="E20" s="1285">
        <f>'Saisie données file act.'!F37</f>
        <v>0</v>
      </c>
      <c r="F20" s="1285">
        <f>'Saisie données file act.'!G37</f>
        <v>0</v>
      </c>
      <c r="G20" s="1285">
        <f>'Saisie données file act.'!H37</f>
        <v>0</v>
      </c>
      <c r="H20" s="1285">
        <f>'Saisie données file act.'!I37</f>
        <v>0</v>
      </c>
      <c r="I20" s="1285">
        <f>'Saisie données file act.'!J37</f>
        <v>0</v>
      </c>
      <c r="J20" s="1285">
        <f>'Saisie données file act.'!K37</f>
        <v>0</v>
      </c>
      <c r="K20" s="1285">
        <f>'Saisie données file act.'!L37</f>
        <v>0</v>
      </c>
      <c r="L20" s="1285">
        <f>'Saisie données file act.'!M37</f>
        <v>0</v>
      </c>
      <c r="M20" s="1285">
        <f>'Saisie données file act.'!N37</f>
        <v>0</v>
      </c>
      <c r="N20" s="1285">
        <f>'Saisie données file act.'!O37</f>
        <v>0</v>
      </c>
      <c r="O20" s="1285">
        <f>'Saisie données file act.'!P37</f>
        <v>0</v>
      </c>
      <c r="P20" s="1285">
        <f>'Saisie données file act.'!Q37</f>
        <v>0</v>
      </c>
      <c r="Q20" s="1285">
        <f>'Saisie données file act.'!R37</f>
        <v>0</v>
      </c>
      <c r="R20" s="1753">
        <f>'Saisie données file act.'!S37</f>
        <v>0</v>
      </c>
      <c r="S20" s="1767">
        <f>'Saisie données file act.'!T37</f>
        <v>0</v>
      </c>
      <c r="T20" s="1738">
        <f>'Saisie données file act.'!U37</f>
        <v>0</v>
      </c>
      <c r="U20" s="1738">
        <f>'Saisie données file act.'!V37</f>
        <v>0</v>
      </c>
      <c r="V20" s="1738">
        <f>'Saisie données file act.'!W37</f>
        <v>0</v>
      </c>
      <c r="W20" s="1738">
        <f>'Saisie données file act.'!X37</f>
        <v>0</v>
      </c>
      <c r="X20" s="1768">
        <f>'Saisie données file act.'!Y37</f>
        <v>0</v>
      </c>
      <c r="Y20" s="1767">
        <f>'Saisie données file act.'!Z37</f>
        <v>0</v>
      </c>
      <c r="Z20" s="1738">
        <f>'Saisie données file act.'!AA37</f>
        <v>0</v>
      </c>
      <c r="AA20" s="1738">
        <f>'Saisie données file act.'!AB37</f>
        <v>0</v>
      </c>
      <c r="AB20" s="1738">
        <f>'Saisie données file act.'!AC37</f>
        <v>0</v>
      </c>
      <c r="AC20" s="1738">
        <f>'Saisie données file act.'!AD37</f>
        <v>0</v>
      </c>
      <c r="AD20" s="1738">
        <f>'Saisie données file act.'!AE37</f>
        <v>0</v>
      </c>
      <c r="AE20" s="1738">
        <f>'Saisie données file act.'!AF37</f>
        <v>0</v>
      </c>
      <c r="AF20" s="1738">
        <f>'Saisie données file act.'!AG37</f>
        <v>0</v>
      </c>
      <c r="AG20" s="1738">
        <f>'Saisie données file act.'!AH37</f>
        <v>0</v>
      </c>
      <c r="AH20" s="1738">
        <f>'Saisie données file act.'!AI37</f>
        <v>0</v>
      </c>
      <c r="AI20" s="1768">
        <f>'Saisie données file act.'!AJ37</f>
        <v>0</v>
      </c>
      <c r="AJ20" s="1773">
        <f>'Saisie données file act.'!AK37</f>
        <v>0</v>
      </c>
      <c r="AK20" s="1286">
        <f>'Saisie données file act.'!AL37</f>
        <v>0</v>
      </c>
      <c r="AL20" s="1286">
        <f>'Saisie données file act.'!AM37</f>
        <v>0</v>
      </c>
      <c r="AM20" s="1286">
        <f>'Saisie données file act.'!AN37</f>
        <v>0</v>
      </c>
      <c r="AN20" s="1286">
        <f>'Saisie données file act.'!AO37</f>
        <v>0</v>
      </c>
      <c r="AO20" s="1286">
        <f>'Saisie données file act.'!AP37</f>
        <v>0</v>
      </c>
      <c r="AP20" s="1286">
        <f>'Saisie données file act.'!AQ37</f>
        <v>0</v>
      </c>
      <c r="AQ20" s="1286">
        <f>'Saisie données file act.'!AR37</f>
        <v>0</v>
      </c>
      <c r="AR20" s="1285">
        <f>'Saisie données file act.'!AS37</f>
        <v>0</v>
      </c>
      <c r="AS20" s="1753">
        <f>'Saisie données file act.'!AT37</f>
        <v>0</v>
      </c>
      <c r="AT20" s="1757">
        <f>'Saisie données file act.'!AU37</f>
        <v>0</v>
      </c>
    </row>
    <row r="21" spans="2:46" ht="13.5" customHeight="1" thickBot="1" x14ac:dyDescent="0.25">
      <c r="B21" s="3308"/>
      <c r="C21" s="1257">
        <f>'Saisie données file act.'!D38</f>
        <v>0</v>
      </c>
      <c r="D21" s="1287">
        <f>'Saisie données file act.'!E38</f>
        <v>0</v>
      </c>
      <c r="E21" s="1288">
        <f>'Saisie données file act.'!F38</f>
        <v>0</v>
      </c>
      <c r="F21" s="1288">
        <f>'Saisie données file act.'!G38</f>
        <v>0</v>
      </c>
      <c r="G21" s="1288">
        <f>'Saisie données file act.'!H38</f>
        <v>0</v>
      </c>
      <c r="H21" s="1288">
        <f>'Saisie données file act.'!I38</f>
        <v>0</v>
      </c>
      <c r="I21" s="1288">
        <f>'Saisie données file act.'!J38</f>
        <v>0</v>
      </c>
      <c r="J21" s="1288">
        <f>'Saisie données file act.'!K38</f>
        <v>0</v>
      </c>
      <c r="K21" s="1288">
        <f>'Saisie données file act.'!L38</f>
        <v>0</v>
      </c>
      <c r="L21" s="1288">
        <f>'Saisie données file act.'!M38</f>
        <v>0</v>
      </c>
      <c r="M21" s="1288">
        <f>'Saisie données file act.'!N38</f>
        <v>0</v>
      </c>
      <c r="N21" s="1288">
        <f>'Saisie données file act.'!O38</f>
        <v>0</v>
      </c>
      <c r="O21" s="1288">
        <f>'Saisie données file act.'!P38</f>
        <v>0</v>
      </c>
      <c r="P21" s="1288">
        <f>'Saisie données file act.'!Q38</f>
        <v>0</v>
      </c>
      <c r="Q21" s="1288">
        <f>'Saisie données file act.'!R38</f>
        <v>0</v>
      </c>
      <c r="R21" s="1754">
        <f>'Saisie données file act.'!S38</f>
        <v>0</v>
      </c>
      <c r="S21" s="1769">
        <f>'Saisie données file act.'!T38</f>
        <v>0</v>
      </c>
      <c r="T21" s="1739">
        <f>'Saisie données file act.'!U38</f>
        <v>0</v>
      </c>
      <c r="U21" s="1739">
        <f>'Saisie données file act.'!V38</f>
        <v>0</v>
      </c>
      <c r="V21" s="1739">
        <f>'Saisie données file act.'!W38</f>
        <v>0</v>
      </c>
      <c r="W21" s="1739">
        <f>'Saisie données file act.'!X38</f>
        <v>0</v>
      </c>
      <c r="X21" s="1770">
        <f>'Saisie données file act.'!Y38</f>
        <v>0</v>
      </c>
      <c r="Y21" s="1769">
        <f>'Saisie données file act.'!Z38</f>
        <v>0</v>
      </c>
      <c r="Z21" s="1739">
        <f>'Saisie données file act.'!AA38</f>
        <v>0</v>
      </c>
      <c r="AA21" s="1739">
        <f>'Saisie données file act.'!AB38</f>
        <v>0</v>
      </c>
      <c r="AB21" s="1739">
        <f>'Saisie données file act.'!AC38</f>
        <v>0</v>
      </c>
      <c r="AC21" s="1739">
        <f>'Saisie données file act.'!AD38</f>
        <v>0</v>
      </c>
      <c r="AD21" s="1739">
        <f>'Saisie données file act.'!AE38</f>
        <v>0</v>
      </c>
      <c r="AE21" s="1739">
        <f>'Saisie données file act.'!AF38</f>
        <v>0</v>
      </c>
      <c r="AF21" s="1739">
        <f>'Saisie données file act.'!AG38</f>
        <v>0</v>
      </c>
      <c r="AG21" s="1739">
        <f>'Saisie données file act.'!AH38</f>
        <v>0</v>
      </c>
      <c r="AH21" s="1739">
        <f>'Saisie données file act.'!AI38</f>
        <v>0</v>
      </c>
      <c r="AI21" s="1770">
        <f>'Saisie données file act.'!AJ38</f>
        <v>0</v>
      </c>
      <c r="AJ21" s="1774">
        <f>'Saisie données file act.'!AK38</f>
        <v>0</v>
      </c>
      <c r="AK21" s="1289">
        <f>'Saisie données file act.'!AL38</f>
        <v>0</v>
      </c>
      <c r="AL21" s="1289">
        <f>'Saisie données file act.'!AM38</f>
        <v>0</v>
      </c>
      <c r="AM21" s="1289">
        <f>'Saisie données file act.'!AN38</f>
        <v>0</v>
      </c>
      <c r="AN21" s="1289">
        <f>'Saisie données file act.'!AO38</f>
        <v>0</v>
      </c>
      <c r="AO21" s="1289">
        <f>'Saisie données file act.'!AP38</f>
        <v>0</v>
      </c>
      <c r="AP21" s="1289">
        <f>'Saisie données file act.'!AQ38</f>
        <v>0</v>
      </c>
      <c r="AQ21" s="1289">
        <f>'Saisie données file act.'!AR38</f>
        <v>0</v>
      </c>
      <c r="AR21" s="1288">
        <f>'Saisie données file act.'!AS38</f>
        <v>0</v>
      </c>
      <c r="AS21" s="1754">
        <f>'Saisie données file act.'!AT38</f>
        <v>0</v>
      </c>
      <c r="AT21" s="1758">
        <f>'Saisie données file act.'!AU38</f>
        <v>0</v>
      </c>
    </row>
    <row r="22" spans="2:46" ht="13.5" customHeight="1" thickBot="1" x14ac:dyDescent="0.25">
      <c r="B22" s="3308"/>
      <c r="C22" s="1258" t="str">
        <f>'Saisie données file act.'!D39</f>
        <v>Deuxièmes lignes</v>
      </c>
      <c r="D22" s="1251"/>
      <c r="E22" s="1251"/>
      <c r="F22" s="1251"/>
      <c r="G22" s="1251"/>
      <c r="H22" s="1251"/>
      <c r="I22" s="1251"/>
      <c r="J22" s="1251"/>
      <c r="K22" s="1251"/>
      <c r="L22" s="1251"/>
      <c r="M22" s="1251"/>
      <c r="N22" s="1251"/>
      <c r="O22" s="1251"/>
      <c r="P22" s="1251"/>
      <c r="Q22" s="1251"/>
      <c r="R22" s="1251"/>
      <c r="S22" s="1765"/>
      <c r="T22" s="1251"/>
      <c r="U22" s="1251"/>
      <c r="V22" s="1251"/>
      <c r="W22" s="1251"/>
      <c r="X22" s="1253"/>
      <c r="Y22" s="1765"/>
      <c r="Z22" s="1251"/>
      <c r="AA22" s="1251"/>
      <c r="AB22" s="1251"/>
      <c r="AC22" s="1251"/>
      <c r="AD22" s="1251"/>
      <c r="AE22" s="1251"/>
      <c r="AF22" s="1251"/>
      <c r="AG22" s="1251"/>
      <c r="AH22" s="1251"/>
      <c r="AI22" s="1253"/>
      <c r="AJ22" s="1252"/>
      <c r="AK22" s="1252"/>
      <c r="AL22" s="1252"/>
      <c r="AM22" s="1252"/>
      <c r="AN22" s="1252"/>
      <c r="AO22" s="1252"/>
      <c r="AP22" s="1252"/>
      <c r="AQ22" s="1252"/>
      <c r="AR22" s="1251"/>
      <c r="AS22" s="1251"/>
      <c r="AT22" s="1755"/>
    </row>
    <row r="23" spans="2:46" ht="12.75" customHeight="1" x14ac:dyDescent="0.2">
      <c r="B23" s="3308"/>
      <c r="C23" s="1259" t="str">
        <f>'Saisie données file act.'!D40</f>
        <v>ABC+3TC+AZT+ATV/r</v>
      </c>
      <c r="D23" s="1274">
        <f>'Saisie données file act.'!E40</f>
        <v>0</v>
      </c>
      <c r="E23" s="1275">
        <f>'Saisie données file act.'!F40</f>
        <v>0</v>
      </c>
      <c r="F23" s="1275">
        <f>'Saisie données file act.'!G40</f>
        <v>0</v>
      </c>
      <c r="G23" s="1275">
        <f>'Saisie données file act.'!H40</f>
        <v>0</v>
      </c>
      <c r="H23" s="1275">
        <f>'Saisie données file act.'!I40</f>
        <v>0</v>
      </c>
      <c r="I23" s="1275">
        <f>'Saisie données file act.'!J40</f>
        <v>0</v>
      </c>
      <c r="J23" s="1275">
        <f>'Saisie données file act.'!K40</f>
        <v>0</v>
      </c>
      <c r="K23" s="1275">
        <f>'Saisie données file act.'!L40</f>
        <v>0</v>
      </c>
      <c r="L23" s="1275">
        <f>'Saisie données file act.'!M40</f>
        <v>0</v>
      </c>
      <c r="M23" s="1275">
        <f>'Saisie données file act.'!N40</f>
        <v>0</v>
      </c>
      <c r="N23" s="1275">
        <f>'Saisie données file act.'!O40</f>
        <v>0</v>
      </c>
      <c r="O23" s="1275">
        <f>'Saisie données file act.'!P40</f>
        <v>0</v>
      </c>
      <c r="P23" s="1275">
        <f>'Saisie données file act.'!Q40</f>
        <v>0</v>
      </c>
      <c r="Q23" s="1275">
        <f>'Saisie données file act.'!R40</f>
        <v>0</v>
      </c>
      <c r="R23" s="1752">
        <f>'Saisie données file act.'!S40</f>
        <v>0</v>
      </c>
      <c r="S23" s="1766">
        <f>'Saisie données file act.'!T40</f>
        <v>0</v>
      </c>
      <c r="T23" s="1275">
        <f>'Saisie données file act.'!U40</f>
        <v>0</v>
      </c>
      <c r="U23" s="1275">
        <f>'Saisie données file act.'!V40</f>
        <v>0</v>
      </c>
      <c r="V23" s="1275">
        <f>'Saisie données file act.'!W40</f>
        <v>0</v>
      </c>
      <c r="W23" s="1275">
        <f>'Saisie données file act.'!X40</f>
        <v>0</v>
      </c>
      <c r="X23" s="1277">
        <f>'Saisie données file act.'!Y40</f>
        <v>0</v>
      </c>
      <c r="Y23" s="1766">
        <f>'Saisie données file act.'!Z40</f>
        <v>0</v>
      </c>
      <c r="Z23" s="1275">
        <f>'Saisie données file act.'!AA40</f>
        <v>0</v>
      </c>
      <c r="AA23" s="1275">
        <f>'Saisie données file act.'!AB40</f>
        <v>0</v>
      </c>
      <c r="AB23" s="1275">
        <f>'Saisie données file act.'!AC40</f>
        <v>0</v>
      </c>
      <c r="AC23" s="1275">
        <f>'Saisie données file act.'!AD40</f>
        <v>0</v>
      </c>
      <c r="AD23" s="1275">
        <f>'Saisie données file act.'!AE40</f>
        <v>0</v>
      </c>
      <c r="AE23" s="1275">
        <f>'Saisie données file act.'!AF40</f>
        <v>0</v>
      </c>
      <c r="AF23" s="1275">
        <f>'Saisie données file act.'!AG40</f>
        <v>0</v>
      </c>
      <c r="AG23" s="1275">
        <f>'Saisie données file act.'!AH40</f>
        <v>0</v>
      </c>
      <c r="AH23" s="1275">
        <f>'Saisie données file act.'!AI40</f>
        <v>0</v>
      </c>
      <c r="AI23" s="1277">
        <f>'Saisie données file act.'!AJ40</f>
        <v>0</v>
      </c>
      <c r="AJ23" s="1775">
        <f>'Saisie données file act.'!AK40</f>
        <v>0</v>
      </c>
      <c r="AK23" s="1278">
        <f>'Saisie données file act.'!AL40</f>
        <v>0</v>
      </c>
      <c r="AL23" s="1276">
        <f>'Saisie données file act.'!AM40</f>
        <v>0</v>
      </c>
      <c r="AM23" s="1276">
        <f>'Saisie données file act.'!AN40</f>
        <v>0</v>
      </c>
      <c r="AN23" s="1278">
        <f>'Saisie données file act.'!AO40</f>
        <v>0</v>
      </c>
      <c r="AO23" s="1278">
        <f>'Saisie données file act.'!AP40</f>
        <v>0</v>
      </c>
      <c r="AP23" s="1276">
        <f>'Saisie données file act.'!AQ40</f>
        <v>0</v>
      </c>
      <c r="AQ23" s="1276">
        <f>'Saisie données file act.'!AR40</f>
        <v>0</v>
      </c>
      <c r="AR23" s="1275">
        <f>'Saisie données file act.'!AS40</f>
        <v>0</v>
      </c>
      <c r="AS23" s="1752">
        <f>'Saisie données file act.'!AT40</f>
        <v>0</v>
      </c>
      <c r="AT23" s="1756">
        <f>'Saisie données file act.'!AU40</f>
        <v>0</v>
      </c>
    </row>
    <row r="24" spans="2:46" ht="12.75" customHeight="1" x14ac:dyDescent="0.2">
      <c r="B24" s="3308"/>
      <c r="C24" s="1255" t="str">
        <f>'Saisie données file act.'!D41</f>
        <v>ABC+3TC+AZT+LPV/r</v>
      </c>
      <c r="D24" s="1778"/>
      <c r="E24" s="1779"/>
      <c r="F24" s="1779"/>
      <c r="G24" s="1779"/>
      <c r="H24" s="1779"/>
      <c r="I24" s="1779"/>
      <c r="J24" s="1779"/>
      <c r="K24" s="1779"/>
      <c r="L24" s="1779"/>
      <c r="M24" s="1779"/>
      <c r="N24" s="1779"/>
      <c r="O24" s="1779"/>
      <c r="P24" s="1779"/>
      <c r="Q24" s="1779"/>
      <c r="R24" s="1780"/>
      <c r="S24" s="1781"/>
      <c r="T24" s="1779"/>
      <c r="U24" s="1779"/>
      <c r="V24" s="1779"/>
      <c r="W24" s="1779"/>
      <c r="X24" s="1782"/>
      <c r="Y24" s="1781"/>
      <c r="Z24" s="1779"/>
      <c r="AA24" s="1779"/>
      <c r="AB24" s="1779"/>
      <c r="AC24" s="1779"/>
      <c r="AD24" s="1779"/>
      <c r="AE24" s="1779"/>
      <c r="AF24" s="1779"/>
      <c r="AG24" s="1779"/>
      <c r="AH24" s="1779"/>
      <c r="AI24" s="1782"/>
      <c r="AJ24" s="1783"/>
      <c r="AK24" s="1784"/>
      <c r="AL24" s="1785"/>
      <c r="AM24" s="1785"/>
      <c r="AN24" s="1784"/>
      <c r="AO24" s="1784"/>
      <c r="AP24" s="1785"/>
      <c r="AQ24" s="1785"/>
      <c r="AR24" s="1779"/>
      <c r="AS24" s="1780"/>
      <c r="AT24" s="1786"/>
    </row>
    <row r="25" spans="2:46" ht="12.75" customHeight="1" x14ac:dyDescent="0.2">
      <c r="B25" s="3308"/>
      <c r="C25" s="1256" t="str">
        <f>'Saisie données file act.'!D42</f>
        <v>TDF+FTC+AZT+ATV/r</v>
      </c>
      <c r="D25" s="1284">
        <f>'Saisie données file act.'!E42</f>
        <v>0</v>
      </c>
      <c r="E25" s="1285">
        <f>'Saisie données file act.'!F42</f>
        <v>0</v>
      </c>
      <c r="F25" s="1285">
        <f>'Saisie données file act.'!G42</f>
        <v>0</v>
      </c>
      <c r="G25" s="1285">
        <f>'Saisie données file act.'!H42</f>
        <v>0</v>
      </c>
      <c r="H25" s="1285">
        <f>'Saisie données file act.'!I42</f>
        <v>0</v>
      </c>
      <c r="I25" s="1285">
        <f>'Saisie données file act.'!J42</f>
        <v>0</v>
      </c>
      <c r="J25" s="1285">
        <f>'Saisie données file act.'!K42</f>
        <v>0</v>
      </c>
      <c r="K25" s="1285">
        <f>'Saisie données file act.'!L42</f>
        <v>0</v>
      </c>
      <c r="L25" s="1285">
        <f>'Saisie données file act.'!M42</f>
        <v>0</v>
      </c>
      <c r="M25" s="1285">
        <f>'Saisie données file act.'!N42</f>
        <v>0</v>
      </c>
      <c r="N25" s="1285">
        <f>'Saisie données file act.'!O42</f>
        <v>0</v>
      </c>
      <c r="O25" s="1285">
        <f>'Saisie données file act.'!P42</f>
        <v>0</v>
      </c>
      <c r="P25" s="1285">
        <f>'Saisie données file act.'!Q42</f>
        <v>0</v>
      </c>
      <c r="Q25" s="1285">
        <f>'Saisie données file act.'!R42</f>
        <v>0</v>
      </c>
      <c r="R25" s="1753">
        <f>'Saisie données file act.'!S42</f>
        <v>0</v>
      </c>
      <c r="S25" s="1767">
        <f>'Saisie données file act.'!T42</f>
        <v>0</v>
      </c>
      <c r="T25" s="1738">
        <f>'Saisie données file act.'!U42</f>
        <v>0</v>
      </c>
      <c r="U25" s="1738">
        <f>'Saisie données file act.'!V42</f>
        <v>0</v>
      </c>
      <c r="V25" s="1738">
        <f>'Saisie données file act.'!W42</f>
        <v>0</v>
      </c>
      <c r="W25" s="1738">
        <f>'Saisie données file act.'!X42</f>
        <v>0</v>
      </c>
      <c r="X25" s="1768">
        <f>'Saisie données file act.'!Y42</f>
        <v>0</v>
      </c>
      <c r="Y25" s="1767">
        <f>'Saisie données file act.'!Z42</f>
        <v>0</v>
      </c>
      <c r="Z25" s="1738">
        <f>'Saisie données file act.'!AA42</f>
        <v>0</v>
      </c>
      <c r="AA25" s="1738">
        <f>'Saisie données file act.'!AB42</f>
        <v>0</v>
      </c>
      <c r="AB25" s="1738">
        <f>'Saisie données file act.'!AC42</f>
        <v>0</v>
      </c>
      <c r="AC25" s="1738">
        <f>'Saisie données file act.'!AD42</f>
        <v>0</v>
      </c>
      <c r="AD25" s="1738">
        <f>'Saisie données file act.'!AE42</f>
        <v>0</v>
      </c>
      <c r="AE25" s="1738">
        <f>'Saisie données file act.'!AF42</f>
        <v>0</v>
      </c>
      <c r="AF25" s="1738">
        <f>'Saisie données file act.'!AG42</f>
        <v>0</v>
      </c>
      <c r="AG25" s="1738">
        <f>'Saisie données file act.'!AH42</f>
        <v>0</v>
      </c>
      <c r="AH25" s="1738">
        <f>'Saisie données file act.'!AI42</f>
        <v>0</v>
      </c>
      <c r="AI25" s="1768">
        <f>'Saisie données file act.'!AJ42</f>
        <v>0</v>
      </c>
      <c r="AJ25" s="1776">
        <f>'Saisie données file act.'!AK42</f>
        <v>0</v>
      </c>
      <c r="AK25" s="1290">
        <f>'Saisie données file act.'!AL42</f>
        <v>0</v>
      </c>
      <c r="AL25" s="1286">
        <f>'Saisie données file act.'!AM42</f>
        <v>0</v>
      </c>
      <c r="AM25" s="1286">
        <f>'Saisie données file act.'!AN42</f>
        <v>0</v>
      </c>
      <c r="AN25" s="1290">
        <f>'Saisie données file act.'!AO42</f>
        <v>0</v>
      </c>
      <c r="AO25" s="1290">
        <f>'Saisie données file act.'!AP42</f>
        <v>0</v>
      </c>
      <c r="AP25" s="1286">
        <f>'Saisie données file act.'!AQ42</f>
        <v>0</v>
      </c>
      <c r="AQ25" s="1286">
        <f>'Saisie données file act.'!AR42</f>
        <v>0</v>
      </c>
      <c r="AR25" s="1285">
        <f>'Saisie données file act.'!AS42</f>
        <v>0</v>
      </c>
      <c r="AS25" s="1753">
        <f>'Saisie données file act.'!AT42</f>
        <v>0</v>
      </c>
      <c r="AT25" s="1757">
        <f>'Saisie données file act.'!AU42</f>
        <v>0</v>
      </c>
    </row>
    <row r="26" spans="2:46" ht="12.75" customHeight="1" x14ac:dyDescent="0.2">
      <c r="B26" s="3308"/>
      <c r="C26" s="1256">
        <f>'Saisie données file act.'!D43</f>
        <v>0</v>
      </c>
      <c r="D26" s="1284">
        <f>'Saisie données file act.'!E43</f>
        <v>0</v>
      </c>
      <c r="E26" s="1285">
        <f>'Saisie données file act.'!F43</f>
        <v>0</v>
      </c>
      <c r="F26" s="1285">
        <f>'Saisie données file act.'!G43</f>
        <v>0</v>
      </c>
      <c r="G26" s="1285">
        <f>'Saisie données file act.'!H43</f>
        <v>0</v>
      </c>
      <c r="H26" s="1285">
        <f>'Saisie données file act.'!I43</f>
        <v>0</v>
      </c>
      <c r="I26" s="1285">
        <f>'Saisie données file act.'!J43</f>
        <v>0</v>
      </c>
      <c r="J26" s="1285">
        <f>'Saisie données file act.'!K43</f>
        <v>0</v>
      </c>
      <c r="K26" s="1285">
        <f>'Saisie données file act.'!L43</f>
        <v>0</v>
      </c>
      <c r="L26" s="1285">
        <f>'Saisie données file act.'!M43</f>
        <v>0</v>
      </c>
      <c r="M26" s="1285">
        <f>'Saisie données file act.'!N43</f>
        <v>0</v>
      </c>
      <c r="N26" s="1285">
        <f>'Saisie données file act.'!O43</f>
        <v>0</v>
      </c>
      <c r="O26" s="1285">
        <f>'Saisie données file act.'!P43</f>
        <v>0</v>
      </c>
      <c r="P26" s="1285">
        <f>'Saisie données file act.'!Q43</f>
        <v>0</v>
      </c>
      <c r="Q26" s="1285">
        <f>'Saisie données file act.'!R43</f>
        <v>0</v>
      </c>
      <c r="R26" s="1753">
        <f>'Saisie données file act.'!S43</f>
        <v>0</v>
      </c>
      <c r="S26" s="1767">
        <f>'Saisie données file act.'!T43</f>
        <v>0</v>
      </c>
      <c r="T26" s="1738">
        <f>'Saisie données file act.'!U43</f>
        <v>0</v>
      </c>
      <c r="U26" s="1738">
        <f>'Saisie données file act.'!V43</f>
        <v>0</v>
      </c>
      <c r="V26" s="1738">
        <f>'Saisie données file act.'!W43</f>
        <v>0</v>
      </c>
      <c r="W26" s="1738">
        <f>'Saisie données file act.'!X43</f>
        <v>0</v>
      </c>
      <c r="X26" s="1768">
        <f>'Saisie données file act.'!Y43</f>
        <v>0</v>
      </c>
      <c r="Y26" s="1767">
        <f>'Saisie données file act.'!Z43</f>
        <v>0</v>
      </c>
      <c r="Z26" s="1738">
        <f>'Saisie données file act.'!AA43</f>
        <v>0</v>
      </c>
      <c r="AA26" s="1738">
        <f>'Saisie données file act.'!AB43</f>
        <v>0</v>
      </c>
      <c r="AB26" s="1738">
        <f>'Saisie données file act.'!AC43</f>
        <v>0</v>
      </c>
      <c r="AC26" s="1738">
        <f>'Saisie données file act.'!AD43</f>
        <v>0</v>
      </c>
      <c r="AD26" s="1738">
        <f>'Saisie données file act.'!AE43</f>
        <v>0</v>
      </c>
      <c r="AE26" s="1738">
        <f>'Saisie données file act.'!AF43</f>
        <v>0</v>
      </c>
      <c r="AF26" s="1738">
        <f>'Saisie données file act.'!AG43</f>
        <v>0</v>
      </c>
      <c r="AG26" s="1738">
        <f>'Saisie données file act.'!AH43</f>
        <v>0</v>
      </c>
      <c r="AH26" s="1738">
        <f>'Saisie données file act.'!AI43</f>
        <v>0</v>
      </c>
      <c r="AI26" s="1768">
        <f>'Saisie données file act.'!AJ43</f>
        <v>0</v>
      </c>
      <c r="AJ26" s="1776">
        <f>'Saisie données file act.'!AK43</f>
        <v>0</v>
      </c>
      <c r="AK26" s="1290">
        <f>'Saisie données file act.'!AL43</f>
        <v>0</v>
      </c>
      <c r="AL26" s="1286">
        <f>'Saisie données file act.'!AM43</f>
        <v>0</v>
      </c>
      <c r="AM26" s="1286">
        <f>'Saisie données file act.'!AN43</f>
        <v>0</v>
      </c>
      <c r="AN26" s="1290">
        <f>'Saisie données file act.'!AO43</f>
        <v>0</v>
      </c>
      <c r="AO26" s="1290">
        <f>'Saisie données file act.'!AP43</f>
        <v>0</v>
      </c>
      <c r="AP26" s="1286">
        <f>'Saisie données file act.'!AQ43</f>
        <v>0</v>
      </c>
      <c r="AQ26" s="1286">
        <f>'Saisie données file act.'!AR43</f>
        <v>0</v>
      </c>
      <c r="AR26" s="1285">
        <f>'Saisie données file act.'!AS43</f>
        <v>0</v>
      </c>
      <c r="AS26" s="1753">
        <f>'Saisie données file act.'!AT43</f>
        <v>0</v>
      </c>
      <c r="AT26" s="1757">
        <f>'Saisie données file act.'!AU43</f>
        <v>0</v>
      </c>
    </row>
    <row r="27" spans="2:46" ht="12.75" customHeight="1" x14ac:dyDescent="0.2">
      <c r="B27" s="3308"/>
      <c r="C27" s="1255">
        <f>'Saisie données file act.'!D44</f>
        <v>0</v>
      </c>
      <c r="D27" s="1284">
        <f>'Saisie données file act.'!E44</f>
        <v>0</v>
      </c>
      <c r="E27" s="1285">
        <f>'Saisie données file act.'!F44</f>
        <v>0</v>
      </c>
      <c r="F27" s="1285">
        <f>'Saisie données file act.'!G44</f>
        <v>0</v>
      </c>
      <c r="G27" s="1285">
        <f>'Saisie données file act.'!H44</f>
        <v>0</v>
      </c>
      <c r="H27" s="1285">
        <f>'Saisie données file act.'!I44</f>
        <v>0</v>
      </c>
      <c r="I27" s="1285">
        <f>'Saisie données file act.'!J44</f>
        <v>0</v>
      </c>
      <c r="J27" s="1285">
        <f>'Saisie données file act.'!K44</f>
        <v>0</v>
      </c>
      <c r="K27" s="1285">
        <f>'Saisie données file act.'!L44</f>
        <v>0</v>
      </c>
      <c r="L27" s="1285">
        <f>'Saisie données file act.'!M44</f>
        <v>0</v>
      </c>
      <c r="M27" s="1285">
        <f>'Saisie données file act.'!N44</f>
        <v>0</v>
      </c>
      <c r="N27" s="1285">
        <f>'Saisie données file act.'!O44</f>
        <v>0</v>
      </c>
      <c r="O27" s="1285">
        <f>'Saisie données file act.'!P44</f>
        <v>0</v>
      </c>
      <c r="P27" s="1285">
        <f>'Saisie données file act.'!Q44</f>
        <v>0</v>
      </c>
      <c r="Q27" s="1285">
        <f>'Saisie données file act.'!R44</f>
        <v>0</v>
      </c>
      <c r="R27" s="1753">
        <f>'Saisie données file act.'!S44</f>
        <v>0</v>
      </c>
      <c r="S27" s="1767">
        <f>'Saisie données file act.'!T44</f>
        <v>0</v>
      </c>
      <c r="T27" s="1738">
        <f>'Saisie données file act.'!U44</f>
        <v>0</v>
      </c>
      <c r="U27" s="1738">
        <f>'Saisie données file act.'!V44</f>
        <v>0</v>
      </c>
      <c r="V27" s="1738">
        <f>'Saisie données file act.'!W44</f>
        <v>0</v>
      </c>
      <c r="W27" s="1738">
        <f>'Saisie données file act.'!X44</f>
        <v>0</v>
      </c>
      <c r="X27" s="1768">
        <f>'Saisie données file act.'!Y44</f>
        <v>0</v>
      </c>
      <c r="Y27" s="1767">
        <f>'Saisie données file act.'!Z44</f>
        <v>0</v>
      </c>
      <c r="Z27" s="1738">
        <f>'Saisie données file act.'!AA44</f>
        <v>0</v>
      </c>
      <c r="AA27" s="1738">
        <f>'Saisie données file act.'!AB44</f>
        <v>0</v>
      </c>
      <c r="AB27" s="1738">
        <f>'Saisie données file act.'!AC44</f>
        <v>0</v>
      </c>
      <c r="AC27" s="1738">
        <f>'Saisie données file act.'!AD44</f>
        <v>0</v>
      </c>
      <c r="AD27" s="1738">
        <f>'Saisie données file act.'!AE44</f>
        <v>0</v>
      </c>
      <c r="AE27" s="1738">
        <f>'Saisie données file act.'!AF44</f>
        <v>0</v>
      </c>
      <c r="AF27" s="1738">
        <f>'Saisie données file act.'!AG44</f>
        <v>0</v>
      </c>
      <c r="AG27" s="1738">
        <f>'Saisie données file act.'!AH44</f>
        <v>0</v>
      </c>
      <c r="AH27" s="1738">
        <f>'Saisie données file act.'!AI44</f>
        <v>0</v>
      </c>
      <c r="AI27" s="1768">
        <f>'Saisie données file act.'!AJ44</f>
        <v>0</v>
      </c>
      <c r="AJ27" s="1776">
        <f>'Saisie données file act.'!AK44</f>
        <v>0</v>
      </c>
      <c r="AK27" s="1290">
        <f>'Saisie données file act.'!AL44</f>
        <v>0</v>
      </c>
      <c r="AL27" s="1286">
        <f>'Saisie données file act.'!AM44</f>
        <v>0</v>
      </c>
      <c r="AM27" s="1286">
        <f>'Saisie données file act.'!AN44</f>
        <v>0</v>
      </c>
      <c r="AN27" s="1290">
        <f>'Saisie données file act.'!AO44</f>
        <v>0</v>
      </c>
      <c r="AO27" s="1290">
        <f>'Saisie données file act.'!AP44</f>
        <v>0</v>
      </c>
      <c r="AP27" s="1286">
        <f>'Saisie données file act.'!AQ44</f>
        <v>0</v>
      </c>
      <c r="AQ27" s="1286">
        <f>'Saisie données file act.'!AR44</f>
        <v>0</v>
      </c>
      <c r="AR27" s="1285">
        <f>'Saisie données file act.'!AS44</f>
        <v>0</v>
      </c>
      <c r="AS27" s="1753">
        <f>'Saisie données file act.'!AT44</f>
        <v>0</v>
      </c>
      <c r="AT27" s="1757">
        <f>'Saisie données file act.'!AU44</f>
        <v>0</v>
      </c>
    </row>
    <row r="28" spans="2:46" ht="12.75" customHeight="1" x14ac:dyDescent="0.2">
      <c r="B28" s="3308"/>
      <c r="C28" s="1256">
        <f>'Saisie données file act.'!D45</f>
        <v>0</v>
      </c>
      <c r="D28" s="1284">
        <f>'Saisie données file act.'!E45</f>
        <v>0</v>
      </c>
      <c r="E28" s="1285">
        <f>'Saisie données file act.'!F45</f>
        <v>0</v>
      </c>
      <c r="F28" s="1285">
        <f>'Saisie données file act.'!G45</f>
        <v>0</v>
      </c>
      <c r="G28" s="1285">
        <f>'Saisie données file act.'!H45</f>
        <v>0</v>
      </c>
      <c r="H28" s="1285">
        <f>'Saisie données file act.'!I45</f>
        <v>0</v>
      </c>
      <c r="I28" s="1285">
        <f>'Saisie données file act.'!J45</f>
        <v>0</v>
      </c>
      <c r="J28" s="1285">
        <f>'Saisie données file act.'!K45</f>
        <v>0</v>
      </c>
      <c r="K28" s="1285">
        <f>'Saisie données file act.'!L45</f>
        <v>0</v>
      </c>
      <c r="L28" s="1285">
        <f>'Saisie données file act.'!M45</f>
        <v>0</v>
      </c>
      <c r="M28" s="1285">
        <f>'Saisie données file act.'!N45</f>
        <v>0</v>
      </c>
      <c r="N28" s="1285">
        <f>'Saisie données file act.'!O45</f>
        <v>0</v>
      </c>
      <c r="O28" s="1285">
        <f>'Saisie données file act.'!P45</f>
        <v>0</v>
      </c>
      <c r="P28" s="1285">
        <f>'Saisie données file act.'!Q45</f>
        <v>0</v>
      </c>
      <c r="Q28" s="1285">
        <f>'Saisie données file act.'!R45</f>
        <v>0</v>
      </c>
      <c r="R28" s="1753">
        <f>'Saisie données file act.'!S45</f>
        <v>0</v>
      </c>
      <c r="S28" s="1767">
        <f>'Saisie données file act.'!T45</f>
        <v>0</v>
      </c>
      <c r="T28" s="1738">
        <f>'Saisie données file act.'!U45</f>
        <v>0</v>
      </c>
      <c r="U28" s="1738">
        <f>'Saisie données file act.'!V45</f>
        <v>0</v>
      </c>
      <c r="V28" s="1738">
        <f>'Saisie données file act.'!W45</f>
        <v>0</v>
      </c>
      <c r="W28" s="1738">
        <f>'Saisie données file act.'!X45</f>
        <v>0</v>
      </c>
      <c r="X28" s="1768">
        <f>'Saisie données file act.'!Y45</f>
        <v>0</v>
      </c>
      <c r="Y28" s="1767">
        <f>'Saisie données file act.'!Z45</f>
        <v>0</v>
      </c>
      <c r="Z28" s="1738">
        <f>'Saisie données file act.'!AA45</f>
        <v>0</v>
      </c>
      <c r="AA28" s="1738">
        <f>'Saisie données file act.'!AB45</f>
        <v>0</v>
      </c>
      <c r="AB28" s="1738">
        <f>'Saisie données file act.'!AC45</f>
        <v>0</v>
      </c>
      <c r="AC28" s="1738">
        <f>'Saisie données file act.'!AD45</f>
        <v>0</v>
      </c>
      <c r="AD28" s="1738">
        <f>'Saisie données file act.'!AE45</f>
        <v>0</v>
      </c>
      <c r="AE28" s="1738">
        <f>'Saisie données file act.'!AF45</f>
        <v>0</v>
      </c>
      <c r="AF28" s="1738">
        <f>'Saisie données file act.'!AG45</f>
        <v>0</v>
      </c>
      <c r="AG28" s="1738">
        <f>'Saisie données file act.'!AH45</f>
        <v>0</v>
      </c>
      <c r="AH28" s="1738">
        <f>'Saisie données file act.'!AI45</f>
        <v>0</v>
      </c>
      <c r="AI28" s="1768">
        <f>'Saisie données file act.'!AJ45</f>
        <v>0</v>
      </c>
      <c r="AJ28" s="1776">
        <f>'Saisie données file act.'!AK45</f>
        <v>0</v>
      </c>
      <c r="AK28" s="1290">
        <f>'Saisie données file act.'!AL45</f>
        <v>0</v>
      </c>
      <c r="AL28" s="1286">
        <f>'Saisie données file act.'!AM45</f>
        <v>0</v>
      </c>
      <c r="AM28" s="1286">
        <f>'Saisie données file act.'!AN45</f>
        <v>0</v>
      </c>
      <c r="AN28" s="1290">
        <f>'Saisie données file act.'!AO45</f>
        <v>0</v>
      </c>
      <c r="AO28" s="1290">
        <f>'Saisie données file act.'!AP45</f>
        <v>0</v>
      </c>
      <c r="AP28" s="1286">
        <f>'Saisie données file act.'!AQ45</f>
        <v>0</v>
      </c>
      <c r="AQ28" s="1286">
        <f>'Saisie données file act.'!AR45</f>
        <v>0</v>
      </c>
      <c r="AR28" s="1285">
        <f>'Saisie données file act.'!AS45</f>
        <v>0</v>
      </c>
      <c r="AS28" s="1753">
        <f>'Saisie données file act.'!AT45</f>
        <v>0</v>
      </c>
      <c r="AT28" s="1757">
        <f>'Saisie données file act.'!AU45</f>
        <v>0</v>
      </c>
    </row>
    <row r="29" spans="2:46" ht="12.75" customHeight="1" x14ac:dyDescent="0.2">
      <c r="B29" s="3308"/>
      <c r="C29" s="1255">
        <f>'Saisie données file act.'!D46</f>
        <v>0</v>
      </c>
      <c r="D29" s="1284">
        <f>'Saisie données file act.'!E46</f>
        <v>0</v>
      </c>
      <c r="E29" s="1285">
        <f>'Saisie données file act.'!F46</f>
        <v>0</v>
      </c>
      <c r="F29" s="1285">
        <f>'Saisie données file act.'!G46</f>
        <v>0</v>
      </c>
      <c r="G29" s="1285">
        <f>'Saisie données file act.'!H46</f>
        <v>0</v>
      </c>
      <c r="H29" s="1285">
        <f>'Saisie données file act.'!I46</f>
        <v>0</v>
      </c>
      <c r="I29" s="1285">
        <f>'Saisie données file act.'!J46</f>
        <v>0</v>
      </c>
      <c r="J29" s="1285">
        <f>'Saisie données file act.'!K46</f>
        <v>0</v>
      </c>
      <c r="K29" s="1285">
        <f>'Saisie données file act.'!L46</f>
        <v>0</v>
      </c>
      <c r="L29" s="1285">
        <f>'Saisie données file act.'!M46</f>
        <v>0</v>
      </c>
      <c r="M29" s="1285">
        <f>'Saisie données file act.'!N46</f>
        <v>0</v>
      </c>
      <c r="N29" s="1285">
        <f>'Saisie données file act.'!O46</f>
        <v>0</v>
      </c>
      <c r="O29" s="1285">
        <f>'Saisie données file act.'!P46</f>
        <v>0</v>
      </c>
      <c r="P29" s="1285">
        <f>'Saisie données file act.'!Q46</f>
        <v>0</v>
      </c>
      <c r="Q29" s="1285">
        <f>'Saisie données file act.'!R46</f>
        <v>0</v>
      </c>
      <c r="R29" s="1753">
        <f>'Saisie données file act.'!S46</f>
        <v>0</v>
      </c>
      <c r="S29" s="1767">
        <f>'Saisie données file act.'!T46</f>
        <v>0</v>
      </c>
      <c r="T29" s="1738">
        <f>'Saisie données file act.'!U46</f>
        <v>0</v>
      </c>
      <c r="U29" s="1738">
        <f>'Saisie données file act.'!V46</f>
        <v>0</v>
      </c>
      <c r="V29" s="1738">
        <f>'Saisie données file act.'!W46</f>
        <v>0</v>
      </c>
      <c r="W29" s="1738">
        <f>'Saisie données file act.'!X46</f>
        <v>0</v>
      </c>
      <c r="X29" s="1768">
        <f>'Saisie données file act.'!Y46</f>
        <v>0</v>
      </c>
      <c r="Y29" s="1767">
        <f>'Saisie données file act.'!Z46</f>
        <v>0</v>
      </c>
      <c r="Z29" s="1738">
        <f>'Saisie données file act.'!AA46</f>
        <v>0</v>
      </c>
      <c r="AA29" s="1738">
        <f>'Saisie données file act.'!AB46</f>
        <v>0</v>
      </c>
      <c r="AB29" s="1738">
        <f>'Saisie données file act.'!AC46</f>
        <v>0</v>
      </c>
      <c r="AC29" s="1738">
        <f>'Saisie données file act.'!AD46</f>
        <v>0</v>
      </c>
      <c r="AD29" s="1738">
        <f>'Saisie données file act.'!AE46</f>
        <v>0</v>
      </c>
      <c r="AE29" s="1738">
        <f>'Saisie données file act.'!AF46</f>
        <v>0</v>
      </c>
      <c r="AF29" s="1738">
        <f>'Saisie données file act.'!AG46</f>
        <v>0</v>
      </c>
      <c r="AG29" s="1738">
        <f>'Saisie données file act.'!AH46</f>
        <v>0</v>
      </c>
      <c r="AH29" s="1738">
        <f>'Saisie données file act.'!AI46</f>
        <v>0</v>
      </c>
      <c r="AI29" s="1768">
        <f>'Saisie données file act.'!AJ46</f>
        <v>0</v>
      </c>
      <c r="AJ29" s="1776">
        <f>'Saisie données file act.'!AK46</f>
        <v>0</v>
      </c>
      <c r="AK29" s="1290">
        <f>'Saisie données file act.'!AL46</f>
        <v>0</v>
      </c>
      <c r="AL29" s="1286">
        <f>'Saisie données file act.'!AM46</f>
        <v>0</v>
      </c>
      <c r="AM29" s="1286">
        <f>'Saisie données file act.'!AN46</f>
        <v>0</v>
      </c>
      <c r="AN29" s="1290">
        <f>'Saisie données file act.'!AO46</f>
        <v>0</v>
      </c>
      <c r="AO29" s="1290">
        <f>'Saisie données file act.'!AP46</f>
        <v>0</v>
      </c>
      <c r="AP29" s="1286">
        <f>'Saisie données file act.'!AQ46</f>
        <v>0</v>
      </c>
      <c r="AQ29" s="1286">
        <f>'Saisie données file act.'!AR46</f>
        <v>0</v>
      </c>
      <c r="AR29" s="1285">
        <f>'Saisie données file act.'!AS46</f>
        <v>0</v>
      </c>
      <c r="AS29" s="1753">
        <f>'Saisie données file act.'!AT46</f>
        <v>0</v>
      </c>
      <c r="AT29" s="1757">
        <f>'Saisie données file act.'!AU46</f>
        <v>0</v>
      </c>
    </row>
    <row r="30" spans="2:46" ht="12.75" customHeight="1" x14ac:dyDescent="0.2">
      <c r="B30" s="3308"/>
      <c r="C30" s="1256">
        <f>'Saisie données file act.'!D47</f>
        <v>0</v>
      </c>
      <c r="D30" s="1284">
        <f>'Saisie données file act.'!E47</f>
        <v>0</v>
      </c>
      <c r="E30" s="1285">
        <f>'Saisie données file act.'!F47</f>
        <v>0</v>
      </c>
      <c r="F30" s="1285">
        <f>'Saisie données file act.'!G47</f>
        <v>0</v>
      </c>
      <c r="G30" s="1285">
        <f>'Saisie données file act.'!H47</f>
        <v>0</v>
      </c>
      <c r="H30" s="1285">
        <f>'Saisie données file act.'!I47</f>
        <v>0</v>
      </c>
      <c r="I30" s="1285">
        <f>'Saisie données file act.'!J47</f>
        <v>0</v>
      </c>
      <c r="J30" s="1285">
        <f>'Saisie données file act.'!K47</f>
        <v>0</v>
      </c>
      <c r="K30" s="1285">
        <f>'Saisie données file act.'!L47</f>
        <v>0</v>
      </c>
      <c r="L30" s="1285">
        <f>'Saisie données file act.'!M47</f>
        <v>0</v>
      </c>
      <c r="M30" s="1285">
        <f>'Saisie données file act.'!N47</f>
        <v>0</v>
      </c>
      <c r="N30" s="1285">
        <f>'Saisie données file act.'!O47</f>
        <v>0</v>
      </c>
      <c r="O30" s="1285">
        <f>'Saisie données file act.'!P47</f>
        <v>0</v>
      </c>
      <c r="P30" s="1285">
        <f>'Saisie données file act.'!Q47</f>
        <v>0</v>
      </c>
      <c r="Q30" s="1285">
        <f>'Saisie données file act.'!R47</f>
        <v>0</v>
      </c>
      <c r="R30" s="1753">
        <f>'Saisie données file act.'!S47</f>
        <v>0</v>
      </c>
      <c r="S30" s="1767">
        <f>'Saisie données file act.'!T47</f>
        <v>0</v>
      </c>
      <c r="T30" s="1738">
        <f>'Saisie données file act.'!U47</f>
        <v>0</v>
      </c>
      <c r="U30" s="1738">
        <f>'Saisie données file act.'!V47</f>
        <v>0</v>
      </c>
      <c r="V30" s="1738">
        <f>'Saisie données file act.'!W47</f>
        <v>0</v>
      </c>
      <c r="W30" s="1738">
        <f>'Saisie données file act.'!X47</f>
        <v>0</v>
      </c>
      <c r="X30" s="1768">
        <f>'Saisie données file act.'!Y47</f>
        <v>0</v>
      </c>
      <c r="Y30" s="1767">
        <f>'Saisie données file act.'!Z47</f>
        <v>0</v>
      </c>
      <c r="Z30" s="1738">
        <f>'Saisie données file act.'!AA47</f>
        <v>0</v>
      </c>
      <c r="AA30" s="1738">
        <f>'Saisie données file act.'!AB47</f>
        <v>0</v>
      </c>
      <c r="AB30" s="1738">
        <f>'Saisie données file act.'!AC47</f>
        <v>0</v>
      </c>
      <c r="AC30" s="1738">
        <f>'Saisie données file act.'!AD47</f>
        <v>0</v>
      </c>
      <c r="AD30" s="1738">
        <f>'Saisie données file act.'!AE47</f>
        <v>0</v>
      </c>
      <c r="AE30" s="1738">
        <f>'Saisie données file act.'!AF47</f>
        <v>0</v>
      </c>
      <c r="AF30" s="1738">
        <f>'Saisie données file act.'!AG47</f>
        <v>0</v>
      </c>
      <c r="AG30" s="1738">
        <f>'Saisie données file act.'!AH47</f>
        <v>0</v>
      </c>
      <c r="AH30" s="1738">
        <f>'Saisie données file act.'!AI47</f>
        <v>0</v>
      </c>
      <c r="AI30" s="1768">
        <f>'Saisie données file act.'!AJ47</f>
        <v>0</v>
      </c>
      <c r="AJ30" s="1776">
        <f>'Saisie données file act.'!AK47</f>
        <v>0</v>
      </c>
      <c r="AK30" s="1290">
        <f>'Saisie données file act.'!AL47</f>
        <v>0</v>
      </c>
      <c r="AL30" s="1286">
        <f>'Saisie données file act.'!AM47</f>
        <v>0</v>
      </c>
      <c r="AM30" s="1286">
        <f>'Saisie données file act.'!AN47</f>
        <v>0</v>
      </c>
      <c r="AN30" s="1290">
        <f>'Saisie données file act.'!AO47</f>
        <v>0</v>
      </c>
      <c r="AO30" s="1290">
        <f>'Saisie données file act.'!AP47</f>
        <v>0</v>
      </c>
      <c r="AP30" s="1286">
        <f>'Saisie données file act.'!AQ47</f>
        <v>0</v>
      </c>
      <c r="AQ30" s="1286">
        <f>'Saisie données file act.'!AR47</f>
        <v>0</v>
      </c>
      <c r="AR30" s="1285">
        <f>'Saisie données file act.'!AS47</f>
        <v>0</v>
      </c>
      <c r="AS30" s="1753">
        <f>'Saisie données file act.'!AT47</f>
        <v>0</v>
      </c>
      <c r="AT30" s="1757">
        <f>'Saisie données file act.'!AU47</f>
        <v>0</v>
      </c>
    </row>
    <row r="31" spans="2:46" ht="12.75" customHeight="1" x14ac:dyDescent="0.2">
      <c r="B31" s="3308"/>
      <c r="C31" s="1255">
        <f>'Saisie données file act.'!D48</f>
        <v>0</v>
      </c>
      <c r="D31" s="1284">
        <f>'Saisie données file act.'!E48</f>
        <v>0</v>
      </c>
      <c r="E31" s="1285">
        <f>'Saisie données file act.'!F48</f>
        <v>0</v>
      </c>
      <c r="F31" s="1285">
        <f>'Saisie données file act.'!G48</f>
        <v>0</v>
      </c>
      <c r="G31" s="1285">
        <f>'Saisie données file act.'!H48</f>
        <v>0</v>
      </c>
      <c r="H31" s="1285">
        <f>'Saisie données file act.'!I48</f>
        <v>0</v>
      </c>
      <c r="I31" s="1285">
        <f>'Saisie données file act.'!J48</f>
        <v>0</v>
      </c>
      <c r="J31" s="1285">
        <f>'Saisie données file act.'!K48</f>
        <v>0</v>
      </c>
      <c r="K31" s="1285">
        <f>'Saisie données file act.'!L48</f>
        <v>0</v>
      </c>
      <c r="L31" s="1285">
        <f>'Saisie données file act.'!M48</f>
        <v>0</v>
      </c>
      <c r="M31" s="1285">
        <f>'Saisie données file act.'!N48</f>
        <v>0</v>
      </c>
      <c r="N31" s="1285">
        <f>'Saisie données file act.'!O48</f>
        <v>0</v>
      </c>
      <c r="O31" s="1285">
        <f>'Saisie données file act.'!P48</f>
        <v>0</v>
      </c>
      <c r="P31" s="1285">
        <f>'Saisie données file act.'!Q48</f>
        <v>0</v>
      </c>
      <c r="Q31" s="1285">
        <f>'Saisie données file act.'!R48</f>
        <v>0</v>
      </c>
      <c r="R31" s="1753">
        <f>'Saisie données file act.'!S48</f>
        <v>0</v>
      </c>
      <c r="S31" s="1767">
        <f>'Saisie données file act.'!T48</f>
        <v>0</v>
      </c>
      <c r="T31" s="1738">
        <f>'Saisie données file act.'!U48</f>
        <v>0</v>
      </c>
      <c r="U31" s="1738">
        <f>'Saisie données file act.'!V48</f>
        <v>0</v>
      </c>
      <c r="V31" s="1738">
        <f>'Saisie données file act.'!W48</f>
        <v>0</v>
      </c>
      <c r="W31" s="1738">
        <f>'Saisie données file act.'!X48</f>
        <v>0</v>
      </c>
      <c r="X31" s="1768">
        <f>'Saisie données file act.'!Y48</f>
        <v>0</v>
      </c>
      <c r="Y31" s="1767">
        <f>'Saisie données file act.'!Z48</f>
        <v>0</v>
      </c>
      <c r="Z31" s="1738">
        <f>'Saisie données file act.'!AA48</f>
        <v>0</v>
      </c>
      <c r="AA31" s="1738">
        <f>'Saisie données file act.'!AB48</f>
        <v>0</v>
      </c>
      <c r="AB31" s="1738">
        <f>'Saisie données file act.'!AC48</f>
        <v>0</v>
      </c>
      <c r="AC31" s="1738">
        <f>'Saisie données file act.'!AD48</f>
        <v>0</v>
      </c>
      <c r="AD31" s="1738">
        <f>'Saisie données file act.'!AE48</f>
        <v>0</v>
      </c>
      <c r="AE31" s="1738">
        <f>'Saisie données file act.'!AF48</f>
        <v>0</v>
      </c>
      <c r="AF31" s="1738">
        <f>'Saisie données file act.'!AG48</f>
        <v>0</v>
      </c>
      <c r="AG31" s="1738">
        <f>'Saisie données file act.'!AH48</f>
        <v>0</v>
      </c>
      <c r="AH31" s="1738">
        <f>'Saisie données file act.'!AI48</f>
        <v>0</v>
      </c>
      <c r="AI31" s="1768">
        <f>'Saisie données file act.'!AJ48</f>
        <v>0</v>
      </c>
      <c r="AJ31" s="1776">
        <f>'Saisie données file act.'!AK48</f>
        <v>0</v>
      </c>
      <c r="AK31" s="1290">
        <f>'Saisie données file act.'!AL48</f>
        <v>0</v>
      </c>
      <c r="AL31" s="1286">
        <f>'Saisie données file act.'!AM48</f>
        <v>0</v>
      </c>
      <c r="AM31" s="1286">
        <f>'Saisie données file act.'!AN48</f>
        <v>0</v>
      </c>
      <c r="AN31" s="1290">
        <f>'Saisie données file act.'!AO48</f>
        <v>0</v>
      </c>
      <c r="AO31" s="1290">
        <f>'Saisie données file act.'!AP48</f>
        <v>0</v>
      </c>
      <c r="AP31" s="1286">
        <f>'Saisie données file act.'!AQ48</f>
        <v>0</v>
      </c>
      <c r="AQ31" s="1286">
        <f>'Saisie données file act.'!AR48</f>
        <v>0</v>
      </c>
      <c r="AR31" s="1285">
        <f>'Saisie données file act.'!AS48</f>
        <v>0</v>
      </c>
      <c r="AS31" s="1753">
        <f>'Saisie données file act.'!AT48</f>
        <v>0</v>
      </c>
      <c r="AT31" s="1757">
        <f>'Saisie données file act.'!AU48</f>
        <v>0</v>
      </c>
    </row>
    <row r="32" spans="2:46" ht="13.5" customHeight="1" thickBot="1" x14ac:dyDescent="0.25">
      <c r="B32" s="3308"/>
      <c r="C32" s="1255">
        <f>'Saisie données file act.'!D49</f>
        <v>0</v>
      </c>
      <c r="D32" s="1287">
        <f>'Saisie données file act.'!E49</f>
        <v>0</v>
      </c>
      <c r="E32" s="1288">
        <f>'Saisie données file act.'!F49</f>
        <v>0</v>
      </c>
      <c r="F32" s="1288">
        <f>'Saisie données file act.'!G49</f>
        <v>0</v>
      </c>
      <c r="G32" s="1288">
        <f>'Saisie données file act.'!H49</f>
        <v>0</v>
      </c>
      <c r="H32" s="1288">
        <f>'Saisie données file act.'!I49</f>
        <v>0</v>
      </c>
      <c r="I32" s="1288">
        <f>'Saisie données file act.'!J49</f>
        <v>0</v>
      </c>
      <c r="J32" s="1288">
        <f>'Saisie données file act.'!K49</f>
        <v>0</v>
      </c>
      <c r="K32" s="1288">
        <f>'Saisie données file act.'!L49</f>
        <v>0</v>
      </c>
      <c r="L32" s="1288">
        <f>'Saisie données file act.'!M49</f>
        <v>0</v>
      </c>
      <c r="M32" s="1288">
        <f>'Saisie données file act.'!N49</f>
        <v>0</v>
      </c>
      <c r="N32" s="1288">
        <f>'Saisie données file act.'!O49</f>
        <v>0</v>
      </c>
      <c r="O32" s="1288">
        <f>'Saisie données file act.'!P49</f>
        <v>0</v>
      </c>
      <c r="P32" s="1288">
        <f>'Saisie données file act.'!Q49</f>
        <v>0</v>
      </c>
      <c r="Q32" s="1288">
        <f>'Saisie données file act.'!R49</f>
        <v>0</v>
      </c>
      <c r="R32" s="1754">
        <f>'Saisie données file act.'!S49</f>
        <v>0</v>
      </c>
      <c r="S32" s="1769">
        <f>'Saisie données file act.'!T49</f>
        <v>0</v>
      </c>
      <c r="T32" s="1739">
        <f>'Saisie données file act.'!U49</f>
        <v>0</v>
      </c>
      <c r="U32" s="1739">
        <f>'Saisie données file act.'!V49</f>
        <v>0</v>
      </c>
      <c r="V32" s="1739">
        <f>'Saisie données file act.'!W49</f>
        <v>0</v>
      </c>
      <c r="W32" s="1739">
        <f>'Saisie données file act.'!X49</f>
        <v>0</v>
      </c>
      <c r="X32" s="1770">
        <f>'Saisie données file act.'!Y49</f>
        <v>0</v>
      </c>
      <c r="Y32" s="1769">
        <f>'Saisie données file act.'!Z49</f>
        <v>0</v>
      </c>
      <c r="Z32" s="1739">
        <f>'Saisie données file act.'!AA49</f>
        <v>0</v>
      </c>
      <c r="AA32" s="1739">
        <f>'Saisie données file act.'!AB49</f>
        <v>0</v>
      </c>
      <c r="AB32" s="1739">
        <f>'Saisie données file act.'!AC49</f>
        <v>0</v>
      </c>
      <c r="AC32" s="1739">
        <f>'Saisie données file act.'!AD49</f>
        <v>0</v>
      </c>
      <c r="AD32" s="1739">
        <f>'Saisie données file act.'!AE49</f>
        <v>0</v>
      </c>
      <c r="AE32" s="1739">
        <f>'Saisie données file act.'!AF49</f>
        <v>0</v>
      </c>
      <c r="AF32" s="1739">
        <f>'Saisie données file act.'!AG49</f>
        <v>0</v>
      </c>
      <c r="AG32" s="1739">
        <f>'Saisie données file act.'!AH49</f>
        <v>0</v>
      </c>
      <c r="AH32" s="1739">
        <f>'Saisie données file act.'!AI49</f>
        <v>0</v>
      </c>
      <c r="AI32" s="1770">
        <f>'Saisie données file act.'!AJ49</f>
        <v>0</v>
      </c>
      <c r="AJ32" s="1777">
        <f>'Saisie données file act.'!AK49</f>
        <v>0</v>
      </c>
      <c r="AK32" s="1291">
        <f>'Saisie données file act.'!AL49</f>
        <v>0</v>
      </c>
      <c r="AL32" s="1289">
        <f>'Saisie données file act.'!AM49</f>
        <v>0</v>
      </c>
      <c r="AM32" s="1289">
        <f>'Saisie données file act.'!AN49</f>
        <v>0</v>
      </c>
      <c r="AN32" s="1291">
        <f>'Saisie données file act.'!AO49</f>
        <v>0</v>
      </c>
      <c r="AO32" s="1291">
        <f>'Saisie données file act.'!AP49</f>
        <v>0</v>
      </c>
      <c r="AP32" s="1289">
        <f>'Saisie données file act.'!AQ49</f>
        <v>0</v>
      </c>
      <c r="AQ32" s="1289">
        <f>'Saisie données file act.'!AR49</f>
        <v>0</v>
      </c>
      <c r="AR32" s="1288">
        <f>'Saisie données file act.'!AS49</f>
        <v>0</v>
      </c>
      <c r="AS32" s="1754">
        <f>'Saisie données file act.'!AT49</f>
        <v>0</v>
      </c>
      <c r="AT32" s="1758">
        <f>'Saisie données file act.'!AU49</f>
        <v>0</v>
      </c>
    </row>
    <row r="33" spans="1:46" ht="13.5" customHeight="1" thickBot="1" x14ac:dyDescent="0.25">
      <c r="B33" s="3308"/>
      <c r="C33" s="1258" t="str">
        <f>'Saisie données file act.'!D50</f>
        <v>Lignes alternatives</v>
      </c>
      <c r="D33" s="1251"/>
      <c r="E33" s="1251"/>
      <c r="F33" s="1251"/>
      <c r="G33" s="1251"/>
      <c r="H33" s="1251"/>
      <c r="I33" s="1251"/>
      <c r="J33" s="1251"/>
      <c r="K33" s="1251"/>
      <c r="L33" s="1251"/>
      <c r="M33" s="1251"/>
      <c r="N33" s="1251"/>
      <c r="O33" s="1251"/>
      <c r="P33" s="1251"/>
      <c r="Q33" s="1251"/>
      <c r="R33" s="1251"/>
      <c r="S33" s="1765"/>
      <c r="T33" s="1251"/>
      <c r="U33" s="1251"/>
      <c r="V33" s="1251"/>
      <c r="W33" s="1251"/>
      <c r="X33" s="1253"/>
      <c r="Y33" s="1765"/>
      <c r="Z33" s="1251"/>
      <c r="AA33" s="1251"/>
      <c r="AB33" s="1251"/>
      <c r="AC33" s="1251"/>
      <c r="AD33" s="1251"/>
      <c r="AE33" s="1251"/>
      <c r="AF33" s="1251"/>
      <c r="AG33" s="1251"/>
      <c r="AH33" s="1251"/>
      <c r="AI33" s="1253"/>
      <c r="AJ33" s="1252"/>
      <c r="AK33" s="1252"/>
      <c r="AL33" s="1252"/>
      <c r="AM33" s="1252"/>
      <c r="AN33" s="1252"/>
      <c r="AO33" s="1252"/>
      <c r="AP33" s="1252"/>
      <c r="AQ33" s="1252"/>
      <c r="AR33" s="1251"/>
      <c r="AS33" s="1251"/>
      <c r="AT33" s="1755"/>
    </row>
    <row r="34" spans="1:46" ht="12.75" customHeight="1" x14ac:dyDescent="0.2">
      <c r="B34" s="3308"/>
      <c r="C34" s="1259">
        <f>'Saisie données file act.'!D51</f>
        <v>0</v>
      </c>
      <c r="D34" s="1274">
        <f>'Saisie données file act.'!E51</f>
        <v>0</v>
      </c>
      <c r="E34" s="1275">
        <f>'Saisie données file act.'!F51</f>
        <v>0</v>
      </c>
      <c r="F34" s="1275">
        <f>'Saisie données file act.'!G51</f>
        <v>0</v>
      </c>
      <c r="G34" s="1275">
        <f>'Saisie données file act.'!H51</f>
        <v>0</v>
      </c>
      <c r="H34" s="1275">
        <f>'Saisie données file act.'!I51</f>
        <v>0</v>
      </c>
      <c r="I34" s="1275">
        <f>'Saisie données file act.'!J51</f>
        <v>0</v>
      </c>
      <c r="J34" s="1275">
        <f>'Saisie données file act.'!K51</f>
        <v>0</v>
      </c>
      <c r="K34" s="1275">
        <f>'Saisie données file act.'!L51</f>
        <v>0</v>
      </c>
      <c r="L34" s="1275">
        <f>'Saisie données file act.'!M51</f>
        <v>0</v>
      </c>
      <c r="M34" s="1275">
        <f>'Saisie données file act.'!N51</f>
        <v>0</v>
      </c>
      <c r="N34" s="1275">
        <f>'Saisie données file act.'!O51</f>
        <v>0</v>
      </c>
      <c r="O34" s="1275">
        <f>'Saisie données file act.'!P51</f>
        <v>0</v>
      </c>
      <c r="P34" s="1275">
        <f>'Saisie données file act.'!Q51</f>
        <v>0</v>
      </c>
      <c r="Q34" s="1275">
        <f>'Saisie données file act.'!R51</f>
        <v>0</v>
      </c>
      <c r="R34" s="1752">
        <f>'Saisie données file act.'!S51</f>
        <v>0</v>
      </c>
      <c r="S34" s="1766">
        <f>'Saisie données file act.'!T51</f>
        <v>0</v>
      </c>
      <c r="T34" s="1275">
        <f>'Saisie données file act.'!U51</f>
        <v>0</v>
      </c>
      <c r="U34" s="1275">
        <f>'Saisie données file act.'!V51</f>
        <v>0</v>
      </c>
      <c r="V34" s="1275">
        <f>'Saisie données file act.'!W51</f>
        <v>0</v>
      </c>
      <c r="W34" s="1275">
        <f>'Saisie données file act.'!X51</f>
        <v>0</v>
      </c>
      <c r="X34" s="1277">
        <f>'Saisie données file act.'!Y51</f>
        <v>0</v>
      </c>
      <c r="Y34" s="1766">
        <f>'Saisie données file act.'!Z51</f>
        <v>0</v>
      </c>
      <c r="Z34" s="1275">
        <f>'Saisie données file act.'!AA51</f>
        <v>0</v>
      </c>
      <c r="AA34" s="1275">
        <f>'Saisie données file act.'!AB51</f>
        <v>0</v>
      </c>
      <c r="AB34" s="1275">
        <f>'Saisie données file act.'!AC51</f>
        <v>0</v>
      </c>
      <c r="AC34" s="1275">
        <f>'Saisie données file act.'!AD51</f>
        <v>0</v>
      </c>
      <c r="AD34" s="1275">
        <f>'Saisie données file act.'!AE51</f>
        <v>0</v>
      </c>
      <c r="AE34" s="1275">
        <f>'Saisie données file act.'!AF51</f>
        <v>0</v>
      </c>
      <c r="AF34" s="1275">
        <f>'Saisie données file act.'!AG51</f>
        <v>0</v>
      </c>
      <c r="AG34" s="1275">
        <f>'Saisie données file act.'!AH51</f>
        <v>0</v>
      </c>
      <c r="AH34" s="1275">
        <f>'Saisie données file act.'!AI51</f>
        <v>0</v>
      </c>
      <c r="AI34" s="1277">
        <f>'Saisie données file act.'!AJ51</f>
        <v>0</v>
      </c>
      <c r="AJ34" s="1775">
        <f>'Saisie données file act.'!AK51</f>
        <v>0</v>
      </c>
      <c r="AK34" s="1278">
        <f>'Saisie données file act.'!AL51</f>
        <v>0</v>
      </c>
      <c r="AL34" s="1278">
        <f>'Saisie données file act.'!AM51</f>
        <v>0</v>
      </c>
      <c r="AM34" s="1278">
        <f>'Saisie données file act.'!AN51</f>
        <v>0</v>
      </c>
      <c r="AN34" s="1278">
        <f>'Saisie données file act.'!AO51</f>
        <v>0</v>
      </c>
      <c r="AO34" s="1278">
        <f>'Saisie données file act.'!AP51</f>
        <v>0</v>
      </c>
      <c r="AP34" s="1278">
        <f>'Saisie données file act.'!AQ51</f>
        <v>0</v>
      </c>
      <c r="AQ34" s="1278">
        <f>'Saisie données file act.'!AR51</f>
        <v>0</v>
      </c>
      <c r="AR34" s="1275">
        <f>'Saisie données file act.'!AS51</f>
        <v>0</v>
      </c>
      <c r="AS34" s="1752">
        <f>'Saisie données file act.'!AT51</f>
        <v>0</v>
      </c>
      <c r="AT34" s="1756">
        <f>'Saisie données file act.'!AU51</f>
        <v>0</v>
      </c>
    </row>
    <row r="35" spans="1:46" ht="12.75" customHeight="1" x14ac:dyDescent="0.2">
      <c r="B35" s="3308"/>
      <c r="C35" s="1256">
        <f>'Saisie données file act.'!D52</f>
        <v>0</v>
      </c>
      <c r="D35" s="1284">
        <f>'Saisie données file act.'!E52</f>
        <v>0</v>
      </c>
      <c r="E35" s="1285">
        <f>'Saisie données file act.'!F52</f>
        <v>0</v>
      </c>
      <c r="F35" s="1285">
        <f>'Saisie données file act.'!G52</f>
        <v>0</v>
      </c>
      <c r="G35" s="1285">
        <f>'Saisie données file act.'!H52</f>
        <v>0</v>
      </c>
      <c r="H35" s="1285">
        <f>'Saisie données file act.'!I52</f>
        <v>0</v>
      </c>
      <c r="I35" s="1285">
        <f>'Saisie données file act.'!J52</f>
        <v>0</v>
      </c>
      <c r="J35" s="1285">
        <f>'Saisie données file act.'!K52</f>
        <v>0</v>
      </c>
      <c r="K35" s="1285">
        <f>'Saisie données file act.'!L52</f>
        <v>0</v>
      </c>
      <c r="L35" s="1285">
        <f>'Saisie données file act.'!M52</f>
        <v>0</v>
      </c>
      <c r="M35" s="1285">
        <f>'Saisie données file act.'!N52</f>
        <v>0</v>
      </c>
      <c r="N35" s="1285">
        <f>'Saisie données file act.'!O52</f>
        <v>0</v>
      </c>
      <c r="O35" s="1285">
        <f>'Saisie données file act.'!P52</f>
        <v>0</v>
      </c>
      <c r="P35" s="1285">
        <f>'Saisie données file act.'!Q52</f>
        <v>0</v>
      </c>
      <c r="Q35" s="1285">
        <f>'Saisie données file act.'!R52</f>
        <v>0</v>
      </c>
      <c r="R35" s="1753">
        <f>'Saisie données file act.'!S52</f>
        <v>0</v>
      </c>
      <c r="S35" s="1767">
        <f>'Saisie données file act.'!T52</f>
        <v>0</v>
      </c>
      <c r="T35" s="1738">
        <f>'Saisie données file act.'!U52</f>
        <v>0</v>
      </c>
      <c r="U35" s="1738">
        <f>'Saisie données file act.'!V52</f>
        <v>0</v>
      </c>
      <c r="V35" s="1738">
        <f>'Saisie données file act.'!W52</f>
        <v>0</v>
      </c>
      <c r="W35" s="1738">
        <f>'Saisie données file act.'!X52</f>
        <v>0</v>
      </c>
      <c r="X35" s="1768">
        <f>'Saisie données file act.'!Y52</f>
        <v>0</v>
      </c>
      <c r="Y35" s="1767">
        <f>'Saisie données file act.'!Z52</f>
        <v>0</v>
      </c>
      <c r="Z35" s="1738">
        <f>'Saisie données file act.'!AA52</f>
        <v>0</v>
      </c>
      <c r="AA35" s="1738">
        <f>'Saisie données file act.'!AB52</f>
        <v>0</v>
      </c>
      <c r="AB35" s="1738">
        <f>'Saisie données file act.'!AC52</f>
        <v>0</v>
      </c>
      <c r="AC35" s="1738">
        <f>'Saisie données file act.'!AD52</f>
        <v>0</v>
      </c>
      <c r="AD35" s="1738">
        <f>'Saisie données file act.'!AE52</f>
        <v>0</v>
      </c>
      <c r="AE35" s="1738">
        <f>'Saisie données file act.'!AF52</f>
        <v>0</v>
      </c>
      <c r="AF35" s="1738">
        <f>'Saisie données file act.'!AG52</f>
        <v>0</v>
      </c>
      <c r="AG35" s="1738">
        <f>'Saisie données file act.'!AH52</f>
        <v>0</v>
      </c>
      <c r="AH35" s="1738">
        <f>'Saisie données file act.'!AI52</f>
        <v>0</v>
      </c>
      <c r="AI35" s="1768">
        <f>'Saisie données file act.'!AJ52</f>
        <v>0</v>
      </c>
      <c r="AJ35" s="1776">
        <f>'Saisie données file act.'!AK52</f>
        <v>0</v>
      </c>
      <c r="AK35" s="1290">
        <f>'Saisie données file act.'!AL52</f>
        <v>0</v>
      </c>
      <c r="AL35" s="1290">
        <f>'Saisie données file act.'!AM52</f>
        <v>0</v>
      </c>
      <c r="AM35" s="1290">
        <f>'Saisie données file act.'!AN52</f>
        <v>0</v>
      </c>
      <c r="AN35" s="1290">
        <f>'Saisie données file act.'!AO52</f>
        <v>0</v>
      </c>
      <c r="AO35" s="1290">
        <f>'Saisie données file act.'!AP52</f>
        <v>0</v>
      </c>
      <c r="AP35" s="1290">
        <f>'Saisie données file act.'!AQ52</f>
        <v>0</v>
      </c>
      <c r="AQ35" s="1290">
        <f>'Saisie données file act.'!AR52</f>
        <v>0</v>
      </c>
      <c r="AR35" s="1285">
        <f>'Saisie données file act.'!AS52</f>
        <v>0</v>
      </c>
      <c r="AS35" s="1753">
        <f>'Saisie données file act.'!AT52</f>
        <v>0</v>
      </c>
      <c r="AT35" s="1757">
        <f>'Saisie données file act.'!AU52</f>
        <v>0</v>
      </c>
    </row>
    <row r="36" spans="1:46" ht="12.75" customHeight="1" x14ac:dyDescent="0.2">
      <c r="B36" s="3308"/>
      <c r="C36" s="1256">
        <f>'Saisie données file act.'!D53</f>
        <v>0</v>
      </c>
      <c r="D36" s="1284">
        <f>'Saisie données file act.'!E53</f>
        <v>0</v>
      </c>
      <c r="E36" s="1285">
        <f>'Saisie données file act.'!F53</f>
        <v>0</v>
      </c>
      <c r="F36" s="1285">
        <f>'Saisie données file act.'!G53</f>
        <v>0</v>
      </c>
      <c r="G36" s="1285">
        <f>'Saisie données file act.'!H53</f>
        <v>0</v>
      </c>
      <c r="H36" s="1285">
        <f>'Saisie données file act.'!I53</f>
        <v>0</v>
      </c>
      <c r="I36" s="1285">
        <f>'Saisie données file act.'!J53</f>
        <v>0</v>
      </c>
      <c r="J36" s="1285">
        <f>'Saisie données file act.'!K53</f>
        <v>0</v>
      </c>
      <c r="K36" s="1285">
        <f>'Saisie données file act.'!L53</f>
        <v>0</v>
      </c>
      <c r="L36" s="1285">
        <f>'Saisie données file act.'!M53</f>
        <v>0</v>
      </c>
      <c r="M36" s="1285">
        <f>'Saisie données file act.'!N53</f>
        <v>0</v>
      </c>
      <c r="N36" s="1285">
        <f>'Saisie données file act.'!O53</f>
        <v>0</v>
      </c>
      <c r="O36" s="1285">
        <f>'Saisie données file act.'!P53</f>
        <v>0</v>
      </c>
      <c r="P36" s="1285">
        <f>'Saisie données file act.'!Q53</f>
        <v>0</v>
      </c>
      <c r="Q36" s="1285">
        <f>'Saisie données file act.'!R53</f>
        <v>0</v>
      </c>
      <c r="R36" s="1753">
        <f>'Saisie données file act.'!S53</f>
        <v>0</v>
      </c>
      <c r="S36" s="1767">
        <f>'Saisie données file act.'!T53</f>
        <v>0</v>
      </c>
      <c r="T36" s="1738">
        <f>'Saisie données file act.'!U53</f>
        <v>0</v>
      </c>
      <c r="U36" s="1738">
        <f>'Saisie données file act.'!V53</f>
        <v>0</v>
      </c>
      <c r="V36" s="1738">
        <f>'Saisie données file act.'!W53</f>
        <v>0</v>
      </c>
      <c r="W36" s="1738">
        <f>'Saisie données file act.'!X53</f>
        <v>0</v>
      </c>
      <c r="X36" s="1768">
        <f>'Saisie données file act.'!Y53</f>
        <v>0</v>
      </c>
      <c r="Y36" s="1767">
        <f>'Saisie données file act.'!Z53</f>
        <v>0</v>
      </c>
      <c r="Z36" s="1738">
        <f>'Saisie données file act.'!AA53</f>
        <v>0</v>
      </c>
      <c r="AA36" s="1738">
        <f>'Saisie données file act.'!AB53</f>
        <v>0</v>
      </c>
      <c r="AB36" s="1738">
        <f>'Saisie données file act.'!AC53</f>
        <v>0</v>
      </c>
      <c r="AC36" s="1738">
        <f>'Saisie données file act.'!AD53</f>
        <v>0</v>
      </c>
      <c r="AD36" s="1738">
        <f>'Saisie données file act.'!AE53</f>
        <v>0</v>
      </c>
      <c r="AE36" s="1738">
        <f>'Saisie données file act.'!AF53</f>
        <v>0</v>
      </c>
      <c r="AF36" s="1738">
        <f>'Saisie données file act.'!AG53</f>
        <v>0</v>
      </c>
      <c r="AG36" s="1738">
        <f>'Saisie données file act.'!AH53</f>
        <v>0</v>
      </c>
      <c r="AH36" s="1738">
        <f>'Saisie données file act.'!AI53</f>
        <v>0</v>
      </c>
      <c r="AI36" s="1768">
        <f>'Saisie données file act.'!AJ53</f>
        <v>0</v>
      </c>
      <c r="AJ36" s="1776">
        <f>'Saisie données file act.'!AK53</f>
        <v>0</v>
      </c>
      <c r="AK36" s="1290">
        <f>'Saisie données file act.'!AL53</f>
        <v>0</v>
      </c>
      <c r="AL36" s="1290">
        <f>'Saisie données file act.'!AM53</f>
        <v>0</v>
      </c>
      <c r="AM36" s="1290">
        <f>'Saisie données file act.'!AN53</f>
        <v>0</v>
      </c>
      <c r="AN36" s="1290">
        <f>'Saisie données file act.'!AO53</f>
        <v>0</v>
      </c>
      <c r="AO36" s="1290">
        <f>'Saisie données file act.'!AP53</f>
        <v>0</v>
      </c>
      <c r="AP36" s="1290">
        <f>'Saisie données file act.'!AQ53</f>
        <v>0</v>
      </c>
      <c r="AQ36" s="1290">
        <f>'Saisie données file act.'!AR53</f>
        <v>0</v>
      </c>
      <c r="AR36" s="1285">
        <f>'Saisie données file act.'!AS53</f>
        <v>0</v>
      </c>
      <c r="AS36" s="1753">
        <f>'Saisie données file act.'!AT53</f>
        <v>0</v>
      </c>
      <c r="AT36" s="1757">
        <f>'Saisie données file act.'!AU53</f>
        <v>0</v>
      </c>
    </row>
    <row r="37" spans="1:46" ht="12.75" customHeight="1" x14ac:dyDescent="0.2">
      <c r="B37" s="3308"/>
      <c r="C37" s="1256">
        <f>'Saisie données file act.'!D54</f>
        <v>0</v>
      </c>
      <c r="D37" s="1284">
        <f>'Saisie données file act.'!E54</f>
        <v>0</v>
      </c>
      <c r="E37" s="1285">
        <f>'Saisie données file act.'!F54</f>
        <v>0</v>
      </c>
      <c r="F37" s="1285">
        <f>'Saisie données file act.'!G54</f>
        <v>0</v>
      </c>
      <c r="G37" s="1285">
        <f>'Saisie données file act.'!H54</f>
        <v>0</v>
      </c>
      <c r="H37" s="1285">
        <f>'Saisie données file act.'!I54</f>
        <v>0</v>
      </c>
      <c r="I37" s="1285">
        <f>'Saisie données file act.'!J54</f>
        <v>0</v>
      </c>
      <c r="J37" s="1285">
        <f>'Saisie données file act.'!K54</f>
        <v>0</v>
      </c>
      <c r="K37" s="1285">
        <f>'Saisie données file act.'!L54</f>
        <v>0</v>
      </c>
      <c r="L37" s="1285">
        <f>'Saisie données file act.'!M54</f>
        <v>0</v>
      </c>
      <c r="M37" s="1285">
        <f>'Saisie données file act.'!N54</f>
        <v>0</v>
      </c>
      <c r="N37" s="1285">
        <f>'Saisie données file act.'!O54</f>
        <v>0</v>
      </c>
      <c r="O37" s="1285">
        <f>'Saisie données file act.'!P54</f>
        <v>0</v>
      </c>
      <c r="P37" s="1285">
        <f>'Saisie données file act.'!Q54</f>
        <v>0</v>
      </c>
      <c r="Q37" s="1285">
        <f>'Saisie données file act.'!R54</f>
        <v>0</v>
      </c>
      <c r="R37" s="1753">
        <f>'Saisie données file act.'!S54</f>
        <v>0</v>
      </c>
      <c r="S37" s="1767">
        <f>'Saisie données file act.'!T54</f>
        <v>0</v>
      </c>
      <c r="T37" s="1738">
        <f>'Saisie données file act.'!U54</f>
        <v>0</v>
      </c>
      <c r="U37" s="1738">
        <f>'Saisie données file act.'!V54</f>
        <v>0</v>
      </c>
      <c r="V37" s="1738">
        <f>'Saisie données file act.'!W54</f>
        <v>0</v>
      </c>
      <c r="W37" s="1738">
        <f>'Saisie données file act.'!X54</f>
        <v>0</v>
      </c>
      <c r="X37" s="1768">
        <f>'Saisie données file act.'!Y54</f>
        <v>0</v>
      </c>
      <c r="Y37" s="1767">
        <f>'Saisie données file act.'!Z54</f>
        <v>0</v>
      </c>
      <c r="Z37" s="1738">
        <f>'Saisie données file act.'!AA54</f>
        <v>0</v>
      </c>
      <c r="AA37" s="1738">
        <f>'Saisie données file act.'!AB54</f>
        <v>0</v>
      </c>
      <c r="AB37" s="1738">
        <f>'Saisie données file act.'!AC54</f>
        <v>0</v>
      </c>
      <c r="AC37" s="1738">
        <f>'Saisie données file act.'!AD54</f>
        <v>0</v>
      </c>
      <c r="AD37" s="1738">
        <f>'Saisie données file act.'!AE54</f>
        <v>0</v>
      </c>
      <c r="AE37" s="1738">
        <f>'Saisie données file act.'!AF54</f>
        <v>0</v>
      </c>
      <c r="AF37" s="1738">
        <f>'Saisie données file act.'!AG54</f>
        <v>0</v>
      </c>
      <c r="AG37" s="1738">
        <f>'Saisie données file act.'!AH54</f>
        <v>0</v>
      </c>
      <c r="AH37" s="1738">
        <f>'Saisie données file act.'!AI54</f>
        <v>0</v>
      </c>
      <c r="AI37" s="1768">
        <f>'Saisie données file act.'!AJ54</f>
        <v>0</v>
      </c>
      <c r="AJ37" s="1776">
        <f>'Saisie données file act.'!AK54</f>
        <v>0</v>
      </c>
      <c r="AK37" s="1290">
        <f>'Saisie données file act.'!AL54</f>
        <v>0</v>
      </c>
      <c r="AL37" s="1290">
        <f>'Saisie données file act.'!AM54</f>
        <v>0</v>
      </c>
      <c r="AM37" s="1290">
        <f>'Saisie données file act.'!AN54</f>
        <v>0</v>
      </c>
      <c r="AN37" s="1290">
        <f>'Saisie données file act.'!AO54</f>
        <v>0</v>
      </c>
      <c r="AO37" s="1290">
        <f>'Saisie données file act.'!AP54</f>
        <v>0</v>
      </c>
      <c r="AP37" s="1290">
        <f>'Saisie données file act.'!AQ54</f>
        <v>0</v>
      </c>
      <c r="AQ37" s="1290">
        <f>'Saisie données file act.'!AR54</f>
        <v>0</v>
      </c>
      <c r="AR37" s="1285">
        <f>'Saisie données file act.'!AS54</f>
        <v>0</v>
      </c>
      <c r="AS37" s="1753">
        <f>'Saisie données file act.'!AT54</f>
        <v>0</v>
      </c>
      <c r="AT37" s="1757">
        <f>'Saisie données file act.'!AU54</f>
        <v>0</v>
      </c>
    </row>
    <row r="38" spans="1:46" ht="12.75" customHeight="1" x14ac:dyDescent="0.2">
      <c r="A38" s="3089" t="s">
        <v>1964</v>
      </c>
      <c r="B38" s="3308"/>
      <c r="C38" s="1255">
        <f>'Saisie données file act.'!D55</f>
        <v>0</v>
      </c>
      <c r="D38" s="1284">
        <f>'Saisie données file act.'!E55</f>
        <v>0</v>
      </c>
      <c r="E38" s="1285">
        <f>'Saisie données file act.'!F55</f>
        <v>0</v>
      </c>
      <c r="F38" s="1285">
        <f>'Saisie données file act.'!G55</f>
        <v>0</v>
      </c>
      <c r="G38" s="1285">
        <f>'Saisie données file act.'!H55</f>
        <v>0</v>
      </c>
      <c r="H38" s="1285">
        <f>'Saisie données file act.'!I55</f>
        <v>0</v>
      </c>
      <c r="I38" s="1285">
        <f>'Saisie données file act.'!J55</f>
        <v>0</v>
      </c>
      <c r="J38" s="1285">
        <f>'Saisie données file act.'!K55</f>
        <v>0</v>
      </c>
      <c r="K38" s="1285">
        <f>'Saisie données file act.'!L55</f>
        <v>0</v>
      </c>
      <c r="L38" s="1285">
        <f>'Saisie données file act.'!M55</f>
        <v>0</v>
      </c>
      <c r="M38" s="1285">
        <f>'Saisie données file act.'!N55</f>
        <v>0</v>
      </c>
      <c r="N38" s="1285">
        <f>'Saisie données file act.'!O55</f>
        <v>0</v>
      </c>
      <c r="O38" s="1285">
        <f>'Saisie données file act.'!P55</f>
        <v>0</v>
      </c>
      <c r="P38" s="1285">
        <f>'Saisie données file act.'!Q55</f>
        <v>0</v>
      </c>
      <c r="Q38" s="1285">
        <f>'Saisie données file act.'!R55</f>
        <v>0</v>
      </c>
      <c r="R38" s="1753">
        <f>'Saisie données file act.'!S55</f>
        <v>0</v>
      </c>
      <c r="S38" s="1767">
        <f>'Saisie données file act.'!T55</f>
        <v>0</v>
      </c>
      <c r="T38" s="1738">
        <f>'Saisie données file act.'!U55</f>
        <v>0</v>
      </c>
      <c r="U38" s="1738">
        <f>'Saisie données file act.'!V55</f>
        <v>0</v>
      </c>
      <c r="V38" s="1738">
        <f>'Saisie données file act.'!W55</f>
        <v>0</v>
      </c>
      <c r="W38" s="1738">
        <f>'Saisie données file act.'!X55</f>
        <v>0</v>
      </c>
      <c r="X38" s="1768">
        <f>'Saisie données file act.'!Y55</f>
        <v>0</v>
      </c>
      <c r="Y38" s="1767">
        <f>'Saisie données file act.'!Z55</f>
        <v>0</v>
      </c>
      <c r="Z38" s="1738">
        <f>'Saisie données file act.'!AA55</f>
        <v>0</v>
      </c>
      <c r="AA38" s="1738">
        <f>'Saisie données file act.'!AB55</f>
        <v>0</v>
      </c>
      <c r="AB38" s="1738">
        <f>'Saisie données file act.'!AC55</f>
        <v>0</v>
      </c>
      <c r="AC38" s="1738">
        <f>'Saisie données file act.'!AD55</f>
        <v>0</v>
      </c>
      <c r="AD38" s="1738">
        <f>'Saisie données file act.'!AE55</f>
        <v>0</v>
      </c>
      <c r="AE38" s="1738">
        <f>'Saisie données file act.'!AF55</f>
        <v>0</v>
      </c>
      <c r="AF38" s="1738">
        <f>'Saisie données file act.'!AG55</f>
        <v>0</v>
      </c>
      <c r="AG38" s="1738">
        <f>'Saisie données file act.'!AH55</f>
        <v>0</v>
      </c>
      <c r="AH38" s="1738">
        <f>'Saisie données file act.'!AI55</f>
        <v>0</v>
      </c>
      <c r="AI38" s="1768">
        <f>'Saisie données file act.'!AJ55</f>
        <v>0</v>
      </c>
      <c r="AJ38" s="1776">
        <f>'Saisie données file act.'!AK55</f>
        <v>0</v>
      </c>
      <c r="AK38" s="1290">
        <f>'Saisie données file act.'!AL55</f>
        <v>0</v>
      </c>
      <c r="AL38" s="1290">
        <f>'Saisie données file act.'!AM55</f>
        <v>0</v>
      </c>
      <c r="AM38" s="1290">
        <f>'Saisie données file act.'!AN55</f>
        <v>0</v>
      </c>
      <c r="AN38" s="1290">
        <f>'Saisie données file act.'!AO55</f>
        <v>0</v>
      </c>
      <c r="AO38" s="1290">
        <f>'Saisie données file act.'!AP55</f>
        <v>0</v>
      </c>
      <c r="AP38" s="1290">
        <f>'Saisie données file act.'!AQ55</f>
        <v>0</v>
      </c>
      <c r="AQ38" s="1290">
        <f>'Saisie données file act.'!AR55</f>
        <v>0</v>
      </c>
      <c r="AR38" s="1285">
        <f>'Saisie données file act.'!AS55</f>
        <v>0</v>
      </c>
      <c r="AS38" s="1753">
        <f>'Saisie données file act.'!AT55</f>
        <v>0</v>
      </c>
      <c r="AT38" s="1757">
        <f>'Saisie données file act.'!AU55</f>
        <v>0</v>
      </c>
    </row>
    <row r="39" spans="1:46" ht="12.75" hidden="1" customHeight="1" x14ac:dyDescent="0.2">
      <c r="B39" s="3308"/>
      <c r="C39" s="1256">
        <f>'Saisie données file act.'!D56</f>
        <v>0</v>
      </c>
      <c r="D39" s="1284">
        <f>'Saisie données file act.'!E56</f>
        <v>0</v>
      </c>
      <c r="E39" s="1285">
        <f>'Saisie données file act.'!F56</f>
        <v>0</v>
      </c>
      <c r="F39" s="1285">
        <f>'Saisie données file act.'!G56</f>
        <v>0</v>
      </c>
      <c r="G39" s="1285">
        <f>'Saisie données file act.'!H56</f>
        <v>0</v>
      </c>
      <c r="H39" s="1285">
        <f>'Saisie données file act.'!I56</f>
        <v>0</v>
      </c>
      <c r="I39" s="1285">
        <f>'Saisie données file act.'!J56</f>
        <v>0</v>
      </c>
      <c r="J39" s="1285">
        <f>'Saisie données file act.'!K56</f>
        <v>0</v>
      </c>
      <c r="K39" s="1285">
        <f>'Saisie données file act.'!L56</f>
        <v>0</v>
      </c>
      <c r="L39" s="1285">
        <f>'Saisie données file act.'!M56</f>
        <v>0</v>
      </c>
      <c r="M39" s="1285">
        <f>'Saisie données file act.'!N56</f>
        <v>0</v>
      </c>
      <c r="N39" s="1285">
        <f>'Saisie données file act.'!O56</f>
        <v>0</v>
      </c>
      <c r="O39" s="1285">
        <f>'Saisie données file act.'!P56</f>
        <v>0</v>
      </c>
      <c r="P39" s="1285">
        <f>'Saisie données file act.'!Q56</f>
        <v>0</v>
      </c>
      <c r="Q39" s="1285">
        <f>'Saisie données file act.'!R56</f>
        <v>0</v>
      </c>
      <c r="R39" s="1753">
        <f>'Saisie données file act.'!S56</f>
        <v>0</v>
      </c>
      <c r="S39" s="1767">
        <f>'Saisie données file act.'!T56</f>
        <v>0</v>
      </c>
      <c r="T39" s="1738">
        <f>'Saisie données file act.'!U56</f>
        <v>0</v>
      </c>
      <c r="U39" s="1738">
        <f>'Saisie données file act.'!V56</f>
        <v>0</v>
      </c>
      <c r="V39" s="1738">
        <f>'Saisie données file act.'!W56</f>
        <v>0</v>
      </c>
      <c r="W39" s="1738">
        <f>'Saisie données file act.'!X56</f>
        <v>0</v>
      </c>
      <c r="X39" s="1768">
        <f>'Saisie données file act.'!Y56</f>
        <v>0</v>
      </c>
      <c r="Y39" s="1767">
        <f>'Saisie données file act.'!Z56</f>
        <v>0</v>
      </c>
      <c r="Z39" s="1738">
        <f>'Saisie données file act.'!AA56</f>
        <v>0</v>
      </c>
      <c r="AA39" s="1738">
        <f>'Saisie données file act.'!AB56</f>
        <v>0</v>
      </c>
      <c r="AB39" s="1738">
        <f>'Saisie données file act.'!AC56</f>
        <v>0</v>
      </c>
      <c r="AC39" s="1738">
        <f>'Saisie données file act.'!AD56</f>
        <v>0</v>
      </c>
      <c r="AD39" s="1738">
        <f>'Saisie données file act.'!AE56</f>
        <v>0</v>
      </c>
      <c r="AE39" s="1738">
        <f>'Saisie données file act.'!AF56</f>
        <v>0</v>
      </c>
      <c r="AF39" s="1738">
        <f>'Saisie données file act.'!AG56</f>
        <v>0</v>
      </c>
      <c r="AG39" s="1738">
        <f>'Saisie données file act.'!AH56</f>
        <v>0</v>
      </c>
      <c r="AH39" s="1738">
        <f>'Saisie données file act.'!AI56</f>
        <v>0</v>
      </c>
      <c r="AI39" s="1768">
        <f>'Saisie données file act.'!AJ56</f>
        <v>0</v>
      </c>
      <c r="AJ39" s="1776">
        <f>'Saisie données file act.'!AK56</f>
        <v>0</v>
      </c>
      <c r="AK39" s="1290">
        <f>'Saisie données file act.'!AL56</f>
        <v>0</v>
      </c>
      <c r="AL39" s="1290">
        <f>'Saisie données file act.'!AM56</f>
        <v>0</v>
      </c>
      <c r="AM39" s="1290">
        <f>'Saisie données file act.'!AN56</f>
        <v>0</v>
      </c>
      <c r="AN39" s="1290">
        <f>'Saisie données file act.'!AO56</f>
        <v>0</v>
      </c>
      <c r="AO39" s="1290">
        <f>'Saisie données file act.'!AP56</f>
        <v>0</v>
      </c>
      <c r="AP39" s="1290">
        <f>'Saisie données file act.'!AQ56</f>
        <v>0</v>
      </c>
      <c r="AQ39" s="1290">
        <f>'Saisie données file act.'!AR56</f>
        <v>0</v>
      </c>
      <c r="AR39" s="1285">
        <f>'Saisie données file act.'!AS56</f>
        <v>0</v>
      </c>
      <c r="AS39" s="1753">
        <f>'Saisie données file act.'!AT56</f>
        <v>0</v>
      </c>
      <c r="AT39" s="1757">
        <f>'Saisie données file act.'!AU56</f>
        <v>0</v>
      </c>
    </row>
    <row r="40" spans="1:46" ht="12.75" hidden="1" customHeight="1" x14ac:dyDescent="0.2">
      <c r="B40" s="3308"/>
      <c r="C40" s="1255">
        <f>'Saisie données file act.'!D57</f>
        <v>0</v>
      </c>
      <c r="D40" s="1284">
        <f>'Saisie données file act.'!E57</f>
        <v>0</v>
      </c>
      <c r="E40" s="1285">
        <f>'Saisie données file act.'!F57</f>
        <v>0</v>
      </c>
      <c r="F40" s="1285">
        <f>'Saisie données file act.'!G57</f>
        <v>0</v>
      </c>
      <c r="G40" s="1285">
        <f>'Saisie données file act.'!H57</f>
        <v>0</v>
      </c>
      <c r="H40" s="1285">
        <f>'Saisie données file act.'!I57</f>
        <v>0</v>
      </c>
      <c r="I40" s="1285">
        <f>'Saisie données file act.'!J57</f>
        <v>0</v>
      </c>
      <c r="J40" s="1285">
        <f>'Saisie données file act.'!K57</f>
        <v>0</v>
      </c>
      <c r="K40" s="1285">
        <f>'Saisie données file act.'!L57</f>
        <v>0</v>
      </c>
      <c r="L40" s="1285">
        <f>'Saisie données file act.'!M57</f>
        <v>0</v>
      </c>
      <c r="M40" s="1285">
        <f>'Saisie données file act.'!N57</f>
        <v>0</v>
      </c>
      <c r="N40" s="1285">
        <f>'Saisie données file act.'!O57</f>
        <v>0</v>
      </c>
      <c r="O40" s="1285">
        <f>'Saisie données file act.'!P57</f>
        <v>0</v>
      </c>
      <c r="P40" s="1285">
        <f>'Saisie données file act.'!Q57</f>
        <v>0</v>
      </c>
      <c r="Q40" s="1285">
        <f>'Saisie données file act.'!R57</f>
        <v>0</v>
      </c>
      <c r="R40" s="1753">
        <f>'Saisie données file act.'!S57</f>
        <v>0</v>
      </c>
      <c r="S40" s="1767">
        <f>'Saisie données file act.'!T57</f>
        <v>0</v>
      </c>
      <c r="T40" s="1738">
        <f>'Saisie données file act.'!U57</f>
        <v>0</v>
      </c>
      <c r="U40" s="1738">
        <f>'Saisie données file act.'!V57</f>
        <v>0</v>
      </c>
      <c r="V40" s="1738">
        <f>'Saisie données file act.'!W57</f>
        <v>0</v>
      </c>
      <c r="W40" s="1738">
        <f>'Saisie données file act.'!X57</f>
        <v>0</v>
      </c>
      <c r="X40" s="1768">
        <f>'Saisie données file act.'!Y57</f>
        <v>0</v>
      </c>
      <c r="Y40" s="1767">
        <f>'Saisie données file act.'!Z57</f>
        <v>0</v>
      </c>
      <c r="Z40" s="1738">
        <f>'Saisie données file act.'!AA57</f>
        <v>0</v>
      </c>
      <c r="AA40" s="1738">
        <f>'Saisie données file act.'!AB57</f>
        <v>0</v>
      </c>
      <c r="AB40" s="1738">
        <f>'Saisie données file act.'!AC57</f>
        <v>0</v>
      </c>
      <c r="AC40" s="1738">
        <f>'Saisie données file act.'!AD57</f>
        <v>0</v>
      </c>
      <c r="AD40" s="1738">
        <f>'Saisie données file act.'!AE57</f>
        <v>0</v>
      </c>
      <c r="AE40" s="1738">
        <f>'Saisie données file act.'!AF57</f>
        <v>0</v>
      </c>
      <c r="AF40" s="1738">
        <f>'Saisie données file act.'!AG57</f>
        <v>0</v>
      </c>
      <c r="AG40" s="1738">
        <f>'Saisie données file act.'!AH57</f>
        <v>0</v>
      </c>
      <c r="AH40" s="1738">
        <f>'Saisie données file act.'!AI57</f>
        <v>0</v>
      </c>
      <c r="AI40" s="1768">
        <f>'Saisie données file act.'!AJ57</f>
        <v>0</v>
      </c>
      <c r="AJ40" s="1776">
        <f>'Saisie données file act.'!AK57</f>
        <v>0</v>
      </c>
      <c r="AK40" s="1290">
        <f>'Saisie données file act.'!AL57</f>
        <v>0</v>
      </c>
      <c r="AL40" s="1290">
        <f>'Saisie données file act.'!AM57</f>
        <v>0</v>
      </c>
      <c r="AM40" s="1290">
        <f>'Saisie données file act.'!AN57</f>
        <v>0</v>
      </c>
      <c r="AN40" s="1290">
        <f>'Saisie données file act.'!AO57</f>
        <v>0</v>
      </c>
      <c r="AO40" s="1290">
        <f>'Saisie données file act.'!AP57</f>
        <v>0</v>
      </c>
      <c r="AP40" s="1290">
        <f>'Saisie données file act.'!AQ57</f>
        <v>0</v>
      </c>
      <c r="AQ40" s="1290">
        <f>'Saisie données file act.'!AR57</f>
        <v>0</v>
      </c>
      <c r="AR40" s="1285">
        <f>'Saisie données file act.'!AS57</f>
        <v>0</v>
      </c>
      <c r="AS40" s="1753">
        <f>'Saisie données file act.'!AT57</f>
        <v>0</v>
      </c>
      <c r="AT40" s="1757">
        <f>'Saisie données file act.'!AU57</f>
        <v>0</v>
      </c>
    </row>
    <row r="41" spans="1:46" ht="12.75" hidden="1" customHeight="1" x14ac:dyDescent="0.2">
      <c r="B41" s="3308"/>
      <c r="C41" s="1256">
        <f>'Saisie données file act.'!D58</f>
        <v>0</v>
      </c>
      <c r="D41" s="1284">
        <f>'Saisie données file act.'!E58</f>
        <v>0</v>
      </c>
      <c r="E41" s="1285">
        <f>'Saisie données file act.'!F58</f>
        <v>0</v>
      </c>
      <c r="F41" s="1285">
        <f>'Saisie données file act.'!G58</f>
        <v>0</v>
      </c>
      <c r="G41" s="1285">
        <f>'Saisie données file act.'!H58</f>
        <v>0</v>
      </c>
      <c r="H41" s="1285">
        <f>'Saisie données file act.'!I58</f>
        <v>0</v>
      </c>
      <c r="I41" s="1285">
        <f>'Saisie données file act.'!J58</f>
        <v>0</v>
      </c>
      <c r="J41" s="1285">
        <f>'Saisie données file act.'!K58</f>
        <v>0</v>
      </c>
      <c r="K41" s="1285">
        <f>'Saisie données file act.'!L58</f>
        <v>0</v>
      </c>
      <c r="L41" s="1285">
        <f>'Saisie données file act.'!M58</f>
        <v>0</v>
      </c>
      <c r="M41" s="1285">
        <f>'Saisie données file act.'!N58</f>
        <v>0</v>
      </c>
      <c r="N41" s="1285">
        <f>'Saisie données file act.'!O58</f>
        <v>0</v>
      </c>
      <c r="O41" s="1285">
        <f>'Saisie données file act.'!P58</f>
        <v>0</v>
      </c>
      <c r="P41" s="1285">
        <f>'Saisie données file act.'!Q58</f>
        <v>0</v>
      </c>
      <c r="Q41" s="1285">
        <f>'Saisie données file act.'!R58</f>
        <v>0</v>
      </c>
      <c r="R41" s="1753">
        <f>'Saisie données file act.'!S58</f>
        <v>0</v>
      </c>
      <c r="S41" s="1767">
        <f>'Saisie données file act.'!T58</f>
        <v>0</v>
      </c>
      <c r="T41" s="1738">
        <f>'Saisie données file act.'!U58</f>
        <v>0</v>
      </c>
      <c r="U41" s="1738">
        <f>'Saisie données file act.'!V58</f>
        <v>0</v>
      </c>
      <c r="V41" s="1738">
        <f>'Saisie données file act.'!W58</f>
        <v>0</v>
      </c>
      <c r="W41" s="1738">
        <f>'Saisie données file act.'!X58</f>
        <v>0</v>
      </c>
      <c r="X41" s="1768">
        <f>'Saisie données file act.'!Y58</f>
        <v>0</v>
      </c>
      <c r="Y41" s="1767">
        <f>'Saisie données file act.'!Z58</f>
        <v>0</v>
      </c>
      <c r="Z41" s="1738">
        <f>'Saisie données file act.'!AA58</f>
        <v>0</v>
      </c>
      <c r="AA41" s="1738">
        <f>'Saisie données file act.'!AB58</f>
        <v>0</v>
      </c>
      <c r="AB41" s="1738">
        <f>'Saisie données file act.'!AC58</f>
        <v>0</v>
      </c>
      <c r="AC41" s="1738">
        <f>'Saisie données file act.'!AD58</f>
        <v>0</v>
      </c>
      <c r="AD41" s="1738">
        <f>'Saisie données file act.'!AE58</f>
        <v>0</v>
      </c>
      <c r="AE41" s="1738">
        <f>'Saisie données file act.'!AF58</f>
        <v>0</v>
      </c>
      <c r="AF41" s="1738">
        <f>'Saisie données file act.'!AG58</f>
        <v>0</v>
      </c>
      <c r="AG41" s="1738">
        <f>'Saisie données file act.'!AH58</f>
        <v>0</v>
      </c>
      <c r="AH41" s="1738">
        <f>'Saisie données file act.'!AI58</f>
        <v>0</v>
      </c>
      <c r="AI41" s="1768">
        <f>'Saisie données file act.'!AJ58</f>
        <v>0</v>
      </c>
      <c r="AJ41" s="1776">
        <f>'Saisie données file act.'!AK58</f>
        <v>0</v>
      </c>
      <c r="AK41" s="1290">
        <f>'Saisie données file act.'!AL58</f>
        <v>0</v>
      </c>
      <c r="AL41" s="1290">
        <f>'Saisie données file act.'!AM58</f>
        <v>0</v>
      </c>
      <c r="AM41" s="1290">
        <f>'Saisie données file act.'!AN58</f>
        <v>0</v>
      </c>
      <c r="AN41" s="1290">
        <f>'Saisie données file act.'!AO58</f>
        <v>0</v>
      </c>
      <c r="AO41" s="1290">
        <f>'Saisie données file act.'!AP58</f>
        <v>0</v>
      </c>
      <c r="AP41" s="1290">
        <f>'Saisie données file act.'!AQ58</f>
        <v>0</v>
      </c>
      <c r="AQ41" s="1290">
        <f>'Saisie données file act.'!AR58</f>
        <v>0</v>
      </c>
      <c r="AR41" s="1285">
        <f>'Saisie données file act.'!AS58</f>
        <v>0</v>
      </c>
      <c r="AS41" s="1753">
        <f>'Saisie données file act.'!AT58</f>
        <v>0</v>
      </c>
      <c r="AT41" s="1757">
        <f>'Saisie données file act.'!AU58</f>
        <v>0</v>
      </c>
    </row>
    <row r="42" spans="1:46" ht="12.75" hidden="1" customHeight="1" x14ac:dyDescent="0.2">
      <c r="B42" s="3308"/>
      <c r="C42" s="1255">
        <f>'Saisie données file act.'!D59</f>
        <v>0</v>
      </c>
      <c r="D42" s="1284">
        <f>'Saisie données file act.'!E59</f>
        <v>0</v>
      </c>
      <c r="E42" s="1285">
        <f>'Saisie données file act.'!F59</f>
        <v>0</v>
      </c>
      <c r="F42" s="1285">
        <f>'Saisie données file act.'!G59</f>
        <v>0</v>
      </c>
      <c r="G42" s="1285">
        <f>'Saisie données file act.'!H59</f>
        <v>0</v>
      </c>
      <c r="H42" s="1285">
        <f>'Saisie données file act.'!I59</f>
        <v>0</v>
      </c>
      <c r="I42" s="1285">
        <f>'Saisie données file act.'!J59</f>
        <v>0</v>
      </c>
      <c r="J42" s="1285">
        <f>'Saisie données file act.'!K59</f>
        <v>0</v>
      </c>
      <c r="K42" s="1285">
        <f>'Saisie données file act.'!L59</f>
        <v>0</v>
      </c>
      <c r="L42" s="1285">
        <f>'Saisie données file act.'!M59</f>
        <v>0</v>
      </c>
      <c r="M42" s="1285">
        <f>'Saisie données file act.'!N59</f>
        <v>0</v>
      </c>
      <c r="N42" s="1285">
        <f>'Saisie données file act.'!O59</f>
        <v>0</v>
      </c>
      <c r="O42" s="1285">
        <f>'Saisie données file act.'!P59</f>
        <v>0</v>
      </c>
      <c r="P42" s="1285">
        <f>'Saisie données file act.'!Q59</f>
        <v>0</v>
      </c>
      <c r="Q42" s="1285">
        <f>'Saisie données file act.'!R59</f>
        <v>0</v>
      </c>
      <c r="R42" s="1753">
        <f>'Saisie données file act.'!S59</f>
        <v>0</v>
      </c>
      <c r="S42" s="1767">
        <f>'Saisie données file act.'!T59</f>
        <v>0</v>
      </c>
      <c r="T42" s="1738">
        <f>'Saisie données file act.'!U59</f>
        <v>0</v>
      </c>
      <c r="U42" s="1738">
        <f>'Saisie données file act.'!V59</f>
        <v>0</v>
      </c>
      <c r="V42" s="1738">
        <f>'Saisie données file act.'!W59</f>
        <v>0</v>
      </c>
      <c r="W42" s="1738">
        <f>'Saisie données file act.'!X59</f>
        <v>0</v>
      </c>
      <c r="X42" s="1768">
        <f>'Saisie données file act.'!Y59</f>
        <v>0</v>
      </c>
      <c r="Y42" s="1767">
        <f>'Saisie données file act.'!Z59</f>
        <v>0</v>
      </c>
      <c r="Z42" s="1738">
        <f>'Saisie données file act.'!AA59</f>
        <v>0</v>
      </c>
      <c r="AA42" s="1738">
        <f>'Saisie données file act.'!AB59</f>
        <v>0</v>
      </c>
      <c r="AB42" s="1738">
        <f>'Saisie données file act.'!AC59</f>
        <v>0</v>
      </c>
      <c r="AC42" s="1738">
        <f>'Saisie données file act.'!AD59</f>
        <v>0</v>
      </c>
      <c r="AD42" s="1738">
        <f>'Saisie données file act.'!AE59</f>
        <v>0</v>
      </c>
      <c r="AE42" s="1738">
        <f>'Saisie données file act.'!AF59</f>
        <v>0</v>
      </c>
      <c r="AF42" s="1738">
        <f>'Saisie données file act.'!AG59</f>
        <v>0</v>
      </c>
      <c r="AG42" s="1738">
        <f>'Saisie données file act.'!AH59</f>
        <v>0</v>
      </c>
      <c r="AH42" s="1738">
        <f>'Saisie données file act.'!AI59</f>
        <v>0</v>
      </c>
      <c r="AI42" s="1768">
        <f>'Saisie données file act.'!AJ59</f>
        <v>0</v>
      </c>
      <c r="AJ42" s="1776">
        <f>'Saisie données file act.'!AK59</f>
        <v>0</v>
      </c>
      <c r="AK42" s="1290">
        <f>'Saisie données file act.'!AL59</f>
        <v>0</v>
      </c>
      <c r="AL42" s="1290">
        <f>'Saisie données file act.'!AM59</f>
        <v>0</v>
      </c>
      <c r="AM42" s="1290">
        <f>'Saisie données file act.'!AN59</f>
        <v>0</v>
      </c>
      <c r="AN42" s="1290">
        <f>'Saisie données file act.'!AO59</f>
        <v>0</v>
      </c>
      <c r="AO42" s="1290">
        <f>'Saisie données file act.'!AP59</f>
        <v>0</v>
      </c>
      <c r="AP42" s="1290">
        <f>'Saisie données file act.'!AQ59</f>
        <v>0</v>
      </c>
      <c r="AQ42" s="1290">
        <f>'Saisie données file act.'!AR59</f>
        <v>0</v>
      </c>
      <c r="AR42" s="1285">
        <f>'Saisie données file act.'!AS59</f>
        <v>0</v>
      </c>
      <c r="AS42" s="1753">
        <f>'Saisie données file act.'!AT59</f>
        <v>0</v>
      </c>
      <c r="AT42" s="1757">
        <f>'Saisie données file act.'!AU59</f>
        <v>0</v>
      </c>
    </row>
    <row r="43" spans="1:46" ht="12.75" hidden="1" customHeight="1" x14ac:dyDescent="0.2">
      <c r="B43" s="3308"/>
      <c r="C43" s="1256">
        <f>'Saisie données file act.'!D60</f>
        <v>0</v>
      </c>
      <c r="D43" s="1284">
        <f>'Saisie données file act.'!E60</f>
        <v>0</v>
      </c>
      <c r="E43" s="1285">
        <f>'Saisie données file act.'!F60</f>
        <v>0</v>
      </c>
      <c r="F43" s="1285">
        <f>'Saisie données file act.'!G60</f>
        <v>0</v>
      </c>
      <c r="G43" s="1285">
        <f>'Saisie données file act.'!H60</f>
        <v>0</v>
      </c>
      <c r="H43" s="1285">
        <f>'Saisie données file act.'!I60</f>
        <v>0</v>
      </c>
      <c r="I43" s="1285">
        <f>'Saisie données file act.'!J60</f>
        <v>0</v>
      </c>
      <c r="J43" s="1285">
        <f>'Saisie données file act.'!K60</f>
        <v>0</v>
      </c>
      <c r="K43" s="1285">
        <f>'Saisie données file act.'!L60</f>
        <v>0</v>
      </c>
      <c r="L43" s="1285">
        <f>'Saisie données file act.'!M60</f>
        <v>0</v>
      </c>
      <c r="M43" s="1285">
        <f>'Saisie données file act.'!N60</f>
        <v>0</v>
      </c>
      <c r="N43" s="1285">
        <f>'Saisie données file act.'!O60</f>
        <v>0</v>
      </c>
      <c r="O43" s="1285">
        <f>'Saisie données file act.'!P60</f>
        <v>0</v>
      </c>
      <c r="P43" s="1285">
        <f>'Saisie données file act.'!Q60</f>
        <v>0</v>
      </c>
      <c r="Q43" s="1285">
        <f>'Saisie données file act.'!R60</f>
        <v>0</v>
      </c>
      <c r="R43" s="1753">
        <f>'Saisie données file act.'!S60</f>
        <v>0</v>
      </c>
      <c r="S43" s="1767">
        <f>'Saisie données file act.'!T60</f>
        <v>0</v>
      </c>
      <c r="T43" s="1738">
        <f>'Saisie données file act.'!U60</f>
        <v>0</v>
      </c>
      <c r="U43" s="1738">
        <f>'Saisie données file act.'!V60</f>
        <v>0</v>
      </c>
      <c r="V43" s="1738">
        <f>'Saisie données file act.'!W60</f>
        <v>0</v>
      </c>
      <c r="W43" s="1738">
        <f>'Saisie données file act.'!X60</f>
        <v>0</v>
      </c>
      <c r="X43" s="1768">
        <f>'Saisie données file act.'!Y60</f>
        <v>0</v>
      </c>
      <c r="Y43" s="1767">
        <f>'Saisie données file act.'!Z60</f>
        <v>0</v>
      </c>
      <c r="Z43" s="1738">
        <f>'Saisie données file act.'!AA60</f>
        <v>0</v>
      </c>
      <c r="AA43" s="1738">
        <f>'Saisie données file act.'!AB60</f>
        <v>0</v>
      </c>
      <c r="AB43" s="1738">
        <f>'Saisie données file act.'!AC60</f>
        <v>0</v>
      </c>
      <c r="AC43" s="1738">
        <f>'Saisie données file act.'!AD60</f>
        <v>0</v>
      </c>
      <c r="AD43" s="1738">
        <f>'Saisie données file act.'!AE60</f>
        <v>0</v>
      </c>
      <c r="AE43" s="1738">
        <f>'Saisie données file act.'!AF60</f>
        <v>0</v>
      </c>
      <c r="AF43" s="1738">
        <f>'Saisie données file act.'!AG60</f>
        <v>0</v>
      </c>
      <c r="AG43" s="1738">
        <f>'Saisie données file act.'!AH60</f>
        <v>0</v>
      </c>
      <c r="AH43" s="1738">
        <f>'Saisie données file act.'!AI60</f>
        <v>0</v>
      </c>
      <c r="AI43" s="1768">
        <f>'Saisie données file act.'!AJ60</f>
        <v>0</v>
      </c>
      <c r="AJ43" s="1776">
        <f>'Saisie données file act.'!AK60</f>
        <v>0</v>
      </c>
      <c r="AK43" s="1290">
        <f>'Saisie données file act.'!AL60</f>
        <v>0</v>
      </c>
      <c r="AL43" s="1290">
        <f>'Saisie données file act.'!AM60</f>
        <v>0</v>
      </c>
      <c r="AM43" s="1290">
        <f>'Saisie données file act.'!AN60</f>
        <v>0</v>
      </c>
      <c r="AN43" s="1290">
        <f>'Saisie données file act.'!AO60</f>
        <v>0</v>
      </c>
      <c r="AO43" s="1290">
        <f>'Saisie données file act.'!AP60</f>
        <v>0</v>
      </c>
      <c r="AP43" s="1290">
        <f>'Saisie données file act.'!AQ60</f>
        <v>0</v>
      </c>
      <c r="AQ43" s="1290">
        <f>'Saisie données file act.'!AR60</f>
        <v>0</v>
      </c>
      <c r="AR43" s="1285">
        <f>'Saisie données file act.'!AS60</f>
        <v>0</v>
      </c>
      <c r="AS43" s="1753">
        <f>'Saisie données file act.'!AT60</f>
        <v>0</v>
      </c>
      <c r="AT43" s="1757">
        <f>'Saisie données file act.'!AU60</f>
        <v>0</v>
      </c>
    </row>
    <row r="44" spans="1:46" ht="12.75" hidden="1" customHeight="1" x14ac:dyDescent="0.2">
      <c r="B44" s="3308"/>
      <c r="C44" s="1256">
        <f>'Saisie données file act.'!D61</f>
        <v>0</v>
      </c>
      <c r="D44" s="1284">
        <f>'Saisie données file act.'!E61</f>
        <v>0</v>
      </c>
      <c r="E44" s="1285">
        <f>'Saisie données file act.'!F61</f>
        <v>0</v>
      </c>
      <c r="F44" s="1285">
        <f>'Saisie données file act.'!G61</f>
        <v>0</v>
      </c>
      <c r="G44" s="1285">
        <f>'Saisie données file act.'!H61</f>
        <v>0</v>
      </c>
      <c r="H44" s="1285">
        <f>'Saisie données file act.'!I61</f>
        <v>0</v>
      </c>
      <c r="I44" s="1285">
        <f>'Saisie données file act.'!J61</f>
        <v>0</v>
      </c>
      <c r="J44" s="1285">
        <f>'Saisie données file act.'!K61</f>
        <v>0</v>
      </c>
      <c r="K44" s="1285">
        <f>'Saisie données file act.'!L61</f>
        <v>0</v>
      </c>
      <c r="L44" s="1285">
        <f>'Saisie données file act.'!M61</f>
        <v>0</v>
      </c>
      <c r="M44" s="1285">
        <f>'Saisie données file act.'!N61</f>
        <v>0</v>
      </c>
      <c r="N44" s="1285">
        <f>'Saisie données file act.'!O61</f>
        <v>0</v>
      </c>
      <c r="O44" s="1285">
        <f>'Saisie données file act.'!P61</f>
        <v>0</v>
      </c>
      <c r="P44" s="1285">
        <f>'Saisie données file act.'!Q61</f>
        <v>0</v>
      </c>
      <c r="Q44" s="1285">
        <f>'Saisie données file act.'!R61</f>
        <v>0</v>
      </c>
      <c r="R44" s="1753">
        <f>'Saisie données file act.'!S61</f>
        <v>0</v>
      </c>
      <c r="S44" s="1767">
        <f>'Saisie données file act.'!T61</f>
        <v>0</v>
      </c>
      <c r="T44" s="1738">
        <f>'Saisie données file act.'!U61</f>
        <v>0</v>
      </c>
      <c r="U44" s="1738">
        <f>'Saisie données file act.'!V61</f>
        <v>0</v>
      </c>
      <c r="V44" s="1738">
        <f>'Saisie données file act.'!W61</f>
        <v>0</v>
      </c>
      <c r="W44" s="1738">
        <f>'Saisie données file act.'!X61</f>
        <v>0</v>
      </c>
      <c r="X44" s="1768">
        <f>'Saisie données file act.'!Y61</f>
        <v>0</v>
      </c>
      <c r="Y44" s="1767">
        <f>'Saisie données file act.'!Z61</f>
        <v>0</v>
      </c>
      <c r="Z44" s="1738">
        <f>'Saisie données file act.'!AA61</f>
        <v>0</v>
      </c>
      <c r="AA44" s="1738">
        <f>'Saisie données file act.'!AB61</f>
        <v>0</v>
      </c>
      <c r="AB44" s="1738">
        <f>'Saisie données file act.'!AC61</f>
        <v>0</v>
      </c>
      <c r="AC44" s="1738">
        <f>'Saisie données file act.'!AD61</f>
        <v>0</v>
      </c>
      <c r="AD44" s="1738">
        <f>'Saisie données file act.'!AE61</f>
        <v>0</v>
      </c>
      <c r="AE44" s="1738">
        <f>'Saisie données file act.'!AF61</f>
        <v>0</v>
      </c>
      <c r="AF44" s="1738">
        <f>'Saisie données file act.'!AG61</f>
        <v>0</v>
      </c>
      <c r="AG44" s="1738">
        <f>'Saisie données file act.'!AH61</f>
        <v>0</v>
      </c>
      <c r="AH44" s="1738">
        <f>'Saisie données file act.'!AI61</f>
        <v>0</v>
      </c>
      <c r="AI44" s="1768">
        <f>'Saisie données file act.'!AJ61</f>
        <v>0</v>
      </c>
      <c r="AJ44" s="1776">
        <f>'Saisie données file act.'!AK61</f>
        <v>0</v>
      </c>
      <c r="AK44" s="1290">
        <f>'Saisie données file act.'!AL61</f>
        <v>0</v>
      </c>
      <c r="AL44" s="1290">
        <f>'Saisie données file act.'!AM61</f>
        <v>0</v>
      </c>
      <c r="AM44" s="1290">
        <f>'Saisie données file act.'!AN61</f>
        <v>0</v>
      </c>
      <c r="AN44" s="1290">
        <f>'Saisie données file act.'!AO61</f>
        <v>0</v>
      </c>
      <c r="AO44" s="1290">
        <f>'Saisie données file act.'!AP61</f>
        <v>0</v>
      </c>
      <c r="AP44" s="1290">
        <f>'Saisie données file act.'!AQ61</f>
        <v>0</v>
      </c>
      <c r="AQ44" s="1290">
        <f>'Saisie données file act.'!AR61</f>
        <v>0</v>
      </c>
      <c r="AR44" s="1285">
        <f>'Saisie données file act.'!AS61</f>
        <v>0</v>
      </c>
      <c r="AS44" s="1753">
        <f>'Saisie données file act.'!AT61</f>
        <v>0</v>
      </c>
      <c r="AT44" s="1757">
        <f>'Saisie données file act.'!AU61</f>
        <v>0</v>
      </c>
    </row>
    <row r="45" spans="1:46" ht="12.75" hidden="1" customHeight="1" x14ac:dyDescent="0.2">
      <c r="B45" s="3308"/>
      <c r="C45" s="1255">
        <f>'Saisie données file act.'!D62</f>
        <v>0</v>
      </c>
      <c r="D45" s="1284">
        <f>'Saisie données file act.'!E62</f>
        <v>0</v>
      </c>
      <c r="E45" s="1285">
        <f>'Saisie données file act.'!F62</f>
        <v>0</v>
      </c>
      <c r="F45" s="1285">
        <f>'Saisie données file act.'!G62</f>
        <v>0</v>
      </c>
      <c r="G45" s="1285">
        <f>'Saisie données file act.'!H62</f>
        <v>0</v>
      </c>
      <c r="H45" s="1285">
        <f>'Saisie données file act.'!I62</f>
        <v>0</v>
      </c>
      <c r="I45" s="1285">
        <f>'Saisie données file act.'!J62</f>
        <v>0</v>
      </c>
      <c r="J45" s="1285">
        <f>'Saisie données file act.'!K62</f>
        <v>0</v>
      </c>
      <c r="K45" s="1285">
        <f>'Saisie données file act.'!L62</f>
        <v>0</v>
      </c>
      <c r="L45" s="1285">
        <f>'Saisie données file act.'!M62</f>
        <v>0</v>
      </c>
      <c r="M45" s="1285">
        <f>'Saisie données file act.'!N62</f>
        <v>0</v>
      </c>
      <c r="N45" s="1285">
        <f>'Saisie données file act.'!O62</f>
        <v>0</v>
      </c>
      <c r="O45" s="1285">
        <f>'Saisie données file act.'!P62</f>
        <v>0</v>
      </c>
      <c r="P45" s="1285">
        <f>'Saisie données file act.'!Q62</f>
        <v>0</v>
      </c>
      <c r="Q45" s="1285">
        <f>'Saisie données file act.'!R62</f>
        <v>0</v>
      </c>
      <c r="R45" s="1753">
        <f>'Saisie données file act.'!S62</f>
        <v>0</v>
      </c>
      <c r="S45" s="1767">
        <f>'Saisie données file act.'!T62</f>
        <v>0</v>
      </c>
      <c r="T45" s="1738">
        <f>'Saisie données file act.'!U62</f>
        <v>0</v>
      </c>
      <c r="U45" s="1738">
        <f>'Saisie données file act.'!V62</f>
        <v>0</v>
      </c>
      <c r="V45" s="1738">
        <f>'Saisie données file act.'!W62</f>
        <v>0</v>
      </c>
      <c r="W45" s="1738">
        <f>'Saisie données file act.'!X62</f>
        <v>0</v>
      </c>
      <c r="X45" s="1768">
        <f>'Saisie données file act.'!Y62</f>
        <v>0</v>
      </c>
      <c r="Y45" s="1767">
        <f>'Saisie données file act.'!Z62</f>
        <v>0</v>
      </c>
      <c r="Z45" s="1738">
        <f>'Saisie données file act.'!AA62</f>
        <v>0</v>
      </c>
      <c r="AA45" s="1738">
        <f>'Saisie données file act.'!AB62</f>
        <v>0</v>
      </c>
      <c r="AB45" s="1738">
        <f>'Saisie données file act.'!AC62</f>
        <v>0</v>
      </c>
      <c r="AC45" s="1738">
        <f>'Saisie données file act.'!AD62</f>
        <v>0</v>
      </c>
      <c r="AD45" s="1738">
        <f>'Saisie données file act.'!AE62</f>
        <v>0</v>
      </c>
      <c r="AE45" s="1738">
        <f>'Saisie données file act.'!AF62</f>
        <v>0</v>
      </c>
      <c r="AF45" s="1738">
        <f>'Saisie données file act.'!AG62</f>
        <v>0</v>
      </c>
      <c r="AG45" s="1738">
        <f>'Saisie données file act.'!AH62</f>
        <v>0</v>
      </c>
      <c r="AH45" s="1738">
        <f>'Saisie données file act.'!AI62</f>
        <v>0</v>
      </c>
      <c r="AI45" s="1768">
        <f>'Saisie données file act.'!AJ62</f>
        <v>0</v>
      </c>
      <c r="AJ45" s="1776">
        <f>'Saisie données file act.'!AK62</f>
        <v>0</v>
      </c>
      <c r="AK45" s="1290">
        <f>'Saisie données file act.'!AL62</f>
        <v>0</v>
      </c>
      <c r="AL45" s="1290">
        <f>'Saisie données file act.'!AM62</f>
        <v>0</v>
      </c>
      <c r="AM45" s="1290">
        <f>'Saisie données file act.'!AN62</f>
        <v>0</v>
      </c>
      <c r="AN45" s="1290">
        <f>'Saisie données file act.'!AO62</f>
        <v>0</v>
      </c>
      <c r="AO45" s="1290">
        <f>'Saisie données file act.'!AP62</f>
        <v>0</v>
      </c>
      <c r="AP45" s="1290">
        <f>'Saisie données file act.'!AQ62</f>
        <v>0</v>
      </c>
      <c r="AQ45" s="1290">
        <f>'Saisie données file act.'!AR62</f>
        <v>0</v>
      </c>
      <c r="AR45" s="1285">
        <f>'Saisie données file act.'!AS62</f>
        <v>0</v>
      </c>
      <c r="AS45" s="1753">
        <f>'Saisie données file act.'!AT62</f>
        <v>0</v>
      </c>
      <c r="AT45" s="1757">
        <f>'Saisie données file act.'!AU62</f>
        <v>0</v>
      </c>
    </row>
    <row r="46" spans="1:46" ht="12.75" hidden="1" customHeight="1" x14ac:dyDescent="0.2">
      <c r="B46" s="3308"/>
      <c r="C46" s="1256">
        <f>'Saisie données file act.'!D63</f>
        <v>0</v>
      </c>
      <c r="D46" s="1284">
        <f>'Saisie données file act.'!E63</f>
        <v>0</v>
      </c>
      <c r="E46" s="1285">
        <f>'Saisie données file act.'!F63</f>
        <v>0</v>
      </c>
      <c r="F46" s="1285">
        <f>'Saisie données file act.'!G63</f>
        <v>0</v>
      </c>
      <c r="G46" s="1285">
        <f>'Saisie données file act.'!H63</f>
        <v>0</v>
      </c>
      <c r="H46" s="1285">
        <f>'Saisie données file act.'!I63</f>
        <v>0</v>
      </c>
      <c r="I46" s="1285">
        <f>'Saisie données file act.'!J63</f>
        <v>0</v>
      </c>
      <c r="J46" s="1285">
        <f>'Saisie données file act.'!K63</f>
        <v>0</v>
      </c>
      <c r="K46" s="1285">
        <f>'Saisie données file act.'!L63</f>
        <v>0</v>
      </c>
      <c r="L46" s="1285">
        <f>'Saisie données file act.'!M63</f>
        <v>0</v>
      </c>
      <c r="M46" s="1285">
        <f>'Saisie données file act.'!N63</f>
        <v>0</v>
      </c>
      <c r="N46" s="1285">
        <f>'Saisie données file act.'!O63</f>
        <v>0</v>
      </c>
      <c r="O46" s="1285">
        <f>'Saisie données file act.'!P63</f>
        <v>0</v>
      </c>
      <c r="P46" s="1285">
        <f>'Saisie données file act.'!Q63</f>
        <v>0</v>
      </c>
      <c r="Q46" s="1285">
        <f>'Saisie données file act.'!R63</f>
        <v>0</v>
      </c>
      <c r="R46" s="1753">
        <f>'Saisie données file act.'!S63</f>
        <v>0</v>
      </c>
      <c r="S46" s="1767">
        <f>'Saisie données file act.'!T63</f>
        <v>0</v>
      </c>
      <c r="T46" s="1738">
        <f>'Saisie données file act.'!U63</f>
        <v>0</v>
      </c>
      <c r="U46" s="1738">
        <f>'Saisie données file act.'!V63</f>
        <v>0</v>
      </c>
      <c r="V46" s="1738">
        <f>'Saisie données file act.'!W63</f>
        <v>0</v>
      </c>
      <c r="W46" s="1738">
        <f>'Saisie données file act.'!X63</f>
        <v>0</v>
      </c>
      <c r="X46" s="1768">
        <f>'Saisie données file act.'!Y63</f>
        <v>0</v>
      </c>
      <c r="Y46" s="1767">
        <f>'Saisie données file act.'!Z63</f>
        <v>0</v>
      </c>
      <c r="Z46" s="1738">
        <f>'Saisie données file act.'!AA63</f>
        <v>0</v>
      </c>
      <c r="AA46" s="1738">
        <f>'Saisie données file act.'!AB63</f>
        <v>0</v>
      </c>
      <c r="AB46" s="1738">
        <f>'Saisie données file act.'!AC63</f>
        <v>0</v>
      </c>
      <c r="AC46" s="1738">
        <f>'Saisie données file act.'!AD63</f>
        <v>0</v>
      </c>
      <c r="AD46" s="1738">
        <f>'Saisie données file act.'!AE63</f>
        <v>0</v>
      </c>
      <c r="AE46" s="1738">
        <f>'Saisie données file act.'!AF63</f>
        <v>0</v>
      </c>
      <c r="AF46" s="1738">
        <f>'Saisie données file act.'!AG63</f>
        <v>0</v>
      </c>
      <c r="AG46" s="1738">
        <f>'Saisie données file act.'!AH63</f>
        <v>0</v>
      </c>
      <c r="AH46" s="1738">
        <f>'Saisie données file act.'!AI63</f>
        <v>0</v>
      </c>
      <c r="AI46" s="1768">
        <f>'Saisie données file act.'!AJ63</f>
        <v>0</v>
      </c>
      <c r="AJ46" s="1776">
        <f>'Saisie données file act.'!AK63</f>
        <v>0</v>
      </c>
      <c r="AK46" s="1290">
        <f>'Saisie données file act.'!AL63</f>
        <v>0</v>
      </c>
      <c r="AL46" s="1290">
        <f>'Saisie données file act.'!AM63</f>
        <v>0</v>
      </c>
      <c r="AM46" s="1290">
        <f>'Saisie données file act.'!AN63</f>
        <v>0</v>
      </c>
      <c r="AN46" s="1290">
        <f>'Saisie données file act.'!AO63</f>
        <v>0</v>
      </c>
      <c r="AO46" s="1290">
        <f>'Saisie données file act.'!AP63</f>
        <v>0</v>
      </c>
      <c r="AP46" s="1290">
        <f>'Saisie données file act.'!AQ63</f>
        <v>0</v>
      </c>
      <c r="AQ46" s="1290">
        <f>'Saisie données file act.'!AR63</f>
        <v>0</v>
      </c>
      <c r="AR46" s="1285">
        <f>'Saisie données file act.'!AS63</f>
        <v>0</v>
      </c>
      <c r="AS46" s="1753">
        <f>'Saisie données file act.'!AT63</f>
        <v>0</v>
      </c>
      <c r="AT46" s="1757">
        <f>'Saisie données file act.'!AU63</f>
        <v>0</v>
      </c>
    </row>
    <row r="47" spans="1:46" ht="12.75" hidden="1" customHeight="1" x14ac:dyDescent="0.2">
      <c r="B47" s="3308"/>
      <c r="C47" s="1255">
        <f>'Saisie données file act.'!D64</f>
        <v>0</v>
      </c>
      <c r="D47" s="1284">
        <f>'Saisie données file act.'!E64</f>
        <v>0</v>
      </c>
      <c r="E47" s="1285">
        <f>'Saisie données file act.'!F64</f>
        <v>0</v>
      </c>
      <c r="F47" s="1285">
        <f>'Saisie données file act.'!G64</f>
        <v>0</v>
      </c>
      <c r="G47" s="1285">
        <f>'Saisie données file act.'!H64</f>
        <v>0</v>
      </c>
      <c r="H47" s="1285">
        <f>'Saisie données file act.'!I64</f>
        <v>0</v>
      </c>
      <c r="I47" s="1285">
        <f>'Saisie données file act.'!J64</f>
        <v>0</v>
      </c>
      <c r="J47" s="1285">
        <f>'Saisie données file act.'!K64</f>
        <v>0</v>
      </c>
      <c r="K47" s="1285">
        <f>'Saisie données file act.'!L64</f>
        <v>0</v>
      </c>
      <c r="L47" s="1285">
        <f>'Saisie données file act.'!M64</f>
        <v>0</v>
      </c>
      <c r="M47" s="1285">
        <f>'Saisie données file act.'!N64</f>
        <v>0</v>
      </c>
      <c r="N47" s="1285">
        <f>'Saisie données file act.'!O64</f>
        <v>0</v>
      </c>
      <c r="O47" s="1285">
        <f>'Saisie données file act.'!P64</f>
        <v>0</v>
      </c>
      <c r="P47" s="1285">
        <f>'Saisie données file act.'!Q64</f>
        <v>0</v>
      </c>
      <c r="Q47" s="1285">
        <f>'Saisie données file act.'!R64</f>
        <v>0</v>
      </c>
      <c r="R47" s="1753">
        <f>'Saisie données file act.'!S64</f>
        <v>0</v>
      </c>
      <c r="S47" s="1767">
        <f>'Saisie données file act.'!T64</f>
        <v>0</v>
      </c>
      <c r="T47" s="1738">
        <f>'Saisie données file act.'!U64</f>
        <v>0</v>
      </c>
      <c r="U47" s="1738">
        <f>'Saisie données file act.'!V64</f>
        <v>0</v>
      </c>
      <c r="V47" s="1738">
        <f>'Saisie données file act.'!W64</f>
        <v>0</v>
      </c>
      <c r="W47" s="1738">
        <f>'Saisie données file act.'!X64</f>
        <v>0</v>
      </c>
      <c r="X47" s="1768">
        <f>'Saisie données file act.'!Y64</f>
        <v>0</v>
      </c>
      <c r="Y47" s="1767">
        <f>'Saisie données file act.'!Z64</f>
        <v>0</v>
      </c>
      <c r="Z47" s="1738">
        <f>'Saisie données file act.'!AA64</f>
        <v>0</v>
      </c>
      <c r="AA47" s="1738">
        <f>'Saisie données file act.'!AB64</f>
        <v>0</v>
      </c>
      <c r="AB47" s="1738">
        <f>'Saisie données file act.'!AC64</f>
        <v>0</v>
      </c>
      <c r="AC47" s="1738">
        <f>'Saisie données file act.'!AD64</f>
        <v>0</v>
      </c>
      <c r="AD47" s="1738">
        <f>'Saisie données file act.'!AE64</f>
        <v>0</v>
      </c>
      <c r="AE47" s="1738">
        <f>'Saisie données file act.'!AF64</f>
        <v>0</v>
      </c>
      <c r="AF47" s="1738">
        <f>'Saisie données file act.'!AG64</f>
        <v>0</v>
      </c>
      <c r="AG47" s="1738">
        <f>'Saisie données file act.'!AH64</f>
        <v>0</v>
      </c>
      <c r="AH47" s="1738">
        <f>'Saisie données file act.'!AI64</f>
        <v>0</v>
      </c>
      <c r="AI47" s="1768">
        <f>'Saisie données file act.'!AJ64</f>
        <v>0</v>
      </c>
      <c r="AJ47" s="1776">
        <f>'Saisie données file act.'!AK64</f>
        <v>0</v>
      </c>
      <c r="AK47" s="1290">
        <f>'Saisie données file act.'!AL64</f>
        <v>0</v>
      </c>
      <c r="AL47" s="1290">
        <f>'Saisie données file act.'!AM64</f>
        <v>0</v>
      </c>
      <c r="AM47" s="1290">
        <f>'Saisie données file act.'!AN64</f>
        <v>0</v>
      </c>
      <c r="AN47" s="1290">
        <f>'Saisie données file act.'!AO64</f>
        <v>0</v>
      </c>
      <c r="AO47" s="1290">
        <f>'Saisie données file act.'!AP64</f>
        <v>0</v>
      </c>
      <c r="AP47" s="1290">
        <f>'Saisie données file act.'!AQ64</f>
        <v>0</v>
      </c>
      <c r="AQ47" s="1290">
        <f>'Saisie données file act.'!AR64</f>
        <v>0</v>
      </c>
      <c r="AR47" s="1285">
        <f>'Saisie données file act.'!AS64</f>
        <v>0</v>
      </c>
      <c r="AS47" s="1753">
        <f>'Saisie données file act.'!AT64</f>
        <v>0</v>
      </c>
      <c r="AT47" s="1757">
        <f>'Saisie données file act.'!AU64</f>
        <v>0</v>
      </c>
    </row>
    <row r="48" spans="1:46" ht="12.75" hidden="1" customHeight="1" x14ac:dyDescent="0.2">
      <c r="B48" s="3308"/>
      <c r="C48" s="1256">
        <f>'Saisie données file act.'!D65</f>
        <v>0</v>
      </c>
      <c r="D48" s="1284">
        <f>'Saisie données file act.'!E65</f>
        <v>0</v>
      </c>
      <c r="E48" s="1285">
        <f>'Saisie données file act.'!F65</f>
        <v>0</v>
      </c>
      <c r="F48" s="1285">
        <f>'Saisie données file act.'!G65</f>
        <v>0</v>
      </c>
      <c r="G48" s="1285">
        <f>'Saisie données file act.'!H65</f>
        <v>0</v>
      </c>
      <c r="H48" s="1285">
        <f>'Saisie données file act.'!I65</f>
        <v>0</v>
      </c>
      <c r="I48" s="1285">
        <f>'Saisie données file act.'!J65</f>
        <v>0</v>
      </c>
      <c r="J48" s="1285">
        <f>'Saisie données file act.'!K65</f>
        <v>0</v>
      </c>
      <c r="K48" s="1285">
        <f>'Saisie données file act.'!L65</f>
        <v>0</v>
      </c>
      <c r="L48" s="1285">
        <f>'Saisie données file act.'!M65</f>
        <v>0</v>
      </c>
      <c r="M48" s="1285">
        <f>'Saisie données file act.'!N65</f>
        <v>0</v>
      </c>
      <c r="N48" s="1285">
        <f>'Saisie données file act.'!O65</f>
        <v>0</v>
      </c>
      <c r="O48" s="1285">
        <f>'Saisie données file act.'!P65</f>
        <v>0</v>
      </c>
      <c r="P48" s="1285">
        <f>'Saisie données file act.'!Q65</f>
        <v>0</v>
      </c>
      <c r="Q48" s="1285">
        <f>'Saisie données file act.'!R65</f>
        <v>0</v>
      </c>
      <c r="R48" s="1753">
        <f>'Saisie données file act.'!S65</f>
        <v>0</v>
      </c>
      <c r="S48" s="1767">
        <f>'Saisie données file act.'!T65</f>
        <v>0</v>
      </c>
      <c r="T48" s="1738">
        <f>'Saisie données file act.'!U65</f>
        <v>0</v>
      </c>
      <c r="U48" s="1738">
        <f>'Saisie données file act.'!V65</f>
        <v>0</v>
      </c>
      <c r="V48" s="1738">
        <f>'Saisie données file act.'!W65</f>
        <v>0</v>
      </c>
      <c r="W48" s="1738">
        <f>'Saisie données file act.'!X65</f>
        <v>0</v>
      </c>
      <c r="X48" s="1768">
        <f>'Saisie données file act.'!Y65</f>
        <v>0</v>
      </c>
      <c r="Y48" s="1767">
        <f>'Saisie données file act.'!Z65</f>
        <v>0</v>
      </c>
      <c r="Z48" s="1738">
        <f>'Saisie données file act.'!AA65</f>
        <v>0</v>
      </c>
      <c r="AA48" s="1738">
        <f>'Saisie données file act.'!AB65</f>
        <v>0</v>
      </c>
      <c r="AB48" s="1738">
        <f>'Saisie données file act.'!AC65</f>
        <v>0</v>
      </c>
      <c r="AC48" s="1738">
        <f>'Saisie données file act.'!AD65</f>
        <v>0</v>
      </c>
      <c r="AD48" s="1738">
        <f>'Saisie données file act.'!AE65</f>
        <v>0</v>
      </c>
      <c r="AE48" s="1738">
        <f>'Saisie données file act.'!AF65</f>
        <v>0</v>
      </c>
      <c r="AF48" s="1738">
        <f>'Saisie données file act.'!AG65</f>
        <v>0</v>
      </c>
      <c r="AG48" s="1738">
        <f>'Saisie données file act.'!AH65</f>
        <v>0</v>
      </c>
      <c r="AH48" s="1738">
        <f>'Saisie données file act.'!AI65</f>
        <v>0</v>
      </c>
      <c r="AI48" s="1768">
        <f>'Saisie données file act.'!AJ65</f>
        <v>0</v>
      </c>
      <c r="AJ48" s="1776">
        <f>'Saisie données file act.'!AK65</f>
        <v>0</v>
      </c>
      <c r="AK48" s="1290">
        <f>'Saisie données file act.'!AL65</f>
        <v>0</v>
      </c>
      <c r="AL48" s="1290">
        <f>'Saisie données file act.'!AM65</f>
        <v>0</v>
      </c>
      <c r="AM48" s="1290">
        <f>'Saisie données file act.'!AN65</f>
        <v>0</v>
      </c>
      <c r="AN48" s="1290">
        <f>'Saisie données file act.'!AO65</f>
        <v>0</v>
      </c>
      <c r="AO48" s="1290">
        <f>'Saisie données file act.'!AP65</f>
        <v>0</v>
      </c>
      <c r="AP48" s="1290">
        <f>'Saisie données file act.'!AQ65</f>
        <v>0</v>
      </c>
      <c r="AQ48" s="1290">
        <f>'Saisie données file act.'!AR65</f>
        <v>0</v>
      </c>
      <c r="AR48" s="1285">
        <f>'Saisie données file act.'!AS65</f>
        <v>0</v>
      </c>
      <c r="AS48" s="1753">
        <f>'Saisie données file act.'!AT65</f>
        <v>0</v>
      </c>
      <c r="AT48" s="1757">
        <f>'Saisie données file act.'!AU65</f>
        <v>0</v>
      </c>
    </row>
    <row r="49" spans="2:46" ht="12.75" hidden="1" customHeight="1" x14ac:dyDescent="0.2">
      <c r="B49" s="3308"/>
      <c r="C49" s="1255">
        <f>'Saisie données file act.'!D66</f>
        <v>0</v>
      </c>
      <c r="D49" s="1284">
        <f>'Saisie données file act.'!E66</f>
        <v>0</v>
      </c>
      <c r="E49" s="1285">
        <f>'Saisie données file act.'!F66</f>
        <v>0</v>
      </c>
      <c r="F49" s="1285">
        <f>'Saisie données file act.'!G66</f>
        <v>0</v>
      </c>
      <c r="G49" s="1285">
        <f>'Saisie données file act.'!H66</f>
        <v>0</v>
      </c>
      <c r="H49" s="1285">
        <f>'Saisie données file act.'!I66</f>
        <v>0</v>
      </c>
      <c r="I49" s="1285">
        <f>'Saisie données file act.'!J66</f>
        <v>0</v>
      </c>
      <c r="J49" s="1285">
        <f>'Saisie données file act.'!K66</f>
        <v>0</v>
      </c>
      <c r="K49" s="1285">
        <f>'Saisie données file act.'!L66</f>
        <v>0</v>
      </c>
      <c r="L49" s="1285">
        <f>'Saisie données file act.'!M66</f>
        <v>0</v>
      </c>
      <c r="M49" s="1285">
        <f>'Saisie données file act.'!N66</f>
        <v>0</v>
      </c>
      <c r="N49" s="1285">
        <f>'Saisie données file act.'!O66</f>
        <v>0</v>
      </c>
      <c r="O49" s="1285">
        <f>'Saisie données file act.'!P66</f>
        <v>0</v>
      </c>
      <c r="P49" s="1285">
        <f>'Saisie données file act.'!Q66</f>
        <v>0</v>
      </c>
      <c r="Q49" s="1285">
        <f>'Saisie données file act.'!R66</f>
        <v>0</v>
      </c>
      <c r="R49" s="1753">
        <f>'Saisie données file act.'!S66</f>
        <v>0</v>
      </c>
      <c r="S49" s="1767">
        <f>'Saisie données file act.'!T66</f>
        <v>0</v>
      </c>
      <c r="T49" s="1738">
        <f>'Saisie données file act.'!U66</f>
        <v>0</v>
      </c>
      <c r="U49" s="1738">
        <f>'Saisie données file act.'!V66</f>
        <v>0</v>
      </c>
      <c r="V49" s="1738">
        <f>'Saisie données file act.'!W66</f>
        <v>0</v>
      </c>
      <c r="W49" s="1738">
        <f>'Saisie données file act.'!X66</f>
        <v>0</v>
      </c>
      <c r="X49" s="1768">
        <f>'Saisie données file act.'!Y66</f>
        <v>0</v>
      </c>
      <c r="Y49" s="1767">
        <f>'Saisie données file act.'!Z66</f>
        <v>0</v>
      </c>
      <c r="Z49" s="1738">
        <f>'Saisie données file act.'!AA66</f>
        <v>0</v>
      </c>
      <c r="AA49" s="1738">
        <f>'Saisie données file act.'!AB66</f>
        <v>0</v>
      </c>
      <c r="AB49" s="1738">
        <f>'Saisie données file act.'!AC66</f>
        <v>0</v>
      </c>
      <c r="AC49" s="1738">
        <f>'Saisie données file act.'!AD66</f>
        <v>0</v>
      </c>
      <c r="AD49" s="1738">
        <f>'Saisie données file act.'!AE66</f>
        <v>0</v>
      </c>
      <c r="AE49" s="1738">
        <f>'Saisie données file act.'!AF66</f>
        <v>0</v>
      </c>
      <c r="AF49" s="1738">
        <f>'Saisie données file act.'!AG66</f>
        <v>0</v>
      </c>
      <c r="AG49" s="1738">
        <f>'Saisie données file act.'!AH66</f>
        <v>0</v>
      </c>
      <c r="AH49" s="1738">
        <f>'Saisie données file act.'!AI66</f>
        <v>0</v>
      </c>
      <c r="AI49" s="1768">
        <f>'Saisie données file act.'!AJ66</f>
        <v>0</v>
      </c>
      <c r="AJ49" s="1776">
        <f>'Saisie données file act.'!AK66</f>
        <v>0</v>
      </c>
      <c r="AK49" s="1290">
        <f>'Saisie données file act.'!AL66</f>
        <v>0</v>
      </c>
      <c r="AL49" s="1290">
        <f>'Saisie données file act.'!AM66</f>
        <v>0</v>
      </c>
      <c r="AM49" s="1290">
        <f>'Saisie données file act.'!AN66</f>
        <v>0</v>
      </c>
      <c r="AN49" s="1290">
        <f>'Saisie données file act.'!AO66</f>
        <v>0</v>
      </c>
      <c r="AO49" s="1290">
        <f>'Saisie données file act.'!AP66</f>
        <v>0</v>
      </c>
      <c r="AP49" s="1290">
        <f>'Saisie données file act.'!AQ66</f>
        <v>0</v>
      </c>
      <c r="AQ49" s="1290">
        <f>'Saisie données file act.'!AR66</f>
        <v>0</v>
      </c>
      <c r="AR49" s="1285">
        <f>'Saisie données file act.'!AS66</f>
        <v>0</v>
      </c>
      <c r="AS49" s="1753">
        <f>'Saisie données file act.'!AT66</f>
        <v>0</v>
      </c>
      <c r="AT49" s="1757">
        <f>'Saisie données file act.'!AU66</f>
        <v>0</v>
      </c>
    </row>
    <row r="50" spans="2:46" ht="12.75" hidden="1" customHeight="1" x14ac:dyDescent="0.2">
      <c r="B50" s="3308"/>
      <c r="C50" s="1256">
        <f>'Saisie données file act.'!D67</f>
        <v>0</v>
      </c>
      <c r="D50" s="1284">
        <f>'Saisie données file act.'!E67</f>
        <v>0</v>
      </c>
      <c r="E50" s="1285">
        <f>'Saisie données file act.'!F67</f>
        <v>0</v>
      </c>
      <c r="F50" s="1285">
        <f>'Saisie données file act.'!G67</f>
        <v>0</v>
      </c>
      <c r="G50" s="1285">
        <f>'Saisie données file act.'!H67</f>
        <v>0</v>
      </c>
      <c r="H50" s="1285">
        <f>'Saisie données file act.'!I67</f>
        <v>0</v>
      </c>
      <c r="I50" s="1285">
        <f>'Saisie données file act.'!J67</f>
        <v>0</v>
      </c>
      <c r="J50" s="1285">
        <f>'Saisie données file act.'!K67</f>
        <v>0</v>
      </c>
      <c r="K50" s="1285">
        <f>'Saisie données file act.'!L67</f>
        <v>0</v>
      </c>
      <c r="L50" s="1285">
        <f>'Saisie données file act.'!M67</f>
        <v>0</v>
      </c>
      <c r="M50" s="1285">
        <f>'Saisie données file act.'!N67</f>
        <v>0</v>
      </c>
      <c r="N50" s="1285">
        <f>'Saisie données file act.'!O67</f>
        <v>0</v>
      </c>
      <c r="O50" s="1285">
        <f>'Saisie données file act.'!P67</f>
        <v>0</v>
      </c>
      <c r="P50" s="1285">
        <f>'Saisie données file act.'!Q67</f>
        <v>0</v>
      </c>
      <c r="Q50" s="1285">
        <f>'Saisie données file act.'!R67</f>
        <v>0</v>
      </c>
      <c r="R50" s="1753">
        <f>'Saisie données file act.'!S67</f>
        <v>0</v>
      </c>
      <c r="S50" s="1767">
        <f>'Saisie données file act.'!T67</f>
        <v>0</v>
      </c>
      <c r="T50" s="1738">
        <f>'Saisie données file act.'!U67</f>
        <v>0</v>
      </c>
      <c r="U50" s="1738">
        <f>'Saisie données file act.'!V67</f>
        <v>0</v>
      </c>
      <c r="V50" s="1738">
        <f>'Saisie données file act.'!W67</f>
        <v>0</v>
      </c>
      <c r="W50" s="1738">
        <f>'Saisie données file act.'!X67</f>
        <v>0</v>
      </c>
      <c r="X50" s="1768">
        <f>'Saisie données file act.'!Y67</f>
        <v>0</v>
      </c>
      <c r="Y50" s="1767">
        <f>'Saisie données file act.'!Z67</f>
        <v>0</v>
      </c>
      <c r="Z50" s="1738">
        <f>'Saisie données file act.'!AA67</f>
        <v>0</v>
      </c>
      <c r="AA50" s="1738">
        <f>'Saisie données file act.'!AB67</f>
        <v>0</v>
      </c>
      <c r="AB50" s="1738">
        <f>'Saisie données file act.'!AC67</f>
        <v>0</v>
      </c>
      <c r="AC50" s="1738">
        <f>'Saisie données file act.'!AD67</f>
        <v>0</v>
      </c>
      <c r="AD50" s="1738">
        <f>'Saisie données file act.'!AE67</f>
        <v>0</v>
      </c>
      <c r="AE50" s="1738">
        <f>'Saisie données file act.'!AF67</f>
        <v>0</v>
      </c>
      <c r="AF50" s="1738">
        <f>'Saisie données file act.'!AG67</f>
        <v>0</v>
      </c>
      <c r="AG50" s="1738">
        <f>'Saisie données file act.'!AH67</f>
        <v>0</v>
      </c>
      <c r="AH50" s="1738">
        <f>'Saisie données file act.'!AI67</f>
        <v>0</v>
      </c>
      <c r="AI50" s="1768">
        <f>'Saisie données file act.'!AJ67</f>
        <v>0</v>
      </c>
      <c r="AJ50" s="1776">
        <f>'Saisie données file act.'!AK67</f>
        <v>0</v>
      </c>
      <c r="AK50" s="1290">
        <f>'Saisie données file act.'!AL67</f>
        <v>0</v>
      </c>
      <c r="AL50" s="1290">
        <f>'Saisie données file act.'!AM67</f>
        <v>0</v>
      </c>
      <c r="AM50" s="1290">
        <f>'Saisie données file act.'!AN67</f>
        <v>0</v>
      </c>
      <c r="AN50" s="1290">
        <f>'Saisie données file act.'!AO67</f>
        <v>0</v>
      </c>
      <c r="AO50" s="1290">
        <f>'Saisie données file act.'!AP67</f>
        <v>0</v>
      </c>
      <c r="AP50" s="1290">
        <f>'Saisie données file act.'!AQ67</f>
        <v>0</v>
      </c>
      <c r="AQ50" s="1290">
        <f>'Saisie données file act.'!AR67</f>
        <v>0</v>
      </c>
      <c r="AR50" s="1285">
        <f>'Saisie données file act.'!AS67</f>
        <v>0</v>
      </c>
      <c r="AS50" s="1753">
        <f>'Saisie données file act.'!AT67</f>
        <v>0</v>
      </c>
      <c r="AT50" s="1757">
        <f>'Saisie données file act.'!AU67</f>
        <v>0</v>
      </c>
    </row>
    <row r="51" spans="2:46" ht="12.75" hidden="1" customHeight="1" x14ac:dyDescent="0.2">
      <c r="B51" s="3308"/>
      <c r="C51" s="1256">
        <f>'Saisie données file act.'!D68</f>
        <v>0</v>
      </c>
      <c r="D51" s="1284">
        <f>'Saisie données file act.'!E68</f>
        <v>0</v>
      </c>
      <c r="E51" s="1285">
        <f>'Saisie données file act.'!F68</f>
        <v>0</v>
      </c>
      <c r="F51" s="1285">
        <f>'Saisie données file act.'!G68</f>
        <v>0</v>
      </c>
      <c r="G51" s="1285">
        <f>'Saisie données file act.'!H68</f>
        <v>0</v>
      </c>
      <c r="H51" s="1285">
        <f>'Saisie données file act.'!I68</f>
        <v>0</v>
      </c>
      <c r="I51" s="1285">
        <f>'Saisie données file act.'!J68</f>
        <v>0</v>
      </c>
      <c r="J51" s="1285">
        <f>'Saisie données file act.'!K68</f>
        <v>0</v>
      </c>
      <c r="K51" s="1285">
        <f>'Saisie données file act.'!L68</f>
        <v>0</v>
      </c>
      <c r="L51" s="1285">
        <f>'Saisie données file act.'!M68</f>
        <v>0</v>
      </c>
      <c r="M51" s="1285">
        <f>'Saisie données file act.'!N68</f>
        <v>0</v>
      </c>
      <c r="N51" s="1285">
        <f>'Saisie données file act.'!O68</f>
        <v>0</v>
      </c>
      <c r="O51" s="1285">
        <f>'Saisie données file act.'!P68</f>
        <v>0</v>
      </c>
      <c r="P51" s="1285">
        <f>'Saisie données file act.'!Q68</f>
        <v>0</v>
      </c>
      <c r="Q51" s="1285">
        <f>'Saisie données file act.'!R68</f>
        <v>0</v>
      </c>
      <c r="R51" s="1753">
        <f>'Saisie données file act.'!S68</f>
        <v>0</v>
      </c>
      <c r="S51" s="1767">
        <f>'Saisie données file act.'!T68</f>
        <v>0</v>
      </c>
      <c r="T51" s="1738">
        <f>'Saisie données file act.'!U68</f>
        <v>0</v>
      </c>
      <c r="U51" s="1738">
        <f>'Saisie données file act.'!V68</f>
        <v>0</v>
      </c>
      <c r="V51" s="1738">
        <f>'Saisie données file act.'!W68</f>
        <v>0</v>
      </c>
      <c r="W51" s="1738">
        <f>'Saisie données file act.'!X68</f>
        <v>0</v>
      </c>
      <c r="X51" s="1768">
        <f>'Saisie données file act.'!Y68</f>
        <v>0</v>
      </c>
      <c r="Y51" s="1767">
        <f>'Saisie données file act.'!Z68</f>
        <v>0</v>
      </c>
      <c r="Z51" s="1738">
        <f>'Saisie données file act.'!AA68</f>
        <v>0</v>
      </c>
      <c r="AA51" s="1738">
        <f>'Saisie données file act.'!AB68</f>
        <v>0</v>
      </c>
      <c r="AB51" s="1738">
        <f>'Saisie données file act.'!AC68</f>
        <v>0</v>
      </c>
      <c r="AC51" s="1738">
        <f>'Saisie données file act.'!AD68</f>
        <v>0</v>
      </c>
      <c r="AD51" s="1738">
        <f>'Saisie données file act.'!AE68</f>
        <v>0</v>
      </c>
      <c r="AE51" s="1738">
        <f>'Saisie données file act.'!AF68</f>
        <v>0</v>
      </c>
      <c r="AF51" s="1738">
        <f>'Saisie données file act.'!AG68</f>
        <v>0</v>
      </c>
      <c r="AG51" s="1738">
        <f>'Saisie données file act.'!AH68</f>
        <v>0</v>
      </c>
      <c r="AH51" s="1738">
        <f>'Saisie données file act.'!AI68</f>
        <v>0</v>
      </c>
      <c r="AI51" s="1768">
        <f>'Saisie données file act.'!AJ68</f>
        <v>0</v>
      </c>
      <c r="AJ51" s="1776">
        <f>'Saisie données file act.'!AK68</f>
        <v>0</v>
      </c>
      <c r="AK51" s="1290">
        <f>'Saisie données file act.'!AL68</f>
        <v>0</v>
      </c>
      <c r="AL51" s="1290">
        <f>'Saisie données file act.'!AM68</f>
        <v>0</v>
      </c>
      <c r="AM51" s="1290">
        <f>'Saisie données file act.'!AN68</f>
        <v>0</v>
      </c>
      <c r="AN51" s="1290">
        <f>'Saisie données file act.'!AO68</f>
        <v>0</v>
      </c>
      <c r="AO51" s="1290">
        <f>'Saisie données file act.'!AP68</f>
        <v>0</v>
      </c>
      <c r="AP51" s="1290">
        <f>'Saisie données file act.'!AQ68</f>
        <v>0</v>
      </c>
      <c r="AQ51" s="1290">
        <f>'Saisie données file act.'!AR68</f>
        <v>0</v>
      </c>
      <c r="AR51" s="1285">
        <f>'Saisie données file act.'!AS68</f>
        <v>0</v>
      </c>
      <c r="AS51" s="1753">
        <f>'Saisie données file act.'!AT68</f>
        <v>0</v>
      </c>
      <c r="AT51" s="1757">
        <f>'Saisie données file act.'!AU68</f>
        <v>0</v>
      </c>
    </row>
    <row r="52" spans="2:46" ht="12.75" hidden="1" customHeight="1" x14ac:dyDescent="0.2">
      <c r="B52" s="3308"/>
      <c r="C52" s="1255">
        <f>'Saisie données file act.'!D69</f>
        <v>0</v>
      </c>
      <c r="D52" s="1284">
        <f>'Saisie données file act.'!E69</f>
        <v>0</v>
      </c>
      <c r="E52" s="1285">
        <f>'Saisie données file act.'!F69</f>
        <v>0</v>
      </c>
      <c r="F52" s="1285">
        <f>'Saisie données file act.'!G69</f>
        <v>0</v>
      </c>
      <c r="G52" s="1285">
        <f>'Saisie données file act.'!H69</f>
        <v>0</v>
      </c>
      <c r="H52" s="1285">
        <f>'Saisie données file act.'!I69</f>
        <v>0</v>
      </c>
      <c r="I52" s="1285">
        <f>'Saisie données file act.'!J69</f>
        <v>0</v>
      </c>
      <c r="J52" s="1285">
        <f>'Saisie données file act.'!K69</f>
        <v>0</v>
      </c>
      <c r="K52" s="1285">
        <f>'Saisie données file act.'!L69</f>
        <v>0</v>
      </c>
      <c r="L52" s="1285">
        <f>'Saisie données file act.'!M69</f>
        <v>0</v>
      </c>
      <c r="M52" s="1285">
        <f>'Saisie données file act.'!N69</f>
        <v>0</v>
      </c>
      <c r="N52" s="1285">
        <f>'Saisie données file act.'!O69</f>
        <v>0</v>
      </c>
      <c r="O52" s="1285">
        <f>'Saisie données file act.'!P69</f>
        <v>0</v>
      </c>
      <c r="P52" s="1285">
        <f>'Saisie données file act.'!Q69</f>
        <v>0</v>
      </c>
      <c r="Q52" s="1285">
        <f>'Saisie données file act.'!R69</f>
        <v>0</v>
      </c>
      <c r="R52" s="1753">
        <f>'Saisie données file act.'!S69</f>
        <v>0</v>
      </c>
      <c r="S52" s="1767">
        <f>'Saisie données file act.'!T69</f>
        <v>0</v>
      </c>
      <c r="T52" s="1738">
        <f>'Saisie données file act.'!U69</f>
        <v>0</v>
      </c>
      <c r="U52" s="1738">
        <f>'Saisie données file act.'!V69</f>
        <v>0</v>
      </c>
      <c r="V52" s="1738">
        <f>'Saisie données file act.'!W69</f>
        <v>0</v>
      </c>
      <c r="W52" s="1738">
        <f>'Saisie données file act.'!X69</f>
        <v>0</v>
      </c>
      <c r="X52" s="1768">
        <f>'Saisie données file act.'!Y69</f>
        <v>0</v>
      </c>
      <c r="Y52" s="1767">
        <f>'Saisie données file act.'!Z69</f>
        <v>0</v>
      </c>
      <c r="Z52" s="1738">
        <f>'Saisie données file act.'!AA69</f>
        <v>0</v>
      </c>
      <c r="AA52" s="1738">
        <f>'Saisie données file act.'!AB69</f>
        <v>0</v>
      </c>
      <c r="AB52" s="1738">
        <f>'Saisie données file act.'!AC69</f>
        <v>0</v>
      </c>
      <c r="AC52" s="1738">
        <f>'Saisie données file act.'!AD69</f>
        <v>0</v>
      </c>
      <c r="AD52" s="1738">
        <f>'Saisie données file act.'!AE69</f>
        <v>0</v>
      </c>
      <c r="AE52" s="1738">
        <f>'Saisie données file act.'!AF69</f>
        <v>0</v>
      </c>
      <c r="AF52" s="1738">
        <f>'Saisie données file act.'!AG69</f>
        <v>0</v>
      </c>
      <c r="AG52" s="1738">
        <f>'Saisie données file act.'!AH69</f>
        <v>0</v>
      </c>
      <c r="AH52" s="1738">
        <f>'Saisie données file act.'!AI69</f>
        <v>0</v>
      </c>
      <c r="AI52" s="1768">
        <f>'Saisie données file act.'!AJ69</f>
        <v>0</v>
      </c>
      <c r="AJ52" s="1776">
        <f>'Saisie données file act.'!AK69</f>
        <v>0</v>
      </c>
      <c r="AK52" s="1290">
        <f>'Saisie données file act.'!AL69</f>
        <v>0</v>
      </c>
      <c r="AL52" s="1290">
        <f>'Saisie données file act.'!AM69</f>
        <v>0</v>
      </c>
      <c r="AM52" s="1290">
        <f>'Saisie données file act.'!AN69</f>
        <v>0</v>
      </c>
      <c r="AN52" s="1290">
        <f>'Saisie données file act.'!AO69</f>
        <v>0</v>
      </c>
      <c r="AO52" s="1290">
        <f>'Saisie données file act.'!AP69</f>
        <v>0</v>
      </c>
      <c r="AP52" s="1290">
        <f>'Saisie données file act.'!AQ69</f>
        <v>0</v>
      </c>
      <c r="AQ52" s="1290">
        <f>'Saisie données file act.'!AR69</f>
        <v>0</v>
      </c>
      <c r="AR52" s="1285">
        <f>'Saisie données file act.'!AS69</f>
        <v>0</v>
      </c>
      <c r="AS52" s="1753">
        <f>'Saisie données file act.'!AT69</f>
        <v>0</v>
      </c>
      <c r="AT52" s="1757">
        <f>'Saisie données file act.'!AU69</f>
        <v>0</v>
      </c>
    </row>
    <row r="53" spans="2:46" ht="12.75" hidden="1" customHeight="1" x14ac:dyDescent="0.2">
      <c r="B53" s="3308"/>
      <c r="C53" s="1256">
        <f>'Saisie données file act.'!D70</f>
        <v>0</v>
      </c>
      <c r="D53" s="1284">
        <f>'Saisie données file act.'!E70</f>
        <v>0</v>
      </c>
      <c r="E53" s="1285">
        <f>'Saisie données file act.'!F70</f>
        <v>0</v>
      </c>
      <c r="F53" s="1285">
        <f>'Saisie données file act.'!G70</f>
        <v>0</v>
      </c>
      <c r="G53" s="1285">
        <f>'Saisie données file act.'!H70</f>
        <v>0</v>
      </c>
      <c r="H53" s="1285">
        <f>'Saisie données file act.'!I70</f>
        <v>0</v>
      </c>
      <c r="I53" s="1285">
        <f>'Saisie données file act.'!J70</f>
        <v>0</v>
      </c>
      <c r="J53" s="1285">
        <f>'Saisie données file act.'!K70</f>
        <v>0</v>
      </c>
      <c r="K53" s="1285">
        <f>'Saisie données file act.'!L70</f>
        <v>0</v>
      </c>
      <c r="L53" s="1285">
        <f>'Saisie données file act.'!M70</f>
        <v>0</v>
      </c>
      <c r="M53" s="1285">
        <f>'Saisie données file act.'!N70</f>
        <v>0</v>
      </c>
      <c r="N53" s="1285">
        <f>'Saisie données file act.'!O70</f>
        <v>0</v>
      </c>
      <c r="O53" s="1285">
        <f>'Saisie données file act.'!P70</f>
        <v>0</v>
      </c>
      <c r="P53" s="1285">
        <f>'Saisie données file act.'!Q70</f>
        <v>0</v>
      </c>
      <c r="Q53" s="1285">
        <f>'Saisie données file act.'!R70</f>
        <v>0</v>
      </c>
      <c r="R53" s="1753">
        <f>'Saisie données file act.'!S70</f>
        <v>0</v>
      </c>
      <c r="S53" s="1767">
        <f>'Saisie données file act.'!T70</f>
        <v>0</v>
      </c>
      <c r="T53" s="1738">
        <f>'Saisie données file act.'!U70</f>
        <v>0</v>
      </c>
      <c r="U53" s="1738">
        <f>'Saisie données file act.'!V70</f>
        <v>0</v>
      </c>
      <c r="V53" s="1738">
        <f>'Saisie données file act.'!W70</f>
        <v>0</v>
      </c>
      <c r="W53" s="1738">
        <f>'Saisie données file act.'!X70</f>
        <v>0</v>
      </c>
      <c r="X53" s="1768">
        <f>'Saisie données file act.'!Y70</f>
        <v>0</v>
      </c>
      <c r="Y53" s="1767">
        <f>'Saisie données file act.'!Z70</f>
        <v>0</v>
      </c>
      <c r="Z53" s="1738">
        <f>'Saisie données file act.'!AA70</f>
        <v>0</v>
      </c>
      <c r="AA53" s="1738">
        <f>'Saisie données file act.'!AB70</f>
        <v>0</v>
      </c>
      <c r="AB53" s="1738">
        <f>'Saisie données file act.'!AC70</f>
        <v>0</v>
      </c>
      <c r="AC53" s="1738">
        <f>'Saisie données file act.'!AD70</f>
        <v>0</v>
      </c>
      <c r="AD53" s="1738">
        <f>'Saisie données file act.'!AE70</f>
        <v>0</v>
      </c>
      <c r="AE53" s="1738">
        <f>'Saisie données file act.'!AF70</f>
        <v>0</v>
      </c>
      <c r="AF53" s="1738">
        <f>'Saisie données file act.'!AG70</f>
        <v>0</v>
      </c>
      <c r="AG53" s="1738">
        <f>'Saisie données file act.'!AH70</f>
        <v>0</v>
      </c>
      <c r="AH53" s="1738">
        <f>'Saisie données file act.'!AI70</f>
        <v>0</v>
      </c>
      <c r="AI53" s="1768">
        <f>'Saisie données file act.'!AJ70</f>
        <v>0</v>
      </c>
      <c r="AJ53" s="1776">
        <f>'Saisie données file act.'!AK70</f>
        <v>0</v>
      </c>
      <c r="AK53" s="1290">
        <f>'Saisie données file act.'!AL70</f>
        <v>0</v>
      </c>
      <c r="AL53" s="1290">
        <f>'Saisie données file act.'!AM70</f>
        <v>0</v>
      </c>
      <c r="AM53" s="1290">
        <f>'Saisie données file act.'!AN70</f>
        <v>0</v>
      </c>
      <c r="AN53" s="1290">
        <f>'Saisie données file act.'!AO70</f>
        <v>0</v>
      </c>
      <c r="AO53" s="1290">
        <f>'Saisie données file act.'!AP70</f>
        <v>0</v>
      </c>
      <c r="AP53" s="1290">
        <f>'Saisie données file act.'!AQ70</f>
        <v>0</v>
      </c>
      <c r="AQ53" s="1290">
        <f>'Saisie données file act.'!AR70</f>
        <v>0</v>
      </c>
      <c r="AR53" s="1285">
        <f>'Saisie données file act.'!AS70</f>
        <v>0</v>
      </c>
      <c r="AS53" s="1753">
        <f>'Saisie données file act.'!AT70</f>
        <v>0</v>
      </c>
      <c r="AT53" s="1757">
        <f>'Saisie données file act.'!AU70</f>
        <v>0</v>
      </c>
    </row>
    <row r="54" spans="2:46" ht="12.75" hidden="1" customHeight="1" x14ac:dyDescent="0.2">
      <c r="B54" s="3308"/>
      <c r="C54" s="1255">
        <f>'Saisie données file act.'!D71</f>
        <v>0</v>
      </c>
      <c r="D54" s="1284">
        <f>'Saisie données file act.'!E71</f>
        <v>0</v>
      </c>
      <c r="E54" s="1285">
        <f>'Saisie données file act.'!F71</f>
        <v>0</v>
      </c>
      <c r="F54" s="1285">
        <f>'Saisie données file act.'!G71</f>
        <v>0</v>
      </c>
      <c r="G54" s="1285">
        <f>'Saisie données file act.'!H71</f>
        <v>0</v>
      </c>
      <c r="H54" s="1285">
        <f>'Saisie données file act.'!I71</f>
        <v>0</v>
      </c>
      <c r="I54" s="1285">
        <f>'Saisie données file act.'!J71</f>
        <v>0</v>
      </c>
      <c r="J54" s="1285">
        <f>'Saisie données file act.'!K71</f>
        <v>0</v>
      </c>
      <c r="K54" s="1285">
        <f>'Saisie données file act.'!L71</f>
        <v>0</v>
      </c>
      <c r="L54" s="1285">
        <f>'Saisie données file act.'!M71</f>
        <v>0</v>
      </c>
      <c r="M54" s="1285">
        <f>'Saisie données file act.'!N71</f>
        <v>0</v>
      </c>
      <c r="N54" s="1285">
        <f>'Saisie données file act.'!O71</f>
        <v>0</v>
      </c>
      <c r="O54" s="1285">
        <f>'Saisie données file act.'!P71</f>
        <v>0</v>
      </c>
      <c r="P54" s="1285">
        <f>'Saisie données file act.'!Q71</f>
        <v>0</v>
      </c>
      <c r="Q54" s="1285">
        <f>'Saisie données file act.'!R71</f>
        <v>0</v>
      </c>
      <c r="R54" s="1753">
        <f>'Saisie données file act.'!S71</f>
        <v>0</v>
      </c>
      <c r="S54" s="1767">
        <f>'Saisie données file act.'!T71</f>
        <v>0</v>
      </c>
      <c r="T54" s="1738">
        <f>'Saisie données file act.'!U71</f>
        <v>0</v>
      </c>
      <c r="U54" s="1738">
        <f>'Saisie données file act.'!V71</f>
        <v>0</v>
      </c>
      <c r="V54" s="1738">
        <f>'Saisie données file act.'!W71</f>
        <v>0</v>
      </c>
      <c r="W54" s="1738">
        <f>'Saisie données file act.'!X71</f>
        <v>0</v>
      </c>
      <c r="X54" s="1768">
        <f>'Saisie données file act.'!Y71</f>
        <v>0</v>
      </c>
      <c r="Y54" s="1767">
        <f>'Saisie données file act.'!Z71</f>
        <v>0</v>
      </c>
      <c r="Z54" s="1738">
        <f>'Saisie données file act.'!AA71</f>
        <v>0</v>
      </c>
      <c r="AA54" s="1738">
        <f>'Saisie données file act.'!AB71</f>
        <v>0</v>
      </c>
      <c r="AB54" s="1738">
        <f>'Saisie données file act.'!AC71</f>
        <v>0</v>
      </c>
      <c r="AC54" s="1738">
        <f>'Saisie données file act.'!AD71</f>
        <v>0</v>
      </c>
      <c r="AD54" s="1738">
        <f>'Saisie données file act.'!AE71</f>
        <v>0</v>
      </c>
      <c r="AE54" s="1738">
        <f>'Saisie données file act.'!AF71</f>
        <v>0</v>
      </c>
      <c r="AF54" s="1738">
        <f>'Saisie données file act.'!AG71</f>
        <v>0</v>
      </c>
      <c r="AG54" s="1738">
        <f>'Saisie données file act.'!AH71</f>
        <v>0</v>
      </c>
      <c r="AH54" s="1738">
        <f>'Saisie données file act.'!AI71</f>
        <v>0</v>
      </c>
      <c r="AI54" s="1768">
        <f>'Saisie données file act.'!AJ71</f>
        <v>0</v>
      </c>
      <c r="AJ54" s="1776">
        <f>'Saisie données file act.'!AK71</f>
        <v>0</v>
      </c>
      <c r="AK54" s="1290">
        <f>'Saisie données file act.'!AL71</f>
        <v>0</v>
      </c>
      <c r="AL54" s="1290">
        <f>'Saisie données file act.'!AM71</f>
        <v>0</v>
      </c>
      <c r="AM54" s="1290">
        <f>'Saisie données file act.'!AN71</f>
        <v>0</v>
      </c>
      <c r="AN54" s="1290">
        <f>'Saisie données file act.'!AO71</f>
        <v>0</v>
      </c>
      <c r="AO54" s="1290">
        <f>'Saisie données file act.'!AP71</f>
        <v>0</v>
      </c>
      <c r="AP54" s="1290">
        <f>'Saisie données file act.'!AQ71</f>
        <v>0</v>
      </c>
      <c r="AQ54" s="1290">
        <f>'Saisie données file act.'!AR71</f>
        <v>0</v>
      </c>
      <c r="AR54" s="1285">
        <f>'Saisie données file act.'!AS71</f>
        <v>0</v>
      </c>
      <c r="AS54" s="1753">
        <f>'Saisie données file act.'!AT71</f>
        <v>0</v>
      </c>
      <c r="AT54" s="1757">
        <f>'Saisie données file act.'!AU71</f>
        <v>0</v>
      </c>
    </row>
    <row r="55" spans="2:46" ht="12.75" hidden="1" customHeight="1" x14ac:dyDescent="0.2">
      <c r="B55" s="3308"/>
      <c r="C55" s="1256">
        <f>'Saisie données file act.'!D72</f>
        <v>0</v>
      </c>
      <c r="D55" s="1284">
        <f>'Saisie données file act.'!E72</f>
        <v>0</v>
      </c>
      <c r="E55" s="1285">
        <f>'Saisie données file act.'!F72</f>
        <v>0</v>
      </c>
      <c r="F55" s="1285">
        <f>'Saisie données file act.'!G72</f>
        <v>0</v>
      </c>
      <c r="G55" s="1285">
        <f>'Saisie données file act.'!H72</f>
        <v>0</v>
      </c>
      <c r="H55" s="1285">
        <f>'Saisie données file act.'!I72</f>
        <v>0</v>
      </c>
      <c r="I55" s="1285">
        <f>'Saisie données file act.'!J72</f>
        <v>0</v>
      </c>
      <c r="J55" s="1285">
        <f>'Saisie données file act.'!K72</f>
        <v>0</v>
      </c>
      <c r="K55" s="1285">
        <f>'Saisie données file act.'!L72</f>
        <v>0</v>
      </c>
      <c r="L55" s="1285">
        <f>'Saisie données file act.'!M72</f>
        <v>0</v>
      </c>
      <c r="M55" s="1285">
        <f>'Saisie données file act.'!N72</f>
        <v>0</v>
      </c>
      <c r="N55" s="1285">
        <f>'Saisie données file act.'!O72</f>
        <v>0</v>
      </c>
      <c r="O55" s="1285">
        <f>'Saisie données file act.'!P72</f>
        <v>0</v>
      </c>
      <c r="P55" s="1285">
        <f>'Saisie données file act.'!Q72</f>
        <v>0</v>
      </c>
      <c r="Q55" s="1285">
        <f>'Saisie données file act.'!R72</f>
        <v>0</v>
      </c>
      <c r="R55" s="1753">
        <f>'Saisie données file act.'!S72</f>
        <v>0</v>
      </c>
      <c r="S55" s="1767">
        <f>'Saisie données file act.'!T72</f>
        <v>0</v>
      </c>
      <c r="T55" s="1738">
        <f>'Saisie données file act.'!U72</f>
        <v>0</v>
      </c>
      <c r="U55" s="1738">
        <f>'Saisie données file act.'!V72</f>
        <v>0</v>
      </c>
      <c r="V55" s="1738">
        <f>'Saisie données file act.'!W72</f>
        <v>0</v>
      </c>
      <c r="W55" s="1738">
        <f>'Saisie données file act.'!X72</f>
        <v>0</v>
      </c>
      <c r="X55" s="1768">
        <f>'Saisie données file act.'!Y72</f>
        <v>0</v>
      </c>
      <c r="Y55" s="1767">
        <f>'Saisie données file act.'!Z72</f>
        <v>0</v>
      </c>
      <c r="Z55" s="1738">
        <f>'Saisie données file act.'!AA72</f>
        <v>0</v>
      </c>
      <c r="AA55" s="1738">
        <f>'Saisie données file act.'!AB72</f>
        <v>0</v>
      </c>
      <c r="AB55" s="1738">
        <f>'Saisie données file act.'!AC72</f>
        <v>0</v>
      </c>
      <c r="AC55" s="1738">
        <f>'Saisie données file act.'!AD72</f>
        <v>0</v>
      </c>
      <c r="AD55" s="1738">
        <f>'Saisie données file act.'!AE72</f>
        <v>0</v>
      </c>
      <c r="AE55" s="1738">
        <f>'Saisie données file act.'!AF72</f>
        <v>0</v>
      </c>
      <c r="AF55" s="1738">
        <f>'Saisie données file act.'!AG72</f>
        <v>0</v>
      </c>
      <c r="AG55" s="1738">
        <f>'Saisie données file act.'!AH72</f>
        <v>0</v>
      </c>
      <c r="AH55" s="1738">
        <f>'Saisie données file act.'!AI72</f>
        <v>0</v>
      </c>
      <c r="AI55" s="1768">
        <f>'Saisie données file act.'!AJ72</f>
        <v>0</v>
      </c>
      <c r="AJ55" s="1776">
        <f>'Saisie données file act.'!AK72</f>
        <v>0</v>
      </c>
      <c r="AK55" s="1290">
        <f>'Saisie données file act.'!AL72</f>
        <v>0</v>
      </c>
      <c r="AL55" s="1290">
        <f>'Saisie données file act.'!AM72</f>
        <v>0</v>
      </c>
      <c r="AM55" s="1290">
        <f>'Saisie données file act.'!AN72</f>
        <v>0</v>
      </c>
      <c r="AN55" s="1290">
        <f>'Saisie données file act.'!AO72</f>
        <v>0</v>
      </c>
      <c r="AO55" s="1290">
        <f>'Saisie données file act.'!AP72</f>
        <v>0</v>
      </c>
      <c r="AP55" s="1290">
        <f>'Saisie données file act.'!AQ72</f>
        <v>0</v>
      </c>
      <c r="AQ55" s="1290">
        <f>'Saisie données file act.'!AR72</f>
        <v>0</v>
      </c>
      <c r="AR55" s="1285">
        <f>'Saisie données file act.'!AS72</f>
        <v>0</v>
      </c>
      <c r="AS55" s="1753">
        <f>'Saisie données file act.'!AT72</f>
        <v>0</v>
      </c>
      <c r="AT55" s="1757">
        <f>'Saisie données file act.'!AU72</f>
        <v>0</v>
      </c>
    </row>
    <row r="56" spans="2:46" ht="12.75" hidden="1" customHeight="1" x14ac:dyDescent="0.2">
      <c r="B56" s="3308"/>
      <c r="C56" s="1255">
        <f>'Saisie données file act.'!D73</f>
        <v>0</v>
      </c>
      <c r="D56" s="1284">
        <f>'Saisie données file act.'!E73</f>
        <v>0</v>
      </c>
      <c r="E56" s="1285">
        <f>'Saisie données file act.'!F73</f>
        <v>0</v>
      </c>
      <c r="F56" s="1285">
        <f>'Saisie données file act.'!G73</f>
        <v>0</v>
      </c>
      <c r="G56" s="1285">
        <f>'Saisie données file act.'!H73</f>
        <v>0</v>
      </c>
      <c r="H56" s="1285">
        <f>'Saisie données file act.'!I73</f>
        <v>0</v>
      </c>
      <c r="I56" s="1285">
        <f>'Saisie données file act.'!J73</f>
        <v>0</v>
      </c>
      <c r="J56" s="1285">
        <f>'Saisie données file act.'!K73</f>
        <v>0</v>
      </c>
      <c r="K56" s="1285">
        <f>'Saisie données file act.'!L73</f>
        <v>0</v>
      </c>
      <c r="L56" s="1285">
        <f>'Saisie données file act.'!M73</f>
        <v>0</v>
      </c>
      <c r="M56" s="1285">
        <f>'Saisie données file act.'!N73</f>
        <v>0</v>
      </c>
      <c r="N56" s="1285">
        <f>'Saisie données file act.'!O73</f>
        <v>0</v>
      </c>
      <c r="O56" s="1285">
        <f>'Saisie données file act.'!P73</f>
        <v>0</v>
      </c>
      <c r="P56" s="1285">
        <f>'Saisie données file act.'!Q73</f>
        <v>0</v>
      </c>
      <c r="Q56" s="1285">
        <f>'Saisie données file act.'!R73</f>
        <v>0</v>
      </c>
      <c r="R56" s="1753">
        <f>'Saisie données file act.'!S73</f>
        <v>0</v>
      </c>
      <c r="S56" s="1767">
        <f>'Saisie données file act.'!T73</f>
        <v>0</v>
      </c>
      <c r="T56" s="1738">
        <f>'Saisie données file act.'!U73</f>
        <v>0</v>
      </c>
      <c r="U56" s="1738">
        <f>'Saisie données file act.'!V73</f>
        <v>0</v>
      </c>
      <c r="V56" s="1738">
        <f>'Saisie données file act.'!W73</f>
        <v>0</v>
      </c>
      <c r="W56" s="1738">
        <f>'Saisie données file act.'!X73</f>
        <v>0</v>
      </c>
      <c r="X56" s="1768">
        <f>'Saisie données file act.'!Y73</f>
        <v>0</v>
      </c>
      <c r="Y56" s="1767">
        <f>'Saisie données file act.'!Z73</f>
        <v>0</v>
      </c>
      <c r="Z56" s="1738">
        <f>'Saisie données file act.'!AA73</f>
        <v>0</v>
      </c>
      <c r="AA56" s="1738">
        <f>'Saisie données file act.'!AB73</f>
        <v>0</v>
      </c>
      <c r="AB56" s="1738">
        <f>'Saisie données file act.'!AC73</f>
        <v>0</v>
      </c>
      <c r="AC56" s="1738">
        <f>'Saisie données file act.'!AD73</f>
        <v>0</v>
      </c>
      <c r="AD56" s="1738">
        <f>'Saisie données file act.'!AE73</f>
        <v>0</v>
      </c>
      <c r="AE56" s="1738">
        <f>'Saisie données file act.'!AF73</f>
        <v>0</v>
      </c>
      <c r="AF56" s="1738">
        <f>'Saisie données file act.'!AG73</f>
        <v>0</v>
      </c>
      <c r="AG56" s="1738">
        <f>'Saisie données file act.'!AH73</f>
        <v>0</v>
      </c>
      <c r="AH56" s="1738">
        <f>'Saisie données file act.'!AI73</f>
        <v>0</v>
      </c>
      <c r="AI56" s="1768">
        <f>'Saisie données file act.'!AJ73</f>
        <v>0</v>
      </c>
      <c r="AJ56" s="1776">
        <f>'Saisie données file act.'!AK73</f>
        <v>0</v>
      </c>
      <c r="AK56" s="1290">
        <f>'Saisie données file act.'!AL73</f>
        <v>0</v>
      </c>
      <c r="AL56" s="1290">
        <f>'Saisie données file act.'!AM73</f>
        <v>0</v>
      </c>
      <c r="AM56" s="1290">
        <f>'Saisie données file act.'!AN73</f>
        <v>0</v>
      </c>
      <c r="AN56" s="1290">
        <f>'Saisie données file act.'!AO73</f>
        <v>0</v>
      </c>
      <c r="AO56" s="1290">
        <f>'Saisie données file act.'!AP73</f>
        <v>0</v>
      </c>
      <c r="AP56" s="1290">
        <f>'Saisie données file act.'!AQ73</f>
        <v>0</v>
      </c>
      <c r="AQ56" s="1290">
        <f>'Saisie données file act.'!AR73</f>
        <v>0</v>
      </c>
      <c r="AR56" s="1285">
        <f>'Saisie données file act.'!AS73</f>
        <v>0</v>
      </c>
      <c r="AS56" s="1753">
        <f>'Saisie données file act.'!AT73</f>
        <v>0</v>
      </c>
      <c r="AT56" s="1757">
        <f>'Saisie données file act.'!AU73</f>
        <v>0</v>
      </c>
    </row>
    <row r="57" spans="2:46" ht="12.75" hidden="1" customHeight="1" x14ac:dyDescent="0.2">
      <c r="B57" s="3308"/>
      <c r="C57" s="1256">
        <f>'Saisie données file act.'!D74</f>
        <v>0</v>
      </c>
      <c r="D57" s="1284">
        <f>'Saisie données file act.'!E74</f>
        <v>0</v>
      </c>
      <c r="E57" s="1285">
        <f>'Saisie données file act.'!F74</f>
        <v>0</v>
      </c>
      <c r="F57" s="1285">
        <f>'Saisie données file act.'!G74</f>
        <v>0</v>
      </c>
      <c r="G57" s="1285">
        <f>'Saisie données file act.'!H74</f>
        <v>0</v>
      </c>
      <c r="H57" s="1285">
        <f>'Saisie données file act.'!I74</f>
        <v>0</v>
      </c>
      <c r="I57" s="1285">
        <f>'Saisie données file act.'!J74</f>
        <v>0</v>
      </c>
      <c r="J57" s="1285">
        <f>'Saisie données file act.'!K74</f>
        <v>0</v>
      </c>
      <c r="K57" s="1285">
        <f>'Saisie données file act.'!L74</f>
        <v>0</v>
      </c>
      <c r="L57" s="1285">
        <f>'Saisie données file act.'!M74</f>
        <v>0</v>
      </c>
      <c r="M57" s="1285">
        <f>'Saisie données file act.'!N74</f>
        <v>0</v>
      </c>
      <c r="N57" s="1285">
        <f>'Saisie données file act.'!O74</f>
        <v>0</v>
      </c>
      <c r="O57" s="1285">
        <f>'Saisie données file act.'!P74</f>
        <v>0</v>
      </c>
      <c r="P57" s="1285">
        <f>'Saisie données file act.'!Q74</f>
        <v>0</v>
      </c>
      <c r="Q57" s="1285">
        <f>'Saisie données file act.'!R74</f>
        <v>0</v>
      </c>
      <c r="R57" s="1753">
        <f>'Saisie données file act.'!S74</f>
        <v>0</v>
      </c>
      <c r="S57" s="1767">
        <f>'Saisie données file act.'!T74</f>
        <v>0</v>
      </c>
      <c r="T57" s="1738">
        <f>'Saisie données file act.'!U74</f>
        <v>0</v>
      </c>
      <c r="U57" s="1738">
        <f>'Saisie données file act.'!V74</f>
        <v>0</v>
      </c>
      <c r="V57" s="1738">
        <f>'Saisie données file act.'!W74</f>
        <v>0</v>
      </c>
      <c r="W57" s="1738">
        <f>'Saisie données file act.'!X74</f>
        <v>0</v>
      </c>
      <c r="X57" s="1768">
        <f>'Saisie données file act.'!Y74</f>
        <v>0</v>
      </c>
      <c r="Y57" s="1767">
        <f>'Saisie données file act.'!Z74</f>
        <v>0</v>
      </c>
      <c r="Z57" s="1738">
        <f>'Saisie données file act.'!AA74</f>
        <v>0</v>
      </c>
      <c r="AA57" s="1738">
        <f>'Saisie données file act.'!AB74</f>
        <v>0</v>
      </c>
      <c r="AB57" s="1738">
        <f>'Saisie données file act.'!AC74</f>
        <v>0</v>
      </c>
      <c r="AC57" s="1738">
        <f>'Saisie données file act.'!AD74</f>
        <v>0</v>
      </c>
      <c r="AD57" s="1738">
        <f>'Saisie données file act.'!AE74</f>
        <v>0</v>
      </c>
      <c r="AE57" s="1738">
        <f>'Saisie données file act.'!AF74</f>
        <v>0</v>
      </c>
      <c r="AF57" s="1738">
        <f>'Saisie données file act.'!AG74</f>
        <v>0</v>
      </c>
      <c r="AG57" s="1738">
        <f>'Saisie données file act.'!AH74</f>
        <v>0</v>
      </c>
      <c r="AH57" s="1738">
        <f>'Saisie données file act.'!AI74</f>
        <v>0</v>
      </c>
      <c r="AI57" s="1768">
        <f>'Saisie données file act.'!AJ74</f>
        <v>0</v>
      </c>
      <c r="AJ57" s="1776">
        <f>'Saisie données file act.'!AK74</f>
        <v>0</v>
      </c>
      <c r="AK57" s="1290">
        <f>'Saisie données file act.'!AL74</f>
        <v>0</v>
      </c>
      <c r="AL57" s="1290">
        <f>'Saisie données file act.'!AM74</f>
        <v>0</v>
      </c>
      <c r="AM57" s="1290">
        <f>'Saisie données file act.'!AN74</f>
        <v>0</v>
      </c>
      <c r="AN57" s="1290">
        <f>'Saisie données file act.'!AO74</f>
        <v>0</v>
      </c>
      <c r="AO57" s="1290">
        <f>'Saisie données file act.'!AP74</f>
        <v>0</v>
      </c>
      <c r="AP57" s="1290">
        <f>'Saisie données file act.'!AQ74</f>
        <v>0</v>
      </c>
      <c r="AQ57" s="1290">
        <f>'Saisie données file act.'!AR74</f>
        <v>0</v>
      </c>
      <c r="AR57" s="1285">
        <f>'Saisie données file act.'!AS74</f>
        <v>0</v>
      </c>
      <c r="AS57" s="1753">
        <f>'Saisie données file act.'!AT74</f>
        <v>0</v>
      </c>
      <c r="AT57" s="1757">
        <f>'Saisie données file act.'!AU74</f>
        <v>0</v>
      </c>
    </row>
    <row r="58" spans="2:46" ht="12.75" hidden="1" customHeight="1" x14ac:dyDescent="0.2">
      <c r="B58" s="3308"/>
      <c r="C58" s="1256">
        <f>'Saisie données file act.'!D75</f>
        <v>0</v>
      </c>
      <c r="D58" s="1284">
        <f>'Saisie données file act.'!E75</f>
        <v>0</v>
      </c>
      <c r="E58" s="1285">
        <f>'Saisie données file act.'!F75</f>
        <v>0</v>
      </c>
      <c r="F58" s="1285">
        <f>'Saisie données file act.'!G75</f>
        <v>0</v>
      </c>
      <c r="G58" s="1285">
        <f>'Saisie données file act.'!H75</f>
        <v>0</v>
      </c>
      <c r="H58" s="1285">
        <f>'Saisie données file act.'!I75</f>
        <v>0</v>
      </c>
      <c r="I58" s="1285">
        <f>'Saisie données file act.'!J75</f>
        <v>0</v>
      </c>
      <c r="J58" s="1285">
        <f>'Saisie données file act.'!K75</f>
        <v>0</v>
      </c>
      <c r="K58" s="1285">
        <f>'Saisie données file act.'!L75</f>
        <v>0</v>
      </c>
      <c r="L58" s="1285">
        <f>'Saisie données file act.'!M75</f>
        <v>0</v>
      </c>
      <c r="M58" s="1285">
        <f>'Saisie données file act.'!N75</f>
        <v>0</v>
      </c>
      <c r="N58" s="1285">
        <f>'Saisie données file act.'!O75</f>
        <v>0</v>
      </c>
      <c r="O58" s="1285">
        <f>'Saisie données file act.'!P75</f>
        <v>0</v>
      </c>
      <c r="P58" s="1285">
        <f>'Saisie données file act.'!Q75</f>
        <v>0</v>
      </c>
      <c r="Q58" s="1285">
        <f>'Saisie données file act.'!R75</f>
        <v>0</v>
      </c>
      <c r="R58" s="1753">
        <f>'Saisie données file act.'!S75</f>
        <v>0</v>
      </c>
      <c r="S58" s="1767">
        <f>'Saisie données file act.'!T75</f>
        <v>0</v>
      </c>
      <c r="T58" s="1738">
        <f>'Saisie données file act.'!U75</f>
        <v>0</v>
      </c>
      <c r="U58" s="1738">
        <f>'Saisie données file act.'!V75</f>
        <v>0</v>
      </c>
      <c r="V58" s="1738">
        <f>'Saisie données file act.'!W75</f>
        <v>0</v>
      </c>
      <c r="W58" s="1738">
        <f>'Saisie données file act.'!X75</f>
        <v>0</v>
      </c>
      <c r="X58" s="1768">
        <f>'Saisie données file act.'!Y75</f>
        <v>0</v>
      </c>
      <c r="Y58" s="1767">
        <f>'Saisie données file act.'!Z75</f>
        <v>0</v>
      </c>
      <c r="Z58" s="1738">
        <f>'Saisie données file act.'!AA75</f>
        <v>0</v>
      </c>
      <c r="AA58" s="1738">
        <f>'Saisie données file act.'!AB75</f>
        <v>0</v>
      </c>
      <c r="AB58" s="1738">
        <f>'Saisie données file act.'!AC75</f>
        <v>0</v>
      </c>
      <c r="AC58" s="1738">
        <f>'Saisie données file act.'!AD75</f>
        <v>0</v>
      </c>
      <c r="AD58" s="1738">
        <f>'Saisie données file act.'!AE75</f>
        <v>0</v>
      </c>
      <c r="AE58" s="1738">
        <f>'Saisie données file act.'!AF75</f>
        <v>0</v>
      </c>
      <c r="AF58" s="1738">
        <f>'Saisie données file act.'!AG75</f>
        <v>0</v>
      </c>
      <c r="AG58" s="1738">
        <f>'Saisie données file act.'!AH75</f>
        <v>0</v>
      </c>
      <c r="AH58" s="1738">
        <f>'Saisie données file act.'!AI75</f>
        <v>0</v>
      </c>
      <c r="AI58" s="1768">
        <f>'Saisie données file act.'!AJ75</f>
        <v>0</v>
      </c>
      <c r="AJ58" s="1776">
        <f>'Saisie données file act.'!AK75</f>
        <v>0</v>
      </c>
      <c r="AK58" s="1290">
        <f>'Saisie données file act.'!AL75</f>
        <v>0</v>
      </c>
      <c r="AL58" s="1290">
        <f>'Saisie données file act.'!AM75</f>
        <v>0</v>
      </c>
      <c r="AM58" s="1290">
        <f>'Saisie données file act.'!AN75</f>
        <v>0</v>
      </c>
      <c r="AN58" s="1290">
        <f>'Saisie données file act.'!AO75</f>
        <v>0</v>
      </c>
      <c r="AO58" s="1290">
        <f>'Saisie données file act.'!AP75</f>
        <v>0</v>
      </c>
      <c r="AP58" s="1290">
        <f>'Saisie données file act.'!AQ75</f>
        <v>0</v>
      </c>
      <c r="AQ58" s="1290">
        <f>'Saisie données file act.'!AR75</f>
        <v>0</v>
      </c>
      <c r="AR58" s="1285">
        <f>'Saisie données file act.'!AS75</f>
        <v>0</v>
      </c>
      <c r="AS58" s="1753">
        <f>'Saisie données file act.'!AT75</f>
        <v>0</v>
      </c>
      <c r="AT58" s="1757">
        <f>'Saisie données file act.'!AU75</f>
        <v>0</v>
      </c>
    </row>
    <row r="59" spans="2:46" ht="12.75" hidden="1" customHeight="1" x14ac:dyDescent="0.2">
      <c r="B59" s="3308"/>
      <c r="C59" s="1255">
        <f>'Saisie données file act.'!D76</f>
        <v>0</v>
      </c>
      <c r="D59" s="1284">
        <f>'Saisie données file act.'!E76</f>
        <v>0</v>
      </c>
      <c r="E59" s="1285">
        <f>'Saisie données file act.'!F76</f>
        <v>0</v>
      </c>
      <c r="F59" s="1285">
        <f>'Saisie données file act.'!G76</f>
        <v>0</v>
      </c>
      <c r="G59" s="1285">
        <f>'Saisie données file act.'!H76</f>
        <v>0</v>
      </c>
      <c r="H59" s="1285">
        <f>'Saisie données file act.'!I76</f>
        <v>0</v>
      </c>
      <c r="I59" s="1285">
        <f>'Saisie données file act.'!J76</f>
        <v>0</v>
      </c>
      <c r="J59" s="1285">
        <f>'Saisie données file act.'!K76</f>
        <v>0</v>
      </c>
      <c r="K59" s="1285">
        <f>'Saisie données file act.'!L76</f>
        <v>0</v>
      </c>
      <c r="L59" s="1285">
        <f>'Saisie données file act.'!M76</f>
        <v>0</v>
      </c>
      <c r="M59" s="1285">
        <f>'Saisie données file act.'!N76</f>
        <v>0</v>
      </c>
      <c r="N59" s="1285">
        <f>'Saisie données file act.'!O76</f>
        <v>0</v>
      </c>
      <c r="O59" s="1285">
        <f>'Saisie données file act.'!P76</f>
        <v>0</v>
      </c>
      <c r="P59" s="1285">
        <f>'Saisie données file act.'!Q76</f>
        <v>0</v>
      </c>
      <c r="Q59" s="1285">
        <f>'Saisie données file act.'!R76</f>
        <v>0</v>
      </c>
      <c r="R59" s="1753">
        <f>'Saisie données file act.'!S76</f>
        <v>0</v>
      </c>
      <c r="S59" s="1767">
        <f>'Saisie données file act.'!T76</f>
        <v>0</v>
      </c>
      <c r="T59" s="1738">
        <f>'Saisie données file act.'!U76</f>
        <v>0</v>
      </c>
      <c r="U59" s="1738">
        <f>'Saisie données file act.'!V76</f>
        <v>0</v>
      </c>
      <c r="V59" s="1738">
        <f>'Saisie données file act.'!W76</f>
        <v>0</v>
      </c>
      <c r="W59" s="1738">
        <f>'Saisie données file act.'!X76</f>
        <v>0</v>
      </c>
      <c r="X59" s="1768">
        <f>'Saisie données file act.'!Y76</f>
        <v>0</v>
      </c>
      <c r="Y59" s="1767">
        <f>'Saisie données file act.'!Z76</f>
        <v>0</v>
      </c>
      <c r="Z59" s="1738">
        <f>'Saisie données file act.'!AA76</f>
        <v>0</v>
      </c>
      <c r="AA59" s="1738">
        <f>'Saisie données file act.'!AB76</f>
        <v>0</v>
      </c>
      <c r="AB59" s="1738">
        <f>'Saisie données file act.'!AC76</f>
        <v>0</v>
      </c>
      <c r="AC59" s="1738">
        <f>'Saisie données file act.'!AD76</f>
        <v>0</v>
      </c>
      <c r="AD59" s="1738">
        <f>'Saisie données file act.'!AE76</f>
        <v>0</v>
      </c>
      <c r="AE59" s="1738">
        <f>'Saisie données file act.'!AF76</f>
        <v>0</v>
      </c>
      <c r="AF59" s="1738">
        <f>'Saisie données file act.'!AG76</f>
        <v>0</v>
      </c>
      <c r="AG59" s="1738">
        <f>'Saisie données file act.'!AH76</f>
        <v>0</v>
      </c>
      <c r="AH59" s="1738">
        <f>'Saisie données file act.'!AI76</f>
        <v>0</v>
      </c>
      <c r="AI59" s="1768">
        <f>'Saisie données file act.'!AJ76</f>
        <v>0</v>
      </c>
      <c r="AJ59" s="1776">
        <f>'Saisie données file act.'!AK76</f>
        <v>0</v>
      </c>
      <c r="AK59" s="1290">
        <f>'Saisie données file act.'!AL76</f>
        <v>0</v>
      </c>
      <c r="AL59" s="1290">
        <f>'Saisie données file act.'!AM76</f>
        <v>0</v>
      </c>
      <c r="AM59" s="1290">
        <f>'Saisie données file act.'!AN76</f>
        <v>0</v>
      </c>
      <c r="AN59" s="1290">
        <f>'Saisie données file act.'!AO76</f>
        <v>0</v>
      </c>
      <c r="AO59" s="1290">
        <f>'Saisie données file act.'!AP76</f>
        <v>0</v>
      </c>
      <c r="AP59" s="1290">
        <f>'Saisie données file act.'!AQ76</f>
        <v>0</v>
      </c>
      <c r="AQ59" s="1290">
        <f>'Saisie données file act.'!AR76</f>
        <v>0</v>
      </c>
      <c r="AR59" s="1285">
        <f>'Saisie données file act.'!AS76</f>
        <v>0</v>
      </c>
      <c r="AS59" s="1753">
        <f>'Saisie données file act.'!AT76</f>
        <v>0</v>
      </c>
      <c r="AT59" s="1757">
        <f>'Saisie données file act.'!AU76</f>
        <v>0</v>
      </c>
    </row>
    <row r="60" spans="2:46" ht="12.75" hidden="1" customHeight="1" x14ac:dyDescent="0.2">
      <c r="B60" s="3308"/>
      <c r="C60" s="1255">
        <f>'Saisie données file act.'!D77</f>
        <v>0</v>
      </c>
      <c r="D60" s="1284">
        <f>'Saisie données file act.'!E77</f>
        <v>0</v>
      </c>
      <c r="E60" s="1285">
        <f>'Saisie données file act.'!F77</f>
        <v>0</v>
      </c>
      <c r="F60" s="1285">
        <f>'Saisie données file act.'!G77</f>
        <v>0</v>
      </c>
      <c r="G60" s="1285">
        <f>'Saisie données file act.'!H77</f>
        <v>0</v>
      </c>
      <c r="H60" s="1285">
        <f>'Saisie données file act.'!I77</f>
        <v>0</v>
      </c>
      <c r="I60" s="1285">
        <f>'Saisie données file act.'!J77</f>
        <v>0</v>
      </c>
      <c r="J60" s="1285">
        <f>'Saisie données file act.'!K77</f>
        <v>0</v>
      </c>
      <c r="K60" s="1285">
        <f>'Saisie données file act.'!L77</f>
        <v>0</v>
      </c>
      <c r="L60" s="1285">
        <f>'Saisie données file act.'!M77</f>
        <v>0</v>
      </c>
      <c r="M60" s="1285">
        <f>'Saisie données file act.'!N77</f>
        <v>0</v>
      </c>
      <c r="N60" s="1285">
        <f>'Saisie données file act.'!O77</f>
        <v>0</v>
      </c>
      <c r="O60" s="1285">
        <f>'Saisie données file act.'!P77</f>
        <v>0</v>
      </c>
      <c r="P60" s="1285">
        <f>'Saisie données file act.'!Q77</f>
        <v>0</v>
      </c>
      <c r="Q60" s="1285">
        <f>'Saisie données file act.'!R77</f>
        <v>0</v>
      </c>
      <c r="R60" s="1753">
        <f>'Saisie données file act.'!S77</f>
        <v>0</v>
      </c>
      <c r="S60" s="1767">
        <f>'Saisie données file act.'!T77</f>
        <v>0</v>
      </c>
      <c r="T60" s="1738">
        <f>'Saisie données file act.'!U77</f>
        <v>0</v>
      </c>
      <c r="U60" s="1738">
        <f>'Saisie données file act.'!V77</f>
        <v>0</v>
      </c>
      <c r="V60" s="1738">
        <f>'Saisie données file act.'!W77</f>
        <v>0</v>
      </c>
      <c r="W60" s="1738">
        <f>'Saisie données file act.'!X77</f>
        <v>0</v>
      </c>
      <c r="X60" s="1768">
        <f>'Saisie données file act.'!Y77</f>
        <v>0</v>
      </c>
      <c r="Y60" s="1767">
        <f>'Saisie données file act.'!Z77</f>
        <v>0</v>
      </c>
      <c r="Z60" s="1738">
        <f>'Saisie données file act.'!AA77</f>
        <v>0</v>
      </c>
      <c r="AA60" s="1738">
        <f>'Saisie données file act.'!AB77</f>
        <v>0</v>
      </c>
      <c r="AB60" s="1738">
        <f>'Saisie données file act.'!AC77</f>
        <v>0</v>
      </c>
      <c r="AC60" s="1738">
        <f>'Saisie données file act.'!AD77</f>
        <v>0</v>
      </c>
      <c r="AD60" s="1738">
        <f>'Saisie données file act.'!AE77</f>
        <v>0</v>
      </c>
      <c r="AE60" s="1738">
        <f>'Saisie données file act.'!AF77</f>
        <v>0</v>
      </c>
      <c r="AF60" s="1738">
        <f>'Saisie données file act.'!AG77</f>
        <v>0</v>
      </c>
      <c r="AG60" s="1738">
        <f>'Saisie données file act.'!AH77</f>
        <v>0</v>
      </c>
      <c r="AH60" s="1738">
        <f>'Saisie données file act.'!AI77</f>
        <v>0</v>
      </c>
      <c r="AI60" s="1768">
        <f>'Saisie données file act.'!AJ77</f>
        <v>0</v>
      </c>
      <c r="AJ60" s="1776">
        <f>'Saisie données file act.'!AK77</f>
        <v>0</v>
      </c>
      <c r="AK60" s="1290">
        <f>'Saisie données file act.'!AL77</f>
        <v>0</v>
      </c>
      <c r="AL60" s="1290">
        <f>'Saisie données file act.'!AM77</f>
        <v>0</v>
      </c>
      <c r="AM60" s="1290">
        <f>'Saisie données file act.'!AN77</f>
        <v>0</v>
      </c>
      <c r="AN60" s="1290">
        <f>'Saisie données file act.'!AO77</f>
        <v>0</v>
      </c>
      <c r="AO60" s="1290">
        <f>'Saisie données file act.'!AP77</f>
        <v>0</v>
      </c>
      <c r="AP60" s="1290">
        <f>'Saisie données file act.'!AQ77</f>
        <v>0</v>
      </c>
      <c r="AQ60" s="1290">
        <f>'Saisie données file act.'!AR77</f>
        <v>0</v>
      </c>
      <c r="AR60" s="1285">
        <f>'Saisie données file act.'!AS77</f>
        <v>0</v>
      </c>
      <c r="AS60" s="1753">
        <f>'Saisie données file act.'!AT77</f>
        <v>0</v>
      </c>
      <c r="AT60" s="1757">
        <f>'Saisie données file act.'!AU77</f>
        <v>0</v>
      </c>
    </row>
    <row r="61" spans="2:46" ht="12.75" hidden="1" customHeight="1" x14ac:dyDescent="0.2">
      <c r="B61" s="3308"/>
      <c r="C61" s="1255">
        <f>'Saisie données file act.'!D78</f>
        <v>0</v>
      </c>
      <c r="D61" s="1284">
        <f>'Saisie données file act.'!E78</f>
        <v>0</v>
      </c>
      <c r="E61" s="1285">
        <f>'Saisie données file act.'!F78</f>
        <v>0</v>
      </c>
      <c r="F61" s="1285">
        <f>'Saisie données file act.'!G78</f>
        <v>0</v>
      </c>
      <c r="G61" s="1285">
        <f>'Saisie données file act.'!H78</f>
        <v>0</v>
      </c>
      <c r="H61" s="1285">
        <f>'Saisie données file act.'!I78</f>
        <v>0</v>
      </c>
      <c r="I61" s="1285">
        <f>'Saisie données file act.'!J78</f>
        <v>0</v>
      </c>
      <c r="J61" s="1285">
        <f>'Saisie données file act.'!K78</f>
        <v>0</v>
      </c>
      <c r="K61" s="1285">
        <f>'Saisie données file act.'!L78</f>
        <v>0</v>
      </c>
      <c r="L61" s="1285">
        <f>'Saisie données file act.'!M78</f>
        <v>0</v>
      </c>
      <c r="M61" s="1285">
        <f>'Saisie données file act.'!N78</f>
        <v>0</v>
      </c>
      <c r="N61" s="1285">
        <f>'Saisie données file act.'!O78</f>
        <v>0</v>
      </c>
      <c r="O61" s="1285">
        <f>'Saisie données file act.'!P78</f>
        <v>0</v>
      </c>
      <c r="P61" s="1285">
        <f>'Saisie données file act.'!Q78</f>
        <v>0</v>
      </c>
      <c r="Q61" s="1285">
        <f>'Saisie données file act.'!R78</f>
        <v>0</v>
      </c>
      <c r="R61" s="1753">
        <f>'Saisie données file act.'!S78</f>
        <v>0</v>
      </c>
      <c r="S61" s="1767">
        <f>'Saisie données file act.'!T78</f>
        <v>0</v>
      </c>
      <c r="T61" s="1738">
        <f>'Saisie données file act.'!U78</f>
        <v>0</v>
      </c>
      <c r="U61" s="1738">
        <f>'Saisie données file act.'!V78</f>
        <v>0</v>
      </c>
      <c r="V61" s="1738">
        <f>'Saisie données file act.'!W78</f>
        <v>0</v>
      </c>
      <c r="W61" s="1738">
        <f>'Saisie données file act.'!X78</f>
        <v>0</v>
      </c>
      <c r="X61" s="1768">
        <f>'Saisie données file act.'!Y78</f>
        <v>0</v>
      </c>
      <c r="Y61" s="1767">
        <f>'Saisie données file act.'!Z78</f>
        <v>0</v>
      </c>
      <c r="Z61" s="1738">
        <f>'Saisie données file act.'!AA78</f>
        <v>0</v>
      </c>
      <c r="AA61" s="1738">
        <f>'Saisie données file act.'!AB78</f>
        <v>0</v>
      </c>
      <c r="AB61" s="1738">
        <f>'Saisie données file act.'!AC78</f>
        <v>0</v>
      </c>
      <c r="AC61" s="1738">
        <f>'Saisie données file act.'!AD78</f>
        <v>0</v>
      </c>
      <c r="AD61" s="1738">
        <f>'Saisie données file act.'!AE78</f>
        <v>0</v>
      </c>
      <c r="AE61" s="1738">
        <f>'Saisie données file act.'!AF78</f>
        <v>0</v>
      </c>
      <c r="AF61" s="1738">
        <f>'Saisie données file act.'!AG78</f>
        <v>0</v>
      </c>
      <c r="AG61" s="1738">
        <f>'Saisie données file act.'!AH78</f>
        <v>0</v>
      </c>
      <c r="AH61" s="1738">
        <f>'Saisie données file act.'!AI78</f>
        <v>0</v>
      </c>
      <c r="AI61" s="1768">
        <f>'Saisie données file act.'!AJ78</f>
        <v>0</v>
      </c>
      <c r="AJ61" s="1776">
        <f>'Saisie données file act.'!AK78</f>
        <v>0</v>
      </c>
      <c r="AK61" s="1290">
        <f>'Saisie données file act.'!AL78</f>
        <v>0</v>
      </c>
      <c r="AL61" s="1290">
        <f>'Saisie données file act.'!AM78</f>
        <v>0</v>
      </c>
      <c r="AM61" s="1290">
        <f>'Saisie données file act.'!AN78</f>
        <v>0</v>
      </c>
      <c r="AN61" s="1290">
        <f>'Saisie données file act.'!AO78</f>
        <v>0</v>
      </c>
      <c r="AO61" s="1290">
        <f>'Saisie données file act.'!AP78</f>
        <v>0</v>
      </c>
      <c r="AP61" s="1290">
        <f>'Saisie données file act.'!AQ78</f>
        <v>0</v>
      </c>
      <c r="AQ61" s="1290">
        <f>'Saisie données file act.'!AR78</f>
        <v>0</v>
      </c>
      <c r="AR61" s="1285">
        <f>'Saisie données file act.'!AS78</f>
        <v>0</v>
      </c>
      <c r="AS61" s="1753">
        <f>'Saisie données file act.'!AT78</f>
        <v>0</v>
      </c>
      <c r="AT61" s="1757">
        <f>'Saisie données file act.'!AU78</f>
        <v>0</v>
      </c>
    </row>
    <row r="62" spans="2:46" ht="12.75" hidden="1" customHeight="1" x14ac:dyDescent="0.2">
      <c r="B62" s="3308"/>
      <c r="C62" s="1255">
        <f>'Saisie données file act.'!D79</f>
        <v>0</v>
      </c>
      <c r="D62" s="1284">
        <f>'Saisie données file act.'!E79</f>
        <v>0</v>
      </c>
      <c r="E62" s="1285">
        <f>'Saisie données file act.'!F79</f>
        <v>0</v>
      </c>
      <c r="F62" s="1285">
        <f>'Saisie données file act.'!G79</f>
        <v>0</v>
      </c>
      <c r="G62" s="1285">
        <f>'Saisie données file act.'!H79</f>
        <v>0</v>
      </c>
      <c r="H62" s="1285">
        <f>'Saisie données file act.'!I79</f>
        <v>0</v>
      </c>
      <c r="I62" s="1285">
        <f>'Saisie données file act.'!J79</f>
        <v>0</v>
      </c>
      <c r="J62" s="1285">
        <f>'Saisie données file act.'!K79</f>
        <v>0</v>
      </c>
      <c r="K62" s="1285">
        <f>'Saisie données file act.'!L79</f>
        <v>0</v>
      </c>
      <c r="L62" s="1285">
        <f>'Saisie données file act.'!M79</f>
        <v>0</v>
      </c>
      <c r="M62" s="1285">
        <f>'Saisie données file act.'!N79</f>
        <v>0</v>
      </c>
      <c r="N62" s="1285">
        <f>'Saisie données file act.'!O79</f>
        <v>0</v>
      </c>
      <c r="O62" s="1285">
        <f>'Saisie données file act.'!P79</f>
        <v>0</v>
      </c>
      <c r="P62" s="1285">
        <f>'Saisie données file act.'!Q79</f>
        <v>0</v>
      </c>
      <c r="Q62" s="1285">
        <f>'Saisie données file act.'!R79</f>
        <v>0</v>
      </c>
      <c r="R62" s="1753">
        <f>'Saisie données file act.'!S79</f>
        <v>0</v>
      </c>
      <c r="S62" s="1767">
        <f>'Saisie données file act.'!T79</f>
        <v>0</v>
      </c>
      <c r="T62" s="1738">
        <f>'Saisie données file act.'!U79</f>
        <v>0</v>
      </c>
      <c r="U62" s="1738">
        <f>'Saisie données file act.'!V79</f>
        <v>0</v>
      </c>
      <c r="V62" s="1738">
        <f>'Saisie données file act.'!W79</f>
        <v>0</v>
      </c>
      <c r="W62" s="1738">
        <f>'Saisie données file act.'!X79</f>
        <v>0</v>
      </c>
      <c r="X62" s="1768">
        <f>'Saisie données file act.'!Y79</f>
        <v>0</v>
      </c>
      <c r="Y62" s="1767">
        <f>'Saisie données file act.'!Z79</f>
        <v>0</v>
      </c>
      <c r="Z62" s="1738">
        <f>'Saisie données file act.'!AA79</f>
        <v>0</v>
      </c>
      <c r="AA62" s="1738">
        <f>'Saisie données file act.'!AB79</f>
        <v>0</v>
      </c>
      <c r="AB62" s="1738">
        <f>'Saisie données file act.'!AC79</f>
        <v>0</v>
      </c>
      <c r="AC62" s="1738">
        <f>'Saisie données file act.'!AD79</f>
        <v>0</v>
      </c>
      <c r="AD62" s="1738">
        <f>'Saisie données file act.'!AE79</f>
        <v>0</v>
      </c>
      <c r="AE62" s="1738">
        <f>'Saisie données file act.'!AF79</f>
        <v>0</v>
      </c>
      <c r="AF62" s="1738">
        <f>'Saisie données file act.'!AG79</f>
        <v>0</v>
      </c>
      <c r="AG62" s="1738">
        <f>'Saisie données file act.'!AH79</f>
        <v>0</v>
      </c>
      <c r="AH62" s="1738">
        <f>'Saisie données file act.'!AI79</f>
        <v>0</v>
      </c>
      <c r="AI62" s="1768">
        <f>'Saisie données file act.'!AJ79</f>
        <v>0</v>
      </c>
      <c r="AJ62" s="1776">
        <f>'Saisie données file act.'!AK79</f>
        <v>0</v>
      </c>
      <c r="AK62" s="1290">
        <f>'Saisie données file act.'!AL79</f>
        <v>0</v>
      </c>
      <c r="AL62" s="1290">
        <f>'Saisie données file act.'!AM79</f>
        <v>0</v>
      </c>
      <c r="AM62" s="1290">
        <f>'Saisie données file act.'!AN79</f>
        <v>0</v>
      </c>
      <c r="AN62" s="1290">
        <f>'Saisie données file act.'!AO79</f>
        <v>0</v>
      </c>
      <c r="AO62" s="1290">
        <f>'Saisie données file act.'!AP79</f>
        <v>0</v>
      </c>
      <c r="AP62" s="1290">
        <f>'Saisie données file act.'!AQ79</f>
        <v>0</v>
      </c>
      <c r="AQ62" s="1290">
        <f>'Saisie données file act.'!AR79</f>
        <v>0</v>
      </c>
      <c r="AR62" s="1285">
        <f>'Saisie données file act.'!AS79</f>
        <v>0</v>
      </c>
      <c r="AS62" s="1753">
        <f>'Saisie données file act.'!AT79</f>
        <v>0</v>
      </c>
      <c r="AT62" s="1757">
        <f>'Saisie données file act.'!AU79</f>
        <v>0</v>
      </c>
    </row>
    <row r="63" spans="2:46" ht="12.75" hidden="1" customHeight="1" x14ac:dyDescent="0.2">
      <c r="B63" s="3308"/>
      <c r="C63" s="1255">
        <f>'Saisie données file act.'!D80</f>
        <v>0</v>
      </c>
      <c r="D63" s="1284">
        <f>'Saisie données file act.'!E80</f>
        <v>0</v>
      </c>
      <c r="E63" s="1285">
        <f>'Saisie données file act.'!F80</f>
        <v>0</v>
      </c>
      <c r="F63" s="1285">
        <f>'Saisie données file act.'!G80</f>
        <v>0</v>
      </c>
      <c r="G63" s="1285">
        <f>'Saisie données file act.'!H80</f>
        <v>0</v>
      </c>
      <c r="H63" s="1285">
        <f>'Saisie données file act.'!I80</f>
        <v>0</v>
      </c>
      <c r="I63" s="1285">
        <f>'Saisie données file act.'!J80</f>
        <v>0</v>
      </c>
      <c r="J63" s="1285">
        <f>'Saisie données file act.'!K80</f>
        <v>0</v>
      </c>
      <c r="K63" s="1285">
        <f>'Saisie données file act.'!L80</f>
        <v>0</v>
      </c>
      <c r="L63" s="1285">
        <f>'Saisie données file act.'!M80</f>
        <v>0</v>
      </c>
      <c r="M63" s="1285">
        <f>'Saisie données file act.'!N80</f>
        <v>0</v>
      </c>
      <c r="N63" s="1285">
        <f>'Saisie données file act.'!O80</f>
        <v>0</v>
      </c>
      <c r="O63" s="1285">
        <f>'Saisie données file act.'!P80</f>
        <v>0</v>
      </c>
      <c r="P63" s="1285">
        <f>'Saisie données file act.'!Q80</f>
        <v>0</v>
      </c>
      <c r="Q63" s="1285">
        <f>'Saisie données file act.'!R80</f>
        <v>0</v>
      </c>
      <c r="R63" s="1753">
        <f>'Saisie données file act.'!S80</f>
        <v>0</v>
      </c>
      <c r="S63" s="1767">
        <f>'Saisie données file act.'!T80</f>
        <v>0</v>
      </c>
      <c r="T63" s="1738">
        <f>'Saisie données file act.'!U80</f>
        <v>0</v>
      </c>
      <c r="U63" s="1738">
        <f>'Saisie données file act.'!V80</f>
        <v>0</v>
      </c>
      <c r="V63" s="1738">
        <f>'Saisie données file act.'!W80</f>
        <v>0</v>
      </c>
      <c r="W63" s="1738">
        <f>'Saisie données file act.'!X80</f>
        <v>0</v>
      </c>
      <c r="X63" s="1768">
        <f>'Saisie données file act.'!Y80</f>
        <v>0</v>
      </c>
      <c r="Y63" s="1767">
        <f>'Saisie données file act.'!Z80</f>
        <v>0</v>
      </c>
      <c r="Z63" s="1738">
        <f>'Saisie données file act.'!AA80</f>
        <v>0</v>
      </c>
      <c r="AA63" s="1738">
        <f>'Saisie données file act.'!AB80</f>
        <v>0</v>
      </c>
      <c r="AB63" s="1738">
        <f>'Saisie données file act.'!AC80</f>
        <v>0</v>
      </c>
      <c r="AC63" s="1738">
        <f>'Saisie données file act.'!AD80</f>
        <v>0</v>
      </c>
      <c r="AD63" s="1738">
        <f>'Saisie données file act.'!AE80</f>
        <v>0</v>
      </c>
      <c r="AE63" s="1738">
        <f>'Saisie données file act.'!AF80</f>
        <v>0</v>
      </c>
      <c r="AF63" s="1738">
        <f>'Saisie données file act.'!AG80</f>
        <v>0</v>
      </c>
      <c r="AG63" s="1738">
        <f>'Saisie données file act.'!AH80</f>
        <v>0</v>
      </c>
      <c r="AH63" s="1738">
        <f>'Saisie données file act.'!AI80</f>
        <v>0</v>
      </c>
      <c r="AI63" s="1768">
        <f>'Saisie données file act.'!AJ80</f>
        <v>0</v>
      </c>
      <c r="AJ63" s="1776">
        <f>'Saisie données file act.'!AK80</f>
        <v>0</v>
      </c>
      <c r="AK63" s="1290">
        <f>'Saisie données file act.'!AL80</f>
        <v>0</v>
      </c>
      <c r="AL63" s="1290">
        <f>'Saisie données file act.'!AM80</f>
        <v>0</v>
      </c>
      <c r="AM63" s="1290">
        <f>'Saisie données file act.'!AN80</f>
        <v>0</v>
      </c>
      <c r="AN63" s="1290">
        <f>'Saisie données file act.'!AO80</f>
        <v>0</v>
      </c>
      <c r="AO63" s="1290">
        <f>'Saisie données file act.'!AP80</f>
        <v>0</v>
      </c>
      <c r="AP63" s="1290">
        <f>'Saisie données file act.'!AQ80</f>
        <v>0</v>
      </c>
      <c r="AQ63" s="1290">
        <f>'Saisie données file act.'!AR80</f>
        <v>0</v>
      </c>
      <c r="AR63" s="1285">
        <f>'Saisie données file act.'!AS80</f>
        <v>0</v>
      </c>
      <c r="AS63" s="1753">
        <f>'Saisie données file act.'!AT80</f>
        <v>0</v>
      </c>
      <c r="AT63" s="1757">
        <f>'Saisie données file act.'!AU80</f>
        <v>0</v>
      </c>
    </row>
    <row r="64" spans="2:46" ht="12.75" hidden="1" customHeight="1" x14ac:dyDescent="0.2">
      <c r="B64" s="3308"/>
      <c r="C64" s="1255">
        <f>'Saisie données file act.'!D81</f>
        <v>0</v>
      </c>
      <c r="D64" s="1284">
        <f>'Saisie données file act.'!E81</f>
        <v>0</v>
      </c>
      <c r="E64" s="1285">
        <f>'Saisie données file act.'!F81</f>
        <v>0</v>
      </c>
      <c r="F64" s="1285">
        <f>'Saisie données file act.'!G81</f>
        <v>0</v>
      </c>
      <c r="G64" s="1285">
        <f>'Saisie données file act.'!H81</f>
        <v>0</v>
      </c>
      <c r="H64" s="1285">
        <f>'Saisie données file act.'!I81</f>
        <v>0</v>
      </c>
      <c r="I64" s="1285">
        <f>'Saisie données file act.'!J81</f>
        <v>0</v>
      </c>
      <c r="J64" s="1285">
        <f>'Saisie données file act.'!K81</f>
        <v>0</v>
      </c>
      <c r="K64" s="1285">
        <f>'Saisie données file act.'!L81</f>
        <v>0</v>
      </c>
      <c r="L64" s="1285">
        <f>'Saisie données file act.'!M81</f>
        <v>0</v>
      </c>
      <c r="M64" s="1285">
        <f>'Saisie données file act.'!N81</f>
        <v>0</v>
      </c>
      <c r="N64" s="1285">
        <f>'Saisie données file act.'!O81</f>
        <v>0</v>
      </c>
      <c r="O64" s="1285">
        <f>'Saisie données file act.'!P81</f>
        <v>0</v>
      </c>
      <c r="P64" s="1285">
        <f>'Saisie données file act.'!Q81</f>
        <v>0</v>
      </c>
      <c r="Q64" s="1285">
        <f>'Saisie données file act.'!R81</f>
        <v>0</v>
      </c>
      <c r="R64" s="1753">
        <f>'Saisie données file act.'!S81</f>
        <v>0</v>
      </c>
      <c r="S64" s="1767">
        <f>'Saisie données file act.'!T81</f>
        <v>0</v>
      </c>
      <c r="T64" s="1738">
        <f>'Saisie données file act.'!U81</f>
        <v>0</v>
      </c>
      <c r="U64" s="1738">
        <f>'Saisie données file act.'!V81</f>
        <v>0</v>
      </c>
      <c r="V64" s="1738">
        <f>'Saisie données file act.'!W81</f>
        <v>0</v>
      </c>
      <c r="W64" s="1738">
        <f>'Saisie données file act.'!X81</f>
        <v>0</v>
      </c>
      <c r="X64" s="1768">
        <f>'Saisie données file act.'!Y81</f>
        <v>0</v>
      </c>
      <c r="Y64" s="1767">
        <f>'Saisie données file act.'!Z81</f>
        <v>0</v>
      </c>
      <c r="Z64" s="1738">
        <f>'Saisie données file act.'!AA81</f>
        <v>0</v>
      </c>
      <c r="AA64" s="1738">
        <f>'Saisie données file act.'!AB81</f>
        <v>0</v>
      </c>
      <c r="AB64" s="1738">
        <f>'Saisie données file act.'!AC81</f>
        <v>0</v>
      </c>
      <c r="AC64" s="1738">
        <f>'Saisie données file act.'!AD81</f>
        <v>0</v>
      </c>
      <c r="AD64" s="1738">
        <f>'Saisie données file act.'!AE81</f>
        <v>0</v>
      </c>
      <c r="AE64" s="1738">
        <f>'Saisie données file act.'!AF81</f>
        <v>0</v>
      </c>
      <c r="AF64" s="1738">
        <f>'Saisie données file act.'!AG81</f>
        <v>0</v>
      </c>
      <c r="AG64" s="1738">
        <f>'Saisie données file act.'!AH81</f>
        <v>0</v>
      </c>
      <c r="AH64" s="1738">
        <f>'Saisie données file act.'!AI81</f>
        <v>0</v>
      </c>
      <c r="AI64" s="1768">
        <f>'Saisie données file act.'!AJ81</f>
        <v>0</v>
      </c>
      <c r="AJ64" s="1776">
        <f>'Saisie données file act.'!AK81</f>
        <v>0</v>
      </c>
      <c r="AK64" s="1290">
        <f>'Saisie données file act.'!AL81</f>
        <v>0</v>
      </c>
      <c r="AL64" s="1290">
        <f>'Saisie données file act.'!AM81</f>
        <v>0</v>
      </c>
      <c r="AM64" s="1290">
        <f>'Saisie données file act.'!AN81</f>
        <v>0</v>
      </c>
      <c r="AN64" s="1290">
        <f>'Saisie données file act.'!AO81</f>
        <v>0</v>
      </c>
      <c r="AO64" s="1290">
        <f>'Saisie données file act.'!AP81</f>
        <v>0</v>
      </c>
      <c r="AP64" s="1290">
        <f>'Saisie données file act.'!AQ81</f>
        <v>0</v>
      </c>
      <c r="AQ64" s="1290">
        <f>'Saisie données file act.'!AR81</f>
        <v>0</v>
      </c>
      <c r="AR64" s="1285">
        <f>'Saisie données file act.'!AS81</f>
        <v>0</v>
      </c>
      <c r="AS64" s="1753">
        <f>'Saisie données file act.'!AT81</f>
        <v>0</v>
      </c>
      <c r="AT64" s="1757">
        <f>'Saisie données file act.'!AU81</f>
        <v>0</v>
      </c>
    </row>
    <row r="65" spans="2:46" ht="12.75" hidden="1" customHeight="1" x14ac:dyDescent="0.2">
      <c r="B65" s="3308"/>
      <c r="C65" s="1255">
        <f>'Saisie données file act.'!D82</f>
        <v>0</v>
      </c>
      <c r="D65" s="1284">
        <f>'Saisie données file act.'!E82</f>
        <v>0</v>
      </c>
      <c r="E65" s="1285">
        <f>'Saisie données file act.'!F82</f>
        <v>0</v>
      </c>
      <c r="F65" s="1285">
        <f>'Saisie données file act.'!G82</f>
        <v>0</v>
      </c>
      <c r="G65" s="1285">
        <f>'Saisie données file act.'!H82</f>
        <v>0</v>
      </c>
      <c r="H65" s="1285">
        <f>'Saisie données file act.'!I82</f>
        <v>0</v>
      </c>
      <c r="I65" s="1285">
        <f>'Saisie données file act.'!J82</f>
        <v>0</v>
      </c>
      <c r="J65" s="1285">
        <f>'Saisie données file act.'!K82</f>
        <v>0</v>
      </c>
      <c r="K65" s="1285">
        <f>'Saisie données file act.'!L82</f>
        <v>0</v>
      </c>
      <c r="L65" s="1285">
        <f>'Saisie données file act.'!M82</f>
        <v>0</v>
      </c>
      <c r="M65" s="1285">
        <f>'Saisie données file act.'!N82</f>
        <v>0</v>
      </c>
      <c r="N65" s="1285">
        <f>'Saisie données file act.'!O82</f>
        <v>0</v>
      </c>
      <c r="O65" s="1285">
        <f>'Saisie données file act.'!P82</f>
        <v>0</v>
      </c>
      <c r="P65" s="1285">
        <f>'Saisie données file act.'!Q82</f>
        <v>0</v>
      </c>
      <c r="Q65" s="1285">
        <f>'Saisie données file act.'!R82</f>
        <v>0</v>
      </c>
      <c r="R65" s="1753">
        <f>'Saisie données file act.'!S82</f>
        <v>0</v>
      </c>
      <c r="S65" s="1767">
        <f>'Saisie données file act.'!T82</f>
        <v>0</v>
      </c>
      <c r="T65" s="1738">
        <f>'Saisie données file act.'!U82</f>
        <v>0</v>
      </c>
      <c r="U65" s="1738">
        <f>'Saisie données file act.'!V82</f>
        <v>0</v>
      </c>
      <c r="V65" s="1738">
        <f>'Saisie données file act.'!W82</f>
        <v>0</v>
      </c>
      <c r="W65" s="1738">
        <f>'Saisie données file act.'!X82</f>
        <v>0</v>
      </c>
      <c r="X65" s="1768">
        <f>'Saisie données file act.'!Y82</f>
        <v>0</v>
      </c>
      <c r="Y65" s="1767">
        <f>'Saisie données file act.'!Z82</f>
        <v>0</v>
      </c>
      <c r="Z65" s="1738">
        <f>'Saisie données file act.'!AA82</f>
        <v>0</v>
      </c>
      <c r="AA65" s="1738">
        <f>'Saisie données file act.'!AB82</f>
        <v>0</v>
      </c>
      <c r="AB65" s="1738">
        <f>'Saisie données file act.'!AC82</f>
        <v>0</v>
      </c>
      <c r="AC65" s="1738">
        <f>'Saisie données file act.'!AD82</f>
        <v>0</v>
      </c>
      <c r="AD65" s="1738">
        <f>'Saisie données file act.'!AE82</f>
        <v>0</v>
      </c>
      <c r="AE65" s="1738">
        <f>'Saisie données file act.'!AF82</f>
        <v>0</v>
      </c>
      <c r="AF65" s="1738">
        <f>'Saisie données file act.'!AG82</f>
        <v>0</v>
      </c>
      <c r="AG65" s="1738">
        <f>'Saisie données file act.'!AH82</f>
        <v>0</v>
      </c>
      <c r="AH65" s="1738">
        <f>'Saisie données file act.'!AI82</f>
        <v>0</v>
      </c>
      <c r="AI65" s="1768">
        <f>'Saisie données file act.'!AJ82</f>
        <v>0</v>
      </c>
      <c r="AJ65" s="1776">
        <f>'Saisie données file act.'!AK82</f>
        <v>0</v>
      </c>
      <c r="AK65" s="1290">
        <f>'Saisie données file act.'!AL82</f>
        <v>0</v>
      </c>
      <c r="AL65" s="1290">
        <f>'Saisie données file act.'!AM82</f>
        <v>0</v>
      </c>
      <c r="AM65" s="1290">
        <f>'Saisie données file act.'!AN82</f>
        <v>0</v>
      </c>
      <c r="AN65" s="1290">
        <f>'Saisie données file act.'!AO82</f>
        <v>0</v>
      </c>
      <c r="AO65" s="1290">
        <f>'Saisie données file act.'!AP82</f>
        <v>0</v>
      </c>
      <c r="AP65" s="1290">
        <f>'Saisie données file act.'!AQ82</f>
        <v>0</v>
      </c>
      <c r="AQ65" s="1290">
        <f>'Saisie données file act.'!AR82</f>
        <v>0</v>
      </c>
      <c r="AR65" s="1285">
        <f>'Saisie données file act.'!AS82</f>
        <v>0</v>
      </c>
      <c r="AS65" s="1753">
        <f>'Saisie données file act.'!AT82</f>
        <v>0</v>
      </c>
      <c r="AT65" s="1757">
        <f>'Saisie données file act.'!AU82</f>
        <v>0</v>
      </c>
    </row>
    <row r="66" spans="2:46" ht="12.75" hidden="1" customHeight="1" x14ac:dyDescent="0.2">
      <c r="B66" s="3308"/>
      <c r="C66" s="1255">
        <f>'Saisie données file act.'!D83</f>
        <v>0</v>
      </c>
      <c r="D66" s="1284">
        <f>'Saisie données file act.'!E83</f>
        <v>0</v>
      </c>
      <c r="E66" s="1285">
        <f>'Saisie données file act.'!F83</f>
        <v>0</v>
      </c>
      <c r="F66" s="1285">
        <f>'Saisie données file act.'!G83</f>
        <v>0</v>
      </c>
      <c r="G66" s="1285">
        <f>'Saisie données file act.'!H83</f>
        <v>0</v>
      </c>
      <c r="H66" s="1285">
        <f>'Saisie données file act.'!I83</f>
        <v>0</v>
      </c>
      <c r="I66" s="1285">
        <f>'Saisie données file act.'!J83</f>
        <v>0</v>
      </c>
      <c r="J66" s="1285">
        <f>'Saisie données file act.'!K83</f>
        <v>0</v>
      </c>
      <c r="K66" s="1285">
        <f>'Saisie données file act.'!L83</f>
        <v>0</v>
      </c>
      <c r="L66" s="1285">
        <f>'Saisie données file act.'!M83</f>
        <v>0</v>
      </c>
      <c r="M66" s="1285">
        <f>'Saisie données file act.'!N83</f>
        <v>0</v>
      </c>
      <c r="N66" s="1285">
        <f>'Saisie données file act.'!O83</f>
        <v>0</v>
      </c>
      <c r="O66" s="1285">
        <f>'Saisie données file act.'!P83</f>
        <v>0</v>
      </c>
      <c r="P66" s="1285">
        <f>'Saisie données file act.'!Q83</f>
        <v>0</v>
      </c>
      <c r="Q66" s="1285">
        <f>'Saisie données file act.'!R83</f>
        <v>0</v>
      </c>
      <c r="R66" s="1753">
        <f>'Saisie données file act.'!S83</f>
        <v>0</v>
      </c>
      <c r="S66" s="1767">
        <f>'Saisie données file act.'!T83</f>
        <v>0</v>
      </c>
      <c r="T66" s="1738">
        <f>'Saisie données file act.'!U83</f>
        <v>0</v>
      </c>
      <c r="U66" s="1738">
        <f>'Saisie données file act.'!V83</f>
        <v>0</v>
      </c>
      <c r="V66" s="1738">
        <f>'Saisie données file act.'!W83</f>
        <v>0</v>
      </c>
      <c r="W66" s="1738">
        <f>'Saisie données file act.'!X83</f>
        <v>0</v>
      </c>
      <c r="X66" s="1768">
        <f>'Saisie données file act.'!Y83</f>
        <v>0</v>
      </c>
      <c r="Y66" s="1767">
        <f>'Saisie données file act.'!Z83</f>
        <v>0</v>
      </c>
      <c r="Z66" s="1738">
        <f>'Saisie données file act.'!AA83</f>
        <v>0</v>
      </c>
      <c r="AA66" s="1738">
        <f>'Saisie données file act.'!AB83</f>
        <v>0</v>
      </c>
      <c r="AB66" s="1738">
        <f>'Saisie données file act.'!AC83</f>
        <v>0</v>
      </c>
      <c r="AC66" s="1738">
        <f>'Saisie données file act.'!AD83</f>
        <v>0</v>
      </c>
      <c r="AD66" s="1738">
        <f>'Saisie données file act.'!AE83</f>
        <v>0</v>
      </c>
      <c r="AE66" s="1738">
        <f>'Saisie données file act.'!AF83</f>
        <v>0</v>
      </c>
      <c r="AF66" s="1738">
        <f>'Saisie données file act.'!AG83</f>
        <v>0</v>
      </c>
      <c r="AG66" s="1738">
        <f>'Saisie données file act.'!AH83</f>
        <v>0</v>
      </c>
      <c r="AH66" s="1738">
        <f>'Saisie données file act.'!AI83</f>
        <v>0</v>
      </c>
      <c r="AI66" s="1768">
        <f>'Saisie données file act.'!AJ83</f>
        <v>0</v>
      </c>
      <c r="AJ66" s="1776">
        <f>'Saisie données file act.'!AK83</f>
        <v>0</v>
      </c>
      <c r="AK66" s="1290">
        <f>'Saisie données file act.'!AL83</f>
        <v>0</v>
      </c>
      <c r="AL66" s="1290">
        <f>'Saisie données file act.'!AM83</f>
        <v>0</v>
      </c>
      <c r="AM66" s="1290">
        <f>'Saisie données file act.'!AN83</f>
        <v>0</v>
      </c>
      <c r="AN66" s="1290">
        <f>'Saisie données file act.'!AO83</f>
        <v>0</v>
      </c>
      <c r="AO66" s="1290">
        <f>'Saisie données file act.'!AP83</f>
        <v>0</v>
      </c>
      <c r="AP66" s="1290">
        <f>'Saisie données file act.'!AQ83</f>
        <v>0</v>
      </c>
      <c r="AQ66" s="1290">
        <f>'Saisie données file act.'!AR83</f>
        <v>0</v>
      </c>
      <c r="AR66" s="1285">
        <f>'Saisie données file act.'!AS83</f>
        <v>0</v>
      </c>
      <c r="AS66" s="1753">
        <f>'Saisie données file act.'!AT83</f>
        <v>0</v>
      </c>
      <c r="AT66" s="1757">
        <f>'Saisie données file act.'!AU83</f>
        <v>0</v>
      </c>
    </row>
    <row r="67" spans="2:46" ht="12.75" hidden="1" customHeight="1" x14ac:dyDescent="0.2">
      <c r="B67" s="3308"/>
      <c r="C67" s="1255">
        <f>'Saisie données file act.'!D84</f>
        <v>0</v>
      </c>
      <c r="D67" s="1284">
        <f>'Saisie données file act.'!E84</f>
        <v>0</v>
      </c>
      <c r="E67" s="1285">
        <f>'Saisie données file act.'!F84</f>
        <v>0</v>
      </c>
      <c r="F67" s="1285">
        <f>'Saisie données file act.'!G84</f>
        <v>0</v>
      </c>
      <c r="G67" s="1285">
        <f>'Saisie données file act.'!H84</f>
        <v>0</v>
      </c>
      <c r="H67" s="1285">
        <f>'Saisie données file act.'!I84</f>
        <v>0</v>
      </c>
      <c r="I67" s="1285">
        <f>'Saisie données file act.'!J84</f>
        <v>0</v>
      </c>
      <c r="J67" s="1285">
        <f>'Saisie données file act.'!K84</f>
        <v>0</v>
      </c>
      <c r="K67" s="1285">
        <f>'Saisie données file act.'!L84</f>
        <v>0</v>
      </c>
      <c r="L67" s="1285">
        <f>'Saisie données file act.'!M84</f>
        <v>0</v>
      </c>
      <c r="M67" s="1285">
        <f>'Saisie données file act.'!N84</f>
        <v>0</v>
      </c>
      <c r="N67" s="1285">
        <f>'Saisie données file act.'!O84</f>
        <v>0</v>
      </c>
      <c r="O67" s="1285">
        <f>'Saisie données file act.'!P84</f>
        <v>0</v>
      </c>
      <c r="P67" s="1285">
        <f>'Saisie données file act.'!Q84</f>
        <v>0</v>
      </c>
      <c r="Q67" s="1285">
        <f>'Saisie données file act.'!R84</f>
        <v>0</v>
      </c>
      <c r="R67" s="1753">
        <f>'Saisie données file act.'!S84</f>
        <v>0</v>
      </c>
      <c r="S67" s="1767">
        <f>'Saisie données file act.'!T84</f>
        <v>0</v>
      </c>
      <c r="T67" s="1738">
        <f>'Saisie données file act.'!U84</f>
        <v>0</v>
      </c>
      <c r="U67" s="1738">
        <f>'Saisie données file act.'!V84</f>
        <v>0</v>
      </c>
      <c r="V67" s="1738">
        <f>'Saisie données file act.'!W84</f>
        <v>0</v>
      </c>
      <c r="W67" s="1738">
        <f>'Saisie données file act.'!X84</f>
        <v>0</v>
      </c>
      <c r="X67" s="1768">
        <f>'Saisie données file act.'!Y84</f>
        <v>0</v>
      </c>
      <c r="Y67" s="1767">
        <f>'Saisie données file act.'!Z84</f>
        <v>0</v>
      </c>
      <c r="Z67" s="1738">
        <f>'Saisie données file act.'!AA84</f>
        <v>0</v>
      </c>
      <c r="AA67" s="1738">
        <f>'Saisie données file act.'!AB84</f>
        <v>0</v>
      </c>
      <c r="AB67" s="1738">
        <f>'Saisie données file act.'!AC84</f>
        <v>0</v>
      </c>
      <c r="AC67" s="1738">
        <f>'Saisie données file act.'!AD84</f>
        <v>0</v>
      </c>
      <c r="AD67" s="1738">
        <f>'Saisie données file act.'!AE84</f>
        <v>0</v>
      </c>
      <c r="AE67" s="1738">
        <f>'Saisie données file act.'!AF84</f>
        <v>0</v>
      </c>
      <c r="AF67" s="1738">
        <f>'Saisie données file act.'!AG84</f>
        <v>0</v>
      </c>
      <c r="AG67" s="1738">
        <f>'Saisie données file act.'!AH84</f>
        <v>0</v>
      </c>
      <c r="AH67" s="1738">
        <f>'Saisie données file act.'!AI84</f>
        <v>0</v>
      </c>
      <c r="AI67" s="1768">
        <f>'Saisie données file act.'!AJ84</f>
        <v>0</v>
      </c>
      <c r="AJ67" s="1776">
        <f>'Saisie données file act.'!AK84</f>
        <v>0</v>
      </c>
      <c r="AK67" s="1290">
        <f>'Saisie données file act.'!AL84</f>
        <v>0</v>
      </c>
      <c r="AL67" s="1290">
        <f>'Saisie données file act.'!AM84</f>
        <v>0</v>
      </c>
      <c r="AM67" s="1290">
        <f>'Saisie données file act.'!AN84</f>
        <v>0</v>
      </c>
      <c r="AN67" s="1290">
        <f>'Saisie données file act.'!AO84</f>
        <v>0</v>
      </c>
      <c r="AO67" s="1290">
        <f>'Saisie données file act.'!AP84</f>
        <v>0</v>
      </c>
      <c r="AP67" s="1290">
        <f>'Saisie données file act.'!AQ84</f>
        <v>0</v>
      </c>
      <c r="AQ67" s="1290">
        <f>'Saisie données file act.'!AR84</f>
        <v>0</v>
      </c>
      <c r="AR67" s="1285">
        <f>'Saisie données file act.'!AS84</f>
        <v>0</v>
      </c>
      <c r="AS67" s="1753">
        <f>'Saisie données file act.'!AT84</f>
        <v>0</v>
      </c>
      <c r="AT67" s="1757">
        <f>'Saisie données file act.'!AU84</f>
        <v>0</v>
      </c>
    </row>
    <row r="68" spans="2:46" ht="12.75" hidden="1" customHeight="1" x14ac:dyDescent="0.2">
      <c r="B68" s="3308"/>
      <c r="C68" s="1255">
        <f>'Saisie données file act.'!D85</f>
        <v>0</v>
      </c>
      <c r="D68" s="1284">
        <f>'Saisie données file act.'!E85</f>
        <v>0</v>
      </c>
      <c r="E68" s="1285">
        <f>'Saisie données file act.'!F85</f>
        <v>0</v>
      </c>
      <c r="F68" s="1285">
        <f>'Saisie données file act.'!G85</f>
        <v>0</v>
      </c>
      <c r="G68" s="1285">
        <f>'Saisie données file act.'!H85</f>
        <v>0</v>
      </c>
      <c r="H68" s="1285">
        <f>'Saisie données file act.'!I85</f>
        <v>0</v>
      </c>
      <c r="I68" s="1285">
        <f>'Saisie données file act.'!J85</f>
        <v>0</v>
      </c>
      <c r="J68" s="1285">
        <f>'Saisie données file act.'!K85</f>
        <v>0</v>
      </c>
      <c r="K68" s="1285">
        <f>'Saisie données file act.'!L85</f>
        <v>0</v>
      </c>
      <c r="L68" s="1285">
        <f>'Saisie données file act.'!M85</f>
        <v>0</v>
      </c>
      <c r="M68" s="1285">
        <f>'Saisie données file act.'!N85</f>
        <v>0</v>
      </c>
      <c r="N68" s="1285">
        <f>'Saisie données file act.'!O85</f>
        <v>0</v>
      </c>
      <c r="O68" s="1285">
        <f>'Saisie données file act.'!P85</f>
        <v>0</v>
      </c>
      <c r="P68" s="1285">
        <f>'Saisie données file act.'!Q85</f>
        <v>0</v>
      </c>
      <c r="Q68" s="1285">
        <f>'Saisie données file act.'!R85</f>
        <v>0</v>
      </c>
      <c r="R68" s="1753">
        <f>'Saisie données file act.'!S85</f>
        <v>0</v>
      </c>
      <c r="S68" s="1767">
        <f>'Saisie données file act.'!T85</f>
        <v>0</v>
      </c>
      <c r="T68" s="1738">
        <f>'Saisie données file act.'!U85</f>
        <v>0</v>
      </c>
      <c r="U68" s="1738">
        <f>'Saisie données file act.'!V85</f>
        <v>0</v>
      </c>
      <c r="V68" s="1738">
        <f>'Saisie données file act.'!W85</f>
        <v>0</v>
      </c>
      <c r="W68" s="1738">
        <f>'Saisie données file act.'!X85</f>
        <v>0</v>
      </c>
      <c r="X68" s="1768">
        <f>'Saisie données file act.'!Y85</f>
        <v>0</v>
      </c>
      <c r="Y68" s="1767">
        <f>'Saisie données file act.'!Z85</f>
        <v>0</v>
      </c>
      <c r="Z68" s="1738">
        <f>'Saisie données file act.'!AA85</f>
        <v>0</v>
      </c>
      <c r="AA68" s="1738">
        <f>'Saisie données file act.'!AB85</f>
        <v>0</v>
      </c>
      <c r="AB68" s="1738">
        <f>'Saisie données file act.'!AC85</f>
        <v>0</v>
      </c>
      <c r="AC68" s="1738">
        <f>'Saisie données file act.'!AD85</f>
        <v>0</v>
      </c>
      <c r="AD68" s="1738">
        <f>'Saisie données file act.'!AE85</f>
        <v>0</v>
      </c>
      <c r="AE68" s="1738">
        <f>'Saisie données file act.'!AF85</f>
        <v>0</v>
      </c>
      <c r="AF68" s="1738">
        <f>'Saisie données file act.'!AG85</f>
        <v>0</v>
      </c>
      <c r="AG68" s="1738">
        <f>'Saisie données file act.'!AH85</f>
        <v>0</v>
      </c>
      <c r="AH68" s="1738">
        <f>'Saisie données file act.'!AI85</f>
        <v>0</v>
      </c>
      <c r="AI68" s="1768">
        <f>'Saisie données file act.'!AJ85</f>
        <v>0</v>
      </c>
      <c r="AJ68" s="1776">
        <f>'Saisie données file act.'!AK85</f>
        <v>0</v>
      </c>
      <c r="AK68" s="1290">
        <f>'Saisie données file act.'!AL85</f>
        <v>0</v>
      </c>
      <c r="AL68" s="1290">
        <f>'Saisie données file act.'!AM85</f>
        <v>0</v>
      </c>
      <c r="AM68" s="1290">
        <f>'Saisie données file act.'!AN85</f>
        <v>0</v>
      </c>
      <c r="AN68" s="1290">
        <f>'Saisie données file act.'!AO85</f>
        <v>0</v>
      </c>
      <c r="AO68" s="1290">
        <f>'Saisie données file act.'!AP85</f>
        <v>0</v>
      </c>
      <c r="AP68" s="1290">
        <f>'Saisie données file act.'!AQ85</f>
        <v>0</v>
      </c>
      <c r="AQ68" s="1290">
        <f>'Saisie données file act.'!AR85</f>
        <v>0</v>
      </c>
      <c r="AR68" s="1285">
        <f>'Saisie données file act.'!AS85</f>
        <v>0</v>
      </c>
      <c r="AS68" s="1753">
        <f>'Saisie données file act.'!AT85</f>
        <v>0</v>
      </c>
      <c r="AT68" s="1757">
        <f>'Saisie données file act.'!AU85</f>
        <v>0</v>
      </c>
    </row>
    <row r="69" spans="2:46" ht="12.75" hidden="1" customHeight="1" x14ac:dyDescent="0.2">
      <c r="B69" s="3308"/>
      <c r="C69" s="1255">
        <f>'Saisie données file act.'!D86</f>
        <v>0</v>
      </c>
      <c r="D69" s="1284">
        <f>'Saisie données file act.'!E86</f>
        <v>0</v>
      </c>
      <c r="E69" s="1285">
        <f>'Saisie données file act.'!F86</f>
        <v>0</v>
      </c>
      <c r="F69" s="1285">
        <f>'Saisie données file act.'!G86</f>
        <v>0</v>
      </c>
      <c r="G69" s="1285">
        <f>'Saisie données file act.'!H86</f>
        <v>0</v>
      </c>
      <c r="H69" s="1285">
        <f>'Saisie données file act.'!I86</f>
        <v>0</v>
      </c>
      <c r="I69" s="1285">
        <f>'Saisie données file act.'!J86</f>
        <v>0</v>
      </c>
      <c r="J69" s="1285">
        <f>'Saisie données file act.'!K86</f>
        <v>0</v>
      </c>
      <c r="K69" s="1285">
        <f>'Saisie données file act.'!L86</f>
        <v>0</v>
      </c>
      <c r="L69" s="1285">
        <f>'Saisie données file act.'!M86</f>
        <v>0</v>
      </c>
      <c r="M69" s="1285">
        <f>'Saisie données file act.'!N86</f>
        <v>0</v>
      </c>
      <c r="N69" s="1285">
        <f>'Saisie données file act.'!O86</f>
        <v>0</v>
      </c>
      <c r="O69" s="1285">
        <f>'Saisie données file act.'!P86</f>
        <v>0</v>
      </c>
      <c r="P69" s="1285">
        <f>'Saisie données file act.'!Q86</f>
        <v>0</v>
      </c>
      <c r="Q69" s="1285">
        <f>'Saisie données file act.'!R86</f>
        <v>0</v>
      </c>
      <c r="R69" s="1753">
        <f>'Saisie données file act.'!S86</f>
        <v>0</v>
      </c>
      <c r="S69" s="1767">
        <f>'Saisie données file act.'!T86</f>
        <v>0</v>
      </c>
      <c r="T69" s="1738">
        <f>'Saisie données file act.'!U86</f>
        <v>0</v>
      </c>
      <c r="U69" s="1738">
        <f>'Saisie données file act.'!V86</f>
        <v>0</v>
      </c>
      <c r="V69" s="1738">
        <f>'Saisie données file act.'!W86</f>
        <v>0</v>
      </c>
      <c r="W69" s="1738">
        <f>'Saisie données file act.'!X86</f>
        <v>0</v>
      </c>
      <c r="X69" s="1768">
        <f>'Saisie données file act.'!Y86</f>
        <v>0</v>
      </c>
      <c r="Y69" s="1767">
        <f>'Saisie données file act.'!Z86</f>
        <v>0</v>
      </c>
      <c r="Z69" s="1738">
        <f>'Saisie données file act.'!AA86</f>
        <v>0</v>
      </c>
      <c r="AA69" s="1738">
        <f>'Saisie données file act.'!AB86</f>
        <v>0</v>
      </c>
      <c r="AB69" s="1738">
        <f>'Saisie données file act.'!AC86</f>
        <v>0</v>
      </c>
      <c r="AC69" s="1738">
        <f>'Saisie données file act.'!AD86</f>
        <v>0</v>
      </c>
      <c r="AD69" s="1738">
        <f>'Saisie données file act.'!AE86</f>
        <v>0</v>
      </c>
      <c r="AE69" s="1738">
        <f>'Saisie données file act.'!AF86</f>
        <v>0</v>
      </c>
      <c r="AF69" s="1738">
        <f>'Saisie données file act.'!AG86</f>
        <v>0</v>
      </c>
      <c r="AG69" s="1738">
        <f>'Saisie données file act.'!AH86</f>
        <v>0</v>
      </c>
      <c r="AH69" s="1738">
        <f>'Saisie données file act.'!AI86</f>
        <v>0</v>
      </c>
      <c r="AI69" s="1768">
        <f>'Saisie données file act.'!AJ86</f>
        <v>0</v>
      </c>
      <c r="AJ69" s="1776">
        <f>'Saisie données file act.'!AK86</f>
        <v>0</v>
      </c>
      <c r="AK69" s="1290">
        <f>'Saisie données file act.'!AL86</f>
        <v>0</v>
      </c>
      <c r="AL69" s="1290">
        <f>'Saisie données file act.'!AM86</f>
        <v>0</v>
      </c>
      <c r="AM69" s="1290">
        <f>'Saisie données file act.'!AN86</f>
        <v>0</v>
      </c>
      <c r="AN69" s="1290">
        <f>'Saisie données file act.'!AO86</f>
        <v>0</v>
      </c>
      <c r="AO69" s="1290">
        <f>'Saisie données file act.'!AP86</f>
        <v>0</v>
      </c>
      <c r="AP69" s="1290">
        <f>'Saisie données file act.'!AQ86</f>
        <v>0</v>
      </c>
      <c r="AQ69" s="1290">
        <f>'Saisie données file act.'!AR86</f>
        <v>0</v>
      </c>
      <c r="AR69" s="1285">
        <f>'Saisie données file act.'!AS86</f>
        <v>0</v>
      </c>
      <c r="AS69" s="1753">
        <f>'Saisie données file act.'!AT86</f>
        <v>0</v>
      </c>
      <c r="AT69" s="1757">
        <f>'Saisie données file act.'!AU86</f>
        <v>0</v>
      </c>
    </row>
    <row r="70" spans="2:46" ht="12.75" hidden="1" customHeight="1" x14ac:dyDescent="0.2">
      <c r="B70" s="3308"/>
      <c r="C70" s="1255">
        <f>'Saisie données file act.'!D87</f>
        <v>0</v>
      </c>
      <c r="D70" s="1284">
        <f>'Saisie données file act.'!E87</f>
        <v>0</v>
      </c>
      <c r="E70" s="1285">
        <f>'Saisie données file act.'!F87</f>
        <v>0</v>
      </c>
      <c r="F70" s="1285">
        <f>'Saisie données file act.'!G87</f>
        <v>0</v>
      </c>
      <c r="G70" s="1285">
        <f>'Saisie données file act.'!H87</f>
        <v>0</v>
      </c>
      <c r="H70" s="1285">
        <f>'Saisie données file act.'!I87</f>
        <v>0</v>
      </c>
      <c r="I70" s="1285">
        <f>'Saisie données file act.'!J87</f>
        <v>0</v>
      </c>
      <c r="J70" s="1285">
        <f>'Saisie données file act.'!K87</f>
        <v>0</v>
      </c>
      <c r="K70" s="1285">
        <f>'Saisie données file act.'!L87</f>
        <v>0</v>
      </c>
      <c r="L70" s="1285">
        <f>'Saisie données file act.'!M87</f>
        <v>0</v>
      </c>
      <c r="M70" s="1285">
        <f>'Saisie données file act.'!N87</f>
        <v>0</v>
      </c>
      <c r="N70" s="1285">
        <f>'Saisie données file act.'!O87</f>
        <v>0</v>
      </c>
      <c r="O70" s="1285">
        <f>'Saisie données file act.'!P87</f>
        <v>0</v>
      </c>
      <c r="P70" s="1285">
        <f>'Saisie données file act.'!Q87</f>
        <v>0</v>
      </c>
      <c r="Q70" s="1285">
        <f>'Saisie données file act.'!R87</f>
        <v>0</v>
      </c>
      <c r="R70" s="1753">
        <f>'Saisie données file act.'!S87</f>
        <v>0</v>
      </c>
      <c r="S70" s="1767">
        <f>'Saisie données file act.'!T87</f>
        <v>0</v>
      </c>
      <c r="T70" s="1738">
        <f>'Saisie données file act.'!U87</f>
        <v>0</v>
      </c>
      <c r="U70" s="1738">
        <f>'Saisie données file act.'!V87</f>
        <v>0</v>
      </c>
      <c r="V70" s="1738">
        <f>'Saisie données file act.'!W87</f>
        <v>0</v>
      </c>
      <c r="W70" s="1738">
        <f>'Saisie données file act.'!X87</f>
        <v>0</v>
      </c>
      <c r="X70" s="1768">
        <f>'Saisie données file act.'!Y87</f>
        <v>0</v>
      </c>
      <c r="Y70" s="1767">
        <f>'Saisie données file act.'!Z87</f>
        <v>0</v>
      </c>
      <c r="Z70" s="1738">
        <f>'Saisie données file act.'!AA87</f>
        <v>0</v>
      </c>
      <c r="AA70" s="1738">
        <f>'Saisie données file act.'!AB87</f>
        <v>0</v>
      </c>
      <c r="AB70" s="1738">
        <f>'Saisie données file act.'!AC87</f>
        <v>0</v>
      </c>
      <c r="AC70" s="1738">
        <f>'Saisie données file act.'!AD87</f>
        <v>0</v>
      </c>
      <c r="AD70" s="1738">
        <f>'Saisie données file act.'!AE87</f>
        <v>0</v>
      </c>
      <c r="AE70" s="1738">
        <f>'Saisie données file act.'!AF87</f>
        <v>0</v>
      </c>
      <c r="AF70" s="1738">
        <f>'Saisie données file act.'!AG87</f>
        <v>0</v>
      </c>
      <c r="AG70" s="1738">
        <f>'Saisie données file act.'!AH87</f>
        <v>0</v>
      </c>
      <c r="AH70" s="1738">
        <f>'Saisie données file act.'!AI87</f>
        <v>0</v>
      </c>
      <c r="AI70" s="1768">
        <f>'Saisie données file act.'!AJ87</f>
        <v>0</v>
      </c>
      <c r="AJ70" s="1776">
        <f>'Saisie données file act.'!AK87</f>
        <v>0</v>
      </c>
      <c r="AK70" s="1290">
        <f>'Saisie données file act.'!AL87</f>
        <v>0</v>
      </c>
      <c r="AL70" s="1290">
        <f>'Saisie données file act.'!AM87</f>
        <v>0</v>
      </c>
      <c r="AM70" s="1290">
        <f>'Saisie données file act.'!AN87</f>
        <v>0</v>
      </c>
      <c r="AN70" s="1290">
        <f>'Saisie données file act.'!AO87</f>
        <v>0</v>
      </c>
      <c r="AO70" s="1290">
        <f>'Saisie données file act.'!AP87</f>
        <v>0</v>
      </c>
      <c r="AP70" s="1290">
        <f>'Saisie données file act.'!AQ87</f>
        <v>0</v>
      </c>
      <c r="AQ70" s="1290">
        <f>'Saisie données file act.'!AR87</f>
        <v>0</v>
      </c>
      <c r="AR70" s="1285">
        <f>'Saisie données file act.'!AS87</f>
        <v>0</v>
      </c>
      <c r="AS70" s="1753">
        <f>'Saisie données file act.'!AT87</f>
        <v>0</v>
      </c>
      <c r="AT70" s="1757">
        <f>'Saisie données file act.'!AU87</f>
        <v>0</v>
      </c>
    </row>
    <row r="71" spans="2:46" ht="12.75" hidden="1" customHeight="1" x14ac:dyDescent="0.2">
      <c r="B71" s="3308"/>
      <c r="C71" s="1255">
        <f>'Saisie données file act.'!D88</f>
        <v>0</v>
      </c>
      <c r="D71" s="1284">
        <f>'Saisie données file act.'!E88</f>
        <v>0</v>
      </c>
      <c r="E71" s="1285">
        <f>'Saisie données file act.'!F88</f>
        <v>0</v>
      </c>
      <c r="F71" s="1285">
        <f>'Saisie données file act.'!G88</f>
        <v>0</v>
      </c>
      <c r="G71" s="1285">
        <f>'Saisie données file act.'!H88</f>
        <v>0</v>
      </c>
      <c r="H71" s="1285">
        <f>'Saisie données file act.'!I88</f>
        <v>0</v>
      </c>
      <c r="I71" s="1285">
        <f>'Saisie données file act.'!J88</f>
        <v>0</v>
      </c>
      <c r="J71" s="1285">
        <f>'Saisie données file act.'!K88</f>
        <v>0</v>
      </c>
      <c r="K71" s="1285">
        <f>'Saisie données file act.'!L88</f>
        <v>0</v>
      </c>
      <c r="L71" s="1285">
        <f>'Saisie données file act.'!M88</f>
        <v>0</v>
      </c>
      <c r="M71" s="1285">
        <f>'Saisie données file act.'!N88</f>
        <v>0</v>
      </c>
      <c r="N71" s="1285">
        <f>'Saisie données file act.'!O88</f>
        <v>0</v>
      </c>
      <c r="O71" s="1285">
        <f>'Saisie données file act.'!P88</f>
        <v>0</v>
      </c>
      <c r="P71" s="1285">
        <f>'Saisie données file act.'!Q88</f>
        <v>0</v>
      </c>
      <c r="Q71" s="1285">
        <f>'Saisie données file act.'!R88</f>
        <v>0</v>
      </c>
      <c r="R71" s="1753">
        <f>'Saisie données file act.'!S88</f>
        <v>0</v>
      </c>
      <c r="S71" s="1767">
        <f>'Saisie données file act.'!T88</f>
        <v>0</v>
      </c>
      <c r="T71" s="1738">
        <f>'Saisie données file act.'!U88</f>
        <v>0</v>
      </c>
      <c r="U71" s="1738">
        <f>'Saisie données file act.'!V88</f>
        <v>0</v>
      </c>
      <c r="V71" s="1738">
        <f>'Saisie données file act.'!W88</f>
        <v>0</v>
      </c>
      <c r="W71" s="1738">
        <f>'Saisie données file act.'!X88</f>
        <v>0</v>
      </c>
      <c r="X71" s="1768">
        <f>'Saisie données file act.'!Y88</f>
        <v>0</v>
      </c>
      <c r="Y71" s="1767">
        <f>'Saisie données file act.'!Z88</f>
        <v>0</v>
      </c>
      <c r="Z71" s="1738">
        <f>'Saisie données file act.'!AA88</f>
        <v>0</v>
      </c>
      <c r="AA71" s="1738">
        <f>'Saisie données file act.'!AB88</f>
        <v>0</v>
      </c>
      <c r="AB71" s="1738">
        <f>'Saisie données file act.'!AC88</f>
        <v>0</v>
      </c>
      <c r="AC71" s="1738">
        <f>'Saisie données file act.'!AD88</f>
        <v>0</v>
      </c>
      <c r="AD71" s="1738">
        <f>'Saisie données file act.'!AE88</f>
        <v>0</v>
      </c>
      <c r="AE71" s="1738">
        <f>'Saisie données file act.'!AF88</f>
        <v>0</v>
      </c>
      <c r="AF71" s="1738">
        <f>'Saisie données file act.'!AG88</f>
        <v>0</v>
      </c>
      <c r="AG71" s="1738">
        <f>'Saisie données file act.'!AH88</f>
        <v>0</v>
      </c>
      <c r="AH71" s="1738">
        <f>'Saisie données file act.'!AI88</f>
        <v>0</v>
      </c>
      <c r="AI71" s="1768">
        <f>'Saisie données file act.'!AJ88</f>
        <v>0</v>
      </c>
      <c r="AJ71" s="1776">
        <f>'Saisie données file act.'!AK88</f>
        <v>0</v>
      </c>
      <c r="AK71" s="1290">
        <f>'Saisie données file act.'!AL88</f>
        <v>0</v>
      </c>
      <c r="AL71" s="1290">
        <f>'Saisie données file act.'!AM88</f>
        <v>0</v>
      </c>
      <c r="AM71" s="1290">
        <f>'Saisie données file act.'!AN88</f>
        <v>0</v>
      </c>
      <c r="AN71" s="1290">
        <f>'Saisie données file act.'!AO88</f>
        <v>0</v>
      </c>
      <c r="AO71" s="1290">
        <f>'Saisie données file act.'!AP88</f>
        <v>0</v>
      </c>
      <c r="AP71" s="1290">
        <f>'Saisie données file act.'!AQ88</f>
        <v>0</v>
      </c>
      <c r="AQ71" s="1290">
        <f>'Saisie données file act.'!AR88</f>
        <v>0</v>
      </c>
      <c r="AR71" s="1285">
        <f>'Saisie données file act.'!AS88</f>
        <v>0</v>
      </c>
      <c r="AS71" s="1753">
        <f>'Saisie données file act.'!AT88</f>
        <v>0</v>
      </c>
      <c r="AT71" s="1757">
        <f>'Saisie données file act.'!AU88</f>
        <v>0</v>
      </c>
    </row>
    <row r="72" spans="2:46" ht="12.75" hidden="1" customHeight="1" x14ac:dyDescent="0.2">
      <c r="B72" s="3308"/>
      <c r="C72" s="1255">
        <f>'Saisie données file act.'!D89</f>
        <v>0</v>
      </c>
      <c r="D72" s="1284">
        <f>'Saisie données file act.'!E89</f>
        <v>0</v>
      </c>
      <c r="E72" s="1285">
        <f>'Saisie données file act.'!F89</f>
        <v>0</v>
      </c>
      <c r="F72" s="1285">
        <f>'Saisie données file act.'!G89</f>
        <v>0</v>
      </c>
      <c r="G72" s="1285">
        <f>'Saisie données file act.'!H89</f>
        <v>0</v>
      </c>
      <c r="H72" s="1285">
        <f>'Saisie données file act.'!I89</f>
        <v>0</v>
      </c>
      <c r="I72" s="1285">
        <f>'Saisie données file act.'!J89</f>
        <v>0</v>
      </c>
      <c r="J72" s="1285">
        <f>'Saisie données file act.'!K89</f>
        <v>0</v>
      </c>
      <c r="K72" s="1285">
        <f>'Saisie données file act.'!L89</f>
        <v>0</v>
      </c>
      <c r="L72" s="1285">
        <f>'Saisie données file act.'!M89</f>
        <v>0</v>
      </c>
      <c r="M72" s="1285">
        <f>'Saisie données file act.'!N89</f>
        <v>0</v>
      </c>
      <c r="N72" s="1285">
        <f>'Saisie données file act.'!O89</f>
        <v>0</v>
      </c>
      <c r="O72" s="1285">
        <f>'Saisie données file act.'!P89</f>
        <v>0</v>
      </c>
      <c r="P72" s="1285">
        <f>'Saisie données file act.'!Q89</f>
        <v>0</v>
      </c>
      <c r="Q72" s="1285">
        <f>'Saisie données file act.'!R89</f>
        <v>0</v>
      </c>
      <c r="R72" s="1753">
        <f>'Saisie données file act.'!S89</f>
        <v>0</v>
      </c>
      <c r="S72" s="1767">
        <f>'Saisie données file act.'!T89</f>
        <v>0</v>
      </c>
      <c r="T72" s="1738">
        <f>'Saisie données file act.'!U89</f>
        <v>0</v>
      </c>
      <c r="U72" s="1738">
        <f>'Saisie données file act.'!V89</f>
        <v>0</v>
      </c>
      <c r="V72" s="1738">
        <f>'Saisie données file act.'!W89</f>
        <v>0</v>
      </c>
      <c r="W72" s="1738">
        <f>'Saisie données file act.'!X89</f>
        <v>0</v>
      </c>
      <c r="X72" s="1768">
        <f>'Saisie données file act.'!Y89</f>
        <v>0</v>
      </c>
      <c r="Y72" s="1767">
        <f>'Saisie données file act.'!Z89</f>
        <v>0</v>
      </c>
      <c r="Z72" s="1738">
        <f>'Saisie données file act.'!AA89</f>
        <v>0</v>
      </c>
      <c r="AA72" s="1738">
        <f>'Saisie données file act.'!AB89</f>
        <v>0</v>
      </c>
      <c r="AB72" s="1738">
        <f>'Saisie données file act.'!AC89</f>
        <v>0</v>
      </c>
      <c r="AC72" s="1738">
        <f>'Saisie données file act.'!AD89</f>
        <v>0</v>
      </c>
      <c r="AD72" s="1738">
        <f>'Saisie données file act.'!AE89</f>
        <v>0</v>
      </c>
      <c r="AE72" s="1738">
        <f>'Saisie données file act.'!AF89</f>
        <v>0</v>
      </c>
      <c r="AF72" s="1738">
        <f>'Saisie données file act.'!AG89</f>
        <v>0</v>
      </c>
      <c r="AG72" s="1738">
        <f>'Saisie données file act.'!AH89</f>
        <v>0</v>
      </c>
      <c r="AH72" s="1738">
        <f>'Saisie données file act.'!AI89</f>
        <v>0</v>
      </c>
      <c r="AI72" s="1768">
        <f>'Saisie données file act.'!AJ89</f>
        <v>0</v>
      </c>
      <c r="AJ72" s="1776">
        <f>'Saisie données file act.'!AK89</f>
        <v>0</v>
      </c>
      <c r="AK72" s="1290">
        <f>'Saisie données file act.'!AL89</f>
        <v>0</v>
      </c>
      <c r="AL72" s="1290">
        <f>'Saisie données file act.'!AM89</f>
        <v>0</v>
      </c>
      <c r="AM72" s="1290">
        <f>'Saisie données file act.'!AN89</f>
        <v>0</v>
      </c>
      <c r="AN72" s="1290">
        <f>'Saisie données file act.'!AO89</f>
        <v>0</v>
      </c>
      <c r="AO72" s="1290">
        <f>'Saisie données file act.'!AP89</f>
        <v>0</v>
      </c>
      <c r="AP72" s="1290">
        <f>'Saisie données file act.'!AQ89</f>
        <v>0</v>
      </c>
      <c r="AQ72" s="1290">
        <f>'Saisie données file act.'!AR89</f>
        <v>0</v>
      </c>
      <c r="AR72" s="1285">
        <f>'Saisie données file act.'!AS89</f>
        <v>0</v>
      </c>
      <c r="AS72" s="1753">
        <f>'Saisie données file act.'!AT89</f>
        <v>0</v>
      </c>
      <c r="AT72" s="1757">
        <f>'Saisie données file act.'!AU89</f>
        <v>0</v>
      </c>
    </row>
    <row r="73" spans="2:46" ht="12.75" hidden="1" customHeight="1" x14ac:dyDescent="0.2">
      <c r="B73" s="3308"/>
      <c r="C73" s="1255">
        <f>'Saisie données file act.'!D90</f>
        <v>0</v>
      </c>
      <c r="D73" s="1284">
        <f>'Saisie données file act.'!E90</f>
        <v>0</v>
      </c>
      <c r="E73" s="1285">
        <f>'Saisie données file act.'!F90</f>
        <v>0</v>
      </c>
      <c r="F73" s="1285">
        <f>'Saisie données file act.'!G90</f>
        <v>0</v>
      </c>
      <c r="G73" s="1285">
        <f>'Saisie données file act.'!H90</f>
        <v>0</v>
      </c>
      <c r="H73" s="1285">
        <f>'Saisie données file act.'!I90</f>
        <v>0</v>
      </c>
      <c r="I73" s="1285">
        <f>'Saisie données file act.'!J90</f>
        <v>0</v>
      </c>
      <c r="J73" s="1285">
        <f>'Saisie données file act.'!K90</f>
        <v>0</v>
      </c>
      <c r="K73" s="1285">
        <f>'Saisie données file act.'!L90</f>
        <v>0</v>
      </c>
      <c r="L73" s="1285">
        <f>'Saisie données file act.'!M90</f>
        <v>0</v>
      </c>
      <c r="M73" s="1285">
        <f>'Saisie données file act.'!N90</f>
        <v>0</v>
      </c>
      <c r="N73" s="1285">
        <f>'Saisie données file act.'!O90</f>
        <v>0</v>
      </c>
      <c r="O73" s="1285">
        <f>'Saisie données file act.'!P90</f>
        <v>0</v>
      </c>
      <c r="P73" s="1285">
        <f>'Saisie données file act.'!Q90</f>
        <v>0</v>
      </c>
      <c r="Q73" s="1285">
        <f>'Saisie données file act.'!R90</f>
        <v>0</v>
      </c>
      <c r="R73" s="1753">
        <f>'Saisie données file act.'!S90</f>
        <v>0</v>
      </c>
      <c r="S73" s="1767">
        <f>'Saisie données file act.'!T90</f>
        <v>0</v>
      </c>
      <c r="T73" s="1738">
        <f>'Saisie données file act.'!U90</f>
        <v>0</v>
      </c>
      <c r="U73" s="1738">
        <f>'Saisie données file act.'!V90</f>
        <v>0</v>
      </c>
      <c r="V73" s="1738">
        <f>'Saisie données file act.'!W90</f>
        <v>0</v>
      </c>
      <c r="W73" s="1738">
        <f>'Saisie données file act.'!X90</f>
        <v>0</v>
      </c>
      <c r="X73" s="1768">
        <f>'Saisie données file act.'!Y90</f>
        <v>0</v>
      </c>
      <c r="Y73" s="1767">
        <f>'Saisie données file act.'!Z90</f>
        <v>0</v>
      </c>
      <c r="Z73" s="1738">
        <f>'Saisie données file act.'!AA90</f>
        <v>0</v>
      </c>
      <c r="AA73" s="1738">
        <f>'Saisie données file act.'!AB90</f>
        <v>0</v>
      </c>
      <c r="AB73" s="1738">
        <f>'Saisie données file act.'!AC90</f>
        <v>0</v>
      </c>
      <c r="AC73" s="1738">
        <f>'Saisie données file act.'!AD90</f>
        <v>0</v>
      </c>
      <c r="AD73" s="1738">
        <f>'Saisie données file act.'!AE90</f>
        <v>0</v>
      </c>
      <c r="AE73" s="1738">
        <f>'Saisie données file act.'!AF90</f>
        <v>0</v>
      </c>
      <c r="AF73" s="1738">
        <f>'Saisie données file act.'!AG90</f>
        <v>0</v>
      </c>
      <c r="AG73" s="1738">
        <f>'Saisie données file act.'!AH90</f>
        <v>0</v>
      </c>
      <c r="AH73" s="1738">
        <f>'Saisie données file act.'!AI90</f>
        <v>0</v>
      </c>
      <c r="AI73" s="1768">
        <f>'Saisie données file act.'!AJ90</f>
        <v>0</v>
      </c>
      <c r="AJ73" s="1776">
        <f>'Saisie données file act.'!AK90</f>
        <v>0</v>
      </c>
      <c r="AK73" s="1290">
        <f>'Saisie données file act.'!AL90</f>
        <v>0</v>
      </c>
      <c r="AL73" s="1290">
        <f>'Saisie données file act.'!AM90</f>
        <v>0</v>
      </c>
      <c r="AM73" s="1290">
        <f>'Saisie données file act.'!AN90</f>
        <v>0</v>
      </c>
      <c r="AN73" s="1290">
        <f>'Saisie données file act.'!AO90</f>
        <v>0</v>
      </c>
      <c r="AO73" s="1290">
        <f>'Saisie données file act.'!AP90</f>
        <v>0</v>
      </c>
      <c r="AP73" s="1290">
        <f>'Saisie données file act.'!AQ90</f>
        <v>0</v>
      </c>
      <c r="AQ73" s="1290">
        <f>'Saisie données file act.'!AR90</f>
        <v>0</v>
      </c>
      <c r="AR73" s="1285">
        <f>'Saisie données file act.'!AS90</f>
        <v>0</v>
      </c>
      <c r="AS73" s="1753">
        <f>'Saisie données file act.'!AT90</f>
        <v>0</v>
      </c>
      <c r="AT73" s="1757">
        <f>'Saisie données file act.'!AU90</f>
        <v>0</v>
      </c>
    </row>
    <row r="74" spans="2:46" ht="12.75" hidden="1" customHeight="1" x14ac:dyDescent="0.2">
      <c r="B74" s="3308"/>
      <c r="C74" s="1255">
        <f>'Saisie données file act.'!D91</f>
        <v>0</v>
      </c>
      <c r="D74" s="1284">
        <f>'Saisie données file act.'!E91</f>
        <v>0</v>
      </c>
      <c r="E74" s="1285">
        <f>'Saisie données file act.'!F91</f>
        <v>0</v>
      </c>
      <c r="F74" s="1285">
        <f>'Saisie données file act.'!G91</f>
        <v>0</v>
      </c>
      <c r="G74" s="1285">
        <f>'Saisie données file act.'!H91</f>
        <v>0</v>
      </c>
      <c r="H74" s="1285">
        <f>'Saisie données file act.'!I91</f>
        <v>0</v>
      </c>
      <c r="I74" s="1285">
        <f>'Saisie données file act.'!J91</f>
        <v>0</v>
      </c>
      <c r="J74" s="1285">
        <f>'Saisie données file act.'!K91</f>
        <v>0</v>
      </c>
      <c r="K74" s="1285">
        <f>'Saisie données file act.'!L91</f>
        <v>0</v>
      </c>
      <c r="L74" s="1285">
        <f>'Saisie données file act.'!M91</f>
        <v>0</v>
      </c>
      <c r="M74" s="1285">
        <f>'Saisie données file act.'!N91</f>
        <v>0</v>
      </c>
      <c r="N74" s="1285">
        <f>'Saisie données file act.'!O91</f>
        <v>0</v>
      </c>
      <c r="O74" s="1285">
        <f>'Saisie données file act.'!P91</f>
        <v>0</v>
      </c>
      <c r="P74" s="1285">
        <f>'Saisie données file act.'!Q91</f>
        <v>0</v>
      </c>
      <c r="Q74" s="1285">
        <f>'Saisie données file act.'!R91</f>
        <v>0</v>
      </c>
      <c r="R74" s="1753">
        <f>'Saisie données file act.'!S91</f>
        <v>0</v>
      </c>
      <c r="S74" s="1767">
        <f>'Saisie données file act.'!T91</f>
        <v>0</v>
      </c>
      <c r="T74" s="1738">
        <f>'Saisie données file act.'!U91</f>
        <v>0</v>
      </c>
      <c r="U74" s="1738">
        <f>'Saisie données file act.'!V91</f>
        <v>0</v>
      </c>
      <c r="V74" s="1738">
        <f>'Saisie données file act.'!W91</f>
        <v>0</v>
      </c>
      <c r="W74" s="1738">
        <f>'Saisie données file act.'!X91</f>
        <v>0</v>
      </c>
      <c r="X74" s="1768">
        <f>'Saisie données file act.'!Y91</f>
        <v>0</v>
      </c>
      <c r="Y74" s="1767">
        <f>'Saisie données file act.'!Z91</f>
        <v>0</v>
      </c>
      <c r="Z74" s="1738">
        <f>'Saisie données file act.'!AA91</f>
        <v>0</v>
      </c>
      <c r="AA74" s="1738">
        <f>'Saisie données file act.'!AB91</f>
        <v>0</v>
      </c>
      <c r="AB74" s="1738">
        <f>'Saisie données file act.'!AC91</f>
        <v>0</v>
      </c>
      <c r="AC74" s="1738">
        <f>'Saisie données file act.'!AD91</f>
        <v>0</v>
      </c>
      <c r="AD74" s="1738">
        <f>'Saisie données file act.'!AE91</f>
        <v>0</v>
      </c>
      <c r="AE74" s="1738">
        <f>'Saisie données file act.'!AF91</f>
        <v>0</v>
      </c>
      <c r="AF74" s="1738">
        <f>'Saisie données file act.'!AG91</f>
        <v>0</v>
      </c>
      <c r="AG74" s="1738">
        <f>'Saisie données file act.'!AH91</f>
        <v>0</v>
      </c>
      <c r="AH74" s="1738">
        <f>'Saisie données file act.'!AI91</f>
        <v>0</v>
      </c>
      <c r="AI74" s="1768">
        <f>'Saisie données file act.'!AJ91</f>
        <v>0</v>
      </c>
      <c r="AJ74" s="1776">
        <f>'Saisie données file act.'!AK91</f>
        <v>0</v>
      </c>
      <c r="AK74" s="1290">
        <f>'Saisie données file act.'!AL91</f>
        <v>0</v>
      </c>
      <c r="AL74" s="1290">
        <f>'Saisie données file act.'!AM91</f>
        <v>0</v>
      </c>
      <c r="AM74" s="1290">
        <f>'Saisie données file act.'!AN91</f>
        <v>0</v>
      </c>
      <c r="AN74" s="1290">
        <f>'Saisie données file act.'!AO91</f>
        <v>0</v>
      </c>
      <c r="AO74" s="1290">
        <f>'Saisie données file act.'!AP91</f>
        <v>0</v>
      </c>
      <c r="AP74" s="1290">
        <f>'Saisie données file act.'!AQ91</f>
        <v>0</v>
      </c>
      <c r="AQ74" s="1290">
        <f>'Saisie données file act.'!AR91</f>
        <v>0</v>
      </c>
      <c r="AR74" s="1285">
        <f>'Saisie données file act.'!AS91</f>
        <v>0</v>
      </c>
      <c r="AS74" s="1753">
        <f>'Saisie données file act.'!AT91</f>
        <v>0</v>
      </c>
      <c r="AT74" s="1757">
        <f>'Saisie données file act.'!AU91</f>
        <v>0</v>
      </c>
    </row>
    <row r="75" spans="2:46" ht="12.75" hidden="1" customHeight="1" x14ac:dyDescent="0.2">
      <c r="B75" s="3308"/>
      <c r="C75" s="1255">
        <f>'Saisie données file act.'!D92</f>
        <v>0</v>
      </c>
      <c r="D75" s="1284">
        <f>'Saisie données file act.'!E92</f>
        <v>0</v>
      </c>
      <c r="E75" s="1285">
        <f>'Saisie données file act.'!F92</f>
        <v>0</v>
      </c>
      <c r="F75" s="1285">
        <f>'Saisie données file act.'!G92</f>
        <v>0</v>
      </c>
      <c r="G75" s="1285">
        <f>'Saisie données file act.'!H92</f>
        <v>0</v>
      </c>
      <c r="H75" s="1285">
        <f>'Saisie données file act.'!I92</f>
        <v>0</v>
      </c>
      <c r="I75" s="1285">
        <f>'Saisie données file act.'!J92</f>
        <v>0</v>
      </c>
      <c r="J75" s="1285">
        <f>'Saisie données file act.'!K92</f>
        <v>0</v>
      </c>
      <c r="K75" s="1285">
        <f>'Saisie données file act.'!L92</f>
        <v>0</v>
      </c>
      <c r="L75" s="1285">
        <f>'Saisie données file act.'!M92</f>
        <v>0</v>
      </c>
      <c r="M75" s="1285">
        <f>'Saisie données file act.'!N92</f>
        <v>0</v>
      </c>
      <c r="N75" s="1285">
        <f>'Saisie données file act.'!O92</f>
        <v>0</v>
      </c>
      <c r="O75" s="1285">
        <f>'Saisie données file act.'!P92</f>
        <v>0</v>
      </c>
      <c r="P75" s="1285">
        <f>'Saisie données file act.'!Q92</f>
        <v>0</v>
      </c>
      <c r="Q75" s="1285">
        <f>'Saisie données file act.'!R92</f>
        <v>0</v>
      </c>
      <c r="R75" s="1753">
        <f>'Saisie données file act.'!S92</f>
        <v>0</v>
      </c>
      <c r="S75" s="1767">
        <f>'Saisie données file act.'!T92</f>
        <v>0</v>
      </c>
      <c r="T75" s="1738">
        <f>'Saisie données file act.'!U92</f>
        <v>0</v>
      </c>
      <c r="U75" s="1738">
        <f>'Saisie données file act.'!V92</f>
        <v>0</v>
      </c>
      <c r="V75" s="1738">
        <f>'Saisie données file act.'!W92</f>
        <v>0</v>
      </c>
      <c r="W75" s="1738">
        <f>'Saisie données file act.'!X92</f>
        <v>0</v>
      </c>
      <c r="X75" s="1768">
        <f>'Saisie données file act.'!Y92</f>
        <v>0</v>
      </c>
      <c r="Y75" s="1767">
        <f>'Saisie données file act.'!Z92</f>
        <v>0</v>
      </c>
      <c r="Z75" s="1738">
        <f>'Saisie données file act.'!AA92</f>
        <v>0</v>
      </c>
      <c r="AA75" s="1738">
        <f>'Saisie données file act.'!AB92</f>
        <v>0</v>
      </c>
      <c r="AB75" s="1738">
        <f>'Saisie données file act.'!AC92</f>
        <v>0</v>
      </c>
      <c r="AC75" s="1738">
        <f>'Saisie données file act.'!AD92</f>
        <v>0</v>
      </c>
      <c r="AD75" s="1738">
        <f>'Saisie données file act.'!AE92</f>
        <v>0</v>
      </c>
      <c r="AE75" s="1738">
        <f>'Saisie données file act.'!AF92</f>
        <v>0</v>
      </c>
      <c r="AF75" s="1738">
        <f>'Saisie données file act.'!AG92</f>
        <v>0</v>
      </c>
      <c r="AG75" s="1738">
        <f>'Saisie données file act.'!AH92</f>
        <v>0</v>
      </c>
      <c r="AH75" s="1738">
        <f>'Saisie données file act.'!AI92</f>
        <v>0</v>
      </c>
      <c r="AI75" s="1768">
        <f>'Saisie données file act.'!AJ92</f>
        <v>0</v>
      </c>
      <c r="AJ75" s="1776">
        <f>'Saisie données file act.'!AK92</f>
        <v>0</v>
      </c>
      <c r="AK75" s="1290">
        <f>'Saisie données file act.'!AL92</f>
        <v>0</v>
      </c>
      <c r="AL75" s="1290">
        <f>'Saisie données file act.'!AM92</f>
        <v>0</v>
      </c>
      <c r="AM75" s="1290">
        <f>'Saisie données file act.'!AN92</f>
        <v>0</v>
      </c>
      <c r="AN75" s="1290">
        <f>'Saisie données file act.'!AO92</f>
        <v>0</v>
      </c>
      <c r="AO75" s="1290">
        <f>'Saisie données file act.'!AP92</f>
        <v>0</v>
      </c>
      <c r="AP75" s="1290">
        <f>'Saisie données file act.'!AQ92</f>
        <v>0</v>
      </c>
      <c r="AQ75" s="1290">
        <f>'Saisie données file act.'!AR92</f>
        <v>0</v>
      </c>
      <c r="AR75" s="1285">
        <f>'Saisie données file act.'!AS92</f>
        <v>0</v>
      </c>
      <c r="AS75" s="1753">
        <f>'Saisie données file act.'!AT92</f>
        <v>0</v>
      </c>
      <c r="AT75" s="1757">
        <f>'Saisie données file act.'!AU92</f>
        <v>0</v>
      </c>
    </row>
    <row r="76" spans="2:46" ht="12.75" hidden="1" customHeight="1" x14ac:dyDescent="0.2">
      <c r="B76" s="3308"/>
      <c r="C76" s="1255">
        <f>'Saisie données file act.'!D93</f>
        <v>0</v>
      </c>
      <c r="D76" s="1284">
        <f>'Saisie données file act.'!E93</f>
        <v>0</v>
      </c>
      <c r="E76" s="1285">
        <f>'Saisie données file act.'!F93</f>
        <v>0</v>
      </c>
      <c r="F76" s="1285">
        <f>'Saisie données file act.'!G93</f>
        <v>0</v>
      </c>
      <c r="G76" s="1285">
        <f>'Saisie données file act.'!H93</f>
        <v>0</v>
      </c>
      <c r="H76" s="1285">
        <f>'Saisie données file act.'!I93</f>
        <v>0</v>
      </c>
      <c r="I76" s="1285">
        <f>'Saisie données file act.'!J93</f>
        <v>0</v>
      </c>
      <c r="J76" s="1285">
        <f>'Saisie données file act.'!K93</f>
        <v>0</v>
      </c>
      <c r="K76" s="1285">
        <f>'Saisie données file act.'!L93</f>
        <v>0</v>
      </c>
      <c r="L76" s="1285">
        <f>'Saisie données file act.'!M93</f>
        <v>0</v>
      </c>
      <c r="M76" s="1285">
        <f>'Saisie données file act.'!N93</f>
        <v>0</v>
      </c>
      <c r="N76" s="1285">
        <f>'Saisie données file act.'!O93</f>
        <v>0</v>
      </c>
      <c r="O76" s="1285">
        <f>'Saisie données file act.'!P93</f>
        <v>0</v>
      </c>
      <c r="P76" s="1285">
        <f>'Saisie données file act.'!Q93</f>
        <v>0</v>
      </c>
      <c r="Q76" s="1285">
        <f>'Saisie données file act.'!R93</f>
        <v>0</v>
      </c>
      <c r="R76" s="1753">
        <f>'Saisie données file act.'!S93</f>
        <v>0</v>
      </c>
      <c r="S76" s="1767">
        <f>'Saisie données file act.'!T93</f>
        <v>0</v>
      </c>
      <c r="T76" s="1738">
        <f>'Saisie données file act.'!U93</f>
        <v>0</v>
      </c>
      <c r="U76" s="1738">
        <f>'Saisie données file act.'!V93</f>
        <v>0</v>
      </c>
      <c r="V76" s="1738">
        <f>'Saisie données file act.'!W93</f>
        <v>0</v>
      </c>
      <c r="W76" s="1738">
        <f>'Saisie données file act.'!X93</f>
        <v>0</v>
      </c>
      <c r="X76" s="1768">
        <f>'Saisie données file act.'!Y93</f>
        <v>0</v>
      </c>
      <c r="Y76" s="1767">
        <f>'Saisie données file act.'!Z93</f>
        <v>0</v>
      </c>
      <c r="Z76" s="1738">
        <f>'Saisie données file act.'!AA93</f>
        <v>0</v>
      </c>
      <c r="AA76" s="1738">
        <f>'Saisie données file act.'!AB93</f>
        <v>0</v>
      </c>
      <c r="AB76" s="1738">
        <f>'Saisie données file act.'!AC93</f>
        <v>0</v>
      </c>
      <c r="AC76" s="1738">
        <f>'Saisie données file act.'!AD93</f>
        <v>0</v>
      </c>
      <c r="AD76" s="1738">
        <f>'Saisie données file act.'!AE93</f>
        <v>0</v>
      </c>
      <c r="AE76" s="1738">
        <f>'Saisie données file act.'!AF93</f>
        <v>0</v>
      </c>
      <c r="AF76" s="1738">
        <f>'Saisie données file act.'!AG93</f>
        <v>0</v>
      </c>
      <c r="AG76" s="1738">
        <f>'Saisie données file act.'!AH93</f>
        <v>0</v>
      </c>
      <c r="AH76" s="1738">
        <f>'Saisie données file act.'!AI93</f>
        <v>0</v>
      </c>
      <c r="AI76" s="1768">
        <f>'Saisie données file act.'!AJ93</f>
        <v>0</v>
      </c>
      <c r="AJ76" s="1776">
        <f>'Saisie données file act.'!AK93</f>
        <v>0</v>
      </c>
      <c r="AK76" s="1290">
        <f>'Saisie données file act.'!AL93</f>
        <v>0</v>
      </c>
      <c r="AL76" s="1290">
        <f>'Saisie données file act.'!AM93</f>
        <v>0</v>
      </c>
      <c r="AM76" s="1290">
        <f>'Saisie données file act.'!AN93</f>
        <v>0</v>
      </c>
      <c r="AN76" s="1290">
        <f>'Saisie données file act.'!AO93</f>
        <v>0</v>
      </c>
      <c r="AO76" s="1290">
        <f>'Saisie données file act.'!AP93</f>
        <v>0</v>
      </c>
      <c r="AP76" s="1290">
        <f>'Saisie données file act.'!AQ93</f>
        <v>0</v>
      </c>
      <c r="AQ76" s="1290">
        <f>'Saisie données file act.'!AR93</f>
        <v>0</v>
      </c>
      <c r="AR76" s="1285">
        <f>'Saisie données file act.'!AS93</f>
        <v>0</v>
      </c>
      <c r="AS76" s="1753">
        <f>'Saisie données file act.'!AT93</f>
        <v>0</v>
      </c>
      <c r="AT76" s="1757">
        <f>'Saisie données file act.'!AU93</f>
        <v>0</v>
      </c>
    </row>
    <row r="77" spans="2:46" ht="12.75" hidden="1" customHeight="1" x14ac:dyDescent="0.2">
      <c r="B77" s="3308"/>
      <c r="C77" s="1255">
        <f>'Saisie données file act.'!D94</f>
        <v>0</v>
      </c>
      <c r="D77" s="1284">
        <f>'Saisie données file act.'!E94</f>
        <v>0</v>
      </c>
      <c r="E77" s="1285">
        <f>'Saisie données file act.'!F94</f>
        <v>0</v>
      </c>
      <c r="F77" s="1285">
        <f>'Saisie données file act.'!G94</f>
        <v>0</v>
      </c>
      <c r="G77" s="1285">
        <f>'Saisie données file act.'!H94</f>
        <v>0</v>
      </c>
      <c r="H77" s="1285">
        <f>'Saisie données file act.'!I94</f>
        <v>0</v>
      </c>
      <c r="I77" s="1285">
        <f>'Saisie données file act.'!J94</f>
        <v>0</v>
      </c>
      <c r="J77" s="1285">
        <f>'Saisie données file act.'!K94</f>
        <v>0</v>
      </c>
      <c r="K77" s="1285">
        <f>'Saisie données file act.'!L94</f>
        <v>0</v>
      </c>
      <c r="L77" s="1285">
        <f>'Saisie données file act.'!M94</f>
        <v>0</v>
      </c>
      <c r="M77" s="1285">
        <f>'Saisie données file act.'!N94</f>
        <v>0</v>
      </c>
      <c r="N77" s="1285">
        <f>'Saisie données file act.'!O94</f>
        <v>0</v>
      </c>
      <c r="O77" s="1285">
        <f>'Saisie données file act.'!P94</f>
        <v>0</v>
      </c>
      <c r="P77" s="1285">
        <f>'Saisie données file act.'!Q94</f>
        <v>0</v>
      </c>
      <c r="Q77" s="1285">
        <f>'Saisie données file act.'!R94</f>
        <v>0</v>
      </c>
      <c r="R77" s="1753">
        <f>'Saisie données file act.'!S94</f>
        <v>0</v>
      </c>
      <c r="S77" s="1767">
        <f>'Saisie données file act.'!T94</f>
        <v>0</v>
      </c>
      <c r="T77" s="1738">
        <f>'Saisie données file act.'!U94</f>
        <v>0</v>
      </c>
      <c r="U77" s="1738">
        <f>'Saisie données file act.'!V94</f>
        <v>0</v>
      </c>
      <c r="V77" s="1738">
        <f>'Saisie données file act.'!W94</f>
        <v>0</v>
      </c>
      <c r="W77" s="1738">
        <f>'Saisie données file act.'!X94</f>
        <v>0</v>
      </c>
      <c r="X77" s="1768">
        <f>'Saisie données file act.'!Y94</f>
        <v>0</v>
      </c>
      <c r="Y77" s="1767">
        <f>'Saisie données file act.'!Z94</f>
        <v>0</v>
      </c>
      <c r="Z77" s="1738">
        <f>'Saisie données file act.'!AA94</f>
        <v>0</v>
      </c>
      <c r="AA77" s="1738">
        <f>'Saisie données file act.'!AB94</f>
        <v>0</v>
      </c>
      <c r="AB77" s="1738">
        <f>'Saisie données file act.'!AC94</f>
        <v>0</v>
      </c>
      <c r="AC77" s="1738">
        <f>'Saisie données file act.'!AD94</f>
        <v>0</v>
      </c>
      <c r="AD77" s="1738">
        <f>'Saisie données file act.'!AE94</f>
        <v>0</v>
      </c>
      <c r="AE77" s="1738">
        <f>'Saisie données file act.'!AF94</f>
        <v>0</v>
      </c>
      <c r="AF77" s="1738">
        <f>'Saisie données file act.'!AG94</f>
        <v>0</v>
      </c>
      <c r="AG77" s="1738">
        <f>'Saisie données file act.'!AH94</f>
        <v>0</v>
      </c>
      <c r="AH77" s="1738">
        <f>'Saisie données file act.'!AI94</f>
        <v>0</v>
      </c>
      <c r="AI77" s="1768">
        <f>'Saisie données file act.'!AJ94</f>
        <v>0</v>
      </c>
      <c r="AJ77" s="1776">
        <f>'Saisie données file act.'!AK94</f>
        <v>0</v>
      </c>
      <c r="AK77" s="1290">
        <f>'Saisie données file act.'!AL94</f>
        <v>0</v>
      </c>
      <c r="AL77" s="1290">
        <f>'Saisie données file act.'!AM94</f>
        <v>0</v>
      </c>
      <c r="AM77" s="1290">
        <f>'Saisie données file act.'!AN94</f>
        <v>0</v>
      </c>
      <c r="AN77" s="1290">
        <f>'Saisie données file act.'!AO94</f>
        <v>0</v>
      </c>
      <c r="AO77" s="1290">
        <f>'Saisie données file act.'!AP94</f>
        <v>0</v>
      </c>
      <c r="AP77" s="1290">
        <f>'Saisie données file act.'!AQ94</f>
        <v>0</v>
      </c>
      <c r="AQ77" s="1290">
        <f>'Saisie données file act.'!AR94</f>
        <v>0</v>
      </c>
      <c r="AR77" s="1285">
        <f>'Saisie données file act.'!AS94</f>
        <v>0</v>
      </c>
      <c r="AS77" s="1753">
        <f>'Saisie données file act.'!AT94</f>
        <v>0</v>
      </c>
      <c r="AT77" s="1757">
        <f>'Saisie données file act.'!AU94</f>
        <v>0</v>
      </c>
    </row>
    <row r="78" spans="2:46" ht="12.75" hidden="1" customHeight="1" x14ac:dyDescent="0.2">
      <c r="B78" s="3308"/>
      <c r="C78" s="1255">
        <f>'Saisie données file act.'!D95</f>
        <v>0</v>
      </c>
      <c r="D78" s="1284">
        <f>'Saisie données file act.'!E95</f>
        <v>0</v>
      </c>
      <c r="E78" s="1285">
        <f>'Saisie données file act.'!F95</f>
        <v>0</v>
      </c>
      <c r="F78" s="1285">
        <f>'Saisie données file act.'!G95</f>
        <v>0</v>
      </c>
      <c r="G78" s="1285">
        <f>'Saisie données file act.'!H95</f>
        <v>0</v>
      </c>
      <c r="H78" s="1285">
        <f>'Saisie données file act.'!I95</f>
        <v>0</v>
      </c>
      <c r="I78" s="1285">
        <f>'Saisie données file act.'!J95</f>
        <v>0</v>
      </c>
      <c r="J78" s="1285">
        <f>'Saisie données file act.'!K95</f>
        <v>0</v>
      </c>
      <c r="K78" s="1285">
        <f>'Saisie données file act.'!L95</f>
        <v>0</v>
      </c>
      <c r="L78" s="1285">
        <f>'Saisie données file act.'!M95</f>
        <v>0</v>
      </c>
      <c r="M78" s="1285">
        <f>'Saisie données file act.'!N95</f>
        <v>0</v>
      </c>
      <c r="N78" s="1285">
        <f>'Saisie données file act.'!O95</f>
        <v>0</v>
      </c>
      <c r="O78" s="1285">
        <f>'Saisie données file act.'!P95</f>
        <v>0</v>
      </c>
      <c r="P78" s="1285">
        <f>'Saisie données file act.'!Q95</f>
        <v>0</v>
      </c>
      <c r="Q78" s="1285">
        <f>'Saisie données file act.'!R95</f>
        <v>0</v>
      </c>
      <c r="R78" s="1753">
        <f>'Saisie données file act.'!S95</f>
        <v>0</v>
      </c>
      <c r="S78" s="1767">
        <f>'Saisie données file act.'!T95</f>
        <v>0</v>
      </c>
      <c r="T78" s="1738">
        <f>'Saisie données file act.'!U95</f>
        <v>0</v>
      </c>
      <c r="U78" s="1738">
        <f>'Saisie données file act.'!V95</f>
        <v>0</v>
      </c>
      <c r="V78" s="1738">
        <f>'Saisie données file act.'!W95</f>
        <v>0</v>
      </c>
      <c r="W78" s="1738">
        <f>'Saisie données file act.'!X95</f>
        <v>0</v>
      </c>
      <c r="X78" s="1768">
        <f>'Saisie données file act.'!Y95</f>
        <v>0</v>
      </c>
      <c r="Y78" s="1767">
        <f>'Saisie données file act.'!Z95</f>
        <v>0</v>
      </c>
      <c r="Z78" s="1738">
        <f>'Saisie données file act.'!AA95</f>
        <v>0</v>
      </c>
      <c r="AA78" s="1738">
        <f>'Saisie données file act.'!AB95</f>
        <v>0</v>
      </c>
      <c r="AB78" s="1738">
        <f>'Saisie données file act.'!AC95</f>
        <v>0</v>
      </c>
      <c r="AC78" s="1738">
        <f>'Saisie données file act.'!AD95</f>
        <v>0</v>
      </c>
      <c r="AD78" s="1738">
        <f>'Saisie données file act.'!AE95</f>
        <v>0</v>
      </c>
      <c r="AE78" s="1738">
        <f>'Saisie données file act.'!AF95</f>
        <v>0</v>
      </c>
      <c r="AF78" s="1738">
        <f>'Saisie données file act.'!AG95</f>
        <v>0</v>
      </c>
      <c r="AG78" s="1738">
        <f>'Saisie données file act.'!AH95</f>
        <v>0</v>
      </c>
      <c r="AH78" s="1738">
        <f>'Saisie données file act.'!AI95</f>
        <v>0</v>
      </c>
      <c r="AI78" s="1768">
        <f>'Saisie données file act.'!AJ95</f>
        <v>0</v>
      </c>
      <c r="AJ78" s="1776">
        <f>'Saisie données file act.'!AK95</f>
        <v>0</v>
      </c>
      <c r="AK78" s="1290">
        <f>'Saisie données file act.'!AL95</f>
        <v>0</v>
      </c>
      <c r="AL78" s="1290">
        <f>'Saisie données file act.'!AM95</f>
        <v>0</v>
      </c>
      <c r="AM78" s="1290">
        <f>'Saisie données file act.'!AN95</f>
        <v>0</v>
      </c>
      <c r="AN78" s="1290">
        <f>'Saisie données file act.'!AO95</f>
        <v>0</v>
      </c>
      <c r="AO78" s="1290">
        <f>'Saisie données file act.'!AP95</f>
        <v>0</v>
      </c>
      <c r="AP78" s="1290">
        <f>'Saisie données file act.'!AQ95</f>
        <v>0</v>
      </c>
      <c r="AQ78" s="1290">
        <f>'Saisie données file act.'!AR95</f>
        <v>0</v>
      </c>
      <c r="AR78" s="1285">
        <f>'Saisie données file act.'!AS95</f>
        <v>0</v>
      </c>
      <c r="AS78" s="1753">
        <f>'Saisie données file act.'!AT95</f>
        <v>0</v>
      </c>
      <c r="AT78" s="1757">
        <f>'Saisie données file act.'!AU95</f>
        <v>0</v>
      </c>
    </row>
    <row r="79" spans="2:46" ht="12.75" hidden="1" customHeight="1" x14ac:dyDescent="0.2">
      <c r="B79" s="3308"/>
      <c r="C79" s="1255">
        <f>'Saisie données file act.'!D96</f>
        <v>0</v>
      </c>
      <c r="D79" s="1284">
        <f>'Saisie données file act.'!E96</f>
        <v>0</v>
      </c>
      <c r="E79" s="1285">
        <f>'Saisie données file act.'!F96</f>
        <v>0</v>
      </c>
      <c r="F79" s="1285">
        <f>'Saisie données file act.'!G96</f>
        <v>0</v>
      </c>
      <c r="G79" s="1285">
        <f>'Saisie données file act.'!H96</f>
        <v>0</v>
      </c>
      <c r="H79" s="1285">
        <f>'Saisie données file act.'!I96</f>
        <v>0</v>
      </c>
      <c r="I79" s="1285">
        <f>'Saisie données file act.'!J96</f>
        <v>0</v>
      </c>
      <c r="J79" s="1285">
        <f>'Saisie données file act.'!K96</f>
        <v>0</v>
      </c>
      <c r="K79" s="1285">
        <f>'Saisie données file act.'!L96</f>
        <v>0</v>
      </c>
      <c r="L79" s="1285">
        <f>'Saisie données file act.'!M96</f>
        <v>0</v>
      </c>
      <c r="M79" s="1285">
        <f>'Saisie données file act.'!N96</f>
        <v>0</v>
      </c>
      <c r="N79" s="1285">
        <f>'Saisie données file act.'!O96</f>
        <v>0</v>
      </c>
      <c r="O79" s="1285">
        <f>'Saisie données file act.'!P96</f>
        <v>0</v>
      </c>
      <c r="P79" s="1285">
        <f>'Saisie données file act.'!Q96</f>
        <v>0</v>
      </c>
      <c r="Q79" s="1285">
        <f>'Saisie données file act.'!R96</f>
        <v>0</v>
      </c>
      <c r="R79" s="1753">
        <f>'Saisie données file act.'!S96</f>
        <v>0</v>
      </c>
      <c r="S79" s="1767">
        <f>'Saisie données file act.'!T96</f>
        <v>0</v>
      </c>
      <c r="T79" s="1738">
        <f>'Saisie données file act.'!U96</f>
        <v>0</v>
      </c>
      <c r="U79" s="1738">
        <f>'Saisie données file act.'!V96</f>
        <v>0</v>
      </c>
      <c r="V79" s="1738">
        <f>'Saisie données file act.'!W96</f>
        <v>0</v>
      </c>
      <c r="W79" s="1738">
        <f>'Saisie données file act.'!X96</f>
        <v>0</v>
      </c>
      <c r="X79" s="1768">
        <f>'Saisie données file act.'!Y96</f>
        <v>0</v>
      </c>
      <c r="Y79" s="1767">
        <f>'Saisie données file act.'!Z96</f>
        <v>0</v>
      </c>
      <c r="Z79" s="1738">
        <f>'Saisie données file act.'!AA96</f>
        <v>0</v>
      </c>
      <c r="AA79" s="1738">
        <f>'Saisie données file act.'!AB96</f>
        <v>0</v>
      </c>
      <c r="AB79" s="1738">
        <f>'Saisie données file act.'!AC96</f>
        <v>0</v>
      </c>
      <c r="AC79" s="1738">
        <f>'Saisie données file act.'!AD96</f>
        <v>0</v>
      </c>
      <c r="AD79" s="1738">
        <f>'Saisie données file act.'!AE96</f>
        <v>0</v>
      </c>
      <c r="AE79" s="1738">
        <f>'Saisie données file act.'!AF96</f>
        <v>0</v>
      </c>
      <c r="AF79" s="1738">
        <f>'Saisie données file act.'!AG96</f>
        <v>0</v>
      </c>
      <c r="AG79" s="1738">
        <f>'Saisie données file act.'!AH96</f>
        <v>0</v>
      </c>
      <c r="AH79" s="1738">
        <f>'Saisie données file act.'!AI96</f>
        <v>0</v>
      </c>
      <c r="AI79" s="1768">
        <f>'Saisie données file act.'!AJ96</f>
        <v>0</v>
      </c>
      <c r="AJ79" s="1776">
        <f>'Saisie données file act.'!AK96</f>
        <v>0</v>
      </c>
      <c r="AK79" s="1290">
        <f>'Saisie données file act.'!AL96</f>
        <v>0</v>
      </c>
      <c r="AL79" s="1290">
        <f>'Saisie données file act.'!AM96</f>
        <v>0</v>
      </c>
      <c r="AM79" s="1290">
        <f>'Saisie données file act.'!AN96</f>
        <v>0</v>
      </c>
      <c r="AN79" s="1290">
        <f>'Saisie données file act.'!AO96</f>
        <v>0</v>
      </c>
      <c r="AO79" s="1290">
        <f>'Saisie données file act.'!AP96</f>
        <v>0</v>
      </c>
      <c r="AP79" s="1290">
        <f>'Saisie données file act.'!AQ96</f>
        <v>0</v>
      </c>
      <c r="AQ79" s="1290">
        <f>'Saisie données file act.'!AR96</f>
        <v>0</v>
      </c>
      <c r="AR79" s="1285">
        <f>'Saisie données file act.'!AS96</f>
        <v>0</v>
      </c>
      <c r="AS79" s="1753">
        <f>'Saisie données file act.'!AT96</f>
        <v>0</v>
      </c>
      <c r="AT79" s="1757">
        <f>'Saisie données file act.'!AU96</f>
        <v>0</v>
      </c>
    </row>
    <row r="80" spans="2:46" ht="12.75" hidden="1" customHeight="1" x14ac:dyDescent="0.2">
      <c r="B80" s="3308"/>
      <c r="C80" s="1255">
        <f>'Saisie données file act.'!D97</f>
        <v>0</v>
      </c>
      <c r="D80" s="1284">
        <f>'Saisie données file act.'!E97</f>
        <v>0</v>
      </c>
      <c r="E80" s="1285">
        <f>'Saisie données file act.'!F97</f>
        <v>0</v>
      </c>
      <c r="F80" s="1285">
        <f>'Saisie données file act.'!G97</f>
        <v>0</v>
      </c>
      <c r="G80" s="1285">
        <f>'Saisie données file act.'!H97</f>
        <v>0</v>
      </c>
      <c r="H80" s="1285">
        <f>'Saisie données file act.'!I97</f>
        <v>0</v>
      </c>
      <c r="I80" s="1285">
        <f>'Saisie données file act.'!J97</f>
        <v>0</v>
      </c>
      <c r="J80" s="1285">
        <f>'Saisie données file act.'!K97</f>
        <v>0</v>
      </c>
      <c r="K80" s="1285">
        <f>'Saisie données file act.'!L97</f>
        <v>0</v>
      </c>
      <c r="L80" s="1285">
        <f>'Saisie données file act.'!M97</f>
        <v>0</v>
      </c>
      <c r="M80" s="1285">
        <f>'Saisie données file act.'!N97</f>
        <v>0</v>
      </c>
      <c r="N80" s="1285">
        <f>'Saisie données file act.'!O97</f>
        <v>0</v>
      </c>
      <c r="O80" s="1285">
        <f>'Saisie données file act.'!P97</f>
        <v>0</v>
      </c>
      <c r="P80" s="1285">
        <f>'Saisie données file act.'!Q97</f>
        <v>0</v>
      </c>
      <c r="Q80" s="1285">
        <f>'Saisie données file act.'!R97</f>
        <v>0</v>
      </c>
      <c r="R80" s="1753">
        <f>'Saisie données file act.'!S97</f>
        <v>0</v>
      </c>
      <c r="S80" s="1767">
        <f>'Saisie données file act.'!T97</f>
        <v>0</v>
      </c>
      <c r="T80" s="1738">
        <f>'Saisie données file act.'!U97</f>
        <v>0</v>
      </c>
      <c r="U80" s="1738">
        <f>'Saisie données file act.'!V97</f>
        <v>0</v>
      </c>
      <c r="V80" s="1738">
        <f>'Saisie données file act.'!W97</f>
        <v>0</v>
      </c>
      <c r="W80" s="1738">
        <f>'Saisie données file act.'!X97</f>
        <v>0</v>
      </c>
      <c r="X80" s="1768">
        <f>'Saisie données file act.'!Y97</f>
        <v>0</v>
      </c>
      <c r="Y80" s="1767">
        <f>'Saisie données file act.'!Z97</f>
        <v>0</v>
      </c>
      <c r="Z80" s="1738">
        <f>'Saisie données file act.'!AA97</f>
        <v>0</v>
      </c>
      <c r="AA80" s="1738">
        <f>'Saisie données file act.'!AB97</f>
        <v>0</v>
      </c>
      <c r="AB80" s="1738">
        <f>'Saisie données file act.'!AC97</f>
        <v>0</v>
      </c>
      <c r="AC80" s="1738">
        <f>'Saisie données file act.'!AD97</f>
        <v>0</v>
      </c>
      <c r="AD80" s="1738">
        <f>'Saisie données file act.'!AE97</f>
        <v>0</v>
      </c>
      <c r="AE80" s="1738">
        <f>'Saisie données file act.'!AF97</f>
        <v>0</v>
      </c>
      <c r="AF80" s="1738">
        <f>'Saisie données file act.'!AG97</f>
        <v>0</v>
      </c>
      <c r="AG80" s="1738">
        <f>'Saisie données file act.'!AH97</f>
        <v>0</v>
      </c>
      <c r="AH80" s="1738">
        <f>'Saisie données file act.'!AI97</f>
        <v>0</v>
      </c>
      <c r="AI80" s="1768">
        <f>'Saisie données file act.'!AJ97</f>
        <v>0</v>
      </c>
      <c r="AJ80" s="1776">
        <f>'Saisie données file act.'!AK97</f>
        <v>0</v>
      </c>
      <c r="AK80" s="1290">
        <f>'Saisie données file act.'!AL97</f>
        <v>0</v>
      </c>
      <c r="AL80" s="1290">
        <f>'Saisie données file act.'!AM97</f>
        <v>0</v>
      </c>
      <c r="AM80" s="1290">
        <f>'Saisie données file act.'!AN97</f>
        <v>0</v>
      </c>
      <c r="AN80" s="1290">
        <f>'Saisie données file act.'!AO97</f>
        <v>0</v>
      </c>
      <c r="AO80" s="1290">
        <f>'Saisie données file act.'!AP97</f>
        <v>0</v>
      </c>
      <c r="AP80" s="1290">
        <f>'Saisie données file act.'!AQ97</f>
        <v>0</v>
      </c>
      <c r="AQ80" s="1290">
        <f>'Saisie données file act.'!AR97</f>
        <v>0</v>
      </c>
      <c r="AR80" s="1285">
        <f>'Saisie données file act.'!AS97</f>
        <v>0</v>
      </c>
      <c r="AS80" s="1753">
        <f>'Saisie données file act.'!AT97</f>
        <v>0</v>
      </c>
      <c r="AT80" s="1757">
        <f>'Saisie données file act.'!AU97</f>
        <v>0</v>
      </c>
    </row>
    <row r="81" spans="1:46" ht="13.5" hidden="1" customHeight="1" thickBot="1" x14ac:dyDescent="0.25">
      <c r="B81" s="3308"/>
      <c r="C81" s="1260">
        <f>'Saisie données file act.'!D98</f>
        <v>0</v>
      </c>
      <c r="D81" s="1287">
        <f>'Saisie données file act.'!E98</f>
        <v>0</v>
      </c>
      <c r="E81" s="1288">
        <f>'Saisie données file act.'!F98</f>
        <v>0</v>
      </c>
      <c r="F81" s="1288">
        <f>'Saisie données file act.'!G98</f>
        <v>0</v>
      </c>
      <c r="G81" s="1288">
        <f>'Saisie données file act.'!H98</f>
        <v>0</v>
      </c>
      <c r="H81" s="1288">
        <f>'Saisie données file act.'!I98</f>
        <v>0</v>
      </c>
      <c r="I81" s="1288">
        <f>'Saisie données file act.'!J98</f>
        <v>0</v>
      </c>
      <c r="J81" s="1288">
        <f>'Saisie données file act.'!K98</f>
        <v>0</v>
      </c>
      <c r="K81" s="1288">
        <f>'Saisie données file act.'!L98</f>
        <v>0</v>
      </c>
      <c r="L81" s="1288">
        <f>'Saisie données file act.'!M98</f>
        <v>0</v>
      </c>
      <c r="M81" s="1288">
        <f>'Saisie données file act.'!N98</f>
        <v>0</v>
      </c>
      <c r="N81" s="1288">
        <f>'Saisie données file act.'!O98</f>
        <v>0</v>
      </c>
      <c r="O81" s="1288">
        <f>'Saisie données file act.'!P98</f>
        <v>0</v>
      </c>
      <c r="P81" s="1288">
        <f>'Saisie données file act.'!Q98</f>
        <v>0</v>
      </c>
      <c r="Q81" s="1288">
        <f>'Saisie données file act.'!R98</f>
        <v>0</v>
      </c>
      <c r="R81" s="1754">
        <f>'Saisie données file act.'!S98</f>
        <v>0</v>
      </c>
      <c r="S81" s="1769">
        <f>'Saisie données file act.'!T98</f>
        <v>0</v>
      </c>
      <c r="T81" s="1739">
        <f>'Saisie données file act.'!U98</f>
        <v>0</v>
      </c>
      <c r="U81" s="1739">
        <f>'Saisie données file act.'!V98</f>
        <v>0</v>
      </c>
      <c r="V81" s="1739">
        <f>'Saisie données file act.'!W98</f>
        <v>0</v>
      </c>
      <c r="W81" s="1739">
        <f>'Saisie données file act.'!X98</f>
        <v>0</v>
      </c>
      <c r="X81" s="1770">
        <f>'Saisie données file act.'!Y98</f>
        <v>0</v>
      </c>
      <c r="Y81" s="1769">
        <f>'Saisie données file act.'!Z98</f>
        <v>0</v>
      </c>
      <c r="Z81" s="1739">
        <f>'Saisie données file act.'!AA98</f>
        <v>0</v>
      </c>
      <c r="AA81" s="1739">
        <f>'Saisie données file act.'!AB98</f>
        <v>0</v>
      </c>
      <c r="AB81" s="1739">
        <f>'Saisie données file act.'!AC98</f>
        <v>0</v>
      </c>
      <c r="AC81" s="1739">
        <f>'Saisie données file act.'!AD98</f>
        <v>0</v>
      </c>
      <c r="AD81" s="1739">
        <f>'Saisie données file act.'!AE98</f>
        <v>0</v>
      </c>
      <c r="AE81" s="1739">
        <f>'Saisie données file act.'!AF98</f>
        <v>0</v>
      </c>
      <c r="AF81" s="1739">
        <f>'Saisie données file act.'!AG98</f>
        <v>0</v>
      </c>
      <c r="AG81" s="1739">
        <f>'Saisie données file act.'!AH98</f>
        <v>0</v>
      </c>
      <c r="AH81" s="1739">
        <f>'Saisie données file act.'!AI98</f>
        <v>0</v>
      </c>
      <c r="AI81" s="1770">
        <f>'Saisie données file act.'!AJ98</f>
        <v>0</v>
      </c>
      <c r="AJ81" s="1777">
        <f>'Saisie données file act.'!AK98</f>
        <v>0</v>
      </c>
      <c r="AK81" s="1291">
        <f>'Saisie données file act.'!AL98</f>
        <v>0</v>
      </c>
      <c r="AL81" s="1291">
        <f>'Saisie données file act.'!AM98</f>
        <v>0</v>
      </c>
      <c r="AM81" s="1291">
        <f>'Saisie données file act.'!AN98</f>
        <v>0</v>
      </c>
      <c r="AN81" s="1291">
        <f>'Saisie données file act.'!AO98</f>
        <v>0</v>
      </c>
      <c r="AO81" s="1291">
        <f>'Saisie données file act.'!AP98</f>
        <v>0</v>
      </c>
      <c r="AP81" s="1291">
        <f>'Saisie données file act.'!AQ98</f>
        <v>0</v>
      </c>
      <c r="AQ81" s="1291">
        <f>'Saisie données file act.'!AR98</f>
        <v>0</v>
      </c>
      <c r="AR81" s="1288">
        <f>'Saisie données file act.'!AS98</f>
        <v>0</v>
      </c>
      <c r="AS81" s="1754">
        <f>'Saisie données file act.'!AT98</f>
        <v>0</v>
      </c>
      <c r="AT81" s="1758">
        <f>'Saisie données file act.'!AU98</f>
        <v>0</v>
      </c>
    </row>
    <row r="82" spans="1:46" ht="45.75" hidden="1" thickBot="1" x14ac:dyDescent="0.25">
      <c r="B82" s="3308"/>
      <c r="C82" s="1261" t="str">
        <f>'Saisie données file act.'!D99</f>
        <v>Troisièmes lignes (contrairement aux parties du dessus, un même patient peut être comptabilisé ici dans plusieurs lignes)</v>
      </c>
      <c r="D82" s="1262"/>
      <c r="E82" s="1262"/>
      <c r="F82" s="1262"/>
      <c r="G82" s="1262"/>
      <c r="H82" s="1262"/>
      <c r="I82" s="1262"/>
      <c r="J82" s="1262"/>
      <c r="K82" s="1262"/>
      <c r="L82" s="1262"/>
      <c r="M82" s="1262"/>
      <c r="N82" s="1262"/>
      <c r="O82" s="1262"/>
      <c r="P82" s="1262"/>
      <c r="Q82" s="1262"/>
      <c r="R82" s="1262"/>
      <c r="S82" s="1771"/>
      <c r="T82" s="1262"/>
      <c r="U82" s="1262"/>
      <c r="V82" s="1262"/>
      <c r="W82" s="1262"/>
      <c r="X82" s="1264"/>
      <c r="Y82" s="1771"/>
      <c r="Z82" s="1262"/>
      <c r="AA82" s="1262"/>
      <c r="AB82" s="1262"/>
      <c r="AC82" s="1262"/>
      <c r="AD82" s="1262"/>
      <c r="AE82" s="1262"/>
      <c r="AF82" s="1262"/>
      <c r="AG82" s="1262"/>
      <c r="AH82" s="1262"/>
      <c r="AI82" s="1264"/>
      <c r="AJ82" s="1263"/>
      <c r="AK82" s="1263"/>
      <c r="AL82" s="1263"/>
      <c r="AM82" s="1263"/>
      <c r="AN82" s="1263"/>
      <c r="AO82" s="1263"/>
      <c r="AP82" s="1263"/>
      <c r="AQ82" s="1263"/>
      <c r="AR82" s="1262"/>
      <c r="AS82" s="1262"/>
      <c r="AT82" s="1759"/>
    </row>
    <row r="83" spans="1:46" s="1787" customFormat="1" ht="12.75" hidden="1" customHeight="1" x14ac:dyDescent="0.2">
      <c r="A83" s="3090"/>
      <c r="B83" s="3308"/>
      <c r="C83" s="1789" t="str">
        <f>'Saisie données file act.'!D100</f>
        <v>Patients recevant TDF</v>
      </c>
      <c r="D83" s="1766">
        <f>'Saisie données file act.'!E100</f>
        <v>0</v>
      </c>
      <c r="E83" s="1275">
        <f>'Saisie données file act.'!F100</f>
        <v>0</v>
      </c>
      <c r="F83" s="1275">
        <f>'Saisie données file act.'!G100</f>
        <v>0</v>
      </c>
      <c r="G83" s="1275">
        <f>'Saisie données file act.'!H100</f>
        <v>0</v>
      </c>
      <c r="H83" s="1275">
        <f>'Saisie données file act.'!I100</f>
        <v>0</v>
      </c>
      <c r="I83" s="1275">
        <f>'Saisie données file act.'!J100</f>
        <v>0</v>
      </c>
      <c r="J83" s="1275">
        <f>'Saisie données file act.'!K100</f>
        <v>0</v>
      </c>
      <c r="K83" s="1275">
        <f>'Saisie données file act.'!L100</f>
        <v>0</v>
      </c>
      <c r="L83" s="1275">
        <f>'Saisie données file act.'!M100</f>
        <v>0</v>
      </c>
      <c r="M83" s="1275">
        <f>'Saisie données file act.'!N100</f>
        <v>0</v>
      </c>
      <c r="N83" s="1275">
        <f>'Saisie données file act.'!O100</f>
        <v>0</v>
      </c>
      <c r="O83" s="1275">
        <f>'Saisie données file act.'!P100</f>
        <v>0</v>
      </c>
      <c r="P83" s="1275">
        <f>'Saisie données file act.'!Q100</f>
        <v>0</v>
      </c>
      <c r="Q83" s="1275">
        <f>'Saisie données file act.'!R100</f>
        <v>0</v>
      </c>
      <c r="R83" s="1752">
        <f>'Saisie données file act.'!S100</f>
        <v>0</v>
      </c>
      <c r="S83" s="1766">
        <f>'Saisie données file act.'!T100</f>
        <v>0</v>
      </c>
      <c r="T83" s="1275">
        <f>'Saisie données file act.'!U100</f>
        <v>0</v>
      </c>
      <c r="U83" s="1275">
        <f>'Saisie données file act.'!V100</f>
        <v>0</v>
      </c>
      <c r="V83" s="1275">
        <f>'Saisie données file act.'!W100</f>
        <v>0</v>
      </c>
      <c r="W83" s="1275">
        <f>'Saisie données file act.'!X100</f>
        <v>0</v>
      </c>
      <c r="X83" s="1277">
        <f>'Saisie données file act.'!Y100</f>
        <v>0</v>
      </c>
      <c r="Y83" s="1766">
        <f>'Saisie données file act.'!Z100</f>
        <v>0</v>
      </c>
      <c r="Z83" s="1275">
        <f>'Saisie données file act.'!AA100</f>
        <v>0</v>
      </c>
      <c r="AA83" s="1275">
        <f>'Saisie données file act.'!AB100</f>
        <v>0</v>
      </c>
      <c r="AB83" s="1275">
        <f>'Saisie données file act.'!AC100</f>
        <v>0</v>
      </c>
      <c r="AC83" s="1275">
        <f>'Saisie données file act.'!AD100</f>
        <v>0</v>
      </c>
      <c r="AD83" s="1275">
        <f>'Saisie données file act.'!AE100</f>
        <v>0</v>
      </c>
      <c r="AE83" s="1275">
        <f>'Saisie données file act.'!AF100</f>
        <v>0</v>
      </c>
      <c r="AF83" s="1275">
        <f>'Saisie données file act.'!AG100</f>
        <v>0</v>
      </c>
      <c r="AG83" s="1275">
        <f>'Saisie données file act.'!AH100</f>
        <v>0</v>
      </c>
      <c r="AH83" s="1275">
        <f>'Saisie données file act.'!AI100</f>
        <v>0</v>
      </c>
      <c r="AI83" s="1277" t="str">
        <f>'Saisie données file act.'!AJ100</f>
        <v>X</v>
      </c>
      <c r="AJ83" s="1772">
        <f>'Saisie données file act.'!AK100</f>
        <v>0</v>
      </c>
      <c r="AK83" s="1276">
        <f>'Saisie données file act.'!AL100</f>
        <v>0</v>
      </c>
      <c r="AL83" s="1278">
        <f>'Saisie données file act.'!AM100</f>
        <v>0</v>
      </c>
      <c r="AM83" s="1278">
        <f>'Saisie données file act.'!AN100</f>
        <v>0</v>
      </c>
      <c r="AN83" s="1276">
        <f>'Saisie données file act.'!AO100</f>
        <v>0</v>
      </c>
      <c r="AO83" s="1276">
        <f>'Saisie données file act.'!AP100</f>
        <v>0</v>
      </c>
      <c r="AP83" s="1276">
        <f>'Saisie données file act.'!AQ100</f>
        <v>0</v>
      </c>
      <c r="AQ83" s="1276">
        <f>'Saisie données file act.'!AR100</f>
        <v>0</v>
      </c>
      <c r="AR83" s="1275">
        <f>'Saisie données file act.'!AS100</f>
        <v>0</v>
      </c>
      <c r="AS83" s="1752">
        <f>'Saisie données file act.'!AT100</f>
        <v>0</v>
      </c>
      <c r="AT83" s="1756">
        <f>'Saisie données file act.'!AU100</f>
        <v>0</v>
      </c>
    </row>
    <row r="84" spans="1:46" ht="12.75" hidden="1" customHeight="1" x14ac:dyDescent="0.2">
      <c r="B84" s="3308"/>
      <c r="C84" s="1790" t="str">
        <f>'Saisie données file act.'!D101</f>
        <v>Patients recevant AZT</v>
      </c>
      <c r="D84" s="1767">
        <f>'Saisie données file act.'!E101</f>
        <v>0</v>
      </c>
      <c r="E84" s="1738">
        <f>'Saisie données file act.'!F101</f>
        <v>0</v>
      </c>
      <c r="F84" s="1738">
        <f>'Saisie données file act.'!G101</f>
        <v>0</v>
      </c>
      <c r="G84" s="1738">
        <f>'Saisie données file act.'!H101</f>
        <v>0</v>
      </c>
      <c r="H84" s="1738">
        <f>'Saisie données file act.'!I101</f>
        <v>0</v>
      </c>
      <c r="I84" s="1738">
        <f>'Saisie données file act.'!J101</f>
        <v>0</v>
      </c>
      <c r="J84" s="1738">
        <f>'Saisie données file act.'!K101</f>
        <v>0</v>
      </c>
      <c r="K84" s="1738">
        <f>'Saisie données file act.'!L101</f>
        <v>0</v>
      </c>
      <c r="L84" s="1738">
        <f>'Saisie données file act.'!M101</f>
        <v>0</v>
      </c>
      <c r="M84" s="1738">
        <f>'Saisie données file act.'!N101</f>
        <v>0</v>
      </c>
      <c r="N84" s="1738">
        <f>'Saisie données file act.'!O101</f>
        <v>0</v>
      </c>
      <c r="O84" s="1738">
        <f>'Saisie données file act.'!P101</f>
        <v>0</v>
      </c>
      <c r="P84" s="1738">
        <f>'Saisie données file act.'!Q101</f>
        <v>0</v>
      </c>
      <c r="Q84" s="1738">
        <f>'Saisie données file act.'!R101</f>
        <v>0</v>
      </c>
      <c r="R84" s="1753">
        <f>'Saisie données file act.'!S101</f>
        <v>0</v>
      </c>
      <c r="S84" s="1767">
        <f>'Saisie données file act.'!T101</f>
        <v>0</v>
      </c>
      <c r="T84" s="1738">
        <f>'Saisie données file act.'!U101</f>
        <v>0</v>
      </c>
      <c r="U84" s="1738">
        <f>'Saisie données file act.'!V101</f>
        <v>0</v>
      </c>
      <c r="V84" s="1738">
        <f>'Saisie données file act.'!W101</f>
        <v>0</v>
      </c>
      <c r="W84" s="1738">
        <f>'Saisie données file act.'!X101</f>
        <v>0</v>
      </c>
      <c r="X84" s="1768">
        <f>'Saisie données file act.'!Y101</f>
        <v>0</v>
      </c>
      <c r="Y84" s="1767">
        <f>'Saisie données file act.'!Z101</f>
        <v>0</v>
      </c>
      <c r="Z84" s="1738">
        <f>'Saisie données file act.'!AA101</f>
        <v>0</v>
      </c>
      <c r="AA84" s="1738" t="str">
        <f>'Saisie données file act.'!AB101</f>
        <v>X</v>
      </c>
      <c r="AB84" s="1738">
        <f>'Saisie données file act.'!AC101</f>
        <v>0</v>
      </c>
      <c r="AC84" s="1738">
        <f>'Saisie données file act.'!AD101</f>
        <v>0</v>
      </c>
      <c r="AD84" s="1738">
        <f>'Saisie données file act.'!AE101</f>
        <v>0</v>
      </c>
      <c r="AE84" s="1738">
        <f>'Saisie données file act.'!AF101</f>
        <v>0</v>
      </c>
      <c r="AF84" s="1738">
        <f>'Saisie données file act.'!AG101</f>
        <v>0</v>
      </c>
      <c r="AG84" s="1738">
        <f>'Saisie données file act.'!AH101</f>
        <v>0</v>
      </c>
      <c r="AH84" s="1738">
        <f>'Saisie données file act.'!AI101</f>
        <v>0</v>
      </c>
      <c r="AI84" s="1768">
        <f>'Saisie données file act.'!AJ101</f>
        <v>0</v>
      </c>
      <c r="AJ84" s="1773">
        <f>'Saisie données file act.'!AK101</f>
        <v>0</v>
      </c>
      <c r="AK84" s="1749">
        <f>'Saisie données file act.'!AL101</f>
        <v>0</v>
      </c>
      <c r="AL84" s="1749">
        <f>'Saisie données file act.'!AM101</f>
        <v>0</v>
      </c>
      <c r="AM84" s="1749">
        <f>'Saisie données file act.'!AN101</f>
        <v>0</v>
      </c>
      <c r="AN84" s="1749">
        <f>'Saisie données file act.'!AO101</f>
        <v>0</v>
      </c>
      <c r="AO84" s="1749">
        <f>'Saisie données file act.'!AP101</f>
        <v>0</v>
      </c>
      <c r="AP84" s="1751">
        <f>'Saisie données file act.'!AQ101</f>
        <v>0</v>
      </c>
      <c r="AQ84" s="1749">
        <f>'Saisie données file act.'!AR101</f>
        <v>0</v>
      </c>
      <c r="AR84" s="1738">
        <f>'Saisie données file act.'!AS101</f>
        <v>0</v>
      </c>
      <c r="AS84" s="1753">
        <f>'Saisie données file act.'!AT101</f>
        <v>0</v>
      </c>
      <c r="AT84" s="1757">
        <f>'Saisie données file act.'!AU101</f>
        <v>0</v>
      </c>
    </row>
    <row r="85" spans="1:46" ht="12.75" hidden="1" customHeight="1" x14ac:dyDescent="0.2">
      <c r="B85" s="3308"/>
      <c r="C85" s="1790" t="str">
        <f>'Saisie données file act.'!D102</f>
        <v>Patients recevant 3TC</v>
      </c>
      <c r="D85" s="1767">
        <f>'Saisie données file act.'!E102</f>
        <v>0</v>
      </c>
      <c r="E85" s="1738">
        <f>'Saisie données file act.'!F102</f>
        <v>0</v>
      </c>
      <c r="F85" s="1738">
        <f>'Saisie données file act.'!G102</f>
        <v>0</v>
      </c>
      <c r="G85" s="1738">
        <f>'Saisie données file act.'!H102</f>
        <v>0</v>
      </c>
      <c r="H85" s="1738">
        <f>'Saisie données file act.'!I102</f>
        <v>0</v>
      </c>
      <c r="I85" s="1738">
        <f>'Saisie données file act.'!J102</f>
        <v>0</v>
      </c>
      <c r="J85" s="1738">
        <f>'Saisie données file act.'!K102</f>
        <v>0</v>
      </c>
      <c r="K85" s="1738">
        <f>'Saisie données file act.'!L102</f>
        <v>0</v>
      </c>
      <c r="L85" s="1738">
        <f>'Saisie données file act.'!M102</f>
        <v>0</v>
      </c>
      <c r="M85" s="1738">
        <f>'Saisie données file act.'!N102</f>
        <v>0</v>
      </c>
      <c r="N85" s="1738">
        <f>'Saisie données file act.'!O102</f>
        <v>0</v>
      </c>
      <c r="O85" s="1738">
        <f>'Saisie données file act.'!P102</f>
        <v>0</v>
      </c>
      <c r="P85" s="1738">
        <f>'Saisie données file act.'!Q102</f>
        <v>0</v>
      </c>
      <c r="Q85" s="1738">
        <f>'Saisie données file act.'!R102</f>
        <v>0</v>
      </c>
      <c r="R85" s="1753">
        <f>'Saisie données file act.'!S102</f>
        <v>0</v>
      </c>
      <c r="S85" s="1767">
        <f>'Saisie données file act.'!T102</f>
        <v>0</v>
      </c>
      <c r="T85" s="1738">
        <f>'Saisie données file act.'!U102</f>
        <v>0</v>
      </c>
      <c r="U85" s="1738">
        <f>'Saisie données file act.'!V102</f>
        <v>0</v>
      </c>
      <c r="V85" s="1738">
        <f>'Saisie données file act.'!W102</f>
        <v>0</v>
      </c>
      <c r="W85" s="1738">
        <f>'Saisie données file act.'!X102</f>
        <v>0</v>
      </c>
      <c r="X85" s="1768">
        <f>'Saisie données file act.'!Y102</f>
        <v>0</v>
      </c>
      <c r="Y85" s="1767">
        <f>'Saisie données file act.'!Z102</f>
        <v>0</v>
      </c>
      <c r="Z85" s="1738">
        <f>'Saisie données file act.'!AA102</f>
        <v>0</v>
      </c>
      <c r="AA85" s="1738">
        <f>'Saisie données file act.'!AB102</f>
        <v>0</v>
      </c>
      <c r="AB85" s="1738">
        <f>'Saisie données file act.'!AC102</f>
        <v>0</v>
      </c>
      <c r="AC85" s="1738">
        <f>'Saisie données file act.'!AD102</f>
        <v>0</v>
      </c>
      <c r="AD85" s="1738">
        <f>'Saisie données file act.'!AE102</f>
        <v>0</v>
      </c>
      <c r="AE85" s="1738" t="str">
        <f>'Saisie données file act.'!AF102</f>
        <v>X</v>
      </c>
      <c r="AF85" s="1738">
        <f>'Saisie données file act.'!AG102</f>
        <v>0</v>
      </c>
      <c r="AG85" s="1738">
        <f>'Saisie données file act.'!AH102</f>
        <v>0</v>
      </c>
      <c r="AH85" s="1738">
        <f>'Saisie données file act.'!AI102</f>
        <v>0</v>
      </c>
      <c r="AI85" s="1768">
        <f>'Saisie données file act.'!AJ102</f>
        <v>0</v>
      </c>
      <c r="AJ85" s="1773">
        <f>'Saisie données file act.'!AK102</f>
        <v>0</v>
      </c>
      <c r="AK85" s="1749">
        <f>'Saisie données file act.'!AL102</f>
        <v>0</v>
      </c>
      <c r="AL85" s="1749">
        <f>'Saisie données file act.'!AM102</f>
        <v>0</v>
      </c>
      <c r="AM85" s="1749">
        <f>'Saisie données file act.'!AN102</f>
        <v>0</v>
      </c>
      <c r="AN85" s="1749">
        <f>'Saisie données file act.'!AO102</f>
        <v>0</v>
      </c>
      <c r="AO85" s="1749">
        <f>'Saisie données file act.'!AP102</f>
        <v>0</v>
      </c>
      <c r="AP85" s="1751">
        <f>'Saisie données file act.'!AQ102</f>
        <v>0</v>
      </c>
      <c r="AQ85" s="1749">
        <f>'Saisie données file act.'!AR102</f>
        <v>0</v>
      </c>
      <c r="AR85" s="1738">
        <f>'Saisie données file act.'!AS102</f>
        <v>0</v>
      </c>
      <c r="AS85" s="1753">
        <f>'Saisie données file act.'!AT102</f>
        <v>0</v>
      </c>
      <c r="AT85" s="1757">
        <f>'Saisie données file act.'!AU102</f>
        <v>0</v>
      </c>
    </row>
    <row r="86" spans="1:46" ht="12.75" hidden="1" customHeight="1" x14ac:dyDescent="0.2">
      <c r="B86" s="3308"/>
      <c r="C86" s="1790" t="str">
        <f>'Saisie données file act.'!D103</f>
        <v>Patients recevant ABC</v>
      </c>
      <c r="D86" s="1767">
        <f>'Saisie données file act.'!E103</f>
        <v>0</v>
      </c>
      <c r="E86" s="1738">
        <f>'Saisie données file act.'!F103</f>
        <v>0</v>
      </c>
      <c r="F86" s="1738">
        <f>'Saisie données file act.'!G103</f>
        <v>0</v>
      </c>
      <c r="G86" s="1738">
        <f>'Saisie données file act.'!H103</f>
        <v>0</v>
      </c>
      <c r="H86" s="1738">
        <f>'Saisie données file act.'!I103</f>
        <v>0</v>
      </c>
      <c r="I86" s="1738">
        <f>'Saisie données file act.'!J103</f>
        <v>0</v>
      </c>
      <c r="J86" s="1738">
        <f>'Saisie données file act.'!K103</f>
        <v>0</v>
      </c>
      <c r="K86" s="1738">
        <f>'Saisie données file act.'!L103</f>
        <v>0</v>
      </c>
      <c r="L86" s="1738">
        <f>'Saisie données file act.'!M103</f>
        <v>0</v>
      </c>
      <c r="M86" s="1738">
        <f>'Saisie données file act.'!N103</f>
        <v>0</v>
      </c>
      <c r="N86" s="1738">
        <f>'Saisie données file act.'!O103</f>
        <v>0</v>
      </c>
      <c r="O86" s="1738">
        <f>'Saisie données file act.'!P103</f>
        <v>0</v>
      </c>
      <c r="P86" s="1738">
        <f>'Saisie données file act.'!Q103</f>
        <v>0</v>
      </c>
      <c r="Q86" s="1738">
        <f>'Saisie données file act.'!R103</f>
        <v>0</v>
      </c>
      <c r="R86" s="1753">
        <f>'Saisie données file act.'!S103</f>
        <v>0</v>
      </c>
      <c r="S86" s="1767">
        <f>'Saisie données file act.'!T103</f>
        <v>0</v>
      </c>
      <c r="T86" s="1738">
        <f>'Saisie données file act.'!U103</f>
        <v>0</v>
      </c>
      <c r="U86" s="1738">
        <f>'Saisie données file act.'!V103</f>
        <v>0</v>
      </c>
      <c r="V86" s="1738">
        <f>'Saisie données file act.'!W103</f>
        <v>0</v>
      </c>
      <c r="W86" s="1738">
        <f>'Saisie données file act.'!X103</f>
        <v>0</v>
      </c>
      <c r="X86" s="1768">
        <f>'Saisie données file act.'!Y103</f>
        <v>0</v>
      </c>
      <c r="Y86" s="1767" t="str">
        <f>'Saisie données file act.'!Z103</f>
        <v>X</v>
      </c>
      <c r="Z86" s="1738">
        <f>'Saisie données file act.'!AA103</f>
        <v>0</v>
      </c>
      <c r="AA86" s="1738">
        <f>'Saisie données file act.'!AB103</f>
        <v>0</v>
      </c>
      <c r="AB86" s="1738">
        <f>'Saisie données file act.'!AC103</f>
        <v>0</v>
      </c>
      <c r="AC86" s="1738">
        <f>'Saisie données file act.'!AD103</f>
        <v>0</v>
      </c>
      <c r="AD86" s="1738">
        <f>'Saisie données file act.'!AE103</f>
        <v>0</v>
      </c>
      <c r="AE86" s="1738">
        <f>'Saisie données file act.'!AF103</f>
        <v>0</v>
      </c>
      <c r="AF86" s="1738">
        <f>'Saisie données file act.'!AG103</f>
        <v>0</v>
      </c>
      <c r="AG86" s="1738">
        <f>'Saisie données file act.'!AH103</f>
        <v>0</v>
      </c>
      <c r="AH86" s="1738">
        <f>'Saisie données file act.'!AI103</f>
        <v>0</v>
      </c>
      <c r="AI86" s="1768">
        <f>'Saisie données file act.'!AJ103</f>
        <v>0</v>
      </c>
      <c r="AJ86" s="1773">
        <f>'Saisie données file act.'!AK103</f>
        <v>0</v>
      </c>
      <c r="AK86" s="1749">
        <f>'Saisie données file act.'!AL103</f>
        <v>0</v>
      </c>
      <c r="AL86" s="1749">
        <f>'Saisie données file act.'!AM103</f>
        <v>0</v>
      </c>
      <c r="AM86" s="1749">
        <f>'Saisie données file act.'!AN103</f>
        <v>0</v>
      </c>
      <c r="AN86" s="1749">
        <f>'Saisie données file act.'!AO103</f>
        <v>0</v>
      </c>
      <c r="AO86" s="1749">
        <f>'Saisie données file act.'!AP103</f>
        <v>0</v>
      </c>
      <c r="AP86" s="1751">
        <f>'Saisie données file act.'!AQ103</f>
        <v>0</v>
      </c>
      <c r="AQ86" s="1749">
        <f>'Saisie données file act.'!AR103</f>
        <v>0</v>
      </c>
      <c r="AR86" s="1738">
        <f>'Saisie données file act.'!AS103</f>
        <v>0</v>
      </c>
      <c r="AS86" s="1753">
        <f>'Saisie données file act.'!AT103</f>
        <v>0</v>
      </c>
      <c r="AT86" s="1757">
        <f>'Saisie données file act.'!AU103</f>
        <v>0</v>
      </c>
    </row>
    <row r="87" spans="1:46" ht="12.75" hidden="1" customHeight="1" x14ac:dyDescent="0.2">
      <c r="B87" s="3308"/>
      <c r="C87" s="1790" t="str">
        <f>'Saisie données file act.'!D104</f>
        <v>Patients recevant DDI 250</v>
      </c>
      <c r="D87" s="1767">
        <f>'Saisie données file act.'!E104</f>
        <v>0</v>
      </c>
      <c r="E87" s="1738">
        <f>'Saisie données file act.'!F104</f>
        <v>0</v>
      </c>
      <c r="F87" s="1738">
        <f>'Saisie données file act.'!G104</f>
        <v>0</v>
      </c>
      <c r="G87" s="1738">
        <f>'Saisie données file act.'!H104</f>
        <v>0</v>
      </c>
      <c r="H87" s="1738">
        <f>'Saisie données file act.'!I104</f>
        <v>0</v>
      </c>
      <c r="I87" s="1738">
        <f>'Saisie données file act.'!J104</f>
        <v>0</v>
      </c>
      <c r="J87" s="1738">
        <f>'Saisie données file act.'!K104</f>
        <v>0</v>
      </c>
      <c r="K87" s="1738">
        <f>'Saisie données file act.'!L104</f>
        <v>0</v>
      </c>
      <c r="L87" s="1738">
        <f>'Saisie données file act.'!M104</f>
        <v>0</v>
      </c>
      <c r="M87" s="1738">
        <f>'Saisie données file act.'!N104</f>
        <v>0</v>
      </c>
      <c r="N87" s="1738">
        <f>'Saisie données file act.'!O104</f>
        <v>0</v>
      </c>
      <c r="O87" s="1738">
        <f>'Saisie données file act.'!P104</f>
        <v>0</v>
      </c>
      <c r="P87" s="1738">
        <f>'Saisie données file act.'!Q104</f>
        <v>0</v>
      </c>
      <c r="Q87" s="1738">
        <f>'Saisie données file act.'!R104</f>
        <v>0</v>
      </c>
      <c r="R87" s="1753">
        <f>'Saisie données file act.'!S104</f>
        <v>0</v>
      </c>
      <c r="S87" s="1767">
        <f>'Saisie données file act.'!T104</f>
        <v>0</v>
      </c>
      <c r="T87" s="1738">
        <f>'Saisie données file act.'!U104</f>
        <v>0</v>
      </c>
      <c r="U87" s="1738">
        <f>'Saisie données file act.'!V104</f>
        <v>0</v>
      </c>
      <c r="V87" s="1738">
        <f>'Saisie données file act.'!W104</f>
        <v>0</v>
      </c>
      <c r="W87" s="1738">
        <f>'Saisie données file act.'!X104</f>
        <v>0</v>
      </c>
      <c r="X87" s="1768">
        <f>'Saisie données file act.'!Y104</f>
        <v>0</v>
      </c>
      <c r="Y87" s="1767">
        <f>'Saisie données file act.'!Z104</f>
        <v>0</v>
      </c>
      <c r="Z87" s="1738">
        <f>'Saisie données file act.'!AA104</f>
        <v>0</v>
      </c>
      <c r="AA87" s="1738">
        <f>'Saisie données file act.'!AB104</f>
        <v>0</v>
      </c>
      <c r="AB87" s="1738">
        <f>'Saisie données file act.'!AC104</f>
        <v>0</v>
      </c>
      <c r="AC87" s="1738">
        <f>'Saisie données file act.'!AD104</f>
        <v>0</v>
      </c>
      <c r="AD87" s="1738">
        <f>'Saisie données file act.'!AE104</f>
        <v>0</v>
      </c>
      <c r="AE87" s="1738">
        <f>'Saisie données file act.'!AF104</f>
        <v>0</v>
      </c>
      <c r="AF87" s="1738">
        <f>'Saisie données file act.'!AG104</f>
        <v>0</v>
      </c>
      <c r="AG87" s="1738" t="str">
        <f>'Saisie données file act.'!AH104</f>
        <v>X</v>
      </c>
      <c r="AH87" s="1738">
        <f>'Saisie données file act.'!AI104</f>
        <v>0</v>
      </c>
      <c r="AI87" s="1768">
        <f>'Saisie données file act.'!AJ104</f>
        <v>0</v>
      </c>
      <c r="AJ87" s="1773">
        <f>'Saisie données file act.'!AK104</f>
        <v>0</v>
      </c>
      <c r="AK87" s="1749">
        <f>'Saisie données file act.'!AL104</f>
        <v>0</v>
      </c>
      <c r="AL87" s="1749">
        <f>'Saisie données file act.'!AM104</f>
        <v>0</v>
      </c>
      <c r="AM87" s="1749">
        <f>'Saisie données file act.'!AN104</f>
        <v>0</v>
      </c>
      <c r="AN87" s="1749">
        <f>'Saisie données file act.'!AO104</f>
        <v>0</v>
      </c>
      <c r="AO87" s="1749">
        <f>'Saisie données file act.'!AP104</f>
        <v>0</v>
      </c>
      <c r="AP87" s="1751">
        <f>'Saisie données file act.'!AQ104</f>
        <v>0</v>
      </c>
      <c r="AQ87" s="1749">
        <f>'Saisie données file act.'!AR104</f>
        <v>0</v>
      </c>
      <c r="AR87" s="1738">
        <f>'Saisie données file act.'!AS104</f>
        <v>0</v>
      </c>
      <c r="AS87" s="1753">
        <f>'Saisie données file act.'!AT104</f>
        <v>0</v>
      </c>
      <c r="AT87" s="1757">
        <f>'Saisie données file act.'!AU104</f>
        <v>0</v>
      </c>
    </row>
    <row r="88" spans="1:46" ht="12.75" hidden="1" customHeight="1" x14ac:dyDescent="0.2">
      <c r="B88" s="3308"/>
      <c r="C88" s="1790" t="str">
        <f>'Saisie données file act.'!D105</f>
        <v>Patients recevant DDI 400</v>
      </c>
      <c r="D88" s="1767">
        <f>'Saisie données file act.'!E105</f>
        <v>0</v>
      </c>
      <c r="E88" s="1738">
        <f>'Saisie données file act.'!F105</f>
        <v>0</v>
      </c>
      <c r="F88" s="1738">
        <f>'Saisie données file act.'!G105</f>
        <v>0</v>
      </c>
      <c r="G88" s="1738">
        <f>'Saisie données file act.'!H105</f>
        <v>0</v>
      </c>
      <c r="H88" s="1738">
        <f>'Saisie données file act.'!I105</f>
        <v>0</v>
      </c>
      <c r="I88" s="1738">
        <f>'Saisie données file act.'!J105</f>
        <v>0</v>
      </c>
      <c r="J88" s="1738">
        <f>'Saisie données file act.'!K105</f>
        <v>0</v>
      </c>
      <c r="K88" s="1738">
        <f>'Saisie données file act.'!L105</f>
        <v>0</v>
      </c>
      <c r="L88" s="1738">
        <f>'Saisie données file act.'!M105</f>
        <v>0</v>
      </c>
      <c r="M88" s="1738">
        <f>'Saisie données file act.'!N105</f>
        <v>0</v>
      </c>
      <c r="N88" s="1738">
        <f>'Saisie données file act.'!O105</f>
        <v>0</v>
      </c>
      <c r="O88" s="1738">
        <f>'Saisie données file act.'!P105</f>
        <v>0</v>
      </c>
      <c r="P88" s="1738">
        <f>'Saisie données file act.'!Q105</f>
        <v>0</v>
      </c>
      <c r="Q88" s="1738">
        <f>'Saisie données file act.'!R105</f>
        <v>0</v>
      </c>
      <c r="R88" s="1753">
        <f>'Saisie données file act.'!S105</f>
        <v>0</v>
      </c>
      <c r="S88" s="1767">
        <f>'Saisie données file act.'!T105</f>
        <v>0</v>
      </c>
      <c r="T88" s="1738">
        <f>'Saisie données file act.'!U105</f>
        <v>0</v>
      </c>
      <c r="U88" s="1738">
        <f>'Saisie données file act.'!V105</f>
        <v>0</v>
      </c>
      <c r="V88" s="1738">
        <f>'Saisie données file act.'!W105</f>
        <v>0</v>
      </c>
      <c r="W88" s="1738">
        <f>'Saisie données file act.'!X105</f>
        <v>0</v>
      </c>
      <c r="X88" s="1768">
        <f>'Saisie données file act.'!Y105</f>
        <v>0</v>
      </c>
      <c r="Y88" s="1767">
        <f>'Saisie données file act.'!Z105</f>
        <v>0</v>
      </c>
      <c r="Z88" s="1738">
        <f>'Saisie données file act.'!AA105</f>
        <v>0</v>
      </c>
      <c r="AA88" s="1738">
        <f>'Saisie données file act.'!AB105</f>
        <v>0</v>
      </c>
      <c r="AB88" s="1738">
        <f>'Saisie données file act.'!AC105</f>
        <v>0</v>
      </c>
      <c r="AC88" s="1738">
        <f>'Saisie données file act.'!AD105</f>
        <v>0</v>
      </c>
      <c r="AD88" s="1738">
        <f>'Saisie données file act.'!AE105</f>
        <v>0</v>
      </c>
      <c r="AE88" s="1738">
        <f>'Saisie données file act.'!AF105</f>
        <v>0</v>
      </c>
      <c r="AF88" s="1738">
        <f>'Saisie données file act.'!AG105</f>
        <v>0</v>
      </c>
      <c r="AG88" s="1738">
        <f>'Saisie données file act.'!AH105</f>
        <v>0</v>
      </c>
      <c r="AH88" s="1738" t="str">
        <f>'Saisie données file act.'!AI105</f>
        <v>X</v>
      </c>
      <c r="AI88" s="1768">
        <f>'Saisie données file act.'!AJ105</f>
        <v>0</v>
      </c>
      <c r="AJ88" s="1773">
        <f>'Saisie données file act.'!AK105</f>
        <v>0</v>
      </c>
      <c r="AK88" s="1749">
        <f>'Saisie données file act.'!AL105</f>
        <v>0</v>
      </c>
      <c r="AL88" s="1749">
        <f>'Saisie données file act.'!AM105</f>
        <v>0</v>
      </c>
      <c r="AM88" s="1749">
        <f>'Saisie données file act.'!AN105</f>
        <v>0</v>
      </c>
      <c r="AN88" s="1749">
        <f>'Saisie données file act.'!AO105</f>
        <v>0</v>
      </c>
      <c r="AO88" s="1749">
        <f>'Saisie données file act.'!AP105</f>
        <v>0</v>
      </c>
      <c r="AP88" s="1751">
        <f>'Saisie données file act.'!AQ105</f>
        <v>0</v>
      </c>
      <c r="AQ88" s="1749">
        <f>'Saisie données file act.'!AR105</f>
        <v>0</v>
      </c>
      <c r="AR88" s="1738">
        <f>'Saisie données file act.'!AS105</f>
        <v>0</v>
      </c>
      <c r="AS88" s="1753">
        <f>'Saisie données file act.'!AT105</f>
        <v>0</v>
      </c>
      <c r="AT88" s="1757">
        <f>'Saisie données file act.'!AU105</f>
        <v>0</v>
      </c>
    </row>
    <row r="89" spans="1:46" ht="12.75" hidden="1" customHeight="1" x14ac:dyDescent="0.2">
      <c r="B89" s="3308"/>
      <c r="C89" s="1790" t="str">
        <f>'Saisie données file act.'!D106</f>
        <v>Patients recevant ATV+RTV</v>
      </c>
      <c r="D89" s="1767">
        <f>'Saisie données file act.'!E106</f>
        <v>0</v>
      </c>
      <c r="E89" s="1738">
        <f>'Saisie données file act.'!F106</f>
        <v>0</v>
      </c>
      <c r="F89" s="1738">
        <f>'Saisie données file act.'!G106</f>
        <v>0</v>
      </c>
      <c r="G89" s="1738">
        <f>'Saisie données file act.'!H106</f>
        <v>0</v>
      </c>
      <c r="H89" s="1738">
        <f>'Saisie données file act.'!I106</f>
        <v>0</v>
      </c>
      <c r="I89" s="1738">
        <f>'Saisie données file act.'!J106</f>
        <v>0</v>
      </c>
      <c r="J89" s="1738">
        <f>'Saisie données file act.'!K106</f>
        <v>0</v>
      </c>
      <c r="K89" s="1738">
        <f>'Saisie données file act.'!L106</f>
        <v>0</v>
      </c>
      <c r="L89" s="1738">
        <f>'Saisie données file act.'!M106</f>
        <v>0</v>
      </c>
      <c r="M89" s="1738">
        <f>'Saisie données file act.'!N106</f>
        <v>0</v>
      </c>
      <c r="N89" s="1738">
        <f>'Saisie données file act.'!O106</f>
        <v>0</v>
      </c>
      <c r="O89" s="1738">
        <f>'Saisie données file act.'!P106</f>
        <v>0</v>
      </c>
      <c r="P89" s="1738">
        <f>'Saisie données file act.'!Q106</f>
        <v>0</v>
      </c>
      <c r="Q89" s="1738">
        <f>'Saisie données file act.'!R106</f>
        <v>0</v>
      </c>
      <c r="R89" s="1753">
        <f>'Saisie données file act.'!S106</f>
        <v>0</v>
      </c>
      <c r="S89" s="1767">
        <f>'Saisie données file act.'!T106</f>
        <v>0</v>
      </c>
      <c r="T89" s="1738">
        <f>'Saisie données file act.'!U106</f>
        <v>0</v>
      </c>
      <c r="U89" s="1738">
        <f>'Saisie données file act.'!V106</f>
        <v>0</v>
      </c>
      <c r="V89" s="1738">
        <f>'Saisie données file act.'!W106</f>
        <v>0</v>
      </c>
      <c r="W89" s="1738">
        <f>'Saisie données file act.'!X106</f>
        <v>0</v>
      </c>
      <c r="X89" s="1768">
        <f>'Saisie données file act.'!Y106</f>
        <v>0</v>
      </c>
      <c r="Y89" s="1767">
        <f>'Saisie données file act.'!Z106</f>
        <v>0</v>
      </c>
      <c r="Z89" s="1738">
        <f>'Saisie données file act.'!AA106</f>
        <v>0</v>
      </c>
      <c r="AA89" s="1738">
        <f>'Saisie données file act.'!AB106</f>
        <v>0</v>
      </c>
      <c r="AB89" s="1738">
        <f>'Saisie données file act.'!AC106</f>
        <v>0</v>
      </c>
      <c r="AC89" s="1738">
        <f>'Saisie données file act.'!AD106</f>
        <v>0</v>
      </c>
      <c r="AD89" s="1738">
        <f>'Saisie données file act.'!AE106</f>
        <v>0</v>
      </c>
      <c r="AE89" s="1738">
        <f>'Saisie données file act.'!AF106</f>
        <v>0</v>
      </c>
      <c r="AF89" s="1738">
        <f>'Saisie données file act.'!AG106</f>
        <v>0</v>
      </c>
      <c r="AG89" s="1738">
        <f>'Saisie données file act.'!AH106</f>
        <v>0</v>
      </c>
      <c r="AH89" s="1738">
        <f>'Saisie données file act.'!AI106</f>
        <v>0</v>
      </c>
      <c r="AI89" s="1768">
        <f>'Saisie données file act.'!AJ106</f>
        <v>0</v>
      </c>
      <c r="AJ89" s="1773">
        <f>'Saisie données file act.'!AK106</f>
        <v>0</v>
      </c>
      <c r="AK89" s="1749">
        <f>'Saisie données file act.'!AL106</f>
        <v>0</v>
      </c>
      <c r="AL89" s="1749" t="str">
        <f>'Saisie données file act.'!AM106</f>
        <v>X</v>
      </c>
      <c r="AM89" s="1749">
        <f>'Saisie données file act.'!AN106</f>
        <v>0</v>
      </c>
      <c r="AN89" s="1749">
        <f>'Saisie données file act.'!AO106</f>
        <v>0</v>
      </c>
      <c r="AO89" s="1749">
        <f>'Saisie données file act.'!AP106</f>
        <v>0</v>
      </c>
      <c r="AP89" s="1751">
        <f>'Saisie données file act.'!AQ106</f>
        <v>0</v>
      </c>
      <c r="AQ89" s="1749">
        <f>'Saisie données file act.'!AR106</f>
        <v>0</v>
      </c>
      <c r="AR89" s="1738">
        <f>'Saisie données file act.'!AS106</f>
        <v>0</v>
      </c>
      <c r="AS89" s="1753">
        <f>'Saisie données file act.'!AT106</f>
        <v>0</v>
      </c>
      <c r="AT89" s="1757">
        <f>'Saisie données file act.'!AU106</f>
        <v>0</v>
      </c>
    </row>
    <row r="90" spans="1:46" ht="12.75" hidden="1" customHeight="1" x14ac:dyDescent="0.2">
      <c r="B90" s="3308"/>
      <c r="C90" s="1790" t="str">
        <f>'Saisie données file act.'!D107</f>
        <v>Patients recevant FPV+RTV</v>
      </c>
      <c r="D90" s="1767">
        <f>'Saisie données file act.'!E107</f>
        <v>0</v>
      </c>
      <c r="E90" s="1738">
        <f>'Saisie données file act.'!F107</f>
        <v>0</v>
      </c>
      <c r="F90" s="1738">
        <f>'Saisie données file act.'!G107</f>
        <v>0</v>
      </c>
      <c r="G90" s="1738">
        <f>'Saisie données file act.'!H107</f>
        <v>0</v>
      </c>
      <c r="H90" s="1738">
        <f>'Saisie données file act.'!I107</f>
        <v>0</v>
      </c>
      <c r="I90" s="1738">
        <f>'Saisie données file act.'!J107</f>
        <v>0</v>
      </c>
      <c r="J90" s="1738">
        <f>'Saisie données file act.'!K107</f>
        <v>0</v>
      </c>
      <c r="K90" s="1738">
        <f>'Saisie données file act.'!L107</f>
        <v>0</v>
      </c>
      <c r="L90" s="1738">
        <f>'Saisie données file act.'!M107</f>
        <v>0</v>
      </c>
      <c r="M90" s="1738">
        <f>'Saisie données file act.'!N107</f>
        <v>0</v>
      </c>
      <c r="N90" s="1738">
        <f>'Saisie données file act.'!O107</f>
        <v>0</v>
      </c>
      <c r="O90" s="1738">
        <f>'Saisie données file act.'!P107</f>
        <v>0</v>
      </c>
      <c r="P90" s="1738">
        <f>'Saisie données file act.'!Q107</f>
        <v>0</v>
      </c>
      <c r="Q90" s="1738">
        <f>'Saisie données file act.'!R107</f>
        <v>0</v>
      </c>
      <c r="R90" s="1753">
        <f>'Saisie données file act.'!S107</f>
        <v>0</v>
      </c>
      <c r="S90" s="1767">
        <f>'Saisie données file act.'!T107</f>
        <v>0</v>
      </c>
      <c r="T90" s="1738">
        <f>'Saisie données file act.'!U107</f>
        <v>0</v>
      </c>
      <c r="U90" s="1738">
        <f>'Saisie données file act.'!V107</f>
        <v>0</v>
      </c>
      <c r="V90" s="1738">
        <f>'Saisie données file act.'!W107</f>
        <v>0</v>
      </c>
      <c r="W90" s="1738">
        <f>'Saisie données file act.'!X107</f>
        <v>0</v>
      </c>
      <c r="X90" s="1768">
        <f>'Saisie données file act.'!Y107</f>
        <v>0</v>
      </c>
      <c r="Y90" s="1767">
        <f>'Saisie données file act.'!Z107</f>
        <v>0</v>
      </c>
      <c r="Z90" s="1738">
        <f>'Saisie données file act.'!AA107</f>
        <v>0</v>
      </c>
      <c r="AA90" s="1738">
        <f>'Saisie données file act.'!AB107</f>
        <v>0</v>
      </c>
      <c r="AB90" s="1738">
        <f>'Saisie données file act.'!AC107</f>
        <v>0</v>
      </c>
      <c r="AC90" s="1738">
        <f>'Saisie données file act.'!AD107</f>
        <v>0</v>
      </c>
      <c r="AD90" s="1738">
        <f>'Saisie données file act.'!AE107</f>
        <v>0</v>
      </c>
      <c r="AE90" s="1738">
        <f>'Saisie données file act.'!AF107</f>
        <v>0</v>
      </c>
      <c r="AF90" s="1738">
        <f>'Saisie données file act.'!AG107</f>
        <v>0</v>
      </c>
      <c r="AG90" s="1738">
        <f>'Saisie données file act.'!AH107</f>
        <v>0</v>
      </c>
      <c r="AH90" s="1738">
        <f>'Saisie données file act.'!AI107</f>
        <v>0</v>
      </c>
      <c r="AI90" s="1768">
        <f>'Saisie données file act.'!AJ107</f>
        <v>0</v>
      </c>
      <c r="AJ90" s="1773">
        <f>'Saisie données file act.'!AK107</f>
        <v>0</v>
      </c>
      <c r="AK90" s="1749">
        <f>'Saisie données file act.'!AL107</f>
        <v>0</v>
      </c>
      <c r="AL90" s="1749">
        <f>'Saisie données file act.'!AM107</f>
        <v>0</v>
      </c>
      <c r="AM90" s="1749" t="str">
        <f>'Saisie données file act.'!AN107</f>
        <v>X</v>
      </c>
      <c r="AN90" s="1749">
        <f>'Saisie données file act.'!AO107</f>
        <v>0</v>
      </c>
      <c r="AO90" s="1749">
        <f>'Saisie données file act.'!AP107</f>
        <v>0</v>
      </c>
      <c r="AP90" s="1751">
        <f>'Saisie données file act.'!AQ107</f>
        <v>0</v>
      </c>
      <c r="AQ90" s="1749">
        <f>'Saisie données file act.'!AR107</f>
        <v>0</v>
      </c>
      <c r="AR90" s="1738">
        <f>'Saisie données file act.'!AS107</f>
        <v>0</v>
      </c>
      <c r="AS90" s="1753" t="str">
        <f>'Saisie données file act.'!AT107</f>
        <v>X</v>
      </c>
      <c r="AT90" s="1757">
        <f>'Saisie données file act.'!AU107</f>
        <v>0</v>
      </c>
    </row>
    <row r="91" spans="1:46" ht="12.75" hidden="1" customHeight="1" x14ac:dyDescent="0.2">
      <c r="B91" s="3308"/>
      <c r="C91" s="1790" t="str">
        <f>'Saisie données file act.'!D108</f>
        <v>Patients recevant DRV+RTV</v>
      </c>
      <c r="D91" s="1767">
        <f>'Saisie données file act.'!E108</f>
        <v>0</v>
      </c>
      <c r="E91" s="1738">
        <f>'Saisie données file act.'!F108</f>
        <v>0</v>
      </c>
      <c r="F91" s="1738">
        <f>'Saisie données file act.'!G108</f>
        <v>0</v>
      </c>
      <c r="G91" s="1738">
        <f>'Saisie données file act.'!H108</f>
        <v>0</v>
      </c>
      <c r="H91" s="1738">
        <f>'Saisie données file act.'!I108</f>
        <v>0</v>
      </c>
      <c r="I91" s="1738">
        <f>'Saisie données file act.'!J108</f>
        <v>0</v>
      </c>
      <c r="J91" s="1738">
        <f>'Saisie données file act.'!K108</f>
        <v>0</v>
      </c>
      <c r="K91" s="1738">
        <f>'Saisie données file act.'!L108</f>
        <v>0</v>
      </c>
      <c r="L91" s="1738">
        <f>'Saisie données file act.'!M108</f>
        <v>0</v>
      </c>
      <c r="M91" s="1738">
        <f>'Saisie données file act.'!N108</f>
        <v>0</v>
      </c>
      <c r="N91" s="1738">
        <f>'Saisie données file act.'!O108</f>
        <v>0</v>
      </c>
      <c r="O91" s="1738">
        <f>'Saisie données file act.'!P108</f>
        <v>0</v>
      </c>
      <c r="P91" s="1738">
        <f>'Saisie données file act.'!Q108</f>
        <v>0</v>
      </c>
      <c r="Q91" s="1738">
        <f>'Saisie données file act.'!R108</f>
        <v>0</v>
      </c>
      <c r="R91" s="1753">
        <f>'Saisie données file act.'!S108</f>
        <v>0</v>
      </c>
      <c r="S91" s="1767">
        <f>'Saisie données file act.'!T108</f>
        <v>0</v>
      </c>
      <c r="T91" s="1738">
        <f>'Saisie données file act.'!U108</f>
        <v>0</v>
      </c>
      <c r="U91" s="1738">
        <f>'Saisie données file act.'!V108</f>
        <v>0</v>
      </c>
      <c r="V91" s="1738">
        <f>'Saisie données file act.'!W108</f>
        <v>0</v>
      </c>
      <c r="W91" s="1738">
        <f>'Saisie données file act.'!X108</f>
        <v>0</v>
      </c>
      <c r="X91" s="1768">
        <f>'Saisie données file act.'!Y108</f>
        <v>0</v>
      </c>
      <c r="Y91" s="1767">
        <f>'Saisie données file act.'!Z108</f>
        <v>0</v>
      </c>
      <c r="Z91" s="1738">
        <f>'Saisie données file act.'!AA108</f>
        <v>0</v>
      </c>
      <c r="AA91" s="1738">
        <f>'Saisie données file act.'!AB108</f>
        <v>0</v>
      </c>
      <c r="AB91" s="1738">
        <f>'Saisie données file act.'!AC108</f>
        <v>0</v>
      </c>
      <c r="AC91" s="1738">
        <f>'Saisie données file act.'!AD108</f>
        <v>0</v>
      </c>
      <c r="AD91" s="1738">
        <f>'Saisie données file act.'!AE108</f>
        <v>0</v>
      </c>
      <c r="AE91" s="1738">
        <f>'Saisie données file act.'!AF108</f>
        <v>0</v>
      </c>
      <c r="AF91" s="1738">
        <f>'Saisie données file act.'!AG108</f>
        <v>0</v>
      </c>
      <c r="AG91" s="1738">
        <f>'Saisie données file act.'!AH108</f>
        <v>0</v>
      </c>
      <c r="AH91" s="1738">
        <f>'Saisie données file act.'!AI108</f>
        <v>0</v>
      </c>
      <c r="AI91" s="1768">
        <f>'Saisie données file act.'!AJ108</f>
        <v>0</v>
      </c>
      <c r="AJ91" s="1773">
        <f>'Saisie données file act.'!AK108</f>
        <v>0</v>
      </c>
      <c r="AK91" s="1749">
        <f>'Saisie données file act.'!AL108</f>
        <v>0</v>
      </c>
      <c r="AL91" s="1749">
        <f>'Saisie données file act.'!AM108</f>
        <v>0</v>
      </c>
      <c r="AM91" s="1749">
        <f>'Saisie données file act.'!AN108</f>
        <v>0</v>
      </c>
      <c r="AN91" s="1749">
        <f>'Saisie données file act.'!AO108</f>
        <v>0</v>
      </c>
      <c r="AO91" s="1749">
        <f>'Saisie données file act.'!AP108</f>
        <v>0</v>
      </c>
      <c r="AP91" s="1751" t="str">
        <f>'Saisie données file act.'!AQ108</f>
        <v>X</v>
      </c>
      <c r="AQ91" s="1749">
        <f>'Saisie données file act.'!AR108</f>
        <v>0</v>
      </c>
      <c r="AR91" s="1738">
        <f>'Saisie données file act.'!AS108</f>
        <v>0</v>
      </c>
      <c r="AS91" s="1753" t="str">
        <f>'Saisie données file act.'!AT108</f>
        <v>X</v>
      </c>
      <c r="AT91" s="1757">
        <f>'Saisie données file act.'!AU108</f>
        <v>0</v>
      </c>
    </row>
    <row r="92" spans="1:46" ht="12.75" hidden="1" customHeight="1" x14ac:dyDescent="0.2">
      <c r="B92" s="3308"/>
      <c r="C92" s="1790" t="str">
        <f>'Saisie données file act.'!D109</f>
        <v>Patients recevant ETV</v>
      </c>
      <c r="D92" s="1767">
        <f>'Saisie données file act.'!E109</f>
        <v>0</v>
      </c>
      <c r="E92" s="1738">
        <f>'Saisie données file act.'!F109</f>
        <v>0</v>
      </c>
      <c r="F92" s="1738">
        <f>'Saisie données file act.'!G109</f>
        <v>0</v>
      </c>
      <c r="G92" s="1738">
        <f>'Saisie données file act.'!H109</f>
        <v>0</v>
      </c>
      <c r="H92" s="1738">
        <f>'Saisie données file act.'!I109</f>
        <v>0</v>
      </c>
      <c r="I92" s="1738">
        <f>'Saisie données file act.'!J109</f>
        <v>0</v>
      </c>
      <c r="J92" s="1738">
        <f>'Saisie données file act.'!K109</f>
        <v>0</v>
      </c>
      <c r="K92" s="1738">
        <f>'Saisie données file act.'!L109</f>
        <v>0</v>
      </c>
      <c r="L92" s="1738">
        <f>'Saisie données file act.'!M109</f>
        <v>0</v>
      </c>
      <c r="M92" s="1738">
        <f>'Saisie données file act.'!N109</f>
        <v>0</v>
      </c>
      <c r="N92" s="1738">
        <f>'Saisie données file act.'!O109</f>
        <v>0</v>
      </c>
      <c r="O92" s="1738">
        <f>'Saisie données file act.'!P109</f>
        <v>0</v>
      </c>
      <c r="P92" s="1738">
        <f>'Saisie données file act.'!Q109</f>
        <v>0</v>
      </c>
      <c r="Q92" s="1738">
        <f>'Saisie données file act.'!R109</f>
        <v>0</v>
      </c>
      <c r="R92" s="1753">
        <f>'Saisie données file act.'!S109</f>
        <v>0</v>
      </c>
      <c r="S92" s="1767">
        <f>'Saisie données file act.'!T109</f>
        <v>0</v>
      </c>
      <c r="T92" s="1738">
        <f>'Saisie données file act.'!U109</f>
        <v>0</v>
      </c>
      <c r="U92" s="1738">
        <f>'Saisie données file act.'!V109</f>
        <v>0</v>
      </c>
      <c r="V92" s="1738" t="str">
        <f>'Saisie données file act.'!W109</f>
        <v>X</v>
      </c>
      <c r="W92" s="1738">
        <f>'Saisie données file act.'!X109</f>
        <v>0</v>
      </c>
      <c r="X92" s="1768">
        <f>'Saisie données file act.'!Y109</f>
        <v>0</v>
      </c>
      <c r="Y92" s="1767">
        <f>'Saisie données file act.'!Z109</f>
        <v>0</v>
      </c>
      <c r="Z92" s="1738">
        <f>'Saisie données file act.'!AA109</f>
        <v>0</v>
      </c>
      <c r="AA92" s="1738">
        <f>'Saisie données file act.'!AB109</f>
        <v>0</v>
      </c>
      <c r="AB92" s="1738">
        <f>'Saisie données file act.'!AC109</f>
        <v>0</v>
      </c>
      <c r="AC92" s="1738">
        <f>'Saisie données file act.'!AD109</f>
        <v>0</v>
      </c>
      <c r="AD92" s="1738">
        <f>'Saisie données file act.'!AE109</f>
        <v>0</v>
      </c>
      <c r="AE92" s="1738">
        <f>'Saisie données file act.'!AF109</f>
        <v>0</v>
      </c>
      <c r="AF92" s="1738">
        <f>'Saisie données file act.'!AG109</f>
        <v>0</v>
      </c>
      <c r="AG92" s="1738">
        <f>'Saisie données file act.'!AH109</f>
        <v>0</v>
      </c>
      <c r="AH92" s="1738">
        <f>'Saisie données file act.'!AI109</f>
        <v>0</v>
      </c>
      <c r="AI92" s="1768">
        <f>'Saisie données file act.'!AJ109</f>
        <v>0</v>
      </c>
      <c r="AJ92" s="1773">
        <f>'Saisie données file act.'!AK109</f>
        <v>0</v>
      </c>
      <c r="AK92" s="1749">
        <f>'Saisie données file act.'!AL109</f>
        <v>0</v>
      </c>
      <c r="AL92" s="1749">
        <f>'Saisie données file act.'!AM109</f>
        <v>0</v>
      </c>
      <c r="AM92" s="1749">
        <f>'Saisie données file act.'!AN109</f>
        <v>0</v>
      </c>
      <c r="AN92" s="1749">
        <f>'Saisie données file act.'!AO109</f>
        <v>0</v>
      </c>
      <c r="AO92" s="1749">
        <f>'Saisie données file act.'!AP109</f>
        <v>0</v>
      </c>
      <c r="AP92" s="1751">
        <f>'Saisie données file act.'!AQ109</f>
        <v>0</v>
      </c>
      <c r="AQ92" s="1749">
        <f>'Saisie données file act.'!AR109</f>
        <v>0</v>
      </c>
      <c r="AR92" s="1738">
        <f>'Saisie données file act.'!AS109</f>
        <v>0</v>
      </c>
      <c r="AS92" s="1753">
        <f>'Saisie données file act.'!AT109</f>
        <v>0</v>
      </c>
      <c r="AT92" s="1757">
        <f>'Saisie données file act.'!AU109</f>
        <v>0</v>
      </c>
    </row>
    <row r="93" spans="1:46" ht="12.75" hidden="1" customHeight="1" x14ac:dyDescent="0.2">
      <c r="B93" s="3308"/>
      <c r="C93" s="1790" t="str">
        <f>'Saisie données file act.'!D110</f>
        <v>Patients recevant RPV</v>
      </c>
      <c r="D93" s="1767">
        <f>'Saisie données file act.'!E110</f>
        <v>0</v>
      </c>
      <c r="E93" s="1738">
        <f>'Saisie données file act.'!F110</f>
        <v>0</v>
      </c>
      <c r="F93" s="1738">
        <f>'Saisie données file act.'!G110</f>
        <v>0</v>
      </c>
      <c r="G93" s="1738">
        <f>'Saisie données file act.'!H110</f>
        <v>0</v>
      </c>
      <c r="H93" s="1738">
        <f>'Saisie données file act.'!I110</f>
        <v>0</v>
      </c>
      <c r="I93" s="1738">
        <f>'Saisie données file act.'!J110</f>
        <v>0</v>
      </c>
      <c r="J93" s="1738">
        <f>'Saisie données file act.'!K110</f>
        <v>0</v>
      </c>
      <c r="K93" s="1738">
        <f>'Saisie données file act.'!L110</f>
        <v>0</v>
      </c>
      <c r="L93" s="1738">
        <f>'Saisie données file act.'!M110</f>
        <v>0</v>
      </c>
      <c r="M93" s="1738">
        <f>'Saisie données file act.'!N110</f>
        <v>0</v>
      </c>
      <c r="N93" s="1738">
        <f>'Saisie données file act.'!O110</f>
        <v>0</v>
      </c>
      <c r="O93" s="1738">
        <f>'Saisie données file act.'!P110</f>
        <v>0</v>
      </c>
      <c r="P93" s="1738">
        <f>'Saisie données file act.'!Q110</f>
        <v>0</v>
      </c>
      <c r="Q93" s="1738">
        <f>'Saisie données file act.'!R110</f>
        <v>0</v>
      </c>
      <c r="R93" s="1753">
        <f>'Saisie données file act.'!S110</f>
        <v>0</v>
      </c>
      <c r="S93" s="1767">
        <f>'Saisie données file act.'!T110</f>
        <v>0</v>
      </c>
      <c r="T93" s="1738">
        <f>'Saisie données file act.'!U110</f>
        <v>0</v>
      </c>
      <c r="U93" s="1738">
        <f>'Saisie données file act.'!V110</f>
        <v>0</v>
      </c>
      <c r="V93" s="1738">
        <f>'Saisie données file act.'!W110</f>
        <v>0</v>
      </c>
      <c r="W93" s="1738">
        <f>'Saisie données file act.'!X110</f>
        <v>0</v>
      </c>
      <c r="X93" s="1768" t="str">
        <f>'Saisie données file act.'!Y110</f>
        <v>X</v>
      </c>
      <c r="Y93" s="1767">
        <f>'Saisie données file act.'!Z110</f>
        <v>0</v>
      </c>
      <c r="Z93" s="1738">
        <f>'Saisie données file act.'!AA110</f>
        <v>0</v>
      </c>
      <c r="AA93" s="1738">
        <f>'Saisie données file act.'!AB110</f>
        <v>0</v>
      </c>
      <c r="AB93" s="1738">
        <f>'Saisie données file act.'!AC110</f>
        <v>0</v>
      </c>
      <c r="AC93" s="1738">
        <f>'Saisie données file act.'!AD110</f>
        <v>0</v>
      </c>
      <c r="AD93" s="1738">
        <f>'Saisie données file act.'!AE110</f>
        <v>0</v>
      </c>
      <c r="AE93" s="1738">
        <f>'Saisie données file act.'!AF110</f>
        <v>0</v>
      </c>
      <c r="AF93" s="1738">
        <f>'Saisie données file act.'!AG110</f>
        <v>0</v>
      </c>
      <c r="AG93" s="1738">
        <f>'Saisie données file act.'!AH110</f>
        <v>0</v>
      </c>
      <c r="AH93" s="1738">
        <f>'Saisie données file act.'!AI110</f>
        <v>0</v>
      </c>
      <c r="AI93" s="1768">
        <f>'Saisie données file act.'!AJ110</f>
        <v>0</v>
      </c>
      <c r="AJ93" s="1773">
        <f>'Saisie données file act.'!AK110</f>
        <v>0</v>
      </c>
      <c r="AK93" s="1749">
        <f>'Saisie données file act.'!AL110</f>
        <v>0</v>
      </c>
      <c r="AL93" s="1749">
        <f>'Saisie données file act.'!AM110</f>
        <v>0</v>
      </c>
      <c r="AM93" s="1749">
        <f>'Saisie données file act.'!AN110</f>
        <v>0</v>
      </c>
      <c r="AN93" s="1749">
        <f>'Saisie données file act.'!AO110</f>
        <v>0</v>
      </c>
      <c r="AO93" s="1749">
        <f>'Saisie données file act.'!AP110</f>
        <v>0</v>
      </c>
      <c r="AP93" s="1751">
        <f>'Saisie données file act.'!AQ110</f>
        <v>0</v>
      </c>
      <c r="AQ93" s="1749">
        <f>'Saisie données file act.'!AR110</f>
        <v>0</v>
      </c>
      <c r="AR93" s="1738">
        <f>'Saisie données file act.'!AS110</f>
        <v>0</v>
      </c>
      <c r="AS93" s="1753">
        <f>'Saisie données file act.'!AT110</f>
        <v>0</v>
      </c>
      <c r="AT93" s="1757">
        <f>'Saisie données file act.'!AU110</f>
        <v>0</v>
      </c>
    </row>
    <row r="94" spans="1:46" ht="13.5" hidden="1" customHeight="1" thickBot="1" x14ac:dyDescent="0.25">
      <c r="B94" s="3309"/>
      <c r="C94" s="1791" t="str">
        <f>'Saisie données file act.'!D111</f>
        <v>Patients recevant RLT</v>
      </c>
      <c r="D94" s="1769">
        <f>'Saisie données file act.'!E111</f>
        <v>0</v>
      </c>
      <c r="E94" s="1739">
        <f>'Saisie données file act.'!F111</f>
        <v>0</v>
      </c>
      <c r="F94" s="1739">
        <f>'Saisie données file act.'!G111</f>
        <v>0</v>
      </c>
      <c r="G94" s="1739">
        <f>'Saisie données file act.'!H111</f>
        <v>0</v>
      </c>
      <c r="H94" s="1739">
        <f>'Saisie données file act.'!I111</f>
        <v>0</v>
      </c>
      <c r="I94" s="1739">
        <f>'Saisie données file act.'!J111</f>
        <v>0</v>
      </c>
      <c r="J94" s="1739">
        <f>'Saisie données file act.'!K111</f>
        <v>0</v>
      </c>
      <c r="K94" s="1739">
        <f>'Saisie données file act.'!L111</f>
        <v>0</v>
      </c>
      <c r="L94" s="1739">
        <f>'Saisie données file act.'!M111</f>
        <v>0</v>
      </c>
      <c r="M94" s="1739">
        <f>'Saisie données file act.'!N111</f>
        <v>0</v>
      </c>
      <c r="N94" s="1739">
        <f>'Saisie données file act.'!O111</f>
        <v>0</v>
      </c>
      <c r="O94" s="1739">
        <f>'Saisie données file act.'!P111</f>
        <v>0</v>
      </c>
      <c r="P94" s="1739">
        <f>'Saisie données file act.'!Q111</f>
        <v>0</v>
      </c>
      <c r="Q94" s="1754">
        <f>'Saisie données file act.'!R111</f>
        <v>0</v>
      </c>
      <c r="R94" s="1769">
        <f>'Saisie données file act.'!S111</f>
        <v>0</v>
      </c>
      <c r="S94" s="1739">
        <f>'Saisie données file act.'!T111</f>
        <v>0</v>
      </c>
      <c r="T94" s="1739">
        <f>'Saisie données file act.'!U111</f>
        <v>0</v>
      </c>
      <c r="U94" s="1739">
        <f>'Saisie données file act.'!V111</f>
        <v>0</v>
      </c>
      <c r="V94" s="1739">
        <f>'Saisie données file act.'!W111</f>
        <v>0</v>
      </c>
      <c r="W94" s="1770">
        <f>'Saisie données file act.'!X111</f>
        <v>0</v>
      </c>
      <c r="X94" s="1769">
        <f>'Saisie données file act.'!Y111</f>
        <v>0</v>
      </c>
      <c r="Y94" s="1739">
        <f>'Saisie données file act.'!Z111</f>
        <v>0</v>
      </c>
      <c r="Z94" s="1739">
        <f>'Saisie données file act.'!AA111</f>
        <v>0</v>
      </c>
      <c r="AA94" s="1739">
        <f>'Saisie données file act.'!AB111</f>
        <v>0</v>
      </c>
      <c r="AB94" s="1739">
        <f>'Saisie données file act.'!AC111</f>
        <v>0</v>
      </c>
      <c r="AC94" s="1739">
        <f>'Saisie données file act.'!AD111</f>
        <v>0</v>
      </c>
      <c r="AD94" s="1739">
        <f>'Saisie données file act.'!AE111</f>
        <v>0</v>
      </c>
      <c r="AE94" s="1739">
        <f>'Saisie données file act.'!AF111</f>
        <v>0</v>
      </c>
      <c r="AF94" s="1739">
        <f>'Saisie données file act.'!AG111</f>
        <v>0</v>
      </c>
      <c r="AG94" s="1739">
        <f>'Saisie données file act.'!AH111</f>
        <v>0</v>
      </c>
      <c r="AH94" s="1770">
        <f>'Saisie données file act.'!AI111</f>
        <v>0</v>
      </c>
      <c r="AI94" s="1774">
        <f>'Saisie données file act.'!AJ111</f>
        <v>0</v>
      </c>
      <c r="AJ94" s="1750">
        <f>'Saisie données file act.'!AK111</f>
        <v>0</v>
      </c>
      <c r="AK94" s="1750">
        <f>'Saisie données file act.'!AL111</f>
        <v>0</v>
      </c>
      <c r="AL94" s="1750">
        <f>'Saisie données file act.'!AM111</f>
        <v>0</v>
      </c>
      <c r="AM94" s="1750">
        <f>'Saisie données file act.'!AN111</f>
        <v>0</v>
      </c>
      <c r="AN94" s="1750">
        <f>'Saisie données file act.'!AO111</f>
        <v>0</v>
      </c>
      <c r="AO94" s="1750">
        <f>'Saisie données file act.'!AP111</f>
        <v>0</v>
      </c>
      <c r="AP94" s="1750">
        <f>'Saisie données file act.'!AQ111</f>
        <v>0</v>
      </c>
      <c r="AQ94" s="1739">
        <f>'Saisie données file act.'!AR111</f>
        <v>0</v>
      </c>
      <c r="AR94" s="1754">
        <f>'Saisie données file act.'!AS111</f>
        <v>0</v>
      </c>
      <c r="AS94" s="1758">
        <f>'Saisie données file act.'!AT111</f>
        <v>0</v>
      </c>
      <c r="AT94" s="1788" t="str">
        <f>'Saisie données file act.'!AU111</f>
        <v>X</v>
      </c>
    </row>
  </sheetData>
  <mergeCells count="1">
    <mergeCell ref="B9:B94"/>
  </mergeCells>
  <conditionalFormatting sqref="B1:B9 B95:B1048576 A1:A1048576 C1:XFD1048576">
    <cfRule type="cellIs" dxfId="6" priority="2" operator="equal">
      <formula>0</formula>
    </cfRule>
  </conditionalFormatting>
  <conditionalFormatting sqref="H1:I2 A1:F2">
    <cfRule type="cellIs" dxfId="5" priority="1" operator="equal">
      <formula>0</formula>
    </cfRule>
  </conditionalFormatting>
  <printOptions horizontalCentered="1"/>
  <pageMargins left="0.23622047244094491" right="0.23622047244094491" top="0.31496062992125984" bottom="0.31496062992125984" header="0.31496062992125984" footer="0.31496062992125984"/>
  <pageSetup paperSize="9" scale="60" orientation="landscape" r:id="rId1"/>
  <headerFooter>
    <oddFooter>&amp;R&amp;P/&amp;N</oddFooter>
  </headerFooter>
  <colBreaks count="2" manualBreakCount="2">
    <brk id="18" max="93" man="1"/>
    <brk id="35" max="93"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tabColor theme="0" tint="-0.249977111117893"/>
  </sheetPr>
  <dimension ref="A1:L68"/>
  <sheetViews>
    <sheetView showGridLines="0" workbookViewId="0">
      <selection activeCell="L15" sqref="L15"/>
    </sheetView>
  </sheetViews>
  <sheetFormatPr defaultColWidth="11.42578125" defaultRowHeight="12" x14ac:dyDescent="0.2"/>
  <cols>
    <col min="1" max="1" width="4.5703125" style="1300" customWidth="1"/>
    <col min="2" max="2" width="18.5703125" style="1300" customWidth="1"/>
    <col min="3" max="3" width="11.42578125" style="1300"/>
    <col min="4" max="6" width="18.140625" style="1300" customWidth="1"/>
    <col min="7" max="7" width="6.5703125" style="1300" customWidth="1"/>
    <col min="8" max="8" width="16.7109375" style="1300" customWidth="1"/>
    <col min="9" max="16384" width="11.42578125" style="1300"/>
  </cols>
  <sheetData>
    <row r="1" spans="1:12" ht="12.75" thickBot="1" x14ac:dyDescent="0.25">
      <c r="A1" s="1299" t="str">
        <f>'TRAD-impressions'!B2</f>
        <v>Tableau d'évaluation des besoins en ARV</v>
      </c>
      <c r="E1" s="1296" t="str">
        <f>'TRAD-impressions'!B4</f>
        <v>Pays / Région</v>
      </c>
      <c r="F1" s="1298"/>
      <c r="G1" s="1298"/>
      <c r="H1" s="2465" t="str">
        <f>Paramétrage!D11:D11</f>
        <v>TEST</v>
      </c>
    </row>
    <row r="2" spans="1:12" ht="12.75" thickBot="1" x14ac:dyDescent="0.25">
      <c r="A2" s="1299" t="str">
        <f>'TRAD-impressions'!B3</f>
        <v>Synthèse des données &amp; hypothèses prises en compte</v>
      </c>
      <c r="E2" s="1296" t="str">
        <f>'TRAD-impressions'!B5</f>
        <v>Date de mise à jour des données</v>
      </c>
      <c r="F2" s="1298"/>
      <c r="G2" s="1298"/>
      <c r="H2" s="2466">
        <f>Paramétrage!H19</f>
        <v>41919</v>
      </c>
    </row>
    <row r="4" spans="1:12" ht="12.75" thickBot="1" x14ac:dyDescent="0.25">
      <c r="A4" s="3310" t="str">
        <f>'TRAD-impressions'!B9</f>
        <v>1. Données de suivi de patients - ENFANTS</v>
      </c>
      <c r="B4" s="3311"/>
      <c r="C4" s="3311"/>
      <c r="D4" s="3311"/>
      <c r="E4" s="3311"/>
      <c r="F4" s="3311"/>
      <c r="G4" s="3311"/>
      <c r="H4" s="3311"/>
      <c r="I4" s="3311"/>
      <c r="J4" s="3311"/>
      <c r="K4" s="3311"/>
    </row>
    <row r="5" spans="1:12" ht="12.75" thickBot="1" x14ac:dyDescent="0.25">
      <c r="B5" s="1299"/>
    </row>
    <row r="6" spans="1:12" ht="12.75" thickBot="1" x14ac:dyDescent="0.25">
      <c r="B6" s="1301" t="str">
        <f>'Saisie données file act.'!$D$367</f>
        <v>B.1. Répartition par schémas thérapeutiques</v>
      </c>
      <c r="C6" s="1302"/>
      <c r="D6" s="1302"/>
      <c r="E6" s="1302"/>
      <c r="F6" s="1303"/>
      <c r="H6" s="1301" t="str">
        <f>'Saisie données file act.'!D406</f>
        <v>C.1. Inclusions</v>
      </c>
      <c r="I6" s="1302"/>
      <c r="J6" s="1302"/>
      <c r="K6" s="1302"/>
      <c r="L6" s="1303"/>
    </row>
    <row r="7" spans="1:12" ht="12.75" thickBot="1" x14ac:dyDescent="0.25">
      <c r="B7" s="1299"/>
    </row>
    <row r="8" spans="1:12" ht="48.75" thickBot="1" x14ac:dyDescent="0.25">
      <c r="B8" s="1323" t="str">
        <f>'Saisie données file act.'!D369</f>
        <v>Schéma thérapeutique</v>
      </c>
      <c r="C8" s="1324" t="str">
        <f>'Saisie données file act.'!E369</f>
        <v>Nb d'enfants au début de la période quantifiée</v>
      </c>
      <c r="D8" s="1325" t="str">
        <f>'Saisie données file act.'!F369</f>
        <v>Proportion %</v>
      </c>
      <c r="H8" s="1299" t="str">
        <f>'Saisie données file act.'!D408</f>
        <v>Augmentation mensuelle du nombre de patients réellement suivi (= Nombre d'iniations mensuelles - attrition mensuelle) :</v>
      </c>
      <c r="I8" s="1299"/>
      <c r="J8" s="1299"/>
      <c r="K8" s="1311">
        <f>'Saisie données file act.'!G408</f>
        <v>0</v>
      </c>
    </row>
    <row r="9" spans="1:12" s="1307" customFormat="1" ht="12.75" thickBot="1" x14ac:dyDescent="0.25">
      <c r="A9" s="1300"/>
      <c r="B9" s="1301" t="str">
        <f>'Saisie données file act.'!D370</f>
        <v>Premières lignes</v>
      </c>
      <c r="C9" s="1315"/>
      <c r="D9" s="1316"/>
      <c r="E9" s="1300"/>
      <c r="F9" s="1300"/>
      <c r="H9" s="1300"/>
      <c r="I9" s="1300"/>
      <c r="J9" s="1300"/>
      <c r="K9" s="1300"/>
      <c r="L9" s="1300"/>
    </row>
    <row r="10" spans="1:12" s="1307" customFormat="1" ht="36.75" thickBot="1" x14ac:dyDescent="0.25">
      <c r="A10" s="1300"/>
      <c r="B10" s="1320" t="str">
        <f>'Saisie données file act.'!D371</f>
        <v>ABC+3TC+LPV/r</v>
      </c>
      <c r="C10" s="1329">
        <f>'Saisie données file act.'!E371</f>
        <v>0</v>
      </c>
      <c r="D10" s="1330" t="e">
        <f>'Saisie données file act.'!F371</f>
        <v>#DIV/0!</v>
      </c>
      <c r="E10" s="1300"/>
      <c r="F10" s="1300"/>
      <c r="H10" s="1312" t="str">
        <f>'Saisie données file act.'!D412</f>
        <v>Schéma thérapeutique</v>
      </c>
      <c r="I10" s="1313" t="str">
        <f>'Saisie données file act.'!E412</f>
        <v>Proportion %</v>
      </c>
      <c r="J10" s="1314" t="str">
        <f>'Saisie données file act.'!F412</f>
        <v>Nombre de patients mensuel</v>
      </c>
      <c r="K10" s="1300"/>
      <c r="L10" s="1300"/>
    </row>
    <row r="11" spans="1:12" s="1307" customFormat="1" ht="12.75" thickBot="1" x14ac:dyDescent="0.25">
      <c r="A11" s="1300"/>
      <c r="B11" s="1320" t="str">
        <f>'Saisie données file act.'!D372</f>
        <v>ABC+3TC+EFV</v>
      </c>
      <c r="C11" s="1329">
        <f>'Saisie données file act.'!E372</f>
        <v>0</v>
      </c>
      <c r="D11" s="1330" t="e">
        <f>'Saisie données file act.'!F372</f>
        <v>#DIV/0!</v>
      </c>
      <c r="E11" s="1300"/>
      <c r="F11" s="1300"/>
      <c r="H11" s="1301" t="str">
        <f>'Saisie données file act.'!D413</f>
        <v>Premières lignes</v>
      </c>
      <c r="I11" s="1315"/>
      <c r="J11" s="1316"/>
      <c r="K11" s="1300"/>
      <c r="L11" s="1300"/>
    </row>
    <row r="12" spans="1:12" s="1307" customFormat="1" x14ac:dyDescent="0.2">
      <c r="A12" s="1300"/>
      <c r="B12" s="1320" t="str">
        <f>'Saisie données file act.'!D373</f>
        <v>ABC+3TC+AZT</v>
      </c>
      <c r="C12" s="1329">
        <f>'Saisie données file act.'!E373</f>
        <v>0</v>
      </c>
      <c r="D12" s="1330" t="e">
        <f>'Saisie données file act.'!F373</f>
        <v>#DIV/0!</v>
      </c>
      <c r="E12" s="1300"/>
      <c r="F12" s="1300"/>
      <c r="H12" s="1317" t="str">
        <f>'Saisie données file act.'!D414</f>
        <v>ABC+3TC+LPV/r</v>
      </c>
      <c r="I12" s="1318">
        <f>'Saisie données file act.'!E414</f>
        <v>0</v>
      </c>
      <c r="J12" s="1319">
        <f>'Saisie données file act.'!F414</f>
        <v>0</v>
      </c>
      <c r="K12" s="1300"/>
      <c r="L12" s="1300"/>
    </row>
    <row r="13" spans="1:12" s="1307" customFormat="1" x14ac:dyDescent="0.2">
      <c r="A13" s="1300"/>
      <c r="B13" s="1320">
        <f>'Saisie données file act.'!D374</f>
        <v>0</v>
      </c>
      <c r="C13" s="1329">
        <f>'Saisie données file act.'!E374</f>
        <v>0</v>
      </c>
      <c r="D13" s="1330" t="e">
        <f>'Saisie données file act.'!F374</f>
        <v>#DIV/0!</v>
      </c>
      <c r="E13" s="1300"/>
      <c r="F13" s="1300"/>
      <c r="H13" s="1320" t="str">
        <f>'Saisie données file act.'!D415</f>
        <v>ABC+3TC+EFV</v>
      </c>
      <c r="I13" s="1321">
        <f>'Saisie données file act.'!E415</f>
        <v>0</v>
      </c>
      <c r="J13" s="1322">
        <f>'Saisie données file act.'!F415</f>
        <v>0</v>
      </c>
      <c r="K13" s="1300"/>
      <c r="L13" s="1300"/>
    </row>
    <row r="14" spans="1:12" s="1307" customFormat="1" x14ac:dyDescent="0.2">
      <c r="A14" s="1300"/>
      <c r="B14" s="1320">
        <f>'Saisie données file act.'!D375</f>
        <v>0</v>
      </c>
      <c r="C14" s="1329">
        <f>'Saisie données file act.'!E375</f>
        <v>0</v>
      </c>
      <c r="D14" s="1330" t="e">
        <f>'Saisie données file act.'!F375</f>
        <v>#DIV/0!</v>
      </c>
      <c r="E14" s="1300"/>
      <c r="F14" s="1300"/>
      <c r="H14" s="1320" t="str">
        <f>'Saisie données file act.'!D416</f>
        <v>ABC+3TC+AZT</v>
      </c>
      <c r="I14" s="1321">
        <f>'Saisie données file act.'!E416</f>
        <v>0</v>
      </c>
      <c r="J14" s="1322">
        <f>'Saisie données file act.'!F416</f>
        <v>0</v>
      </c>
      <c r="K14" s="1300"/>
      <c r="L14" s="1300"/>
    </row>
    <row r="15" spans="1:12" s="1307" customFormat="1" ht="12.75" thickBot="1" x14ac:dyDescent="0.25">
      <c r="A15" s="1300"/>
      <c r="B15" s="1320">
        <f>'Saisie données file act.'!D376</f>
        <v>0</v>
      </c>
      <c r="C15" s="1329">
        <f>'Saisie données file act.'!E376</f>
        <v>0</v>
      </c>
      <c r="D15" s="1330" t="e">
        <f>'Saisie données file act.'!F376</f>
        <v>#DIV/0!</v>
      </c>
      <c r="E15" s="1300"/>
      <c r="F15" s="1300"/>
      <c r="H15" s="1320">
        <f>'Saisie données file act.'!D417</f>
        <v>0</v>
      </c>
      <c r="I15" s="1321">
        <f>'Saisie données file act.'!E417</f>
        <v>0</v>
      </c>
      <c r="J15" s="1322">
        <f>'Saisie données file act.'!F417</f>
        <v>0</v>
      </c>
      <c r="K15" s="1300"/>
      <c r="L15" s="1300"/>
    </row>
    <row r="16" spans="1:12" ht="12.75" thickBot="1" x14ac:dyDescent="0.25">
      <c r="B16" s="1301" t="str">
        <f>'Saisie données file act.'!D377</f>
        <v>Deuxièmes lignes</v>
      </c>
      <c r="C16" s="1315"/>
      <c r="D16" s="1316"/>
      <c r="H16" s="1320">
        <f>'Saisie données file act.'!D418</f>
        <v>0</v>
      </c>
      <c r="I16" s="1321">
        <f>'Saisie données file act.'!E418</f>
        <v>0</v>
      </c>
      <c r="J16" s="1322">
        <f>'Saisie données file act.'!F418</f>
        <v>0</v>
      </c>
    </row>
    <row r="17" spans="2:12" ht="12.75" thickBot="1" x14ac:dyDescent="0.25">
      <c r="B17" s="1320" t="str">
        <f>'Saisie données file act.'!D378</f>
        <v>AZT+3TC+LPV/r</v>
      </c>
      <c r="C17" s="1329">
        <f>'Saisie données file act.'!E378</f>
        <v>0</v>
      </c>
      <c r="D17" s="1330" t="e">
        <f>'Saisie données file act.'!F378</f>
        <v>#DIV/0!</v>
      </c>
      <c r="H17" s="1320">
        <f>'Saisie données file act.'!D419</f>
        <v>0</v>
      </c>
      <c r="I17" s="1321">
        <f>'Saisie données file act.'!E419</f>
        <v>0</v>
      </c>
      <c r="J17" s="1322">
        <f>'Saisie données file act.'!F419</f>
        <v>0</v>
      </c>
    </row>
    <row r="18" spans="2:12" ht="12.75" thickBot="1" x14ac:dyDescent="0.25">
      <c r="B18" s="1301" t="str">
        <f>'Saisie données file act.'!D383</f>
        <v>Lignes alternatives</v>
      </c>
      <c r="C18" s="1332"/>
      <c r="D18" s="1333"/>
      <c r="H18" s="1301" t="str">
        <f>'Saisie données file act.'!D420</f>
        <v>Lignes alternatives</v>
      </c>
      <c r="I18" s="1315"/>
      <c r="J18" s="1316"/>
    </row>
    <row r="19" spans="2:12" x14ac:dyDescent="0.2">
      <c r="B19" s="1320">
        <f>'Saisie données file act.'!D379</f>
        <v>0</v>
      </c>
      <c r="C19" s="1329">
        <f>'Saisie données file act.'!E379</f>
        <v>0</v>
      </c>
      <c r="D19" s="1330" t="e">
        <f>'Saisie données file act.'!F379</f>
        <v>#DIV/0!</v>
      </c>
      <c r="H19" s="1320">
        <f>'Saisie données file act.'!D421</f>
        <v>0</v>
      </c>
      <c r="I19" s="1321">
        <f>'Saisie données file act.'!E421</f>
        <v>0</v>
      </c>
      <c r="J19" s="1322">
        <f>'Saisie données file act.'!F421</f>
        <v>0</v>
      </c>
    </row>
    <row r="20" spans="2:12" ht="12.75" thickBot="1" x14ac:dyDescent="0.25">
      <c r="B20" s="1320">
        <f>'Saisie données file act.'!D380</f>
        <v>0</v>
      </c>
      <c r="C20" s="1329">
        <f>'Saisie données file act.'!E380</f>
        <v>0</v>
      </c>
      <c r="D20" s="1330" t="e">
        <f>'Saisie données file act.'!F380</f>
        <v>#DIV/0!</v>
      </c>
      <c r="H20" s="1320">
        <f>'Saisie données file act.'!D425</f>
        <v>0</v>
      </c>
      <c r="I20" s="1321">
        <f>'Saisie données file act.'!E425</f>
        <v>0</v>
      </c>
      <c r="J20" s="1322">
        <f>'Saisie données file act.'!F425</f>
        <v>0</v>
      </c>
    </row>
    <row r="21" spans="2:12" ht="12.75" thickBot="1" x14ac:dyDescent="0.25">
      <c r="B21" s="1320">
        <f>'Saisie données file act.'!D381</f>
        <v>0</v>
      </c>
      <c r="C21" s="1329">
        <f>'Saisie données file act.'!E381</f>
        <v>0</v>
      </c>
      <c r="D21" s="1330" t="e">
        <f>'Saisie données file act.'!F381</f>
        <v>#DIV/0!</v>
      </c>
      <c r="H21" s="1326" t="str">
        <f>'Saisie données file act.'!D426</f>
        <v>TOTAL</v>
      </c>
      <c r="I21" s="1327">
        <f>'Saisie données file act.'!E426</f>
        <v>0</v>
      </c>
      <c r="J21" s="1328">
        <f>'Saisie données file act.'!F426</f>
        <v>0</v>
      </c>
    </row>
    <row r="22" spans="2:12" ht="12.75" thickBot="1" x14ac:dyDescent="0.25">
      <c r="B22" s="1320">
        <f>'Saisie données file act.'!D382</f>
        <v>0</v>
      </c>
      <c r="C22" s="1329">
        <f>'Saisie données file act.'!E382</f>
        <v>0</v>
      </c>
      <c r="D22" s="1330" t="e">
        <f>'Saisie données file act.'!F382</f>
        <v>#DIV/0!</v>
      </c>
    </row>
    <row r="23" spans="2:12" ht="12.75" thickBot="1" x14ac:dyDescent="0.25">
      <c r="B23" s="1320">
        <f>'Saisie données file act.'!D384</f>
        <v>0</v>
      </c>
      <c r="C23" s="1329">
        <f>'Saisie données file act.'!E384</f>
        <v>0</v>
      </c>
      <c r="D23" s="1330" t="e">
        <f>'Saisie données file act.'!F384</f>
        <v>#DIV/0!</v>
      </c>
      <c r="H23" s="1301" t="str">
        <f>'Saisie données file act.'!D431</f>
        <v>C.2. Passage en 2ème ligne</v>
      </c>
      <c r="I23" s="1302"/>
      <c r="J23" s="1302"/>
      <c r="K23" s="1302"/>
      <c r="L23" s="1303"/>
    </row>
    <row r="24" spans="2:12" x14ac:dyDescent="0.2">
      <c r="B24" s="1320">
        <f>'Saisie données file act.'!D385</f>
        <v>0</v>
      </c>
      <c r="C24" s="1329">
        <f>'Saisie données file act.'!E385</f>
        <v>0</v>
      </c>
      <c r="D24" s="1330" t="e">
        <f>'Saisie données file act.'!F385</f>
        <v>#DIV/0!</v>
      </c>
    </row>
    <row r="25" spans="2:12" x14ac:dyDescent="0.2">
      <c r="B25" s="1320">
        <f>'Saisie données file act.'!D386</f>
        <v>0</v>
      </c>
      <c r="C25" s="1329">
        <f>'Saisie données file act.'!E386</f>
        <v>0</v>
      </c>
      <c r="D25" s="1330" t="e">
        <f>'Saisie données file act.'!F386</f>
        <v>#DIV/0!</v>
      </c>
      <c r="H25" s="1299" t="str">
        <f>'Saisie données file act.'!D433</f>
        <v>Proportion de passage mensuel envisagé</v>
      </c>
      <c r="I25" s="1299"/>
      <c r="J25" s="1299"/>
      <c r="K25" s="1331">
        <f>'Saisie données file act.'!G433</f>
        <v>0</v>
      </c>
    </row>
    <row r="26" spans="2:12" x14ac:dyDescent="0.2">
      <c r="B26" s="1320">
        <f>'Saisie données file act.'!D387</f>
        <v>0</v>
      </c>
      <c r="C26" s="1329">
        <f>'Saisie données file act.'!E387</f>
        <v>0</v>
      </c>
      <c r="D26" s="1330" t="e">
        <f>'Saisie données file act.'!F387</f>
        <v>#DIV/0!</v>
      </c>
      <c r="H26" s="1299" t="str">
        <f>'Saisie données file act.'!D437</f>
        <v>Cela représente donc :</v>
      </c>
      <c r="I26" s="1299">
        <f>'Saisie données file act.'!E437</f>
        <v>0</v>
      </c>
      <c r="J26" s="1299" t="str">
        <f>'Saisie données file act.'!F437</f>
        <v>patients / mois</v>
      </c>
    </row>
    <row r="27" spans="2:12" ht="13.5" customHeight="1" thickBot="1" x14ac:dyDescent="0.25">
      <c r="B27" s="1320">
        <f>'Saisie données file act.'!D388</f>
        <v>0</v>
      </c>
      <c r="C27" s="1329">
        <f>'Saisie données file act.'!E388</f>
        <v>0</v>
      </c>
      <c r="D27" s="1330" t="e">
        <f>'Saisie données file act.'!F388</f>
        <v>#DIV/0!</v>
      </c>
    </row>
    <row r="28" spans="2:12" ht="48.75" thickBot="1" x14ac:dyDescent="0.25">
      <c r="B28" s="1320">
        <f>'Saisie données file act.'!D389</f>
        <v>0</v>
      </c>
      <c r="C28" s="1329">
        <f>'Saisie données file act.'!E389</f>
        <v>0</v>
      </c>
      <c r="D28" s="1330" t="e">
        <f>'Saisie données file act.'!F389</f>
        <v>#DIV/0!</v>
      </c>
      <c r="H28" s="1312" t="str">
        <f>'Saisie données file act.'!D455</f>
        <v>Schéma thérapeutique switchés</v>
      </c>
      <c r="I28" s="1313" t="str">
        <f>'Saisie données file act.'!F455</f>
        <v>Proportion %</v>
      </c>
      <c r="J28" s="1314" t="str">
        <f>'Saisie données file act.'!E455</f>
        <v>Nombre théorique d'enfants  attendus</v>
      </c>
    </row>
    <row r="29" spans="2:12" ht="13.5" customHeight="1" thickBot="1" x14ac:dyDescent="0.25">
      <c r="B29" s="1320">
        <f>'Saisie données file act.'!D390</f>
        <v>0</v>
      </c>
      <c r="C29" s="1329">
        <f>'Saisie données file act.'!E390</f>
        <v>0</v>
      </c>
      <c r="D29" s="1330" t="e">
        <f>'Saisie données file act.'!F390</f>
        <v>#DIV/0!</v>
      </c>
      <c r="H29" s="1301" t="str">
        <f>'Saisie données file act.'!D456</f>
        <v>Deuxièmes lignes</v>
      </c>
      <c r="I29" s="1315"/>
      <c r="J29" s="1316"/>
    </row>
    <row r="30" spans="2:12" ht="12.75" thickBot="1" x14ac:dyDescent="0.25">
      <c r="B30" s="1320">
        <f>'Saisie données file act.'!D391</f>
        <v>0</v>
      </c>
      <c r="C30" s="1329">
        <f>'Saisie données file act.'!E391</f>
        <v>0</v>
      </c>
      <c r="D30" s="1330" t="e">
        <f>'Saisie données file act.'!F391</f>
        <v>#DIV/0!</v>
      </c>
      <c r="H30" s="1320" t="str">
        <f>'Saisie données file act.'!D457</f>
        <v>AZT+3TC+LPV/r</v>
      </c>
      <c r="I30" s="1334" t="e">
        <f>'Saisie données file act.'!F457</f>
        <v>#DIV/0!</v>
      </c>
      <c r="J30" s="1335">
        <f>'Saisie données file act.'!E457</f>
        <v>0</v>
      </c>
    </row>
    <row r="31" spans="2:12" ht="12.75" thickBot="1" x14ac:dyDescent="0.25">
      <c r="B31" s="1336">
        <f>'Saisie données file act.'!D392</f>
        <v>0</v>
      </c>
      <c r="C31" s="1329">
        <f>'Saisie données file act.'!E392</f>
        <v>0</v>
      </c>
      <c r="D31" s="1330" t="e">
        <f>'Saisie données file act.'!F392</f>
        <v>#DIV/0!</v>
      </c>
      <c r="H31" s="1301" t="str">
        <f>'Saisie données file act.'!D462</f>
        <v>Lignes alternatives</v>
      </c>
      <c r="I31" s="1315"/>
      <c r="J31" s="1316"/>
    </row>
    <row r="32" spans="2:12" ht="12.75" thickBot="1" x14ac:dyDescent="0.25">
      <c r="B32" s="1337" t="str">
        <f>'Saisie données file act.'!D393</f>
        <v>TOTAL</v>
      </c>
      <c r="C32" s="1338">
        <f>'Saisie données file act.'!E393</f>
        <v>0</v>
      </c>
      <c r="D32" s="1339" t="e">
        <f>'Saisie données file act.'!F393</f>
        <v>#DIV/0!</v>
      </c>
      <c r="H32" s="1320">
        <f>'Saisie données file act.'!D458</f>
        <v>0</v>
      </c>
      <c r="I32" s="1321" t="e">
        <f>'Saisie données file act.'!F458</f>
        <v>#DIV/0!</v>
      </c>
      <c r="J32" s="1322">
        <f>'Saisie données file act.'!E458</f>
        <v>0</v>
      </c>
    </row>
    <row r="33" spans="2:10" x14ac:dyDescent="0.2">
      <c r="B33" s="2389"/>
      <c r="C33" s="2390"/>
      <c r="D33" s="2391"/>
      <c r="H33" s="1320">
        <f>'Saisie données file act.'!D459</f>
        <v>0</v>
      </c>
      <c r="I33" s="1321" t="e">
        <f>'Saisie données file act.'!F459</f>
        <v>#DIV/0!</v>
      </c>
      <c r="J33" s="1322">
        <f>'Saisie données file act.'!E459</f>
        <v>0</v>
      </c>
    </row>
    <row r="34" spans="2:10" ht="13.5" customHeight="1" thickBot="1" x14ac:dyDescent="0.25">
      <c r="H34" s="1320">
        <f>'Saisie données file act.'!D460</f>
        <v>0</v>
      </c>
      <c r="I34" s="1321" t="e">
        <f>'Saisie données file act.'!F460</f>
        <v>#DIV/0!</v>
      </c>
      <c r="J34" s="1322">
        <f>'Saisie données file act.'!E460</f>
        <v>0</v>
      </c>
    </row>
    <row r="35" spans="2:10" ht="12.75" thickBot="1" x14ac:dyDescent="0.25">
      <c r="B35" s="1301" t="str">
        <f>'Saisie données file act.'!D396</f>
        <v>B.2. Répartition par tranches de poids</v>
      </c>
      <c r="C35" s="1302"/>
      <c r="D35" s="1302"/>
      <c r="E35" s="1302"/>
      <c r="F35" s="1303"/>
      <c r="H35" s="1320">
        <f>'Saisie données file act.'!D461</f>
        <v>0</v>
      </c>
      <c r="I35" s="1321" t="e">
        <f>'Saisie données file act.'!F461</f>
        <v>#DIV/0!</v>
      </c>
      <c r="J35" s="1322">
        <f>'Saisie données file act.'!E461</f>
        <v>0</v>
      </c>
    </row>
    <row r="36" spans="2:10" ht="13.5" customHeight="1" thickBot="1" x14ac:dyDescent="0.25">
      <c r="H36" s="1320">
        <f>'Saisie données file act.'!D463</f>
        <v>0</v>
      </c>
      <c r="I36" s="1321" t="e">
        <f>'Saisie données file act.'!F463</f>
        <v>#DIV/0!</v>
      </c>
      <c r="J36" s="1322">
        <f>'Saisie données file act.'!E463</f>
        <v>0</v>
      </c>
    </row>
    <row r="37" spans="2:10" x14ac:dyDescent="0.2">
      <c r="B37" s="1304" t="s">
        <v>68</v>
      </c>
      <c r="C37" s="1305" t="s">
        <v>53</v>
      </c>
      <c r="D37" s="1305" t="s">
        <v>55</v>
      </c>
      <c r="E37" s="1305" t="s">
        <v>57</v>
      </c>
      <c r="F37" s="1306" t="s">
        <v>59</v>
      </c>
      <c r="H37" s="1320">
        <f>'Saisie données file act.'!D464</f>
        <v>0</v>
      </c>
      <c r="I37" s="1321" t="e">
        <f>'Saisie données file act.'!F464</f>
        <v>#DIV/0!</v>
      </c>
      <c r="J37" s="1322">
        <f>'Saisie données file act.'!E464</f>
        <v>0</v>
      </c>
    </row>
    <row r="38" spans="2:10" ht="13.5" customHeight="1" thickBot="1" x14ac:dyDescent="0.25">
      <c r="B38" s="1308" t="s">
        <v>69</v>
      </c>
      <c r="C38" s="1309">
        <v>0.3</v>
      </c>
      <c r="D38" s="1309">
        <v>0.3</v>
      </c>
      <c r="E38" s="1309">
        <v>0.25</v>
      </c>
      <c r="F38" s="1310">
        <v>0.25</v>
      </c>
      <c r="H38" s="1320">
        <f>'Saisie données file act.'!D465</f>
        <v>0</v>
      </c>
      <c r="I38" s="1321" t="e">
        <f>'Saisie données file act.'!F465</f>
        <v>#DIV/0!</v>
      </c>
      <c r="J38" s="1322">
        <f>'Saisie données file act.'!E465</f>
        <v>0</v>
      </c>
    </row>
    <row r="39" spans="2:10" x14ac:dyDescent="0.2">
      <c r="H39" s="1320">
        <f>'Saisie données file act.'!D466</f>
        <v>0</v>
      </c>
      <c r="I39" s="1321" t="e">
        <f>'Saisie données file act.'!F466</f>
        <v>#DIV/0!</v>
      </c>
      <c r="J39" s="1322">
        <f>'Saisie données file act.'!E466</f>
        <v>0</v>
      </c>
    </row>
    <row r="40" spans="2:10" x14ac:dyDescent="0.2">
      <c r="H40" s="1320">
        <f>'Saisie données file act.'!D467</f>
        <v>0</v>
      </c>
      <c r="I40" s="1321" t="e">
        <f>'Saisie données file act.'!F467</f>
        <v>#DIV/0!</v>
      </c>
      <c r="J40" s="1322">
        <f>'Saisie données file act.'!E467</f>
        <v>0</v>
      </c>
    </row>
    <row r="41" spans="2:10" x14ac:dyDescent="0.2">
      <c r="H41" s="1320">
        <f>'Saisie données file act.'!D468</f>
        <v>0</v>
      </c>
      <c r="I41" s="1321" t="e">
        <f>'Saisie données file act.'!F468</f>
        <v>#DIV/0!</v>
      </c>
      <c r="J41" s="1322">
        <f>'Saisie données file act.'!E468</f>
        <v>0</v>
      </c>
    </row>
    <row r="42" spans="2:10" x14ac:dyDescent="0.2">
      <c r="H42" s="1320">
        <f>'Saisie données file act.'!D469</f>
        <v>0</v>
      </c>
      <c r="I42" s="1321" t="e">
        <f>'Saisie données file act.'!F469</f>
        <v>#DIV/0!</v>
      </c>
      <c r="J42" s="1322">
        <f>'Saisie données file act.'!E469</f>
        <v>0</v>
      </c>
    </row>
    <row r="43" spans="2:10" x14ac:dyDescent="0.2">
      <c r="H43" s="1320">
        <f>'Saisie données file act.'!D470</f>
        <v>0</v>
      </c>
      <c r="I43" s="1321" t="e">
        <f>'Saisie données file act.'!F470</f>
        <v>#DIV/0!</v>
      </c>
      <c r="J43" s="1322">
        <f>'Saisie données file act.'!E470</f>
        <v>0</v>
      </c>
    </row>
    <row r="44" spans="2:10" ht="12.75" thickBot="1" x14ac:dyDescent="0.25">
      <c r="H44" s="1320">
        <f>'Saisie données file act.'!D471</f>
        <v>0</v>
      </c>
      <c r="I44" s="1321" t="e">
        <f>'Saisie données file act.'!F471</f>
        <v>#DIV/0!</v>
      </c>
      <c r="J44" s="1322">
        <f>'Saisie données file act.'!E471</f>
        <v>0</v>
      </c>
    </row>
    <row r="45" spans="2:10" ht="12.75" thickBot="1" x14ac:dyDescent="0.25">
      <c r="H45" s="1326" t="str">
        <f>'Saisie données file act.'!D472</f>
        <v>TOTAL</v>
      </c>
      <c r="I45" s="1327" t="e">
        <f>'Saisie données file act.'!F472</f>
        <v>#DIV/0!</v>
      </c>
      <c r="J45" s="1328">
        <f>'Saisie données file act.'!E472</f>
        <v>0</v>
      </c>
    </row>
    <row r="61" ht="13.5" customHeight="1" x14ac:dyDescent="0.2"/>
    <row r="68" ht="13.5" customHeight="1" x14ac:dyDescent="0.2"/>
  </sheetData>
  <mergeCells count="1">
    <mergeCell ref="A4:K4"/>
  </mergeCells>
  <conditionalFormatting sqref="B83:F1048576 G1:XFD1048576 A1:A1048576 B1:F38">
    <cfRule type="cellIs" dxfId="4" priority="1" operator="equal">
      <formula>0</formula>
    </cfRule>
  </conditionalFormatting>
  <pageMargins left="0.23622047244094491" right="0.23622047244094491" top="0.31496062992125984" bottom="0.23622047244094491" header="0.31496062992125984" footer="0.23622047244094491"/>
  <pageSetup paperSize="9" scale="74" orientation="landscape" r:id="rId1"/>
  <rowBreaks count="1" manualBreakCount="1">
    <brk id="52" max="1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tabColor theme="0" tint="-0.249977111117893"/>
  </sheetPr>
  <dimension ref="A1:AH123"/>
  <sheetViews>
    <sheetView showGridLines="0" zoomScale="80" zoomScaleNormal="80" zoomScaleSheetLayoutView="40" workbookViewId="0">
      <selection activeCell="O4" sqref="O4"/>
    </sheetView>
  </sheetViews>
  <sheetFormatPr defaultColWidth="11.42578125" defaultRowHeight="12" x14ac:dyDescent="0.2"/>
  <cols>
    <col min="1" max="1" width="4.5703125" style="1300" customWidth="1"/>
    <col min="2" max="2" width="4.140625" style="1300" customWidth="1"/>
    <col min="3" max="3" width="3" style="1300" bestFit="1" customWidth="1"/>
    <col min="4" max="4" width="17.5703125" style="1300" customWidth="1"/>
    <col min="5" max="34" width="10.42578125" style="1300" customWidth="1"/>
    <col min="35" max="16384" width="11.42578125" style="1300"/>
  </cols>
  <sheetData>
    <row r="1" spans="1:34" ht="12.75" thickBot="1" x14ac:dyDescent="0.25">
      <c r="A1" s="1299" t="str">
        <f>'TRAD-impressions'!B2</f>
        <v>Tableau d'évaluation des besoins en ARV</v>
      </c>
      <c r="G1" s="1296" t="str">
        <f>'TRAD-impressions'!B4</f>
        <v>Pays / Région</v>
      </c>
      <c r="H1" s="1298"/>
      <c r="I1" s="1298"/>
      <c r="J1" s="2465" t="str">
        <f>Paramétrage!D11:D11</f>
        <v>TEST</v>
      </c>
    </row>
    <row r="2" spans="1:34" ht="12.75" thickBot="1" x14ac:dyDescent="0.25">
      <c r="A2" s="1299" t="str">
        <f>'TRAD-impressions'!B3</f>
        <v>Synthèse des données &amp; hypothèses prises en compte</v>
      </c>
      <c r="G2" s="1296" t="str">
        <f>'TRAD-impressions'!B5</f>
        <v>Date de mise à jour des données</v>
      </c>
      <c r="H2" s="1298"/>
      <c r="I2" s="1298"/>
      <c r="J2" s="2466">
        <f>Paramétrage!H19</f>
        <v>41919</v>
      </c>
    </row>
    <row r="4" spans="1:34" ht="12.75" thickBot="1" x14ac:dyDescent="0.25">
      <c r="A4" s="3310" t="str">
        <f>'TRAD-impressions'!B10</f>
        <v>1. Sélection des ARV - ENFANTS</v>
      </c>
      <c r="B4" s="3311"/>
      <c r="C4" s="3311"/>
      <c r="D4" s="3311"/>
      <c r="E4" s="3311"/>
      <c r="F4" s="3311"/>
      <c r="G4" s="3311"/>
      <c r="H4" s="3311"/>
      <c r="I4" s="3311"/>
      <c r="J4" s="3311"/>
      <c r="K4" s="3311"/>
    </row>
    <row r="5" spans="1:34" ht="12.75" thickBot="1" x14ac:dyDescent="0.25">
      <c r="B5" s="1299"/>
    </row>
    <row r="6" spans="1:34" ht="12.75" thickBot="1" x14ac:dyDescent="0.25">
      <c r="B6" s="2392" t="str">
        <f>'Saisie données file act.'!B502</f>
        <v>Tranche 3 - 9,9 kg</v>
      </c>
      <c r="C6" s="1302"/>
      <c r="D6" s="1302"/>
      <c r="E6" s="1302"/>
      <c r="F6" s="1303"/>
    </row>
    <row r="7" spans="1:34" ht="12.75" thickBot="1" x14ac:dyDescent="0.25">
      <c r="B7" s="1299"/>
    </row>
    <row r="8" spans="1:34" ht="12.75" thickBot="1" x14ac:dyDescent="0.25">
      <c r="E8" s="1301" t="str">
        <f>'Saisie données file act.'!E504</f>
        <v>Solutions buvables</v>
      </c>
      <c r="F8" s="2404"/>
      <c r="G8" s="2404"/>
      <c r="H8" s="2404"/>
      <c r="I8" s="2404"/>
      <c r="J8" s="2404"/>
      <c r="K8" s="2404"/>
      <c r="L8" s="2405"/>
      <c r="M8" s="1301" t="str">
        <f>'Saisie données file act.'!M504</f>
        <v>Comprimés</v>
      </c>
      <c r="N8" s="2404"/>
      <c r="O8" s="2404"/>
      <c r="P8" s="2404"/>
      <c r="Q8" s="2404"/>
      <c r="R8" s="2404"/>
      <c r="S8" s="2404" t="str">
        <f>'Saisie données file act.'!M504</f>
        <v>Comprimés</v>
      </c>
      <c r="T8" s="2404"/>
      <c r="U8" s="2404"/>
      <c r="V8" s="2404"/>
      <c r="W8" s="2404"/>
      <c r="X8" s="2404"/>
      <c r="Y8" s="2404"/>
      <c r="Z8" s="2404"/>
      <c r="AA8" s="2404"/>
      <c r="AB8" s="2404"/>
      <c r="AC8" s="2404"/>
      <c r="AD8" s="2404"/>
      <c r="AE8" s="2404"/>
      <c r="AF8" s="2404"/>
      <c r="AG8" s="2405"/>
    </row>
    <row r="9" spans="1:34" s="1307" customFormat="1" ht="36" x14ac:dyDescent="0.2">
      <c r="B9" s="2412"/>
      <c r="C9" s="2413"/>
      <c r="D9" s="2411" t="str">
        <f>'Saisie données file act.'!D505</f>
        <v>Nb de boites / mois pour l'ensemble des patients</v>
      </c>
      <c r="E9" s="2414" t="str">
        <f>'Saisie données file act.'!E505</f>
        <v>AZT</v>
      </c>
      <c r="F9" s="2415" t="str">
        <f>'Saisie données file act.'!F505</f>
        <v>D4T</v>
      </c>
      <c r="G9" s="2415" t="str">
        <f>'Saisie données file act.'!G505</f>
        <v>3TC</v>
      </c>
      <c r="H9" s="2415" t="str">
        <f>'Saisie données file act.'!H505</f>
        <v>ABC</v>
      </c>
      <c r="I9" s="2415" t="str">
        <f>'Saisie données file act.'!I505</f>
        <v>DDI</v>
      </c>
      <c r="J9" s="2415" t="str">
        <f>'Saisie données file act.'!J505</f>
        <v>NVP</v>
      </c>
      <c r="K9" s="2415" t="str">
        <f>'Saisie données file act.'!K505</f>
        <v>EFV</v>
      </c>
      <c r="L9" s="2416" t="str">
        <f>'Saisie données file act.'!L505</f>
        <v>LPV/r</v>
      </c>
      <c r="M9" s="2414" t="str">
        <f>'Saisie données file act.'!M505</f>
        <v>AZT+3TC+NVP</v>
      </c>
      <c r="N9" s="2415" t="str">
        <f>'Saisie données file act.'!N505</f>
        <v>AZT+3TC+NVP bébé</v>
      </c>
      <c r="O9" s="2415" t="str">
        <f>'Saisie données file act.'!O505</f>
        <v>AZT+3TC</v>
      </c>
      <c r="P9" s="2415" t="str">
        <f>'Saisie données file act.'!P505</f>
        <v>AZT+3TC bébé</v>
      </c>
      <c r="Q9" s="2415" t="str">
        <f>'Saisie données file act.'!Q505</f>
        <v>D4T+3TC+NVP</v>
      </c>
      <c r="R9" s="2415" t="str">
        <f>'Saisie données file act.'!R505</f>
        <v>D4T+3TC+NVP bébé</v>
      </c>
      <c r="S9" s="2415" t="str">
        <f>'Saisie données file act.'!S505</f>
        <v>D4T+3TC</v>
      </c>
      <c r="T9" s="2415" t="str">
        <f>'Saisie données file act.'!T505</f>
        <v>AZT+3TC+ABC</v>
      </c>
      <c r="U9" s="2415" t="str">
        <f>'Saisie données file act.'!U505</f>
        <v>ABC+3TC</v>
      </c>
      <c r="V9" s="2415" t="str">
        <f>'Saisie données file act.'!V505</f>
        <v>ABC+3TC bébé</v>
      </c>
      <c r="W9" s="2415" t="str">
        <f>'Saisie données file act.'!W505</f>
        <v>3TC</v>
      </c>
      <c r="X9" s="2415" t="str">
        <f>'Saisie données file act.'!X505</f>
        <v>ABC</v>
      </c>
      <c r="Y9" s="2415" t="str">
        <f>'Saisie données file act.'!Y505</f>
        <v>ABC bébé</v>
      </c>
      <c r="Z9" s="2415" t="str">
        <f>'Saisie données file act.'!Z505</f>
        <v>AZT</v>
      </c>
      <c r="AA9" s="2415" t="str">
        <f>'Saisie données file act.'!AA505</f>
        <v>AZT bébé</v>
      </c>
      <c r="AB9" s="2415" t="str">
        <f>'Saisie données file act.'!AB505</f>
        <v>DDI</v>
      </c>
      <c r="AC9" s="2415" t="str">
        <f>'Saisie données file act.'!AC505</f>
        <v>NVP</v>
      </c>
      <c r="AD9" s="2415" t="str">
        <f>'Saisie données file act.'!AD505</f>
        <v>EFV</v>
      </c>
      <c r="AE9" s="2415" t="str">
        <f>'Saisie données file act.'!AE505</f>
        <v>EFV</v>
      </c>
      <c r="AF9" s="2415" t="str">
        <f>'Saisie données file act.'!AF505</f>
        <v>LPV/r</v>
      </c>
      <c r="AG9" s="2416" t="str">
        <f>'Saisie données file act.'!AG505</f>
        <v>LPV/r bébé</v>
      </c>
      <c r="AH9" s="2417"/>
    </row>
    <row r="10" spans="1:34" s="1307" customFormat="1" ht="24.75" thickBot="1" x14ac:dyDescent="0.25">
      <c r="C10" s="2418"/>
      <c r="D10" s="2419" t="str">
        <f>'Saisie données file act.'!D506</f>
        <v>Comprimés</v>
      </c>
      <c r="E10" s="2420" t="str">
        <f>'Saisie données file act.'!E506</f>
        <v>10 mg/mL</v>
      </c>
      <c r="F10" s="2421" t="str">
        <f>'Saisie données file act.'!F506</f>
        <v>10 mg/mL</v>
      </c>
      <c r="G10" s="2421" t="str">
        <f>'Saisie données file act.'!G506</f>
        <v>10 mg/mL</v>
      </c>
      <c r="H10" s="2421" t="str">
        <f>'Saisie données file act.'!H506</f>
        <v>20 mg/mL</v>
      </c>
      <c r="I10" s="2421" t="str">
        <f>'Saisie données file act.'!I506</f>
        <v>2 g</v>
      </c>
      <c r="J10" s="2421" t="str">
        <f>'Saisie données file act.'!J506</f>
        <v>10 mg/mL</v>
      </c>
      <c r="K10" s="2421" t="str">
        <f>'Saisie données file act.'!K506</f>
        <v>30 mg/mL</v>
      </c>
      <c r="L10" s="2422" t="str">
        <f>'Saisie données file act.'!L506</f>
        <v>80/20 mg/mL</v>
      </c>
      <c r="M10" s="2420" t="str">
        <f>'Saisie données file act.'!M506</f>
        <v>300/150/200 mg</v>
      </c>
      <c r="N10" s="2421" t="str">
        <f>'Saisie données file act.'!N506</f>
        <v>60/30/50 mg</v>
      </c>
      <c r="O10" s="2421" t="str">
        <f>'Saisie données file act.'!O506</f>
        <v>300/150 mg</v>
      </c>
      <c r="P10" s="2421" t="str">
        <f>'Saisie données file act.'!P506</f>
        <v>60/30 mg</v>
      </c>
      <c r="Q10" s="2421" t="str">
        <f>'Saisie données file act.'!Q506</f>
        <v>30/150/200 mg</v>
      </c>
      <c r="R10" s="2421" t="str">
        <f>'Saisie données file act.'!R506</f>
        <v>6/30/50 mg</v>
      </c>
      <c r="S10" s="2421" t="str">
        <f>'Saisie données file act.'!S506</f>
        <v>30/150 mg</v>
      </c>
      <c r="T10" s="2421" t="str">
        <f>'Saisie données file act.'!T506</f>
        <v>60/30/60 mg</v>
      </c>
      <c r="U10" s="2421" t="str">
        <f>'Saisie données file act.'!U506</f>
        <v>600/300 mg</v>
      </c>
      <c r="V10" s="2421" t="str">
        <f>'Saisie données file act.'!V506</f>
        <v>60/30 mg</v>
      </c>
      <c r="W10" s="2421" t="str">
        <f>'Saisie données file act.'!W506</f>
        <v>150 mg</v>
      </c>
      <c r="X10" s="2421" t="str">
        <f>'Saisie données file act.'!X506</f>
        <v>300 mg</v>
      </c>
      <c r="Y10" s="2421" t="str">
        <f>'Saisie données file act.'!Y506</f>
        <v>60 mg</v>
      </c>
      <c r="Z10" s="2421" t="str">
        <f>'Saisie données file act.'!Z506</f>
        <v>100 mg</v>
      </c>
      <c r="AA10" s="2421" t="str">
        <f>'Saisie données file act.'!AA506</f>
        <v>60 mg</v>
      </c>
      <c r="AB10" s="2421" t="str">
        <f>'Saisie données file act.'!AB506</f>
        <v>250 mg</v>
      </c>
      <c r="AC10" s="2421" t="str">
        <f>'Saisie données file act.'!AC506</f>
        <v>200 mg</v>
      </c>
      <c r="AD10" s="2421" t="str">
        <f>'Saisie données file act.'!AD506</f>
        <v>200 mg</v>
      </c>
      <c r="AE10" s="2421" t="str">
        <f>'Saisie données file act.'!AE506</f>
        <v>50 mg</v>
      </c>
      <c r="AF10" s="2421" t="str">
        <f>'Saisie données file act.'!AF506</f>
        <v>200/50 mg</v>
      </c>
      <c r="AG10" s="2422" t="str">
        <f>'Saisie données file act.'!AG506</f>
        <v>100/25 mg</v>
      </c>
      <c r="AH10" s="2423"/>
    </row>
    <row r="11" spans="1:34" x14ac:dyDescent="0.2">
      <c r="C11" s="3312" t="str">
        <f>'Saisie données file act.'!C507</f>
        <v>Schéma thérapeutique</v>
      </c>
      <c r="D11" s="2427" t="str">
        <f>'Saisie données file act.'!D507</f>
        <v>Vérification nb de produits sélectionnés</v>
      </c>
      <c r="E11" s="2397"/>
      <c r="F11" s="2398"/>
      <c r="G11" s="2398"/>
      <c r="H11" s="2398"/>
      <c r="I11" s="2398"/>
      <c r="J11" s="2398"/>
      <c r="K11" s="2398"/>
      <c r="L11" s="2399"/>
      <c r="M11" s="2397"/>
      <c r="N11" s="2398"/>
      <c r="O11" s="2398"/>
      <c r="P11" s="2398"/>
      <c r="Q11" s="2398"/>
      <c r="R11" s="2398"/>
      <c r="S11" s="2398"/>
      <c r="T11" s="2398"/>
      <c r="U11" s="2398"/>
      <c r="V11" s="2398"/>
      <c r="W11" s="2398"/>
      <c r="X11" s="2398"/>
      <c r="Y11" s="2398"/>
      <c r="Z11" s="2398"/>
      <c r="AA11" s="2398"/>
      <c r="AB11" s="2398"/>
      <c r="AC11" s="2398"/>
      <c r="AD11" s="2398"/>
      <c r="AE11" s="2398"/>
      <c r="AF11" s="2398"/>
      <c r="AG11" s="2399"/>
      <c r="AH11" s="2402" t="str">
        <f>'Saisie données file act.'!AH507</f>
        <v>Vérification nb de produits sélectionnés</v>
      </c>
    </row>
    <row r="12" spans="1:34" x14ac:dyDescent="0.2">
      <c r="C12" s="3313"/>
      <c r="D12" s="2424" t="str">
        <f>'Saisie données file act.'!D508</f>
        <v>ABC+3TC+LPV/r</v>
      </c>
      <c r="E12" s="2406">
        <f>'Saisie données file act.'!E508</f>
        <v>0</v>
      </c>
      <c r="F12" s="2393">
        <f>'Saisie données file act.'!F508</f>
        <v>0</v>
      </c>
      <c r="G12" s="2393">
        <f>'Saisie données file act.'!G508</f>
        <v>0</v>
      </c>
      <c r="H12" s="2393">
        <f>'Saisie données file act.'!H508</f>
        <v>0</v>
      </c>
      <c r="I12" s="2393">
        <f>'Saisie données file act.'!I508</f>
        <v>0</v>
      </c>
      <c r="J12" s="2393">
        <f>'Saisie données file act.'!J508</f>
        <v>0</v>
      </c>
      <c r="K12" s="2393">
        <f>'Saisie données file act.'!K508</f>
        <v>0</v>
      </c>
      <c r="L12" s="2400">
        <f>'Saisie données file act.'!L508</f>
        <v>0</v>
      </c>
      <c r="M12" s="2406">
        <f>'Saisie données file act.'!M508</f>
        <v>0</v>
      </c>
      <c r="N12" s="2393">
        <f>'Saisie données file act.'!N508</f>
        <v>0</v>
      </c>
      <c r="O12" s="2393">
        <f>'Saisie données file act.'!O508</f>
        <v>0</v>
      </c>
      <c r="P12" s="2393">
        <f>'Saisie données file act.'!P508</f>
        <v>0</v>
      </c>
      <c r="Q12" s="2393">
        <f>'Saisie données file act.'!Q508</f>
        <v>0</v>
      </c>
      <c r="R12" s="2393">
        <f>'Saisie données file act.'!R508</f>
        <v>0</v>
      </c>
      <c r="S12" s="2393">
        <f>'Saisie données file act.'!S508</f>
        <v>0</v>
      </c>
      <c r="T12" s="2393">
        <f>'Saisie données file act.'!T508</f>
        <v>0</v>
      </c>
      <c r="U12" s="2393">
        <f>'Saisie données file act.'!U508</f>
        <v>0</v>
      </c>
      <c r="V12" s="2393">
        <f>'Saisie données file act.'!V508</f>
        <v>0</v>
      </c>
      <c r="W12" s="2393">
        <f>'Saisie données file act.'!W508</f>
        <v>0</v>
      </c>
      <c r="X12" s="2393">
        <f>'Saisie données file act.'!X508</f>
        <v>0</v>
      </c>
      <c r="Y12" s="2393">
        <f>'Saisie données file act.'!Y508</f>
        <v>0</v>
      </c>
      <c r="Z12" s="2393">
        <f>'Saisie données file act.'!Z508</f>
        <v>0</v>
      </c>
      <c r="AA12" s="2393">
        <f>'Saisie données file act.'!AA508</f>
        <v>0</v>
      </c>
      <c r="AB12" s="2393">
        <f>'Saisie données file act.'!AB508</f>
        <v>0</v>
      </c>
      <c r="AC12" s="2393">
        <f>'Saisie données file act.'!AC508</f>
        <v>0</v>
      </c>
      <c r="AD12" s="2393">
        <f>'Saisie données file act.'!AD508</f>
        <v>0</v>
      </c>
      <c r="AE12" s="2393">
        <f>'Saisie données file act.'!AE508</f>
        <v>0</v>
      </c>
      <c r="AF12" s="2393">
        <f>'Saisie données file act.'!AF508</f>
        <v>0</v>
      </c>
      <c r="AG12" s="2400">
        <f>'Saisie données file act.'!AG508</f>
        <v>0</v>
      </c>
      <c r="AH12" s="2395">
        <f>'Saisie données file act.'!AH508</f>
        <v>0</v>
      </c>
    </row>
    <row r="13" spans="1:34" x14ac:dyDescent="0.2">
      <c r="C13" s="3313"/>
      <c r="D13" s="2424" t="str">
        <f>'Saisie données file act.'!D509</f>
        <v>ABC+3TC+EFV</v>
      </c>
      <c r="E13" s="2406">
        <f>'Saisie données file act.'!E509</f>
        <v>0</v>
      </c>
      <c r="F13" s="2393">
        <f>'Saisie données file act.'!F509</f>
        <v>0</v>
      </c>
      <c r="G13" s="2393">
        <f>'Saisie données file act.'!G509</f>
        <v>0</v>
      </c>
      <c r="H13" s="2393">
        <f>'Saisie données file act.'!H509</f>
        <v>0</v>
      </c>
      <c r="I13" s="2393">
        <f>'Saisie données file act.'!I509</f>
        <v>0</v>
      </c>
      <c r="J13" s="2393">
        <f>'Saisie données file act.'!J509</f>
        <v>0</v>
      </c>
      <c r="K13" s="2393">
        <f>'Saisie données file act.'!K509</f>
        <v>0</v>
      </c>
      <c r="L13" s="2400">
        <f>'Saisie données file act.'!L509</f>
        <v>0</v>
      </c>
      <c r="M13" s="2406">
        <f>'Saisie données file act.'!M509</f>
        <v>0</v>
      </c>
      <c r="N13" s="2393">
        <f>'Saisie données file act.'!N509</f>
        <v>0</v>
      </c>
      <c r="O13" s="2393">
        <f>'Saisie données file act.'!O509</f>
        <v>0</v>
      </c>
      <c r="P13" s="2393">
        <f>'Saisie données file act.'!P509</f>
        <v>0</v>
      </c>
      <c r="Q13" s="2393">
        <f>'Saisie données file act.'!Q509</f>
        <v>0</v>
      </c>
      <c r="R13" s="2393">
        <f>'Saisie données file act.'!R509</f>
        <v>0</v>
      </c>
      <c r="S13" s="2393">
        <f>'Saisie données file act.'!S509</f>
        <v>0</v>
      </c>
      <c r="T13" s="2393">
        <f>'Saisie données file act.'!T509</f>
        <v>0</v>
      </c>
      <c r="U13" s="2393">
        <f>'Saisie données file act.'!U509</f>
        <v>0</v>
      </c>
      <c r="V13" s="2393">
        <f>'Saisie données file act.'!V509</f>
        <v>0</v>
      </c>
      <c r="W13" s="2393">
        <f>'Saisie données file act.'!W509</f>
        <v>0</v>
      </c>
      <c r="X13" s="2393">
        <f>'Saisie données file act.'!X509</f>
        <v>0</v>
      </c>
      <c r="Y13" s="2393">
        <f>'Saisie données file act.'!Y509</f>
        <v>0</v>
      </c>
      <c r="Z13" s="2393">
        <f>'Saisie données file act.'!Z509</f>
        <v>0</v>
      </c>
      <c r="AA13" s="2393">
        <f>'Saisie données file act.'!AA509</f>
        <v>0</v>
      </c>
      <c r="AB13" s="2393">
        <f>'Saisie données file act.'!AB509</f>
        <v>0</v>
      </c>
      <c r="AC13" s="2393">
        <f>'Saisie données file act.'!AC509</f>
        <v>0</v>
      </c>
      <c r="AD13" s="2393">
        <f>'Saisie données file act.'!AD509</f>
        <v>0</v>
      </c>
      <c r="AE13" s="2393">
        <f>'Saisie données file act.'!AE509</f>
        <v>0</v>
      </c>
      <c r="AF13" s="2393">
        <f>'Saisie données file act.'!AF509</f>
        <v>0</v>
      </c>
      <c r="AG13" s="2400">
        <f>'Saisie données file act.'!AG509</f>
        <v>0</v>
      </c>
      <c r="AH13" s="2395">
        <f>'Saisie données file act.'!AH509</f>
        <v>0</v>
      </c>
    </row>
    <row r="14" spans="1:34" x14ac:dyDescent="0.2">
      <c r="C14" s="3313"/>
      <c r="D14" s="2424" t="str">
        <f>'Saisie données file act.'!D510</f>
        <v>ABC+3TC+AZT</v>
      </c>
      <c r="E14" s="2406">
        <f>'Saisie données file act.'!E510</f>
        <v>0</v>
      </c>
      <c r="F14" s="2393">
        <f>'Saisie données file act.'!F510</f>
        <v>0</v>
      </c>
      <c r="G14" s="2393">
        <f>'Saisie données file act.'!G510</f>
        <v>0</v>
      </c>
      <c r="H14" s="2393">
        <f>'Saisie données file act.'!H510</f>
        <v>0</v>
      </c>
      <c r="I14" s="2393">
        <f>'Saisie données file act.'!I510</f>
        <v>0</v>
      </c>
      <c r="J14" s="2393">
        <f>'Saisie données file act.'!J510</f>
        <v>0</v>
      </c>
      <c r="K14" s="2393">
        <f>'Saisie données file act.'!K510</f>
        <v>0</v>
      </c>
      <c r="L14" s="2400">
        <f>'Saisie données file act.'!L510</f>
        <v>0</v>
      </c>
      <c r="M14" s="2406">
        <f>'Saisie données file act.'!M510</f>
        <v>0</v>
      </c>
      <c r="N14" s="2393">
        <f>'Saisie données file act.'!N510</f>
        <v>0</v>
      </c>
      <c r="O14" s="2393">
        <f>'Saisie données file act.'!O510</f>
        <v>0</v>
      </c>
      <c r="P14" s="2393">
        <f>'Saisie données file act.'!P510</f>
        <v>0</v>
      </c>
      <c r="Q14" s="2393">
        <f>'Saisie données file act.'!Q510</f>
        <v>0</v>
      </c>
      <c r="R14" s="2393">
        <f>'Saisie données file act.'!R510</f>
        <v>0</v>
      </c>
      <c r="S14" s="2393">
        <f>'Saisie données file act.'!S510</f>
        <v>0</v>
      </c>
      <c r="T14" s="2393">
        <f>'Saisie données file act.'!T510</f>
        <v>0</v>
      </c>
      <c r="U14" s="2393">
        <f>'Saisie données file act.'!U510</f>
        <v>0</v>
      </c>
      <c r="V14" s="2393">
        <f>'Saisie données file act.'!V510</f>
        <v>0</v>
      </c>
      <c r="W14" s="2393">
        <f>'Saisie données file act.'!W510</f>
        <v>0</v>
      </c>
      <c r="X14" s="2393">
        <f>'Saisie données file act.'!X510</f>
        <v>0</v>
      </c>
      <c r="Y14" s="2393">
        <f>'Saisie données file act.'!Y510</f>
        <v>0</v>
      </c>
      <c r="Z14" s="2393">
        <f>'Saisie données file act.'!Z510</f>
        <v>0</v>
      </c>
      <c r="AA14" s="2393">
        <f>'Saisie données file act.'!AA510</f>
        <v>0</v>
      </c>
      <c r="AB14" s="2393">
        <f>'Saisie données file act.'!AB510</f>
        <v>0</v>
      </c>
      <c r="AC14" s="2393">
        <f>'Saisie données file act.'!AC510</f>
        <v>0</v>
      </c>
      <c r="AD14" s="2393">
        <f>'Saisie données file act.'!AD510</f>
        <v>0</v>
      </c>
      <c r="AE14" s="2393">
        <f>'Saisie données file act.'!AE510</f>
        <v>0</v>
      </c>
      <c r="AF14" s="2393">
        <f>'Saisie données file act.'!AF510</f>
        <v>0</v>
      </c>
      <c r="AG14" s="2400">
        <f>'Saisie données file act.'!AG510</f>
        <v>0</v>
      </c>
      <c r="AH14" s="2395">
        <f>'Saisie données file act.'!AH510</f>
        <v>0</v>
      </c>
    </row>
    <row r="15" spans="1:34" x14ac:dyDescent="0.2">
      <c r="C15" s="3313"/>
      <c r="D15" s="2424">
        <f>'Saisie données file act.'!D511</f>
        <v>0</v>
      </c>
      <c r="E15" s="2406">
        <f>'Saisie données file act.'!E511</f>
        <v>0</v>
      </c>
      <c r="F15" s="2393">
        <f>'Saisie données file act.'!F511</f>
        <v>0</v>
      </c>
      <c r="G15" s="2393">
        <f>'Saisie données file act.'!G511</f>
        <v>0</v>
      </c>
      <c r="H15" s="2393">
        <f>'Saisie données file act.'!H511</f>
        <v>0</v>
      </c>
      <c r="I15" s="2393">
        <f>'Saisie données file act.'!I511</f>
        <v>0</v>
      </c>
      <c r="J15" s="2393">
        <f>'Saisie données file act.'!J511</f>
        <v>0</v>
      </c>
      <c r="K15" s="2393">
        <f>'Saisie données file act.'!K511</f>
        <v>0</v>
      </c>
      <c r="L15" s="2400">
        <f>'Saisie données file act.'!L511</f>
        <v>0</v>
      </c>
      <c r="M15" s="2406">
        <f>'Saisie données file act.'!M511</f>
        <v>0</v>
      </c>
      <c r="N15" s="2393">
        <f>'Saisie données file act.'!N511</f>
        <v>0</v>
      </c>
      <c r="O15" s="2393">
        <f>'Saisie données file act.'!O511</f>
        <v>0</v>
      </c>
      <c r="P15" s="2393">
        <f>'Saisie données file act.'!P511</f>
        <v>0</v>
      </c>
      <c r="Q15" s="2393">
        <f>'Saisie données file act.'!Q511</f>
        <v>0</v>
      </c>
      <c r="R15" s="2393">
        <f>'Saisie données file act.'!R511</f>
        <v>0</v>
      </c>
      <c r="S15" s="2393">
        <f>'Saisie données file act.'!S511</f>
        <v>0</v>
      </c>
      <c r="T15" s="2393">
        <f>'Saisie données file act.'!T511</f>
        <v>0</v>
      </c>
      <c r="U15" s="2393">
        <f>'Saisie données file act.'!U511</f>
        <v>0</v>
      </c>
      <c r="V15" s="2393">
        <f>'Saisie données file act.'!V511</f>
        <v>0</v>
      </c>
      <c r="W15" s="2393">
        <f>'Saisie données file act.'!W511</f>
        <v>0</v>
      </c>
      <c r="X15" s="2393">
        <f>'Saisie données file act.'!X511</f>
        <v>0</v>
      </c>
      <c r="Y15" s="2393">
        <f>'Saisie données file act.'!Y511</f>
        <v>0</v>
      </c>
      <c r="Z15" s="2393">
        <f>'Saisie données file act.'!Z511</f>
        <v>0</v>
      </c>
      <c r="AA15" s="2393">
        <f>'Saisie données file act.'!AA511</f>
        <v>0</v>
      </c>
      <c r="AB15" s="2393">
        <f>'Saisie données file act.'!AB511</f>
        <v>0</v>
      </c>
      <c r="AC15" s="2393">
        <f>'Saisie données file act.'!AC511</f>
        <v>0</v>
      </c>
      <c r="AD15" s="2393">
        <f>'Saisie données file act.'!AD511</f>
        <v>0</v>
      </c>
      <c r="AE15" s="2393">
        <f>'Saisie données file act.'!AE511</f>
        <v>0</v>
      </c>
      <c r="AF15" s="2393">
        <f>'Saisie données file act.'!AF511</f>
        <v>0</v>
      </c>
      <c r="AG15" s="2400">
        <f>'Saisie données file act.'!AG511</f>
        <v>0</v>
      </c>
      <c r="AH15" s="2395">
        <f>'Saisie données file act.'!AH511</f>
        <v>0</v>
      </c>
    </row>
    <row r="16" spans="1:34" ht="13.5" customHeight="1" x14ac:dyDescent="0.2">
      <c r="C16" s="3313"/>
      <c r="D16" s="2424">
        <f>'Saisie données file act.'!D512</f>
        <v>0</v>
      </c>
      <c r="E16" s="2406">
        <f>'Saisie données file act.'!E512</f>
        <v>0</v>
      </c>
      <c r="F16" s="2393">
        <f>'Saisie données file act.'!F512</f>
        <v>0</v>
      </c>
      <c r="G16" s="2393">
        <f>'Saisie données file act.'!G512</f>
        <v>0</v>
      </c>
      <c r="H16" s="2393">
        <f>'Saisie données file act.'!H512</f>
        <v>0</v>
      </c>
      <c r="I16" s="2393">
        <f>'Saisie données file act.'!I512</f>
        <v>0</v>
      </c>
      <c r="J16" s="2393">
        <f>'Saisie données file act.'!J512</f>
        <v>0</v>
      </c>
      <c r="K16" s="2393">
        <f>'Saisie données file act.'!K512</f>
        <v>0</v>
      </c>
      <c r="L16" s="2400">
        <f>'Saisie données file act.'!L512</f>
        <v>0</v>
      </c>
      <c r="M16" s="2406">
        <f>'Saisie données file act.'!M512</f>
        <v>0</v>
      </c>
      <c r="N16" s="2393">
        <f>'Saisie données file act.'!N512</f>
        <v>0</v>
      </c>
      <c r="O16" s="2393">
        <f>'Saisie données file act.'!O512</f>
        <v>0</v>
      </c>
      <c r="P16" s="2393">
        <f>'Saisie données file act.'!P512</f>
        <v>0</v>
      </c>
      <c r="Q16" s="2393">
        <f>'Saisie données file act.'!Q512</f>
        <v>0</v>
      </c>
      <c r="R16" s="2393">
        <f>'Saisie données file act.'!R512</f>
        <v>0</v>
      </c>
      <c r="S16" s="2393">
        <f>'Saisie données file act.'!S512</f>
        <v>0</v>
      </c>
      <c r="T16" s="2393">
        <f>'Saisie données file act.'!T512</f>
        <v>0</v>
      </c>
      <c r="U16" s="2393">
        <f>'Saisie données file act.'!U512</f>
        <v>0</v>
      </c>
      <c r="V16" s="2393">
        <f>'Saisie données file act.'!V512</f>
        <v>0</v>
      </c>
      <c r="W16" s="2393">
        <f>'Saisie données file act.'!W512</f>
        <v>0</v>
      </c>
      <c r="X16" s="2393">
        <f>'Saisie données file act.'!X512</f>
        <v>0</v>
      </c>
      <c r="Y16" s="2393">
        <f>'Saisie données file act.'!Y512</f>
        <v>0</v>
      </c>
      <c r="Z16" s="2393">
        <f>'Saisie données file act.'!Z512</f>
        <v>0</v>
      </c>
      <c r="AA16" s="2393">
        <f>'Saisie données file act.'!AA512</f>
        <v>0</v>
      </c>
      <c r="AB16" s="2393">
        <f>'Saisie données file act.'!AB512</f>
        <v>0</v>
      </c>
      <c r="AC16" s="2393">
        <f>'Saisie données file act.'!AC512</f>
        <v>0</v>
      </c>
      <c r="AD16" s="2393">
        <f>'Saisie données file act.'!AD512</f>
        <v>0</v>
      </c>
      <c r="AE16" s="2393">
        <f>'Saisie données file act.'!AE512</f>
        <v>0</v>
      </c>
      <c r="AF16" s="2393">
        <f>'Saisie données file act.'!AF512</f>
        <v>0</v>
      </c>
      <c r="AG16" s="2400">
        <f>'Saisie données file act.'!AG512</f>
        <v>0</v>
      </c>
      <c r="AH16" s="2395">
        <f>'Saisie données file act.'!AH512</f>
        <v>0</v>
      </c>
    </row>
    <row r="17" spans="3:34" ht="12.75" thickBot="1" x14ac:dyDescent="0.25">
      <c r="C17" s="3313"/>
      <c r="D17" s="2425">
        <f>'Saisie données file act.'!D513</f>
        <v>0</v>
      </c>
      <c r="E17" s="2407">
        <f>'Saisie données file act.'!E513</f>
        <v>0</v>
      </c>
      <c r="F17" s="2394">
        <f>'Saisie données file act.'!F513</f>
        <v>0</v>
      </c>
      <c r="G17" s="2394">
        <f>'Saisie données file act.'!G513</f>
        <v>0</v>
      </c>
      <c r="H17" s="2394">
        <f>'Saisie données file act.'!H513</f>
        <v>0</v>
      </c>
      <c r="I17" s="2394">
        <f>'Saisie données file act.'!I513</f>
        <v>0</v>
      </c>
      <c r="J17" s="2394">
        <f>'Saisie données file act.'!J513</f>
        <v>0</v>
      </c>
      <c r="K17" s="2394">
        <f>'Saisie données file act.'!K513</f>
        <v>0</v>
      </c>
      <c r="L17" s="2401">
        <f>'Saisie données file act.'!L513</f>
        <v>0</v>
      </c>
      <c r="M17" s="2407">
        <f>'Saisie données file act.'!M513</f>
        <v>0</v>
      </c>
      <c r="N17" s="2394">
        <f>'Saisie données file act.'!N513</f>
        <v>0</v>
      </c>
      <c r="O17" s="2394">
        <f>'Saisie données file act.'!O513</f>
        <v>0</v>
      </c>
      <c r="P17" s="2394">
        <f>'Saisie données file act.'!P513</f>
        <v>0</v>
      </c>
      <c r="Q17" s="2394">
        <f>'Saisie données file act.'!Q513</f>
        <v>0</v>
      </c>
      <c r="R17" s="2394">
        <f>'Saisie données file act.'!R513</f>
        <v>0</v>
      </c>
      <c r="S17" s="2394">
        <f>'Saisie données file act.'!S513</f>
        <v>0</v>
      </c>
      <c r="T17" s="2394">
        <f>'Saisie données file act.'!T513</f>
        <v>0</v>
      </c>
      <c r="U17" s="2394">
        <f>'Saisie données file act.'!U513</f>
        <v>0</v>
      </c>
      <c r="V17" s="2394">
        <f>'Saisie données file act.'!V513</f>
        <v>0</v>
      </c>
      <c r="W17" s="2394">
        <f>'Saisie données file act.'!W513</f>
        <v>0</v>
      </c>
      <c r="X17" s="2394">
        <f>'Saisie données file act.'!X513</f>
        <v>0</v>
      </c>
      <c r="Y17" s="2394">
        <f>'Saisie données file act.'!Y513</f>
        <v>0</v>
      </c>
      <c r="Z17" s="2394">
        <f>'Saisie données file act.'!Z513</f>
        <v>0</v>
      </c>
      <c r="AA17" s="2394">
        <f>'Saisie données file act.'!AA513</f>
        <v>0</v>
      </c>
      <c r="AB17" s="2394">
        <f>'Saisie données file act.'!AB513</f>
        <v>0</v>
      </c>
      <c r="AC17" s="2394">
        <f>'Saisie données file act.'!AC513</f>
        <v>0</v>
      </c>
      <c r="AD17" s="2394">
        <f>'Saisie données file act.'!AD513</f>
        <v>0</v>
      </c>
      <c r="AE17" s="2394">
        <f>'Saisie données file act.'!AE513</f>
        <v>0</v>
      </c>
      <c r="AF17" s="2394">
        <f>'Saisie données file act.'!AF513</f>
        <v>0</v>
      </c>
      <c r="AG17" s="2401">
        <f>'Saisie données file act.'!AG513</f>
        <v>0</v>
      </c>
      <c r="AH17" s="2403">
        <f>'Saisie données file act.'!AH513</f>
        <v>0</v>
      </c>
    </row>
    <row r="18" spans="3:34" x14ac:dyDescent="0.2">
      <c r="C18" s="3313"/>
      <c r="D18" s="2427" t="str">
        <f>'Saisie données file act.'!D514</f>
        <v>Deuxièmes lignes</v>
      </c>
      <c r="E18" s="2397"/>
      <c r="F18" s="2398"/>
      <c r="G18" s="2398"/>
      <c r="H18" s="2398"/>
      <c r="I18" s="2398"/>
      <c r="J18" s="2398"/>
      <c r="K18" s="2398"/>
      <c r="L18" s="2399"/>
      <c r="M18" s="2397"/>
      <c r="N18" s="2398"/>
      <c r="O18" s="2398"/>
      <c r="P18" s="2398"/>
      <c r="Q18" s="2398"/>
      <c r="R18" s="2398"/>
      <c r="S18" s="2398"/>
      <c r="T18" s="2398"/>
      <c r="U18" s="2398"/>
      <c r="V18" s="2398"/>
      <c r="W18" s="2398"/>
      <c r="X18" s="2398"/>
      <c r="Y18" s="2398"/>
      <c r="Z18" s="2398"/>
      <c r="AA18" s="2398"/>
      <c r="AB18" s="2398"/>
      <c r="AC18" s="2398"/>
      <c r="AD18" s="2398"/>
      <c r="AE18" s="2398"/>
      <c r="AF18" s="2398"/>
      <c r="AG18" s="2399"/>
      <c r="AH18" s="2402"/>
    </row>
    <row r="19" spans="3:34" ht="12.75" thickBot="1" x14ac:dyDescent="0.25">
      <c r="C19" s="3313"/>
      <c r="D19" s="2425" t="str">
        <f>'Saisie données file act.'!D515</f>
        <v>AZT+3TC+LPV/r</v>
      </c>
      <c r="E19" s="2407">
        <f>'Saisie données file act.'!E515</f>
        <v>0</v>
      </c>
      <c r="F19" s="2394">
        <f>'Saisie données file act.'!F515</f>
        <v>0</v>
      </c>
      <c r="G19" s="2394">
        <f>'Saisie données file act.'!G515</f>
        <v>0</v>
      </c>
      <c r="H19" s="2394">
        <f>'Saisie données file act.'!H515</f>
        <v>0</v>
      </c>
      <c r="I19" s="2394">
        <f>'Saisie données file act.'!I515</f>
        <v>0</v>
      </c>
      <c r="J19" s="2394">
        <f>'Saisie données file act.'!J515</f>
        <v>0</v>
      </c>
      <c r="K19" s="2394">
        <f>'Saisie données file act.'!K515</f>
        <v>0</v>
      </c>
      <c r="L19" s="2401">
        <f>'Saisie données file act.'!L515</f>
        <v>0</v>
      </c>
      <c r="M19" s="2407">
        <f>'Saisie données file act.'!M515</f>
        <v>0</v>
      </c>
      <c r="N19" s="2394">
        <f>'Saisie données file act.'!N515</f>
        <v>0</v>
      </c>
      <c r="O19" s="2394">
        <f>'Saisie données file act.'!O515</f>
        <v>0</v>
      </c>
      <c r="P19" s="2394">
        <f>'Saisie données file act.'!P515</f>
        <v>0</v>
      </c>
      <c r="Q19" s="2394">
        <f>'Saisie données file act.'!Q515</f>
        <v>0</v>
      </c>
      <c r="R19" s="2394">
        <f>'Saisie données file act.'!R515</f>
        <v>0</v>
      </c>
      <c r="S19" s="2394">
        <f>'Saisie données file act.'!S515</f>
        <v>0</v>
      </c>
      <c r="T19" s="2394">
        <f>'Saisie données file act.'!T515</f>
        <v>0</v>
      </c>
      <c r="U19" s="2394">
        <f>'Saisie données file act.'!U515</f>
        <v>0</v>
      </c>
      <c r="V19" s="2394">
        <f>'Saisie données file act.'!V515</f>
        <v>0</v>
      </c>
      <c r="W19" s="2394">
        <f>'Saisie données file act.'!W515</f>
        <v>0</v>
      </c>
      <c r="X19" s="2394">
        <f>'Saisie données file act.'!X515</f>
        <v>0</v>
      </c>
      <c r="Y19" s="2394">
        <f>'Saisie données file act.'!Y515</f>
        <v>0</v>
      </c>
      <c r="Z19" s="2394">
        <f>'Saisie données file act.'!Z515</f>
        <v>0</v>
      </c>
      <c r="AA19" s="2394">
        <f>'Saisie données file act.'!AA515</f>
        <v>0</v>
      </c>
      <c r="AB19" s="2394">
        <f>'Saisie données file act.'!AB515</f>
        <v>0</v>
      </c>
      <c r="AC19" s="2394">
        <f>'Saisie données file act.'!AC515</f>
        <v>0</v>
      </c>
      <c r="AD19" s="2394">
        <f>'Saisie données file act.'!AD515</f>
        <v>0</v>
      </c>
      <c r="AE19" s="2394">
        <f>'Saisie données file act.'!AE515</f>
        <v>0</v>
      </c>
      <c r="AF19" s="2394">
        <f>'Saisie données file act.'!AF515</f>
        <v>0</v>
      </c>
      <c r="AG19" s="2401">
        <f>'Saisie données file act.'!AG515</f>
        <v>0</v>
      </c>
      <c r="AH19" s="2403">
        <f>'Saisie données file act.'!AH515</f>
        <v>0</v>
      </c>
    </row>
    <row r="20" spans="3:34" x14ac:dyDescent="0.2">
      <c r="C20" s="3313"/>
      <c r="D20" s="2426" t="str">
        <f>'Saisie données file act.'!D520</f>
        <v>Lignes alternatives</v>
      </c>
      <c r="E20" s="2408"/>
      <c r="F20" s="2396"/>
      <c r="G20" s="2396"/>
      <c r="H20" s="2396"/>
      <c r="I20" s="2396"/>
      <c r="J20" s="2396"/>
      <c r="K20" s="2396"/>
      <c r="L20" s="2409"/>
      <c r="M20" s="2408"/>
      <c r="N20" s="2396"/>
      <c r="O20" s="2396"/>
      <c r="P20" s="2396"/>
      <c r="Q20" s="2396"/>
      <c r="R20" s="2396"/>
      <c r="S20" s="2396"/>
      <c r="T20" s="2396"/>
      <c r="U20" s="2396"/>
      <c r="V20" s="2396"/>
      <c r="W20" s="2396"/>
      <c r="X20" s="2396"/>
      <c r="Y20" s="2396"/>
      <c r="Z20" s="2396"/>
      <c r="AA20" s="2396"/>
      <c r="AB20" s="2396"/>
      <c r="AC20" s="2396"/>
      <c r="AD20" s="2396"/>
      <c r="AE20" s="2396"/>
      <c r="AF20" s="2396"/>
      <c r="AG20" s="2409"/>
      <c r="AH20" s="2410"/>
    </row>
    <row r="21" spans="3:34" x14ac:dyDescent="0.2">
      <c r="C21" s="3313"/>
      <c r="D21" s="2424">
        <f>'Saisie données file act.'!D516</f>
        <v>0</v>
      </c>
      <c r="E21" s="2406">
        <f>'Saisie données file act.'!E516</f>
        <v>0</v>
      </c>
      <c r="F21" s="2393">
        <f>'Saisie données file act.'!F516</f>
        <v>0</v>
      </c>
      <c r="G21" s="2393">
        <f>'Saisie données file act.'!G516</f>
        <v>0</v>
      </c>
      <c r="H21" s="2393">
        <f>'Saisie données file act.'!H516</f>
        <v>0</v>
      </c>
      <c r="I21" s="2393">
        <f>'Saisie données file act.'!I516</f>
        <v>0</v>
      </c>
      <c r="J21" s="2393">
        <f>'Saisie données file act.'!J516</f>
        <v>0</v>
      </c>
      <c r="K21" s="2393">
        <f>'Saisie données file act.'!K516</f>
        <v>0</v>
      </c>
      <c r="L21" s="2400">
        <f>'Saisie données file act.'!L516</f>
        <v>0</v>
      </c>
      <c r="M21" s="2406">
        <f>'Saisie données file act.'!M516</f>
        <v>0</v>
      </c>
      <c r="N21" s="2393">
        <f>'Saisie données file act.'!N516</f>
        <v>0</v>
      </c>
      <c r="O21" s="2393">
        <f>'Saisie données file act.'!O516</f>
        <v>0</v>
      </c>
      <c r="P21" s="2393">
        <f>'Saisie données file act.'!P516</f>
        <v>0</v>
      </c>
      <c r="Q21" s="2393">
        <f>'Saisie données file act.'!Q516</f>
        <v>0</v>
      </c>
      <c r="R21" s="2393">
        <f>'Saisie données file act.'!R516</f>
        <v>0</v>
      </c>
      <c r="S21" s="2393">
        <f>'Saisie données file act.'!S516</f>
        <v>0</v>
      </c>
      <c r="T21" s="2393">
        <f>'Saisie données file act.'!T516</f>
        <v>0</v>
      </c>
      <c r="U21" s="2393">
        <f>'Saisie données file act.'!U516</f>
        <v>0</v>
      </c>
      <c r="V21" s="2393">
        <f>'Saisie données file act.'!V516</f>
        <v>0</v>
      </c>
      <c r="W21" s="2393">
        <f>'Saisie données file act.'!W516</f>
        <v>0</v>
      </c>
      <c r="X21" s="2393">
        <f>'Saisie données file act.'!X516</f>
        <v>0</v>
      </c>
      <c r="Y21" s="2393">
        <f>'Saisie données file act.'!Y516</f>
        <v>0</v>
      </c>
      <c r="Z21" s="2393">
        <f>'Saisie données file act.'!Z516</f>
        <v>0</v>
      </c>
      <c r="AA21" s="2393">
        <f>'Saisie données file act.'!AA516</f>
        <v>0</v>
      </c>
      <c r="AB21" s="2393">
        <f>'Saisie données file act.'!AB516</f>
        <v>0</v>
      </c>
      <c r="AC21" s="2393">
        <f>'Saisie données file act.'!AC516</f>
        <v>0</v>
      </c>
      <c r="AD21" s="2393">
        <f>'Saisie données file act.'!AD516</f>
        <v>0</v>
      </c>
      <c r="AE21" s="2393">
        <f>'Saisie données file act.'!AE516</f>
        <v>0</v>
      </c>
      <c r="AF21" s="2393">
        <f>'Saisie données file act.'!AF516</f>
        <v>0</v>
      </c>
      <c r="AG21" s="2400">
        <f>'Saisie données file act.'!AG516</f>
        <v>0</v>
      </c>
      <c r="AH21" s="2395">
        <f>'Saisie données file act.'!AH516</f>
        <v>0</v>
      </c>
    </row>
    <row r="22" spans="3:34" x14ac:dyDescent="0.2">
      <c r="C22" s="3313"/>
      <c r="D22" s="2424">
        <f>'Saisie données file act.'!D517</f>
        <v>0</v>
      </c>
      <c r="E22" s="2406">
        <f>'Saisie données file act.'!E517</f>
        <v>0</v>
      </c>
      <c r="F22" s="2393">
        <f>'Saisie données file act.'!F517</f>
        <v>0</v>
      </c>
      <c r="G22" s="2393">
        <f>'Saisie données file act.'!G517</f>
        <v>0</v>
      </c>
      <c r="H22" s="2393">
        <f>'Saisie données file act.'!H517</f>
        <v>0</v>
      </c>
      <c r="I22" s="2393">
        <f>'Saisie données file act.'!I517</f>
        <v>0</v>
      </c>
      <c r="J22" s="2393">
        <f>'Saisie données file act.'!J517</f>
        <v>0</v>
      </c>
      <c r="K22" s="2393">
        <f>'Saisie données file act.'!K517</f>
        <v>0</v>
      </c>
      <c r="L22" s="2400">
        <f>'Saisie données file act.'!L517</f>
        <v>0</v>
      </c>
      <c r="M22" s="2406">
        <f>'Saisie données file act.'!M517</f>
        <v>0</v>
      </c>
      <c r="N22" s="2393">
        <f>'Saisie données file act.'!N517</f>
        <v>0</v>
      </c>
      <c r="O22" s="2393">
        <f>'Saisie données file act.'!O517</f>
        <v>0</v>
      </c>
      <c r="P22" s="2393">
        <f>'Saisie données file act.'!P517</f>
        <v>0</v>
      </c>
      <c r="Q22" s="2393">
        <f>'Saisie données file act.'!Q517</f>
        <v>0</v>
      </c>
      <c r="R22" s="2393">
        <f>'Saisie données file act.'!R517</f>
        <v>0</v>
      </c>
      <c r="S22" s="2393">
        <f>'Saisie données file act.'!S517</f>
        <v>0</v>
      </c>
      <c r="T22" s="2393">
        <f>'Saisie données file act.'!T517</f>
        <v>0</v>
      </c>
      <c r="U22" s="2393">
        <f>'Saisie données file act.'!U517</f>
        <v>0</v>
      </c>
      <c r="V22" s="2393">
        <f>'Saisie données file act.'!V517</f>
        <v>0</v>
      </c>
      <c r="W22" s="2393">
        <f>'Saisie données file act.'!W517</f>
        <v>0</v>
      </c>
      <c r="X22" s="2393">
        <f>'Saisie données file act.'!X517</f>
        <v>0</v>
      </c>
      <c r="Y22" s="2393">
        <f>'Saisie données file act.'!Y517</f>
        <v>0</v>
      </c>
      <c r="Z22" s="2393">
        <f>'Saisie données file act.'!Z517</f>
        <v>0</v>
      </c>
      <c r="AA22" s="2393">
        <f>'Saisie données file act.'!AA517</f>
        <v>0</v>
      </c>
      <c r="AB22" s="2393">
        <f>'Saisie données file act.'!AB517</f>
        <v>0</v>
      </c>
      <c r="AC22" s="2393">
        <f>'Saisie données file act.'!AC517</f>
        <v>0</v>
      </c>
      <c r="AD22" s="2393">
        <f>'Saisie données file act.'!AD517</f>
        <v>0</v>
      </c>
      <c r="AE22" s="2393">
        <f>'Saisie données file act.'!AE517</f>
        <v>0</v>
      </c>
      <c r="AF22" s="2393">
        <f>'Saisie données file act.'!AF517</f>
        <v>0</v>
      </c>
      <c r="AG22" s="2400">
        <f>'Saisie données file act.'!AG517</f>
        <v>0</v>
      </c>
      <c r="AH22" s="2395">
        <f>'Saisie données file act.'!AH517</f>
        <v>0</v>
      </c>
    </row>
    <row r="23" spans="3:34" ht="13.5" customHeight="1" x14ac:dyDescent="0.2">
      <c r="C23" s="3313"/>
      <c r="D23" s="2424">
        <f>'Saisie données file act.'!D518</f>
        <v>0</v>
      </c>
      <c r="E23" s="2406">
        <f>'Saisie données file act.'!E518</f>
        <v>0</v>
      </c>
      <c r="F23" s="2393">
        <f>'Saisie données file act.'!F518</f>
        <v>0</v>
      </c>
      <c r="G23" s="2393">
        <f>'Saisie données file act.'!G518</f>
        <v>0</v>
      </c>
      <c r="H23" s="2393">
        <f>'Saisie données file act.'!H518</f>
        <v>0</v>
      </c>
      <c r="I23" s="2393">
        <f>'Saisie données file act.'!I518</f>
        <v>0</v>
      </c>
      <c r="J23" s="2393">
        <f>'Saisie données file act.'!J518</f>
        <v>0</v>
      </c>
      <c r="K23" s="2393">
        <f>'Saisie données file act.'!K518</f>
        <v>0</v>
      </c>
      <c r="L23" s="2400">
        <f>'Saisie données file act.'!L518</f>
        <v>0</v>
      </c>
      <c r="M23" s="2406">
        <f>'Saisie données file act.'!M518</f>
        <v>0</v>
      </c>
      <c r="N23" s="2393">
        <f>'Saisie données file act.'!N518</f>
        <v>0</v>
      </c>
      <c r="O23" s="2393">
        <f>'Saisie données file act.'!O518</f>
        <v>0</v>
      </c>
      <c r="P23" s="2393">
        <f>'Saisie données file act.'!P518</f>
        <v>0</v>
      </c>
      <c r="Q23" s="2393">
        <f>'Saisie données file act.'!Q518</f>
        <v>0</v>
      </c>
      <c r="R23" s="2393">
        <f>'Saisie données file act.'!R518</f>
        <v>0</v>
      </c>
      <c r="S23" s="2393">
        <f>'Saisie données file act.'!S518</f>
        <v>0</v>
      </c>
      <c r="T23" s="2393">
        <f>'Saisie données file act.'!T518</f>
        <v>0</v>
      </c>
      <c r="U23" s="2393">
        <f>'Saisie données file act.'!U518</f>
        <v>0</v>
      </c>
      <c r="V23" s="2393">
        <f>'Saisie données file act.'!V518</f>
        <v>0</v>
      </c>
      <c r="W23" s="2393">
        <f>'Saisie données file act.'!W518</f>
        <v>0</v>
      </c>
      <c r="X23" s="2393">
        <f>'Saisie données file act.'!X518</f>
        <v>0</v>
      </c>
      <c r="Y23" s="2393">
        <f>'Saisie données file act.'!Y518</f>
        <v>0</v>
      </c>
      <c r="Z23" s="2393">
        <f>'Saisie données file act.'!Z518</f>
        <v>0</v>
      </c>
      <c r="AA23" s="2393">
        <f>'Saisie données file act.'!AA518</f>
        <v>0</v>
      </c>
      <c r="AB23" s="2393">
        <f>'Saisie données file act.'!AB518</f>
        <v>0</v>
      </c>
      <c r="AC23" s="2393">
        <f>'Saisie données file act.'!AC518</f>
        <v>0</v>
      </c>
      <c r="AD23" s="2393">
        <f>'Saisie données file act.'!AD518</f>
        <v>0</v>
      </c>
      <c r="AE23" s="2393">
        <f>'Saisie données file act.'!AE518</f>
        <v>0</v>
      </c>
      <c r="AF23" s="2393">
        <f>'Saisie données file act.'!AF518</f>
        <v>0</v>
      </c>
      <c r="AG23" s="2400">
        <f>'Saisie données file act.'!AG518</f>
        <v>0</v>
      </c>
      <c r="AH23" s="2395">
        <f>'Saisie données file act.'!AH518</f>
        <v>0</v>
      </c>
    </row>
    <row r="24" spans="3:34" x14ac:dyDescent="0.2">
      <c r="C24" s="3313"/>
      <c r="D24" s="2424">
        <f>'Saisie données file act.'!D519</f>
        <v>0</v>
      </c>
      <c r="E24" s="2406">
        <f>'Saisie données file act.'!E519</f>
        <v>0</v>
      </c>
      <c r="F24" s="2393">
        <f>'Saisie données file act.'!F519</f>
        <v>0</v>
      </c>
      <c r="G24" s="2393">
        <f>'Saisie données file act.'!G519</f>
        <v>0</v>
      </c>
      <c r="H24" s="2393">
        <f>'Saisie données file act.'!H519</f>
        <v>0</v>
      </c>
      <c r="I24" s="2393">
        <f>'Saisie données file act.'!I519</f>
        <v>0</v>
      </c>
      <c r="J24" s="2393">
        <f>'Saisie données file act.'!J519</f>
        <v>0</v>
      </c>
      <c r="K24" s="2393">
        <f>'Saisie données file act.'!K519</f>
        <v>0</v>
      </c>
      <c r="L24" s="2400">
        <f>'Saisie données file act.'!L519</f>
        <v>0</v>
      </c>
      <c r="M24" s="2406">
        <f>'Saisie données file act.'!M519</f>
        <v>0</v>
      </c>
      <c r="N24" s="2393">
        <f>'Saisie données file act.'!N519</f>
        <v>0</v>
      </c>
      <c r="O24" s="2393">
        <f>'Saisie données file act.'!O519</f>
        <v>0</v>
      </c>
      <c r="P24" s="2393">
        <f>'Saisie données file act.'!P519</f>
        <v>0</v>
      </c>
      <c r="Q24" s="2393">
        <f>'Saisie données file act.'!Q519</f>
        <v>0</v>
      </c>
      <c r="R24" s="2393">
        <f>'Saisie données file act.'!R519</f>
        <v>0</v>
      </c>
      <c r="S24" s="2393">
        <f>'Saisie données file act.'!S519</f>
        <v>0</v>
      </c>
      <c r="T24" s="2393">
        <f>'Saisie données file act.'!T519</f>
        <v>0</v>
      </c>
      <c r="U24" s="2393">
        <f>'Saisie données file act.'!U519</f>
        <v>0</v>
      </c>
      <c r="V24" s="2393">
        <f>'Saisie données file act.'!V519</f>
        <v>0</v>
      </c>
      <c r="W24" s="2393">
        <f>'Saisie données file act.'!W519</f>
        <v>0</v>
      </c>
      <c r="X24" s="2393">
        <f>'Saisie données file act.'!X519</f>
        <v>0</v>
      </c>
      <c r="Y24" s="2393">
        <f>'Saisie données file act.'!Y519</f>
        <v>0</v>
      </c>
      <c r="Z24" s="2393">
        <f>'Saisie données file act.'!Z519</f>
        <v>0</v>
      </c>
      <c r="AA24" s="2393">
        <f>'Saisie données file act.'!AA519</f>
        <v>0</v>
      </c>
      <c r="AB24" s="2393">
        <f>'Saisie données file act.'!AB519</f>
        <v>0</v>
      </c>
      <c r="AC24" s="2393">
        <f>'Saisie données file act.'!AC519</f>
        <v>0</v>
      </c>
      <c r="AD24" s="2393">
        <f>'Saisie données file act.'!AD519</f>
        <v>0</v>
      </c>
      <c r="AE24" s="2393">
        <f>'Saisie données file act.'!AE519</f>
        <v>0</v>
      </c>
      <c r="AF24" s="2393">
        <f>'Saisie données file act.'!AF519</f>
        <v>0</v>
      </c>
      <c r="AG24" s="2400">
        <f>'Saisie données file act.'!AG519</f>
        <v>0</v>
      </c>
      <c r="AH24" s="2395">
        <f>'Saisie données file act.'!AH519</f>
        <v>0</v>
      </c>
    </row>
    <row r="25" spans="3:34" x14ac:dyDescent="0.2">
      <c r="C25" s="3313"/>
      <c r="D25" s="2424">
        <f>'Saisie données file act.'!D521</f>
        <v>0</v>
      </c>
      <c r="E25" s="2406">
        <f>'Saisie données file act.'!E521</f>
        <v>0</v>
      </c>
      <c r="F25" s="2393">
        <f>'Saisie données file act.'!F521</f>
        <v>0</v>
      </c>
      <c r="G25" s="2393">
        <f>'Saisie données file act.'!G521</f>
        <v>0</v>
      </c>
      <c r="H25" s="2393">
        <f>'Saisie données file act.'!H521</f>
        <v>0</v>
      </c>
      <c r="I25" s="2393">
        <f>'Saisie données file act.'!I521</f>
        <v>0</v>
      </c>
      <c r="J25" s="2393">
        <f>'Saisie données file act.'!J521</f>
        <v>0</v>
      </c>
      <c r="K25" s="2393">
        <f>'Saisie données file act.'!K521</f>
        <v>0</v>
      </c>
      <c r="L25" s="2400">
        <f>'Saisie données file act.'!L521</f>
        <v>0</v>
      </c>
      <c r="M25" s="2406">
        <f>'Saisie données file act.'!M521</f>
        <v>0</v>
      </c>
      <c r="N25" s="2393">
        <f>'Saisie données file act.'!N521</f>
        <v>0</v>
      </c>
      <c r="O25" s="2393">
        <f>'Saisie données file act.'!O521</f>
        <v>0</v>
      </c>
      <c r="P25" s="2393">
        <f>'Saisie données file act.'!P521</f>
        <v>0</v>
      </c>
      <c r="Q25" s="2393">
        <f>'Saisie données file act.'!Q521</f>
        <v>0</v>
      </c>
      <c r="R25" s="2393">
        <f>'Saisie données file act.'!R521</f>
        <v>0</v>
      </c>
      <c r="S25" s="2393">
        <f>'Saisie données file act.'!S521</f>
        <v>0</v>
      </c>
      <c r="T25" s="2393">
        <f>'Saisie données file act.'!T521</f>
        <v>0</v>
      </c>
      <c r="U25" s="2393">
        <f>'Saisie données file act.'!U521</f>
        <v>0</v>
      </c>
      <c r="V25" s="2393">
        <f>'Saisie données file act.'!V521</f>
        <v>0</v>
      </c>
      <c r="W25" s="2393">
        <f>'Saisie données file act.'!W521</f>
        <v>0</v>
      </c>
      <c r="X25" s="2393">
        <f>'Saisie données file act.'!X521</f>
        <v>0</v>
      </c>
      <c r="Y25" s="2393">
        <f>'Saisie données file act.'!Y521</f>
        <v>0</v>
      </c>
      <c r="Z25" s="2393">
        <f>'Saisie données file act.'!Z521</f>
        <v>0</v>
      </c>
      <c r="AA25" s="2393">
        <f>'Saisie données file act.'!AA521</f>
        <v>0</v>
      </c>
      <c r="AB25" s="2393">
        <f>'Saisie données file act.'!AB521</f>
        <v>0</v>
      </c>
      <c r="AC25" s="2393">
        <f>'Saisie données file act.'!AC521</f>
        <v>0</v>
      </c>
      <c r="AD25" s="2393">
        <f>'Saisie données file act.'!AD521</f>
        <v>0</v>
      </c>
      <c r="AE25" s="2393">
        <f>'Saisie données file act.'!AE521</f>
        <v>0</v>
      </c>
      <c r="AF25" s="2393">
        <f>'Saisie données file act.'!AF521</f>
        <v>0</v>
      </c>
      <c r="AG25" s="2400">
        <f>'Saisie données file act.'!AG521</f>
        <v>0</v>
      </c>
      <c r="AH25" s="2395">
        <f>'Saisie données file act.'!AH521</f>
        <v>0</v>
      </c>
    </row>
    <row r="26" spans="3:34" x14ac:dyDescent="0.2">
      <c r="C26" s="3313"/>
      <c r="D26" s="2424">
        <f>'Saisie données file act.'!D522</f>
        <v>0</v>
      </c>
      <c r="E26" s="2406">
        <f>'Saisie données file act.'!E522</f>
        <v>0</v>
      </c>
      <c r="F26" s="2393">
        <f>'Saisie données file act.'!F522</f>
        <v>0</v>
      </c>
      <c r="G26" s="2393">
        <f>'Saisie données file act.'!G522</f>
        <v>0</v>
      </c>
      <c r="H26" s="2393">
        <f>'Saisie données file act.'!H522</f>
        <v>0</v>
      </c>
      <c r="I26" s="2393">
        <f>'Saisie données file act.'!I522</f>
        <v>0</v>
      </c>
      <c r="J26" s="2393">
        <f>'Saisie données file act.'!J522</f>
        <v>0</v>
      </c>
      <c r="K26" s="2393">
        <f>'Saisie données file act.'!K522</f>
        <v>0</v>
      </c>
      <c r="L26" s="2400">
        <f>'Saisie données file act.'!L522</f>
        <v>0</v>
      </c>
      <c r="M26" s="2406">
        <f>'Saisie données file act.'!M522</f>
        <v>0</v>
      </c>
      <c r="N26" s="2393">
        <f>'Saisie données file act.'!N522</f>
        <v>0</v>
      </c>
      <c r="O26" s="2393">
        <f>'Saisie données file act.'!O522</f>
        <v>0</v>
      </c>
      <c r="P26" s="2393">
        <f>'Saisie données file act.'!P522</f>
        <v>0</v>
      </c>
      <c r="Q26" s="2393">
        <f>'Saisie données file act.'!Q522</f>
        <v>0</v>
      </c>
      <c r="R26" s="2393">
        <f>'Saisie données file act.'!R522</f>
        <v>0</v>
      </c>
      <c r="S26" s="2393">
        <f>'Saisie données file act.'!S522</f>
        <v>0</v>
      </c>
      <c r="T26" s="2393">
        <f>'Saisie données file act.'!T522</f>
        <v>0</v>
      </c>
      <c r="U26" s="2393">
        <f>'Saisie données file act.'!U522</f>
        <v>0</v>
      </c>
      <c r="V26" s="2393">
        <f>'Saisie données file act.'!V522</f>
        <v>0</v>
      </c>
      <c r="W26" s="2393">
        <f>'Saisie données file act.'!W522</f>
        <v>0</v>
      </c>
      <c r="X26" s="2393">
        <f>'Saisie données file act.'!X522</f>
        <v>0</v>
      </c>
      <c r="Y26" s="2393">
        <f>'Saisie données file act.'!Y522</f>
        <v>0</v>
      </c>
      <c r="Z26" s="2393">
        <f>'Saisie données file act.'!Z522</f>
        <v>0</v>
      </c>
      <c r="AA26" s="2393">
        <f>'Saisie données file act.'!AA522</f>
        <v>0</v>
      </c>
      <c r="AB26" s="2393">
        <f>'Saisie données file act.'!AB522</f>
        <v>0</v>
      </c>
      <c r="AC26" s="2393">
        <f>'Saisie données file act.'!AC522</f>
        <v>0</v>
      </c>
      <c r="AD26" s="2393">
        <f>'Saisie données file act.'!AD522</f>
        <v>0</v>
      </c>
      <c r="AE26" s="2393">
        <f>'Saisie données file act.'!AE522</f>
        <v>0</v>
      </c>
      <c r="AF26" s="2393">
        <f>'Saisie données file act.'!AF522</f>
        <v>0</v>
      </c>
      <c r="AG26" s="2400">
        <f>'Saisie données file act.'!AG522</f>
        <v>0</v>
      </c>
      <c r="AH26" s="2395">
        <f>'Saisie données file act.'!AH522</f>
        <v>0</v>
      </c>
    </row>
    <row r="27" spans="3:34" x14ac:dyDescent="0.2">
      <c r="C27" s="3313"/>
      <c r="D27" s="2424">
        <f>'Saisie données file act.'!D523</f>
        <v>0</v>
      </c>
      <c r="E27" s="2406">
        <f>'Saisie données file act.'!E523</f>
        <v>0</v>
      </c>
      <c r="F27" s="2393">
        <f>'Saisie données file act.'!F523</f>
        <v>0</v>
      </c>
      <c r="G27" s="2393">
        <f>'Saisie données file act.'!G523</f>
        <v>0</v>
      </c>
      <c r="H27" s="2393">
        <f>'Saisie données file act.'!H523</f>
        <v>0</v>
      </c>
      <c r="I27" s="2393">
        <f>'Saisie données file act.'!I523</f>
        <v>0</v>
      </c>
      <c r="J27" s="2393">
        <f>'Saisie données file act.'!J523</f>
        <v>0</v>
      </c>
      <c r="K27" s="2393">
        <f>'Saisie données file act.'!K523</f>
        <v>0</v>
      </c>
      <c r="L27" s="2400">
        <f>'Saisie données file act.'!L523</f>
        <v>0</v>
      </c>
      <c r="M27" s="2406">
        <f>'Saisie données file act.'!M523</f>
        <v>0</v>
      </c>
      <c r="N27" s="2393">
        <f>'Saisie données file act.'!N523</f>
        <v>0</v>
      </c>
      <c r="O27" s="2393">
        <f>'Saisie données file act.'!O523</f>
        <v>0</v>
      </c>
      <c r="P27" s="2393">
        <f>'Saisie données file act.'!P523</f>
        <v>0</v>
      </c>
      <c r="Q27" s="2393">
        <f>'Saisie données file act.'!Q523</f>
        <v>0</v>
      </c>
      <c r="R27" s="2393">
        <f>'Saisie données file act.'!R523</f>
        <v>0</v>
      </c>
      <c r="S27" s="2393">
        <f>'Saisie données file act.'!S523</f>
        <v>0</v>
      </c>
      <c r="T27" s="2393">
        <f>'Saisie données file act.'!T523</f>
        <v>0</v>
      </c>
      <c r="U27" s="2393">
        <f>'Saisie données file act.'!U523</f>
        <v>0</v>
      </c>
      <c r="V27" s="2393">
        <f>'Saisie données file act.'!V523</f>
        <v>0</v>
      </c>
      <c r="W27" s="2393">
        <f>'Saisie données file act.'!W523</f>
        <v>0</v>
      </c>
      <c r="X27" s="2393">
        <f>'Saisie données file act.'!X523</f>
        <v>0</v>
      </c>
      <c r="Y27" s="2393">
        <f>'Saisie données file act.'!Y523</f>
        <v>0</v>
      </c>
      <c r="Z27" s="2393">
        <f>'Saisie données file act.'!Z523</f>
        <v>0</v>
      </c>
      <c r="AA27" s="2393">
        <f>'Saisie données file act.'!AA523</f>
        <v>0</v>
      </c>
      <c r="AB27" s="2393">
        <f>'Saisie données file act.'!AB523</f>
        <v>0</v>
      </c>
      <c r="AC27" s="2393">
        <f>'Saisie données file act.'!AC523</f>
        <v>0</v>
      </c>
      <c r="AD27" s="2393">
        <f>'Saisie données file act.'!AD523</f>
        <v>0</v>
      </c>
      <c r="AE27" s="2393">
        <f>'Saisie données file act.'!AE523</f>
        <v>0</v>
      </c>
      <c r="AF27" s="2393">
        <f>'Saisie données file act.'!AF523</f>
        <v>0</v>
      </c>
      <c r="AG27" s="2400">
        <f>'Saisie données file act.'!AG523</f>
        <v>0</v>
      </c>
      <c r="AH27" s="2395">
        <f>'Saisie données file act.'!AH523</f>
        <v>0</v>
      </c>
    </row>
    <row r="28" spans="3:34" x14ac:dyDescent="0.2">
      <c r="C28" s="3313"/>
      <c r="D28" s="2424">
        <f>'Saisie données file act.'!D524</f>
        <v>0</v>
      </c>
      <c r="E28" s="2406">
        <f>'Saisie données file act.'!E524</f>
        <v>0</v>
      </c>
      <c r="F28" s="2393">
        <f>'Saisie données file act.'!F524</f>
        <v>0</v>
      </c>
      <c r="G28" s="2393">
        <f>'Saisie données file act.'!G524</f>
        <v>0</v>
      </c>
      <c r="H28" s="2393">
        <f>'Saisie données file act.'!H524</f>
        <v>0</v>
      </c>
      <c r="I28" s="2393">
        <f>'Saisie données file act.'!I524</f>
        <v>0</v>
      </c>
      <c r="J28" s="2393">
        <f>'Saisie données file act.'!J524</f>
        <v>0</v>
      </c>
      <c r="K28" s="2393">
        <f>'Saisie données file act.'!K524</f>
        <v>0</v>
      </c>
      <c r="L28" s="2400">
        <f>'Saisie données file act.'!L524</f>
        <v>0</v>
      </c>
      <c r="M28" s="2406">
        <f>'Saisie données file act.'!M524</f>
        <v>0</v>
      </c>
      <c r="N28" s="2393">
        <f>'Saisie données file act.'!N524</f>
        <v>0</v>
      </c>
      <c r="O28" s="2393">
        <f>'Saisie données file act.'!O524</f>
        <v>0</v>
      </c>
      <c r="P28" s="2393">
        <f>'Saisie données file act.'!P524</f>
        <v>0</v>
      </c>
      <c r="Q28" s="2393">
        <f>'Saisie données file act.'!Q524</f>
        <v>0</v>
      </c>
      <c r="R28" s="2393">
        <f>'Saisie données file act.'!R524</f>
        <v>0</v>
      </c>
      <c r="S28" s="2393">
        <f>'Saisie données file act.'!S524</f>
        <v>0</v>
      </c>
      <c r="T28" s="2393">
        <f>'Saisie données file act.'!T524</f>
        <v>0</v>
      </c>
      <c r="U28" s="2393">
        <f>'Saisie données file act.'!U524</f>
        <v>0</v>
      </c>
      <c r="V28" s="2393">
        <f>'Saisie données file act.'!V524</f>
        <v>0</v>
      </c>
      <c r="W28" s="2393">
        <f>'Saisie données file act.'!W524</f>
        <v>0</v>
      </c>
      <c r="X28" s="2393">
        <f>'Saisie données file act.'!X524</f>
        <v>0</v>
      </c>
      <c r="Y28" s="2393">
        <f>'Saisie données file act.'!Y524</f>
        <v>0</v>
      </c>
      <c r="Z28" s="2393">
        <f>'Saisie données file act.'!Z524</f>
        <v>0</v>
      </c>
      <c r="AA28" s="2393">
        <f>'Saisie données file act.'!AA524</f>
        <v>0</v>
      </c>
      <c r="AB28" s="2393">
        <f>'Saisie données file act.'!AB524</f>
        <v>0</v>
      </c>
      <c r="AC28" s="2393">
        <f>'Saisie données file act.'!AC524</f>
        <v>0</v>
      </c>
      <c r="AD28" s="2393">
        <f>'Saisie données file act.'!AD524</f>
        <v>0</v>
      </c>
      <c r="AE28" s="2393">
        <f>'Saisie données file act.'!AE524</f>
        <v>0</v>
      </c>
      <c r="AF28" s="2393">
        <f>'Saisie données file act.'!AF524</f>
        <v>0</v>
      </c>
      <c r="AG28" s="2400">
        <f>'Saisie données file act.'!AG524</f>
        <v>0</v>
      </c>
      <c r="AH28" s="2395">
        <f>'Saisie données file act.'!AH524</f>
        <v>0</v>
      </c>
    </row>
    <row r="29" spans="3:34" x14ac:dyDescent="0.2">
      <c r="C29" s="3313"/>
      <c r="D29" s="2424">
        <f>'Saisie données file act.'!D525</f>
        <v>0</v>
      </c>
      <c r="E29" s="2406">
        <f>'Saisie données file act.'!E525</f>
        <v>0</v>
      </c>
      <c r="F29" s="2393">
        <f>'Saisie données file act.'!F525</f>
        <v>0</v>
      </c>
      <c r="G29" s="2393">
        <f>'Saisie données file act.'!G525</f>
        <v>0</v>
      </c>
      <c r="H29" s="2393">
        <f>'Saisie données file act.'!H525</f>
        <v>0</v>
      </c>
      <c r="I29" s="2393">
        <f>'Saisie données file act.'!I525</f>
        <v>0</v>
      </c>
      <c r="J29" s="2393">
        <f>'Saisie données file act.'!J525</f>
        <v>0</v>
      </c>
      <c r="K29" s="2393">
        <f>'Saisie données file act.'!K525</f>
        <v>0</v>
      </c>
      <c r="L29" s="2400">
        <f>'Saisie données file act.'!L525</f>
        <v>0</v>
      </c>
      <c r="M29" s="2406">
        <f>'Saisie données file act.'!M525</f>
        <v>0</v>
      </c>
      <c r="N29" s="2393">
        <f>'Saisie données file act.'!N525</f>
        <v>0</v>
      </c>
      <c r="O29" s="2393">
        <f>'Saisie données file act.'!O525</f>
        <v>0</v>
      </c>
      <c r="P29" s="2393">
        <f>'Saisie données file act.'!P525</f>
        <v>0</v>
      </c>
      <c r="Q29" s="2393">
        <f>'Saisie données file act.'!Q525</f>
        <v>0</v>
      </c>
      <c r="R29" s="2393">
        <f>'Saisie données file act.'!R525</f>
        <v>0</v>
      </c>
      <c r="S29" s="2393">
        <f>'Saisie données file act.'!S525</f>
        <v>0</v>
      </c>
      <c r="T29" s="2393">
        <f>'Saisie données file act.'!T525</f>
        <v>0</v>
      </c>
      <c r="U29" s="2393">
        <f>'Saisie données file act.'!U525</f>
        <v>0</v>
      </c>
      <c r="V29" s="2393">
        <f>'Saisie données file act.'!V525</f>
        <v>0</v>
      </c>
      <c r="W29" s="2393">
        <f>'Saisie données file act.'!W525</f>
        <v>0</v>
      </c>
      <c r="X29" s="2393">
        <f>'Saisie données file act.'!X525</f>
        <v>0</v>
      </c>
      <c r="Y29" s="2393">
        <f>'Saisie données file act.'!Y525</f>
        <v>0</v>
      </c>
      <c r="Z29" s="2393">
        <f>'Saisie données file act.'!Z525</f>
        <v>0</v>
      </c>
      <c r="AA29" s="2393">
        <f>'Saisie données file act.'!AA525</f>
        <v>0</v>
      </c>
      <c r="AB29" s="2393">
        <f>'Saisie données file act.'!AB525</f>
        <v>0</v>
      </c>
      <c r="AC29" s="2393">
        <f>'Saisie données file act.'!AC525</f>
        <v>0</v>
      </c>
      <c r="AD29" s="2393">
        <f>'Saisie données file act.'!AD525</f>
        <v>0</v>
      </c>
      <c r="AE29" s="2393">
        <f>'Saisie données file act.'!AE525</f>
        <v>0</v>
      </c>
      <c r="AF29" s="2393">
        <f>'Saisie données file act.'!AF525</f>
        <v>0</v>
      </c>
      <c r="AG29" s="2400">
        <f>'Saisie données file act.'!AG525</f>
        <v>0</v>
      </c>
      <c r="AH29" s="2395">
        <f>'Saisie données file act.'!AH525</f>
        <v>0</v>
      </c>
    </row>
    <row r="30" spans="3:34" x14ac:dyDescent="0.2">
      <c r="C30" s="3313"/>
      <c r="D30" s="2424">
        <f>'Saisie données file act.'!D526</f>
        <v>0</v>
      </c>
      <c r="E30" s="2406">
        <f>'Saisie données file act.'!E526</f>
        <v>0</v>
      </c>
      <c r="F30" s="2393">
        <f>'Saisie données file act.'!F526</f>
        <v>0</v>
      </c>
      <c r="G30" s="2393">
        <f>'Saisie données file act.'!G526</f>
        <v>0</v>
      </c>
      <c r="H30" s="2393">
        <f>'Saisie données file act.'!H526</f>
        <v>0</v>
      </c>
      <c r="I30" s="2393">
        <f>'Saisie données file act.'!I526</f>
        <v>0</v>
      </c>
      <c r="J30" s="2393">
        <f>'Saisie données file act.'!J526</f>
        <v>0</v>
      </c>
      <c r="K30" s="2393">
        <f>'Saisie données file act.'!K526</f>
        <v>0</v>
      </c>
      <c r="L30" s="2400">
        <f>'Saisie données file act.'!L526</f>
        <v>0</v>
      </c>
      <c r="M30" s="2406">
        <f>'Saisie données file act.'!M526</f>
        <v>0</v>
      </c>
      <c r="N30" s="2393">
        <f>'Saisie données file act.'!N526</f>
        <v>0</v>
      </c>
      <c r="O30" s="2393">
        <f>'Saisie données file act.'!O526</f>
        <v>0</v>
      </c>
      <c r="P30" s="2393">
        <f>'Saisie données file act.'!P526</f>
        <v>0</v>
      </c>
      <c r="Q30" s="2393">
        <f>'Saisie données file act.'!Q526</f>
        <v>0</v>
      </c>
      <c r="R30" s="2393">
        <f>'Saisie données file act.'!R526</f>
        <v>0</v>
      </c>
      <c r="S30" s="2393">
        <f>'Saisie données file act.'!S526</f>
        <v>0</v>
      </c>
      <c r="T30" s="2393">
        <f>'Saisie données file act.'!T526</f>
        <v>0</v>
      </c>
      <c r="U30" s="2393">
        <f>'Saisie données file act.'!U526</f>
        <v>0</v>
      </c>
      <c r="V30" s="2393">
        <f>'Saisie données file act.'!V526</f>
        <v>0</v>
      </c>
      <c r="W30" s="2393">
        <f>'Saisie données file act.'!W526</f>
        <v>0</v>
      </c>
      <c r="X30" s="2393">
        <f>'Saisie données file act.'!X526</f>
        <v>0</v>
      </c>
      <c r="Y30" s="2393">
        <f>'Saisie données file act.'!Y526</f>
        <v>0</v>
      </c>
      <c r="Z30" s="2393">
        <f>'Saisie données file act.'!Z526</f>
        <v>0</v>
      </c>
      <c r="AA30" s="2393">
        <f>'Saisie données file act.'!AA526</f>
        <v>0</v>
      </c>
      <c r="AB30" s="2393">
        <f>'Saisie données file act.'!AB526</f>
        <v>0</v>
      </c>
      <c r="AC30" s="2393">
        <f>'Saisie données file act.'!AC526</f>
        <v>0</v>
      </c>
      <c r="AD30" s="2393">
        <f>'Saisie données file act.'!AD526</f>
        <v>0</v>
      </c>
      <c r="AE30" s="2393">
        <f>'Saisie données file act.'!AE526</f>
        <v>0</v>
      </c>
      <c r="AF30" s="2393">
        <f>'Saisie données file act.'!AF526</f>
        <v>0</v>
      </c>
      <c r="AG30" s="2400">
        <f>'Saisie données file act.'!AG526</f>
        <v>0</v>
      </c>
      <c r="AH30" s="2395">
        <f>'Saisie données file act.'!AH526</f>
        <v>0</v>
      </c>
    </row>
    <row r="31" spans="3:34" x14ac:dyDescent="0.2">
      <c r="C31" s="3313"/>
      <c r="D31" s="2424">
        <f>'Saisie données file act.'!D527</f>
        <v>0</v>
      </c>
      <c r="E31" s="2406">
        <f>'Saisie données file act.'!E527</f>
        <v>0</v>
      </c>
      <c r="F31" s="2393">
        <f>'Saisie données file act.'!F527</f>
        <v>0</v>
      </c>
      <c r="G31" s="2393">
        <f>'Saisie données file act.'!G527</f>
        <v>0</v>
      </c>
      <c r="H31" s="2393">
        <f>'Saisie données file act.'!H527</f>
        <v>0</v>
      </c>
      <c r="I31" s="2393">
        <f>'Saisie données file act.'!I527</f>
        <v>0</v>
      </c>
      <c r="J31" s="2393">
        <f>'Saisie données file act.'!J527</f>
        <v>0</v>
      </c>
      <c r="K31" s="2393">
        <f>'Saisie données file act.'!K527</f>
        <v>0</v>
      </c>
      <c r="L31" s="2400">
        <f>'Saisie données file act.'!L527</f>
        <v>0</v>
      </c>
      <c r="M31" s="2406">
        <f>'Saisie données file act.'!M527</f>
        <v>0</v>
      </c>
      <c r="N31" s="2393">
        <f>'Saisie données file act.'!N527</f>
        <v>0</v>
      </c>
      <c r="O31" s="2393">
        <f>'Saisie données file act.'!O527</f>
        <v>0</v>
      </c>
      <c r="P31" s="2393">
        <f>'Saisie données file act.'!P527</f>
        <v>0</v>
      </c>
      <c r="Q31" s="2393">
        <f>'Saisie données file act.'!Q527</f>
        <v>0</v>
      </c>
      <c r="R31" s="2393">
        <f>'Saisie données file act.'!R527</f>
        <v>0</v>
      </c>
      <c r="S31" s="2393">
        <f>'Saisie données file act.'!S527</f>
        <v>0</v>
      </c>
      <c r="T31" s="2393">
        <f>'Saisie données file act.'!T527</f>
        <v>0</v>
      </c>
      <c r="U31" s="2393">
        <f>'Saisie données file act.'!U527</f>
        <v>0</v>
      </c>
      <c r="V31" s="2393">
        <f>'Saisie données file act.'!V527</f>
        <v>0</v>
      </c>
      <c r="W31" s="2393">
        <f>'Saisie données file act.'!W527</f>
        <v>0</v>
      </c>
      <c r="X31" s="2393">
        <f>'Saisie données file act.'!X527</f>
        <v>0</v>
      </c>
      <c r="Y31" s="2393">
        <f>'Saisie données file act.'!Y527</f>
        <v>0</v>
      </c>
      <c r="Z31" s="2393">
        <f>'Saisie données file act.'!Z527</f>
        <v>0</v>
      </c>
      <c r="AA31" s="2393">
        <f>'Saisie données file act.'!AA527</f>
        <v>0</v>
      </c>
      <c r="AB31" s="2393">
        <f>'Saisie données file act.'!AB527</f>
        <v>0</v>
      </c>
      <c r="AC31" s="2393">
        <f>'Saisie données file act.'!AC527</f>
        <v>0</v>
      </c>
      <c r="AD31" s="2393">
        <f>'Saisie données file act.'!AD527</f>
        <v>0</v>
      </c>
      <c r="AE31" s="2393">
        <f>'Saisie données file act.'!AE527</f>
        <v>0</v>
      </c>
      <c r="AF31" s="2393">
        <f>'Saisie données file act.'!AF527</f>
        <v>0</v>
      </c>
      <c r="AG31" s="2400">
        <f>'Saisie données file act.'!AG527</f>
        <v>0</v>
      </c>
      <c r="AH31" s="2395">
        <f>'Saisie données file act.'!AH527</f>
        <v>0</v>
      </c>
    </row>
    <row r="32" spans="3:34" x14ac:dyDescent="0.2">
      <c r="C32" s="3313"/>
      <c r="D32" s="2424">
        <f>'Saisie données file act.'!D528</f>
        <v>0</v>
      </c>
      <c r="E32" s="2406">
        <f>'Saisie données file act.'!E528</f>
        <v>0</v>
      </c>
      <c r="F32" s="2393">
        <f>'Saisie données file act.'!F528</f>
        <v>0</v>
      </c>
      <c r="G32" s="2393">
        <f>'Saisie données file act.'!G528</f>
        <v>0</v>
      </c>
      <c r="H32" s="2393">
        <f>'Saisie données file act.'!H528</f>
        <v>0</v>
      </c>
      <c r="I32" s="2393">
        <f>'Saisie données file act.'!I528</f>
        <v>0</v>
      </c>
      <c r="J32" s="2393">
        <f>'Saisie données file act.'!J528</f>
        <v>0</v>
      </c>
      <c r="K32" s="2393">
        <f>'Saisie données file act.'!K528</f>
        <v>0</v>
      </c>
      <c r="L32" s="2400">
        <f>'Saisie données file act.'!L528</f>
        <v>0</v>
      </c>
      <c r="M32" s="2406">
        <f>'Saisie données file act.'!M528</f>
        <v>0</v>
      </c>
      <c r="N32" s="2393">
        <f>'Saisie données file act.'!N528</f>
        <v>0</v>
      </c>
      <c r="O32" s="2393">
        <f>'Saisie données file act.'!O528</f>
        <v>0</v>
      </c>
      <c r="P32" s="2393">
        <f>'Saisie données file act.'!P528</f>
        <v>0</v>
      </c>
      <c r="Q32" s="2393">
        <f>'Saisie données file act.'!Q528</f>
        <v>0</v>
      </c>
      <c r="R32" s="2393">
        <f>'Saisie données file act.'!R528</f>
        <v>0</v>
      </c>
      <c r="S32" s="2393">
        <f>'Saisie données file act.'!S528</f>
        <v>0</v>
      </c>
      <c r="T32" s="2393">
        <f>'Saisie données file act.'!T528</f>
        <v>0</v>
      </c>
      <c r="U32" s="2393">
        <f>'Saisie données file act.'!U528</f>
        <v>0</v>
      </c>
      <c r="V32" s="2393">
        <f>'Saisie données file act.'!V528</f>
        <v>0</v>
      </c>
      <c r="W32" s="2393">
        <f>'Saisie données file act.'!W528</f>
        <v>0</v>
      </c>
      <c r="X32" s="2393">
        <f>'Saisie données file act.'!X528</f>
        <v>0</v>
      </c>
      <c r="Y32" s="2393">
        <f>'Saisie données file act.'!Y528</f>
        <v>0</v>
      </c>
      <c r="Z32" s="2393">
        <f>'Saisie données file act.'!Z528</f>
        <v>0</v>
      </c>
      <c r="AA32" s="2393">
        <f>'Saisie données file act.'!AA528</f>
        <v>0</v>
      </c>
      <c r="AB32" s="2393">
        <f>'Saisie données file act.'!AB528</f>
        <v>0</v>
      </c>
      <c r="AC32" s="2393">
        <f>'Saisie données file act.'!AC528</f>
        <v>0</v>
      </c>
      <c r="AD32" s="2393">
        <f>'Saisie données file act.'!AD528</f>
        <v>0</v>
      </c>
      <c r="AE32" s="2393">
        <f>'Saisie données file act.'!AE528</f>
        <v>0</v>
      </c>
      <c r="AF32" s="2393">
        <f>'Saisie données file act.'!AF528</f>
        <v>0</v>
      </c>
      <c r="AG32" s="2400">
        <f>'Saisie données file act.'!AG528</f>
        <v>0</v>
      </c>
      <c r="AH32" s="2395">
        <f>'Saisie données file act.'!AH528</f>
        <v>0</v>
      </c>
    </row>
    <row r="33" spans="2:34" ht="12.75" thickBot="1" x14ac:dyDescent="0.25">
      <c r="C33" s="3314"/>
      <c r="D33" s="2425">
        <f>'Saisie données file act.'!D529</f>
        <v>0</v>
      </c>
      <c r="E33" s="2407">
        <f>'Saisie données file act.'!E529</f>
        <v>0</v>
      </c>
      <c r="F33" s="2394">
        <f>'Saisie données file act.'!F529</f>
        <v>0</v>
      </c>
      <c r="G33" s="2394">
        <f>'Saisie données file act.'!G529</f>
        <v>0</v>
      </c>
      <c r="H33" s="2394">
        <f>'Saisie données file act.'!H529</f>
        <v>0</v>
      </c>
      <c r="I33" s="2394">
        <f>'Saisie données file act.'!I529</f>
        <v>0</v>
      </c>
      <c r="J33" s="2394">
        <f>'Saisie données file act.'!J529</f>
        <v>0</v>
      </c>
      <c r="K33" s="2394">
        <f>'Saisie données file act.'!K529</f>
        <v>0</v>
      </c>
      <c r="L33" s="2401">
        <f>'Saisie données file act.'!L529</f>
        <v>0</v>
      </c>
      <c r="M33" s="2407">
        <f>'Saisie données file act.'!M529</f>
        <v>0</v>
      </c>
      <c r="N33" s="2394">
        <f>'Saisie données file act.'!N529</f>
        <v>0</v>
      </c>
      <c r="O33" s="2394">
        <f>'Saisie données file act.'!O529</f>
        <v>0</v>
      </c>
      <c r="P33" s="2394">
        <f>'Saisie données file act.'!P529</f>
        <v>0</v>
      </c>
      <c r="Q33" s="2394">
        <f>'Saisie données file act.'!Q529</f>
        <v>0</v>
      </c>
      <c r="R33" s="2394">
        <f>'Saisie données file act.'!R529</f>
        <v>0</v>
      </c>
      <c r="S33" s="2394">
        <f>'Saisie données file act.'!S529</f>
        <v>0</v>
      </c>
      <c r="T33" s="2394">
        <f>'Saisie données file act.'!T529</f>
        <v>0</v>
      </c>
      <c r="U33" s="2394">
        <f>'Saisie données file act.'!U529</f>
        <v>0</v>
      </c>
      <c r="V33" s="2394">
        <f>'Saisie données file act.'!V529</f>
        <v>0</v>
      </c>
      <c r="W33" s="2394">
        <f>'Saisie données file act.'!W529</f>
        <v>0</v>
      </c>
      <c r="X33" s="2394">
        <f>'Saisie données file act.'!X529</f>
        <v>0</v>
      </c>
      <c r="Y33" s="2394">
        <f>'Saisie données file act.'!Y529</f>
        <v>0</v>
      </c>
      <c r="Z33" s="2394">
        <f>'Saisie données file act.'!Z529</f>
        <v>0</v>
      </c>
      <c r="AA33" s="2394">
        <f>'Saisie données file act.'!AA529</f>
        <v>0</v>
      </c>
      <c r="AB33" s="2394">
        <f>'Saisie données file act.'!AB529</f>
        <v>0</v>
      </c>
      <c r="AC33" s="2394">
        <f>'Saisie données file act.'!AC529</f>
        <v>0</v>
      </c>
      <c r="AD33" s="2394">
        <f>'Saisie données file act.'!AD529</f>
        <v>0</v>
      </c>
      <c r="AE33" s="2394">
        <f>'Saisie données file act.'!AE529</f>
        <v>0</v>
      </c>
      <c r="AF33" s="2394">
        <f>'Saisie données file act.'!AF529</f>
        <v>0</v>
      </c>
      <c r="AG33" s="2401">
        <f>'Saisie données file act.'!AG529</f>
        <v>0</v>
      </c>
      <c r="AH33" s="2403">
        <f>'Saisie données file act.'!AH529</f>
        <v>0</v>
      </c>
    </row>
    <row r="35" spans="2:34" ht="12.75" thickBot="1" x14ac:dyDescent="0.25"/>
    <row r="36" spans="2:34" ht="12.75" thickBot="1" x14ac:dyDescent="0.25">
      <c r="B36" s="2392" t="str">
        <f>'Saisie données file act.'!B532</f>
        <v>Tranche 10 - 14,9 kg</v>
      </c>
      <c r="C36" s="1302"/>
      <c r="D36" s="1302"/>
      <c r="E36" s="1302"/>
      <c r="F36" s="1303"/>
    </row>
    <row r="37" spans="2:34" ht="12.75" thickBot="1" x14ac:dyDescent="0.25">
      <c r="B37" s="1299"/>
    </row>
    <row r="38" spans="2:34" ht="12.75" thickBot="1" x14ac:dyDescent="0.25">
      <c r="D38" s="1300">
        <f>'Saisie données file act.'!D534</f>
        <v>0</v>
      </c>
      <c r="E38" s="1301" t="str">
        <f>'Saisie données file act.'!E534</f>
        <v>Solutions buvables</v>
      </c>
      <c r="F38" s="2404"/>
      <c r="G38" s="2404"/>
      <c r="H38" s="2404"/>
      <c r="I38" s="2404"/>
      <c r="J38" s="2404"/>
      <c r="K38" s="2404"/>
      <c r="L38" s="2405"/>
      <c r="M38" s="1301" t="str">
        <f>'Saisie données file act.'!M534</f>
        <v>Comprimés</v>
      </c>
      <c r="N38" s="2404"/>
      <c r="O38" s="2404"/>
      <c r="P38" s="2404"/>
      <c r="Q38" s="2404"/>
      <c r="R38" s="2404"/>
      <c r="S38" s="2404" t="str">
        <f>'Saisie données file act.'!M504</f>
        <v>Comprimés</v>
      </c>
      <c r="T38" s="2404"/>
      <c r="U38" s="2404"/>
      <c r="V38" s="2404"/>
      <c r="W38" s="2404"/>
      <c r="X38" s="2404"/>
      <c r="Y38" s="2404"/>
      <c r="Z38" s="2404"/>
      <c r="AA38" s="2404"/>
      <c r="AB38" s="2404"/>
      <c r="AC38" s="2404"/>
      <c r="AD38" s="2404"/>
      <c r="AE38" s="2404"/>
      <c r="AF38" s="2404"/>
      <c r="AG38" s="2405"/>
    </row>
    <row r="39" spans="2:34" s="1307" customFormat="1" ht="36" x14ac:dyDescent="0.2">
      <c r="B39" s="2412"/>
      <c r="C39" s="2413"/>
      <c r="D39" s="2411" t="str">
        <f>'Saisie données file act.'!D535</f>
        <v>Nb de boites / mois pour l'ensemble des patients</v>
      </c>
      <c r="E39" s="2414" t="str">
        <f>'Saisie données file act.'!E535</f>
        <v>AZT</v>
      </c>
      <c r="F39" s="2415" t="str">
        <f>'Saisie données file act.'!F535</f>
        <v>D4T</v>
      </c>
      <c r="G39" s="2415" t="str">
        <f>'Saisie données file act.'!G535</f>
        <v>3TC</v>
      </c>
      <c r="H39" s="2415" t="str">
        <f>'Saisie données file act.'!H535</f>
        <v>ABC</v>
      </c>
      <c r="I39" s="2415" t="str">
        <f>'Saisie données file act.'!I535</f>
        <v>DDI</v>
      </c>
      <c r="J39" s="2415" t="str">
        <f>'Saisie données file act.'!J535</f>
        <v>NVP</v>
      </c>
      <c r="K39" s="2415" t="str">
        <f>'Saisie données file act.'!K535</f>
        <v>EFV</v>
      </c>
      <c r="L39" s="2416" t="str">
        <f>'Saisie données file act.'!L535</f>
        <v>LPV/r</v>
      </c>
      <c r="M39" s="2414" t="str">
        <f>'Saisie données file act.'!M535</f>
        <v>AZT+3TC+NVP</v>
      </c>
      <c r="N39" s="2415" t="str">
        <f>'Saisie données file act.'!N535</f>
        <v>AZT+3TC+NVP bébé</v>
      </c>
      <c r="O39" s="2415" t="str">
        <f>'Saisie données file act.'!O535</f>
        <v>AZT+3TC</v>
      </c>
      <c r="P39" s="2415" t="str">
        <f>'Saisie données file act.'!P535</f>
        <v>AZT+3TC bébé</v>
      </c>
      <c r="Q39" s="2415" t="str">
        <f>'Saisie données file act.'!Q535</f>
        <v>D4T+3TC+NVP</v>
      </c>
      <c r="R39" s="2415" t="str">
        <f>'Saisie données file act.'!R535</f>
        <v>D4T+3TC+NVP bébé</v>
      </c>
      <c r="S39" s="2415" t="str">
        <f>'Saisie données file act.'!S535</f>
        <v>D4T+3TC</v>
      </c>
      <c r="T39" s="2415" t="str">
        <f>'Saisie données file act.'!T535</f>
        <v>AZT+3TC+ABC</v>
      </c>
      <c r="U39" s="2415" t="str">
        <f>'Saisie données file act.'!U535</f>
        <v>ABC+3TC</v>
      </c>
      <c r="V39" s="2415" t="str">
        <f>'Saisie données file act.'!V535</f>
        <v>ABC+3TC bébé</v>
      </c>
      <c r="W39" s="2415" t="str">
        <f>'Saisie données file act.'!W535</f>
        <v>3TC</v>
      </c>
      <c r="X39" s="2415" t="str">
        <f>'Saisie données file act.'!X535</f>
        <v>ABC</v>
      </c>
      <c r="Y39" s="2415" t="str">
        <f>'Saisie données file act.'!Y535</f>
        <v>ABC bébé</v>
      </c>
      <c r="Z39" s="2415" t="str">
        <f>'Saisie données file act.'!Z535</f>
        <v>AZT</v>
      </c>
      <c r="AA39" s="2415" t="str">
        <f>'Saisie données file act.'!AA535</f>
        <v>AZT bébé</v>
      </c>
      <c r="AB39" s="2415" t="str">
        <f>'Saisie données file act.'!AB535</f>
        <v>DDI</v>
      </c>
      <c r="AC39" s="2415" t="str">
        <f>'Saisie données file act.'!AC535</f>
        <v>NVP</v>
      </c>
      <c r="AD39" s="2415" t="str">
        <f>'Saisie données file act.'!AD535</f>
        <v>EFV</v>
      </c>
      <c r="AE39" s="2415" t="str">
        <f>'Saisie données file act.'!AE535</f>
        <v>EFV</v>
      </c>
      <c r="AF39" s="2415" t="str">
        <f>'Saisie données file act.'!AF535</f>
        <v>LPV/r</v>
      </c>
      <c r="AG39" s="2416" t="str">
        <f>'Saisie données file act.'!AG535</f>
        <v>LPV/r bébé</v>
      </c>
      <c r="AH39" s="2417"/>
    </row>
    <row r="40" spans="2:34" s="1307" customFormat="1" ht="24.75" thickBot="1" x14ac:dyDescent="0.25">
      <c r="C40" s="2418"/>
      <c r="D40" s="2419" t="str">
        <f>'Saisie données file act.'!D536</f>
        <v>Dosage</v>
      </c>
      <c r="E40" s="2420" t="str">
        <f>'Saisie données file act.'!E536</f>
        <v>10 mg/mL</v>
      </c>
      <c r="F40" s="2421" t="str">
        <f>'Saisie données file act.'!F536</f>
        <v>10 mg/mL</v>
      </c>
      <c r="G40" s="2421" t="str">
        <f>'Saisie données file act.'!G536</f>
        <v>10 mg/mL</v>
      </c>
      <c r="H40" s="2421" t="str">
        <f>'Saisie données file act.'!H536</f>
        <v>20 mg/mL</v>
      </c>
      <c r="I40" s="2421" t="str">
        <f>'Saisie données file act.'!I536</f>
        <v>2 g</v>
      </c>
      <c r="J40" s="2421" t="str">
        <f>'Saisie données file act.'!J536</f>
        <v>10 mg/mL</v>
      </c>
      <c r="K40" s="2421" t="str">
        <f>'Saisie données file act.'!K536</f>
        <v>30 mg/mL</v>
      </c>
      <c r="L40" s="2422" t="str">
        <f>'Saisie données file act.'!L536</f>
        <v>80/20 mg/mL</v>
      </c>
      <c r="M40" s="2420" t="str">
        <f>'Saisie données file act.'!M536</f>
        <v>300/150/200 mg</v>
      </c>
      <c r="N40" s="2421" t="str">
        <f>'Saisie données file act.'!N536</f>
        <v>60/30/50 mg</v>
      </c>
      <c r="O40" s="2421" t="str">
        <f>'Saisie données file act.'!O536</f>
        <v>300/150 mg</v>
      </c>
      <c r="P40" s="2421" t="str">
        <f>'Saisie données file act.'!P536</f>
        <v>60/30 mg</v>
      </c>
      <c r="Q40" s="2421" t="str">
        <f>'Saisie données file act.'!Q536</f>
        <v>30/150/200 mg</v>
      </c>
      <c r="R40" s="2421" t="str">
        <f>'Saisie données file act.'!R536</f>
        <v>6/30/50 mg</v>
      </c>
      <c r="S40" s="2421" t="str">
        <f>'Saisie données file act.'!S536</f>
        <v>30/150 mg</v>
      </c>
      <c r="T40" s="2421" t="str">
        <f>'Saisie données file act.'!T536</f>
        <v>300/150/300 mg</v>
      </c>
      <c r="U40" s="2421" t="str">
        <f>'Saisie données file act.'!U536</f>
        <v>600/300 mg</v>
      </c>
      <c r="V40" s="2421" t="str">
        <f>'Saisie données file act.'!V536</f>
        <v>60/30 mg</v>
      </c>
      <c r="W40" s="2421" t="str">
        <f>'Saisie données file act.'!W536</f>
        <v>150 mg</v>
      </c>
      <c r="X40" s="2421" t="str">
        <f>'Saisie données file act.'!X536</f>
        <v>300 mg</v>
      </c>
      <c r="Y40" s="2421" t="str">
        <f>'Saisie données file act.'!Y536</f>
        <v>60 mg</v>
      </c>
      <c r="Z40" s="2421" t="str">
        <f>'Saisie données file act.'!Z536</f>
        <v>100 mg</v>
      </c>
      <c r="AA40" s="2421" t="str">
        <f>'Saisie données file act.'!AA536</f>
        <v>60 mg</v>
      </c>
      <c r="AB40" s="2421" t="str">
        <f>'Saisie données file act.'!AB536</f>
        <v>250 mg</v>
      </c>
      <c r="AC40" s="2421" t="str">
        <f>'Saisie données file act.'!AC536</f>
        <v>200 mg</v>
      </c>
      <c r="AD40" s="2421" t="str">
        <f>'Saisie données file act.'!AD536</f>
        <v>200 mg</v>
      </c>
      <c r="AE40" s="2421" t="str">
        <f>'Saisie données file act.'!AE536</f>
        <v>50 mg</v>
      </c>
      <c r="AF40" s="2421" t="str">
        <f>'Saisie données file act.'!AF536</f>
        <v>200/50 mg</v>
      </c>
      <c r="AG40" s="2422" t="str">
        <f>'Saisie données file act.'!AG536</f>
        <v>100/25 mg</v>
      </c>
      <c r="AH40" s="2423"/>
    </row>
    <row r="41" spans="2:34" x14ac:dyDescent="0.2">
      <c r="C41" s="3312" t="str">
        <f>'Saisie données file act.'!C537</f>
        <v>Schéma thérapeutique</v>
      </c>
      <c r="D41" s="2427" t="str">
        <f>'Saisie données file act.'!D537</f>
        <v>Premières lignes</v>
      </c>
      <c r="E41" s="2397"/>
      <c r="F41" s="2398"/>
      <c r="G41" s="2398"/>
      <c r="H41" s="2398"/>
      <c r="I41" s="2398"/>
      <c r="J41" s="2398"/>
      <c r="K41" s="2398"/>
      <c r="L41" s="2399"/>
      <c r="M41" s="2397"/>
      <c r="N41" s="2398"/>
      <c r="O41" s="2398"/>
      <c r="P41" s="2398"/>
      <c r="Q41" s="2398"/>
      <c r="R41" s="2398"/>
      <c r="S41" s="2398"/>
      <c r="T41" s="2398"/>
      <c r="U41" s="2398"/>
      <c r="V41" s="2398"/>
      <c r="W41" s="2398"/>
      <c r="X41" s="2398"/>
      <c r="Y41" s="2398"/>
      <c r="Z41" s="2398"/>
      <c r="AA41" s="2398"/>
      <c r="AB41" s="2398"/>
      <c r="AC41" s="2398"/>
      <c r="AD41" s="2398"/>
      <c r="AE41" s="2398"/>
      <c r="AF41" s="2398"/>
      <c r="AG41" s="2399"/>
      <c r="AH41" s="2402" t="str">
        <f>'Saisie données file act.'!AH537</f>
        <v>Vérification nb de produits sélectionnés</v>
      </c>
    </row>
    <row r="42" spans="2:34" x14ac:dyDescent="0.2">
      <c r="C42" s="3313"/>
      <c r="D42" s="2424" t="str">
        <f>'Saisie données file act.'!D538</f>
        <v>ABC+3TC+LPV/r</v>
      </c>
      <c r="E42" s="2406">
        <f>'Saisie données file act.'!E538</f>
        <v>0</v>
      </c>
      <c r="F42" s="2393">
        <f>'Saisie données file act.'!F538</f>
        <v>0</v>
      </c>
      <c r="G42" s="2393">
        <f>'Saisie données file act.'!G538</f>
        <v>0</v>
      </c>
      <c r="H42" s="2393">
        <f>'Saisie données file act.'!H538</f>
        <v>0</v>
      </c>
      <c r="I42" s="2393">
        <f>'Saisie données file act.'!I538</f>
        <v>0</v>
      </c>
      <c r="J42" s="2393">
        <f>'Saisie données file act.'!J538</f>
        <v>0</v>
      </c>
      <c r="K42" s="2393">
        <f>'Saisie données file act.'!K538</f>
        <v>0</v>
      </c>
      <c r="L42" s="2400">
        <f>'Saisie données file act.'!L538</f>
        <v>0</v>
      </c>
      <c r="M42" s="2406">
        <f>'Saisie données file act.'!M538</f>
        <v>0</v>
      </c>
      <c r="N42" s="2393">
        <f>'Saisie données file act.'!N538</f>
        <v>0</v>
      </c>
      <c r="O42" s="2393">
        <f>'Saisie données file act.'!O538</f>
        <v>0</v>
      </c>
      <c r="P42" s="2393">
        <f>'Saisie données file act.'!P538</f>
        <v>0</v>
      </c>
      <c r="Q42" s="2393">
        <f>'Saisie données file act.'!Q538</f>
        <v>0</v>
      </c>
      <c r="R42" s="2393">
        <f>'Saisie données file act.'!R538</f>
        <v>0</v>
      </c>
      <c r="S42" s="2393">
        <f>'Saisie données file act.'!S538</f>
        <v>0</v>
      </c>
      <c r="T42" s="2393">
        <f>'Saisie données file act.'!T538</f>
        <v>0</v>
      </c>
      <c r="U42" s="2393">
        <f>'Saisie données file act.'!U538</f>
        <v>0</v>
      </c>
      <c r="V42" s="2393">
        <f>'Saisie données file act.'!V538</f>
        <v>0</v>
      </c>
      <c r="W42" s="2393">
        <f>'Saisie données file act.'!W538</f>
        <v>0</v>
      </c>
      <c r="X42" s="2393">
        <f>'Saisie données file act.'!X538</f>
        <v>0</v>
      </c>
      <c r="Y42" s="2393">
        <f>'Saisie données file act.'!Y538</f>
        <v>0</v>
      </c>
      <c r="Z42" s="2393">
        <f>'Saisie données file act.'!Z538</f>
        <v>0</v>
      </c>
      <c r="AA42" s="2393">
        <f>'Saisie données file act.'!AA538</f>
        <v>0</v>
      </c>
      <c r="AB42" s="2393">
        <f>'Saisie données file act.'!AB538</f>
        <v>0</v>
      </c>
      <c r="AC42" s="2393">
        <f>'Saisie données file act.'!AC538</f>
        <v>0</v>
      </c>
      <c r="AD42" s="2393">
        <f>'Saisie données file act.'!AD538</f>
        <v>0</v>
      </c>
      <c r="AE42" s="2393">
        <f>'Saisie données file act.'!AE538</f>
        <v>0</v>
      </c>
      <c r="AF42" s="2393">
        <f>'Saisie données file act.'!AF538</f>
        <v>0</v>
      </c>
      <c r="AG42" s="2400">
        <f>'Saisie données file act.'!AG538</f>
        <v>0</v>
      </c>
      <c r="AH42" s="2395">
        <f>'Saisie données file act.'!AH538</f>
        <v>0</v>
      </c>
    </row>
    <row r="43" spans="2:34" x14ac:dyDescent="0.2">
      <c r="C43" s="3313"/>
      <c r="D43" s="2424" t="str">
        <f>'Saisie données file act.'!D539</f>
        <v>ABC+3TC+EFV</v>
      </c>
      <c r="E43" s="2406">
        <f>'Saisie données file act.'!E539</f>
        <v>0</v>
      </c>
      <c r="F43" s="2393">
        <f>'Saisie données file act.'!F539</f>
        <v>0</v>
      </c>
      <c r="G43" s="2393">
        <f>'Saisie données file act.'!G539</f>
        <v>0</v>
      </c>
      <c r="H43" s="2393">
        <f>'Saisie données file act.'!H539</f>
        <v>0</v>
      </c>
      <c r="I43" s="2393">
        <f>'Saisie données file act.'!I539</f>
        <v>0</v>
      </c>
      <c r="J43" s="2393">
        <f>'Saisie données file act.'!J539</f>
        <v>0</v>
      </c>
      <c r="K43" s="2393">
        <f>'Saisie données file act.'!K539</f>
        <v>0</v>
      </c>
      <c r="L43" s="2400">
        <f>'Saisie données file act.'!L539</f>
        <v>0</v>
      </c>
      <c r="M43" s="2406">
        <f>'Saisie données file act.'!M539</f>
        <v>0</v>
      </c>
      <c r="N43" s="2393">
        <f>'Saisie données file act.'!N539</f>
        <v>0</v>
      </c>
      <c r="O43" s="2393">
        <f>'Saisie données file act.'!O539</f>
        <v>0</v>
      </c>
      <c r="P43" s="2393">
        <f>'Saisie données file act.'!P539</f>
        <v>0</v>
      </c>
      <c r="Q43" s="2393">
        <f>'Saisie données file act.'!Q539</f>
        <v>0</v>
      </c>
      <c r="R43" s="2393">
        <f>'Saisie données file act.'!R539</f>
        <v>0</v>
      </c>
      <c r="S43" s="2393">
        <f>'Saisie données file act.'!S539</f>
        <v>0</v>
      </c>
      <c r="T43" s="2393">
        <f>'Saisie données file act.'!T539</f>
        <v>0</v>
      </c>
      <c r="U43" s="2393">
        <f>'Saisie données file act.'!U539</f>
        <v>0</v>
      </c>
      <c r="V43" s="2393">
        <f>'Saisie données file act.'!V539</f>
        <v>0</v>
      </c>
      <c r="W43" s="2393">
        <f>'Saisie données file act.'!W539</f>
        <v>0</v>
      </c>
      <c r="X43" s="2393">
        <f>'Saisie données file act.'!X539</f>
        <v>0</v>
      </c>
      <c r="Y43" s="2393">
        <f>'Saisie données file act.'!Y539</f>
        <v>0</v>
      </c>
      <c r="Z43" s="2393">
        <f>'Saisie données file act.'!Z539</f>
        <v>0</v>
      </c>
      <c r="AA43" s="2393">
        <f>'Saisie données file act.'!AA539</f>
        <v>0</v>
      </c>
      <c r="AB43" s="2393">
        <f>'Saisie données file act.'!AB539</f>
        <v>0</v>
      </c>
      <c r="AC43" s="2393">
        <f>'Saisie données file act.'!AC539</f>
        <v>0</v>
      </c>
      <c r="AD43" s="2393">
        <f>'Saisie données file act.'!AD539</f>
        <v>0</v>
      </c>
      <c r="AE43" s="2393">
        <f>'Saisie données file act.'!AE539</f>
        <v>0</v>
      </c>
      <c r="AF43" s="2393">
        <f>'Saisie données file act.'!AF539</f>
        <v>0</v>
      </c>
      <c r="AG43" s="2400">
        <f>'Saisie données file act.'!AG539</f>
        <v>0</v>
      </c>
      <c r="AH43" s="2395">
        <f>'Saisie données file act.'!AH539</f>
        <v>0</v>
      </c>
    </row>
    <row r="44" spans="2:34" x14ac:dyDescent="0.2">
      <c r="C44" s="3313"/>
      <c r="D44" s="2424" t="str">
        <f>'Saisie données file act.'!D540</f>
        <v>ABC+3TC+AZT</v>
      </c>
      <c r="E44" s="2406">
        <f>'Saisie données file act.'!E540</f>
        <v>0</v>
      </c>
      <c r="F44" s="2393">
        <f>'Saisie données file act.'!F540</f>
        <v>0</v>
      </c>
      <c r="G44" s="2393">
        <f>'Saisie données file act.'!G540</f>
        <v>0</v>
      </c>
      <c r="H44" s="2393">
        <f>'Saisie données file act.'!H540</f>
        <v>0</v>
      </c>
      <c r="I44" s="2393">
        <f>'Saisie données file act.'!I540</f>
        <v>0</v>
      </c>
      <c r="J44" s="2393">
        <f>'Saisie données file act.'!J540</f>
        <v>0</v>
      </c>
      <c r="K44" s="2393">
        <f>'Saisie données file act.'!K540</f>
        <v>0</v>
      </c>
      <c r="L44" s="2400">
        <f>'Saisie données file act.'!L540</f>
        <v>0</v>
      </c>
      <c r="M44" s="2406">
        <f>'Saisie données file act.'!M540</f>
        <v>0</v>
      </c>
      <c r="N44" s="2393">
        <f>'Saisie données file act.'!N540</f>
        <v>0</v>
      </c>
      <c r="O44" s="2393">
        <f>'Saisie données file act.'!O540</f>
        <v>0</v>
      </c>
      <c r="P44" s="2393">
        <f>'Saisie données file act.'!P540</f>
        <v>0</v>
      </c>
      <c r="Q44" s="2393">
        <f>'Saisie données file act.'!Q540</f>
        <v>0</v>
      </c>
      <c r="R44" s="2393">
        <f>'Saisie données file act.'!R540</f>
        <v>0</v>
      </c>
      <c r="S44" s="2393">
        <f>'Saisie données file act.'!S540</f>
        <v>0</v>
      </c>
      <c r="T44" s="2393">
        <f>'Saisie données file act.'!T540</f>
        <v>0</v>
      </c>
      <c r="U44" s="2393">
        <f>'Saisie données file act.'!U540</f>
        <v>0</v>
      </c>
      <c r="V44" s="2393">
        <f>'Saisie données file act.'!V540</f>
        <v>0</v>
      </c>
      <c r="W44" s="2393">
        <f>'Saisie données file act.'!W540</f>
        <v>0</v>
      </c>
      <c r="X44" s="2393">
        <f>'Saisie données file act.'!X540</f>
        <v>0</v>
      </c>
      <c r="Y44" s="2393">
        <f>'Saisie données file act.'!Y540</f>
        <v>0</v>
      </c>
      <c r="Z44" s="2393">
        <f>'Saisie données file act.'!Z540</f>
        <v>0</v>
      </c>
      <c r="AA44" s="2393">
        <f>'Saisie données file act.'!AA540</f>
        <v>0</v>
      </c>
      <c r="AB44" s="2393">
        <f>'Saisie données file act.'!AB540</f>
        <v>0</v>
      </c>
      <c r="AC44" s="2393">
        <f>'Saisie données file act.'!AC540</f>
        <v>0</v>
      </c>
      <c r="AD44" s="2393">
        <f>'Saisie données file act.'!AD540</f>
        <v>0</v>
      </c>
      <c r="AE44" s="2393">
        <f>'Saisie données file act.'!AE540</f>
        <v>0</v>
      </c>
      <c r="AF44" s="2393">
        <f>'Saisie données file act.'!AF540</f>
        <v>0</v>
      </c>
      <c r="AG44" s="2400">
        <f>'Saisie données file act.'!AG540</f>
        <v>0</v>
      </c>
      <c r="AH44" s="2395">
        <f>'Saisie données file act.'!AH540</f>
        <v>0</v>
      </c>
    </row>
    <row r="45" spans="2:34" x14ac:dyDescent="0.2">
      <c r="C45" s="3313"/>
      <c r="D45" s="2424">
        <f>'Saisie données file act.'!D541</f>
        <v>0</v>
      </c>
      <c r="E45" s="2406">
        <f>'Saisie données file act.'!E541</f>
        <v>0</v>
      </c>
      <c r="F45" s="2393">
        <f>'Saisie données file act.'!F541</f>
        <v>0</v>
      </c>
      <c r="G45" s="2393">
        <f>'Saisie données file act.'!G541</f>
        <v>0</v>
      </c>
      <c r="H45" s="2393">
        <f>'Saisie données file act.'!H541</f>
        <v>0</v>
      </c>
      <c r="I45" s="2393">
        <f>'Saisie données file act.'!I541</f>
        <v>0</v>
      </c>
      <c r="J45" s="2393">
        <f>'Saisie données file act.'!J541</f>
        <v>0</v>
      </c>
      <c r="K45" s="2393">
        <f>'Saisie données file act.'!K541</f>
        <v>0</v>
      </c>
      <c r="L45" s="2400">
        <f>'Saisie données file act.'!L541</f>
        <v>0</v>
      </c>
      <c r="M45" s="2406">
        <f>'Saisie données file act.'!M541</f>
        <v>0</v>
      </c>
      <c r="N45" s="2393">
        <f>'Saisie données file act.'!N541</f>
        <v>0</v>
      </c>
      <c r="O45" s="2393">
        <f>'Saisie données file act.'!O541</f>
        <v>0</v>
      </c>
      <c r="P45" s="2393">
        <f>'Saisie données file act.'!P541</f>
        <v>0</v>
      </c>
      <c r="Q45" s="2393">
        <f>'Saisie données file act.'!Q541</f>
        <v>0</v>
      </c>
      <c r="R45" s="2393">
        <f>'Saisie données file act.'!R541</f>
        <v>0</v>
      </c>
      <c r="S45" s="2393">
        <f>'Saisie données file act.'!S541</f>
        <v>0</v>
      </c>
      <c r="T45" s="2393">
        <f>'Saisie données file act.'!T541</f>
        <v>0</v>
      </c>
      <c r="U45" s="2393">
        <f>'Saisie données file act.'!U541</f>
        <v>0</v>
      </c>
      <c r="V45" s="2393">
        <f>'Saisie données file act.'!V541</f>
        <v>0</v>
      </c>
      <c r="W45" s="2393">
        <f>'Saisie données file act.'!W541</f>
        <v>0</v>
      </c>
      <c r="X45" s="2393">
        <f>'Saisie données file act.'!X541</f>
        <v>0</v>
      </c>
      <c r="Y45" s="2393">
        <f>'Saisie données file act.'!Y541</f>
        <v>0</v>
      </c>
      <c r="Z45" s="2393">
        <f>'Saisie données file act.'!Z541</f>
        <v>0</v>
      </c>
      <c r="AA45" s="2393">
        <f>'Saisie données file act.'!AA541</f>
        <v>0</v>
      </c>
      <c r="AB45" s="2393">
        <f>'Saisie données file act.'!AB541</f>
        <v>0</v>
      </c>
      <c r="AC45" s="2393">
        <f>'Saisie données file act.'!AC541</f>
        <v>0</v>
      </c>
      <c r="AD45" s="2393">
        <f>'Saisie données file act.'!AD541</f>
        <v>0</v>
      </c>
      <c r="AE45" s="2393">
        <f>'Saisie données file act.'!AE541</f>
        <v>0</v>
      </c>
      <c r="AF45" s="2393">
        <f>'Saisie données file act.'!AF541</f>
        <v>0</v>
      </c>
      <c r="AG45" s="2400">
        <f>'Saisie données file act.'!AG541</f>
        <v>0</v>
      </c>
      <c r="AH45" s="2395">
        <f>'Saisie données file act.'!AH541</f>
        <v>0</v>
      </c>
    </row>
    <row r="46" spans="2:34" ht="13.5" customHeight="1" x14ac:dyDescent="0.2">
      <c r="C46" s="3313"/>
      <c r="D46" s="2424">
        <f>'Saisie données file act.'!D542</f>
        <v>0</v>
      </c>
      <c r="E46" s="2406">
        <f>'Saisie données file act.'!E542</f>
        <v>0</v>
      </c>
      <c r="F46" s="2393">
        <f>'Saisie données file act.'!F542</f>
        <v>0</v>
      </c>
      <c r="G46" s="2393">
        <f>'Saisie données file act.'!G542</f>
        <v>0</v>
      </c>
      <c r="H46" s="2393">
        <f>'Saisie données file act.'!H542</f>
        <v>0</v>
      </c>
      <c r="I46" s="2393">
        <f>'Saisie données file act.'!I542</f>
        <v>0</v>
      </c>
      <c r="J46" s="2393">
        <f>'Saisie données file act.'!J542</f>
        <v>0</v>
      </c>
      <c r="K46" s="2393">
        <f>'Saisie données file act.'!K542</f>
        <v>0</v>
      </c>
      <c r="L46" s="2400">
        <f>'Saisie données file act.'!L542</f>
        <v>0</v>
      </c>
      <c r="M46" s="2406">
        <f>'Saisie données file act.'!M542</f>
        <v>0</v>
      </c>
      <c r="N46" s="2393">
        <f>'Saisie données file act.'!N542</f>
        <v>0</v>
      </c>
      <c r="O46" s="2393">
        <f>'Saisie données file act.'!O542</f>
        <v>0</v>
      </c>
      <c r="P46" s="2393">
        <f>'Saisie données file act.'!P542</f>
        <v>0</v>
      </c>
      <c r="Q46" s="2393">
        <f>'Saisie données file act.'!Q542</f>
        <v>0</v>
      </c>
      <c r="R46" s="2393">
        <f>'Saisie données file act.'!R542</f>
        <v>0</v>
      </c>
      <c r="S46" s="2393">
        <f>'Saisie données file act.'!S542</f>
        <v>0</v>
      </c>
      <c r="T46" s="2393">
        <f>'Saisie données file act.'!T542</f>
        <v>0</v>
      </c>
      <c r="U46" s="2393">
        <f>'Saisie données file act.'!U542</f>
        <v>0</v>
      </c>
      <c r="V46" s="2393">
        <f>'Saisie données file act.'!V542</f>
        <v>0</v>
      </c>
      <c r="W46" s="2393">
        <f>'Saisie données file act.'!W542</f>
        <v>0</v>
      </c>
      <c r="X46" s="2393">
        <f>'Saisie données file act.'!X542</f>
        <v>0</v>
      </c>
      <c r="Y46" s="2393">
        <f>'Saisie données file act.'!Y542</f>
        <v>0</v>
      </c>
      <c r="Z46" s="2393">
        <f>'Saisie données file act.'!Z542</f>
        <v>0</v>
      </c>
      <c r="AA46" s="2393">
        <f>'Saisie données file act.'!AA542</f>
        <v>0</v>
      </c>
      <c r="AB46" s="2393">
        <f>'Saisie données file act.'!AB542</f>
        <v>0</v>
      </c>
      <c r="AC46" s="2393">
        <f>'Saisie données file act.'!AC542</f>
        <v>0</v>
      </c>
      <c r="AD46" s="2393">
        <f>'Saisie données file act.'!AD542</f>
        <v>0</v>
      </c>
      <c r="AE46" s="2393">
        <f>'Saisie données file act.'!AE542</f>
        <v>0</v>
      </c>
      <c r="AF46" s="2393">
        <f>'Saisie données file act.'!AF542</f>
        <v>0</v>
      </c>
      <c r="AG46" s="2400">
        <f>'Saisie données file act.'!AG542</f>
        <v>0</v>
      </c>
      <c r="AH46" s="2395">
        <f>'Saisie données file act.'!AH542</f>
        <v>0</v>
      </c>
    </row>
    <row r="47" spans="2:34" ht="12.75" thickBot="1" x14ac:dyDescent="0.25">
      <c r="C47" s="3313"/>
      <c r="D47" s="2425">
        <f>'Saisie données file act.'!D543</f>
        <v>0</v>
      </c>
      <c r="E47" s="2407">
        <f>'Saisie données file act.'!E543</f>
        <v>0</v>
      </c>
      <c r="F47" s="2394">
        <f>'Saisie données file act.'!F543</f>
        <v>0</v>
      </c>
      <c r="G47" s="2394">
        <f>'Saisie données file act.'!G543</f>
        <v>0</v>
      </c>
      <c r="H47" s="2394">
        <f>'Saisie données file act.'!H543</f>
        <v>0</v>
      </c>
      <c r="I47" s="2394">
        <f>'Saisie données file act.'!I543</f>
        <v>0</v>
      </c>
      <c r="J47" s="2394">
        <f>'Saisie données file act.'!J543</f>
        <v>0</v>
      </c>
      <c r="K47" s="2394">
        <f>'Saisie données file act.'!K543</f>
        <v>0</v>
      </c>
      <c r="L47" s="2401">
        <f>'Saisie données file act.'!L543</f>
        <v>0</v>
      </c>
      <c r="M47" s="2407">
        <f>'Saisie données file act.'!M543</f>
        <v>0</v>
      </c>
      <c r="N47" s="2394">
        <f>'Saisie données file act.'!N543</f>
        <v>0</v>
      </c>
      <c r="O47" s="2394">
        <f>'Saisie données file act.'!O543</f>
        <v>0</v>
      </c>
      <c r="P47" s="2394">
        <f>'Saisie données file act.'!P543</f>
        <v>0</v>
      </c>
      <c r="Q47" s="2394">
        <f>'Saisie données file act.'!Q543</f>
        <v>0</v>
      </c>
      <c r="R47" s="2394">
        <f>'Saisie données file act.'!R543</f>
        <v>0</v>
      </c>
      <c r="S47" s="2394">
        <f>'Saisie données file act.'!S543</f>
        <v>0</v>
      </c>
      <c r="T47" s="2394">
        <f>'Saisie données file act.'!T543</f>
        <v>0</v>
      </c>
      <c r="U47" s="2394">
        <f>'Saisie données file act.'!U543</f>
        <v>0</v>
      </c>
      <c r="V47" s="2394">
        <f>'Saisie données file act.'!V543</f>
        <v>0</v>
      </c>
      <c r="W47" s="2394">
        <f>'Saisie données file act.'!W543</f>
        <v>0</v>
      </c>
      <c r="X47" s="2394">
        <f>'Saisie données file act.'!X543</f>
        <v>0</v>
      </c>
      <c r="Y47" s="2394">
        <f>'Saisie données file act.'!Y543</f>
        <v>0</v>
      </c>
      <c r="Z47" s="2394">
        <f>'Saisie données file act.'!Z543</f>
        <v>0</v>
      </c>
      <c r="AA47" s="2394">
        <f>'Saisie données file act.'!AA543</f>
        <v>0</v>
      </c>
      <c r="AB47" s="2394">
        <f>'Saisie données file act.'!AB543</f>
        <v>0</v>
      </c>
      <c r="AC47" s="2394">
        <f>'Saisie données file act.'!AC543</f>
        <v>0</v>
      </c>
      <c r="AD47" s="2394">
        <f>'Saisie données file act.'!AD543</f>
        <v>0</v>
      </c>
      <c r="AE47" s="2394">
        <f>'Saisie données file act.'!AE543</f>
        <v>0</v>
      </c>
      <c r="AF47" s="2394">
        <f>'Saisie données file act.'!AF543</f>
        <v>0</v>
      </c>
      <c r="AG47" s="2401">
        <f>'Saisie données file act.'!AG543</f>
        <v>0</v>
      </c>
      <c r="AH47" s="2403">
        <f>'Saisie données file act.'!AH543</f>
        <v>0</v>
      </c>
    </row>
    <row r="48" spans="2:34" x14ac:dyDescent="0.2">
      <c r="C48" s="3313"/>
      <c r="D48" s="2427" t="str">
        <f>'Saisie données file act.'!D544</f>
        <v>Deuxièmes lignes</v>
      </c>
      <c r="E48" s="2397"/>
      <c r="F48" s="2398"/>
      <c r="G48" s="2398"/>
      <c r="H48" s="2398"/>
      <c r="I48" s="2398"/>
      <c r="J48" s="2398"/>
      <c r="K48" s="2398"/>
      <c r="L48" s="2399"/>
      <c r="M48" s="2397"/>
      <c r="N48" s="2398"/>
      <c r="O48" s="2398"/>
      <c r="P48" s="2398"/>
      <c r="Q48" s="2398"/>
      <c r="R48" s="2398"/>
      <c r="S48" s="2398"/>
      <c r="T48" s="2398"/>
      <c r="U48" s="2398"/>
      <c r="V48" s="2398"/>
      <c r="W48" s="2398"/>
      <c r="X48" s="2398"/>
      <c r="Y48" s="2398"/>
      <c r="Z48" s="2398"/>
      <c r="AA48" s="2398"/>
      <c r="AB48" s="2398"/>
      <c r="AC48" s="2398"/>
      <c r="AD48" s="2398"/>
      <c r="AE48" s="2398"/>
      <c r="AF48" s="2398"/>
      <c r="AG48" s="2399"/>
      <c r="AH48" s="2402"/>
    </row>
    <row r="49" spans="3:34" ht="12.75" thickBot="1" x14ac:dyDescent="0.25">
      <c r="C49" s="3313"/>
      <c r="D49" s="2425" t="str">
        <f>'Saisie données file act.'!D545</f>
        <v>AZT+3TC+LPV/r</v>
      </c>
      <c r="E49" s="2407">
        <f>'Saisie données file act.'!E545</f>
        <v>0</v>
      </c>
      <c r="F49" s="2394">
        <f>'Saisie données file act.'!F545</f>
        <v>0</v>
      </c>
      <c r="G49" s="2394">
        <f>'Saisie données file act.'!G545</f>
        <v>0</v>
      </c>
      <c r="H49" s="2394">
        <f>'Saisie données file act.'!H545</f>
        <v>0</v>
      </c>
      <c r="I49" s="2394">
        <f>'Saisie données file act.'!I545</f>
        <v>0</v>
      </c>
      <c r="J49" s="2394">
        <f>'Saisie données file act.'!J545</f>
        <v>0</v>
      </c>
      <c r="K49" s="2394">
        <f>'Saisie données file act.'!K545</f>
        <v>0</v>
      </c>
      <c r="L49" s="2401">
        <f>'Saisie données file act.'!L545</f>
        <v>0</v>
      </c>
      <c r="M49" s="2407">
        <f>'Saisie données file act.'!M545</f>
        <v>0</v>
      </c>
      <c r="N49" s="2394">
        <f>'Saisie données file act.'!N545</f>
        <v>0</v>
      </c>
      <c r="O49" s="2394">
        <f>'Saisie données file act.'!O545</f>
        <v>0</v>
      </c>
      <c r="P49" s="2394">
        <f>'Saisie données file act.'!P545</f>
        <v>0</v>
      </c>
      <c r="Q49" s="2394">
        <f>'Saisie données file act.'!Q545</f>
        <v>0</v>
      </c>
      <c r="R49" s="2394">
        <f>'Saisie données file act.'!R545</f>
        <v>0</v>
      </c>
      <c r="S49" s="2394">
        <f>'Saisie données file act.'!S545</f>
        <v>0</v>
      </c>
      <c r="T49" s="2394">
        <f>'Saisie données file act.'!T545</f>
        <v>0</v>
      </c>
      <c r="U49" s="2394">
        <f>'Saisie données file act.'!U545</f>
        <v>0</v>
      </c>
      <c r="V49" s="2394">
        <f>'Saisie données file act.'!V545</f>
        <v>0</v>
      </c>
      <c r="W49" s="2394">
        <f>'Saisie données file act.'!W545</f>
        <v>0</v>
      </c>
      <c r="X49" s="2394">
        <f>'Saisie données file act.'!X545</f>
        <v>0</v>
      </c>
      <c r="Y49" s="2394">
        <f>'Saisie données file act.'!Y545</f>
        <v>0</v>
      </c>
      <c r="Z49" s="2394">
        <f>'Saisie données file act.'!Z545</f>
        <v>0</v>
      </c>
      <c r="AA49" s="2394">
        <f>'Saisie données file act.'!AA545</f>
        <v>0</v>
      </c>
      <c r="AB49" s="2394">
        <f>'Saisie données file act.'!AB545</f>
        <v>0</v>
      </c>
      <c r="AC49" s="2394">
        <f>'Saisie données file act.'!AC545</f>
        <v>0</v>
      </c>
      <c r="AD49" s="2394">
        <f>'Saisie données file act.'!AD545</f>
        <v>0</v>
      </c>
      <c r="AE49" s="2394">
        <f>'Saisie données file act.'!AE545</f>
        <v>0</v>
      </c>
      <c r="AF49" s="2394">
        <f>'Saisie données file act.'!AF545</f>
        <v>0</v>
      </c>
      <c r="AG49" s="2401">
        <f>'Saisie données file act.'!AG545</f>
        <v>0</v>
      </c>
      <c r="AH49" s="2403">
        <f>'Saisie données file act.'!AH545</f>
        <v>0</v>
      </c>
    </row>
    <row r="50" spans="3:34" x14ac:dyDescent="0.2">
      <c r="C50" s="3313"/>
      <c r="D50" s="2426" t="str">
        <f>'Saisie données file act.'!D550</f>
        <v>Lignes alternatives</v>
      </c>
      <c r="E50" s="2408"/>
      <c r="F50" s="2396"/>
      <c r="G50" s="2396"/>
      <c r="H50" s="2396"/>
      <c r="I50" s="2396"/>
      <c r="J50" s="2396"/>
      <c r="K50" s="2396"/>
      <c r="L50" s="2409"/>
      <c r="M50" s="2408"/>
      <c r="N50" s="2396"/>
      <c r="O50" s="2396"/>
      <c r="P50" s="2396"/>
      <c r="Q50" s="2396"/>
      <c r="R50" s="2396"/>
      <c r="S50" s="2396"/>
      <c r="T50" s="2396"/>
      <c r="U50" s="2396"/>
      <c r="V50" s="2396"/>
      <c r="W50" s="2396"/>
      <c r="X50" s="2396"/>
      <c r="Y50" s="2396"/>
      <c r="Z50" s="2396"/>
      <c r="AA50" s="2396"/>
      <c r="AB50" s="2396"/>
      <c r="AC50" s="2396"/>
      <c r="AD50" s="2396"/>
      <c r="AE50" s="2396"/>
      <c r="AF50" s="2396"/>
      <c r="AG50" s="2409"/>
      <c r="AH50" s="2410"/>
    </row>
    <row r="51" spans="3:34" x14ac:dyDescent="0.2">
      <c r="C51" s="3313"/>
      <c r="D51" s="2424">
        <f>'Saisie données file act.'!D546</f>
        <v>0</v>
      </c>
      <c r="E51" s="2406">
        <f>'Saisie données file act.'!E546</f>
        <v>0</v>
      </c>
      <c r="F51" s="2393">
        <f>'Saisie données file act.'!F546</f>
        <v>0</v>
      </c>
      <c r="G51" s="2393">
        <f>'Saisie données file act.'!G546</f>
        <v>0</v>
      </c>
      <c r="H51" s="2393">
        <f>'Saisie données file act.'!H546</f>
        <v>0</v>
      </c>
      <c r="I51" s="2393">
        <f>'Saisie données file act.'!I546</f>
        <v>0</v>
      </c>
      <c r="J51" s="2393">
        <f>'Saisie données file act.'!J546</f>
        <v>0</v>
      </c>
      <c r="K51" s="2393">
        <f>'Saisie données file act.'!K546</f>
        <v>0</v>
      </c>
      <c r="L51" s="2400">
        <f>'Saisie données file act.'!L546</f>
        <v>0</v>
      </c>
      <c r="M51" s="2406">
        <f>'Saisie données file act.'!M546</f>
        <v>0</v>
      </c>
      <c r="N51" s="2393">
        <f>'Saisie données file act.'!N546</f>
        <v>0</v>
      </c>
      <c r="O51" s="2393">
        <f>'Saisie données file act.'!O546</f>
        <v>0</v>
      </c>
      <c r="P51" s="2393">
        <f>'Saisie données file act.'!P546</f>
        <v>0</v>
      </c>
      <c r="Q51" s="2393">
        <f>'Saisie données file act.'!Q546</f>
        <v>0</v>
      </c>
      <c r="R51" s="2393">
        <f>'Saisie données file act.'!R546</f>
        <v>0</v>
      </c>
      <c r="S51" s="2393">
        <f>'Saisie données file act.'!S546</f>
        <v>0</v>
      </c>
      <c r="T51" s="2393">
        <f>'Saisie données file act.'!T546</f>
        <v>0</v>
      </c>
      <c r="U51" s="2393">
        <f>'Saisie données file act.'!U546</f>
        <v>0</v>
      </c>
      <c r="V51" s="2393">
        <f>'Saisie données file act.'!V546</f>
        <v>0</v>
      </c>
      <c r="W51" s="2393">
        <f>'Saisie données file act.'!W546</f>
        <v>0</v>
      </c>
      <c r="X51" s="2393">
        <f>'Saisie données file act.'!X546</f>
        <v>0</v>
      </c>
      <c r="Y51" s="2393">
        <f>'Saisie données file act.'!Y546</f>
        <v>0</v>
      </c>
      <c r="Z51" s="2393">
        <f>'Saisie données file act.'!Z546</f>
        <v>0</v>
      </c>
      <c r="AA51" s="2393">
        <f>'Saisie données file act.'!AA546</f>
        <v>0</v>
      </c>
      <c r="AB51" s="2393">
        <f>'Saisie données file act.'!AB546</f>
        <v>0</v>
      </c>
      <c r="AC51" s="2393">
        <f>'Saisie données file act.'!AC546</f>
        <v>0</v>
      </c>
      <c r="AD51" s="2393">
        <f>'Saisie données file act.'!AD546</f>
        <v>0</v>
      </c>
      <c r="AE51" s="2393">
        <f>'Saisie données file act.'!AE546</f>
        <v>0</v>
      </c>
      <c r="AF51" s="2393">
        <f>'Saisie données file act.'!AF546</f>
        <v>0</v>
      </c>
      <c r="AG51" s="2400">
        <f>'Saisie données file act.'!AG546</f>
        <v>0</v>
      </c>
      <c r="AH51" s="2395">
        <f>'Saisie données file act.'!AH546</f>
        <v>0</v>
      </c>
    </row>
    <row r="52" spans="3:34" x14ac:dyDescent="0.2">
      <c r="C52" s="3313"/>
      <c r="D52" s="2424">
        <f>'Saisie données file act.'!D547</f>
        <v>0</v>
      </c>
      <c r="E52" s="2406">
        <f>'Saisie données file act.'!E547</f>
        <v>0</v>
      </c>
      <c r="F52" s="2393">
        <f>'Saisie données file act.'!F547</f>
        <v>0</v>
      </c>
      <c r="G52" s="2393">
        <f>'Saisie données file act.'!G547</f>
        <v>0</v>
      </c>
      <c r="H52" s="2393">
        <f>'Saisie données file act.'!H547</f>
        <v>0</v>
      </c>
      <c r="I52" s="2393">
        <f>'Saisie données file act.'!I547</f>
        <v>0</v>
      </c>
      <c r="J52" s="2393">
        <f>'Saisie données file act.'!J547</f>
        <v>0</v>
      </c>
      <c r="K52" s="2393">
        <f>'Saisie données file act.'!K547</f>
        <v>0</v>
      </c>
      <c r="L52" s="2400">
        <f>'Saisie données file act.'!L547</f>
        <v>0</v>
      </c>
      <c r="M52" s="2406">
        <f>'Saisie données file act.'!M547</f>
        <v>0</v>
      </c>
      <c r="N52" s="2393">
        <f>'Saisie données file act.'!N547</f>
        <v>0</v>
      </c>
      <c r="O52" s="2393">
        <f>'Saisie données file act.'!O547</f>
        <v>0</v>
      </c>
      <c r="P52" s="2393">
        <f>'Saisie données file act.'!P547</f>
        <v>0</v>
      </c>
      <c r="Q52" s="2393">
        <f>'Saisie données file act.'!Q547</f>
        <v>0</v>
      </c>
      <c r="R52" s="2393">
        <f>'Saisie données file act.'!R547</f>
        <v>0</v>
      </c>
      <c r="S52" s="2393">
        <f>'Saisie données file act.'!S547</f>
        <v>0</v>
      </c>
      <c r="T52" s="2393">
        <f>'Saisie données file act.'!T547</f>
        <v>0</v>
      </c>
      <c r="U52" s="2393">
        <f>'Saisie données file act.'!U547</f>
        <v>0</v>
      </c>
      <c r="V52" s="2393">
        <f>'Saisie données file act.'!V547</f>
        <v>0</v>
      </c>
      <c r="W52" s="2393">
        <f>'Saisie données file act.'!W547</f>
        <v>0</v>
      </c>
      <c r="X52" s="2393">
        <f>'Saisie données file act.'!X547</f>
        <v>0</v>
      </c>
      <c r="Y52" s="2393">
        <f>'Saisie données file act.'!Y547</f>
        <v>0</v>
      </c>
      <c r="Z52" s="2393">
        <f>'Saisie données file act.'!Z547</f>
        <v>0</v>
      </c>
      <c r="AA52" s="2393">
        <f>'Saisie données file act.'!AA547</f>
        <v>0</v>
      </c>
      <c r="AB52" s="2393">
        <f>'Saisie données file act.'!AB547</f>
        <v>0</v>
      </c>
      <c r="AC52" s="2393">
        <f>'Saisie données file act.'!AC547</f>
        <v>0</v>
      </c>
      <c r="AD52" s="2393">
        <f>'Saisie données file act.'!AD547</f>
        <v>0</v>
      </c>
      <c r="AE52" s="2393">
        <f>'Saisie données file act.'!AE547</f>
        <v>0</v>
      </c>
      <c r="AF52" s="2393">
        <f>'Saisie données file act.'!AF547</f>
        <v>0</v>
      </c>
      <c r="AG52" s="2400">
        <f>'Saisie données file act.'!AG547</f>
        <v>0</v>
      </c>
      <c r="AH52" s="2395">
        <f>'Saisie données file act.'!AH547</f>
        <v>0</v>
      </c>
    </row>
    <row r="53" spans="3:34" ht="13.5" customHeight="1" x14ac:dyDescent="0.2">
      <c r="C53" s="3313"/>
      <c r="D53" s="2424">
        <f>'Saisie données file act.'!D548</f>
        <v>0</v>
      </c>
      <c r="E53" s="2406">
        <f>'Saisie données file act.'!E548</f>
        <v>0</v>
      </c>
      <c r="F53" s="2393">
        <f>'Saisie données file act.'!F548</f>
        <v>0</v>
      </c>
      <c r="G53" s="2393">
        <f>'Saisie données file act.'!G548</f>
        <v>0</v>
      </c>
      <c r="H53" s="2393">
        <f>'Saisie données file act.'!H548</f>
        <v>0</v>
      </c>
      <c r="I53" s="2393">
        <f>'Saisie données file act.'!I548</f>
        <v>0</v>
      </c>
      <c r="J53" s="2393">
        <f>'Saisie données file act.'!J548</f>
        <v>0</v>
      </c>
      <c r="K53" s="2393">
        <f>'Saisie données file act.'!K548</f>
        <v>0</v>
      </c>
      <c r="L53" s="2400">
        <f>'Saisie données file act.'!L548</f>
        <v>0</v>
      </c>
      <c r="M53" s="2406">
        <f>'Saisie données file act.'!M548</f>
        <v>0</v>
      </c>
      <c r="N53" s="2393">
        <f>'Saisie données file act.'!N548</f>
        <v>0</v>
      </c>
      <c r="O53" s="2393">
        <f>'Saisie données file act.'!O548</f>
        <v>0</v>
      </c>
      <c r="P53" s="2393">
        <f>'Saisie données file act.'!P548</f>
        <v>0</v>
      </c>
      <c r="Q53" s="2393">
        <f>'Saisie données file act.'!Q548</f>
        <v>0</v>
      </c>
      <c r="R53" s="2393">
        <f>'Saisie données file act.'!R548</f>
        <v>0</v>
      </c>
      <c r="S53" s="2393">
        <f>'Saisie données file act.'!S548</f>
        <v>0</v>
      </c>
      <c r="T53" s="2393">
        <f>'Saisie données file act.'!T548</f>
        <v>0</v>
      </c>
      <c r="U53" s="2393">
        <f>'Saisie données file act.'!U548</f>
        <v>0</v>
      </c>
      <c r="V53" s="2393">
        <f>'Saisie données file act.'!V548</f>
        <v>0</v>
      </c>
      <c r="W53" s="2393">
        <f>'Saisie données file act.'!W548</f>
        <v>0</v>
      </c>
      <c r="X53" s="2393">
        <f>'Saisie données file act.'!X548</f>
        <v>0</v>
      </c>
      <c r="Y53" s="2393">
        <f>'Saisie données file act.'!Y548</f>
        <v>0</v>
      </c>
      <c r="Z53" s="2393">
        <f>'Saisie données file act.'!Z548</f>
        <v>0</v>
      </c>
      <c r="AA53" s="2393">
        <f>'Saisie données file act.'!AA548</f>
        <v>0</v>
      </c>
      <c r="AB53" s="2393">
        <f>'Saisie données file act.'!AB548</f>
        <v>0</v>
      </c>
      <c r="AC53" s="2393">
        <f>'Saisie données file act.'!AC548</f>
        <v>0</v>
      </c>
      <c r="AD53" s="2393">
        <f>'Saisie données file act.'!AD548</f>
        <v>0</v>
      </c>
      <c r="AE53" s="2393">
        <f>'Saisie données file act.'!AE548</f>
        <v>0</v>
      </c>
      <c r="AF53" s="2393">
        <f>'Saisie données file act.'!AF548</f>
        <v>0</v>
      </c>
      <c r="AG53" s="2400">
        <f>'Saisie données file act.'!AG548</f>
        <v>0</v>
      </c>
      <c r="AH53" s="2395">
        <f>'Saisie données file act.'!AH548</f>
        <v>0</v>
      </c>
    </row>
    <row r="54" spans="3:34" x14ac:dyDescent="0.2">
      <c r="C54" s="3313"/>
      <c r="D54" s="2424">
        <f>'Saisie données file act.'!D549</f>
        <v>0</v>
      </c>
      <c r="E54" s="2406">
        <f>'Saisie données file act.'!E549</f>
        <v>0</v>
      </c>
      <c r="F54" s="2393">
        <f>'Saisie données file act.'!F549</f>
        <v>0</v>
      </c>
      <c r="G54" s="2393">
        <f>'Saisie données file act.'!G549</f>
        <v>0</v>
      </c>
      <c r="H54" s="2393">
        <f>'Saisie données file act.'!H549</f>
        <v>0</v>
      </c>
      <c r="I54" s="2393">
        <f>'Saisie données file act.'!I549</f>
        <v>0</v>
      </c>
      <c r="J54" s="2393">
        <f>'Saisie données file act.'!J549</f>
        <v>0</v>
      </c>
      <c r="K54" s="2393">
        <f>'Saisie données file act.'!K549</f>
        <v>0</v>
      </c>
      <c r="L54" s="2400">
        <f>'Saisie données file act.'!L549</f>
        <v>0</v>
      </c>
      <c r="M54" s="2406">
        <f>'Saisie données file act.'!M549</f>
        <v>0</v>
      </c>
      <c r="N54" s="2393">
        <f>'Saisie données file act.'!N549</f>
        <v>0</v>
      </c>
      <c r="O54" s="2393">
        <f>'Saisie données file act.'!O549</f>
        <v>0</v>
      </c>
      <c r="P54" s="2393">
        <f>'Saisie données file act.'!P549</f>
        <v>0</v>
      </c>
      <c r="Q54" s="2393">
        <f>'Saisie données file act.'!Q549</f>
        <v>0</v>
      </c>
      <c r="R54" s="2393">
        <f>'Saisie données file act.'!R549</f>
        <v>0</v>
      </c>
      <c r="S54" s="2393">
        <f>'Saisie données file act.'!S549</f>
        <v>0</v>
      </c>
      <c r="T54" s="2393">
        <f>'Saisie données file act.'!T549</f>
        <v>0</v>
      </c>
      <c r="U54" s="2393">
        <f>'Saisie données file act.'!U549</f>
        <v>0</v>
      </c>
      <c r="V54" s="2393">
        <f>'Saisie données file act.'!V549</f>
        <v>0</v>
      </c>
      <c r="W54" s="2393">
        <f>'Saisie données file act.'!W549</f>
        <v>0</v>
      </c>
      <c r="X54" s="2393">
        <f>'Saisie données file act.'!X549</f>
        <v>0</v>
      </c>
      <c r="Y54" s="2393">
        <f>'Saisie données file act.'!Y549</f>
        <v>0</v>
      </c>
      <c r="Z54" s="2393">
        <f>'Saisie données file act.'!Z549</f>
        <v>0</v>
      </c>
      <c r="AA54" s="2393">
        <f>'Saisie données file act.'!AA549</f>
        <v>0</v>
      </c>
      <c r="AB54" s="2393">
        <f>'Saisie données file act.'!AB549</f>
        <v>0</v>
      </c>
      <c r="AC54" s="2393">
        <f>'Saisie données file act.'!AC549</f>
        <v>0</v>
      </c>
      <c r="AD54" s="2393">
        <f>'Saisie données file act.'!AD549</f>
        <v>0</v>
      </c>
      <c r="AE54" s="2393">
        <f>'Saisie données file act.'!AE549</f>
        <v>0</v>
      </c>
      <c r="AF54" s="2393">
        <f>'Saisie données file act.'!AF549</f>
        <v>0</v>
      </c>
      <c r="AG54" s="2400">
        <f>'Saisie données file act.'!AG549</f>
        <v>0</v>
      </c>
      <c r="AH54" s="2395">
        <f>'Saisie données file act.'!AH549</f>
        <v>0</v>
      </c>
    </row>
    <row r="55" spans="3:34" x14ac:dyDescent="0.2">
      <c r="C55" s="3313"/>
      <c r="D55" s="2424">
        <f>'Saisie données file act.'!D551</f>
        <v>0</v>
      </c>
      <c r="E55" s="2406">
        <f>'Saisie données file act.'!E551</f>
        <v>0</v>
      </c>
      <c r="F55" s="2393">
        <f>'Saisie données file act.'!F551</f>
        <v>0</v>
      </c>
      <c r="G55" s="2393">
        <f>'Saisie données file act.'!G551</f>
        <v>0</v>
      </c>
      <c r="H55" s="2393">
        <f>'Saisie données file act.'!H551</f>
        <v>0</v>
      </c>
      <c r="I55" s="2393">
        <f>'Saisie données file act.'!I551</f>
        <v>0</v>
      </c>
      <c r="J55" s="2393">
        <f>'Saisie données file act.'!J551</f>
        <v>0</v>
      </c>
      <c r="K55" s="2393">
        <f>'Saisie données file act.'!K551</f>
        <v>0</v>
      </c>
      <c r="L55" s="2400">
        <f>'Saisie données file act.'!L551</f>
        <v>0</v>
      </c>
      <c r="M55" s="2406">
        <f>'Saisie données file act.'!M551</f>
        <v>0</v>
      </c>
      <c r="N55" s="2393">
        <f>'Saisie données file act.'!N551</f>
        <v>0</v>
      </c>
      <c r="O55" s="2393">
        <f>'Saisie données file act.'!O551</f>
        <v>0</v>
      </c>
      <c r="P55" s="2393">
        <f>'Saisie données file act.'!P551</f>
        <v>0</v>
      </c>
      <c r="Q55" s="2393">
        <f>'Saisie données file act.'!Q551</f>
        <v>0</v>
      </c>
      <c r="R55" s="2393">
        <f>'Saisie données file act.'!R551</f>
        <v>0</v>
      </c>
      <c r="S55" s="2393">
        <f>'Saisie données file act.'!S551</f>
        <v>0</v>
      </c>
      <c r="T55" s="2393">
        <f>'Saisie données file act.'!T551</f>
        <v>0</v>
      </c>
      <c r="U55" s="2393">
        <f>'Saisie données file act.'!U551</f>
        <v>0</v>
      </c>
      <c r="V55" s="2393">
        <f>'Saisie données file act.'!V551</f>
        <v>0</v>
      </c>
      <c r="W55" s="2393">
        <f>'Saisie données file act.'!W551</f>
        <v>0</v>
      </c>
      <c r="X55" s="2393">
        <f>'Saisie données file act.'!X551</f>
        <v>0</v>
      </c>
      <c r="Y55" s="2393">
        <f>'Saisie données file act.'!Y551</f>
        <v>0</v>
      </c>
      <c r="Z55" s="2393">
        <f>'Saisie données file act.'!Z551</f>
        <v>0</v>
      </c>
      <c r="AA55" s="2393">
        <f>'Saisie données file act.'!AA551</f>
        <v>0</v>
      </c>
      <c r="AB55" s="2393">
        <f>'Saisie données file act.'!AB551</f>
        <v>0</v>
      </c>
      <c r="AC55" s="2393">
        <f>'Saisie données file act.'!AC551</f>
        <v>0</v>
      </c>
      <c r="AD55" s="2393">
        <f>'Saisie données file act.'!AD551</f>
        <v>0</v>
      </c>
      <c r="AE55" s="2393">
        <f>'Saisie données file act.'!AE551</f>
        <v>0</v>
      </c>
      <c r="AF55" s="2393">
        <f>'Saisie données file act.'!AF551</f>
        <v>0</v>
      </c>
      <c r="AG55" s="2400">
        <f>'Saisie données file act.'!AG551</f>
        <v>0</v>
      </c>
      <c r="AH55" s="2395">
        <f>'Saisie données file act.'!AH551</f>
        <v>0</v>
      </c>
    </row>
    <row r="56" spans="3:34" x14ac:dyDescent="0.2">
      <c r="C56" s="3313"/>
      <c r="D56" s="2424">
        <f>'Saisie données file act.'!D552</f>
        <v>0</v>
      </c>
      <c r="E56" s="2406">
        <f>'Saisie données file act.'!E552</f>
        <v>0</v>
      </c>
      <c r="F56" s="2393">
        <f>'Saisie données file act.'!F552</f>
        <v>0</v>
      </c>
      <c r="G56" s="2393">
        <f>'Saisie données file act.'!G552</f>
        <v>0</v>
      </c>
      <c r="H56" s="2393">
        <f>'Saisie données file act.'!H552</f>
        <v>0</v>
      </c>
      <c r="I56" s="2393">
        <f>'Saisie données file act.'!I552</f>
        <v>0</v>
      </c>
      <c r="J56" s="2393">
        <f>'Saisie données file act.'!J552</f>
        <v>0</v>
      </c>
      <c r="K56" s="2393">
        <f>'Saisie données file act.'!K552</f>
        <v>0</v>
      </c>
      <c r="L56" s="2400">
        <f>'Saisie données file act.'!L552</f>
        <v>0</v>
      </c>
      <c r="M56" s="2406">
        <f>'Saisie données file act.'!M552</f>
        <v>0</v>
      </c>
      <c r="N56" s="2393">
        <f>'Saisie données file act.'!N552</f>
        <v>0</v>
      </c>
      <c r="O56" s="2393">
        <f>'Saisie données file act.'!O552</f>
        <v>0</v>
      </c>
      <c r="P56" s="2393">
        <f>'Saisie données file act.'!P552</f>
        <v>0</v>
      </c>
      <c r="Q56" s="2393">
        <f>'Saisie données file act.'!Q552</f>
        <v>0</v>
      </c>
      <c r="R56" s="2393">
        <f>'Saisie données file act.'!R552</f>
        <v>0</v>
      </c>
      <c r="S56" s="2393">
        <f>'Saisie données file act.'!S552</f>
        <v>0</v>
      </c>
      <c r="T56" s="2393">
        <f>'Saisie données file act.'!T552</f>
        <v>0</v>
      </c>
      <c r="U56" s="2393">
        <f>'Saisie données file act.'!U552</f>
        <v>0</v>
      </c>
      <c r="V56" s="2393">
        <f>'Saisie données file act.'!V552</f>
        <v>0</v>
      </c>
      <c r="W56" s="2393">
        <f>'Saisie données file act.'!W552</f>
        <v>0</v>
      </c>
      <c r="X56" s="2393">
        <f>'Saisie données file act.'!X552</f>
        <v>0</v>
      </c>
      <c r="Y56" s="2393">
        <f>'Saisie données file act.'!Y552</f>
        <v>0</v>
      </c>
      <c r="Z56" s="2393">
        <f>'Saisie données file act.'!Z552</f>
        <v>0</v>
      </c>
      <c r="AA56" s="2393">
        <f>'Saisie données file act.'!AA552</f>
        <v>0</v>
      </c>
      <c r="AB56" s="2393">
        <f>'Saisie données file act.'!AB552</f>
        <v>0</v>
      </c>
      <c r="AC56" s="2393">
        <f>'Saisie données file act.'!AC552</f>
        <v>0</v>
      </c>
      <c r="AD56" s="2393">
        <f>'Saisie données file act.'!AD552</f>
        <v>0</v>
      </c>
      <c r="AE56" s="2393">
        <f>'Saisie données file act.'!AE552</f>
        <v>0</v>
      </c>
      <c r="AF56" s="2393">
        <f>'Saisie données file act.'!AF552</f>
        <v>0</v>
      </c>
      <c r="AG56" s="2400">
        <f>'Saisie données file act.'!AG552</f>
        <v>0</v>
      </c>
      <c r="AH56" s="2395">
        <f>'Saisie données file act.'!AH552</f>
        <v>0</v>
      </c>
    </row>
    <row r="57" spans="3:34" x14ac:dyDescent="0.2">
      <c r="C57" s="3313"/>
      <c r="D57" s="2424">
        <f>'Saisie données file act.'!D553</f>
        <v>0</v>
      </c>
      <c r="E57" s="2406">
        <f>'Saisie données file act.'!E553</f>
        <v>0</v>
      </c>
      <c r="F57" s="2393">
        <f>'Saisie données file act.'!F553</f>
        <v>0</v>
      </c>
      <c r="G57" s="2393">
        <f>'Saisie données file act.'!G553</f>
        <v>0</v>
      </c>
      <c r="H57" s="2393">
        <f>'Saisie données file act.'!H553</f>
        <v>0</v>
      </c>
      <c r="I57" s="2393">
        <f>'Saisie données file act.'!I553</f>
        <v>0</v>
      </c>
      <c r="J57" s="2393">
        <f>'Saisie données file act.'!J553</f>
        <v>0</v>
      </c>
      <c r="K57" s="2393">
        <f>'Saisie données file act.'!K553</f>
        <v>0</v>
      </c>
      <c r="L57" s="2400">
        <f>'Saisie données file act.'!L553</f>
        <v>0</v>
      </c>
      <c r="M57" s="2406">
        <f>'Saisie données file act.'!M553</f>
        <v>0</v>
      </c>
      <c r="N57" s="2393">
        <f>'Saisie données file act.'!N553</f>
        <v>0</v>
      </c>
      <c r="O57" s="2393">
        <f>'Saisie données file act.'!O553</f>
        <v>0</v>
      </c>
      <c r="P57" s="2393">
        <f>'Saisie données file act.'!P553</f>
        <v>0</v>
      </c>
      <c r="Q57" s="2393">
        <f>'Saisie données file act.'!Q553</f>
        <v>0</v>
      </c>
      <c r="R57" s="2393">
        <f>'Saisie données file act.'!R553</f>
        <v>0</v>
      </c>
      <c r="S57" s="2393">
        <f>'Saisie données file act.'!S553</f>
        <v>0</v>
      </c>
      <c r="T57" s="2393">
        <f>'Saisie données file act.'!T553</f>
        <v>0</v>
      </c>
      <c r="U57" s="2393">
        <f>'Saisie données file act.'!U553</f>
        <v>0</v>
      </c>
      <c r="V57" s="2393">
        <f>'Saisie données file act.'!V553</f>
        <v>0</v>
      </c>
      <c r="W57" s="2393">
        <f>'Saisie données file act.'!W553</f>
        <v>0</v>
      </c>
      <c r="X57" s="2393">
        <f>'Saisie données file act.'!X553</f>
        <v>0</v>
      </c>
      <c r="Y57" s="2393">
        <f>'Saisie données file act.'!Y553</f>
        <v>0</v>
      </c>
      <c r="Z57" s="2393">
        <f>'Saisie données file act.'!Z553</f>
        <v>0</v>
      </c>
      <c r="AA57" s="2393">
        <f>'Saisie données file act.'!AA553</f>
        <v>0</v>
      </c>
      <c r="AB57" s="2393">
        <f>'Saisie données file act.'!AB553</f>
        <v>0</v>
      </c>
      <c r="AC57" s="2393">
        <f>'Saisie données file act.'!AC553</f>
        <v>0</v>
      </c>
      <c r="AD57" s="2393">
        <f>'Saisie données file act.'!AD553</f>
        <v>0</v>
      </c>
      <c r="AE57" s="2393">
        <f>'Saisie données file act.'!AE553</f>
        <v>0</v>
      </c>
      <c r="AF57" s="2393">
        <f>'Saisie données file act.'!AF553</f>
        <v>0</v>
      </c>
      <c r="AG57" s="2400">
        <f>'Saisie données file act.'!AG553</f>
        <v>0</v>
      </c>
      <c r="AH57" s="2395">
        <f>'Saisie données file act.'!AH553</f>
        <v>0</v>
      </c>
    </row>
    <row r="58" spans="3:34" x14ac:dyDescent="0.2">
      <c r="C58" s="3313"/>
      <c r="D58" s="2424">
        <f>'Saisie données file act.'!D554</f>
        <v>0</v>
      </c>
      <c r="E58" s="2406">
        <f>'Saisie données file act.'!E554</f>
        <v>0</v>
      </c>
      <c r="F58" s="2393">
        <f>'Saisie données file act.'!F554</f>
        <v>0</v>
      </c>
      <c r="G58" s="2393">
        <f>'Saisie données file act.'!G554</f>
        <v>0</v>
      </c>
      <c r="H58" s="2393">
        <f>'Saisie données file act.'!H554</f>
        <v>0</v>
      </c>
      <c r="I58" s="2393">
        <f>'Saisie données file act.'!I554</f>
        <v>0</v>
      </c>
      <c r="J58" s="2393">
        <f>'Saisie données file act.'!J554</f>
        <v>0</v>
      </c>
      <c r="K58" s="2393">
        <f>'Saisie données file act.'!K554</f>
        <v>0</v>
      </c>
      <c r="L58" s="2400">
        <f>'Saisie données file act.'!L554</f>
        <v>0</v>
      </c>
      <c r="M58" s="2406">
        <f>'Saisie données file act.'!M554</f>
        <v>0</v>
      </c>
      <c r="N58" s="2393">
        <f>'Saisie données file act.'!N554</f>
        <v>0</v>
      </c>
      <c r="O58" s="2393">
        <f>'Saisie données file act.'!O554</f>
        <v>0</v>
      </c>
      <c r="P58" s="2393">
        <f>'Saisie données file act.'!P554</f>
        <v>0</v>
      </c>
      <c r="Q58" s="2393">
        <f>'Saisie données file act.'!Q554</f>
        <v>0</v>
      </c>
      <c r="R58" s="2393">
        <f>'Saisie données file act.'!R554</f>
        <v>0</v>
      </c>
      <c r="S58" s="2393">
        <f>'Saisie données file act.'!S554</f>
        <v>0</v>
      </c>
      <c r="T58" s="2393">
        <f>'Saisie données file act.'!T554</f>
        <v>0</v>
      </c>
      <c r="U58" s="2393">
        <f>'Saisie données file act.'!U554</f>
        <v>0</v>
      </c>
      <c r="V58" s="2393">
        <f>'Saisie données file act.'!V554</f>
        <v>0</v>
      </c>
      <c r="W58" s="2393">
        <f>'Saisie données file act.'!W554</f>
        <v>0</v>
      </c>
      <c r="X58" s="2393">
        <f>'Saisie données file act.'!X554</f>
        <v>0</v>
      </c>
      <c r="Y58" s="2393">
        <f>'Saisie données file act.'!Y554</f>
        <v>0</v>
      </c>
      <c r="Z58" s="2393">
        <f>'Saisie données file act.'!Z554</f>
        <v>0</v>
      </c>
      <c r="AA58" s="2393">
        <f>'Saisie données file act.'!AA554</f>
        <v>0</v>
      </c>
      <c r="AB58" s="2393">
        <f>'Saisie données file act.'!AB554</f>
        <v>0</v>
      </c>
      <c r="AC58" s="2393">
        <f>'Saisie données file act.'!AC554</f>
        <v>0</v>
      </c>
      <c r="AD58" s="2393">
        <f>'Saisie données file act.'!AD554</f>
        <v>0</v>
      </c>
      <c r="AE58" s="2393">
        <f>'Saisie données file act.'!AE554</f>
        <v>0</v>
      </c>
      <c r="AF58" s="2393">
        <f>'Saisie données file act.'!AF554</f>
        <v>0</v>
      </c>
      <c r="AG58" s="2400">
        <f>'Saisie données file act.'!AG554</f>
        <v>0</v>
      </c>
      <c r="AH58" s="2395">
        <f>'Saisie données file act.'!AH554</f>
        <v>0</v>
      </c>
    </row>
    <row r="59" spans="3:34" x14ac:dyDescent="0.2">
      <c r="C59" s="3313"/>
      <c r="D59" s="2424">
        <f>'Saisie données file act.'!D555</f>
        <v>0</v>
      </c>
      <c r="E59" s="2406">
        <f>'Saisie données file act.'!E555</f>
        <v>0</v>
      </c>
      <c r="F59" s="2393">
        <f>'Saisie données file act.'!F555</f>
        <v>0</v>
      </c>
      <c r="G59" s="2393">
        <f>'Saisie données file act.'!G555</f>
        <v>0</v>
      </c>
      <c r="H59" s="2393">
        <f>'Saisie données file act.'!H555</f>
        <v>0</v>
      </c>
      <c r="I59" s="2393">
        <f>'Saisie données file act.'!I555</f>
        <v>0</v>
      </c>
      <c r="J59" s="2393">
        <f>'Saisie données file act.'!J555</f>
        <v>0</v>
      </c>
      <c r="K59" s="2393">
        <f>'Saisie données file act.'!K555</f>
        <v>0</v>
      </c>
      <c r="L59" s="2400">
        <f>'Saisie données file act.'!L555</f>
        <v>0</v>
      </c>
      <c r="M59" s="2406">
        <f>'Saisie données file act.'!M555</f>
        <v>0</v>
      </c>
      <c r="N59" s="2393">
        <f>'Saisie données file act.'!N555</f>
        <v>0</v>
      </c>
      <c r="O59" s="2393">
        <f>'Saisie données file act.'!O555</f>
        <v>0</v>
      </c>
      <c r="P59" s="2393">
        <f>'Saisie données file act.'!P555</f>
        <v>0</v>
      </c>
      <c r="Q59" s="2393">
        <f>'Saisie données file act.'!Q555</f>
        <v>0</v>
      </c>
      <c r="R59" s="2393">
        <f>'Saisie données file act.'!R555</f>
        <v>0</v>
      </c>
      <c r="S59" s="2393">
        <f>'Saisie données file act.'!S555</f>
        <v>0</v>
      </c>
      <c r="T59" s="2393">
        <f>'Saisie données file act.'!T555</f>
        <v>0</v>
      </c>
      <c r="U59" s="2393">
        <f>'Saisie données file act.'!U555</f>
        <v>0</v>
      </c>
      <c r="V59" s="2393">
        <f>'Saisie données file act.'!V555</f>
        <v>0</v>
      </c>
      <c r="W59" s="2393">
        <f>'Saisie données file act.'!W555</f>
        <v>0</v>
      </c>
      <c r="X59" s="2393">
        <f>'Saisie données file act.'!X555</f>
        <v>0</v>
      </c>
      <c r="Y59" s="2393">
        <f>'Saisie données file act.'!Y555</f>
        <v>0</v>
      </c>
      <c r="Z59" s="2393">
        <f>'Saisie données file act.'!Z555</f>
        <v>0</v>
      </c>
      <c r="AA59" s="2393">
        <f>'Saisie données file act.'!AA555</f>
        <v>0</v>
      </c>
      <c r="AB59" s="2393">
        <f>'Saisie données file act.'!AB555</f>
        <v>0</v>
      </c>
      <c r="AC59" s="2393">
        <f>'Saisie données file act.'!AC555</f>
        <v>0</v>
      </c>
      <c r="AD59" s="2393">
        <f>'Saisie données file act.'!AD555</f>
        <v>0</v>
      </c>
      <c r="AE59" s="2393">
        <f>'Saisie données file act.'!AE555</f>
        <v>0</v>
      </c>
      <c r="AF59" s="2393">
        <f>'Saisie données file act.'!AF555</f>
        <v>0</v>
      </c>
      <c r="AG59" s="2400">
        <f>'Saisie données file act.'!AG555</f>
        <v>0</v>
      </c>
      <c r="AH59" s="2395">
        <f>'Saisie données file act.'!AH555</f>
        <v>0</v>
      </c>
    </row>
    <row r="60" spans="3:34" x14ac:dyDescent="0.2">
      <c r="C60" s="3313"/>
      <c r="D60" s="2424">
        <f>'Saisie données file act.'!D556</f>
        <v>0</v>
      </c>
      <c r="E60" s="2406">
        <f>'Saisie données file act.'!E556</f>
        <v>0</v>
      </c>
      <c r="F60" s="2393">
        <f>'Saisie données file act.'!F556</f>
        <v>0</v>
      </c>
      <c r="G60" s="2393">
        <f>'Saisie données file act.'!G556</f>
        <v>0</v>
      </c>
      <c r="H60" s="2393">
        <f>'Saisie données file act.'!H556</f>
        <v>0</v>
      </c>
      <c r="I60" s="2393">
        <f>'Saisie données file act.'!I556</f>
        <v>0</v>
      </c>
      <c r="J60" s="2393">
        <f>'Saisie données file act.'!J556</f>
        <v>0</v>
      </c>
      <c r="K60" s="2393">
        <f>'Saisie données file act.'!K556</f>
        <v>0</v>
      </c>
      <c r="L60" s="2400">
        <f>'Saisie données file act.'!L556</f>
        <v>0</v>
      </c>
      <c r="M60" s="2406">
        <f>'Saisie données file act.'!M556</f>
        <v>0</v>
      </c>
      <c r="N60" s="2393">
        <f>'Saisie données file act.'!N556</f>
        <v>0</v>
      </c>
      <c r="O60" s="2393">
        <f>'Saisie données file act.'!O556</f>
        <v>0</v>
      </c>
      <c r="P60" s="2393">
        <f>'Saisie données file act.'!P556</f>
        <v>0</v>
      </c>
      <c r="Q60" s="2393">
        <f>'Saisie données file act.'!Q556</f>
        <v>0</v>
      </c>
      <c r="R60" s="2393">
        <f>'Saisie données file act.'!R556</f>
        <v>0</v>
      </c>
      <c r="S60" s="2393">
        <f>'Saisie données file act.'!S556</f>
        <v>0</v>
      </c>
      <c r="T60" s="2393">
        <f>'Saisie données file act.'!T556</f>
        <v>0</v>
      </c>
      <c r="U60" s="2393">
        <f>'Saisie données file act.'!U556</f>
        <v>0</v>
      </c>
      <c r="V60" s="2393">
        <f>'Saisie données file act.'!V556</f>
        <v>0</v>
      </c>
      <c r="W60" s="2393">
        <f>'Saisie données file act.'!W556</f>
        <v>0</v>
      </c>
      <c r="X60" s="2393">
        <f>'Saisie données file act.'!X556</f>
        <v>0</v>
      </c>
      <c r="Y60" s="2393">
        <f>'Saisie données file act.'!Y556</f>
        <v>0</v>
      </c>
      <c r="Z60" s="2393">
        <f>'Saisie données file act.'!Z556</f>
        <v>0</v>
      </c>
      <c r="AA60" s="2393">
        <f>'Saisie données file act.'!AA556</f>
        <v>0</v>
      </c>
      <c r="AB60" s="2393">
        <f>'Saisie données file act.'!AB556</f>
        <v>0</v>
      </c>
      <c r="AC60" s="2393">
        <f>'Saisie données file act.'!AC556</f>
        <v>0</v>
      </c>
      <c r="AD60" s="2393">
        <f>'Saisie données file act.'!AD556</f>
        <v>0</v>
      </c>
      <c r="AE60" s="2393">
        <f>'Saisie données file act.'!AE556</f>
        <v>0</v>
      </c>
      <c r="AF60" s="2393">
        <f>'Saisie données file act.'!AF556</f>
        <v>0</v>
      </c>
      <c r="AG60" s="2400">
        <f>'Saisie données file act.'!AG556</f>
        <v>0</v>
      </c>
      <c r="AH60" s="2395">
        <f>'Saisie données file act.'!AH556</f>
        <v>0</v>
      </c>
    </row>
    <row r="61" spans="3:34" x14ac:dyDescent="0.2">
      <c r="C61" s="3313"/>
      <c r="D61" s="2424">
        <f>'Saisie données file act.'!D557</f>
        <v>0</v>
      </c>
      <c r="E61" s="2406">
        <f>'Saisie données file act.'!E557</f>
        <v>0</v>
      </c>
      <c r="F61" s="2393">
        <f>'Saisie données file act.'!F557</f>
        <v>0</v>
      </c>
      <c r="G61" s="2393">
        <f>'Saisie données file act.'!G557</f>
        <v>0</v>
      </c>
      <c r="H61" s="2393">
        <f>'Saisie données file act.'!H557</f>
        <v>0</v>
      </c>
      <c r="I61" s="2393">
        <f>'Saisie données file act.'!I557</f>
        <v>0</v>
      </c>
      <c r="J61" s="2393">
        <f>'Saisie données file act.'!J557</f>
        <v>0</v>
      </c>
      <c r="K61" s="2393">
        <f>'Saisie données file act.'!K557</f>
        <v>0</v>
      </c>
      <c r="L61" s="2400">
        <f>'Saisie données file act.'!L557</f>
        <v>0</v>
      </c>
      <c r="M61" s="2406">
        <f>'Saisie données file act.'!M557</f>
        <v>0</v>
      </c>
      <c r="N61" s="2393">
        <f>'Saisie données file act.'!N557</f>
        <v>0</v>
      </c>
      <c r="O61" s="2393">
        <f>'Saisie données file act.'!O557</f>
        <v>0</v>
      </c>
      <c r="P61" s="2393">
        <f>'Saisie données file act.'!P557</f>
        <v>0</v>
      </c>
      <c r="Q61" s="2393">
        <f>'Saisie données file act.'!Q557</f>
        <v>0</v>
      </c>
      <c r="R61" s="2393">
        <f>'Saisie données file act.'!R557</f>
        <v>0</v>
      </c>
      <c r="S61" s="2393">
        <f>'Saisie données file act.'!S557</f>
        <v>0</v>
      </c>
      <c r="T61" s="2393">
        <f>'Saisie données file act.'!T557</f>
        <v>0</v>
      </c>
      <c r="U61" s="2393">
        <f>'Saisie données file act.'!U557</f>
        <v>0</v>
      </c>
      <c r="V61" s="2393">
        <f>'Saisie données file act.'!V557</f>
        <v>0</v>
      </c>
      <c r="W61" s="2393">
        <f>'Saisie données file act.'!W557</f>
        <v>0</v>
      </c>
      <c r="X61" s="2393">
        <f>'Saisie données file act.'!X557</f>
        <v>0</v>
      </c>
      <c r="Y61" s="2393">
        <f>'Saisie données file act.'!Y557</f>
        <v>0</v>
      </c>
      <c r="Z61" s="2393">
        <f>'Saisie données file act.'!Z557</f>
        <v>0</v>
      </c>
      <c r="AA61" s="2393">
        <f>'Saisie données file act.'!AA557</f>
        <v>0</v>
      </c>
      <c r="AB61" s="2393">
        <f>'Saisie données file act.'!AB557</f>
        <v>0</v>
      </c>
      <c r="AC61" s="2393">
        <f>'Saisie données file act.'!AC557</f>
        <v>0</v>
      </c>
      <c r="AD61" s="2393">
        <f>'Saisie données file act.'!AD557</f>
        <v>0</v>
      </c>
      <c r="AE61" s="2393">
        <f>'Saisie données file act.'!AE557</f>
        <v>0</v>
      </c>
      <c r="AF61" s="2393">
        <f>'Saisie données file act.'!AF557</f>
        <v>0</v>
      </c>
      <c r="AG61" s="2400">
        <f>'Saisie données file act.'!AG557</f>
        <v>0</v>
      </c>
      <c r="AH61" s="2395">
        <f>'Saisie données file act.'!AH557</f>
        <v>0</v>
      </c>
    </row>
    <row r="62" spans="3:34" x14ac:dyDescent="0.2">
      <c r="C62" s="3313"/>
      <c r="D62" s="2424">
        <f>'Saisie données file act.'!D558</f>
        <v>0</v>
      </c>
      <c r="E62" s="2406">
        <f>'Saisie données file act.'!E558</f>
        <v>0</v>
      </c>
      <c r="F62" s="2393">
        <f>'Saisie données file act.'!F558</f>
        <v>0</v>
      </c>
      <c r="G62" s="2393">
        <f>'Saisie données file act.'!G558</f>
        <v>0</v>
      </c>
      <c r="H62" s="2393">
        <f>'Saisie données file act.'!H558</f>
        <v>0</v>
      </c>
      <c r="I62" s="2393">
        <f>'Saisie données file act.'!I558</f>
        <v>0</v>
      </c>
      <c r="J62" s="2393">
        <f>'Saisie données file act.'!J558</f>
        <v>0</v>
      </c>
      <c r="K62" s="2393">
        <f>'Saisie données file act.'!K558</f>
        <v>0</v>
      </c>
      <c r="L62" s="2400">
        <f>'Saisie données file act.'!L558</f>
        <v>0</v>
      </c>
      <c r="M62" s="2406">
        <f>'Saisie données file act.'!M558</f>
        <v>0</v>
      </c>
      <c r="N62" s="2393">
        <f>'Saisie données file act.'!N558</f>
        <v>0</v>
      </c>
      <c r="O62" s="2393">
        <f>'Saisie données file act.'!O558</f>
        <v>0</v>
      </c>
      <c r="P62" s="2393">
        <f>'Saisie données file act.'!P558</f>
        <v>0</v>
      </c>
      <c r="Q62" s="2393">
        <f>'Saisie données file act.'!Q558</f>
        <v>0</v>
      </c>
      <c r="R62" s="2393">
        <f>'Saisie données file act.'!R558</f>
        <v>0</v>
      </c>
      <c r="S62" s="2393">
        <f>'Saisie données file act.'!S558</f>
        <v>0</v>
      </c>
      <c r="T62" s="2393">
        <f>'Saisie données file act.'!T558</f>
        <v>0</v>
      </c>
      <c r="U62" s="2393">
        <f>'Saisie données file act.'!U558</f>
        <v>0</v>
      </c>
      <c r="V62" s="2393">
        <f>'Saisie données file act.'!V558</f>
        <v>0</v>
      </c>
      <c r="W62" s="2393">
        <f>'Saisie données file act.'!W558</f>
        <v>0</v>
      </c>
      <c r="X62" s="2393">
        <f>'Saisie données file act.'!X558</f>
        <v>0</v>
      </c>
      <c r="Y62" s="2393">
        <f>'Saisie données file act.'!Y558</f>
        <v>0</v>
      </c>
      <c r="Z62" s="2393">
        <f>'Saisie données file act.'!Z558</f>
        <v>0</v>
      </c>
      <c r="AA62" s="2393">
        <f>'Saisie données file act.'!AA558</f>
        <v>0</v>
      </c>
      <c r="AB62" s="2393">
        <f>'Saisie données file act.'!AB558</f>
        <v>0</v>
      </c>
      <c r="AC62" s="2393">
        <f>'Saisie données file act.'!AC558</f>
        <v>0</v>
      </c>
      <c r="AD62" s="2393">
        <f>'Saisie données file act.'!AD558</f>
        <v>0</v>
      </c>
      <c r="AE62" s="2393">
        <f>'Saisie données file act.'!AE558</f>
        <v>0</v>
      </c>
      <c r="AF62" s="2393">
        <f>'Saisie données file act.'!AF558</f>
        <v>0</v>
      </c>
      <c r="AG62" s="2400">
        <f>'Saisie données file act.'!AG558</f>
        <v>0</v>
      </c>
      <c r="AH62" s="2395">
        <f>'Saisie données file act.'!AH558</f>
        <v>0</v>
      </c>
    </row>
    <row r="63" spans="3:34" ht="12.75" thickBot="1" x14ac:dyDescent="0.25">
      <c r="C63" s="3314"/>
      <c r="D63" s="2425">
        <f>'Saisie données file act.'!D559</f>
        <v>0</v>
      </c>
      <c r="E63" s="2407">
        <f>'Saisie données file act.'!E559</f>
        <v>0</v>
      </c>
      <c r="F63" s="2394">
        <f>'Saisie données file act.'!F559</f>
        <v>0</v>
      </c>
      <c r="G63" s="2394">
        <f>'Saisie données file act.'!G559</f>
        <v>0</v>
      </c>
      <c r="H63" s="2394">
        <f>'Saisie données file act.'!H559</f>
        <v>0</v>
      </c>
      <c r="I63" s="2394">
        <f>'Saisie données file act.'!I559</f>
        <v>0</v>
      </c>
      <c r="J63" s="2394">
        <f>'Saisie données file act.'!J559</f>
        <v>0</v>
      </c>
      <c r="K63" s="2394">
        <f>'Saisie données file act.'!K559</f>
        <v>0</v>
      </c>
      <c r="L63" s="2401">
        <f>'Saisie données file act.'!L559</f>
        <v>0</v>
      </c>
      <c r="M63" s="2407">
        <f>'Saisie données file act.'!M559</f>
        <v>0</v>
      </c>
      <c r="N63" s="2394">
        <f>'Saisie données file act.'!N559</f>
        <v>0</v>
      </c>
      <c r="O63" s="2394">
        <f>'Saisie données file act.'!O559</f>
        <v>0</v>
      </c>
      <c r="P63" s="2394">
        <f>'Saisie données file act.'!P559</f>
        <v>0</v>
      </c>
      <c r="Q63" s="2394">
        <f>'Saisie données file act.'!Q559</f>
        <v>0</v>
      </c>
      <c r="R63" s="2394">
        <f>'Saisie données file act.'!R559</f>
        <v>0</v>
      </c>
      <c r="S63" s="2394">
        <f>'Saisie données file act.'!S559</f>
        <v>0</v>
      </c>
      <c r="T63" s="2394">
        <f>'Saisie données file act.'!T559</f>
        <v>0</v>
      </c>
      <c r="U63" s="2394">
        <f>'Saisie données file act.'!U559</f>
        <v>0</v>
      </c>
      <c r="V63" s="2394">
        <f>'Saisie données file act.'!V559</f>
        <v>0</v>
      </c>
      <c r="W63" s="2394">
        <f>'Saisie données file act.'!W559</f>
        <v>0</v>
      </c>
      <c r="X63" s="2394">
        <f>'Saisie données file act.'!X559</f>
        <v>0</v>
      </c>
      <c r="Y63" s="2394">
        <f>'Saisie données file act.'!Y559</f>
        <v>0</v>
      </c>
      <c r="Z63" s="2394">
        <f>'Saisie données file act.'!Z559</f>
        <v>0</v>
      </c>
      <c r="AA63" s="2394">
        <f>'Saisie données file act.'!AA559</f>
        <v>0</v>
      </c>
      <c r="AB63" s="2394">
        <f>'Saisie données file act.'!AB559</f>
        <v>0</v>
      </c>
      <c r="AC63" s="2394">
        <f>'Saisie données file act.'!AC559</f>
        <v>0</v>
      </c>
      <c r="AD63" s="2394">
        <f>'Saisie données file act.'!AD559</f>
        <v>0</v>
      </c>
      <c r="AE63" s="2394">
        <f>'Saisie données file act.'!AE559</f>
        <v>0</v>
      </c>
      <c r="AF63" s="2394">
        <f>'Saisie données file act.'!AF559</f>
        <v>0</v>
      </c>
      <c r="AG63" s="2401">
        <f>'Saisie données file act.'!AG559</f>
        <v>0</v>
      </c>
      <c r="AH63" s="2403">
        <f>'Saisie données file act.'!AH559</f>
        <v>0</v>
      </c>
    </row>
    <row r="65" spans="2:34" ht="12.75" thickBot="1" x14ac:dyDescent="0.25"/>
    <row r="66" spans="2:34" ht="12.75" thickBot="1" x14ac:dyDescent="0.25">
      <c r="B66" s="2392" t="str">
        <f>'Saisie données file act.'!B562</f>
        <v>Tranche 15 -19,9 kg</v>
      </c>
      <c r="C66" s="1302"/>
      <c r="D66" s="1302"/>
      <c r="E66" s="1302"/>
      <c r="F66" s="1303"/>
    </row>
    <row r="67" spans="2:34" ht="12.75" thickBot="1" x14ac:dyDescent="0.25">
      <c r="B67" s="1299"/>
    </row>
    <row r="68" spans="2:34" ht="12.75" thickBot="1" x14ac:dyDescent="0.25">
      <c r="E68" s="1301" t="str">
        <f>'Saisie données file act.'!E564</f>
        <v>Solutions buvables</v>
      </c>
      <c r="F68" s="2404"/>
      <c r="G68" s="2404"/>
      <c r="H68" s="2404"/>
      <c r="I68" s="2404"/>
      <c r="J68" s="2404"/>
      <c r="K68" s="2404"/>
      <c r="L68" s="2405"/>
      <c r="M68" s="1301" t="str">
        <f>'Saisie données file act.'!M564</f>
        <v>Comprimés</v>
      </c>
      <c r="N68" s="2404"/>
      <c r="O68" s="2404"/>
      <c r="P68" s="2404"/>
      <c r="Q68" s="2404"/>
      <c r="R68" s="2404"/>
      <c r="S68" s="2404" t="str">
        <f>'Saisie données file act.'!M504</f>
        <v>Comprimés</v>
      </c>
      <c r="T68" s="2404"/>
      <c r="U68" s="2404"/>
      <c r="V68" s="2404"/>
      <c r="W68" s="2404"/>
      <c r="X68" s="2404"/>
      <c r="Y68" s="2404"/>
      <c r="Z68" s="2404"/>
      <c r="AA68" s="2404"/>
      <c r="AB68" s="2404"/>
      <c r="AC68" s="2404"/>
      <c r="AD68" s="2404"/>
      <c r="AE68" s="2404"/>
      <c r="AF68" s="2404"/>
      <c r="AG68" s="2405"/>
    </row>
    <row r="69" spans="2:34" s="1307" customFormat="1" ht="36" x14ac:dyDescent="0.2">
      <c r="B69" s="2412"/>
      <c r="C69" s="2413"/>
      <c r="D69" s="2411" t="str">
        <f>'Saisie données file act.'!D565</f>
        <v>Nb de boites / mois pour l'ensemble des patients</v>
      </c>
      <c r="E69" s="2414" t="str">
        <f>'Saisie données file act.'!E565</f>
        <v>AZT</v>
      </c>
      <c r="F69" s="2415" t="str">
        <f>'Saisie données file act.'!F565</f>
        <v>D4T</v>
      </c>
      <c r="G69" s="2415" t="str">
        <f>'Saisie données file act.'!G565</f>
        <v>3TC</v>
      </c>
      <c r="H69" s="2415" t="str">
        <f>'Saisie données file act.'!H565</f>
        <v>ABC</v>
      </c>
      <c r="I69" s="2415" t="str">
        <f>'Saisie données file act.'!I565</f>
        <v>DDI</v>
      </c>
      <c r="J69" s="2415" t="str">
        <f>'Saisie données file act.'!J565</f>
        <v>NVP</v>
      </c>
      <c r="K69" s="2415" t="str">
        <f>'Saisie données file act.'!K565</f>
        <v>EFV</v>
      </c>
      <c r="L69" s="2416" t="str">
        <f>'Saisie données file act.'!L565</f>
        <v>LPV/r</v>
      </c>
      <c r="M69" s="2414" t="str">
        <f>'Saisie données file act.'!M565</f>
        <v>AZT+3TC+NVP</v>
      </c>
      <c r="N69" s="2415" t="str">
        <f>'Saisie données file act.'!N565</f>
        <v>AZT+3TC+NVP bébé</v>
      </c>
      <c r="O69" s="2415" t="str">
        <f>'Saisie données file act.'!O565</f>
        <v>AZT+3TC</v>
      </c>
      <c r="P69" s="2415" t="str">
        <f>'Saisie données file act.'!P565</f>
        <v>AZT+3TC bébé</v>
      </c>
      <c r="Q69" s="2415" t="str">
        <f>'Saisie données file act.'!Q565</f>
        <v>D4T+3TC+NVP</v>
      </c>
      <c r="R69" s="2415" t="str">
        <f>'Saisie données file act.'!R565</f>
        <v>D4T+3TC+NVP bébé</v>
      </c>
      <c r="S69" s="2415" t="str">
        <f>'Saisie données file act.'!S565</f>
        <v>D4T+3TC</v>
      </c>
      <c r="T69" s="2415" t="str">
        <f>'Saisie données file act.'!T565</f>
        <v>AZT+3TC+ABC</v>
      </c>
      <c r="U69" s="2415" t="str">
        <f>'Saisie données file act.'!U565</f>
        <v>ABC+3TC</v>
      </c>
      <c r="V69" s="2415" t="str">
        <f>'Saisie données file act.'!V565</f>
        <v>ABC+3TC bébé</v>
      </c>
      <c r="W69" s="2415" t="str">
        <f>'Saisie données file act.'!W565</f>
        <v>3TC</v>
      </c>
      <c r="X69" s="2415" t="str">
        <f>'Saisie données file act.'!X565</f>
        <v>ABC</v>
      </c>
      <c r="Y69" s="2415" t="str">
        <f>'Saisie données file act.'!Y565</f>
        <v>ABC bébé</v>
      </c>
      <c r="Z69" s="2415" t="str">
        <f>'Saisie données file act.'!Z565</f>
        <v>AZT</v>
      </c>
      <c r="AA69" s="2415" t="str">
        <f>'Saisie données file act.'!AA565</f>
        <v>AZT bébé</v>
      </c>
      <c r="AB69" s="2415" t="str">
        <f>'Saisie données file act.'!AB565</f>
        <v>DDI</v>
      </c>
      <c r="AC69" s="2415" t="str">
        <f>'Saisie données file act.'!AC565</f>
        <v>NVP</v>
      </c>
      <c r="AD69" s="2415" t="str">
        <f>'Saisie données file act.'!AD565</f>
        <v>EFV</v>
      </c>
      <c r="AE69" s="2415" t="str">
        <f>'Saisie données file act.'!AE565</f>
        <v>EFV</v>
      </c>
      <c r="AF69" s="2415" t="str">
        <f>'Saisie données file act.'!AF565</f>
        <v>LPV/r</v>
      </c>
      <c r="AG69" s="2416" t="str">
        <f>'Saisie données file act.'!AG565</f>
        <v>LPV/r bébé</v>
      </c>
      <c r="AH69" s="2417"/>
    </row>
    <row r="70" spans="2:34" s="1307" customFormat="1" ht="24.75" thickBot="1" x14ac:dyDescent="0.25">
      <c r="C70" s="2418"/>
      <c r="D70" s="2419" t="str">
        <f>'Saisie données file act.'!D566</f>
        <v>Dosage</v>
      </c>
      <c r="E70" s="2420" t="str">
        <f>'Saisie données file act.'!E566</f>
        <v>10 mg/mL</v>
      </c>
      <c r="F70" s="2421" t="str">
        <f>'Saisie données file act.'!F566</f>
        <v>10 mg/mL</v>
      </c>
      <c r="G70" s="2421" t="str">
        <f>'Saisie données file act.'!G566</f>
        <v>10 mg/mL</v>
      </c>
      <c r="H70" s="2421" t="str">
        <f>'Saisie données file act.'!H566</f>
        <v>20 mg/mL</v>
      </c>
      <c r="I70" s="2421" t="str">
        <f>'Saisie données file act.'!I566</f>
        <v>2 g</v>
      </c>
      <c r="J70" s="2421" t="str">
        <f>'Saisie données file act.'!J566</f>
        <v>10 mg/mL</v>
      </c>
      <c r="K70" s="2421" t="str">
        <f>'Saisie données file act.'!K566</f>
        <v>30 mg/mL</v>
      </c>
      <c r="L70" s="2422" t="str">
        <f>'Saisie données file act.'!L566</f>
        <v>80/20 mg/mL</v>
      </c>
      <c r="M70" s="2420" t="str">
        <f>'Saisie données file act.'!M566</f>
        <v>300/150/200 mg</v>
      </c>
      <c r="N70" s="2421" t="str">
        <f>'Saisie données file act.'!N566</f>
        <v>60/30/50 mg</v>
      </c>
      <c r="O70" s="2421" t="str">
        <f>'Saisie données file act.'!O566</f>
        <v>300/150 mg</v>
      </c>
      <c r="P70" s="2421" t="str">
        <f>'Saisie données file act.'!P566</f>
        <v>60/30 mg</v>
      </c>
      <c r="Q70" s="2421" t="str">
        <f>'Saisie données file act.'!Q566</f>
        <v>30/150/200 mg</v>
      </c>
      <c r="R70" s="2421" t="str">
        <f>'Saisie données file act.'!R566</f>
        <v>6/30/50 mg</v>
      </c>
      <c r="S70" s="2421" t="str">
        <f>'Saisie données file act.'!S566</f>
        <v>30/150 mg</v>
      </c>
      <c r="T70" s="2421" t="str">
        <f>'Saisie données file act.'!T566</f>
        <v>300/150/300 mg</v>
      </c>
      <c r="U70" s="2421" t="str">
        <f>'Saisie données file act.'!U566</f>
        <v>600/300 mg</v>
      </c>
      <c r="V70" s="2421" t="str">
        <f>'Saisie données file act.'!V566</f>
        <v>60/30 mg</v>
      </c>
      <c r="W70" s="2421" t="str">
        <f>'Saisie données file act.'!W566</f>
        <v>150 mg</v>
      </c>
      <c r="X70" s="2421" t="str">
        <f>'Saisie données file act.'!X566</f>
        <v>300 mg</v>
      </c>
      <c r="Y70" s="2421" t="str">
        <f>'Saisie données file act.'!Y566</f>
        <v>60 mg</v>
      </c>
      <c r="Z70" s="2421" t="str">
        <f>'Saisie données file act.'!Z566</f>
        <v>100 mg</v>
      </c>
      <c r="AA70" s="2421" t="str">
        <f>'Saisie données file act.'!AA566</f>
        <v>60 mg</v>
      </c>
      <c r="AB70" s="2421" t="str">
        <f>'Saisie données file act.'!AB566</f>
        <v>250 mg</v>
      </c>
      <c r="AC70" s="2421" t="str">
        <f>'Saisie données file act.'!AC566</f>
        <v>200 mg</v>
      </c>
      <c r="AD70" s="2421" t="str">
        <f>'Saisie données file act.'!AD566</f>
        <v>200 mg</v>
      </c>
      <c r="AE70" s="2421" t="str">
        <f>'Saisie données file act.'!AE566</f>
        <v>50 mg</v>
      </c>
      <c r="AF70" s="2421" t="str">
        <f>'Saisie données file act.'!AF566</f>
        <v>200/50 mg</v>
      </c>
      <c r="AG70" s="2422" t="str">
        <f>'Saisie données file act.'!AG566</f>
        <v>100/25 mg</v>
      </c>
      <c r="AH70" s="2423"/>
    </row>
    <row r="71" spans="2:34" x14ac:dyDescent="0.2">
      <c r="C71" s="3312" t="str">
        <f>'Saisie données file act.'!C567</f>
        <v>Schéma thérapeutique</v>
      </c>
      <c r="D71" s="2427" t="str">
        <f>'Saisie données file act.'!D567</f>
        <v>Premières lignes</v>
      </c>
      <c r="E71" s="2397">
        <f>'Saisie données file act.'!E567</f>
        <v>0</v>
      </c>
      <c r="F71" s="2398">
        <f>'Saisie données file act.'!F567</f>
        <v>0</v>
      </c>
      <c r="G71" s="2398">
        <f>'Saisie données file act.'!G567</f>
        <v>0</v>
      </c>
      <c r="H71" s="2398">
        <f>'Saisie données file act.'!H567</f>
        <v>0</v>
      </c>
      <c r="I71" s="2398">
        <f>'Saisie données file act.'!I567</f>
        <v>0</v>
      </c>
      <c r="J71" s="2398">
        <f>'Saisie données file act.'!J567</f>
        <v>0</v>
      </c>
      <c r="K71" s="2398">
        <f>'Saisie données file act.'!K567</f>
        <v>0</v>
      </c>
      <c r="L71" s="2399">
        <f>'Saisie données file act.'!L567</f>
        <v>0</v>
      </c>
      <c r="M71" s="2397">
        <f>'Saisie données file act.'!M567</f>
        <v>0</v>
      </c>
      <c r="N71" s="2398">
        <f>'Saisie données file act.'!N567</f>
        <v>0</v>
      </c>
      <c r="O71" s="2398">
        <f>'Saisie données file act.'!O567</f>
        <v>0</v>
      </c>
      <c r="P71" s="2398">
        <f>'Saisie données file act.'!P567</f>
        <v>0</v>
      </c>
      <c r="Q71" s="2398">
        <f>'Saisie données file act.'!Q567</f>
        <v>0</v>
      </c>
      <c r="R71" s="2398">
        <f>'Saisie données file act.'!R567</f>
        <v>0</v>
      </c>
      <c r="S71" s="2398">
        <f>'Saisie données file act.'!S567</f>
        <v>0</v>
      </c>
      <c r="T71" s="2398">
        <f>'Saisie données file act.'!T567</f>
        <v>0</v>
      </c>
      <c r="U71" s="2398">
        <f>'Saisie données file act.'!U567</f>
        <v>0</v>
      </c>
      <c r="V71" s="2398">
        <f>'Saisie données file act.'!V567</f>
        <v>0</v>
      </c>
      <c r="W71" s="2398">
        <f>'Saisie données file act.'!W567</f>
        <v>0</v>
      </c>
      <c r="X71" s="2398">
        <f>'Saisie données file act.'!X567</f>
        <v>0</v>
      </c>
      <c r="Y71" s="2398">
        <f>'Saisie données file act.'!Y567</f>
        <v>0</v>
      </c>
      <c r="Z71" s="2398">
        <f>'Saisie données file act.'!Z567</f>
        <v>0</v>
      </c>
      <c r="AA71" s="2398">
        <f>'Saisie données file act.'!AA567</f>
        <v>0</v>
      </c>
      <c r="AB71" s="2398">
        <f>'Saisie données file act.'!AB567</f>
        <v>0</v>
      </c>
      <c r="AC71" s="2398">
        <f>'Saisie données file act.'!AC567</f>
        <v>0</v>
      </c>
      <c r="AD71" s="2398">
        <f>'Saisie données file act.'!AD567</f>
        <v>0</v>
      </c>
      <c r="AE71" s="2398">
        <f>'Saisie données file act.'!AE567</f>
        <v>0</v>
      </c>
      <c r="AF71" s="2398">
        <f>'Saisie données file act.'!AF567</f>
        <v>0</v>
      </c>
      <c r="AG71" s="2399">
        <f>'Saisie données file act.'!AG567</f>
        <v>0</v>
      </c>
      <c r="AH71" s="2402" t="str">
        <f>'Saisie données file act.'!AH567</f>
        <v>Vérification nb de produits sélectionnés</v>
      </c>
    </row>
    <row r="72" spans="2:34" x14ac:dyDescent="0.2">
      <c r="C72" s="3313"/>
      <c r="D72" s="2424" t="str">
        <f>'Saisie données file act.'!D568</f>
        <v>ABC+3TC+LPV/r</v>
      </c>
      <c r="E72" s="2406">
        <f>'Saisie données file act.'!E568</f>
        <v>0</v>
      </c>
      <c r="F72" s="2393">
        <f>'Saisie données file act.'!F568</f>
        <v>0</v>
      </c>
      <c r="G72" s="2393">
        <f>'Saisie données file act.'!G568</f>
        <v>0</v>
      </c>
      <c r="H72" s="2393">
        <f>'Saisie données file act.'!H568</f>
        <v>0</v>
      </c>
      <c r="I72" s="2393">
        <f>'Saisie données file act.'!I568</f>
        <v>0</v>
      </c>
      <c r="J72" s="2393">
        <f>'Saisie données file act.'!J568</f>
        <v>0</v>
      </c>
      <c r="K72" s="2393">
        <f>'Saisie données file act.'!K568</f>
        <v>0</v>
      </c>
      <c r="L72" s="2400">
        <f>'Saisie données file act.'!L568</f>
        <v>0</v>
      </c>
      <c r="M72" s="2406">
        <f>'Saisie données file act.'!M568</f>
        <v>0</v>
      </c>
      <c r="N72" s="2393">
        <f>'Saisie données file act.'!N568</f>
        <v>0</v>
      </c>
      <c r="O72" s="2393">
        <f>'Saisie données file act.'!O568</f>
        <v>0</v>
      </c>
      <c r="P72" s="2393">
        <f>'Saisie données file act.'!P568</f>
        <v>0</v>
      </c>
      <c r="Q72" s="2393">
        <f>'Saisie données file act.'!Q568</f>
        <v>0</v>
      </c>
      <c r="R72" s="2393">
        <f>'Saisie données file act.'!R568</f>
        <v>0</v>
      </c>
      <c r="S72" s="2393">
        <f>'Saisie données file act.'!S568</f>
        <v>0</v>
      </c>
      <c r="T72" s="2393">
        <f>'Saisie données file act.'!T568</f>
        <v>0</v>
      </c>
      <c r="U72" s="2393">
        <f>'Saisie données file act.'!U568</f>
        <v>0</v>
      </c>
      <c r="V72" s="2393">
        <f>'Saisie données file act.'!V568</f>
        <v>0</v>
      </c>
      <c r="W72" s="2393">
        <f>'Saisie données file act.'!W568</f>
        <v>0</v>
      </c>
      <c r="X72" s="2393">
        <f>'Saisie données file act.'!X568</f>
        <v>0</v>
      </c>
      <c r="Y72" s="2393">
        <f>'Saisie données file act.'!Y568</f>
        <v>0</v>
      </c>
      <c r="Z72" s="2393">
        <f>'Saisie données file act.'!Z568</f>
        <v>0</v>
      </c>
      <c r="AA72" s="2393">
        <f>'Saisie données file act.'!AA568</f>
        <v>0</v>
      </c>
      <c r="AB72" s="2393">
        <f>'Saisie données file act.'!AB568</f>
        <v>0</v>
      </c>
      <c r="AC72" s="2393">
        <f>'Saisie données file act.'!AC568</f>
        <v>0</v>
      </c>
      <c r="AD72" s="2393">
        <f>'Saisie données file act.'!AD568</f>
        <v>0</v>
      </c>
      <c r="AE72" s="2393">
        <f>'Saisie données file act.'!AE568</f>
        <v>0</v>
      </c>
      <c r="AF72" s="2393">
        <f>'Saisie données file act.'!AF568</f>
        <v>0</v>
      </c>
      <c r="AG72" s="2400">
        <f>'Saisie données file act.'!AG568</f>
        <v>0</v>
      </c>
      <c r="AH72" s="2395">
        <f>'Saisie données file act.'!AH568</f>
        <v>0</v>
      </c>
    </row>
    <row r="73" spans="2:34" x14ac:dyDescent="0.2">
      <c r="C73" s="3313"/>
      <c r="D73" s="2424" t="str">
        <f>'Saisie données file act.'!D569</f>
        <v>ABC+3TC+EFV</v>
      </c>
      <c r="E73" s="2406">
        <f>'Saisie données file act.'!E569</f>
        <v>0</v>
      </c>
      <c r="F73" s="2393">
        <f>'Saisie données file act.'!F569</f>
        <v>0</v>
      </c>
      <c r="G73" s="2393">
        <f>'Saisie données file act.'!G569</f>
        <v>0</v>
      </c>
      <c r="H73" s="2393">
        <f>'Saisie données file act.'!H569</f>
        <v>0</v>
      </c>
      <c r="I73" s="2393">
        <f>'Saisie données file act.'!I569</f>
        <v>0</v>
      </c>
      <c r="J73" s="2393">
        <f>'Saisie données file act.'!J569</f>
        <v>0</v>
      </c>
      <c r="K73" s="2393">
        <f>'Saisie données file act.'!K569</f>
        <v>0</v>
      </c>
      <c r="L73" s="2400">
        <f>'Saisie données file act.'!L569</f>
        <v>0</v>
      </c>
      <c r="M73" s="2406">
        <f>'Saisie données file act.'!M569</f>
        <v>0</v>
      </c>
      <c r="N73" s="2393">
        <f>'Saisie données file act.'!N569</f>
        <v>0</v>
      </c>
      <c r="O73" s="2393">
        <f>'Saisie données file act.'!O569</f>
        <v>0</v>
      </c>
      <c r="P73" s="2393">
        <f>'Saisie données file act.'!P569</f>
        <v>0</v>
      </c>
      <c r="Q73" s="2393">
        <f>'Saisie données file act.'!Q569</f>
        <v>0</v>
      </c>
      <c r="R73" s="2393">
        <f>'Saisie données file act.'!R569</f>
        <v>0</v>
      </c>
      <c r="S73" s="2393">
        <f>'Saisie données file act.'!S569</f>
        <v>0</v>
      </c>
      <c r="T73" s="2393">
        <f>'Saisie données file act.'!T569</f>
        <v>0</v>
      </c>
      <c r="U73" s="2393">
        <f>'Saisie données file act.'!U569</f>
        <v>0</v>
      </c>
      <c r="V73" s="2393">
        <f>'Saisie données file act.'!V569</f>
        <v>0</v>
      </c>
      <c r="W73" s="2393">
        <f>'Saisie données file act.'!W569</f>
        <v>0</v>
      </c>
      <c r="X73" s="2393">
        <f>'Saisie données file act.'!X569</f>
        <v>0</v>
      </c>
      <c r="Y73" s="2393">
        <f>'Saisie données file act.'!Y569</f>
        <v>0</v>
      </c>
      <c r="Z73" s="2393">
        <f>'Saisie données file act.'!Z569</f>
        <v>0</v>
      </c>
      <c r="AA73" s="2393">
        <f>'Saisie données file act.'!AA569</f>
        <v>0</v>
      </c>
      <c r="AB73" s="2393">
        <f>'Saisie données file act.'!AB569</f>
        <v>0</v>
      </c>
      <c r="AC73" s="2393">
        <f>'Saisie données file act.'!AC569</f>
        <v>0</v>
      </c>
      <c r="AD73" s="2393">
        <f>'Saisie données file act.'!AD569</f>
        <v>0</v>
      </c>
      <c r="AE73" s="2393">
        <f>'Saisie données file act.'!AE569</f>
        <v>0</v>
      </c>
      <c r="AF73" s="2393">
        <f>'Saisie données file act.'!AF569</f>
        <v>0</v>
      </c>
      <c r="AG73" s="2400">
        <f>'Saisie données file act.'!AG569</f>
        <v>0</v>
      </c>
      <c r="AH73" s="2395">
        <f>'Saisie données file act.'!AH569</f>
        <v>0</v>
      </c>
    </row>
    <row r="74" spans="2:34" x14ac:dyDescent="0.2">
      <c r="C74" s="3313"/>
      <c r="D74" s="2424" t="str">
        <f>'Saisie données file act.'!D570</f>
        <v>ABC+3TC+AZT</v>
      </c>
      <c r="E74" s="2406">
        <f>'Saisie données file act.'!E570</f>
        <v>0</v>
      </c>
      <c r="F74" s="2393">
        <f>'Saisie données file act.'!F570</f>
        <v>0</v>
      </c>
      <c r="G74" s="2393">
        <f>'Saisie données file act.'!G570</f>
        <v>0</v>
      </c>
      <c r="H74" s="2393">
        <f>'Saisie données file act.'!H570</f>
        <v>0</v>
      </c>
      <c r="I74" s="2393">
        <f>'Saisie données file act.'!I570</f>
        <v>0</v>
      </c>
      <c r="J74" s="2393">
        <f>'Saisie données file act.'!J570</f>
        <v>0</v>
      </c>
      <c r="K74" s="2393">
        <f>'Saisie données file act.'!K570</f>
        <v>0</v>
      </c>
      <c r="L74" s="2400">
        <f>'Saisie données file act.'!L570</f>
        <v>0</v>
      </c>
      <c r="M74" s="2406">
        <f>'Saisie données file act.'!M570</f>
        <v>0</v>
      </c>
      <c r="N74" s="2393">
        <f>'Saisie données file act.'!N570</f>
        <v>0</v>
      </c>
      <c r="O74" s="2393">
        <f>'Saisie données file act.'!O570</f>
        <v>0</v>
      </c>
      <c r="P74" s="2393">
        <f>'Saisie données file act.'!P570</f>
        <v>0</v>
      </c>
      <c r="Q74" s="2393">
        <f>'Saisie données file act.'!Q570</f>
        <v>0</v>
      </c>
      <c r="R74" s="2393">
        <f>'Saisie données file act.'!R570</f>
        <v>0</v>
      </c>
      <c r="S74" s="2393">
        <f>'Saisie données file act.'!S570</f>
        <v>0</v>
      </c>
      <c r="T74" s="2393">
        <f>'Saisie données file act.'!T570</f>
        <v>0</v>
      </c>
      <c r="U74" s="2393">
        <f>'Saisie données file act.'!U570</f>
        <v>0</v>
      </c>
      <c r="V74" s="2393">
        <f>'Saisie données file act.'!V570</f>
        <v>0</v>
      </c>
      <c r="W74" s="2393">
        <f>'Saisie données file act.'!W570</f>
        <v>0</v>
      </c>
      <c r="X74" s="2393">
        <f>'Saisie données file act.'!X570</f>
        <v>0</v>
      </c>
      <c r="Y74" s="2393">
        <f>'Saisie données file act.'!Y570</f>
        <v>0</v>
      </c>
      <c r="Z74" s="2393">
        <f>'Saisie données file act.'!Z570</f>
        <v>0</v>
      </c>
      <c r="AA74" s="2393">
        <f>'Saisie données file act.'!AA570</f>
        <v>0</v>
      </c>
      <c r="AB74" s="2393">
        <f>'Saisie données file act.'!AB570</f>
        <v>0</v>
      </c>
      <c r="AC74" s="2393">
        <f>'Saisie données file act.'!AC570</f>
        <v>0</v>
      </c>
      <c r="AD74" s="2393">
        <f>'Saisie données file act.'!AD570</f>
        <v>0</v>
      </c>
      <c r="AE74" s="2393">
        <f>'Saisie données file act.'!AE570</f>
        <v>0</v>
      </c>
      <c r="AF74" s="2393">
        <f>'Saisie données file act.'!AF570</f>
        <v>0</v>
      </c>
      <c r="AG74" s="2400">
        <f>'Saisie données file act.'!AG570</f>
        <v>0</v>
      </c>
      <c r="AH74" s="2395">
        <f>'Saisie données file act.'!AH570</f>
        <v>0</v>
      </c>
    </row>
    <row r="75" spans="2:34" x14ac:dyDescent="0.2">
      <c r="C75" s="3313"/>
      <c r="D75" s="2424">
        <f>'Saisie données file act.'!D571</f>
        <v>0</v>
      </c>
      <c r="E75" s="2406">
        <f>'Saisie données file act.'!E571</f>
        <v>0</v>
      </c>
      <c r="F75" s="2393">
        <f>'Saisie données file act.'!F571</f>
        <v>0</v>
      </c>
      <c r="G75" s="2393">
        <f>'Saisie données file act.'!G571</f>
        <v>0</v>
      </c>
      <c r="H75" s="2393">
        <f>'Saisie données file act.'!H571</f>
        <v>0</v>
      </c>
      <c r="I75" s="2393">
        <f>'Saisie données file act.'!I571</f>
        <v>0</v>
      </c>
      <c r="J75" s="2393">
        <f>'Saisie données file act.'!J571</f>
        <v>0</v>
      </c>
      <c r="K75" s="2393">
        <f>'Saisie données file act.'!K571</f>
        <v>0</v>
      </c>
      <c r="L75" s="2400">
        <f>'Saisie données file act.'!L571</f>
        <v>0</v>
      </c>
      <c r="M75" s="2406">
        <f>'Saisie données file act.'!M571</f>
        <v>0</v>
      </c>
      <c r="N75" s="2393">
        <f>'Saisie données file act.'!N571</f>
        <v>0</v>
      </c>
      <c r="O75" s="2393">
        <f>'Saisie données file act.'!O571</f>
        <v>0</v>
      </c>
      <c r="P75" s="2393">
        <f>'Saisie données file act.'!P571</f>
        <v>0</v>
      </c>
      <c r="Q75" s="2393">
        <f>'Saisie données file act.'!Q571</f>
        <v>0</v>
      </c>
      <c r="R75" s="2393">
        <f>'Saisie données file act.'!R571</f>
        <v>0</v>
      </c>
      <c r="S75" s="2393">
        <f>'Saisie données file act.'!S571</f>
        <v>0</v>
      </c>
      <c r="T75" s="2393">
        <f>'Saisie données file act.'!T571</f>
        <v>0</v>
      </c>
      <c r="U75" s="2393">
        <f>'Saisie données file act.'!U571</f>
        <v>0</v>
      </c>
      <c r="V75" s="2393">
        <f>'Saisie données file act.'!V571</f>
        <v>0</v>
      </c>
      <c r="W75" s="2393">
        <f>'Saisie données file act.'!W571</f>
        <v>0</v>
      </c>
      <c r="X75" s="2393">
        <f>'Saisie données file act.'!X571</f>
        <v>0</v>
      </c>
      <c r="Y75" s="2393">
        <f>'Saisie données file act.'!Y571</f>
        <v>0</v>
      </c>
      <c r="Z75" s="2393">
        <f>'Saisie données file act.'!Z571</f>
        <v>0</v>
      </c>
      <c r="AA75" s="2393">
        <f>'Saisie données file act.'!AA571</f>
        <v>0</v>
      </c>
      <c r="AB75" s="2393">
        <f>'Saisie données file act.'!AB571</f>
        <v>0</v>
      </c>
      <c r="AC75" s="2393">
        <f>'Saisie données file act.'!AC571</f>
        <v>0</v>
      </c>
      <c r="AD75" s="2393">
        <f>'Saisie données file act.'!AD571</f>
        <v>0</v>
      </c>
      <c r="AE75" s="2393">
        <f>'Saisie données file act.'!AE571</f>
        <v>0</v>
      </c>
      <c r="AF75" s="2393">
        <f>'Saisie données file act.'!AF571</f>
        <v>0</v>
      </c>
      <c r="AG75" s="2400">
        <f>'Saisie données file act.'!AG571</f>
        <v>0</v>
      </c>
      <c r="AH75" s="2395">
        <f>'Saisie données file act.'!AH571</f>
        <v>0</v>
      </c>
    </row>
    <row r="76" spans="2:34" ht="13.5" customHeight="1" x14ac:dyDescent="0.2">
      <c r="C76" s="3313"/>
      <c r="D76" s="2424">
        <f>'Saisie données file act.'!D572</f>
        <v>0</v>
      </c>
      <c r="E76" s="2406">
        <f>'Saisie données file act.'!E572</f>
        <v>0</v>
      </c>
      <c r="F76" s="2393">
        <f>'Saisie données file act.'!F572</f>
        <v>0</v>
      </c>
      <c r="G76" s="2393">
        <f>'Saisie données file act.'!G572</f>
        <v>0</v>
      </c>
      <c r="H76" s="2393">
        <f>'Saisie données file act.'!H572</f>
        <v>0</v>
      </c>
      <c r="I76" s="2393">
        <f>'Saisie données file act.'!I572</f>
        <v>0</v>
      </c>
      <c r="J76" s="2393">
        <f>'Saisie données file act.'!J572</f>
        <v>0</v>
      </c>
      <c r="K76" s="2393">
        <f>'Saisie données file act.'!K572</f>
        <v>0</v>
      </c>
      <c r="L76" s="2400">
        <f>'Saisie données file act.'!L572</f>
        <v>0</v>
      </c>
      <c r="M76" s="2406">
        <f>'Saisie données file act.'!M572</f>
        <v>0</v>
      </c>
      <c r="N76" s="2393">
        <f>'Saisie données file act.'!N572</f>
        <v>0</v>
      </c>
      <c r="O76" s="2393">
        <f>'Saisie données file act.'!O572</f>
        <v>0</v>
      </c>
      <c r="P76" s="2393">
        <f>'Saisie données file act.'!P572</f>
        <v>0</v>
      </c>
      <c r="Q76" s="2393">
        <f>'Saisie données file act.'!Q572</f>
        <v>0</v>
      </c>
      <c r="R76" s="2393">
        <f>'Saisie données file act.'!R572</f>
        <v>0</v>
      </c>
      <c r="S76" s="2393">
        <f>'Saisie données file act.'!S572</f>
        <v>0</v>
      </c>
      <c r="T76" s="2393">
        <f>'Saisie données file act.'!T572</f>
        <v>0</v>
      </c>
      <c r="U76" s="2393">
        <f>'Saisie données file act.'!U572</f>
        <v>0</v>
      </c>
      <c r="V76" s="2393">
        <f>'Saisie données file act.'!V572</f>
        <v>0</v>
      </c>
      <c r="W76" s="2393">
        <f>'Saisie données file act.'!W572</f>
        <v>0</v>
      </c>
      <c r="X76" s="2393">
        <f>'Saisie données file act.'!X572</f>
        <v>0</v>
      </c>
      <c r="Y76" s="2393">
        <f>'Saisie données file act.'!Y572</f>
        <v>0</v>
      </c>
      <c r="Z76" s="2393">
        <f>'Saisie données file act.'!Z572</f>
        <v>0</v>
      </c>
      <c r="AA76" s="2393">
        <f>'Saisie données file act.'!AA572</f>
        <v>0</v>
      </c>
      <c r="AB76" s="2393">
        <f>'Saisie données file act.'!AB572</f>
        <v>0</v>
      </c>
      <c r="AC76" s="2393">
        <f>'Saisie données file act.'!AC572</f>
        <v>0</v>
      </c>
      <c r="AD76" s="2393">
        <f>'Saisie données file act.'!AD572</f>
        <v>0</v>
      </c>
      <c r="AE76" s="2393">
        <f>'Saisie données file act.'!AE572</f>
        <v>0</v>
      </c>
      <c r="AF76" s="2393">
        <f>'Saisie données file act.'!AF572</f>
        <v>0</v>
      </c>
      <c r="AG76" s="2400">
        <f>'Saisie données file act.'!AG572</f>
        <v>0</v>
      </c>
      <c r="AH76" s="2395">
        <f>'Saisie données file act.'!AH572</f>
        <v>0</v>
      </c>
    </row>
    <row r="77" spans="2:34" ht="12.75" thickBot="1" x14ac:dyDescent="0.25">
      <c r="C77" s="3313"/>
      <c r="D77" s="2425">
        <f>'Saisie données file act.'!D573</f>
        <v>0</v>
      </c>
      <c r="E77" s="2407">
        <f>'Saisie données file act.'!E573</f>
        <v>0</v>
      </c>
      <c r="F77" s="2394">
        <f>'Saisie données file act.'!F573</f>
        <v>0</v>
      </c>
      <c r="G77" s="2394">
        <f>'Saisie données file act.'!G573</f>
        <v>0</v>
      </c>
      <c r="H77" s="2394">
        <f>'Saisie données file act.'!H573</f>
        <v>0</v>
      </c>
      <c r="I77" s="2394">
        <f>'Saisie données file act.'!I573</f>
        <v>0</v>
      </c>
      <c r="J77" s="2394">
        <f>'Saisie données file act.'!J573</f>
        <v>0</v>
      </c>
      <c r="K77" s="2394">
        <f>'Saisie données file act.'!K573</f>
        <v>0</v>
      </c>
      <c r="L77" s="2401">
        <f>'Saisie données file act.'!L573</f>
        <v>0</v>
      </c>
      <c r="M77" s="2407">
        <f>'Saisie données file act.'!M573</f>
        <v>0</v>
      </c>
      <c r="N77" s="2394">
        <f>'Saisie données file act.'!N573</f>
        <v>0</v>
      </c>
      <c r="O77" s="2394">
        <f>'Saisie données file act.'!O573</f>
        <v>0</v>
      </c>
      <c r="P77" s="2394">
        <f>'Saisie données file act.'!P573</f>
        <v>0</v>
      </c>
      <c r="Q77" s="2394">
        <f>'Saisie données file act.'!Q573</f>
        <v>0</v>
      </c>
      <c r="R77" s="2394">
        <f>'Saisie données file act.'!R573</f>
        <v>0</v>
      </c>
      <c r="S77" s="2394">
        <f>'Saisie données file act.'!S573</f>
        <v>0</v>
      </c>
      <c r="T77" s="2394">
        <f>'Saisie données file act.'!T573</f>
        <v>0</v>
      </c>
      <c r="U77" s="2394">
        <f>'Saisie données file act.'!U573</f>
        <v>0</v>
      </c>
      <c r="V77" s="2394">
        <f>'Saisie données file act.'!V573</f>
        <v>0</v>
      </c>
      <c r="W77" s="2394">
        <f>'Saisie données file act.'!W573</f>
        <v>0</v>
      </c>
      <c r="X77" s="2394">
        <f>'Saisie données file act.'!X573</f>
        <v>0</v>
      </c>
      <c r="Y77" s="2394">
        <f>'Saisie données file act.'!Y573</f>
        <v>0</v>
      </c>
      <c r="Z77" s="2394">
        <f>'Saisie données file act.'!Z573</f>
        <v>0</v>
      </c>
      <c r="AA77" s="2394">
        <f>'Saisie données file act.'!AA573</f>
        <v>0</v>
      </c>
      <c r="AB77" s="2394">
        <f>'Saisie données file act.'!AB573</f>
        <v>0</v>
      </c>
      <c r="AC77" s="2394">
        <f>'Saisie données file act.'!AC573</f>
        <v>0</v>
      </c>
      <c r="AD77" s="2394">
        <f>'Saisie données file act.'!AD573</f>
        <v>0</v>
      </c>
      <c r="AE77" s="2394">
        <f>'Saisie données file act.'!AE573</f>
        <v>0</v>
      </c>
      <c r="AF77" s="2394">
        <f>'Saisie données file act.'!AF573</f>
        <v>0</v>
      </c>
      <c r="AG77" s="2401">
        <f>'Saisie données file act.'!AG573</f>
        <v>0</v>
      </c>
      <c r="AH77" s="2403">
        <f>'Saisie données file act.'!AH573</f>
        <v>0</v>
      </c>
    </row>
    <row r="78" spans="2:34" x14ac:dyDescent="0.2">
      <c r="C78" s="3313"/>
      <c r="D78" s="2427" t="str">
        <f>'Saisie données file act.'!D574</f>
        <v>Deuxièmes lignes</v>
      </c>
      <c r="E78" s="2397">
        <f>'Saisie données file act.'!E574</f>
        <v>0</v>
      </c>
      <c r="F78" s="2398">
        <f>'Saisie données file act.'!F574</f>
        <v>0</v>
      </c>
      <c r="G78" s="2398">
        <f>'Saisie données file act.'!G574</f>
        <v>0</v>
      </c>
      <c r="H78" s="2398">
        <f>'Saisie données file act.'!H574</f>
        <v>0</v>
      </c>
      <c r="I78" s="2398">
        <f>'Saisie données file act.'!I574</f>
        <v>0</v>
      </c>
      <c r="J78" s="2398">
        <f>'Saisie données file act.'!J574</f>
        <v>0</v>
      </c>
      <c r="K78" s="2398">
        <f>'Saisie données file act.'!K574</f>
        <v>0</v>
      </c>
      <c r="L78" s="2399">
        <f>'Saisie données file act.'!L574</f>
        <v>0</v>
      </c>
      <c r="M78" s="2397">
        <f>'Saisie données file act.'!M574</f>
        <v>0</v>
      </c>
      <c r="N78" s="2398">
        <f>'Saisie données file act.'!N574</f>
        <v>0</v>
      </c>
      <c r="O78" s="2398">
        <f>'Saisie données file act.'!O574</f>
        <v>0</v>
      </c>
      <c r="P78" s="2398">
        <f>'Saisie données file act.'!P574</f>
        <v>0</v>
      </c>
      <c r="Q78" s="2398">
        <f>'Saisie données file act.'!Q574</f>
        <v>0</v>
      </c>
      <c r="R78" s="2398">
        <f>'Saisie données file act.'!R574</f>
        <v>0</v>
      </c>
      <c r="S78" s="2398">
        <f>'Saisie données file act.'!S574</f>
        <v>0</v>
      </c>
      <c r="T78" s="2398">
        <f>'Saisie données file act.'!T574</f>
        <v>0</v>
      </c>
      <c r="U78" s="2398">
        <f>'Saisie données file act.'!U574</f>
        <v>0</v>
      </c>
      <c r="V78" s="2398">
        <f>'Saisie données file act.'!V574</f>
        <v>0</v>
      </c>
      <c r="W78" s="2398">
        <f>'Saisie données file act.'!W574</f>
        <v>0</v>
      </c>
      <c r="X78" s="2398">
        <f>'Saisie données file act.'!X574</f>
        <v>0</v>
      </c>
      <c r="Y78" s="2398">
        <f>'Saisie données file act.'!Y574</f>
        <v>0</v>
      </c>
      <c r="Z78" s="2398">
        <f>'Saisie données file act.'!Z574</f>
        <v>0</v>
      </c>
      <c r="AA78" s="2398">
        <f>'Saisie données file act.'!AA574</f>
        <v>0</v>
      </c>
      <c r="AB78" s="2398">
        <f>'Saisie données file act.'!AB574</f>
        <v>0</v>
      </c>
      <c r="AC78" s="2398">
        <f>'Saisie données file act.'!AC574</f>
        <v>0</v>
      </c>
      <c r="AD78" s="2398">
        <f>'Saisie données file act.'!AD574</f>
        <v>0</v>
      </c>
      <c r="AE78" s="2398">
        <f>'Saisie données file act.'!AE574</f>
        <v>0</v>
      </c>
      <c r="AF78" s="2398">
        <f>'Saisie données file act.'!AF574</f>
        <v>0</v>
      </c>
      <c r="AG78" s="2399">
        <f>'Saisie données file act.'!AG574</f>
        <v>0</v>
      </c>
      <c r="AH78" s="2402">
        <f>'Saisie données file act.'!AH574</f>
        <v>0</v>
      </c>
    </row>
    <row r="79" spans="2:34" ht="12.75" thickBot="1" x14ac:dyDescent="0.25">
      <c r="C79" s="3313"/>
      <c r="D79" s="2425" t="str">
        <f>'Saisie données file act.'!D575</f>
        <v>AZT+3TC+LPV/r</v>
      </c>
      <c r="E79" s="2407">
        <f>'Saisie données file act.'!E575</f>
        <v>0</v>
      </c>
      <c r="F79" s="2394">
        <f>'Saisie données file act.'!F575</f>
        <v>0</v>
      </c>
      <c r="G79" s="2394">
        <f>'Saisie données file act.'!G575</f>
        <v>0</v>
      </c>
      <c r="H79" s="2394">
        <f>'Saisie données file act.'!H575</f>
        <v>0</v>
      </c>
      <c r="I79" s="2394">
        <f>'Saisie données file act.'!I575</f>
        <v>0</v>
      </c>
      <c r="J79" s="2394">
        <f>'Saisie données file act.'!J575</f>
        <v>0</v>
      </c>
      <c r="K79" s="2394">
        <f>'Saisie données file act.'!K575</f>
        <v>0</v>
      </c>
      <c r="L79" s="2401">
        <f>'Saisie données file act.'!L575</f>
        <v>0</v>
      </c>
      <c r="M79" s="2407">
        <f>'Saisie données file act.'!M575</f>
        <v>0</v>
      </c>
      <c r="N79" s="2394">
        <f>'Saisie données file act.'!N575</f>
        <v>0</v>
      </c>
      <c r="O79" s="2394">
        <f>'Saisie données file act.'!O575</f>
        <v>0</v>
      </c>
      <c r="P79" s="2394">
        <f>'Saisie données file act.'!P575</f>
        <v>0</v>
      </c>
      <c r="Q79" s="2394">
        <f>'Saisie données file act.'!Q575</f>
        <v>0</v>
      </c>
      <c r="R79" s="2394">
        <f>'Saisie données file act.'!R575</f>
        <v>0</v>
      </c>
      <c r="S79" s="2394">
        <f>'Saisie données file act.'!S575</f>
        <v>0</v>
      </c>
      <c r="T79" s="2394">
        <f>'Saisie données file act.'!T575</f>
        <v>0</v>
      </c>
      <c r="U79" s="2394">
        <f>'Saisie données file act.'!U575</f>
        <v>0</v>
      </c>
      <c r="V79" s="2394">
        <f>'Saisie données file act.'!V575</f>
        <v>0</v>
      </c>
      <c r="W79" s="2394">
        <f>'Saisie données file act.'!W575</f>
        <v>0</v>
      </c>
      <c r="X79" s="2394">
        <f>'Saisie données file act.'!X575</f>
        <v>0</v>
      </c>
      <c r="Y79" s="2394">
        <f>'Saisie données file act.'!Y575</f>
        <v>0</v>
      </c>
      <c r="Z79" s="2394">
        <f>'Saisie données file act.'!Z575</f>
        <v>0</v>
      </c>
      <c r="AA79" s="2394">
        <f>'Saisie données file act.'!AA575</f>
        <v>0</v>
      </c>
      <c r="AB79" s="2394">
        <f>'Saisie données file act.'!AB575</f>
        <v>0</v>
      </c>
      <c r="AC79" s="2394">
        <f>'Saisie données file act.'!AC575</f>
        <v>0</v>
      </c>
      <c r="AD79" s="2394">
        <f>'Saisie données file act.'!AD575</f>
        <v>0</v>
      </c>
      <c r="AE79" s="2394">
        <f>'Saisie données file act.'!AE575</f>
        <v>0</v>
      </c>
      <c r="AF79" s="2394">
        <f>'Saisie données file act.'!AF575</f>
        <v>0</v>
      </c>
      <c r="AG79" s="2401">
        <f>'Saisie données file act.'!AG575</f>
        <v>0</v>
      </c>
      <c r="AH79" s="2403">
        <f>'Saisie données file act.'!AH575</f>
        <v>0</v>
      </c>
    </row>
    <row r="80" spans="2:34" x14ac:dyDescent="0.2">
      <c r="C80" s="3313"/>
      <c r="D80" s="2426" t="str">
        <f>'Saisie données file act.'!D580</f>
        <v>Lignes alternatives</v>
      </c>
      <c r="E80" s="2408">
        <f>'Saisie données file act.'!E580</f>
        <v>0</v>
      </c>
      <c r="F80" s="2396">
        <f>'Saisie données file act.'!F580</f>
        <v>0</v>
      </c>
      <c r="G80" s="2396">
        <f>'Saisie données file act.'!G580</f>
        <v>0</v>
      </c>
      <c r="H80" s="2396">
        <f>'Saisie données file act.'!H580</f>
        <v>0</v>
      </c>
      <c r="I80" s="2396">
        <f>'Saisie données file act.'!I580</f>
        <v>0</v>
      </c>
      <c r="J80" s="2396">
        <f>'Saisie données file act.'!J580</f>
        <v>0</v>
      </c>
      <c r="K80" s="2396">
        <f>'Saisie données file act.'!K580</f>
        <v>0</v>
      </c>
      <c r="L80" s="2409">
        <f>'Saisie données file act.'!L580</f>
        <v>0</v>
      </c>
      <c r="M80" s="2408">
        <f>'Saisie données file act.'!M580</f>
        <v>0</v>
      </c>
      <c r="N80" s="2396">
        <f>'Saisie données file act.'!N580</f>
        <v>0</v>
      </c>
      <c r="O80" s="2396">
        <f>'Saisie données file act.'!O580</f>
        <v>0</v>
      </c>
      <c r="P80" s="2396">
        <f>'Saisie données file act.'!P580</f>
        <v>0</v>
      </c>
      <c r="Q80" s="2396">
        <f>'Saisie données file act.'!Q580</f>
        <v>0</v>
      </c>
      <c r="R80" s="2396">
        <f>'Saisie données file act.'!R580</f>
        <v>0</v>
      </c>
      <c r="S80" s="2396">
        <f>'Saisie données file act.'!S580</f>
        <v>0</v>
      </c>
      <c r="T80" s="2396">
        <f>'Saisie données file act.'!T580</f>
        <v>0</v>
      </c>
      <c r="U80" s="2396">
        <f>'Saisie données file act.'!U580</f>
        <v>0</v>
      </c>
      <c r="V80" s="2396">
        <f>'Saisie données file act.'!V580</f>
        <v>0</v>
      </c>
      <c r="W80" s="2396">
        <f>'Saisie données file act.'!W580</f>
        <v>0</v>
      </c>
      <c r="X80" s="2396">
        <f>'Saisie données file act.'!X580</f>
        <v>0</v>
      </c>
      <c r="Y80" s="2396">
        <f>'Saisie données file act.'!Y580</f>
        <v>0</v>
      </c>
      <c r="Z80" s="2396">
        <f>'Saisie données file act.'!Z580</f>
        <v>0</v>
      </c>
      <c r="AA80" s="2396">
        <f>'Saisie données file act.'!AA580</f>
        <v>0</v>
      </c>
      <c r="AB80" s="2396">
        <f>'Saisie données file act.'!AB580</f>
        <v>0</v>
      </c>
      <c r="AC80" s="2396">
        <f>'Saisie données file act.'!AC580</f>
        <v>0</v>
      </c>
      <c r="AD80" s="2396">
        <f>'Saisie données file act.'!AD580</f>
        <v>0</v>
      </c>
      <c r="AE80" s="2396">
        <f>'Saisie données file act.'!AE580</f>
        <v>0</v>
      </c>
      <c r="AF80" s="2396">
        <f>'Saisie données file act.'!AF580</f>
        <v>0</v>
      </c>
      <c r="AG80" s="2409">
        <f>'Saisie données file act.'!AG580</f>
        <v>0</v>
      </c>
      <c r="AH80" s="2410">
        <f>'Saisie données file act.'!AH580</f>
        <v>0</v>
      </c>
    </row>
    <row r="81" spans="2:34" x14ac:dyDescent="0.2">
      <c r="C81" s="3313"/>
      <c r="D81" s="2424">
        <f>'Saisie données file act.'!D576</f>
        <v>0</v>
      </c>
      <c r="E81" s="2406">
        <f>'Saisie données file act.'!E576</f>
        <v>0</v>
      </c>
      <c r="F81" s="2393">
        <f>'Saisie données file act.'!F576</f>
        <v>0</v>
      </c>
      <c r="G81" s="2393">
        <f>'Saisie données file act.'!G576</f>
        <v>0</v>
      </c>
      <c r="H81" s="2393">
        <f>'Saisie données file act.'!H576</f>
        <v>0</v>
      </c>
      <c r="I81" s="2393">
        <f>'Saisie données file act.'!I576</f>
        <v>0</v>
      </c>
      <c r="J81" s="2393">
        <f>'Saisie données file act.'!J576</f>
        <v>0</v>
      </c>
      <c r="K81" s="2393">
        <f>'Saisie données file act.'!K576</f>
        <v>0</v>
      </c>
      <c r="L81" s="2400">
        <f>'Saisie données file act.'!L576</f>
        <v>0</v>
      </c>
      <c r="M81" s="2406">
        <f>'Saisie données file act.'!M576</f>
        <v>0</v>
      </c>
      <c r="N81" s="2393">
        <f>'Saisie données file act.'!N576</f>
        <v>0</v>
      </c>
      <c r="O81" s="2393">
        <f>'Saisie données file act.'!O576</f>
        <v>0</v>
      </c>
      <c r="P81" s="2393">
        <f>'Saisie données file act.'!P576</f>
        <v>0</v>
      </c>
      <c r="Q81" s="2393">
        <f>'Saisie données file act.'!Q576</f>
        <v>0</v>
      </c>
      <c r="R81" s="2393">
        <f>'Saisie données file act.'!R576</f>
        <v>0</v>
      </c>
      <c r="S81" s="2393">
        <f>'Saisie données file act.'!S576</f>
        <v>0</v>
      </c>
      <c r="T81" s="2393">
        <f>'Saisie données file act.'!T576</f>
        <v>0</v>
      </c>
      <c r="U81" s="2393">
        <f>'Saisie données file act.'!U576</f>
        <v>0</v>
      </c>
      <c r="V81" s="2393">
        <f>'Saisie données file act.'!V576</f>
        <v>0</v>
      </c>
      <c r="W81" s="2393">
        <f>'Saisie données file act.'!W576</f>
        <v>0</v>
      </c>
      <c r="X81" s="2393">
        <f>'Saisie données file act.'!X576</f>
        <v>0</v>
      </c>
      <c r="Y81" s="2393">
        <f>'Saisie données file act.'!Y576</f>
        <v>0</v>
      </c>
      <c r="Z81" s="2393">
        <f>'Saisie données file act.'!Z576</f>
        <v>0</v>
      </c>
      <c r="AA81" s="2393">
        <f>'Saisie données file act.'!AA576</f>
        <v>0</v>
      </c>
      <c r="AB81" s="2393">
        <f>'Saisie données file act.'!AB576</f>
        <v>0</v>
      </c>
      <c r="AC81" s="2393">
        <f>'Saisie données file act.'!AC576</f>
        <v>0</v>
      </c>
      <c r="AD81" s="2393">
        <f>'Saisie données file act.'!AD576</f>
        <v>0</v>
      </c>
      <c r="AE81" s="2393">
        <f>'Saisie données file act.'!AE576</f>
        <v>0</v>
      </c>
      <c r="AF81" s="2393">
        <f>'Saisie données file act.'!AF576</f>
        <v>0</v>
      </c>
      <c r="AG81" s="2400">
        <f>'Saisie données file act.'!AG576</f>
        <v>0</v>
      </c>
      <c r="AH81" s="2395">
        <f>'Saisie données file act.'!AH576</f>
        <v>0</v>
      </c>
    </row>
    <row r="82" spans="2:34" x14ac:dyDescent="0.2">
      <c r="C82" s="3313"/>
      <c r="D82" s="2424">
        <f>'Saisie données file act.'!D577</f>
        <v>0</v>
      </c>
      <c r="E82" s="2406">
        <f>'Saisie données file act.'!E577</f>
        <v>0</v>
      </c>
      <c r="F82" s="2393">
        <f>'Saisie données file act.'!F577</f>
        <v>0</v>
      </c>
      <c r="G82" s="2393">
        <f>'Saisie données file act.'!G577</f>
        <v>0</v>
      </c>
      <c r="H82" s="2393">
        <f>'Saisie données file act.'!H577</f>
        <v>0</v>
      </c>
      <c r="I82" s="2393">
        <f>'Saisie données file act.'!I577</f>
        <v>0</v>
      </c>
      <c r="J82" s="2393">
        <f>'Saisie données file act.'!J577</f>
        <v>0</v>
      </c>
      <c r="K82" s="2393">
        <f>'Saisie données file act.'!K577</f>
        <v>0</v>
      </c>
      <c r="L82" s="2400">
        <f>'Saisie données file act.'!L577</f>
        <v>0</v>
      </c>
      <c r="M82" s="2406">
        <f>'Saisie données file act.'!M577</f>
        <v>0</v>
      </c>
      <c r="N82" s="2393">
        <f>'Saisie données file act.'!N577</f>
        <v>0</v>
      </c>
      <c r="O82" s="2393">
        <f>'Saisie données file act.'!O577</f>
        <v>0</v>
      </c>
      <c r="P82" s="2393">
        <f>'Saisie données file act.'!P577</f>
        <v>0</v>
      </c>
      <c r="Q82" s="2393">
        <f>'Saisie données file act.'!Q577</f>
        <v>0</v>
      </c>
      <c r="R82" s="2393">
        <f>'Saisie données file act.'!R577</f>
        <v>0</v>
      </c>
      <c r="S82" s="2393">
        <f>'Saisie données file act.'!S577</f>
        <v>0</v>
      </c>
      <c r="T82" s="2393">
        <f>'Saisie données file act.'!T577</f>
        <v>0</v>
      </c>
      <c r="U82" s="2393">
        <f>'Saisie données file act.'!U577</f>
        <v>0</v>
      </c>
      <c r="V82" s="2393">
        <f>'Saisie données file act.'!V577</f>
        <v>0</v>
      </c>
      <c r="W82" s="2393">
        <f>'Saisie données file act.'!W577</f>
        <v>0</v>
      </c>
      <c r="X82" s="2393">
        <f>'Saisie données file act.'!X577</f>
        <v>0</v>
      </c>
      <c r="Y82" s="2393">
        <f>'Saisie données file act.'!Y577</f>
        <v>0</v>
      </c>
      <c r="Z82" s="2393">
        <f>'Saisie données file act.'!Z577</f>
        <v>0</v>
      </c>
      <c r="AA82" s="2393">
        <f>'Saisie données file act.'!AA577</f>
        <v>0</v>
      </c>
      <c r="AB82" s="2393">
        <f>'Saisie données file act.'!AB577</f>
        <v>0</v>
      </c>
      <c r="AC82" s="2393">
        <f>'Saisie données file act.'!AC577</f>
        <v>0</v>
      </c>
      <c r="AD82" s="2393">
        <f>'Saisie données file act.'!AD577</f>
        <v>0</v>
      </c>
      <c r="AE82" s="2393">
        <f>'Saisie données file act.'!AE577</f>
        <v>0</v>
      </c>
      <c r="AF82" s="2393">
        <f>'Saisie données file act.'!AF577</f>
        <v>0</v>
      </c>
      <c r="AG82" s="2400">
        <f>'Saisie données file act.'!AG577</f>
        <v>0</v>
      </c>
      <c r="AH82" s="2395">
        <f>'Saisie données file act.'!AH577</f>
        <v>0</v>
      </c>
    </row>
    <row r="83" spans="2:34" ht="13.5" customHeight="1" x14ac:dyDescent="0.2">
      <c r="C83" s="3313"/>
      <c r="D83" s="2424">
        <f>'Saisie données file act.'!D578</f>
        <v>0</v>
      </c>
      <c r="E83" s="2406">
        <f>'Saisie données file act.'!E578</f>
        <v>0</v>
      </c>
      <c r="F83" s="2393">
        <f>'Saisie données file act.'!F578</f>
        <v>0</v>
      </c>
      <c r="G83" s="2393">
        <f>'Saisie données file act.'!G578</f>
        <v>0</v>
      </c>
      <c r="H83" s="2393">
        <f>'Saisie données file act.'!H578</f>
        <v>0</v>
      </c>
      <c r="I83" s="2393">
        <f>'Saisie données file act.'!I578</f>
        <v>0</v>
      </c>
      <c r="J83" s="2393">
        <f>'Saisie données file act.'!J578</f>
        <v>0</v>
      </c>
      <c r="K83" s="2393">
        <f>'Saisie données file act.'!K578</f>
        <v>0</v>
      </c>
      <c r="L83" s="2400">
        <f>'Saisie données file act.'!L578</f>
        <v>0</v>
      </c>
      <c r="M83" s="2406">
        <f>'Saisie données file act.'!M578</f>
        <v>0</v>
      </c>
      <c r="N83" s="2393">
        <f>'Saisie données file act.'!N578</f>
        <v>0</v>
      </c>
      <c r="O83" s="2393">
        <f>'Saisie données file act.'!O578</f>
        <v>0</v>
      </c>
      <c r="P83" s="2393">
        <f>'Saisie données file act.'!P578</f>
        <v>0</v>
      </c>
      <c r="Q83" s="2393">
        <f>'Saisie données file act.'!Q578</f>
        <v>0</v>
      </c>
      <c r="R83" s="2393">
        <f>'Saisie données file act.'!R578</f>
        <v>0</v>
      </c>
      <c r="S83" s="2393">
        <f>'Saisie données file act.'!S578</f>
        <v>0</v>
      </c>
      <c r="T83" s="2393">
        <f>'Saisie données file act.'!T578</f>
        <v>0</v>
      </c>
      <c r="U83" s="2393">
        <f>'Saisie données file act.'!U578</f>
        <v>0</v>
      </c>
      <c r="V83" s="2393">
        <f>'Saisie données file act.'!V578</f>
        <v>0</v>
      </c>
      <c r="W83" s="2393">
        <f>'Saisie données file act.'!W578</f>
        <v>0</v>
      </c>
      <c r="X83" s="2393">
        <f>'Saisie données file act.'!X578</f>
        <v>0</v>
      </c>
      <c r="Y83" s="2393">
        <f>'Saisie données file act.'!Y578</f>
        <v>0</v>
      </c>
      <c r="Z83" s="2393">
        <f>'Saisie données file act.'!Z578</f>
        <v>0</v>
      </c>
      <c r="AA83" s="2393">
        <f>'Saisie données file act.'!AA578</f>
        <v>0</v>
      </c>
      <c r="AB83" s="2393">
        <f>'Saisie données file act.'!AB578</f>
        <v>0</v>
      </c>
      <c r="AC83" s="2393">
        <f>'Saisie données file act.'!AC578</f>
        <v>0</v>
      </c>
      <c r="AD83" s="2393">
        <f>'Saisie données file act.'!AD578</f>
        <v>0</v>
      </c>
      <c r="AE83" s="2393">
        <f>'Saisie données file act.'!AE578</f>
        <v>0</v>
      </c>
      <c r="AF83" s="2393">
        <f>'Saisie données file act.'!AF578</f>
        <v>0</v>
      </c>
      <c r="AG83" s="2400">
        <f>'Saisie données file act.'!AG578</f>
        <v>0</v>
      </c>
      <c r="AH83" s="2395">
        <f>'Saisie données file act.'!AH578</f>
        <v>0</v>
      </c>
    </row>
    <row r="84" spans="2:34" x14ac:dyDescent="0.2">
      <c r="C84" s="3313"/>
      <c r="D84" s="2424">
        <f>'Saisie données file act.'!D579</f>
        <v>0</v>
      </c>
      <c r="E84" s="2406">
        <f>'Saisie données file act.'!E579</f>
        <v>0</v>
      </c>
      <c r="F84" s="2393">
        <f>'Saisie données file act.'!F579</f>
        <v>0</v>
      </c>
      <c r="G84" s="2393">
        <f>'Saisie données file act.'!G579</f>
        <v>0</v>
      </c>
      <c r="H84" s="2393">
        <f>'Saisie données file act.'!H579</f>
        <v>0</v>
      </c>
      <c r="I84" s="2393">
        <f>'Saisie données file act.'!I579</f>
        <v>0</v>
      </c>
      <c r="J84" s="2393">
        <f>'Saisie données file act.'!J579</f>
        <v>0</v>
      </c>
      <c r="K84" s="2393">
        <f>'Saisie données file act.'!K579</f>
        <v>0</v>
      </c>
      <c r="L84" s="2400">
        <f>'Saisie données file act.'!L579</f>
        <v>0</v>
      </c>
      <c r="M84" s="2406">
        <f>'Saisie données file act.'!M579</f>
        <v>0</v>
      </c>
      <c r="N84" s="2393">
        <f>'Saisie données file act.'!N579</f>
        <v>0</v>
      </c>
      <c r="O84" s="2393">
        <f>'Saisie données file act.'!O579</f>
        <v>0</v>
      </c>
      <c r="P84" s="2393">
        <f>'Saisie données file act.'!P579</f>
        <v>0</v>
      </c>
      <c r="Q84" s="2393">
        <f>'Saisie données file act.'!Q579</f>
        <v>0</v>
      </c>
      <c r="R84" s="2393">
        <f>'Saisie données file act.'!R579</f>
        <v>0</v>
      </c>
      <c r="S84" s="2393">
        <f>'Saisie données file act.'!S579</f>
        <v>0</v>
      </c>
      <c r="T84" s="2393">
        <f>'Saisie données file act.'!T579</f>
        <v>0</v>
      </c>
      <c r="U84" s="2393">
        <f>'Saisie données file act.'!U579</f>
        <v>0</v>
      </c>
      <c r="V84" s="2393">
        <f>'Saisie données file act.'!V579</f>
        <v>0</v>
      </c>
      <c r="W84" s="2393">
        <f>'Saisie données file act.'!W579</f>
        <v>0</v>
      </c>
      <c r="X84" s="2393">
        <f>'Saisie données file act.'!X579</f>
        <v>0</v>
      </c>
      <c r="Y84" s="2393">
        <f>'Saisie données file act.'!Y579</f>
        <v>0</v>
      </c>
      <c r="Z84" s="2393">
        <f>'Saisie données file act.'!Z579</f>
        <v>0</v>
      </c>
      <c r="AA84" s="2393">
        <f>'Saisie données file act.'!AA579</f>
        <v>0</v>
      </c>
      <c r="AB84" s="2393">
        <f>'Saisie données file act.'!AB579</f>
        <v>0</v>
      </c>
      <c r="AC84" s="2393">
        <f>'Saisie données file act.'!AC579</f>
        <v>0</v>
      </c>
      <c r="AD84" s="2393">
        <f>'Saisie données file act.'!AD579</f>
        <v>0</v>
      </c>
      <c r="AE84" s="2393">
        <f>'Saisie données file act.'!AE579</f>
        <v>0</v>
      </c>
      <c r="AF84" s="2393">
        <f>'Saisie données file act.'!AF579</f>
        <v>0</v>
      </c>
      <c r="AG84" s="2400">
        <f>'Saisie données file act.'!AG579</f>
        <v>0</v>
      </c>
      <c r="AH84" s="2395">
        <f>'Saisie données file act.'!AH579</f>
        <v>0</v>
      </c>
    </row>
    <row r="85" spans="2:34" x14ac:dyDescent="0.2">
      <c r="C85" s="3313"/>
      <c r="D85" s="2424">
        <f>'Saisie données file act.'!D581</f>
        <v>0</v>
      </c>
      <c r="E85" s="2406">
        <f>'Saisie données file act.'!E581</f>
        <v>0</v>
      </c>
      <c r="F85" s="2393">
        <f>'Saisie données file act.'!F581</f>
        <v>0</v>
      </c>
      <c r="G85" s="2393">
        <f>'Saisie données file act.'!G581</f>
        <v>0</v>
      </c>
      <c r="H85" s="2393">
        <f>'Saisie données file act.'!H581</f>
        <v>0</v>
      </c>
      <c r="I85" s="2393">
        <f>'Saisie données file act.'!I581</f>
        <v>0</v>
      </c>
      <c r="J85" s="2393">
        <f>'Saisie données file act.'!J581</f>
        <v>0</v>
      </c>
      <c r="K85" s="2393">
        <f>'Saisie données file act.'!K581</f>
        <v>0</v>
      </c>
      <c r="L85" s="2400">
        <f>'Saisie données file act.'!L581</f>
        <v>0</v>
      </c>
      <c r="M85" s="2406">
        <f>'Saisie données file act.'!M581</f>
        <v>0</v>
      </c>
      <c r="N85" s="2393">
        <f>'Saisie données file act.'!N581</f>
        <v>0</v>
      </c>
      <c r="O85" s="2393">
        <f>'Saisie données file act.'!O581</f>
        <v>0</v>
      </c>
      <c r="P85" s="2393">
        <f>'Saisie données file act.'!P581</f>
        <v>0</v>
      </c>
      <c r="Q85" s="2393">
        <f>'Saisie données file act.'!Q581</f>
        <v>0</v>
      </c>
      <c r="R85" s="2393">
        <f>'Saisie données file act.'!R581</f>
        <v>0</v>
      </c>
      <c r="S85" s="2393">
        <f>'Saisie données file act.'!S581</f>
        <v>0</v>
      </c>
      <c r="T85" s="2393">
        <f>'Saisie données file act.'!T581</f>
        <v>0</v>
      </c>
      <c r="U85" s="2393">
        <f>'Saisie données file act.'!U581</f>
        <v>0</v>
      </c>
      <c r="V85" s="2393">
        <f>'Saisie données file act.'!V581</f>
        <v>0</v>
      </c>
      <c r="W85" s="2393">
        <f>'Saisie données file act.'!W581</f>
        <v>0</v>
      </c>
      <c r="X85" s="2393">
        <f>'Saisie données file act.'!X581</f>
        <v>0</v>
      </c>
      <c r="Y85" s="2393">
        <f>'Saisie données file act.'!Y581</f>
        <v>0</v>
      </c>
      <c r="Z85" s="2393">
        <f>'Saisie données file act.'!Z581</f>
        <v>0</v>
      </c>
      <c r="AA85" s="2393">
        <f>'Saisie données file act.'!AA581</f>
        <v>0</v>
      </c>
      <c r="AB85" s="2393">
        <f>'Saisie données file act.'!AB581</f>
        <v>0</v>
      </c>
      <c r="AC85" s="2393">
        <f>'Saisie données file act.'!AC581</f>
        <v>0</v>
      </c>
      <c r="AD85" s="2393">
        <f>'Saisie données file act.'!AD581</f>
        <v>0</v>
      </c>
      <c r="AE85" s="2393">
        <f>'Saisie données file act.'!AE581</f>
        <v>0</v>
      </c>
      <c r="AF85" s="2393">
        <f>'Saisie données file act.'!AF581</f>
        <v>0</v>
      </c>
      <c r="AG85" s="2400">
        <f>'Saisie données file act.'!AG581</f>
        <v>0</v>
      </c>
      <c r="AH85" s="2395">
        <f>'Saisie données file act.'!AH581</f>
        <v>0</v>
      </c>
    </row>
    <row r="86" spans="2:34" x14ac:dyDescent="0.2">
      <c r="C86" s="3313"/>
      <c r="D86" s="2424">
        <f>'Saisie données file act.'!D582</f>
        <v>0</v>
      </c>
      <c r="E86" s="2406">
        <f>'Saisie données file act.'!E582</f>
        <v>0</v>
      </c>
      <c r="F86" s="2393">
        <f>'Saisie données file act.'!F582</f>
        <v>0</v>
      </c>
      <c r="G86" s="2393">
        <f>'Saisie données file act.'!G582</f>
        <v>0</v>
      </c>
      <c r="H86" s="2393">
        <f>'Saisie données file act.'!H582</f>
        <v>0</v>
      </c>
      <c r="I86" s="2393">
        <f>'Saisie données file act.'!I582</f>
        <v>0</v>
      </c>
      <c r="J86" s="2393">
        <f>'Saisie données file act.'!J582</f>
        <v>0</v>
      </c>
      <c r="K86" s="2393">
        <f>'Saisie données file act.'!K582</f>
        <v>0</v>
      </c>
      <c r="L86" s="2400">
        <f>'Saisie données file act.'!L582</f>
        <v>0</v>
      </c>
      <c r="M86" s="2406">
        <f>'Saisie données file act.'!M582</f>
        <v>0</v>
      </c>
      <c r="N86" s="2393">
        <f>'Saisie données file act.'!N582</f>
        <v>0</v>
      </c>
      <c r="O86" s="2393">
        <f>'Saisie données file act.'!O582</f>
        <v>0</v>
      </c>
      <c r="P86" s="2393">
        <f>'Saisie données file act.'!P582</f>
        <v>0</v>
      </c>
      <c r="Q86" s="2393">
        <f>'Saisie données file act.'!Q582</f>
        <v>0</v>
      </c>
      <c r="R86" s="2393">
        <f>'Saisie données file act.'!R582</f>
        <v>0</v>
      </c>
      <c r="S86" s="2393">
        <f>'Saisie données file act.'!S582</f>
        <v>0</v>
      </c>
      <c r="T86" s="2393">
        <f>'Saisie données file act.'!T582</f>
        <v>0</v>
      </c>
      <c r="U86" s="2393">
        <f>'Saisie données file act.'!U582</f>
        <v>0</v>
      </c>
      <c r="V86" s="2393">
        <f>'Saisie données file act.'!V582</f>
        <v>0</v>
      </c>
      <c r="W86" s="2393">
        <f>'Saisie données file act.'!W582</f>
        <v>0</v>
      </c>
      <c r="X86" s="2393">
        <f>'Saisie données file act.'!X582</f>
        <v>0</v>
      </c>
      <c r="Y86" s="2393">
        <f>'Saisie données file act.'!Y582</f>
        <v>0</v>
      </c>
      <c r="Z86" s="2393">
        <f>'Saisie données file act.'!Z582</f>
        <v>0</v>
      </c>
      <c r="AA86" s="2393">
        <f>'Saisie données file act.'!AA582</f>
        <v>0</v>
      </c>
      <c r="AB86" s="2393">
        <f>'Saisie données file act.'!AB582</f>
        <v>0</v>
      </c>
      <c r="AC86" s="2393">
        <f>'Saisie données file act.'!AC582</f>
        <v>0</v>
      </c>
      <c r="AD86" s="2393">
        <f>'Saisie données file act.'!AD582</f>
        <v>0</v>
      </c>
      <c r="AE86" s="2393">
        <f>'Saisie données file act.'!AE582</f>
        <v>0</v>
      </c>
      <c r="AF86" s="2393">
        <f>'Saisie données file act.'!AF582</f>
        <v>0</v>
      </c>
      <c r="AG86" s="2400">
        <f>'Saisie données file act.'!AG582</f>
        <v>0</v>
      </c>
      <c r="AH86" s="2395">
        <f>'Saisie données file act.'!AH582</f>
        <v>0</v>
      </c>
    </row>
    <row r="87" spans="2:34" x14ac:dyDescent="0.2">
      <c r="C87" s="3313"/>
      <c r="D87" s="2424">
        <f>'Saisie données file act.'!D583</f>
        <v>0</v>
      </c>
      <c r="E87" s="2406">
        <f>'Saisie données file act.'!E583</f>
        <v>0</v>
      </c>
      <c r="F87" s="2393">
        <f>'Saisie données file act.'!F583</f>
        <v>0</v>
      </c>
      <c r="G87" s="2393">
        <f>'Saisie données file act.'!G583</f>
        <v>0</v>
      </c>
      <c r="H87" s="2393">
        <f>'Saisie données file act.'!H583</f>
        <v>0</v>
      </c>
      <c r="I87" s="2393">
        <f>'Saisie données file act.'!I583</f>
        <v>0</v>
      </c>
      <c r="J87" s="2393">
        <f>'Saisie données file act.'!J583</f>
        <v>0</v>
      </c>
      <c r="K87" s="2393">
        <f>'Saisie données file act.'!K583</f>
        <v>0</v>
      </c>
      <c r="L87" s="2400">
        <f>'Saisie données file act.'!L583</f>
        <v>0</v>
      </c>
      <c r="M87" s="2406">
        <f>'Saisie données file act.'!M583</f>
        <v>0</v>
      </c>
      <c r="N87" s="2393">
        <f>'Saisie données file act.'!N583</f>
        <v>0</v>
      </c>
      <c r="O87" s="2393">
        <f>'Saisie données file act.'!O583</f>
        <v>0</v>
      </c>
      <c r="P87" s="2393">
        <f>'Saisie données file act.'!P583</f>
        <v>0</v>
      </c>
      <c r="Q87" s="2393">
        <f>'Saisie données file act.'!Q583</f>
        <v>0</v>
      </c>
      <c r="R87" s="2393">
        <f>'Saisie données file act.'!R583</f>
        <v>0</v>
      </c>
      <c r="S87" s="2393">
        <f>'Saisie données file act.'!S583</f>
        <v>0</v>
      </c>
      <c r="T87" s="2393">
        <f>'Saisie données file act.'!T583</f>
        <v>0</v>
      </c>
      <c r="U87" s="2393">
        <f>'Saisie données file act.'!U583</f>
        <v>0</v>
      </c>
      <c r="V87" s="2393">
        <f>'Saisie données file act.'!V583</f>
        <v>0</v>
      </c>
      <c r="W87" s="2393">
        <f>'Saisie données file act.'!W583</f>
        <v>0</v>
      </c>
      <c r="X87" s="2393">
        <f>'Saisie données file act.'!X583</f>
        <v>0</v>
      </c>
      <c r="Y87" s="2393">
        <f>'Saisie données file act.'!Y583</f>
        <v>0</v>
      </c>
      <c r="Z87" s="2393">
        <f>'Saisie données file act.'!Z583</f>
        <v>0</v>
      </c>
      <c r="AA87" s="2393">
        <f>'Saisie données file act.'!AA583</f>
        <v>0</v>
      </c>
      <c r="AB87" s="2393">
        <f>'Saisie données file act.'!AB583</f>
        <v>0</v>
      </c>
      <c r="AC87" s="2393">
        <f>'Saisie données file act.'!AC583</f>
        <v>0</v>
      </c>
      <c r="AD87" s="2393">
        <f>'Saisie données file act.'!AD583</f>
        <v>0</v>
      </c>
      <c r="AE87" s="2393">
        <f>'Saisie données file act.'!AE583</f>
        <v>0</v>
      </c>
      <c r="AF87" s="2393">
        <f>'Saisie données file act.'!AF583</f>
        <v>0</v>
      </c>
      <c r="AG87" s="2400">
        <f>'Saisie données file act.'!AG583</f>
        <v>0</v>
      </c>
      <c r="AH87" s="2395">
        <f>'Saisie données file act.'!AH583</f>
        <v>0</v>
      </c>
    </row>
    <row r="88" spans="2:34" x14ac:dyDescent="0.2">
      <c r="C88" s="3313"/>
      <c r="D88" s="2424">
        <f>'Saisie données file act.'!D584</f>
        <v>0</v>
      </c>
      <c r="E88" s="2406">
        <f>'Saisie données file act.'!E584</f>
        <v>0</v>
      </c>
      <c r="F88" s="2393">
        <f>'Saisie données file act.'!F584</f>
        <v>0</v>
      </c>
      <c r="G88" s="2393">
        <f>'Saisie données file act.'!G584</f>
        <v>0</v>
      </c>
      <c r="H88" s="2393">
        <f>'Saisie données file act.'!H584</f>
        <v>0</v>
      </c>
      <c r="I88" s="2393">
        <f>'Saisie données file act.'!I584</f>
        <v>0</v>
      </c>
      <c r="J88" s="2393">
        <f>'Saisie données file act.'!J584</f>
        <v>0</v>
      </c>
      <c r="K88" s="2393">
        <f>'Saisie données file act.'!K584</f>
        <v>0</v>
      </c>
      <c r="L88" s="2400">
        <f>'Saisie données file act.'!L584</f>
        <v>0</v>
      </c>
      <c r="M88" s="2406">
        <f>'Saisie données file act.'!M584</f>
        <v>0</v>
      </c>
      <c r="N88" s="2393">
        <f>'Saisie données file act.'!N584</f>
        <v>0</v>
      </c>
      <c r="O88" s="2393">
        <f>'Saisie données file act.'!O584</f>
        <v>0</v>
      </c>
      <c r="P88" s="2393">
        <f>'Saisie données file act.'!P584</f>
        <v>0</v>
      </c>
      <c r="Q88" s="2393">
        <f>'Saisie données file act.'!Q584</f>
        <v>0</v>
      </c>
      <c r="R88" s="2393">
        <f>'Saisie données file act.'!R584</f>
        <v>0</v>
      </c>
      <c r="S88" s="2393">
        <f>'Saisie données file act.'!S584</f>
        <v>0</v>
      </c>
      <c r="T88" s="2393">
        <f>'Saisie données file act.'!T584</f>
        <v>0</v>
      </c>
      <c r="U88" s="2393">
        <f>'Saisie données file act.'!U584</f>
        <v>0</v>
      </c>
      <c r="V88" s="2393">
        <f>'Saisie données file act.'!V584</f>
        <v>0</v>
      </c>
      <c r="W88" s="2393">
        <f>'Saisie données file act.'!W584</f>
        <v>0</v>
      </c>
      <c r="X88" s="2393">
        <f>'Saisie données file act.'!X584</f>
        <v>0</v>
      </c>
      <c r="Y88" s="2393">
        <f>'Saisie données file act.'!Y584</f>
        <v>0</v>
      </c>
      <c r="Z88" s="2393">
        <f>'Saisie données file act.'!Z584</f>
        <v>0</v>
      </c>
      <c r="AA88" s="2393">
        <f>'Saisie données file act.'!AA584</f>
        <v>0</v>
      </c>
      <c r="AB88" s="2393">
        <f>'Saisie données file act.'!AB584</f>
        <v>0</v>
      </c>
      <c r="AC88" s="2393">
        <f>'Saisie données file act.'!AC584</f>
        <v>0</v>
      </c>
      <c r="AD88" s="2393">
        <f>'Saisie données file act.'!AD584</f>
        <v>0</v>
      </c>
      <c r="AE88" s="2393">
        <f>'Saisie données file act.'!AE584</f>
        <v>0</v>
      </c>
      <c r="AF88" s="2393">
        <f>'Saisie données file act.'!AF584</f>
        <v>0</v>
      </c>
      <c r="AG88" s="2400">
        <f>'Saisie données file act.'!AG584</f>
        <v>0</v>
      </c>
      <c r="AH88" s="2395">
        <f>'Saisie données file act.'!AH584</f>
        <v>0</v>
      </c>
    </row>
    <row r="89" spans="2:34" x14ac:dyDescent="0.2">
      <c r="C89" s="3313"/>
      <c r="D89" s="2424">
        <f>'Saisie données file act.'!D585</f>
        <v>0</v>
      </c>
      <c r="E89" s="2406">
        <f>'Saisie données file act.'!E585</f>
        <v>0</v>
      </c>
      <c r="F89" s="2393">
        <f>'Saisie données file act.'!F585</f>
        <v>0</v>
      </c>
      <c r="G89" s="2393">
        <f>'Saisie données file act.'!G585</f>
        <v>0</v>
      </c>
      <c r="H89" s="2393">
        <f>'Saisie données file act.'!H585</f>
        <v>0</v>
      </c>
      <c r="I89" s="2393">
        <f>'Saisie données file act.'!I585</f>
        <v>0</v>
      </c>
      <c r="J89" s="2393">
        <f>'Saisie données file act.'!J585</f>
        <v>0</v>
      </c>
      <c r="K89" s="2393">
        <f>'Saisie données file act.'!K585</f>
        <v>0</v>
      </c>
      <c r="L89" s="2400">
        <f>'Saisie données file act.'!L585</f>
        <v>0</v>
      </c>
      <c r="M89" s="2406">
        <f>'Saisie données file act.'!M585</f>
        <v>0</v>
      </c>
      <c r="N89" s="2393">
        <f>'Saisie données file act.'!N585</f>
        <v>0</v>
      </c>
      <c r="O89" s="2393">
        <f>'Saisie données file act.'!O585</f>
        <v>0</v>
      </c>
      <c r="P89" s="2393">
        <f>'Saisie données file act.'!P585</f>
        <v>0</v>
      </c>
      <c r="Q89" s="2393">
        <f>'Saisie données file act.'!Q585</f>
        <v>0</v>
      </c>
      <c r="R89" s="2393">
        <f>'Saisie données file act.'!R585</f>
        <v>0</v>
      </c>
      <c r="S89" s="2393">
        <f>'Saisie données file act.'!S585</f>
        <v>0</v>
      </c>
      <c r="T89" s="2393">
        <f>'Saisie données file act.'!T585</f>
        <v>0</v>
      </c>
      <c r="U89" s="2393">
        <f>'Saisie données file act.'!U585</f>
        <v>0</v>
      </c>
      <c r="V89" s="2393">
        <f>'Saisie données file act.'!V585</f>
        <v>0</v>
      </c>
      <c r="W89" s="2393">
        <f>'Saisie données file act.'!W585</f>
        <v>0</v>
      </c>
      <c r="X89" s="2393">
        <f>'Saisie données file act.'!X585</f>
        <v>0</v>
      </c>
      <c r="Y89" s="2393">
        <f>'Saisie données file act.'!Y585</f>
        <v>0</v>
      </c>
      <c r="Z89" s="2393">
        <f>'Saisie données file act.'!Z585</f>
        <v>0</v>
      </c>
      <c r="AA89" s="2393">
        <f>'Saisie données file act.'!AA585</f>
        <v>0</v>
      </c>
      <c r="AB89" s="2393">
        <f>'Saisie données file act.'!AB585</f>
        <v>0</v>
      </c>
      <c r="AC89" s="2393">
        <f>'Saisie données file act.'!AC585</f>
        <v>0</v>
      </c>
      <c r="AD89" s="2393">
        <f>'Saisie données file act.'!AD585</f>
        <v>0</v>
      </c>
      <c r="AE89" s="2393">
        <f>'Saisie données file act.'!AE585</f>
        <v>0</v>
      </c>
      <c r="AF89" s="2393">
        <f>'Saisie données file act.'!AF585</f>
        <v>0</v>
      </c>
      <c r="AG89" s="2400">
        <f>'Saisie données file act.'!AG585</f>
        <v>0</v>
      </c>
      <c r="AH89" s="2395">
        <f>'Saisie données file act.'!AH585</f>
        <v>0</v>
      </c>
    </row>
    <row r="90" spans="2:34" x14ac:dyDescent="0.2">
      <c r="C90" s="3313"/>
      <c r="D90" s="2424">
        <f>'Saisie données file act.'!D586</f>
        <v>0</v>
      </c>
      <c r="E90" s="2406">
        <f>'Saisie données file act.'!E586</f>
        <v>0</v>
      </c>
      <c r="F90" s="2393">
        <f>'Saisie données file act.'!F586</f>
        <v>0</v>
      </c>
      <c r="G90" s="2393">
        <f>'Saisie données file act.'!G586</f>
        <v>0</v>
      </c>
      <c r="H90" s="2393">
        <f>'Saisie données file act.'!H586</f>
        <v>0</v>
      </c>
      <c r="I90" s="2393">
        <f>'Saisie données file act.'!I586</f>
        <v>0</v>
      </c>
      <c r="J90" s="2393">
        <f>'Saisie données file act.'!J586</f>
        <v>0</v>
      </c>
      <c r="K90" s="2393">
        <f>'Saisie données file act.'!K586</f>
        <v>0</v>
      </c>
      <c r="L90" s="2400">
        <f>'Saisie données file act.'!L586</f>
        <v>0</v>
      </c>
      <c r="M90" s="2406">
        <f>'Saisie données file act.'!M586</f>
        <v>0</v>
      </c>
      <c r="N90" s="2393">
        <f>'Saisie données file act.'!N586</f>
        <v>0</v>
      </c>
      <c r="O90" s="2393">
        <f>'Saisie données file act.'!O586</f>
        <v>0</v>
      </c>
      <c r="P90" s="2393">
        <f>'Saisie données file act.'!P586</f>
        <v>0</v>
      </c>
      <c r="Q90" s="2393">
        <f>'Saisie données file act.'!Q586</f>
        <v>0</v>
      </c>
      <c r="R90" s="2393">
        <f>'Saisie données file act.'!R586</f>
        <v>0</v>
      </c>
      <c r="S90" s="2393">
        <f>'Saisie données file act.'!S586</f>
        <v>0</v>
      </c>
      <c r="T90" s="2393">
        <f>'Saisie données file act.'!T586</f>
        <v>0</v>
      </c>
      <c r="U90" s="2393">
        <f>'Saisie données file act.'!U586</f>
        <v>0</v>
      </c>
      <c r="V90" s="2393">
        <f>'Saisie données file act.'!V586</f>
        <v>0</v>
      </c>
      <c r="W90" s="2393">
        <f>'Saisie données file act.'!W586</f>
        <v>0</v>
      </c>
      <c r="X90" s="2393">
        <f>'Saisie données file act.'!X586</f>
        <v>0</v>
      </c>
      <c r="Y90" s="2393">
        <f>'Saisie données file act.'!Y586</f>
        <v>0</v>
      </c>
      <c r="Z90" s="2393">
        <f>'Saisie données file act.'!Z586</f>
        <v>0</v>
      </c>
      <c r="AA90" s="2393">
        <f>'Saisie données file act.'!AA586</f>
        <v>0</v>
      </c>
      <c r="AB90" s="2393">
        <f>'Saisie données file act.'!AB586</f>
        <v>0</v>
      </c>
      <c r="AC90" s="2393">
        <f>'Saisie données file act.'!AC586</f>
        <v>0</v>
      </c>
      <c r="AD90" s="2393">
        <f>'Saisie données file act.'!AD586</f>
        <v>0</v>
      </c>
      <c r="AE90" s="2393">
        <f>'Saisie données file act.'!AE586</f>
        <v>0</v>
      </c>
      <c r="AF90" s="2393">
        <f>'Saisie données file act.'!AF586</f>
        <v>0</v>
      </c>
      <c r="AG90" s="2400">
        <f>'Saisie données file act.'!AG586</f>
        <v>0</v>
      </c>
      <c r="AH90" s="2395">
        <f>'Saisie données file act.'!AH586</f>
        <v>0</v>
      </c>
    </row>
    <row r="91" spans="2:34" x14ac:dyDescent="0.2">
      <c r="C91" s="3313"/>
      <c r="D91" s="2424">
        <f>'Saisie données file act.'!D587</f>
        <v>0</v>
      </c>
      <c r="E91" s="2406">
        <f>'Saisie données file act.'!E587</f>
        <v>0</v>
      </c>
      <c r="F91" s="2393">
        <f>'Saisie données file act.'!F587</f>
        <v>0</v>
      </c>
      <c r="G91" s="2393">
        <f>'Saisie données file act.'!G587</f>
        <v>0</v>
      </c>
      <c r="H91" s="2393">
        <f>'Saisie données file act.'!H587</f>
        <v>0</v>
      </c>
      <c r="I91" s="2393">
        <f>'Saisie données file act.'!I587</f>
        <v>0</v>
      </c>
      <c r="J91" s="2393">
        <f>'Saisie données file act.'!J587</f>
        <v>0</v>
      </c>
      <c r="K91" s="2393">
        <f>'Saisie données file act.'!K587</f>
        <v>0</v>
      </c>
      <c r="L91" s="2400">
        <f>'Saisie données file act.'!L587</f>
        <v>0</v>
      </c>
      <c r="M91" s="2406">
        <f>'Saisie données file act.'!M587</f>
        <v>0</v>
      </c>
      <c r="N91" s="2393">
        <f>'Saisie données file act.'!N587</f>
        <v>0</v>
      </c>
      <c r="O91" s="2393">
        <f>'Saisie données file act.'!O587</f>
        <v>0</v>
      </c>
      <c r="P91" s="2393">
        <f>'Saisie données file act.'!P587</f>
        <v>0</v>
      </c>
      <c r="Q91" s="2393">
        <f>'Saisie données file act.'!Q587</f>
        <v>0</v>
      </c>
      <c r="R91" s="2393">
        <f>'Saisie données file act.'!R587</f>
        <v>0</v>
      </c>
      <c r="S91" s="2393">
        <f>'Saisie données file act.'!S587</f>
        <v>0</v>
      </c>
      <c r="T91" s="2393">
        <f>'Saisie données file act.'!T587</f>
        <v>0</v>
      </c>
      <c r="U91" s="2393">
        <f>'Saisie données file act.'!U587</f>
        <v>0</v>
      </c>
      <c r="V91" s="2393">
        <f>'Saisie données file act.'!V587</f>
        <v>0</v>
      </c>
      <c r="W91" s="2393">
        <f>'Saisie données file act.'!W587</f>
        <v>0</v>
      </c>
      <c r="X91" s="2393">
        <f>'Saisie données file act.'!X587</f>
        <v>0</v>
      </c>
      <c r="Y91" s="2393">
        <f>'Saisie données file act.'!Y587</f>
        <v>0</v>
      </c>
      <c r="Z91" s="2393">
        <f>'Saisie données file act.'!Z587</f>
        <v>0</v>
      </c>
      <c r="AA91" s="2393">
        <f>'Saisie données file act.'!AA587</f>
        <v>0</v>
      </c>
      <c r="AB91" s="2393">
        <f>'Saisie données file act.'!AB587</f>
        <v>0</v>
      </c>
      <c r="AC91" s="2393">
        <f>'Saisie données file act.'!AC587</f>
        <v>0</v>
      </c>
      <c r="AD91" s="2393">
        <f>'Saisie données file act.'!AD587</f>
        <v>0</v>
      </c>
      <c r="AE91" s="2393">
        <f>'Saisie données file act.'!AE587</f>
        <v>0</v>
      </c>
      <c r="AF91" s="2393">
        <f>'Saisie données file act.'!AF587</f>
        <v>0</v>
      </c>
      <c r="AG91" s="2400">
        <f>'Saisie données file act.'!AG587</f>
        <v>0</v>
      </c>
      <c r="AH91" s="2395">
        <f>'Saisie données file act.'!AH587</f>
        <v>0</v>
      </c>
    </row>
    <row r="92" spans="2:34" x14ac:dyDescent="0.2">
      <c r="C92" s="3313"/>
      <c r="D92" s="2424">
        <f>'Saisie données file act.'!D588</f>
        <v>0</v>
      </c>
      <c r="E92" s="2406">
        <f>'Saisie données file act.'!E588</f>
        <v>0</v>
      </c>
      <c r="F92" s="2393">
        <f>'Saisie données file act.'!F588</f>
        <v>0</v>
      </c>
      <c r="G92" s="2393">
        <f>'Saisie données file act.'!G588</f>
        <v>0</v>
      </c>
      <c r="H92" s="2393">
        <f>'Saisie données file act.'!H588</f>
        <v>0</v>
      </c>
      <c r="I92" s="2393">
        <f>'Saisie données file act.'!I588</f>
        <v>0</v>
      </c>
      <c r="J92" s="2393">
        <f>'Saisie données file act.'!J588</f>
        <v>0</v>
      </c>
      <c r="K92" s="2393">
        <f>'Saisie données file act.'!K588</f>
        <v>0</v>
      </c>
      <c r="L92" s="2400">
        <f>'Saisie données file act.'!L588</f>
        <v>0</v>
      </c>
      <c r="M92" s="2406">
        <f>'Saisie données file act.'!M588</f>
        <v>0</v>
      </c>
      <c r="N92" s="2393">
        <f>'Saisie données file act.'!N588</f>
        <v>0</v>
      </c>
      <c r="O92" s="2393">
        <f>'Saisie données file act.'!O588</f>
        <v>0</v>
      </c>
      <c r="P92" s="2393">
        <f>'Saisie données file act.'!P588</f>
        <v>0</v>
      </c>
      <c r="Q92" s="2393">
        <f>'Saisie données file act.'!Q588</f>
        <v>0</v>
      </c>
      <c r="R92" s="2393">
        <f>'Saisie données file act.'!R588</f>
        <v>0</v>
      </c>
      <c r="S92" s="2393">
        <f>'Saisie données file act.'!S588</f>
        <v>0</v>
      </c>
      <c r="T92" s="2393">
        <f>'Saisie données file act.'!T588</f>
        <v>0</v>
      </c>
      <c r="U92" s="2393">
        <f>'Saisie données file act.'!U588</f>
        <v>0</v>
      </c>
      <c r="V92" s="2393">
        <f>'Saisie données file act.'!V588</f>
        <v>0</v>
      </c>
      <c r="W92" s="2393">
        <f>'Saisie données file act.'!W588</f>
        <v>0</v>
      </c>
      <c r="X92" s="2393">
        <f>'Saisie données file act.'!X588</f>
        <v>0</v>
      </c>
      <c r="Y92" s="2393">
        <f>'Saisie données file act.'!Y588</f>
        <v>0</v>
      </c>
      <c r="Z92" s="2393">
        <f>'Saisie données file act.'!Z588</f>
        <v>0</v>
      </c>
      <c r="AA92" s="2393">
        <f>'Saisie données file act.'!AA588</f>
        <v>0</v>
      </c>
      <c r="AB92" s="2393">
        <f>'Saisie données file act.'!AB588</f>
        <v>0</v>
      </c>
      <c r="AC92" s="2393">
        <f>'Saisie données file act.'!AC588</f>
        <v>0</v>
      </c>
      <c r="AD92" s="2393">
        <f>'Saisie données file act.'!AD588</f>
        <v>0</v>
      </c>
      <c r="AE92" s="2393">
        <f>'Saisie données file act.'!AE588</f>
        <v>0</v>
      </c>
      <c r="AF92" s="2393">
        <f>'Saisie données file act.'!AF588</f>
        <v>0</v>
      </c>
      <c r="AG92" s="2400">
        <f>'Saisie données file act.'!AG588</f>
        <v>0</v>
      </c>
      <c r="AH92" s="2395">
        <f>'Saisie données file act.'!AH588</f>
        <v>0</v>
      </c>
    </row>
    <row r="93" spans="2:34" ht="12.75" thickBot="1" x14ac:dyDescent="0.25">
      <c r="C93" s="3314"/>
      <c r="D93" s="2425">
        <f>'Saisie données file act.'!D589</f>
        <v>0</v>
      </c>
      <c r="E93" s="2407">
        <f>'Saisie données file act.'!E589</f>
        <v>0</v>
      </c>
      <c r="F93" s="2394">
        <f>'Saisie données file act.'!F589</f>
        <v>0</v>
      </c>
      <c r="G93" s="2394">
        <f>'Saisie données file act.'!G589</f>
        <v>0</v>
      </c>
      <c r="H93" s="2394">
        <f>'Saisie données file act.'!H589</f>
        <v>0</v>
      </c>
      <c r="I93" s="2394">
        <f>'Saisie données file act.'!I589</f>
        <v>0</v>
      </c>
      <c r="J93" s="2394">
        <f>'Saisie données file act.'!J589</f>
        <v>0</v>
      </c>
      <c r="K93" s="2394">
        <f>'Saisie données file act.'!K589</f>
        <v>0</v>
      </c>
      <c r="L93" s="2401">
        <f>'Saisie données file act.'!L589</f>
        <v>0</v>
      </c>
      <c r="M93" s="2407">
        <f>'Saisie données file act.'!M589</f>
        <v>0</v>
      </c>
      <c r="N93" s="2394">
        <f>'Saisie données file act.'!N589</f>
        <v>0</v>
      </c>
      <c r="O93" s="2394">
        <f>'Saisie données file act.'!O589</f>
        <v>0</v>
      </c>
      <c r="P93" s="2394">
        <f>'Saisie données file act.'!P589</f>
        <v>0</v>
      </c>
      <c r="Q93" s="2394">
        <f>'Saisie données file act.'!Q589</f>
        <v>0</v>
      </c>
      <c r="R93" s="2394">
        <f>'Saisie données file act.'!R589</f>
        <v>0</v>
      </c>
      <c r="S93" s="2394">
        <f>'Saisie données file act.'!S589</f>
        <v>0</v>
      </c>
      <c r="T93" s="2394">
        <f>'Saisie données file act.'!T589</f>
        <v>0</v>
      </c>
      <c r="U93" s="2394">
        <f>'Saisie données file act.'!U589</f>
        <v>0</v>
      </c>
      <c r="V93" s="2394">
        <f>'Saisie données file act.'!V589</f>
        <v>0</v>
      </c>
      <c r="W93" s="2394">
        <f>'Saisie données file act.'!W589</f>
        <v>0</v>
      </c>
      <c r="X93" s="2394">
        <f>'Saisie données file act.'!X589</f>
        <v>0</v>
      </c>
      <c r="Y93" s="2394">
        <f>'Saisie données file act.'!Y589</f>
        <v>0</v>
      </c>
      <c r="Z93" s="2394">
        <f>'Saisie données file act.'!Z589</f>
        <v>0</v>
      </c>
      <c r="AA93" s="2394">
        <f>'Saisie données file act.'!AA589</f>
        <v>0</v>
      </c>
      <c r="AB93" s="2394">
        <f>'Saisie données file act.'!AB589</f>
        <v>0</v>
      </c>
      <c r="AC93" s="2394">
        <f>'Saisie données file act.'!AC589</f>
        <v>0</v>
      </c>
      <c r="AD93" s="2394">
        <f>'Saisie données file act.'!AD589</f>
        <v>0</v>
      </c>
      <c r="AE93" s="2394">
        <f>'Saisie données file act.'!AE589</f>
        <v>0</v>
      </c>
      <c r="AF93" s="2394">
        <f>'Saisie données file act.'!AF589</f>
        <v>0</v>
      </c>
      <c r="AG93" s="2401">
        <f>'Saisie données file act.'!AG589</f>
        <v>0</v>
      </c>
      <c r="AH93" s="2403">
        <f>'Saisie données file act.'!AH589</f>
        <v>0</v>
      </c>
    </row>
    <row r="95" spans="2:34" ht="12.75" thickBot="1" x14ac:dyDescent="0.25"/>
    <row r="96" spans="2:34" ht="12.75" thickBot="1" x14ac:dyDescent="0.25">
      <c r="B96" s="2392" t="str">
        <f>'Saisie données file act.'!B592</f>
        <v>Tranche 20 - 24,9 kg</v>
      </c>
      <c r="C96" s="1302"/>
      <c r="D96" s="1302"/>
      <c r="E96" s="1302"/>
      <c r="F96" s="1303"/>
    </row>
    <row r="97" spans="2:34" ht="12.75" thickBot="1" x14ac:dyDescent="0.25">
      <c r="B97" s="1299"/>
    </row>
    <row r="98" spans="2:34" ht="12.75" thickBot="1" x14ac:dyDescent="0.25">
      <c r="E98" s="1301" t="str">
        <f>'Saisie données file act.'!E594</f>
        <v>Solutions buvables</v>
      </c>
      <c r="F98" s="2404"/>
      <c r="G98" s="2404"/>
      <c r="H98" s="2404"/>
      <c r="I98" s="2404"/>
      <c r="J98" s="2404"/>
      <c r="K98" s="2404"/>
      <c r="L98" s="2405"/>
      <c r="M98" s="1301" t="str">
        <f>'Saisie données file act.'!M594</f>
        <v>Comprimés</v>
      </c>
      <c r="N98" s="2404"/>
      <c r="O98" s="2404"/>
      <c r="P98" s="2404"/>
      <c r="Q98" s="2404"/>
      <c r="R98" s="2404"/>
      <c r="S98" s="2404" t="str">
        <f>'Saisie données file act.'!M504</f>
        <v>Comprimés</v>
      </c>
      <c r="T98" s="2404"/>
      <c r="U98" s="2404"/>
      <c r="V98" s="2404"/>
      <c r="W98" s="2404"/>
      <c r="X98" s="2404"/>
      <c r="Y98" s="2404"/>
      <c r="Z98" s="2404"/>
      <c r="AA98" s="2404"/>
      <c r="AB98" s="2404"/>
      <c r="AC98" s="2404"/>
      <c r="AD98" s="2404"/>
      <c r="AE98" s="2404"/>
      <c r="AF98" s="2404"/>
      <c r="AG98" s="2405"/>
    </row>
    <row r="99" spans="2:34" s="1307" customFormat="1" ht="36" x14ac:dyDescent="0.2">
      <c r="B99" s="2412"/>
      <c r="C99" s="2413"/>
      <c r="D99" s="2411" t="str">
        <f>'Saisie données file act.'!D595</f>
        <v>Nb de boites / mois pour l'ensemble des patients</v>
      </c>
      <c r="E99" s="2414" t="str">
        <f>'Saisie données file act.'!E595</f>
        <v>AZT</v>
      </c>
      <c r="F99" s="2415" t="str">
        <f>'Saisie données file act.'!F595</f>
        <v>D4T</v>
      </c>
      <c r="G99" s="2415" t="str">
        <f>'Saisie données file act.'!G595</f>
        <v>3TC</v>
      </c>
      <c r="H99" s="2415" t="str">
        <f>'Saisie données file act.'!H595</f>
        <v>ABC</v>
      </c>
      <c r="I99" s="2415" t="str">
        <f>'Saisie données file act.'!I595</f>
        <v>DDI</v>
      </c>
      <c r="J99" s="2415" t="str">
        <f>'Saisie données file act.'!J595</f>
        <v>NVP</v>
      </c>
      <c r="K99" s="2415" t="str">
        <f>'Saisie données file act.'!K595</f>
        <v>EFV</v>
      </c>
      <c r="L99" s="2416" t="str">
        <f>'Saisie données file act.'!L595</f>
        <v>LPV/r</v>
      </c>
      <c r="M99" s="2414" t="str">
        <f>'Saisie données file act.'!M595</f>
        <v>AZT+3TC+NVP</v>
      </c>
      <c r="N99" s="2415" t="str">
        <f>'Saisie données file act.'!N595</f>
        <v>AZT+3TC+NVP bébé</v>
      </c>
      <c r="O99" s="2415" t="str">
        <f>'Saisie données file act.'!O595</f>
        <v>AZT+3TC</v>
      </c>
      <c r="P99" s="2415" t="str">
        <f>'Saisie données file act.'!P595</f>
        <v>AZT+3TC bébé</v>
      </c>
      <c r="Q99" s="2415" t="str">
        <f>'Saisie données file act.'!Q595</f>
        <v>D4T+3TC+NVP</v>
      </c>
      <c r="R99" s="2415" t="str">
        <f>'Saisie données file act.'!R595</f>
        <v>D4T+3TC+NVP bébé</v>
      </c>
      <c r="S99" s="2415" t="str">
        <f>'Saisie données file act.'!S595</f>
        <v>D4T+3TC</v>
      </c>
      <c r="T99" s="2415" t="str">
        <f>'Saisie données file act.'!T595</f>
        <v>AZT+3TC+ABC</v>
      </c>
      <c r="U99" s="2415" t="str">
        <f>'Saisie données file act.'!U595</f>
        <v>ABC+3TC</v>
      </c>
      <c r="V99" s="2415" t="str">
        <f>'Saisie données file act.'!V595</f>
        <v>ABC+3TC bébé</v>
      </c>
      <c r="W99" s="2415" t="str">
        <f>'Saisie données file act.'!W595</f>
        <v>3TC</v>
      </c>
      <c r="X99" s="2415" t="str">
        <f>'Saisie données file act.'!X595</f>
        <v>ABC</v>
      </c>
      <c r="Y99" s="2415" t="str">
        <f>'Saisie données file act.'!Y595</f>
        <v>ABC bébé</v>
      </c>
      <c r="Z99" s="2415" t="str">
        <f>'Saisie données file act.'!Z595</f>
        <v>AZT</v>
      </c>
      <c r="AA99" s="2415" t="str">
        <f>'Saisie données file act.'!AA595</f>
        <v>AZT bébé</v>
      </c>
      <c r="AB99" s="2415" t="str">
        <f>'Saisie données file act.'!AB595</f>
        <v>DDI</v>
      </c>
      <c r="AC99" s="2415" t="str">
        <f>'Saisie données file act.'!AC595</f>
        <v>NVP</v>
      </c>
      <c r="AD99" s="2415" t="str">
        <f>'Saisie données file act.'!AD595</f>
        <v>EFV</v>
      </c>
      <c r="AE99" s="2415" t="str">
        <f>'Saisie données file act.'!AE595</f>
        <v>EFV</v>
      </c>
      <c r="AF99" s="2415" t="str">
        <f>'Saisie données file act.'!AF595</f>
        <v>LPV/r</v>
      </c>
      <c r="AG99" s="2416" t="str">
        <f>'Saisie données file act.'!AG595</f>
        <v>LPV/r bébé</v>
      </c>
      <c r="AH99" s="2417"/>
    </row>
    <row r="100" spans="2:34" s="1307" customFormat="1" ht="24.75" thickBot="1" x14ac:dyDescent="0.25">
      <c r="C100" s="2418"/>
      <c r="D100" s="2419" t="str">
        <f>'Saisie données file act.'!D596</f>
        <v>Dosage</v>
      </c>
      <c r="E100" s="2420" t="str">
        <f>'Saisie données file act.'!E596</f>
        <v>10 mg/mL</v>
      </c>
      <c r="F100" s="2421" t="str">
        <f>'Saisie données file act.'!F596</f>
        <v>10 mg/mL</v>
      </c>
      <c r="G100" s="2421" t="str">
        <f>'Saisie données file act.'!G596</f>
        <v>10 mg/mL</v>
      </c>
      <c r="H100" s="2421" t="str">
        <f>'Saisie données file act.'!H596</f>
        <v>20 mg/mL</v>
      </c>
      <c r="I100" s="2421" t="str">
        <f>'Saisie données file act.'!I596</f>
        <v>2 g</v>
      </c>
      <c r="J100" s="2421" t="str">
        <f>'Saisie données file act.'!J596</f>
        <v>10 mg/mL</v>
      </c>
      <c r="K100" s="2421" t="str">
        <f>'Saisie données file act.'!K596</f>
        <v>30 mg/mL</v>
      </c>
      <c r="L100" s="2422" t="str">
        <f>'Saisie données file act.'!L596</f>
        <v>80/20 mg/mL</v>
      </c>
      <c r="M100" s="2420" t="str">
        <f>'Saisie données file act.'!M596</f>
        <v>300/150/200 mg</v>
      </c>
      <c r="N100" s="2421" t="str">
        <f>'Saisie données file act.'!N596</f>
        <v>60/30/50 mg</v>
      </c>
      <c r="O100" s="2421" t="str">
        <f>'Saisie données file act.'!O596</f>
        <v>300/150 mg</v>
      </c>
      <c r="P100" s="2421" t="str">
        <f>'Saisie données file act.'!P596</f>
        <v>60/30 mg</v>
      </c>
      <c r="Q100" s="2421" t="str">
        <f>'Saisie données file act.'!Q596</f>
        <v>30/150/200 mg</v>
      </c>
      <c r="R100" s="2421" t="str">
        <f>'Saisie données file act.'!R596</f>
        <v>6/30/50 mg</v>
      </c>
      <c r="S100" s="2421" t="str">
        <f>'Saisie données file act.'!S596</f>
        <v>30/150 mg</v>
      </c>
      <c r="T100" s="2421" t="str">
        <f>'Saisie données file act.'!T596</f>
        <v>300/150/300 mg</v>
      </c>
      <c r="U100" s="2421" t="str">
        <f>'Saisie données file act.'!U596</f>
        <v>600/300 mg</v>
      </c>
      <c r="V100" s="2421" t="str">
        <f>'Saisie données file act.'!V596</f>
        <v>60/30 mg</v>
      </c>
      <c r="W100" s="2421" t="str">
        <f>'Saisie données file act.'!W596</f>
        <v>150 mg</v>
      </c>
      <c r="X100" s="2421" t="str">
        <f>'Saisie données file act.'!X596</f>
        <v>300 mg</v>
      </c>
      <c r="Y100" s="2421" t="str">
        <f>'Saisie données file act.'!Y596</f>
        <v>60 mg</v>
      </c>
      <c r="Z100" s="2421" t="str">
        <f>'Saisie données file act.'!Z596</f>
        <v>100 mg</v>
      </c>
      <c r="AA100" s="2421" t="str">
        <f>'Saisie données file act.'!AA596</f>
        <v>60 mg</v>
      </c>
      <c r="AB100" s="2421" t="str">
        <f>'Saisie données file act.'!AB596</f>
        <v>250 mg</v>
      </c>
      <c r="AC100" s="2421" t="str">
        <f>'Saisie données file act.'!AC596</f>
        <v>200 mg</v>
      </c>
      <c r="AD100" s="2421" t="str">
        <f>'Saisie données file act.'!AD596</f>
        <v>200 mg</v>
      </c>
      <c r="AE100" s="2421" t="str">
        <f>'Saisie données file act.'!AE596</f>
        <v>50 mg</v>
      </c>
      <c r="AF100" s="2421" t="str">
        <f>'Saisie données file act.'!AF596</f>
        <v>200/50 mg</v>
      </c>
      <c r="AG100" s="2422" t="str">
        <f>'Saisie données file act.'!AG596</f>
        <v>100/25 mg</v>
      </c>
      <c r="AH100" s="2423"/>
    </row>
    <row r="101" spans="2:34" x14ac:dyDescent="0.2">
      <c r="C101" s="3312" t="str">
        <f>'Saisie données file act.'!C597</f>
        <v>Schéma thérapeutique</v>
      </c>
      <c r="D101" s="2427" t="str">
        <f>'Saisie données file act.'!D597</f>
        <v>Premières lignes</v>
      </c>
      <c r="E101" s="2397">
        <f>'Saisie données file act.'!E597</f>
        <v>0</v>
      </c>
      <c r="F101" s="2398">
        <f>'Saisie données file act.'!F597</f>
        <v>0</v>
      </c>
      <c r="G101" s="2398">
        <f>'Saisie données file act.'!G597</f>
        <v>0</v>
      </c>
      <c r="H101" s="2398">
        <f>'Saisie données file act.'!H597</f>
        <v>0</v>
      </c>
      <c r="I101" s="2398">
        <f>'Saisie données file act.'!I597</f>
        <v>0</v>
      </c>
      <c r="J101" s="2398">
        <f>'Saisie données file act.'!J597</f>
        <v>0</v>
      </c>
      <c r="K101" s="2398">
        <f>'Saisie données file act.'!K597</f>
        <v>0</v>
      </c>
      <c r="L101" s="2399">
        <f>'Saisie données file act.'!L597</f>
        <v>0</v>
      </c>
      <c r="M101" s="2397">
        <f>'Saisie données file act.'!M597</f>
        <v>0</v>
      </c>
      <c r="N101" s="2398">
        <f>'Saisie données file act.'!N597</f>
        <v>0</v>
      </c>
      <c r="O101" s="2398">
        <f>'Saisie données file act.'!O597</f>
        <v>0</v>
      </c>
      <c r="P101" s="2398">
        <f>'Saisie données file act.'!P597</f>
        <v>0</v>
      </c>
      <c r="Q101" s="2398">
        <f>'Saisie données file act.'!Q597</f>
        <v>0</v>
      </c>
      <c r="R101" s="2398">
        <f>'Saisie données file act.'!R597</f>
        <v>0</v>
      </c>
      <c r="S101" s="2398">
        <f>'Saisie données file act.'!S597</f>
        <v>0</v>
      </c>
      <c r="T101" s="2398">
        <f>'Saisie données file act.'!T597</f>
        <v>0</v>
      </c>
      <c r="U101" s="2398">
        <f>'Saisie données file act.'!U597</f>
        <v>0</v>
      </c>
      <c r="V101" s="2398">
        <f>'Saisie données file act.'!V597</f>
        <v>0</v>
      </c>
      <c r="W101" s="2398">
        <f>'Saisie données file act.'!W597</f>
        <v>0</v>
      </c>
      <c r="X101" s="2398">
        <f>'Saisie données file act.'!X597</f>
        <v>0</v>
      </c>
      <c r="Y101" s="2398">
        <f>'Saisie données file act.'!Y597</f>
        <v>0</v>
      </c>
      <c r="Z101" s="2398">
        <f>'Saisie données file act.'!Z597</f>
        <v>0</v>
      </c>
      <c r="AA101" s="2398">
        <f>'Saisie données file act.'!AA597</f>
        <v>0</v>
      </c>
      <c r="AB101" s="2398">
        <f>'Saisie données file act.'!AB597</f>
        <v>0</v>
      </c>
      <c r="AC101" s="2398">
        <f>'Saisie données file act.'!AC597</f>
        <v>0</v>
      </c>
      <c r="AD101" s="2398">
        <f>'Saisie données file act.'!AD597</f>
        <v>0</v>
      </c>
      <c r="AE101" s="2398">
        <f>'Saisie données file act.'!AE597</f>
        <v>0</v>
      </c>
      <c r="AF101" s="2398">
        <f>'Saisie données file act.'!AF597</f>
        <v>0</v>
      </c>
      <c r="AG101" s="2399">
        <f>'Saisie données file act.'!AG597</f>
        <v>0</v>
      </c>
      <c r="AH101" s="2402" t="str">
        <f>'Saisie données file act.'!AH597</f>
        <v>Vérification nb de produits sélectionnés</v>
      </c>
    </row>
    <row r="102" spans="2:34" x14ac:dyDescent="0.2">
      <c r="C102" s="3313"/>
      <c r="D102" s="2424" t="str">
        <f>'Saisie données file act.'!D598</f>
        <v>ABC+3TC+LPV/r</v>
      </c>
      <c r="E102" s="2406">
        <f>'Saisie données file act.'!E598</f>
        <v>0</v>
      </c>
      <c r="F102" s="2393">
        <f>'Saisie données file act.'!F598</f>
        <v>0</v>
      </c>
      <c r="G102" s="2393">
        <f>'Saisie données file act.'!G598</f>
        <v>0</v>
      </c>
      <c r="H102" s="2393">
        <f>'Saisie données file act.'!H598</f>
        <v>0</v>
      </c>
      <c r="I102" s="2393">
        <f>'Saisie données file act.'!I598</f>
        <v>0</v>
      </c>
      <c r="J102" s="2393">
        <f>'Saisie données file act.'!J598</f>
        <v>0</v>
      </c>
      <c r="K102" s="2393">
        <f>'Saisie données file act.'!K598</f>
        <v>0</v>
      </c>
      <c r="L102" s="2400">
        <f>'Saisie données file act.'!L598</f>
        <v>0</v>
      </c>
      <c r="M102" s="2406">
        <f>'Saisie données file act.'!M598</f>
        <v>0</v>
      </c>
      <c r="N102" s="2393">
        <f>'Saisie données file act.'!N598</f>
        <v>0</v>
      </c>
      <c r="O102" s="2393">
        <f>'Saisie données file act.'!O598</f>
        <v>0</v>
      </c>
      <c r="P102" s="2393">
        <f>'Saisie données file act.'!P598</f>
        <v>0</v>
      </c>
      <c r="Q102" s="2393">
        <f>'Saisie données file act.'!Q598</f>
        <v>0</v>
      </c>
      <c r="R102" s="2393">
        <f>'Saisie données file act.'!R598</f>
        <v>0</v>
      </c>
      <c r="S102" s="2393">
        <f>'Saisie données file act.'!S598</f>
        <v>0</v>
      </c>
      <c r="T102" s="2393">
        <f>'Saisie données file act.'!T598</f>
        <v>0</v>
      </c>
      <c r="U102" s="2393">
        <f>'Saisie données file act.'!U598</f>
        <v>0</v>
      </c>
      <c r="V102" s="2393">
        <f>'Saisie données file act.'!V598</f>
        <v>0</v>
      </c>
      <c r="W102" s="2393">
        <f>'Saisie données file act.'!W598</f>
        <v>0</v>
      </c>
      <c r="X102" s="2393">
        <f>'Saisie données file act.'!X598</f>
        <v>0</v>
      </c>
      <c r="Y102" s="2393">
        <f>'Saisie données file act.'!Y598</f>
        <v>0</v>
      </c>
      <c r="Z102" s="2393">
        <f>'Saisie données file act.'!Z598</f>
        <v>0</v>
      </c>
      <c r="AA102" s="2393">
        <f>'Saisie données file act.'!AA598</f>
        <v>0</v>
      </c>
      <c r="AB102" s="2393">
        <f>'Saisie données file act.'!AB598</f>
        <v>0</v>
      </c>
      <c r="AC102" s="2393">
        <f>'Saisie données file act.'!AC598</f>
        <v>0</v>
      </c>
      <c r="AD102" s="2393">
        <f>'Saisie données file act.'!AD598</f>
        <v>0</v>
      </c>
      <c r="AE102" s="2393">
        <f>'Saisie données file act.'!AE598</f>
        <v>0</v>
      </c>
      <c r="AF102" s="2393">
        <f>'Saisie données file act.'!AF598</f>
        <v>0</v>
      </c>
      <c r="AG102" s="2400">
        <f>'Saisie données file act.'!AG598</f>
        <v>0</v>
      </c>
      <c r="AH102" s="2395">
        <f>'Saisie données file act.'!AH598</f>
        <v>0</v>
      </c>
    </row>
    <row r="103" spans="2:34" x14ac:dyDescent="0.2">
      <c r="C103" s="3313"/>
      <c r="D103" s="2424" t="str">
        <f>'Saisie données file act.'!D599</f>
        <v>ABC+3TC+EFV</v>
      </c>
      <c r="E103" s="2406">
        <f>'Saisie données file act.'!E599</f>
        <v>0</v>
      </c>
      <c r="F103" s="2393">
        <f>'Saisie données file act.'!F599</f>
        <v>0</v>
      </c>
      <c r="G103" s="2393">
        <f>'Saisie données file act.'!G599</f>
        <v>0</v>
      </c>
      <c r="H103" s="2393">
        <f>'Saisie données file act.'!H599</f>
        <v>0</v>
      </c>
      <c r="I103" s="2393">
        <f>'Saisie données file act.'!I599</f>
        <v>0</v>
      </c>
      <c r="J103" s="2393">
        <f>'Saisie données file act.'!J599</f>
        <v>0</v>
      </c>
      <c r="K103" s="2393">
        <f>'Saisie données file act.'!K599</f>
        <v>0</v>
      </c>
      <c r="L103" s="2400">
        <f>'Saisie données file act.'!L599</f>
        <v>0</v>
      </c>
      <c r="M103" s="2406">
        <f>'Saisie données file act.'!M599</f>
        <v>0</v>
      </c>
      <c r="N103" s="2393">
        <f>'Saisie données file act.'!N599</f>
        <v>0</v>
      </c>
      <c r="O103" s="2393">
        <f>'Saisie données file act.'!O599</f>
        <v>0</v>
      </c>
      <c r="P103" s="2393">
        <f>'Saisie données file act.'!P599</f>
        <v>0</v>
      </c>
      <c r="Q103" s="2393">
        <f>'Saisie données file act.'!Q599</f>
        <v>0</v>
      </c>
      <c r="R103" s="2393">
        <f>'Saisie données file act.'!R599</f>
        <v>0</v>
      </c>
      <c r="S103" s="2393">
        <f>'Saisie données file act.'!S599</f>
        <v>0</v>
      </c>
      <c r="T103" s="2393">
        <f>'Saisie données file act.'!T599</f>
        <v>0</v>
      </c>
      <c r="U103" s="2393">
        <f>'Saisie données file act.'!U599</f>
        <v>0</v>
      </c>
      <c r="V103" s="2393">
        <f>'Saisie données file act.'!V599</f>
        <v>0</v>
      </c>
      <c r="W103" s="2393">
        <f>'Saisie données file act.'!W599</f>
        <v>0</v>
      </c>
      <c r="X103" s="2393">
        <f>'Saisie données file act.'!X599</f>
        <v>0</v>
      </c>
      <c r="Y103" s="2393">
        <f>'Saisie données file act.'!Y599</f>
        <v>0</v>
      </c>
      <c r="Z103" s="2393">
        <f>'Saisie données file act.'!Z599</f>
        <v>0</v>
      </c>
      <c r="AA103" s="2393">
        <f>'Saisie données file act.'!AA599</f>
        <v>0</v>
      </c>
      <c r="AB103" s="2393">
        <f>'Saisie données file act.'!AB599</f>
        <v>0</v>
      </c>
      <c r="AC103" s="2393">
        <f>'Saisie données file act.'!AC599</f>
        <v>0</v>
      </c>
      <c r="AD103" s="2393">
        <f>'Saisie données file act.'!AD599</f>
        <v>0</v>
      </c>
      <c r="AE103" s="2393">
        <f>'Saisie données file act.'!AE599</f>
        <v>0</v>
      </c>
      <c r="AF103" s="2393">
        <f>'Saisie données file act.'!AF599</f>
        <v>0</v>
      </c>
      <c r="AG103" s="2400">
        <f>'Saisie données file act.'!AG599</f>
        <v>0</v>
      </c>
      <c r="AH103" s="2395">
        <f>'Saisie données file act.'!AH599</f>
        <v>0</v>
      </c>
    </row>
    <row r="104" spans="2:34" x14ac:dyDescent="0.2">
      <c r="C104" s="3313"/>
      <c r="D104" s="2424" t="str">
        <f>'Saisie données file act.'!D600</f>
        <v>ABC+3TC+AZT</v>
      </c>
      <c r="E104" s="2406">
        <f>'Saisie données file act.'!E600</f>
        <v>0</v>
      </c>
      <c r="F104" s="2393">
        <f>'Saisie données file act.'!F600</f>
        <v>0</v>
      </c>
      <c r="G104" s="2393">
        <f>'Saisie données file act.'!G600</f>
        <v>0</v>
      </c>
      <c r="H104" s="2393">
        <f>'Saisie données file act.'!H600</f>
        <v>0</v>
      </c>
      <c r="I104" s="2393">
        <f>'Saisie données file act.'!I600</f>
        <v>0</v>
      </c>
      <c r="J104" s="2393">
        <f>'Saisie données file act.'!J600</f>
        <v>0</v>
      </c>
      <c r="K104" s="2393">
        <f>'Saisie données file act.'!K600</f>
        <v>0</v>
      </c>
      <c r="L104" s="2400">
        <f>'Saisie données file act.'!L600</f>
        <v>0</v>
      </c>
      <c r="M104" s="2406">
        <f>'Saisie données file act.'!M600</f>
        <v>0</v>
      </c>
      <c r="N104" s="2393">
        <f>'Saisie données file act.'!N600</f>
        <v>0</v>
      </c>
      <c r="O104" s="2393">
        <f>'Saisie données file act.'!O600</f>
        <v>0</v>
      </c>
      <c r="P104" s="2393">
        <f>'Saisie données file act.'!P600</f>
        <v>0</v>
      </c>
      <c r="Q104" s="2393">
        <f>'Saisie données file act.'!Q600</f>
        <v>0</v>
      </c>
      <c r="R104" s="2393">
        <f>'Saisie données file act.'!R600</f>
        <v>0</v>
      </c>
      <c r="S104" s="2393">
        <f>'Saisie données file act.'!S600</f>
        <v>0</v>
      </c>
      <c r="T104" s="2393">
        <f>'Saisie données file act.'!T600</f>
        <v>0</v>
      </c>
      <c r="U104" s="2393">
        <f>'Saisie données file act.'!U600</f>
        <v>0</v>
      </c>
      <c r="V104" s="2393">
        <f>'Saisie données file act.'!V600</f>
        <v>0</v>
      </c>
      <c r="W104" s="2393">
        <f>'Saisie données file act.'!W600</f>
        <v>0</v>
      </c>
      <c r="X104" s="2393">
        <f>'Saisie données file act.'!X600</f>
        <v>0</v>
      </c>
      <c r="Y104" s="2393">
        <f>'Saisie données file act.'!Y600</f>
        <v>0</v>
      </c>
      <c r="Z104" s="2393">
        <f>'Saisie données file act.'!Z600</f>
        <v>0</v>
      </c>
      <c r="AA104" s="2393">
        <f>'Saisie données file act.'!AA600</f>
        <v>0</v>
      </c>
      <c r="AB104" s="2393">
        <f>'Saisie données file act.'!AB600</f>
        <v>0</v>
      </c>
      <c r="AC104" s="2393">
        <f>'Saisie données file act.'!AC600</f>
        <v>0</v>
      </c>
      <c r="AD104" s="2393">
        <f>'Saisie données file act.'!AD600</f>
        <v>0</v>
      </c>
      <c r="AE104" s="2393">
        <f>'Saisie données file act.'!AE600</f>
        <v>0</v>
      </c>
      <c r="AF104" s="2393">
        <f>'Saisie données file act.'!AF600</f>
        <v>0</v>
      </c>
      <c r="AG104" s="2400">
        <f>'Saisie données file act.'!AG600</f>
        <v>0</v>
      </c>
      <c r="AH104" s="2395">
        <f>'Saisie données file act.'!AH600</f>
        <v>0</v>
      </c>
    </row>
    <row r="105" spans="2:34" x14ac:dyDescent="0.2">
      <c r="C105" s="3313"/>
      <c r="D105" s="2424">
        <f>'Saisie données file act.'!D601</f>
        <v>0</v>
      </c>
      <c r="E105" s="2406">
        <f>'Saisie données file act.'!E601</f>
        <v>0</v>
      </c>
      <c r="F105" s="2393">
        <f>'Saisie données file act.'!F601</f>
        <v>0</v>
      </c>
      <c r="G105" s="2393">
        <f>'Saisie données file act.'!G601</f>
        <v>0</v>
      </c>
      <c r="H105" s="2393">
        <f>'Saisie données file act.'!H601</f>
        <v>0</v>
      </c>
      <c r="I105" s="2393">
        <f>'Saisie données file act.'!I601</f>
        <v>0</v>
      </c>
      <c r="J105" s="2393">
        <f>'Saisie données file act.'!J601</f>
        <v>0</v>
      </c>
      <c r="K105" s="2393">
        <f>'Saisie données file act.'!K601</f>
        <v>0</v>
      </c>
      <c r="L105" s="2400">
        <f>'Saisie données file act.'!L601</f>
        <v>0</v>
      </c>
      <c r="M105" s="2406">
        <f>'Saisie données file act.'!M601</f>
        <v>0</v>
      </c>
      <c r="N105" s="2393">
        <f>'Saisie données file act.'!N601</f>
        <v>0</v>
      </c>
      <c r="O105" s="2393">
        <f>'Saisie données file act.'!O601</f>
        <v>0</v>
      </c>
      <c r="P105" s="2393">
        <f>'Saisie données file act.'!P601</f>
        <v>0</v>
      </c>
      <c r="Q105" s="2393">
        <f>'Saisie données file act.'!Q601</f>
        <v>0</v>
      </c>
      <c r="R105" s="2393">
        <f>'Saisie données file act.'!R601</f>
        <v>0</v>
      </c>
      <c r="S105" s="2393">
        <f>'Saisie données file act.'!S601</f>
        <v>0</v>
      </c>
      <c r="T105" s="2393">
        <f>'Saisie données file act.'!T601</f>
        <v>0</v>
      </c>
      <c r="U105" s="2393">
        <f>'Saisie données file act.'!U601</f>
        <v>0</v>
      </c>
      <c r="V105" s="2393">
        <f>'Saisie données file act.'!V601</f>
        <v>0</v>
      </c>
      <c r="W105" s="2393">
        <f>'Saisie données file act.'!W601</f>
        <v>0</v>
      </c>
      <c r="X105" s="2393">
        <f>'Saisie données file act.'!X601</f>
        <v>0</v>
      </c>
      <c r="Y105" s="2393">
        <f>'Saisie données file act.'!Y601</f>
        <v>0</v>
      </c>
      <c r="Z105" s="2393">
        <f>'Saisie données file act.'!Z601</f>
        <v>0</v>
      </c>
      <c r="AA105" s="2393">
        <f>'Saisie données file act.'!AA601</f>
        <v>0</v>
      </c>
      <c r="AB105" s="2393">
        <f>'Saisie données file act.'!AB601</f>
        <v>0</v>
      </c>
      <c r="AC105" s="2393">
        <f>'Saisie données file act.'!AC601</f>
        <v>0</v>
      </c>
      <c r="AD105" s="2393">
        <f>'Saisie données file act.'!AD601</f>
        <v>0</v>
      </c>
      <c r="AE105" s="2393">
        <f>'Saisie données file act.'!AE601</f>
        <v>0</v>
      </c>
      <c r="AF105" s="2393">
        <f>'Saisie données file act.'!AF601</f>
        <v>0</v>
      </c>
      <c r="AG105" s="2400">
        <f>'Saisie données file act.'!AG601</f>
        <v>0</v>
      </c>
      <c r="AH105" s="2395">
        <f>'Saisie données file act.'!AH601</f>
        <v>0</v>
      </c>
    </row>
    <row r="106" spans="2:34" ht="13.5" customHeight="1" x14ac:dyDescent="0.2">
      <c r="C106" s="3313"/>
      <c r="D106" s="2424">
        <f>'Saisie données file act.'!D602</f>
        <v>0</v>
      </c>
      <c r="E106" s="2406">
        <f>'Saisie données file act.'!E602</f>
        <v>0</v>
      </c>
      <c r="F106" s="2393">
        <f>'Saisie données file act.'!F602</f>
        <v>0</v>
      </c>
      <c r="G106" s="2393">
        <f>'Saisie données file act.'!G602</f>
        <v>0</v>
      </c>
      <c r="H106" s="2393">
        <f>'Saisie données file act.'!H602</f>
        <v>0</v>
      </c>
      <c r="I106" s="2393">
        <f>'Saisie données file act.'!I602</f>
        <v>0</v>
      </c>
      <c r="J106" s="2393">
        <f>'Saisie données file act.'!J602</f>
        <v>0</v>
      </c>
      <c r="K106" s="2393">
        <f>'Saisie données file act.'!K602</f>
        <v>0</v>
      </c>
      <c r="L106" s="2400">
        <f>'Saisie données file act.'!L602</f>
        <v>0</v>
      </c>
      <c r="M106" s="2406">
        <f>'Saisie données file act.'!M602</f>
        <v>0</v>
      </c>
      <c r="N106" s="2393">
        <f>'Saisie données file act.'!N602</f>
        <v>0</v>
      </c>
      <c r="O106" s="2393">
        <f>'Saisie données file act.'!O602</f>
        <v>0</v>
      </c>
      <c r="P106" s="2393">
        <f>'Saisie données file act.'!P602</f>
        <v>0</v>
      </c>
      <c r="Q106" s="2393">
        <f>'Saisie données file act.'!Q602</f>
        <v>0</v>
      </c>
      <c r="R106" s="2393">
        <f>'Saisie données file act.'!R602</f>
        <v>0</v>
      </c>
      <c r="S106" s="2393">
        <f>'Saisie données file act.'!S602</f>
        <v>0</v>
      </c>
      <c r="T106" s="2393">
        <f>'Saisie données file act.'!T602</f>
        <v>0</v>
      </c>
      <c r="U106" s="2393">
        <f>'Saisie données file act.'!U602</f>
        <v>0</v>
      </c>
      <c r="V106" s="2393">
        <f>'Saisie données file act.'!V602</f>
        <v>0</v>
      </c>
      <c r="W106" s="2393">
        <f>'Saisie données file act.'!W602</f>
        <v>0</v>
      </c>
      <c r="X106" s="2393">
        <f>'Saisie données file act.'!X602</f>
        <v>0</v>
      </c>
      <c r="Y106" s="2393">
        <f>'Saisie données file act.'!Y602</f>
        <v>0</v>
      </c>
      <c r="Z106" s="2393">
        <f>'Saisie données file act.'!Z602</f>
        <v>0</v>
      </c>
      <c r="AA106" s="2393">
        <f>'Saisie données file act.'!AA602</f>
        <v>0</v>
      </c>
      <c r="AB106" s="2393">
        <f>'Saisie données file act.'!AB602</f>
        <v>0</v>
      </c>
      <c r="AC106" s="2393">
        <f>'Saisie données file act.'!AC602</f>
        <v>0</v>
      </c>
      <c r="AD106" s="2393">
        <f>'Saisie données file act.'!AD602</f>
        <v>0</v>
      </c>
      <c r="AE106" s="2393">
        <f>'Saisie données file act.'!AE602</f>
        <v>0</v>
      </c>
      <c r="AF106" s="2393">
        <f>'Saisie données file act.'!AF602</f>
        <v>0</v>
      </c>
      <c r="AG106" s="2400">
        <f>'Saisie données file act.'!AG602</f>
        <v>0</v>
      </c>
      <c r="AH106" s="2395">
        <f>'Saisie données file act.'!AH602</f>
        <v>0</v>
      </c>
    </row>
    <row r="107" spans="2:34" ht="12.75" thickBot="1" x14ac:dyDescent="0.25">
      <c r="C107" s="3313"/>
      <c r="D107" s="2425">
        <f>'Saisie données file act.'!D603</f>
        <v>0</v>
      </c>
      <c r="E107" s="2407">
        <f>'Saisie données file act.'!E603</f>
        <v>0</v>
      </c>
      <c r="F107" s="2394">
        <f>'Saisie données file act.'!F603</f>
        <v>0</v>
      </c>
      <c r="G107" s="2394">
        <f>'Saisie données file act.'!G603</f>
        <v>0</v>
      </c>
      <c r="H107" s="2394">
        <f>'Saisie données file act.'!H603</f>
        <v>0</v>
      </c>
      <c r="I107" s="2394">
        <f>'Saisie données file act.'!I603</f>
        <v>0</v>
      </c>
      <c r="J107" s="2394">
        <f>'Saisie données file act.'!J603</f>
        <v>0</v>
      </c>
      <c r="K107" s="2394">
        <f>'Saisie données file act.'!K603</f>
        <v>0</v>
      </c>
      <c r="L107" s="2401">
        <f>'Saisie données file act.'!L603</f>
        <v>0</v>
      </c>
      <c r="M107" s="2407">
        <f>'Saisie données file act.'!M603</f>
        <v>0</v>
      </c>
      <c r="N107" s="2394">
        <f>'Saisie données file act.'!N603</f>
        <v>0</v>
      </c>
      <c r="O107" s="2394">
        <f>'Saisie données file act.'!O603</f>
        <v>0</v>
      </c>
      <c r="P107" s="2394">
        <f>'Saisie données file act.'!P603</f>
        <v>0</v>
      </c>
      <c r="Q107" s="2394">
        <f>'Saisie données file act.'!Q603</f>
        <v>0</v>
      </c>
      <c r="R107" s="2394">
        <f>'Saisie données file act.'!R603</f>
        <v>0</v>
      </c>
      <c r="S107" s="2394">
        <f>'Saisie données file act.'!S603</f>
        <v>0</v>
      </c>
      <c r="T107" s="2394">
        <f>'Saisie données file act.'!T603</f>
        <v>0</v>
      </c>
      <c r="U107" s="2394">
        <f>'Saisie données file act.'!U603</f>
        <v>0</v>
      </c>
      <c r="V107" s="2394">
        <f>'Saisie données file act.'!V603</f>
        <v>0</v>
      </c>
      <c r="W107" s="2394">
        <f>'Saisie données file act.'!W603</f>
        <v>0</v>
      </c>
      <c r="X107" s="2394">
        <f>'Saisie données file act.'!X603</f>
        <v>0</v>
      </c>
      <c r="Y107" s="2394">
        <f>'Saisie données file act.'!Y603</f>
        <v>0</v>
      </c>
      <c r="Z107" s="2394">
        <f>'Saisie données file act.'!Z603</f>
        <v>0</v>
      </c>
      <c r="AA107" s="2394">
        <f>'Saisie données file act.'!AA603</f>
        <v>0</v>
      </c>
      <c r="AB107" s="2394">
        <f>'Saisie données file act.'!AB603</f>
        <v>0</v>
      </c>
      <c r="AC107" s="2394">
        <f>'Saisie données file act.'!AC603</f>
        <v>0</v>
      </c>
      <c r="AD107" s="2394">
        <f>'Saisie données file act.'!AD603</f>
        <v>0</v>
      </c>
      <c r="AE107" s="2394">
        <f>'Saisie données file act.'!AE603</f>
        <v>0</v>
      </c>
      <c r="AF107" s="2394">
        <f>'Saisie données file act.'!AF603</f>
        <v>0</v>
      </c>
      <c r="AG107" s="2401">
        <f>'Saisie données file act.'!AG603</f>
        <v>0</v>
      </c>
      <c r="AH107" s="2403">
        <f>'Saisie données file act.'!AH603</f>
        <v>0</v>
      </c>
    </row>
    <row r="108" spans="2:34" x14ac:dyDescent="0.2">
      <c r="C108" s="3313"/>
      <c r="D108" s="2427" t="str">
        <f>'Saisie données file act.'!D604</f>
        <v>Deuxièmes lignes</v>
      </c>
      <c r="E108" s="2397">
        <f>'Saisie données file act.'!E604</f>
        <v>0</v>
      </c>
      <c r="F108" s="2398">
        <f>'Saisie données file act.'!F604</f>
        <v>0</v>
      </c>
      <c r="G108" s="2398">
        <f>'Saisie données file act.'!G604</f>
        <v>0</v>
      </c>
      <c r="H108" s="2398">
        <f>'Saisie données file act.'!H604</f>
        <v>0</v>
      </c>
      <c r="I108" s="2398">
        <f>'Saisie données file act.'!I604</f>
        <v>0</v>
      </c>
      <c r="J108" s="2398">
        <f>'Saisie données file act.'!J604</f>
        <v>0</v>
      </c>
      <c r="K108" s="2398">
        <f>'Saisie données file act.'!K604</f>
        <v>0</v>
      </c>
      <c r="L108" s="2399">
        <f>'Saisie données file act.'!L604</f>
        <v>0</v>
      </c>
      <c r="M108" s="2397">
        <f>'Saisie données file act.'!M604</f>
        <v>0</v>
      </c>
      <c r="N108" s="2398">
        <f>'Saisie données file act.'!N604</f>
        <v>0</v>
      </c>
      <c r="O108" s="2398">
        <f>'Saisie données file act.'!O604</f>
        <v>0</v>
      </c>
      <c r="P108" s="2398">
        <f>'Saisie données file act.'!P604</f>
        <v>0</v>
      </c>
      <c r="Q108" s="2398">
        <f>'Saisie données file act.'!Q604</f>
        <v>0</v>
      </c>
      <c r="R108" s="2398">
        <f>'Saisie données file act.'!R604</f>
        <v>0</v>
      </c>
      <c r="S108" s="2398">
        <f>'Saisie données file act.'!S604</f>
        <v>0</v>
      </c>
      <c r="T108" s="2398">
        <f>'Saisie données file act.'!T604</f>
        <v>0</v>
      </c>
      <c r="U108" s="2398">
        <f>'Saisie données file act.'!U604</f>
        <v>0</v>
      </c>
      <c r="V108" s="2398">
        <f>'Saisie données file act.'!V604</f>
        <v>0</v>
      </c>
      <c r="W108" s="2398">
        <f>'Saisie données file act.'!W604</f>
        <v>0</v>
      </c>
      <c r="X108" s="2398">
        <f>'Saisie données file act.'!X604</f>
        <v>0</v>
      </c>
      <c r="Y108" s="2398">
        <f>'Saisie données file act.'!Y604</f>
        <v>0</v>
      </c>
      <c r="Z108" s="2398">
        <f>'Saisie données file act.'!Z604</f>
        <v>0</v>
      </c>
      <c r="AA108" s="2398">
        <f>'Saisie données file act.'!AA604</f>
        <v>0</v>
      </c>
      <c r="AB108" s="2398">
        <f>'Saisie données file act.'!AB604</f>
        <v>0</v>
      </c>
      <c r="AC108" s="2398">
        <f>'Saisie données file act.'!AC604</f>
        <v>0</v>
      </c>
      <c r="AD108" s="2398">
        <f>'Saisie données file act.'!AD604</f>
        <v>0</v>
      </c>
      <c r="AE108" s="2398">
        <f>'Saisie données file act.'!AE604</f>
        <v>0</v>
      </c>
      <c r="AF108" s="2398">
        <f>'Saisie données file act.'!AF604</f>
        <v>0</v>
      </c>
      <c r="AG108" s="2399">
        <f>'Saisie données file act.'!AG604</f>
        <v>0</v>
      </c>
      <c r="AH108" s="2402">
        <f>'Saisie données file act.'!AH604</f>
        <v>0</v>
      </c>
    </row>
    <row r="109" spans="2:34" ht="12.75" thickBot="1" x14ac:dyDescent="0.25">
      <c r="C109" s="3313"/>
      <c r="D109" s="2425" t="str">
        <f>'Saisie données file act.'!D605</f>
        <v>AZT+3TC+LPV/r</v>
      </c>
      <c r="E109" s="2407">
        <f>'Saisie données file act.'!E605</f>
        <v>0</v>
      </c>
      <c r="F109" s="2394">
        <f>'Saisie données file act.'!F605</f>
        <v>0</v>
      </c>
      <c r="G109" s="2394">
        <f>'Saisie données file act.'!G605</f>
        <v>0</v>
      </c>
      <c r="H109" s="2394">
        <f>'Saisie données file act.'!H605</f>
        <v>0</v>
      </c>
      <c r="I109" s="2394">
        <f>'Saisie données file act.'!I605</f>
        <v>0</v>
      </c>
      <c r="J109" s="2394">
        <f>'Saisie données file act.'!J605</f>
        <v>0</v>
      </c>
      <c r="K109" s="2394">
        <f>'Saisie données file act.'!K605</f>
        <v>0</v>
      </c>
      <c r="L109" s="2401">
        <f>'Saisie données file act.'!L605</f>
        <v>0</v>
      </c>
      <c r="M109" s="2407">
        <f>'Saisie données file act.'!M605</f>
        <v>0</v>
      </c>
      <c r="N109" s="2394">
        <f>'Saisie données file act.'!N605</f>
        <v>0</v>
      </c>
      <c r="O109" s="2394">
        <f>'Saisie données file act.'!O605</f>
        <v>0</v>
      </c>
      <c r="P109" s="2394">
        <f>'Saisie données file act.'!P605</f>
        <v>0</v>
      </c>
      <c r="Q109" s="2394">
        <f>'Saisie données file act.'!Q605</f>
        <v>0</v>
      </c>
      <c r="R109" s="2394">
        <f>'Saisie données file act.'!R605</f>
        <v>0</v>
      </c>
      <c r="S109" s="2394">
        <f>'Saisie données file act.'!S605</f>
        <v>0</v>
      </c>
      <c r="T109" s="2394">
        <f>'Saisie données file act.'!T605</f>
        <v>0</v>
      </c>
      <c r="U109" s="2394">
        <f>'Saisie données file act.'!U605</f>
        <v>0</v>
      </c>
      <c r="V109" s="2394">
        <f>'Saisie données file act.'!V605</f>
        <v>0</v>
      </c>
      <c r="W109" s="2394">
        <f>'Saisie données file act.'!W605</f>
        <v>0</v>
      </c>
      <c r="X109" s="2394">
        <f>'Saisie données file act.'!X605</f>
        <v>0</v>
      </c>
      <c r="Y109" s="2394">
        <f>'Saisie données file act.'!Y605</f>
        <v>0</v>
      </c>
      <c r="Z109" s="2394">
        <f>'Saisie données file act.'!Z605</f>
        <v>0</v>
      </c>
      <c r="AA109" s="2394">
        <f>'Saisie données file act.'!AA605</f>
        <v>0</v>
      </c>
      <c r="AB109" s="2394">
        <f>'Saisie données file act.'!AB605</f>
        <v>0</v>
      </c>
      <c r="AC109" s="2394">
        <f>'Saisie données file act.'!AC605</f>
        <v>0</v>
      </c>
      <c r="AD109" s="2394">
        <f>'Saisie données file act.'!AD605</f>
        <v>0</v>
      </c>
      <c r="AE109" s="2394">
        <f>'Saisie données file act.'!AE605</f>
        <v>0</v>
      </c>
      <c r="AF109" s="2394">
        <f>'Saisie données file act.'!AF605</f>
        <v>0</v>
      </c>
      <c r="AG109" s="2401">
        <f>'Saisie données file act.'!AG605</f>
        <v>0</v>
      </c>
      <c r="AH109" s="2403">
        <f>'Saisie données file act.'!AH605</f>
        <v>0</v>
      </c>
    </row>
    <row r="110" spans="2:34" x14ac:dyDescent="0.2">
      <c r="C110" s="3313"/>
      <c r="D110" s="2426" t="str">
        <f>'Saisie données file act.'!D610</f>
        <v>Lignes alternatives</v>
      </c>
      <c r="E110" s="2408">
        <f>'Saisie données file act.'!E610</f>
        <v>0</v>
      </c>
      <c r="F110" s="2396">
        <f>'Saisie données file act.'!F610</f>
        <v>0</v>
      </c>
      <c r="G110" s="2396">
        <f>'Saisie données file act.'!G610</f>
        <v>0</v>
      </c>
      <c r="H110" s="2396">
        <f>'Saisie données file act.'!H610</f>
        <v>0</v>
      </c>
      <c r="I110" s="2396">
        <f>'Saisie données file act.'!I610</f>
        <v>0</v>
      </c>
      <c r="J110" s="2396">
        <f>'Saisie données file act.'!J610</f>
        <v>0</v>
      </c>
      <c r="K110" s="2396">
        <f>'Saisie données file act.'!K610</f>
        <v>0</v>
      </c>
      <c r="L110" s="2409">
        <f>'Saisie données file act.'!L610</f>
        <v>0</v>
      </c>
      <c r="M110" s="2408">
        <f>'Saisie données file act.'!M610</f>
        <v>0</v>
      </c>
      <c r="N110" s="2396">
        <f>'Saisie données file act.'!N610</f>
        <v>0</v>
      </c>
      <c r="O110" s="2396">
        <f>'Saisie données file act.'!O610</f>
        <v>0</v>
      </c>
      <c r="P110" s="2396">
        <f>'Saisie données file act.'!P610</f>
        <v>0</v>
      </c>
      <c r="Q110" s="2396">
        <f>'Saisie données file act.'!Q610</f>
        <v>0</v>
      </c>
      <c r="R110" s="2396">
        <f>'Saisie données file act.'!R610</f>
        <v>0</v>
      </c>
      <c r="S110" s="2396">
        <f>'Saisie données file act.'!S610</f>
        <v>0</v>
      </c>
      <c r="T110" s="2396">
        <f>'Saisie données file act.'!T610</f>
        <v>0</v>
      </c>
      <c r="U110" s="2396">
        <f>'Saisie données file act.'!U610</f>
        <v>0</v>
      </c>
      <c r="V110" s="2396">
        <f>'Saisie données file act.'!V610</f>
        <v>0</v>
      </c>
      <c r="W110" s="2396">
        <f>'Saisie données file act.'!W610</f>
        <v>0</v>
      </c>
      <c r="X110" s="2396">
        <f>'Saisie données file act.'!X610</f>
        <v>0</v>
      </c>
      <c r="Y110" s="2396">
        <f>'Saisie données file act.'!Y610</f>
        <v>0</v>
      </c>
      <c r="Z110" s="2396">
        <f>'Saisie données file act.'!Z610</f>
        <v>0</v>
      </c>
      <c r="AA110" s="2396">
        <f>'Saisie données file act.'!AA610</f>
        <v>0</v>
      </c>
      <c r="AB110" s="2396">
        <f>'Saisie données file act.'!AB610</f>
        <v>0</v>
      </c>
      <c r="AC110" s="2396">
        <f>'Saisie données file act.'!AC610</f>
        <v>0</v>
      </c>
      <c r="AD110" s="2396">
        <f>'Saisie données file act.'!AD610</f>
        <v>0</v>
      </c>
      <c r="AE110" s="2396">
        <f>'Saisie données file act.'!AE610</f>
        <v>0</v>
      </c>
      <c r="AF110" s="2396">
        <f>'Saisie données file act.'!AF610</f>
        <v>0</v>
      </c>
      <c r="AG110" s="2409">
        <f>'Saisie données file act.'!AG610</f>
        <v>0</v>
      </c>
      <c r="AH110" s="2410">
        <f>'Saisie données file act.'!AH610</f>
        <v>0</v>
      </c>
    </row>
    <row r="111" spans="2:34" x14ac:dyDescent="0.2">
      <c r="C111" s="3313"/>
      <c r="D111" s="2424">
        <f>'Saisie données file act.'!D606</f>
        <v>0</v>
      </c>
      <c r="E111" s="2406">
        <f>'Saisie données file act.'!E606</f>
        <v>0</v>
      </c>
      <c r="F111" s="2393">
        <f>'Saisie données file act.'!F606</f>
        <v>0</v>
      </c>
      <c r="G111" s="2393">
        <f>'Saisie données file act.'!G606</f>
        <v>0</v>
      </c>
      <c r="H111" s="2393">
        <f>'Saisie données file act.'!H606</f>
        <v>0</v>
      </c>
      <c r="I111" s="2393">
        <f>'Saisie données file act.'!I606</f>
        <v>0</v>
      </c>
      <c r="J111" s="2393">
        <f>'Saisie données file act.'!J606</f>
        <v>0</v>
      </c>
      <c r="K111" s="2393">
        <f>'Saisie données file act.'!K606</f>
        <v>0</v>
      </c>
      <c r="L111" s="2400">
        <f>'Saisie données file act.'!L606</f>
        <v>0</v>
      </c>
      <c r="M111" s="2406">
        <f>'Saisie données file act.'!M606</f>
        <v>0</v>
      </c>
      <c r="N111" s="2393">
        <f>'Saisie données file act.'!N606</f>
        <v>0</v>
      </c>
      <c r="O111" s="2393">
        <f>'Saisie données file act.'!O606</f>
        <v>0</v>
      </c>
      <c r="P111" s="2393">
        <f>'Saisie données file act.'!P606</f>
        <v>0</v>
      </c>
      <c r="Q111" s="2393">
        <f>'Saisie données file act.'!Q606</f>
        <v>0</v>
      </c>
      <c r="R111" s="2393">
        <f>'Saisie données file act.'!R606</f>
        <v>0</v>
      </c>
      <c r="S111" s="2393">
        <f>'Saisie données file act.'!S606</f>
        <v>0</v>
      </c>
      <c r="T111" s="2393">
        <f>'Saisie données file act.'!T606</f>
        <v>0</v>
      </c>
      <c r="U111" s="2393">
        <f>'Saisie données file act.'!U606</f>
        <v>0</v>
      </c>
      <c r="V111" s="2393">
        <f>'Saisie données file act.'!V606</f>
        <v>0</v>
      </c>
      <c r="W111" s="2393">
        <f>'Saisie données file act.'!W606</f>
        <v>0</v>
      </c>
      <c r="X111" s="2393">
        <f>'Saisie données file act.'!X606</f>
        <v>0</v>
      </c>
      <c r="Y111" s="2393">
        <f>'Saisie données file act.'!Y606</f>
        <v>0</v>
      </c>
      <c r="Z111" s="2393">
        <f>'Saisie données file act.'!Z606</f>
        <v>0</v>
      </c>
      <c r="AA111" s="2393">
        <f>'Saisie données file act.'!AA606</f>
        <v>0</v>
      </c>
      <c r="AB111" s="2393">
        <f>'Saisie données file act.'!AB606</f>
        <v>0</v>
      </c>
      <c r="AC111" s="2393">
        <f>'Saisie données file act.'!AC606</f>
        <v>0</v>
      </c>
      <c r="AD111" s="2393">
        <f>'Saisie données file act.'!AD606</f>
        <v>0</v>
      </c>
      <c r="AE111" s="2393">
        <f>'Saisie données file act.'!AE606</f>
        <v>0</v>
      </c>
      <c r="AF111" s="2393">
        <f>'Saisie données file act.'!AF606</f>
        <v>0</v>
      </c>
      <c r="AG111" s="2400">
        <f>'Saisie données file act.'!AG606</f>
        <v>0</v>
      </c>
      <c r="AH111" s="2395">
        <f>'Saisie données file act.'!AH606</f>
        <v>0</v>
      </c>
    </row>
    <row r="112" spans="2:34" x14ac:dyDescent="0.2">
      <c r="C112" s="3313"/>
      <c r="D112" s="2424">
        <f>'Saisie données file act.'!D607</f>
        <v>0</v>
      </c>
      <c r="E112" s="2406">
        <f>'Saisie données file act.'!E607</f>
        <v>0</v>
      </c>
      <c r="F112" s="2393">
        <f>'Saisie données file act.'!F607</f>
        <v>0</v>
      </c>
      <c r="G112" s="2393">
        <f>'Saisie données file act.'!G607</f>
        <v>0</v>
      </c>
      <c r="H112" s="2393">
        <f>'Saisie données file act.'!H607</f>
        <v>0</v>
      </c>
      <c r="I112" s="2393">
        <f>'Saisie données file act.'!I607</f>
        <v>0</v>
      </c>
      <c r="J112" s="2393">
        <f>'Saisie données file act.'!J607</f>
        <v>0</v>
      </c>
      <c r="K112" s="2393">
        <f>'Saisie données file act.'!K607</f>
        <v>0</v>
      </c>
      <c r="L112" s="2400">
        <f>'Saisie données file act.'!L607</f>
        <v>0</v>
      </c>
      <c r="M112" s="2406">
        <f>'Saisie données file act.'!M607</f>
        <v>0</v>
      </c>
      <c r="N112" s="2393">
        <f>'Saisie données file act.'!N607</f>
        <v>0</v>
      </c>
      <c r="O112" s="2393">
        <f>'Saisie données file act.'!O607</f>
        <v>0</v>
      </c>
      <c r="P112" s="2393">
        <f>'Saisie données file act.'!P607</f>
        <v>0</v>
      </c>
      <c r="Q112" s="2393">
        <f>'Saisie données file act.'!Q607</f>
        <v>0</v>
      </c>
      <c r="R112" s="2393">
        <f>'Saisie données file act.'!R607</f>
        <v>0</v>
      </c>
      <c r="S112" s="2393">
        <f>'Saisie données file act.'!S607</f>
        <v>0</v>
      </c>
      <c r="T112" s="2393">
        <f>'Saisie données file act.'!T607</f>
        <v>0</v>
      </c>
      <c r="U112" s="2393">
        <f>'Saisie données file act.'!U607</f>
        <v>0</v>
      </c>
      <c r="V112" s="2393">
        <f>'Saisie données file act.'!V607</f>
        <v>0</v>
      </c>
      <c r="W112" s="2393">
        <f>'Saisie données file act.'!W607</f>
        <v>0</v>
      </c>
      <c r="X112" s="2393">
        <f>'Saisie données file act.'!X607</f>
        <v>0</v>
      </c>
      <c r="Y112" s="2393">
        <f>'Saisie données file act.'!Y607</f>
        <v>0</v>
      </c>
      <c r="Z112" s="2393">
        <f>'Saisie données file act.'!Z607</f>
        <v>0</v>
      </c>
      <c r="AA112" s="2393">
        <f>'Saisie données file act.'!AA607</f>
        <v>0</v>
      </c>
      <c r="AB112" s="2393">
        <f>'Saisie données file act.'!AB607</f>
        <v>0</v>
      </c>
      <c r="AC112" s="2393">
        <f>'Saisie données file act.'!AC607</f>
        <v>0</v>
      </c>
      <c r="AD112" s="2393">
        <f>'Saisie données file act.'!AD607</f>
        <v>0</v>
      </c>
      <c r="AE112" s="2393">
        <f>'Saisie données file act.'!AE607</f>
        <v>0</v>
      </c>
      <c r="AF112" s="2393">
        <f>'Saisie données file act.'!AF607</f>
        <v>0</v>
      </c>
      <c r="AG112" s="2400">
        <f>'Saisie données file act.'!AG607</f>
        <v>0</v>
      </c>
      <c r="AH112" s="2395">
        <f>'Saisie données file act.'!AH607</f>
        <v>0</v>
      </c>
    </row>
    <row r="113" spans="3:34" ht="13.5" customHeight="1" x14ac:dyDescent="0.2">
      <c r="C113" s="3313"/>
      <c r="D113" s="2424">
        <f>'Saisie données file act.'!D608</f>
        <v>0</v>
      </c>
      <c r="E113" s="2406">
        <f>'Saisie données file act.'!E608</f>
        <v>0</v>
      </c>
      <c r="F113" s="2393">
        <f>'Saisie données file act.'!F608</f>
        <v>0</v>
      </c>
      <c r="G113" s="2393">
        <f>'Saisie données file act.'!G608</f>
        <v>0</v>
      </c>
      <c r="H113" s="2393">
        <f>'Saisie données file act.'!H608</f>
        <v>0</v>
      </c>
      <c r="I113" s="2393">
        <f>'Saisie données file act.'!I608</f>
        <v>0</v>
      </c>
      <c r="J113" s="2393">
        <f>'Saisie données file act.'!J608</f>
        <v>0</v>
      </c>
      <c r="K113" s="2393">
        <f>'Saisie données file act.'!K608</f>
        <v>0</v>
      </c>
      <c r="L113" s="2400">
        <f>'Saisie données file act.'!L608</f>
        <v>0</v>
      </c>
      <c r="M113" s="2406">
        <f>'Saisie données file act.'!M608</f>
        <v>0</v>
      </c>
      <c r="N113" s="2393">
        <f>'Saisie données file act.'!N608</f>
        <v>0</v>
      </c>
      <c r="O113" s="2393">
        <f>'Saisie données file act.'!O608</f>
        <v>0</v>
      </c>
      <c r="P113" s="2393">
        <f>'Saisie données file act.'!P608</f>
        <v>0</v>
      </c>
      <c r="Q113" s="2393">
        <f>'Saisie données file act.'!Q608</f>
        <v>0</v>
      </c>
      <c r="R113" s="2393">
        <f>'Saisie données file act.'!R608</f>
        <v>0</v>
      </c>
      <c r="S113" s="2393">
        <f>'Saisie données file act.'!S608</f>
        <v>0</v>
      </c>
      <c r="T113" s="2393">
        <f>'Saisie données file act.'!T608</f>
        <v>0</v>
      </c>
      <c r="U113" s="2393">
        <f>'Saisie données file act.'!U608</f>
        <v>0</v>
      </c>
      <c r="V113" s="2393">
        <f>'Saisie données file act.'!V608</f>
        <v>0</v>
      </c>
      <c r="W113" s="2393">
        <f>'Saisie données file act.'!W608</f>
        <v>0</v>
      </c>
      <c r="X113" s="2393">
        <f>'Saisie données file act.'!X608</f>
        <v>0</v>
      </c>
      <c r="Y113" s="2393">
        <f>'Saisie données file act.'!Y608</f>
        <v>0</v>
      </c>
      <c r="Z113" s="2393">
        <f>'Saisie données file act.'!Z608</f>
        <v>0</v>
      </c>
      <c r="AA113" s="2393">
        <f>'Saisie données file act.'!AA608</f>
        <v>0</v>
      </c>
      <c r="AB113" s="2393">
        <f>'Saisie données file act.'!AB608</f>
        <v>0</v>
      </c>
      <c r="AC113" s="2393">
        <f>'Saisie données file act.'!AC608</f>
        <v>0</v>
      </c>
      <c r="AD113" s="2393">
        <f>'Saisie données file act.'!AD608</f>
        <v>0</v>
      </c>
      <c r="AE113" s="2393">
        <f>'Saisie données file act.'!AE608</f>
        <v>0</v>
      </c>
      <c r="AF113" s="2393">
        <f>'Saisie données file act.'!AF608</f>
        <v>0</v>
      </c>
      <c r="AG113" s="2400">
        <f>'Saisie données file act.'!AG608</f>
        <v>0</v>
      </c>
      <c r="AH113" s="2395">
        <f>'Saisie données file act.'!AH608</f>
        <v>0</v>
      </c>
    </row>
    <row r="114" spans="3:34" x14ac:dyDescent="0.2">
      <c r="C114" s="3313"/>
      <c r="D114" s="2424">
        <f>'Saisie données file act.'!D609</f>
        <v>0</v>
      </c>
      <c r="E114" s="2406">
        <f>'Saisie données file act.'!E609</f>
        <v>0</v>
      </c>
      <c r="F114" s="2393">
        <f>'Saisie données file act.'!F609</f>
        <v>0</v>
      </c>
      <c r="G114" s="2393">
        <f>'Saisie données file act.'!G609</f>
        <v>0</v>
      </c>
      <c r="H114" s="2393">
        <f>'Saisie données file act.'!H609</f>
        <v>0</v>
      </c>
      <c r="I114" s="2393">
        <f>'Saisie données file act.'!I609</f>
        <v>0</v>
      </c>
      <c r="J114" s="2393">
        <f>'Saisie données file act.'!J609</f>
        <v>0</v>
      </c>
      <c r="K114" s="2393">
        <f>'Saisie données file act.'!K609</f>
        <v>0</v>
      </c>
      <c r="L114" s="2400">
        <f>'Saisie données file act.'!L609</f>
        <v>0</v>
      </c>
      <c r="M114" s="2406">
        <f>'Saisie données file act.'!M609</f>
        <v>0</v>
      </c>
      <c r="N114" s="2393">
        <f>'Saisie données file act.'!N609</f>
        <v>0</v>
      </c>
      <c r="O114" s="2393">
        <f>'Saisie données file act.'!O609</f>
        <v>0</v>
      </c>
      <c r="P114" s="2393">
        <f>'Saisie données file act.'!P609</f>
        <v>0</v>
      </c>
      <c r="Q114" s="2393">
        <f>'Saisie données file act.'!Q609</f>
        <v>0</v>
      </c>
      <c r="R114" s="2393">
        <f>'Saisie données file act.'!R609</f>
        <v>0</v>
      </c>
      <c r="S114" s="2393">
        <f>'Saisie données file act.'!S609</f>
        <v>0</v>
      </c>
      <c r="T114" s="2393">
        <f>'Saisie données file act.'!T609</f>
        <v>0</v>
      </c>
      <c r="U114" s="2393">
        <f>'Saisie données file act.'!U609</f>
        <v>0</v>
      </c>
      <c r="V114" s="2393">
        <f>'Saisie données file act.'!V609</f>
        <v>0</v>
      </c>
      <c r="W114" s="2393">
        <f>'Saisie données file act.'!W609</f>
        <v>0</v>
      </c>
      <c r="X114" s="2393">
        <f>'Saisie données file act.'!X609</f>
        <v>0</v>
      </c>
      <c r="Y114" s="2393">
        <f>'Saisie données file act.'!Y609</f>
        <v>0</v>
      </c>
      <c r="Z114" s="2393">
        <f>'Saisie données file act.'!Z609</f>
        <v>0</v>
      </c>
      <c r="AA114" s="2393">
        <f>'Saisie données file act.'!AA609</f>
        <v>0</v>
      </c>
      <c r="AB114" s="2393">
        <f>'Saisie données file act.'!AB609</f>
        <v>0</v>
      </c>
      <c r="AC114" s="2393">
        <f>'Saisie données file act.'!AC609</f>
        <v>0</v>
      </c>
      <c r="AD114" s="2393">
        <f>'Saisie données file act.'!AD609</f>
        <v>0</v>
      </c>
      <c r="AE114" s="2393">
        <f>'Saisie données file act.'!AE609</f>
        <v>0</v>
      </c>
      <c r="AF114" s="2393">
        <f>'Saisie données file act.'!AF609</f>
        <v>0</v>
      </c>
      <c r="AG114" s="2400">
        <f>'Saisie données file act.'!AG609</f>
        <v>0</v>
      </c>
      <c r="AH114" s="2395">
        <f>'Saisie données file act.'!AH609</f>
        <v>0</v>
      </c>
    </row>
    <row r="115" spans="3:34" x14ac:dyDescent="0.2">
      <c r="C115" s="3313"/>
      <c r="D115" s="2424">
        <f>'Saisie données file act.'!D611</f>
        <v>0</v>
      </c>
      <c r="E115" s="2406">
        <f>'Saisie données file act.'!E611</f>
        <v>0</v>
      </c>
      <c r="F115" s="2393">
        <f>'Saisie données file act.'!F611</f>
        <v>0</v>
      </c>
      <c r="G115" s="2393">
        <f>'Saisie données file act.'!G611</f>
        <v>0</v>
      </c>
      <c r="H115" s="2393">
        <f>'Saisie données file act.'!H611</f>
        <v>0</v>
      </c>
      <c r="I115" s="2393">
        <f>'Saisie données file act.'!I611</f>
        <v>0</v>
      </c>
      <c r="J115" s="2393">
        <f>'Saisie données file act.'!J611</f>
        <v>0</v>
      </c>
      <c r="K115" s="2393">
        <f>'Saisie données file act.'!K611</f>
        <v>0</v>
      </c>
      <c r="L115" s="2400">
        <f>'Saisie données file act.'!L611</f>
        <v>0</v>
      </c>
      <c r="M115" s="2406">
        <f>'Saisie données file act.'!M611</f>
        <v>0</v>
      </c>
      <c r="N115" s="2393">
        <f>'Saisie données file act.'!N611</f>
        <v>0</v>
      </c>
      <c r="O115" s="2393">
        <f>'Saisie données file act.'!O611</f>
        <v>0</v>
      </c>
      <c r="P115" s="2393">
        <f>'Saisie données file act.'!P611</f>
        <v>0</v>
      </c>
      <c r="Q115" s="2393">
        <f>'Saisie données file act.'!Q611</f>
        <v>0</v>
      </c>
      <c r="R115" s="2393">
        <f>'Saisie données file act.'!R611</f>
        <v>0</v>
      </c>
      <c r="S115" s="2393">
        <f>'Saisie données file act.'!S611</f>
        <v>0</v>
      </c>
      <c r="T115" s="2393">
        <f>'Saisie données file act.'!T611</f>
        <v>0</v>
      </c>
      <c r="U115" s="2393">
        <f>'Saisie données file act.'!U611</f>
        <v>0</v>
      </c>
      <c r="V115" s="2393">
        <f>'Saisie données file act.'!V611</f>
        <v>0</v>
      </c>
      <c r="W115" s="2393">
        <f>'Saisie données file act.'!W611</f>
        <v>0</v>
      </c>
      <c r="X115" s="2393">
        <f>'Saisie données file act.'!X611</f>
        <v>0</v>
      </c>
      <c r="Y115" s="2393">
        <f>'Saisie données file act.'!Y611</f>
        <v>0</v>
      </c>
      <c r="Z115" s="2393">
        <f>'Saisie données file act.'!Z611</f>
        <v>0</v>
      </c>
      <c r="AA115" s="2393">
        <f>'Saisie données file act.'!AA611</f>
        <v>0</v>
      </c>
      <c r="AB115" s="2393">
        <f>'Saisie données file act.'!AB611</f>
        <v>0</v>
      </c>
      <c r="AC115" s="2393">
        <f>'Saisie données file act.'!AC611</f>
        <v>0</v>
      </c>
      <c r="AD115" s="2393">
        <f>'Saisie données file act.'!AD611</f>
        <v>0</v>
      </c>
      <c r="AE115" s="2393">
        <f>'Saisie données file act.'!AE611</f>
        <v>0</v>
      </c>
      <c r="AF115" s="2393">
        <f>'Saisie données file act.'!AF611</f>
        <v>0</v>
      </c>
      <c r="AG115" s="2400">
        <f>'Saisie données file act.'!AG611</f>
        <v>0</v>
      </c>
      <c r="AH115" s="2395">
        <f>'Saisie données file act.'!AH611</f>
        <v>0</v>
      </c>
    </row>
    <row r="116" spans="3:34" x14ac:dyDescent="0.2">
      <c r="C116" s="3313"/>
      <c r="D116" s="2424">
        <f>'Saisie données file act.'!D612</f>
        <v>0</v>
      </c>
      <c r="E116" s="2406">
        <f>'Saisie données file act.'!E612</f>
        <v>0</v>
      </c>
      <c r="F116" s="2393">
        <f>'Saisie données file act.'!F612</f>
        <v>0</v>
      </c>
      <c r="G116" s="2393">
        <f>'Saisie données file act.'!G612</f>
        <v>0</v>
      </c>
      <c r="H116" s="2393">
        <f>'Saisie données file act.'!H612</f>
        <v>0</v>
      </c>
      <c r="I116" s="2393">
        <f>'Saisie données file act.'!I612</f>
        <v>0</v>
      </c>
      <c r="J116" s="2393">
        <f>'Saisie données file act.'!J612</f>
        <v>0</v>
      </c>
      <c r="K116" s="2393">
        <f>'Saisie données file act.'!K612</f>
        <v>0</v>
      </c>
      <c r="L116" s="2400">
        <f>'Saisie données file act.'!L612</f>
        <v>0</v>
      </c>
      <c r="M116" s="2406">
        <f>'Saisie données file act.'!M612</f>
        <v>0</v>
      </c>
      <c r="N116" s="2393">
        <f>'Saisie données file act.'!N612</f>
        <v>0</v>
      </c>
      <c r="O116" s="2393">
        <f>'Saisie données file act.'!O612</f>
        <v>0</v>
      </c>
      <c r="P116" s="2393">
        <f>'Saisie données file act.'!P612</f>
        <v>0</v>
      </c>
      <c r="Q116" s="2393">
        <f>'Saisie données file act.'!Q612</f>
        <v>0</v>
      </c>
      <c r="R116" s="2393">
        <f>'Saisie données file act.'!R612</f>
        <v>0</v>
      </c>
      <c r="S116" s="2393">
        <f>'Saisie données file act.'!S612</f>
        <v>0</v>
      </c>
      <c r="T116" s="2393">
        <f>'Saisie données file act.'!T612</f>
        <v>0</v>
      </c>
      <c r="U116" s="2393">
        <f>'Saisie données file act.'!U612</f>
        <v>0</v>
      </c>
      <c r="V116" s="2393">
        <f>'Saisie données file act.'!V612</f>
        <v>0</v>
      </c>
      <c r="W116" s="2393">
        <f>'Saisie données file act.'!W612</f>
        <v>0</v>
      </c>
      <c r="X116" s="2393">
        <f>'Saisie données file act.'!X612</f>
        <v>0</v>
      </c>
      <c r="Y116" s="2393">
        <f>'Saisie données file act.'!Y612</f>
        <v>0</v>
      </c>
      <c r="Z116" s="2393">
        <f>'Saisie données file act.'!Z612</f>
        <v>0</v>
      </c>
      <c r="AA116" s="2393">
        <f>'Saisie données file act.'!AA612</f>
        <v>0</v>
      </c>
      <c r="AB116" s="2393">
        <f>'Saisie données file act.'!AB612</f>
        <v>0</v>
      </c>
      <c r="AC116" s="2393">
        <f>'Saisie données file act.'!AC612</f>
        <v>0</v>
      </c>
      <c r="AD116" s="2393">
        <f>'Saisie données file act.'!AD612</f>
        <v>0</v>
      </c>
      <c r="AE116" s="2393">
        <f>'Saisie données file act.'!AE612</f>
        <v>0</v>
      </c>
      <c r="AF116" s="2393">
        <f>'Saisie données file act.'!AF612</f>
        <v>0</v>
      </c>
      <c r="AG116" s="2400">
        <f>'Saisie données file act.'!AG612</f>
        <v>0</v>
      </c>
      <c r="AH116" s="2395">
        <f>'Saisie données file act.'!AH612</f>
        <v>0</v>
      </c>
    </row>
    <row r="117" spans="3:34" x14ac:dyDescent="0.2">
      <c r="C117" s="3313"/>
      <c r="D117" s="2424">
        <f>'Saisie données file act.'!D613</f>
        <v>0</v>
      </c>
      <c r="E117" s="2406">
        <f>'Saisie données file act.'!E613</f>
        <v>0</v>
      </c>
      <c r="F117" s="2393">
        <f>'Saisie données file act.'!F613</f>
        <v>0</v>
      </c>
      <c r="G117" s="2393">
        <f>'Saisie données file act.'!G613</f>
        <v>0</v>
      </c>
      <c r="H117" s="2393">
        <f>'Saisie données file act.'!H613</f>
        <v>0</v>
      </c>
      <c r="I117" s="2393">
        <f>'Saisie données file act.'!I613</f>
        <v>0</v>
      </c>
      <c r="J117" s="2393">
        <f>'Saisie données file act.'!J613</f>
        <v>0</v>
      </c>
      <c r="K117" s="2393">
        <f>'Saisie données file act.'!K613</f>
        <v>0</v>
      </c>
      <c r="L117" s="2400">
        <f>'Saisie données file act.'!L613</f>
        <v>0</v>
      </c>
      <c r="M117" s="2406">
        <f>'Saisie données file act.'!M613</f>
        <v>0</v>
      </c>
      <c r="N117" s="2393">
        <f>'Saisie données file act.'!N613</f>
        <v>0</v>
      </c>
      <c r="O117" s="2393">
        <f>'Saisie données file act.'!O613</f>
        <v>0</v>
      </c>
      <c r="P117" s="2393">
        <f>'Saisie données file act.'!P613</f>
        <v>0</v>
      </c>
      <c r="Q117" s="2393">
        <f>'Saisie données file act.'!Q613</f>
        <v>0</v>
      </c>
      <c r="R117" s="2393">
        <f>'Saisie données file act.'!R613</f>
        <v>0</v>
      </c>
      <c r="S117" s="2393">
        <f>'Saisie données file act.'!S613</f>
        <v>0</v>
      </c>
      <c r="T117" s="2393">
        <f>'Saisie données file act.'!T613</f>
        <v>0</v>
      </c>
      <c r="U117" s="2393">
        <f>'Saisie données file act.'!U613</f>
        <v>0</v>
      </c>
      <c r="V117" s="2393">
        <f>'Saisie données file act.'!V613</f>
        <v>0</v>
      </c>
      <c r="W117" s="2393">
        <f>'Saisie données file act.'!W613</f>
        <v>0</v>
      </c>
      <c r="X117" s="2393">
        <f>'Saisie données file act.'!X613</f>
        <v>0</v>
      </c>
      <c r="Y117" s="2393">
        <f>'Saisie données file act.'!Y613</f>
        <v>0</v>
      </c>
      <c r="Z117" s="2393">
        <f>'Saisie données file act.'!Z613</f>
        <v>0</v>
      </c>
      <c r="AA117" s="2393">
        <f>'Saisie données file act.'!AA613</f>
        <v>0</v>
      </c>
      <c r="AB117" s="2393">
        <f>'Saisie données file act.'!AB613</f>
        <v>0</v>
      </c>
      <c r="AC117" s="2393">
        <f>'Saisie données file act.'!AC613</f>
        <v>0</v>
      </c>
      <c r="AD117" s="2393">
        <f>'Saisie données file act.'!AD613</f>
        <v>0</v>
      </c>
      <c r="AE117" s="2393">
        <f>'Saisie données file act.'!AE613</f>
        <v>0</v>
      </c>
      <c r="AF117" s="2393">
        <f>'Saisie données file act.'!AF613</f>
        <v>0</v>
      </c>
      <c r="AG117" s="2400">
        <f>'Saisie données file act.'!AG613</f>
        <v>0</v>
      </c>
      <c r="AH117" s="2395">
        <f>'Saisie données file act.'!AH613</f>
        <v>0</v>
      </c>
    </row>
    <row r="118" spans="3:34" x14ac:dyDescent="0.2">
      <c r="C118" s="3313"/>
      <c r="D118" s="2424">
        <f>'Saisie données file act.'!D614</f>
        <v>0</v>
      </c>
      <c r="E118" s="2406">
        <f>'Saisie données file act.'!E614</f>
        <v>0</v>
      </c>
      <c r="F118" s="2393">
        <f>'Saisie données file act.'!F614</f>
        <v>0</v>
      </c>
      <c r="G118" s="2393">
        <f>'Saisie données file act.'!G614</f>
        <v>0</v>
      </c>
      <c r="H118" s="2393">
        <f>'Saisie données file act.'!H614</f>
        <v>0</v>
      </c>
      <c r="I118" s="2393">
        <f>'Saisie données file act.'!I614</f>
        <v>0</v>
      </c>
      <c r="J118" s="2393">
        <f>'Saisie données file act.'!J614</f>
        <v>0</v>
      </c>
      <c r="K118" s="2393">
        <f>'Saisie données file act.'!K614</f>
        <v>0</v>
      </c>
      <c r="L118" s="2400">
        <f>'Saisie données file act.'!L614</f>
        <v>0</v>
      </c>
      <c r="M118" s="2406">
        <f>'Saisie données file act.'!M614</f>
        <v>0</v>
      </c>
      <c r="N118" s="2393">
        <f>'Saisie données file act.'!N614</f>
        <v>0</v>
      </c>
      <c r="O118" s="2393">
        <f>'Saisie données file act.'!O614</f>
        <v>0</v>
      </c>
      <c r="P118" s="2393">
        <f>'Saisie données file act.'!P614</f>
        <v>0</v>
      </c>
      <c r="Q118" s="2393">
        <f>'Saisie données file act.'!Q614</f>
        <v>0</v>
      </c>
      <c r="R118" s="2393">
        <f>'Saisie données file act.'!R614</f>
        <v>0</v>
      </c>
      <c r="S118" s="2393">
        <f>'Saisie données file act.'!S614</f>
        <v>0</v>
      </c>
      <c r="T118" s="2393">
        <f>'Saisie données file act.'!T614</f>
        <v>0</v>
      </c>
      <c r="U118" s="2393">
        <f>'Saisie données file act.'!U614</f>
        <v>0</v>
      </c>
      <c r="V118" s="2393">
        <f>'Saisie données file act.'!V614</f>
        <v>0</v>
      </c>
      <c r="W118" s="2393">
        <f>'Saisie données file act.'!W614</f>
        <v>0</v>
      </c>
      <c r="X118" s="2393">
        <f>'Saisie données file act.'!X614</f>
        <v>0</v>
      </c>
      <c r="Y118" s="2393">
        <f>'Saisie données file act.'!Y614</f>
        <v>0</v>
      </c>
      <c r="Z118" s="2393">
        <f>'Saisie données file act.'!Z614</f>
        <v>0</v>
      </c>
      <c r="AA118" s="2393">
        <f>'Saisie données file act.'!AA614</f>
        <v>0</v>
      </c>
      <c r="AB118" s="2393">
        <f>'Saisie données file act.'!AB614</f>
        <v>0</v>
      </c>
      <c r="AC118" s="2393">
        <f>'Saisie données file act.'!AC614</f>
        <v>0</v>
      </c>
      <c r="AD118" s="2393">
        <f>'Saisie données file act.'!AD614</f>
        <v>0</v>
      </c>
      <c r="AE118" s="2393">
        <f>'Saisie données file act.'!AE614</f>
        <v>0</v>
      </c>
      <c r="AF118" s="2393">
        <f>'Saisie données file act.'!AF614</f>
        <v>0</v>
      </c>
      <c r="AG118" s="2400">
        <f>'Saisie données file act.'!AG614</f>
        <v>0</v>
      </c>
      <c r="AH118" s="2395">
        <f>'Saisie données file act.'!AH614</f>
        <v>0</v>
      </c>
    </row>
    <row r="119" spans="3:34" x14ac:dyDescent="0.2">
      <c r="C119" s="3313"/>
      <c r="D119" s="2424">
        <f>'Saisie données file act.'!D615</f>
        <v>0</v>
      </c>
      <c r="E119" s="2406">
        <f>'Saisie données file act.'!E615</f>
        <v>0</v>
      </c>
      <c r="F119" s="2393">
        <f>'Saisie données file act.'!F615</f>
        <v>0</v>
      </c>
      <c r="G119" s="2393">
        <f>'Saisie données file act.'!G615</f>
        <v>0</v>
      </c>
      <c r="H119" s="2393">
        <f>'Saisie données file act.'!H615</f>
        <v>0</v>
      </c>
      <c r="I119" s="2393">
        <f>'Saisie données file act.'!I615</f>
        <v>0</v>
      </c>
      <c r="J119" s="2393">
        <f>'Saisie données file act.'!J615</f>
        <v>0</v>
      </c>
      <c r="K119" s="2393">
        <f>'Saisie données file act.'!K615</f>
        <v>0</v>
      </c>
      <c r="L119" s="2400">
        <f>'Saisie données file act.'!L615</f>
        <v>0</v>
      </c>
      <c r="M119" s="2406">
        <f>'Saisie données file act.'!M615</f>
        <v>0</v>
      </c>
      <c r="N119" s="2393">
        <f>'Saisie données file act.'!N615</f>
        <v>0</v>
      </c>
      <c r="O119" s="2393">
        <f>'Saisie données file act.'!O615</f>
        <v>0</v>
      </c>
      <c r="P119" s="2393">
        <f>'Saisie données file act.'!P615</f>
        <v>0</v>
      </c>
      <c r="Q119" s="2393">
        <f>'Saisie données file act.'!Q615</f>
        <v>0</v>
      </c>
      <c r="R119" s="2393">
        <f>'Saisie données file act.'!R615</f>
        <v>0</v>
      </c>
      <c r="S119" s="2393">
        <f>'Saisie données file act.'!S615</f>
        <v>0</v>
      </c>
      <c r="T119" s="2393">
        <f>'Saisie données file act.'!T615</f>
        <v>0</v>
      </c>
      <c r="U119" s="2393">
        <f>'Saisie données file act.'!U615</f>
        <v>0</v>
      </c>
      <c r="V119" s="2393">
        <f>'Saisie données file act.'!V615</f>
        <v>0</v>
      </c>
      <c r="W119" s="2393">
        <f>'Saisie données file act.'!W615</f>
        <v>0</v>
      </c>
      <c r="X119" s="2393">
        <f>'Saisie données file act.'!X615</f>
        <v>0</v>
      </c>
      <c r="Y119" s="2393">
        <f>'Saisie données file act.'!Y615</f>
        <v>0</v>
      </c>
      <c r="Z119" s="2393">
        <f>'Saisie données file act.'!Z615</f>
        <v>0</v>
      </c>
      <c r="AA119" s="2393">
        <f>'Saisie données file act.'!AA615</f>
        <v>0</v>
      </c>
      <c r="AB119" s="2393">
        <f>'Saisie données file act.'!AB615</f>
        <v>0</v>
      </c>
      <c r="AC119" s="2393">
        <f>'Saisie données file act.'!AC615</f>
        <v>0</v>
      </c>
      <c r="AD119" s="2393">
        <f>'Saisie données file act.'!AD615</f>
        <v>0</v>
      </c>
      <c r="AE119" s="2393">
        <f>'Saisie données file act.'!AE615</f>
        <v>0</v>
      </c>
      <c r="AF119" s="2393">
        <f>'Saisie données file act.'!AF615</f>
        <v>0</v>
      </c>
      <c r="AG119" s="2400">
        <f>'Saisie données file act.'!AG615</f>
        <v>0</v>
      </c>
      <c r="AH119" s="2395">
        <f>'Saisie données file act.'!AH615</f>
        <v>0</v>
      </c>
    </row>
    <row r="120" spans="3:34" x14ac:dyDescent="0.2">
      <c r="C120" s="3313"/>
      <c r="D120" s="2424">
        <f>'Saisie données file act.'!D616</f>
        <v>0</v>
      </c>
      <c r="E120" s="2406">
        <f>'Saisie données file act.'!E616</f>
        <v>0</v>
      </c>
      <c r="F120" s="2393">
        <f>'Saisie données file act.'!F616</f>
        <v>0</v>
      </c>
      <c r="G120" s="2393">
        <f>'Saisie données file act.'!G616</f>
        <v>0</v>
      </c>
      <c r="H120" s="2393">
        <f>'Saisie données file act.'!H616</f>
        <v>0</v>
      </c>
      <c r="I120" s="2393">
        <f>'Saisie données file act.'!I616</f>
        <v>0</v>
      </c>
      <c r="J120" s="2393">
        <f>'Saisie données file act.'!J616</f>
        <v>0</v>
      </c>
      <c r="K120" s="2393">
        <f>'Saisie données file act.'!K616</f>
        <v>0</v>
      </c>
      <c r="L120" s="2400">
        <f>'Saisie données file act.'!L616</f>
        <v>0</v>
      </c>
      <c r="M120" s="2406">
        <f>'Saisie données file act.'!M616</f>
        <v>0</v>
      </c>
      <c r="N120" s="2393">
        <f>'Saisie données file act.'!N616</f>
        <v>0</v>
      </c>
      <c r="O120" s="2393">
        <f>'Saisie données file act.'!O616</f>
        <v>0</v>
      </c>
      <c r="P120" s="2393">
        <f>'Saisie données file act.'!P616</f>
        <v>0</v>
      </c>
      <c r="Q120" s="2393">
        <f>'Saisie données file act.'!Q616</f>
        <v>0</v>
      </c>
      <c r="R120" s="2393">
        <f>'Saisie données file act.'!R616</f>
        <v>0</v>
      </c>
      <c r="S120" s="2393">
        <f>'Saisie données file act.'!S616</f>
        <v>0</v>
      </c>
      <c r="T120" s="2393">
        <f>'Saisie données file act.'!T616</f>
        <v>0</v>
      </c>
      <c r="U120" s="2393">
        <f>'Saisie données file act.'!U616</f>
        <v>0</v>
      </c>
      <c r="V120" s="2393">
        <f>'Saisie données file act.'!V616</f>
        <v>0</v>
      </c>
      <c r="W120" s="2393">
        <f>'Saisie données file act.'!W616</f>
        <v>0</v>
      </c>
      <c r="X120" s="2393">
        <f>'Saisie données file act.'!X616</f>
        <v>0</v>
      </c>
      <c r="Y120" s="2393">
        <f>'Saisie données file act.'!Y616</f>
        <v>0</v>
      </c>
      <c r="Z120" s="2393">
        <f>'Saisie données file act.'!Z616</f>
        <v>0</v>
      </c>
      <c r="AA120" s="2393">
        <f>'Saisie données file act.'!AA616</f>
        <v>0</v>
      </c>
      <c r="AB120" s="2393">
        <f>'Saisie données file act.'!AB616</f>
        <v>0</v>
      </c>
      <c r="AC120" s="2393">
        <f>'Saisie données file act.'!AC616</f>
        <v>0</v>
      </c>
      <c r="AD120" s="2393">
        <f>'Saisie données file act.'!AD616</f>
        <v>0</v>
      </c>
      <c r="AE120" s="2393">
        <f>'Saisie données file act.'!AE616</f>
        <v>0</v>
      </c>
      <c r="AF120" s="2393">
        <f>'Saisie données file act.'!AF616</f>
        <v>0</v>
      </c>
      <c r="AG120" s="2400">
        <f>'Saisie données file act.'!AG616</f>
        <v>0</v>
      </c>
      <c r="AH120" s="2395">
        <f>'Saisie données file act.'!AH616</f>
        <v>0</v>
      </c>
    </row>
    <row r="121" spans="3:34" x14ac:dyDescent="0.2">
      <c r="C121" s="3313"/>
      <c r="D121" s="2424">
        <f>'Saisie données file act.'!D617</f>
        <v>0</v>
      </c>
      <c r="E121" s="2406">
        <f>'Saisie données file act.'!E617</f>
        <v>0</v>
      </c>
      <c r="F121" s="2393">
        <f>'Saisie données file act.'!F617</f>
        <v>0</v>
      </c>
      <c r="G121" s="2393">
        <f>'Saisie données file act.'!G617</f>
        <v>0</v>
      </c>
      <c r="H121" s="2393">
        <f>'Saisie données file act.'!H617</f>
        <v>0</v>
      </c>
      <c r="I121" s="2393">
        <f>'Saisie données file act.'!I617</f>
        <v>0</v>
      </c>
      <c r="J121" s="2393">
        <f>'Saisie données file act.'!J617</f>
        <v>0</v>
      </c>
      <c r="K121" s="2393">
        <f>'Saisie données file act.'!K617</f>
        <v>0</v>
      </c>
      <c r="L121" s="2400">
        <f>'Saisie données file act.'!L617</f>
        <v>0</v>
      </c>
      <c r="M121" s="2406">
        <f>'Saisie données file act.'!M617</f>
        <v>0</v>
      </c>
      <c r="N121" s="2393">
        <f>'Saisie données file act.'!N617</f>
        <v>0</v>
      </c>
      <c r="O121" s="2393">
        <f>'Saisie données file act.'!O617</f>
        <v>0</v>
      </c>
      <c r="P121" s="2393">
        <f>'Saisie données file act.'!P617</f>
        <v>0</v>
      </c>
      <c r="Q121" s="2393">
        <f>'Saisie données file act.'!Q617</f>
        <v>0</v>
      </c>
      <c r="R121" s="2393">
        <f>'Saisie données file act.'!R617</f>
        <v>0</v>
      </c>
      <c r="S121" s="2393">
        <f>'Saisie données file act.'!S617</f>
        <v>0</v>
      </c>
      <c r="T121" s="2393">
        <f>'Saisie données file act.'!T617</f>
        <v>0</v>
      </c>
      <c r="U121" s="2393">
        <f>'Saisie données file act.'!U617</f>
        <v>0</v>
      </c>
      <c r="V121" s="2393">
        <f>'Saisie données file act.'!V617</f>
        <v>0</v>
      </c>
      <c r="W121" s="2393">
        <f>'Saisie données file act.'!W617</f>
        <v>0</v>
      </c>
      <c r="X121" s="2393">
        <f>'Saisie données file act.'!X617</f>
        <v>0</v>
      </c>
      <c r="Y121" s="2393">
        <f>'Saisie données file act.'!Y617</f>
        <v>0</v>
      </c>
      <c r="Z121" s="2393">
        <f>'Saisie données file act.'!Z617</f>
        <v>0</v>
      </c>
      <c r="AA121" s="2393">
        <f>'Saisie données file act.'!AA617</f>
        <v>0</v>
      </c>
      <c r="AB121" s="2393">
        <f>'Saisie données file act.'!AB617</f>
        <v>0</v>
      </c>
      <c r="AC121" s="2393">
        <f>'Saisie données file act.'!AC617</f>
        <v>0</v>
      </c>
      <c r="AD121" s="2393">
        <f>'Saisie données file act.'!AD617</f>
        <v>0</v>
      </c>
      <c r="AE121" s="2393">
        <f>'Saisie données file act.'!AE617</f>
        <v>0</v>
      </c>
      <c r="AF121" s="2393">
        <f>'Saisie données file act.'!AF617</f>
        <v>0</v>
      </c>
      <c r="AG121" s="2400">
        <f>'Saisie données file act.'!AG617</f>
        <v>0</v>
      </c>
      <c r="AH121" s="2395">
        <f>'Saisie données file act.'!AH617</f>
        <v>0</v>
      </c>
    </row>
    <row r="122" spans="3:34" x14ac:dyDescent="0.2">
      <c r="C122" s="3313"/>
      <c r="D122" s="2424">
        <f>'Saisie données file act.'!D618</f>
        <v>0</v>
      </c>
      <c r="E122" s="2406">
        <f>'Saisie données file act.'!E618</f>
        <v>0</v>
      </c>
      <c r="F122" s="2393">
        <f>'Saisie données file act.'!F618</f>
        <v>0</v>
      </c>
      <c r="G122" s="2393">
        <f>'Saisie données file act.'!G618</f>
        <v>0</v>
      </c>
      <c r="H122" s="2393">
        <f>'Saisie données file act.'!H618</f>
        <v>0</v>
      </c>
      <c r="I122" s="2393">
        <f>'Saisie données file act.'!I618</f>
        <v>0</v>
      </c>
      <c r="J122" s="2393">
        <f>'Saisie données file act.'!J618</f>
        <v>0</v>
      </c>
      <c r="K122" s="2393">
        <f>'Saisie données file act.'!K618</f>
        <v>0</v>
      </c>
      <c r="L122" s="2400">
        <f>'Saisie données file act.'!L618</f>
        <v>0</v>
      </c>
      <c r="M122" s="2406">
        <f>'Saisie données file act.'!M618</f>
        <v>0</v>
      </c>
      <c r="N122" s="2393">
        <f>'Saisie données file act.'!N618</f>
        <v>0</v>
      </c>
      <c r="O122" s="2393">
        <f>'Saisie données file act.'!O618</f>
        <v>0</v>
      </c>
      <c r="P122" s="2393">
        <f>'Saisie données file act.'!P618</f>
        <v>0</v>
      </c>
      <c r="Q122" s="2393">
        <f>'Saisie données file act.'!Q618</f>
        <v>0</v>
      </c>
      <c r="R122" s="2393">
        <f>'Saisie données file act.'!R618</f>
        <v>0</v>
      </c>
      <c r="S122" s="2393">
        <f>'Saisie données file act.'!S618</f>
        <v>0</v>
      </c>
      <c r="T122" s="2393">
        <f>'Saisie données file act.'!T618</f>
        <v>0</v>
      </c>
      <c r="U122" s="2393">
        <f>'Saisie données file act.'!U618</f>
        <v>0</v>
      </c>
      <c r="V122" s="2393">
        <f>'Saisie données file act.'!V618</f>
        <v>0</v>
      </c>
      <c r="W122" s="2393">
        <f>'Saisie données file act.'!W618</f>
        <v>0</v>
      </c>
      <c r="X122" s="2393">
        <f>'Saisie données file act.'!X618</f>
        <v>0</v>
      </c>
      <c r="Y122" s="2393">
        <f>'Saisie données file act.'!Y618</f>
        <v>0</v>
      </c>
      <c r="Z122" s="2393">
        <f>'Saisie données file act.'!Z618</f>
        <v>0</v>
      </c>
      <c r="AA122" s="2393">
        <f>'Saisie données file act.'!AA618</f>
        <v>0</v>
      </c>
      <c r="AB122" s="2393">
        <f>'Saisie données file act.'!AB618</f>
        <v>0</v>
      </c>
      <c r="AC122" s="2393">
        <f>'Saisie données file act.'!AC618</f>
        <v>0</v>
      </c>
      <c r="AD122" s="2393">
        <f>'Saisie données file act.'!AD618</f>
        <v>0</v>
      </c>
      <c r="AE122" s="2393">
        <f>'Saisie données file act.'!AE618</f>
        <v>0</v>
      </c>
      <c r="AF122" s="2393">
        <f>'Saisie données file act.'!AF618</f>
        <v>0</v>
      </c>
      <c r="AG122" s="2400">
        <f>'Saisie données file act.'!AG618</f>
        <v>0</v>
      </c>
      <c r="AH122" s="2395">
        <f>'Saisie données file act.'!AH618</f>
        <v>0</v>
      </c>
    </row>
    <row r="123" spans="3:34" ht="12.75" thickBot="1" x14ac:dyDescent="0.25">
      <c r="C123" s="3314"/>
      <c r="D123" s="2425">
        <f>'Saisie données file act.'!D619</f>
        <v>0</v>
      </c>
      <c r="E123" s="2407">
        <f>'Saisie données file act.'!E619</f>
        <v>0</v>
      </c>
      <c r="F123" s="2394">
        <f>'Saisie données file act.'!F619</f>
        <v>0</v>
      </c>
      <c r="G123" s="2394">
        <f>'Saisie données file act.'!G619</f>
        <v>0</v>
      </c>
      <c r="H123" s="2394">
        <f>'Saisie données file act.'!H619</f>
        <v>0</v>
      </c>
      <c r="I123" s="2394">
        <f>'Saisie données file act.'!I619</f>
        <v>0</v>
      </c>
      <c r="J123" s="2394">
        <f>'Saisie données file act.'!J619</f>
        <v>0</v>
      </c>
      <c r="K123" s="2394">
        <f>'Saisie données file act.'!K619</f>
        <v>0</v>
      </c>
      <c r="L123" s="2401">
        <f>'Saisie données file act.'!L619</f>
        <v>0</v>
      </c>
      <c r="M123" s="2407">
        <f>'Saisie données file act.'!M619</f>
        <v>0</v>
      </c>
      <c r="N123" s="2394">
        <f>'Saisie données file act.'!N619</f>
        <v>0</v>
      </c>
      <c r="O123" s="2394">
        <f>'Saisie données file act.'!O619</f>
        <v>0</v>
      </c>
      <c r="P123" s="2394">
        <f>'Saisie données file act.'!P619</f>
        <v>0</v>
      </c>
      <c r="Q123" s="2394">
        <f>'Saisie données file act.'!Q619</f>
        <v>0</v>
      </c>
      <c r="R123" s="2394">
        <f>'Saisie données file act.'!R619</f>
        <v>0</v>
      </c>
      <c r="S123" s="2394">
        <f>'Saisie données file act.'!S619</f>
        <v>0</v>
      </c>
      <c r="T123" s="2394">
        <f>'Saisie données file act.'!T619</f>
        <v>0</v>
      </c>
      <c r="U123" s="2394">
        <f>'Saisie données file act.'!U619</f>
        <v>0</v>
      </c>
      <c r="V123" s="2394">
        <f>'Saisie données file act.'!V619</f>
        <v>0</v>
      </c>
      <c r="W123" s="2394">
        <f>'Saisie données file act.'!W619</f>
        <v>0</v>
      </c>
      <c r="X123" s="2394">
        <f>'Saisie données file act.'!X619</f>
        <v>0</v>
      </c>
      <c r="Y123" s="2394">
        <f>'Saisie données file act.'!Y619</f>
        <v>0</v>
      </c>
      <c r="Z123" s="2394">
        <f>'Saisie données file act.'!Z619</f>
        <v>0</v>
      </c>
      <c r="AA123" s="2394">
        <f>'Saisie données file act.'!AA619</f>
        <v>0</v>
      </c>
      <c r="AB123" s="2394">
        <f>'Saisie données file act.'!AB619</f>
        <v>0</v>
      </c>
      <c r="AC123" s="2394">
        <f>'Saisie données file act.'!AC619</f>
        <v>0</v>
      </c>
      <c r="AD123" s="2394">
        <f>'Saisie données file act.'!AD619</f>
        <v>0</v>
      </c>
      <c r="AE123" s="2394">
        <f>'Saisie données file act.'!AE619</f>
        <v>0</v>
      </c>
      <c r="AF123" s="2394">
        <f>'Saisie données file act.'!AF619</f>
        <v>0</v>
      </c>
      <c r="AG123" s="2401">
        <f>'Saisie données file act.'!AG619</f>
        <v>0</v>
      </c>
      <c r="AH123" s="2403">
        <f>'Saisie données file act.'!AH619</f>
        <v>0</v>
      </c>
    </row>
  </sheetData>
  <mergeCells count="5">
    <mergeCell ref="A4:K4"/>
    <mergeCell ref="C11:C33"/>
    <mergeCell ref="C41:C63"/>
    <mergeCell ref="C71:C93"/>
    <mergeCell ref="C101:C123"/>
  </mergeCells>
  <conditionalFormatting sqref="E4:G7 G8:G1048576 A36:G37 C94:D100 B38:B1048576 C124:D1048576 A8:A1048576 A66:G67 G66:XFD93 A96:B123 A96:G97 C38:D40 C64:D70 E96:XFD123 E11:F33 E38:F1048576 N1:XFD1048576 H4:M1048576 A1:D7 G1:M3">
    <cfRule type="cellIs" dxfId="3" priority="5" operator="equal">
      <formula>0</formula>
    </cfRule>
  </conditionalFormatting>
  <pageMargins left="0.23622047244094491" right="0.23622047244094491" top="0.31496062992125984" bottom="0.23622047244094491" header="0.31496062992125984" footer="0.23622047244094491"/>
  <pageSetup paperSize="9" scale="66" orientation="landscape" r:id="rId1"/>
  <rowBreaks count="1" manualBreakCount="1">
    <brk id="63" max="33" man="1"/>
  </rowBreaks>
  <colBreaks count="1" manualBreakCount="1">
    <brk id="18" max="122"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tabColor theme="0"/>
  </sheetPr>
  <dimension ref="B1:P18"/>
  <sheetViews>
    <sheetView topLeftCell="B1" workbookViewId="0">
      <selection sqref="A1:XFD1048576"/>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16" s="2586" customFormat="1" x14ac:dyDescent="0.2">
      <c r="B1" s="2586" t="s">
        <v>865</v>
      </c>
      <c r="D1" s="2586" t="s">
        <v>866</v>
      </c>
      <c r="F1" s="2586" t="s">
        <v>867</v>
      </c>
    </row>
    <row r="2" spans="2:16" x14ac:dyDescent="0.2">
      <c r="B2" s="2586" t="str">
        <f>IF(Présentation!$E$2="Français",'TRAD-impressions'!D2,IF(Présentation!$E$2="Anglais",'TRAD-impressions'!F2,""))</f>
        <v>Tableau d'évaluation des besoins en ARV</v>
      </c>
      <c r="D2" s="2553" t="s">
        <v>525</v>
      </c>
      <c r="E2" s="2553"/>
      <c r="F2" s="2553" t="s">
        <v>1217</v>
      </c>
      <c r="G2" s="2553"/>
      <c r="H2" s="2553"/>
      <c r="I2" s="2553"/>
      <c r="J2" s="2553"/>
      <c r="K2" s="2553"/>
      <c r="L2" s="2616"/>
      <c r="M2" s="2553"/>
      <c r="N2" s="2553"/>
    </row>
    <row r="3" spans="2:16" ht="25.5" x14ac:dyDescent="0.2">
      <c r="B3" s="2586" t="str">
        <f>IF(Présentation!$E$2="Français",'TRAD-impressions'!D3,IF(Présentation!$E$2="Anglais",'TRAD-impressions'!F3,""))</f>
        <v>Synthèse des données &amp; hypothèses prises en compte</v>
      </c>
      <c r="D3" s="2553" t="s">
        <v>245</v>
      </c>
      <c r="E3" s="2553"/>
      <c r="F3" s="2553" t="s">
        <v>1620</v>
      </c>
      <c r="G3" s="2553"/>
      <c r="H3" s="2553"/>
      <c r="I3" s="2553"/>
      <c r="J3" s="2553"/>
      <c r="K3" s="2553"/>
      <c r="L3" s="2617"/>
      <c r="M3" s="2553"/>
      <c r="N3" s="2553"/>
    </row>
    <row r="4" spans="2:16" x14ac:dyDescent="0.2">
      <c r="B4" s="2586" t="str">
        <f>IF(Présentation!$E$2="Français",'TRAD-impressions'!D4,IF(Présentation!$E$2="Anglais",'TRAD-impressions'!F4,""))</f>
        <v>Pays / Région</v>
      </c>
      <c r="D4" s="2553" t="s">
        <v>523</v>
      </c>
      <c r="E4" s="2553"/>
      <c r="F4" s="2553" t="s">
        <v>1211</v>
      </c>
      <c r="G4" s="2553"/>
      <c r="H4" s="2553"/>
      <c r="I4" s="2553"/>
      <c r="J4" s="2553"/>
      <c r="K4" s="2553"/>
      <c r="L4" s="2553"/>
      <c r="M4" s="2553"/>
      <c r="N4" s="2553"/>
    </row>
    <row r="5" spans="2:16" x14ac:dyDescent="0.2">
      <c r="B5" s="2586" t="str">
        <f>IF(Présentation!$E$2="Français",'TRAD-impressions'!D5,IF(Présentation!$E$2="Anglais",'TRAD-impressions'!F5,""))</f>
        <v>Date de mise à jour des données</v>
      </c>
      <c r="D5" s="2553" t="s">
        <v>524</v>
      </c>
      <c r="E5" s="2553"/>
      <c r="F5" s="2553" t="s">
        <v>1212</v>
      </c>
      <c r="G5" s="2553"/>
      <c r="H5" s="2553"/>
      <c r="I5" s="2553"/>
      <c r="J5" s="2553"/>
      <c r="K5" s="2553"/>
      <c r="L5" s="2553"/>
      <c r="M5" s="2553"/>
      <c r="N5" s="2553"/>
    </row>
    <row r="6" spans="2:16" ht="25.5" x14ac:dyDescent="0.2">
      <c r="B6" s="2586" t="str">
        <f>IF(Présentation!$E$2="Français",'TRAD-impressions'!D6,IF(Présentation!$E$2="Anglais",'TRAD-impressions'!F6,""))</f>
        <v>1. Données de suivi de patients - ADULTES</v>
      </c>
      <c r="D6" s="2562" t="s">
        <v>520</v>
      </c>
      <c r="E6" s="2562"/>
      <c r="F6" s="2562" t="s">
        <v>1616</v>
      </c>
      <c r="G6" s="2562"/>
      <c r="H6" s="2562"/>
      <c r="I6" s="2562"/>
      <c r="J6" s="2562"/>
      <c r="K6" s="2562"/>
      <c r="L6" s="2562"/>
      <c r="M6" s="2562"/>
      <c r="N6" s="2562"/>
    </row>
    <row r="7" spans="2:16" x14ac:dyDescent="0.2">
      <c r="B7" s="2586" t="str">
        <f>IF(Présentation!$E$2="Français",'TRAD-impressions'!D7,IF(Présentation!$E$2="Anglais",'TRAD-impressions'!F7,""))</f>
        <v>Poids (kg)</v>
      </c>
      <c r="D7" s="2553" t="s">
        <v>68</v>
      </c>
      <c r="E7" s="2553"/>
      <c r="F7" s="2553" t="s">
        <v>1315</v>
      </c>
      <c r="G7" s="2553"/>
      <c r="H7" s="2553"/>
      <c r="I7" s="2553"/>
      <c r="J7" s="2553"/>
      <c r="K7" s="2553"/>
      <c r="L7" s="2616"/>
      <c r="M7" s="2561"/>
      <c r="N7" s="2561"/>
      <c r="O7" s="2555"/>
      <c r="P7" s="2555"/>
    </row>
    <row r="8" spans="2:16" x14ac:dyDescent="0.2">
      <c r="B8" s="2586" t="str">
        <f>IF(Présentation!$E$2="Français",'TRAD-impressions'!D8,IF(Présentation!$E$2="Anglais",'TRAD-impressions'!F8,""))</f>
        <v>Pourcentage</v>
      </c>
      <c r="D8" s="2553" t="s">
        <v>69</v>
      </c>
      <c r="E8" s="2553"/>
      <c r="F8" s="2553" t="s">
        <v>1617</v>
      </c>
      <c r="G8" s="2553"/>
      <c r="H8" s="2553"/>
      <c r="I8" s="2553"/>
      <c r="J8" s="2553"/>
      <c r="K8" s="2553"/>
      <c r="L8" s="2617"/>
      <c r="M8" s="2561"/>
      <c r="N8" s="2561"/>
      <c r="O8" s="2555"/>
      <c r="P8" s="2555"/>
    </row>
    <row r="9" spans="2:16" ht="25.5" x14ac:dyDescent="0.2">
      <c r="B9" s="2586" t="str">
        <f>IF(Présentation!$E$2="Français",'TRAD-impressions'!D9,IF(Présentation!$E$2="Anglais",'TRAD-impressions'!F9,""))</f>
        <v>1. Données de suivi de patients - ENFANTS</v>
      </c>
      <c r="D9" s="2562" t="s">
        <v>522</v>
      </c>
      <c r="E9" s="2562"/>
      <c r="F9" s="2562" t="s">
        <v>1618</v>
      </c>
      <c r="G9" s="2562"/>
      <c r="H9" s="2562"/>
      <c r="I9" s="2562"/>
      <c r="J9" s="2562"/>
      <c r="K9" s="2562"/>
      <c r="L9" s="2562"/>
      <c r="M9" s="2562"/>
      <c r="N9" s="2562"/>
      <c r="O9" s="2555"/>
      <c r="P9" s="2555"/>
    </row>
    <row r="10" spans="2:16" x14ac:dyDescent="0.2">
      <c r="B10" s="2586" t="str">
        <f>IF(Présentation!$E$2="Français",'TRAD-impressions'!D10,IF(Présentation!$E$2="Anglais",'TRAD-impressions'!F10,""))</f>
        <v>1. Sélection des ARV - ENFANTS</v>
      </c>
      <c r="D10" s="2562" t="s">
        <v>783</v>
      </c>
      <c r="E10" s="2562"/>
      <c r="F10" s="2562" t="s">
        <v>1619</v>
      </c>
      <c r="G10" s="2562"/>
      <c r="H10" s="2562"/>
      <c r="I10" s="2562"/>
      <c r="J10" s="2562"/>
      <c r="K10" s="2562"/>
      <c r="L10" s="2562"/>
      <c r="M10" s="2562"/>
      <c r="N10" s="2562"/>
    </row>
    <row r="11" spans="2:16" x14ac:dyDescent="0.2">
      <c r="D11" s="2553"/>
      <c r="E11" s="2553"/>
      <c r="F11" s="2553"/>
      <c r="G11" s="2553"/>
      <c r="H11" s="2553"/>
      <c r="I11" s="2553"/>
      <c r="J11" s="2553"/>
      <c r="K11" s="2553"/>
      <c r="L11" s="2553"/>
      <c r="M11" s="2553"/>
      <c r="N11" s="2553"/>
    </row>
    <row r="12" spans="2:16" x14ac:dyDescent="0.2">
      <c r="D12" s="2553"/>
      <c r="E12" s="2553"/>
      <c r="F12" s="2553"/>
      <c r="G12" s="2553"/>
      <c r="H12" s="2553"/>
      <c r="I12" s="2553"/>
      <c r="J12" s="2553"/>
      <c r="K12" s="2616"/>
      <c r="L12" s="2553"/>
      <c r="M12" s="2553"/>
      <c r="N12" s="2553"/>
    </row>
    <row r="13" spans="2:16" x14ac:dyDescent="0.2">
      <c r="D13" s="2553"/>
      <c r="E13" s="2553"/>
      <c r="F13" s="2553"/>
      <c r="G13" s="2553"/>
      <c r="H13" s="2553"/>
      <c r="I13" s="2553"/>
      <c r="J13" s="2553"/>
      <c r="K13" s="2617"/>
      <c r="L13" s="2553"/>
      <c r="M13" s="2553"/>
      <c r="N13" s="2553"/>
    </row>
    <row r="14" spans="2:16" x14ac:dyDescent="0.2">
      <c r="D14" s="2553"/>
      <c r="E14" s="2553"/>
      <c r="F14" s="2553"/>
      <c r="G14" s="2553"/>
      <c r="H14" s="2553"/>
      <c r="I14" s="2553"/>
      <c r="J14" s="2553"/>
      <c r="K14" s="2553"/>
      <c r="L14" s="2553"/>
      <c r="M14" s="2553"/>
      <c r="N14" s="2553"/>
    </row>
    <row r="15" spans="2:16" x14ac:dyDescent="0.2">
      <c r="D15" s="2553"/>
      <c r="E15" s="2553"/>
      <c r="F15" s="2553"/>
      <c r="G15" s="2553"/>
      <c r="H15" s="2553"/>
      <c r="I15" s="2553"/>
      <c r="J15" s="2553"/>
      <c r="K15" s="2553"/>
      <c r="L15" s="2553"/>
      <c r="M15" s="2553"/>
      <c r="N15" s="2553"/>
    </row>
    <row r="16" spans="2:16" x14ac:dyDescent="0.2">
      <c r="D16" s="2553"/>
      <c r="E16" s="2553"/>
      <c r="F16" s="2553"/>
      <c r="G16" s="2553"/>
      <c r="H16" s="2553"/>
      <c r="I16" s="2553"/>
      <c r="J16" s="2553"/>
      <c r="K16" s="2553"/>
      <c r="L16" s="2553"/>
      <c r="M16" s="2616"/>
      <c r="N16" s="2553"/>
    </row>
    <row r="17" spans="4:14" x14ac:dyDescent="0.2">
      <c r="D17" s="2553"/>
      <c r="E17" s="2553"/>
      <c r="F17" s="2553"/>
      <c r="G17" s="2553"/>
      <c r="H17" s="2553"/>
      <c r="I17" s="2553"/>
      <c r="J17" s="2553"/>
      <c r="K17" s="2553"/>
      <c r="L17" s="2553"/>
      <c r="M17" s="2617"/>
      <c r="N17" s="2553"/>
    </row>
    <row r="18" spans="4:14" x14ac:dyDescent="0.2">
      <c r="D18" s="2553"/>
      <c r="E18" s="2553"/>
      <c r="F18" s="2553"/>
      <c r="G18" s="2553"/>
      <c r="H18" s="2553"/>
      <c r="I18" s="2553"/>
      <c r="J18" s="2553"/>
      <c r="K18" s="2553"/>
      <c r="L18" s="2553"/>
      <c r="M18" s="2553"/>
      <c r="N18" s="2553"/>
    </row>
  </sheetData>
  <conditionalFormatting sqref="K2:N6 I4:J6 D2:H6 K7:L8 D12:N14 J16:N18 D16:G18 D9:N10 D7:I8">
    <cfRule type="cellIs" dxfId="2" priority="6" operator="equal">
      <formula>0</formula>
    </cfRule>
  </conditionalFormatting>
  <conditionalFormatting sqref="O7:P9 E7:N8">
    <cfRule type="cellIs" dxfId="1" priority="5" operator="equal">
      <formula>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tabColor theme="2" tint="-0.249977111117893"/>
  </sheetPr>
  <dimension ref="A1:S291"/>
  <sheetViews>
    <sheetView topLeftCell="A135" zoomScale="80" zoomScaleNormal="80" workbookViewId="0">
      <selection activeCell="C165" sqref="C165"/>
    </sheetView>
  </sheetViews>
  <sheetFormatPr defaultColWidth="11.42578125" defaultRowHeight="12.75" x14ac:dyDescent="0.2"/>
  <cols>
    <col min="1" max="1" width="14.7109375" style="659" bestFit="1" customWidth="1"/>
    <col min="2" max="2" width="11.42578125" style="659"/>
    <col min="3" max="3" width="13.42578125" style="659" bestFit="1" customWidth="1"/>
    <col min="4" max="4" width="11.140625" style="659" bestFit="1" customWidth="1"/>
    <col min="5" max="5" width="8.28515625" style="659" customWidth="1"/>
    <col min="6" max="6" width="8.7109375" style="659" customWidth="1"/>
    <col min="7" max="7" width="11.42578125" style="660"/>
    <col min="8" max="8" width="7.85546875" style="661" customWidth="1"/>
    <col min="9" max="11" width="9" style="659" customWidth="1"/>
    <col min="12" max="14" width="10.85546875" style="659" bestFit="1" customWidth="1"/>
    <col min="15" max="15" width="10.85546875" style="661" bestFit="1" customWidth="1"/>
    <col min="16" max="17" width="10.85546875" style="659" bestFit="1" customWidth="1"/>
    <col min="18" max="18" width="8.5703125" style="659" customWidth="1"/>
    <col min="19" max="238" width="11.42578125" style="659"/>
    <col min="239" max="239" width="14.7109375" style="659" bestFit="1" customWidth="1"/>
    <col min="240" max="240" width="11.42578125" style="659"/>
    <col min="241" max="241" width="13.42578125" style="659" bestFit="1" customWidth="1"/>
    <col min="242" max="242" width="11.140625" style="659" bestFit="1" customWidth="1"/>
    <col min="243" max="243" width="8.28515625" style="659" customWidth="1"/>
    <col min="244" max="244" width="8.7109375" style="659" customWidth="1"/>
    <col min="245" max="245" width="11.42578125" style="659"/>
    <col min="246" max="246" width="7.85546875" style="659" customWidth="1"/>
    <col min="247" max="249" width="9" style="659" customWidth="1"/>
    <col min="250" max="250" width="9.28515625" style="659" customWidth="1"/>
    <col min="251" max="251" width="9.85546875" style="659" bestFit="1" customWidth="1"/>
    <col min="252" max="252" width="9.28515625" style="659" customWidth="1"/>
    <col min="253" max="253" width="9.5703125" style="659" customWidth="1"/>
    <col min="254" max="255" width="9.140625" style="659" bestFit="1" customWidth="1"/>
    <col min="256" max="256" width="8.5703125" style="659" customWidth="1"/>
    <col min="257" max="494" width="11.42578125" style="659"/>
    <col min="495" max="495" width="14.7109375" style="659" bestFit="1" customWidth="1"/>
    <col min="496" max="496" width="11.42578125" style="659"/>
    <col min="497" max="497" width="13.42578125" style="659" bestFit="1" customWidth="1"/>
    <col min="498" max="498" width="11.140625" style="659" bestFit="1" customWidth="1"/>
    <col min="499" max="499" width="8.28515625" style="659" customWidth="1"/>
    <col min="500" max="500" width="8.7109375" style="659" customWidth="1"/>
    <col min="501" max="501" width="11.42578125" style="659"/>
    <col min="502" max="502" width="7.85546875" style="659" customWidth="1"/>
    <col min="503" max="505" width="9" style="659" customWidth="1"/>
    <col min="506" max="506" width="9.28515625" style="659" customWidth="1"/>
    <col min="507" max="507" width="9.85546875" style="659" bestFit="1" customWidth="1"/>
    <col min="508" max="508" width="9.28515625" style="659" customWidth="1"/>
    <col min="509" max="509" width="9.5703125" style="659" customWidth="1"/>
    <col min="510" max="511" width="9.140625" style="659" bestFit="1" customWidth="1"/>
    <col min="512" max="512" width="8.5703125" style="659" customWidth="1"/>
    <col min="513" max="750" width="11.42578125" style="659"/>
    <col min="751" max="751" width="14.7109375" style="659" bestFit="1" customWidth="1"/>
    <col min="752" max="752" width="11.42578125" style="659"/>
    <col min="753" max="753" width="13.42578125" style="659" bestFit="1" customWidth="1"/>
    <col min="754" max="754" width="11.140625" style="659" bestFit="1" customWidth="1"/>
    <col min="755" max="755" width="8.28515625" style="659" customWidth="1"/>
    <col min="756" max="756" width="8.7109375" style="659" customWidth="1"/>
    <col min="757" max="757" width="11.42578125" style="659"/>
    <col min="758" max="758" width="7.85546875" style="659" customWidth="1"/>
    <col min="759" max="761" width="9" style="659" customWidth="1"/>
    <col min="762" max="762" width="9.28515625" style="659" customWidth="1"/>
    <col min="763" max="763" width="9.85546875" style="659" bestFit="1" customWidth="1"/>
    <col min="764" max="764" width="9.28515625" style="659" customWidth="1"/>
    <col min="765" max="765" width="9.5703125" style="659" customWidth="1"/>
    <col min="766" max="767" width="9.140625" style="659" bestFit="1" customWidth="1"/>
    <col min="768" max="768" width="8.5703125" style="659" customWidth="1"/>
    <col min="769" max="1006" width="11.42578125" style="659"/>
    <col min="1007" max="1007" width="14.7109375" style="659" bestFit="1" customWidth="1"/>
    <col min="1008" max="1008" width="11.42578125" style="659"/>
    <col min="1009" max="1009" width="13.42578125" style="659" bestFit="1" customWidth="1"/>
    <col min="1010" max="1010" width="11.140625" style="659" bestFit="1" customWidth="1"/>
    <col min="1011" max="1011" width="8.28515625" style="659" customWidth="1"/>
    <col min="1012" max="1012" width="8.7109375" style="659" customWidth="1"/>
    <col min="1013" max="1013" width="11.42578125" style="659"/>
    <col min="1014" max="1014" width="7.85546875" style="659" customWidth="1"/>
    <col min="1015" max="1017" width="9" style="659" customWidth="1"/>
    <col min="1018" max="1018" width="9.28515625" style="659" customWidth="1"/>
    <col min="1019" max="1019" width="9.85546875" style="659" bestFit="1" customWidth="1"/>
    <col min="1020" max="1020" width="9.28515625" style="659" customWidth="1"/>
    <col min="1021" max="1021" width="9.5703125" style="659" customWidth="1"/>
    <col min="1022" max="1023" width="9.140625" style="659" bestFit="1" customWidth="1"/>
    <col min="1024" max="1024" width="8.5703125" style="659" customWidth="1"/>
    <col min="1025" max="1262" width="11.42578125" style="659"/>
    <col min="1263" max="1263" width="14.7109375" style="659" bestFit="1" customWidth="1"/>
    <col min="1264" max="1264" width="11.42578125" style="659"/>
    <col min="1265" max="1265" width="13.42578125" style="659" bestFit="1" customWidth="1"/>
    <col min="1266" max="1266" width="11.140625" style="659" bestFit="1" customWidth="1"/>
    <col min="1267" max="1267" width="8.28515625" style="659" customWidth="1"/>
    <col min="1268" max="1268" width="8.7109375" style="659" customWidth="1"/>
    <col min="1269" max="1269" width="11.42578125" style="659"/>
    <col min="1270" max="1270" width="7.85546875" style="659" customWidth="1"/>
    <col min="1271" max="1273" width="9" style="659" customWidth="1"/>
    <col min="1274" max="1274" width="9.28515625" style="659" customWidth="1"/>
    <col min="1275" max="1275" width="9.85546875" style="659" bestFit="1" customWidth="1"/>
    <col min="1276" max="1276" width="9.28515625" style="659" customWidth="1"/>
    <col min="1277" max="1277" width="9.5703125" style="659" customWidth="1"/>
    <col min="1278" max="1279" width="9.140625" style="659" bestFit="1" customWidth="1"/>
    <col min="1280" max="1280" width="8.5703125" style="659" customWidth="1"/>
    <col min="1281" max="1518" width="11.42578125" style="659"/>
    <col min="1519" max="1519" width="14.7109375" style="659" bestFit="1" customWidth="1"/>
    <col min="1520" max="1520" width="11.42578125" style="659"/>
    <col min="1521" max="1521" width="13.42578125" style="659" bestFit="1" customWidth="1"/>
    <col min="1522" max="1522" width="11.140625" style="659" bestFit="1" customWidth="1"/>
    <col min="1523" max="1523" width="8.28515625" style="659" customWidth="1"/>
    <col min="1524" max="1524" width="8.7109375" style="659" customWidth="1"/>
    <col min="1525" max="1525" width="11.42578125" style="659"/>
    <col min="1526" max="1526" width="7.85546875" style="659" customWidth="1"/>
    <col min="1527" max="1529" width="9" style="659" customWidth="1"/>
    <col min="1530" max="1530" width="9.28515625" style="659" customWidth="1"/>
    <col min="1531" max="1531" width="9.85546875" style="659" bestFit="1" customWidth="1"/>
    <col min="1532" max="1532" width="9.28515625" style="659" customWidth="1"/>
    <col min="1533" max="1533" width="9.5703125" style="659" customWidth="1"/>
    <col min="1534" max="1535" width="9.140625" style="659" bestFit="1" customWidth="1"/>
    <col min="1536" max="1536" width="8.5703125" style="659" customWidth="1"/>
    <col min="1537" max="1774" width="11.42578125" style="659"/>
    <col min="1775" max="1775" width="14.7109375" style="659" bestFit="1" customWidth="1"/>
    <col min="1776" max="1776" width="11.42578125" style="659"/>
    <col min="1777" max="1777" width="13.42578125" style="659" bestFit="1" customWidth="1"/>
    <col min="1778" max="1778" width="11.140625" style="659" bestFit="1" customWidth="1"/>
    <col min="1779" max="1779" width="8.28515625" style="659" customWidth="1"/>
    <col min="1780" max="1780" width="8.7109375" style="659" customWidth="1"/>
    <col min="1781" max="1781" width="11.42578125" style="659"/>
    <col min="1782" max="1782" width="7.85546875" style="659" customWidth="1"/>
    <col min="1783" max="1785" width="9" style="659" customWidth="1"/>
    <col min="1786" max="1786" width="9.28515625" style="659" customWidth="1"/>
    <col min="1787" max="1787" width="9.85546875" style="659" bestFit="1" customWidth="1"/>
    <col min="1788" max="1788" width="9.28515625" style="659" customWidth="1"/>
    <col min="1789" max="1789" width="9.5703125" style="659" customWidth="1"/>
    <col min="1790" max="1791" width="9.140625" style="659" bestFit="1" customWidth="1"/>
    <col min="1792" max="1792" width="8.5703125" style="659" customWidth="1"/>
    <col min="1793" max="2030" width="11.42578125" style="659"/>
    <col min="2031" max="2031" width="14.7109375" style="659" bestFit="1" customWidth="1"/>
    <col min="2032" max="2032" width="11.42578125" style="659"/>
    <col min="2033" max="2033" width="13.42578125" style="659" bestFit="1" customWidth="1"/>
    <col min="2034" max="2034" width="11.140625" style="659" bestFit="1" customWidth="1"/>
    <col min="2035" max="2035" width="8.28515625" style="659" customWidth="1"/>
    <col min="2036" max="2036" width="8.7109375" style="659" customWidth="1"/>
    <col min="2037" max="2037" width="11.42578125" style="659"/>
    <col min="2038" max="2038" width="7.85546875" style="659" customWidth="1"/>
    <col min="2039" max="2041" width="9" style="659" customWidth="1"/>
    <col min="2042" max="2042" width="9.28515625" style="659" customWidth="1"/>
    <col min="2043" max="2043" width="9.85546875" style="659" bestFit="1" customWidth="1"/>
    <col min="2044" max="2044" width="9.28515625" style="659" customWidth="1"/>
    <col min="2045" max="2045" width="9.5703125" style="659" customWidth="1"/>
    <col min="2046" max="2047" width="9.140625" style="659" bestFit="1" customWidth="1"/>
    <col min="2048" max="2048" width="8.5703125" style="659" customWidth="1"/>
    <col min="2049" max="2286" width="11.42578125" style="659"/>
    <col min="2287" max="2287" width="14.7109375" style="659" bestFit="1" customWidth="1"/>
    <col min="2288" max="2288" width="11.42578125" style="659"/>
    <col min="2289" max="2289" width="13.42578125" style="659" bestFit="1" customWidth="1"/>
    <col min="2290" max="2290" width="11.140625" style="659" bestFit="1" customWidth="1"/>
    <col min="2291" max="2291" width="8.28515625" style="659" customWidth="1"/>
    <col min="2292" max="2292" width="8.7109375" style="659" customWidth="1"/>
    <col min="2293" max="2293" width="11.42578125" style="659"/>
    <col min="2294" max="2294" width="7.85546875" style="659" customWidth="1"/>
    <col min="2295" max="2297" width="9" style="659" customWidth="1"/>
    <col min="2298" max="2298" width="9.28515625" style="659" customWidth="1"/>
    <col min="2299" max="2299" width="9.85546875" style="659" bestFit="1" customWidth="1"/>
    <col min="2300" max="2300" width="9.28515625" style="659" customWidth="1"/>
    <col min="2301" max="2301" width="9.5703125" style="659" customWidth="1"/>
    <col min="2302" max="2303" width="9.140625" style="659" bestFit="1" customWidth="1"/>
    <col min="2304" max="2304" width="8.5703125" style="659" customWidth="1"/>
    <col min="2305" max="2542" width="11.42578125" style="659"/>
    <col min="2543" max="2543" width="14.7109375" style="659" bestFit="1" customWidth="1"/>
    <col min="2544" max="2544" width="11.42578125" style="659"/>
    <col min="2545" max="2545" width="13.42578125" style="659" bestFit="1" customWidth="1"/>
    <col min="2546" max="2546" width="11.140625" style="659" bestFit="1" customWidth="1"/>
    <col min="2547" max="2547" width="8.28515625" style="659" customWidth="1"/>
    <col min="2548" max="2548" width="8.7109375" style="659" customWidth="1"/>
    <col min="2549" max="2549" width="11.42578125" style="659"/>
    <col min="2550" max="2550" width="7.85546875" style="659" customWidth="1"/>
    <col min="2551" max="2553" width="9" style="659" customWidth="1"/>
    <col min="2554" max="2554" width="9.28515625" style="659" customWidth="1"/>
    <col min="2555" max="2555" width="9.85546875" style="659" bestFit="1" customWidth="1"/>
    <col min="2556" max="2556" width="9.28515625" style="659" customWidth="1"/>
    <col min="2557" max="2557" width="9.5703125" style="659" customWidth="1"/>
    <col min="2558" max="2559" width="9.140625" style="659" bestFit="1" customWidth="1"/>
    <col min="2560" max="2560" width="8.5703125" style="659" customWidth="1"/>
    <col min="2561" max="2798" width="11.42578125" style="659"/>
    <col min="2799" max="2799" width="14.7109375" style="659" bestFit="1" customWidth="1"/>
    <col min="2800" max="2800" width="11.42578125" style="659"/>
    <col min="2801" max="2801" width="13.42578125" style="659" bestFit="1" customWidth="1"/>
    <col min="2802" max="2802" width="11.140625" style="659" bestFit="1" customWidth="1"/>
    <col min="2803" max="2803" width="8.28515625" style="659" customWidth="1"/>
    <col min="2804" max="2804" width="8.7109375" style="659" customWidth="1"/>
    <col min="2805" max="2805" width="11.42578125" style="659"/>
    <col min="2806" max="2806" width="7.85546875" style="659" customWidth="1"/>
    <col min="2807" max="2809" width="9" style="659" customWidth="1"/>
    <col min="2810" max="2810" width="9.28515625" style="659" customWidth="1"/>
    <col min="2811" max="2811" width="9.85546875" style="659" bestFit="1" customWidth="1"/>
    <col min="2812" max="2812" width="9.28515625" style="659" customWidth="1"/>
    <col min="2813" max="2813" width="9.5703125" style="659" customWidth="1"/>
    <col min="2814" max="2815" width="9.140625" style="659" bestFit="1" customWidth="1"/>
    <col min="2816" max="2816" width="8.5703125" style="659" customWidth="1"/>
    <col min="2817" max="3054" width="11.42578125" style="659"/>
    <col min="3055" max="3055" width="14.7109375" style="659" bestFit="1" customWidth="1"/>
    <col min="3056" max="3056" width="11.42578125" style="659"/>
    <col min="3057" max="3057" width="13.42578125" style="659" bestFit="1" customWidth="1"/>
    <col min="3058" max="3058" width="11.140625" style="659" bestFit="1" customWidth="1"/>
    <col min="3059" max="3059" width="8.28515625" style="659" customWidth="1"/>
    <col min="3060" max="3060" width="8.7109375" style="659" customWidth="1"/>
    <col min="3061" max="3061" width="11.42578125" style="659"/>
    <col min="3062" max="3062" width="7.85546875" style="659" customWidth="1"/>
    <col min="3063" max="3065" width="9" style="659" customWidth="1"/>
    <col min="3066" max="3066" width="9.28515625" style="659" customWidth="1"/>
    <col min="3067" max="3067" width="9.85546875" style="659" bestFit="1" customWidth="1"/>
    <col min="3068" max="3068" width="9.28515625" style="659" customWidth="1"/>
    <col min="3069" max="3069" width="9.5703125" style="659" customWidth="1"/>
    <col min="3070" max="3071" width="9.140625" style="659" bestFit="1" customWidth="1"/>
    <col min="3072" max="3072" width="8.5703125" style="659" customWidth="1"/>
    <col min="3073" max="3310" width="11.42578125" style="659"/>
    <col min="3311" max="3311" width="14.7109375" style="659" bestFit="1" customWidth="1"/>
    <col min="3312" max="3312" width="11.42578125" style="659"/>
    <col min="3313" max="3313" width="13.42578125" style="659" bestFit="1" customWidth="1"/>
    <col min="3314" max="3314" width="11.140625" style="659" bestFit="1" customWidth="1"/>
    <col min="3315" max="3315" width="8.28515625" style="659" customWidth="1"/>
    <col min="3316" max="3316" width="8.7109375" style="659" customWidth="1"/>
    <col min="3317" max="3317" width="11.42578125" style="659"/>
    <col min="3318" max="3318" width="7.85546875" style="659" customWidth="1"/>
    <col min="3319" max="3321" width="9" style="659" customWidth="1"/>
    <col min="3322" max="3322" width="9.28515625" style="659" customWidth="1"/>
    <col min="3323" max="3323" width="9.85546875" style="659" bestFit="1" customWidth="1"/>
    <col min="3324" max="3324" width="9.28515625" style="659" customWidth="1"/>
    <col min="3325" max="3325" width="9.5703125" style="659" customWidth="1"/>
    <col min="3326" max="3327" width="9.140625" style="659" bestFit="1" customWidth="1"/>
    <col min="3328" max="3328" width="8.5703125" style="659" customWidth="1"/>
    <col min="3329" max="3566" width="11.42578125" style="659"/>
    <col min="3567" max="3567" width="14.7109375" style="659" bestFit="1" customWidth="1"/>
    <col min="3568" max="3568" width="11.42578125" style="659"/>
    <col min="3569" max="3569" width="13.42578125" style="659" bestFit="1" customWidth="1"/>
    <col min="3570" max="3570" width="11.140625" style="659" bestFit="1" customWidth="1"/>
    <col min="3571" max="3571" width="8.28515625" style="659" customWidth="1"/>
    <col min="3572" max="3572" width="8.7109375" style="659" customWidth="1"/>
    <col min="3573" max="3573" width="11.42578125" style="659"/>
    <col min="3574" max="3574" width="7.85546875" style="659" customWidth="1"/>
    <col min="3575" max="3577" width="9" style="659" customWidth="1"/>
    <col min="3578" max="3578" width="9.28515625" style="659" customWidth="1"/>
    <col min="3579" max="3579" width="9.85546875" style="659" bestFit="1" customWidth="1"/>
    <col min="3580" max="3580" width="9.28515625" style="659" customWidth="1"/>
    <col min="3581" max="3581" width="9.5703125" style="659" customWidth="1"/>
    <col min="3582" max="3583" width="9.140625" style="659" bestFit="1" customWidth="1"/>
    <col min="3584" max="3584" width="8.5703125" style="659" customWidth="1"/>
    <col min="3585" max="3822" width="11.42578125" style="659"/>
    <col min="3823" max="3823" width="14.7109375" style="659" bestFit="1" customWidth="1"/>
    <col min="3824" max="3824" width="11.42578125" style="659"/>
    <col min="3825" max="3825" width="13.42578125" style="659" bestFit="1" customWidth="1"/>
    <col min="3826" max="3826" width="11.140625" style="659" bestFit="1" customWidth="1"/>
    <col min="3827" max="3827" width="8.28515625" style="659" customWidth="1"/>
    <col min="3828" max="3828" width="8.7109375" style="659" customWidth="1"/>
    <col min="3829" max="3829" width="11.42578125" style="659"/>
    <col min="3830" max="3830" width="7.85546875" style="659" customWidth="1"/>
    <col min="3831" max="3833" width="9" style="659" customWidth="1"/>
    <col min="3834" max="3834" width="9.28515625" style="659" customWidth="1"/>
    <col min="3835" max="3835" width="9.85546875" style="659" bestFit="1" customWidth="1"/>
    <col min="3836" max="3836" width="9.28515625" style="659" customWidth="1"/>
    <col min="3837" max="3837" width="9.5703125" style="659" customWidth="1"/>
    <col min="3838" max="3839" width="9.140625" style="659" bestFit="1" customWidth="1"/>
    <col min="3840" max="3840" width="8.5703125" style="659" customWidth="1"/>
    <col min="3841" max="4078" width="11.42578125" style="659"/>
    <col min="4079" max="4079" width="14.7109375" style="659" bestFit="1" customWidth="1"/>
    <col min="4080" max="4080" width="11.42578125" style="659"/>
    <col min="4081" max="4081" width="13.42578125" style="659" bestFit="1" customWidth="1"/>
    <col min="4082" max="4082" width="11.140625" style="659" bestFit="1" customWidth="1"/>
    <col min="4083" max="4083" width="8.28515625" style="659" customWidth="1"/>
    <col min="4084" max="4084" width="8.7109375" style="659" customWidth="1"/>
    <col min="4085" max="4085" width="11.42578125" style="659"/>
    <col min="4086" max="4086" width="7.85546875" style="659" customWidth="1"/>
    <col min="4087" max="4089" width="9" style="659" customWidth="1"/>
    <col min="4090" max="4090" width="9.28515625" style="659" customWidth="1"/>
    <col min="4091" max="4091" width="9.85546875" style="659" bestFit="1" customWidth="1"/>
    <col min="4092" max="4092" width="9.28515625" style="659" customWidth="1"/>
    <col min="4093" max="4093" width="9.5703125" style="659" customWidth="1"/>
    <col min="4094" max="4095" width="9.140625" style="659" bestFit="1" customWidth="1"/>
    <col min="4096" max="4096" width="8.5703125" style="659" customWidth="1"/>
    <col min="4097" max="4334" width="11.42578125" style="659"/>
    <col min="4335" max="4335" width="14.7109375" style="659" bestFit="1" customWidth="1"/>
    <col min="4336" max="4336" width="11.42578125" style="659"/>
    <col min="4337" max="4337" width="13.42578125" style="659" bestFit="1" customWidth="1"/>
    <col min="4338" max="4338" width="11.140625" style="659" bestFit="1" customWidth="1"/>
    <col min="4339" max="4339" width="8.28515625" style="659" customWidth="1"/>
    <col min="4340" max="4340" width="8.7109375" style="659" customWidth="1"/>
    <col min="4341" max="4341" width="11.42578125" style="659"/>
    <col min="4342" max="4342" width="7.85546875" style="659" customWidth="1"/>
    <col min="4343" max="4345" width="9" style="659" customWidth="1"/>
    <col min="4346" max="4346" width="9.28515625" style="659" customWidth="1"/>
    <col min="4347" max="4347" width="9.85546875" style="659" bestFit="1" customWidth="1"/>
    <col min="4348" max="4348" width="9.28515625" style="659" customWidth="1"/>
    <col min="4349" max="4349" width="9.5703125" style="659" customWidth="1"/>
    <col min="4350" max="4351" width="9.140625" style="659" bestFit="1" customWidth="1"/>
    <col min="4352" max="4352" width="8.5703125" style="659" customWidth="1"/>
    <col min="4353" max="4590" width="11.42578125" style="659"/>
    <col min="4591" max="4591" width="14.7109375" style="659" bestFit="1" customWidth="1"/>
    <col min="4592" max="4592" width="11.42578125" style="659"/>
    <col min="4593" max="4593" width="13.42578125" style="659" bestFit="1" customWidth="1"/>
    <col min="4594" max="4594" width="11.140625" style="659" bestFit="1" customWidth="1"/>
    <col min="4595" max="4595" width="8.28515625" style="659" customWidth="1"/>
    <col min="4596" max="4596" width="8.7109375" style="659" customWidth="1"/>
    <col min="4597" max="4597" width="11.42578125" style="659"/>
    <col min="4598" max="4598" width="7.85546875" style="659" customWidth="1"/>
    <col min="4599" max="4601" width="9" style="659" customWidth="1"/>
    <col min="4602" max="4602" width="9.28515625" style="659" customWidth="1"/>
    <col min="4603" max="4603" width="9.85546875" style="659" bestFit="1" customWidth="1"/>
    <col min="4604" max="4604" width="9.28515625" style="659" customWidth="1"/>
    <col min="4605" max="4605" width="9.5703125" style="659" customWidth="1"/>
    <col min="4606" max="4607" width="9.140625" style="659" bestFit="1" customWidth="1"/>
    <col min="4608" max="4608" width="8.5703125" style="659" customWidth="1"/>
    <col min="4609" max="4846" width="11.42578125" style="659"/>
    <col min="4847" max="4847" width="14.7109375" style="659" bestFit="1" customWidth="1"/>
    <col min="4848" max="4848" width="11.42578125" style="659"/>
    <col min="4849" max="4849" width="13.42578125" style="659" bestFit="1" customWidth="1"/>
    <col min="4850" max="4850" width="11.140625" style="659" bestFit="1" customWidth="1"/>
    <col min="4851" max="4851" width="8.28515625" style="659" customWidth="1"/>
    <col min="4852" max="4852" width="8.7109375" style="659" customWidth="1"/>
    <col min="4853" max="4853" width="11.42578125" style="659"/>
    <col min="4854" max="4854" width="7.85546875" style="659" customWidth="1"/>
    <col min="4855" max="4857" width="9" style="659" customWidth="1"/>
    <col min="4858" max="4858" width="9.28515625" style="659" customWidth="1"/>
    <col min="4859" max="4859" width="9.85546875" style="659" bestFit="1" customWidth="1"/>
    <col min="4860" max="4860" width="9.28515625" style="659" customWidth="1"/>
    <col min="4861" max="4861" width="9.5703125" style="659" customWidth="1"/>
    <col min="4862" max="4863" width="9.140625" style="659" bestFit="1" customWidth="1"/>
    <col min="4864" max="4864" width="8.5703125" style="659" customWidth="1"/>
    <col min="4865" max="5102" width="11.42578125" style="659"/>
    <col min="5103" max="5103" width="14.7109375" style="659" bestFit="1" customWidth="1"/>
    <col min="5104" max="5104" width="11.42578125" style="659"/>
    <col min="5105" max="5105" width="13.42578125" style="659" bestFit="1" customWidth="1"/>
    <col min="5106" max="5106" width="11.140625" style="659" bestFit="1" customWidth="1"/>
    <col min="5107" max="5107" width="8.28515625" style="659" customWidth="1"/>
    <col min="5108" max="5108" width="8.7109375" style="659" customWidth="1"/>
    <col min="5109" max="5109" width="11.42578125" style="659"/>
    <col min="5110" max="5110" width="7.85546875" style="659" customWidth="1"/>
    <col min="5111" max="5113" width="9" style="659" customWidth="1"/>
    <col min="5114" max="5114" width="9.28515625" style="659" customWidth="1"/>
    <col min="5115" max="5115" width="9.85546875" style="659" bestFit="1" customWidth="1"/>
    <col min="5116" max="5116" width="9.28515625" style="659" customWidth="1"/>
    <col min="5117" max="5117" width="9.5703125" style="659" customWidth="1"/>
    <col min="5118" max="5119" width="9.140625" style="659" bestFit="1" customWidth="1"/>
    <col min="5120" max="5120" width="8.5703125" style="659" customWidth="1"/>
    <col min="5121" max="5358" width="11.42578125" style="659"/>
    <col min="5359" max="5359" width="14.7109375" style="659" bestFit="1" customWidth="1"/>
    <col min="5360" max="5360" width="11.42578125" style="659"/>
    <col min="5361" max="5361" width="13.42578125" style="659" bestFit="1" customWidth="1"/>
    <col min="5362" max="5362" width="11.140625" style="659" bestFit="1" customWidth="1"/>
    <col min="5363" max="5363" width="8.28515625" style="659" customWidth="1"/>
    <col min="5364" max="5364" width="8.7109375" style="659" customWidth="1"/>
    <col min="5365" max="5365" width="11.42578125" style="659"/>
    <col min="5366" max="5366" width="7.85546875" style="659" customWidth="1"/>
    <col min="5367" max="5369" width="9" style="659" customWidth="1"/>
    <col min="5370" max="5370" width="9.28515625" style="659" customWidth="1"/>
    <col min="5371" max="5371" width="9.85546875" style="659" bestFit="1" customWidth="1"/>
    <col min="5372" max="5372" width="9.28515625" style="659" customWidth="1"/>
    <col min="5373" max="5373" width="9.5703125" style="659" customWidth="1"/>
    <col min="5374" max="5375" width="9.140625" style="659" bestFit="1" customWidth="1"/>
    <col min="5376" max="5376" width="8.5703125" style="659" customWidth="1"/>
    <col min="5377" max="5614" width="11.42578125" style="659"/>
    <col min="5615" max="5615" width="14.7109375" style="659" bestFit="1" customWidth="1"/>
    <col min="5616" max="5616" width="11.42578125" style="659"/>
    <col min="5617" max="5617" width="13.42578125" style="659" bestFit="1" customWidth="1"/>
    <col min="5618" max="5618" width="11.140625" style="659" bestFit="1" customWidth="1"/>
    <col min="5619" max="5619" width="8.28515625" style="659" customWidth="1"/>
    <col min="5620" max="5620" width="8.7109375" style="659" customWidth="1"/>
    <col min="5621" max="5621" width="11.42578125" style="659"/>
    <col min="5622" max="5622" width="7.85546875" style="659" customWidth="1"/>
    <col min="5623" max="5625" width="9" style="659" customWidth="1"/>
    <col min="5626" max="5626" width="9.28515625" style="659" customWidth="1"/>
    <col min="5627" max="5627" width="9.85546875" style="659" bestFit="1" customWidth="1"/>
    <col min="5628" max="5628" width="9.28515625" style="659" customWidth="1"/>
    <col min="5629" max="5629" width="9.5703125" style="659" customWidth="1"/>
    <col min="5630" max="5631" width="9.140625" style="659" bestFit="1" customWidth="1"/>
    <col min="5632" max="5632" width="8.5703125" style="659" customWidth="1"/>
    <col min="5633" max="5870" width="11.42578125" style="659"/>
    <col min="5871" max="5871" width="14.7109375" style="659" bestFit="1" customWidth="1"/>
    <col min="5872" max="5872" width="11.42578125" style="659"/>
    <col min="5873" max="5873" width="13.42578125" style="659" bestFit="1" customWidth="1"/>
    <col min="5874" max="5874" width="11.140625" style="659" bestFit="1" customWidth="1"/>
    <col min="5875" max="5875" width="8.28515625" style="659" customWidth="1"/>
    <col min="5876" max="5876" width="8.7109375" style="659" customWidth="1"/>
    <col min="5877" max="5877" width="11.42578125" style="659"/>
    <col min="5878" max="5878" width="7.85546875" style="659" customWidth="1"/>
    <col min="5879" max="5881" width="9" style="659" customWidth="1"/>
    <col min="5882" max="5882" width="9.28515625" style="659" customWidth="1"/>
    <col min="5883" max="5883" width="9.85546875" style="659" bestFit="1" customWidth="1"/>
    <col min="5884" max="5884" width="9.28515625" style="659" customWidth="1"/>
    <col min="5885" max="5885" width="9.5703125" style="659" customWidth="1"/>
    <col min="5886" max="5887" width="9.140625" style="659" bestFit="1" customWidth="1"/>
    <col min="5888" max="5888" width="8.5703125" style="659" customWidth="1"/>
    <col min="5889" max="6126" width="11.42578125" style="659"/>
    <col min="6127" max="6127" width="14.7109375" style="659" bestFit="1" customWidth="1"/>
    <col min="6128" max="6128" width="11.42578125" style="659"/>
    <col min="6129" max="6129" width="13.42578125" style="659" bestFit="1" customWidth="1"/>
    <col min="6130" max="6130" width="11.140625" style="659" bestFit="1" customWidth="1"/>
    <col min="6131" max="6131" width="8.28515625" style="659" customWidth="1"/>
    <col min="6132" max="6132" width="8.7109375" style="659" customWidth="1"/>
    <col min="6133" max="6133" width="11.42578125" style="659"/>
    <col min="6134" max="6134" width="7.85546875" style="659" customWidth="1"/>
    <col min="6135" max="6137" width="9" style="659" customWidth="1"/>
    <col min="6138" max="6138" width="9.28515625" style="659" customWidth="1"/>
    <col min="6139" max="6139" width="9.85546875" style="659" bestFit="1" customWidth="1"/>
    <col min="6140" max="6140" width="9.28515625" style="659" customWidth="1"/>
    <col min="6141" max="6141" width="9.5703125" style="659" customWidth="1"/>
    <col min="6142" max="6143" width="9.140625" style="659" bestFit="1" customWidth="1"/>
    <col min="6144" max="6144" width="8.5703125" style="659" customWidth="1"/>
    <col min="6145" max="6382" width="11.42578125" style="659"/>
    <col min="6383" max="6383" width="14.7109375" style="659" bestFit="1" customWidth="1"/>
    <col min="6384" max="6384" width="11.42578125" style="659"/>
    <col min="6385" max="6385" width="13.42578125" style="659" bestFit="1" customWidth="1"/>
    <col min="6386" max="6386" width="11.140625" style="659" bestFit="1" customWidth="1"/>
    <col min="6387" max="6387" width="8.28515625" style="659" customWidth="1"/>
    <col min="6388" max="6388" width="8.7109375" style="659" customWidth="1"/>
    <col min="6389" max="6389" width="11.42578125" style="659"/>
    <col min="6390" max="6390" width="7.85546875" style="659" customWidth="1"/>
    <col min="6391" max="6393" width="9" style="659" customWidth="1"/>
    <col min="6394" max="6394" width="9.28515625" style="659" customWidth="1"/>
    <col min="6395" max="6395" width="9.85546875" style="659" bestFit="1" customWidth="1"/>
    <col min="6396" max="6396" width="9.28515625" style="659" customWidth="1"/>
    <col min="6397" max="6397" width="9.5703125" style="659" customWidth="1"/>
    <col min="6398" max="6399" width="9.140625" style="659" bestFit="1" customWidth="1"/>
    <col min="6400" max="6400" width="8.5703125" style="659" customWidth="1"/>
    <col min="6401" max="6638" width="11.42578125" style="659"/>
    <col min="6639" max="6639" width="14.7109375" style="659" bestFit="1" customWidth="1"/>
    <col min="6640" max="6640" width="11.42578125" style="659"/>
    <col min="6641" max="6641" width="13.42578125" style="659" bestFit="1" customWidth="1"/>
    <col min="6642" max="6642" width="11.140625" style="659" bestFit="1" customWidth="1"/>
    <col min="6643" max="6643" width="8.28515625" style="659" customWidth="1"/>
    <col min="6644" max="6644" width="8.7109375" style="659" customWidth="1"/>
    <col min="6645" max="6645" width="11.42578125" style="659"/>
    <col min="6646" max="6646" width="7.85546875" style="659" customWidth="1"/>
    <col min="6647" max="6649" width="9" style="659" customWidth="1"/>
    <col min="6650" max="6650" width="9.28515625" style="659" customWidth="1"/>
    <col min="6651" max="6651" width="9.85546875" style="659" bestFit="1" customWidth="1"/>
    <col min="6652" max="6652" width="9.28515625" style="659" customWidth="1"/>
    <col min="6653" max="6653" width="9.5703125" style="659" customWidth="1"/>
    <col min="6654" max="6655" width="9.140625" style="659" bestFit="1" customWidth="1"/>
    <col min="6656" max="6656" width="8.5703125" style="659" customWidth="1"/>
    <col min="6657" max="6894" width="11.42578125" style="659"/>
    <col min="6895" max="6895" width="14.7109375" style="659" bestFit="1" customWidth="1"/>
    <col min="6896" max="6896" width="11.42578125" style="659"/>
    <col min="6897" max="6897" width="13.42578125" style="659" bestFit="1" customWidth="1"/>
    <col min="6898" max="6898" width="11.140625" style="659" bestFit="1" customWidth="1"/>
    <col min="6899" max="6899" width="8.28515625" style="659" customWidth="1"/>
    <col min="6900" max="6900" width="8.7109375" style="659" customWidth="1"/>
    <col min="6901" max="6901" width="11.42578125" style="659"/>
    <col min="6902" max="6902" width="7.85546875" style="659" customWidth="1"/>
    <col min="6903" max="6905" width="9" style="659" customWidth="1"/>
    <col min="6906" max="6906" width="9.28515625" style="659" customWidth="1"/>
    <col min="6907" max="6907" width="9.85546875" style="659" bestFit="1" customWidth="1"/>
    <col min="6908" max="6908" width="9.28515625" style="659" customWidth="1"/>
    <col min="6909" max="6909" width="9.5703125" style="659" customWidth="1"/>
    <col min="6910" max="6911" width="9.140625" style="659" bestFit="1" customWidth="1"/>
    <col min="6912" max="6912" width="8.5703125" style="659" customWidth="1"/>
    <col min="6913" max="7150" width="11.42578125" style="659"/>
    <col min="7151" max="7151" width="14.7109375" style="659" bestFit="1" customWidth="1"/>
    <col min="7152" max="7152" width="11.42578125" style="659"/>
    <col min="7153" max="7153" width="13.42578125" style="659" bestFit="1" customWidth="1"/>
    <col min="7154" max="7154" width="11.140625" style="659" bestFit="1" customWidth="1"/>
    <col min="7155" max="7155" width="8.28515625" style="659" customWidth="1"/>
    <col min="7156" max="7156" width="8.7109375" style="659" customWidth="1"/>
    <col min="7157" max="7157" width="11.42578125" style="659"/>
    <col min="7158" max="7158" width="7.85546875" style="659" customWidth="1"/>
    <col min="7159" max="7161" width="9" style="659" customWidth="1"/>
    <col min="7162" max="7162" width="9.28515625" style="659" customWidth="1"/>
    <col min="7163" max="7163" width="9.85546875" style="659" bestFit="1" customWidth="1"/>
    <col min="7164" max="7164" width="9.28515625" style="659" customWidth="1"/>
    <col min="7165" max="7165" width="9.5703125" style="659" customWidth="1"/>
    <col min="7166" max="7167" width="9.140625" style="659" bestFit="1" customWidth="1"/>
    <col min="7168" max="7168" width="8.5703125" style="659" customWidth="1"/>
    <col min="7169" max="7406" width="11.42578125" style="659"/>
    <col min="7407" max="7407" width="14.7109375" style="659" bestFit="1" customWidth="1"/>
    <col min="7408" max="7408" width="11.42578125" style="659"/>
    <col min="7409" max="7409" width="13.42578125" style="659" bestFit="1" customWidth="1"/>
    <col min="7410" max="7410" width="11.140625" style="659" bestFit="1" customWidth="1"/>
    <col min="7411" max="7411" width="8.28515625" style="659" customWidth="1"/>
    <col min="7412" max="7412" width="8.7109375" style="659" customWidth="1"/>
    <col min="7413" max="7413" width="11.42578125" style="659"/>
    <col min="7414" max="7414" width="7.85546875" style="659" customWidth="1"/>
    <col min="7415" max="7417" width="9" style="659" customWidth="1"/>
    <col min="7418" max="7418" width="9.28515625" style="659" customWidth="1"/>
    <col min="7419" max="7419" width="9.85546875" style="659" bestFit="1" customWidth="1"/>
    <col min="7420" max="7420" width="9.28515625" style="659" customWidth="1"/>
    <col min="7421" max="7421" width="9.5703125" style="659" customWidth="1"/>
    <col min="7422" max="7423" width="9.140625" style="659" bestFit="1" customWidth="1"/>
    <col min="7424" max="7424" width="8.5703125" style="659" customWidth="1"/>
    <col min="7425" max="7662" width="11.42578125" style="659"/>
    <col min="7663" max="7663" width="14.7109375" style="659" bestFit="1" customWidth="1"/>
    <col min="7664" max="7664" width="11.42578125" style="659"/>
    <col min="7665" max="7665" width="13.42578125" style="659" bestFit="1" customWidth="1"/>
    <col min="7666" max="7666" width="11.140625" style="659" bestFit="1" customWidth="1"/>
    <col min="7667" max="7667" width="8.28515625" style="659" customWidth="1"/>
    <col min="7668" max="7668" width="8.7109375" style="659" customWidth="1"/>
    <col min="7669" max="7669" width="11.42578125" style="659"/>
    <col min="7670" max="7670" width="7.85546875" style="659" customWidth="1"/>
    <col min="7671" max="7673" width="9" style="659" customWidth="1"/>
    <col min="7674" max="7674" width="9.28515625" style="659" customWidth="1"/>
    <col min="7675" max="7675" width="9.85546875" style="659" bestFit="1" customWidth="1"/>
    <col min="7676" max="7676" width="9.28515625" style="659" customWidth="1"/>
    <col min="7677" max="7677" width="9.5703125" style="659" customWidth="1"/>
    <col min="7678" max="7679" width="9.140625" style="659" bestFit="1" customWidth="1"/>
    <col min="7680" max="7680" width="8.5703125" style="659" customWidth="1"/>
    <col min="7681" max="7918" width="11.42578125" style="659"/>
    <col min="7919" max="7919" width="14.7109375" style="659" bestFit="1" customWidth="1"/>
    <col min="7920" max="7920" width="11.42578125" style="659"/>
    <col min="7921" max="7921" width="13.42578125" style="659" bestFit="1" customWidth="1"/>
    <col min="7922" max="7922" width="11.140625" style="659" bestFit="1" customWidth="1"/>
    <col min="7923" max="7923" width="8.28515625" style="659" customWidth="1"/>
    <col min="7924" max="7924" width="8.7109375" style="659" customWidth="1"/>
    <col min="7925" max="7925" width="11.42578125" style="659"/>
    <col min="7926" max="7926" width="7.85546875" style="659" customWidth="1"/>
    <col min="7927" max="7929" width="9" style="659" customWidth="1"/>
    <col min="7930" max="7930" width="9.28515625" style="659" customWidth="1"/>
    <col min="7931" max="7931" width="9.85546875" style="659" bestFit="1" customWidth="1"/>
    <col min="7932" max="7932" width="9.28515625" style="659" customWidth="1"/>
    <col min="7933" max="7933" width="9.5703125" style="659" customWidth="1"/>
    <col min="7934" max="7935" width="9.140625" style="659" bestFit="1" customWidth="1"/>
    <col min="7936" max="7936" width="8.5703125" style="659" customWidth="1"/>
    <col min="7937" max="8174" width="11.42578125" style="659"/>
    <col min="8175" max="8175" width="14.7109375" style="659" bestFit="1" customWidth="1"/>
    <col min="8176" max="8176" width="11.42578125" style="659"/>
    <col min="8177" max="8177" width="13.42578125" style="659" bestFit="1" customWidth="1"/>
    <col min="8178" max="8178" width="11.140625" style="659" bestFit="1" customWidth="1"/>
    <col min="8179" max="8179" width="8.28515625" style="659" customWidth="1"/>
    <col min="8180" max="8180" width="8.7109375" style="659" customWidth="1"/>
    <col min="8181" max="8181" width="11.42578125" style="659"/>
    <col min="8182" max="8182" width="7.85546875" style="659" customWidth="1"/>
    <col min="8183" max="8185" width="9" style="659" customWidth="1"/>
    <col min="8186" max="8186" width="9.28515625" style="659" customWidth="1"/>
    <col min="8187" max="8187" width="9.85546875" style="659" bestFit="1" customWidth="1"/>
    <col min="8188" max="8188" width="9.28515625" style="659" customWidth="1"/>
    <col min="8189" max="8189" width="9.5703125" style="659" customWidth="1"/>
    <col min="8190" max="8191" width="9.140625" style="659" bestFit="1" customWidth="1"/>
    <col min="8192" max="8192" width="8.5703125" style="659" customWidth="1"/>
    <col min="8193" max="8430" width="11.42578125" style="659"/>
    <col min="8431" max="8431" width="14.7109375" style="659" bestFit="1" customWidth="1"/>
    <col min="8432" max="8432" width="11.42578125" style="659"/>
    <col min="8433" max="8433" width="13.42578125" style="659" bestFit="1" customWidth="1"/>
    <col min="8434" max="8434" width="11.140625" style="659" bestFit="1" customWidth="1"/>
    <col min="8435" max="8435" width="8.28515625" style="659" customWidth="1"/>
    <col min="8436" max="8436" width="8.7109375" style="659" customWidth="1"/>
    <col min="8437" max="8437" width="11.42578125" style="659"/>
    <col min="8438" max="8438" width="7.85546875" style="659" customWidth="1"/>
    <col min="8439" max="8441" width="9" style="659" customWidth="1"/>
    <col min="8442" max="8442" width="9.28515625" style="659" customWidth="1"/>
    <col min="8443" max="8443" width="9.85546875" style="659" bestFit="1" customWidth="1"/>
    <col min="8444" max="8444" width="9.28515625" style="659" customWidth="1"/>
    <col min="8445" max="8445" width="9.5703125" style="659" customWidth="1"/>
    <col min="8446" max="8447" width="9.140625" style="659" bestFit="1" customWidth="1"/>
    <col min="8448" max="8448" width="8.5703125" style="659" customWidth="1"/>
    <col min="8449" max="8686" width="11.42578125" style="659"/>
    <col min="8687" max="8687" width="14.7109375" style="659" bestFit="1" customWidth="1"/>
    <col min="8688" max="8688" width="11.42578125" style="659"/>
    <col min="8689" max="8689" width="13.42578125" style="659" bestFit="1" customWidth="1"/>
    <col min="8690" max="8690" width="11.140625" style="659" bestFit="1" customWidth="1"/>
    <col min="8691" max="8691" width="8.28515625" style="659" customWidth="1"/>
    <col min="8692" max="8692" width="8.7109375" style="659" customWidth="1"/>
    <col min="8693" max="8693" width="11.42578125" style="659"/>
    <col min="8694" max="8694" width="7.85546875" style="659" customWidth="1"/>
    <col min="8695" max="8697" width="9" style="659" customWidth="1"/>
    <col min="8698" max="8698" width="9.28515625" style="659" customWidth="1"/>
    <col min="8699" max="8699" width="9.85546875" style="659" bestFit="1" customWidth="1"/>
    <col min="8700" max="8700" width="9.28515625" style="659" customWidth="1"/>
    <col min="8701" max="8701" width="9.5703125" style="659" customWidth="1"/>
    <col min="8702" max="8703" width="9.140625" style="659" bestFit="1" customWidth="1"/>
    <col min="8704" max="8704" width="8.5703125" style="659" customWidth="1"/>
    <col min="8705" max="8942" width="11.42578125" style="659"/>
    <col min="8943" max="8943" width="14.7109375" style="659" bestFit="1" customWidth="1"/>
    <col min="8944" max="8944" width="11.42578125" style="659"/>
    <col min="8945" max="8945" width="13.42578125" style="659" bestFit="1" customWidth="1"/>
    <col min="8946" max="8946" width="11.140625" style="659" bestFit="1" customWidth="1"/>
    <col min="8947" max="8947" width="8.28515625" style="659" customWidth="1"/>
    <col min="8948" max="8948" width="8.7109375" style="659" customWidth="1"/>
    <col min="8949" max="8949" width="11.42578125" style="659"/>
    <col min="8950" max="8950" width="7.85546875" style="659" customWidth="1"/>
    <col min="8951" max="8953" width="9" style="659" customWidth="1"/>
    <col min="8954" max="8954" width="9.28515625" style="659" customWidth="1"/>
    <col min="8955" max="8955" width="9.85546875" style="659" bestFit="1" customWidth="1"/>
    <col min="8956" max="8956" width="9.28515625" style="659" customWidth="1"/>
    <col min="8957" max="8957" width="9.5703125" style="659" customWidth="1"/>
    <col min="8958" max="8959" width="9.140625" style="659" bestFit="1" customWidth="1"/>
    <col min="8960" max="8960" width="8.5703125" style="659" customWidth="1"/>
    <col min="8961" max="9198" width="11.42578125" style="659"/>
    <col min="9199" max="9199" width="14.7109375" style="659" bestFit="1" customWidth="1"/>
    <col min="9200" max="9200" width="11.42578125" style="659"/>
    <col min="9201" max="9201" width="13.42578125" style="659" bestFit="1" customWidth="1"/>
    <col min="9202" max="9202" width="11.140625" style="659" bestFit="1" customWidth="1"/>
    <col min="9203" max="9203" width="8.28515625" style="659" customWidth="1"/>
    <col min="9204" max="9204" width="8.7109375" style="659" customWidth="1"/>
    <col min="9205" max="9205" width="11.42578125" style="659"/>
    <col min="9206" max="9206" width="7.85546875" style="659" customWidth="1"/>
    <col min="9207" max="9209" width="9" style="659" customWidth="1"/>
    <col min="9210" max="9210" width="9.28515625" style="659" customWidth="1"/>
    <col min="9211" max="9211" width="9.85546875" style="659" bestFit="1" customWidth="1"/>
    <col min="9212" max="9212" width="9.28515625" style="659" customWidth="1"/>
    <col min="9213" max="9213" width="9.5703125" style="659" customWidth="1"/>
    <col min="9214" max="9215" width="9.140625" style="659" bestFit="1" customWidth="1"/>
    <col min="9216" max="9216" width="8.5703125" style="659" customWidth="1"/>
    <col min="9217" max="9454" width="11.42578125" style="659"/>
    <col min="9455" max="9455" width="14.7109375" style="659" bestFit="1" customWidth="1"/>
    <col min="9456" max="9456" width="11.42578125" style="659"/>
    <col min="9457" max="9457" width="13.42578125" style="659" bestFit="1" customWidth="1"/>
    <col min="9458" max="9458" width="11.140625" style="659" bestFit="1" customWidth="1"/>
    <col min="9459" max="9459" width="8.28515625" style="659" customWidth="1"/>
    <col min="9460" max="9460" width="8.7109375" style="659" customWidth="1"/>
    <col min="9461" max="9461" width="11.42578125" style="659"/>
    <col min="9462" max="9462" width="7.85546875" style="659" customWidth="1"/>
    <col min="9463" max="9465" width="9" style="659" customWidth="1"/>
    <col min="9466" max="9466" width="9.28515625" style="659" customWidth="1"/>
    <col min="9467" max="9467" width="9.85546875" style="659" bestFit="1" customWidth="1"/>
    <col min="9468" max="9468" width="9.28515625" style="659" customWidth="1"/>
    <col min="9469" max="9469" width="9.5703125" style="659" customWidth="1"/>
    <col min="9470" max="9471" width="9.140625" style="659" bestFit="1" customWidth="1"/>
    <col min="9472" max="9472" width="8.5703125" style="659" customWidth="1"/>
    <col min="9473" max="9710" width="11.42578125" style="659"/>
    <col min="9711" max="9711" width="14.7109375" style="659" bestFit="1" customWidth="1"/>
    <col min="9712" max="9712" width="11.42578125" style="659"/>
    <col min="9713" max="9713" width="13.42578125" style="659" bestFit="1" customWidth="1"/>
    <col min="9714" max="9714" width="11.140625" style="659" bestFit="1" customWidth="1"/>
    <col min="9715" max="9715" width="8.28515625" style="659" customWidth="1"/>
    <col min="9716" max="9716" width="8.7109375" style="659" customWidth="1"/>
    <col min="9717" max="9717" width="11.42578125" style="659"/>
    <col min="9718" max="9718" width="7.85546875" style="659" customWidth="1"/>
    <col min="9719" max="9721" width="9" style="659" customWidth="1"/>
    <col min="9722" max="9722" width="9.28515625" style="659" customWidth="1"/>
    <col min="9723" max="9723" width="9.85546875" style="659" bestFit="1" customWidth="1"/>
    <col min="9724" max="9724" width="9.28515625" style="659" customWidth="1"/>
    <col min="9725" max="9725" width="9.5703125" style="659" customWidth="1"/>
    <col min="9726" max="9727" width="9.140625" style="659" bestFit="1" customWidth="1"/>
    <col min="9728" max="9728" width="8.5703125" style="659" customWidth="1"/>
    <col min="9729" max="9966" width="11.42578125" style="659"/>
    <col min="9967" max="9967" width="14.7109375" style="659" bestFit="1" customWidth="1"/>
    <col min="9968" max="9968" width="11.42578125" style="659"/>
    <col min="9969" max="9969" width="13.42578125" style="659" bestFit="1" customWidth="1"/>
    <col min="9970" max="9970" width="11.140625" style="659" bestFit="1" customWidth="1"/>
    <col min="9971" max="9971" width="8.28515625" style="659" customWidth="1"/>
    <col min="9972" max="9972" width="8.7109375" style="659" customWidth="1"/>
    <col min="9973" max="9973" width="11.42578125" style="659"/>
    <col min="9974" max="9974" width="7.85546875" style="659" customWidth="1"/>
    <col min="9975" max="9977" width="9" style="659" customWidth="1"/>
    <col min="9978" max="9978" width="9.28515625" style="659" customWidth="1"/>
    <col min="9979" max="9979" width="9.85546875" style="659" bestFit="1" customWidth="1"/>
    <col min="9980" max="9980" width="9.28515625" style="659" customWidth="1"/>
    <col min="9981" max="9981" width="9.5703125" style="659" customWidth="1"/>
    <col min="9982" max="9983" width="9.140625" style="659" bestFit="1" customWidth="1"/>
    <col min="9984" max="9984" width="8.5703125" style="659" customWidth="1"/>
    <col min="9985" max="10222" width="11.42578125" style="659"/>
    <col min="10223" max="10223" width="14.7109375" style="659" bestFit="1" customWidth="1"/>
    <col min="10224" max="10224" width="11.42578125" style="659"/>
    <col min="10225" max="10225" width="13.42578125" style="659" bestFit="1" customWidth="1"/>
    <col min="10226" max="10226" width="11.140625" style="659" bestFit="1" customWidth="1"/>
    <col min="10227" max="10227" width="8.28515625" style="659" customWidth="1"/>
    <col min="10228" max="10228" width="8.7109375" style="659" customWidth="1"/>
    <col min="10229" max="10229" width="11.42578125" style="659"/>
    <col min="10230" max="10230" width="7.85546875" style="659" customWidth="1"/>
    <col min="10231" max="10233" width="9" style="659" customWidth="1"/>
    <col min="10234" max="10234" width="9.28515625" style="659" customWidth="1"/>
    <col min="10235" max="10235" width="9.85546875" style="659" bestFit="1" customWidth="1"/>
    <col min="10236" max="10236" width="9.28515625" style="659" customWidth="1"/>
    <col min="10237" max="10237" width="9.5703125" style="659" customWidth="1"/>
    <col min="10238" max="10239" width="9.140625" style="659" bestFit="1" customWidth="1"/>
    <col min="10240" max="10240" width="8.5703125" style="659" customWidth="1"/>
    <col min="10241" max="10478" width="11.42578125" style="659"/>
    <col min="10479" max="10479" width="14.7109375" style="659" bestFit="1" customWidth="1"/>
    <col min="10480" max="10480" width="11.42578125" style="659"/>
    <col min="10481" max="10481" width="13.42578125" style="659" bestFit="1" customWidth="1"/>
    <col min="10482" max="10482" width="11.140625" style="659" bestFit="1" customWidth="1"/>
    <col min="10483" max="10483" width="8.28515625" style="659" customWidth="1"/>
    <col min="10484" max="10484" width="8.7109375" style="659" customWidth="1"/>
    <col min="10485" max="10485" width="11.42578125" style="659"/>
    <col min="10486" max="10486" width="7.85546875" style="659" customWidth="1"/>
    <col min="10487" max="10489" width="9" style="659" customWidth="1"/>
    <col min="10490" max="10490" width="9.28515625" style="659" customWidth="1"/>
    <col min="10491" max="10491" width="9.85546875" style="659" bestFit="1" customWidth="1"/>
    <col min="10492" max="10492" width="9.28515625" style="659" customWidth="1"/>
    <col min="10493" max="10493" width="9.5703125" style="659" customWidth="1"/>
    <col min="10494" max="10495" width="9.140625" style="659" bestFit="1" customWidth="1"/>
    <col min="10496" max="10496" width="8.5703125" style="659" customWidth="1"/>
    <col min="10497" max="10734" width="11.42578125" style="659"/>
    <col min="10735" max="10735" width="14.7109375" style="659" bestFit="1" customWidth="1"/>
    <col min="10736" max="10736" width="11.42578125" style="659"/>
    <col min="10737" max="10737" width="13.42578125" style="659" bestFit="1" customWidth="1"/>
    <col min="10738" max="10738" width="11.140625" style="659" bestFit="1" customWidth="1"/>
    <col min="10739" max="10739" width="8.28515625" style="659" customWidth="1"/>
    <col min="10740" max="10740" width="8.7109375" style="659" customWidth="1"/>
    <col min="10741" max="10741" width="11.42578125" style="659"/>
    <col min="10742" max="10742" width="7.85546875" style="659" customWidth="1"/>
    <col min="10743" max="10745" width="9" style="659" customWidth="1"/>
    <col min="10746" max="10746" width="9.28515625" style="659" customWidth="1"/>
    <col min="10747" max="10747" width="9.85546875" style="659" bestFit="1" customWidth="1"/>
    <col min="10748" max="10748" width="9.28515625" style="659" customWidth="1"/>
    <col min="10749" max="10749" width="9.5703125" style="659" customWidth="1"/>
    <col min="10750" max="10751" width="9.140625" style="659" bestFit="1" customWidth="1"/>
    <col min="10752" max="10752" width="8.5703125" style="659" customWidth="1"/>
    <col min="10753" max="10990" width="11.42578125" style="659"/>
    <col min="10991" max="10991" width="14.7109375" style="659" bestFit="1" customWidth="1"/>
    <col min="10992" max="10992" width="11.42578125" style="659"/>
    <col min="10993" max="10993" width="13.42578125" style="659" bestFit="1" customWidth="1"/>
    <col min="10994" max="10994" width="11.140625" style="659" bestFit="1" customWidth="1"/>
    <col min="10995" max="10995" width="8.28515625" style="659" customWidth="1"/>
    <col min="10996" max="10996" width="8.7109375" style="659" customWidth="1"/>
    <col min="10997" max="10997" width="11.42578125" style="659"/>
    <col min="10998" max="10998" width="7.85546875" style="659" customWidth="1"/>
    <col min="10999" max="11001" width="9" style="659" customWidth="1"/>
    <col min="11002" max="11002" width="9.28515625" style="659" customWidth="1"/>
    <col min="11003" max="11003" width="9.85546875" style="659" bestFit="1" customWidth="1"/>
    <col min="11004" max="11004" width="9.28515625" style="659" customWidth="1"/>
    <col min="11005" max="11005" width="9.5703125" style="659" customWidth="1"/>
    <col min="11006" max="11007" width="9.140625" style="659" bestFit="1" customWidth="1"/>
    <col min="11008" max="11008" width="8.5703125" style="659" customWidth="1"/>
    <col min="11009" max="11246" width="11.42578125" style="659"/>
    <col min="11247" max="11247" width="14.7109375" style="659" bestFit="1" customWidth="1"/>
    <col min="11248" max="11248" width="11.42578125" style="659"/>
    <col min="11249" max="11249" width="13.42578125" style="659" bestFit="1" customWidth="1"/>
    <col min="11250" max="11250" width="11.140625" style="659" bestFit="1" customWidth="1"/>
    <col min="11251" max="11251" width="8.28515625" style="659" customWidth="1"/>
    <col min="11252" max="11252" width="8.7109375" style="659" customWidth="1"/>
    <col min="11253" max="11253" width="11.42578125" style="659"/>
    <col min="11254" max="11254" width="7.85546875" style="659" customWidth="1"/>
    <col min="11255" max="11257" width="9" style="659" customWidth="1"/>
    <col min="11258" max="11258" width="9.28515625" style="659" customWidth="1"/>
    <col min="11259" max="11259" width="9.85546875" style="659" bestFit="1" customWidth="1"/>
    <col min="11260" max="11260" width="9.28515625" style="659" customWidth="1"/>
    <col min="11261" max="11261" width="9.5703125" style="659" customWidth="1"/>
    <col min="11262" max="11263" width="9.140625" style="659" bestFit="1" customWidth="1"/>
    <col min="11264" max="11264" width="8.5703125" style="659" customWidth="1"/>
    <col min="11265" max="11502" width="11.42578125" style="659"/>
    <col min="11503" max="11503" width="14.7109375" style="659" bestFit="1" customWidth="1"/>
    <col min="11504" max="11504" width="11.42578125" style="659"/>
    <col min="11505" max="11505" width="13.42578125" style="659" bestFit="1" customWidth="1"/>
    <col min="11506" max="11506" width="11.140625" style="659" bestFit="1" customWidth="1"/>
    <col min="11507" max="11507" width="8.28515625" style="659" customWidth="1"/>
    <col min="11508" max="11508" width="8.7109375" style="659" customWidth="1"/>
    <col min="11509" max="11509" width="11.42578125" style="659"/>
    <col min="11510" max="11510" width="7.85546875" style="659" customWidth="1"/>
    <col min="11511" max="11513" width="9" style="659" customWidth="1"/>
    <col min="11514" max="11514" width="9.28515625" style="659" customWidth="1"/>
    <col min="11515" max="11515" width="9.85546875" style="659" bestFit="1" customWidth="1"/>
    <col min="11516" max="11516" width="9.28515625" style="659" customWidth="1"/>
    <col min="11517" max="11517" width="9.5703125" style="659" customWidth="1"/>
    <col min="11518" max="11519" width="9.140625" style="659" bestFit="1" customWidth="1"/>
    <col min="11520" max="11520" width="8.5703125" style="659" customWidth="1"/>
    <col min="11521" max="11758" width="11.42578125" style="659"/>
    <col min="11759" max="11759" width="14.7109375" style="659" bestFit="1" customWidth="1"/>
    <col min="11760" max="11760" width="11.42578125" style="659"/>
    <col min="11761" max="11761" width="13.42578125" style="659" bestFit="1" customWidth="1"/>
    <col min="11762" max="11762" width="11.140625" style="659" bestFit="1" customWidth="1"/>
    <col min="11763" max="11763" width="8.28515625" style="659" customWidth="1"/>
    <col min="11764" max="11764" width="8.7109375" style="659" customWidth="1"/>
    <col min="11765" max="11765" width="11.42578125" style="659"/>
    <col min="11766" max="11766" width="7.85546875" style="659" customWidth="1"/>
    <col min="11767" max="11769" width="9" style="659" customWidth="1"/>
    <col min="11770" max="11770" width="9.28515625" style="659" customWidth="1"/>
    <col min="11771" max="11771" width="9.85546875" style="659" bestFit="1" customWidth="1"/>
    <col min="11772" max="11772" width="9.28515625" style="659" customWidth="1"/>
    <col min="11773" max="11773" width="9.5703125" style="659" customWidth="1"/>
    <col min="11774" max="11775" width="9.140625" style="659" bestFit="1" customWidth="1"/>
    <col min="11776" max="11776" width="8.5703125" style="659" customWidth="1"/>
    <col min="11777" max="12014" width="11.42578125" style="659"/>
    <col min="12015" max="12015" width="14.7109375" style="659" bestFit="1" customWidth="1"/>
    <col min="12016" max="12016" width="11.42578125" style="659"/>
    <col min="12017" max="12017" width="13.42578125" style="659" bestFit="1" customWidth="1"/>
    <col min="12018" max="12018" width="11.140625" style="659" bestFit="1" customWidth="1"/>
    <col min="12019" max="12019" width="8.28515625" style="659" customWidth="1"/>
    <col min="12020" max="12020" width="8.7109375" style="659" customWidth="1"/>
    <col min="12021" max="12021" width="11.42578125" style="659"/>
    <col min="12022" max="12022" width="7.85546875" style="659" customWidth="1"/>
    <col min="12023" max="12025" width="9" style="659" customWidth="1"/>
    <col min="12026" max="12026" width="9.28515625" style="659" customWidth="1"/>
    <col min="12027" max="12027" width="9.85546875" style="659" bestFit="1" customWidth="1"/>
    <col min="12028" max="12028" width="9.28515625" style="659" customWidth="1"/>
    <col min="12029" max="12029" width="9.5703125" style="659" customWidth="1"/>
    <col min="12030" max="12031" width="9.140625" style="659" bestFit="1" customWidth="1"/>
    <col min="12032" max="12032" width="8.5703125" style="659" customWidth="1"/>
    <col min="12033" max="12270" width="11.42578125" style="659"/>
    <col min="12271" max="12271" width="14.7109375" style="659" bestFit="1" customWidth="1"/>
    <col min="12272" max="12272" width="11.42578125" style="659"/>
    <col min="12273" max="12273" width="13.42578125" style="659" bestFit="1" customWidth="1"/>
    <col min="12274" max="12274" width="11.140625" style="659" bestFit="1" customWidth="1"/>
    <col min="12275" max="12275" width="8.28515625" style="659" customWidth="1"/>
    <col min="12276" max="12276" width="8.7109375" style="659" customWidth="1"/>
    <col min="12277" max="12277" width="11.42578125" style="659"/>
    <col min="12278" max="12278" width="7.85546875" style="659" customWidth="1"/>
    <col min="12279" max="12281" width="9" style="659" customWidth="1"/>
    <col min="12282" max="12282" width="9.28515625" style="659" customWidth="1"/>
    <col min="12283" max="12283" width="9.85546875" style="659" bestFit="1" customWidth="1"/>
    <col min="12284" max="12284" width="9.28515625" style="659" customWidth="1"/>
    <col min="12285" max="12285" width="9.5703125" style="659" customWidth="1"/>
    <col min="12286" max="12287" width="9.140625" style="659" bestFit="1" customWidth="1"/>
    <col min="12288" max="12288" width="8.5703125" style="659" customWidth="1"/>
    <col min="12289" max="12526" width="11.42578125" style="659"/>
    <col min="12527" max="12527" width="14.7109375" style="659" bestFit="1" customWidth="1"/>
    <col min="12528" max="12528" width="11.42578125" style="659"/>
    <col min="12529" max="12529" width="13.42578125" style="659" bestFit="1" customWidth="1"/>
    <col min="12530" max="12530" width="11.140625" style="659" bestFit="1" customWidth="1"/>
    <col min="12531" max="12531" width="8.28515625" style="659" customWidth="1"/>
    <col min="12532" max="12532" width="8.7109375" style="659" customWidth="1"/>
    <col min="12533" max="12533" width="11.42578125" style="659"/>
    <col min="12534" max="12534" width="7.85546875" style="659" customWidth="1"/>
    <col min="12535" max="12537" width="9" style="659" customWidth="1"/>
    <col min="12538" max="12538" width="9.28515625" style="659" customWidth="1"/>
    <col min="12539" max="12539" width="9.85546875" style="659" bestFit="1" customWidth="1"/>
    <col min="12540" max="12540" width="9.28515625" style="659" customWidth="1"/>
    <col min="12541" max="12541" width="9.5703125" style="659" customWidth="1"/>
    <col min="12542" max="12543" width="9.140625" style="659" bestFit="1" customWidth="1"/>
    <col min="12544" max="12544" width="8.5703125" style="659" customWidth="1"/>
    <col min="12545" max="12782" width="11.42578125" style="659"/>
    <col min="12783" max="12783" width="14.7109375" style="659" bestFit="1" customWidth="1"/>
    <col min="12784" max="12784" width="11.42578125" style="659"/>
    <col min="12785" max="12785" width="13.42578125" style="659" bestFit="1" customWidth="1"/>
    <col min="12786" max="12786" width="11.140625" style="659" bestFit="1" customWidth="1"/>
    <col min="12787" max="12787" width="8.28515625" style="659" customWidth="1"/>
    <col min="12788" max="12788" width="8.7109375" style="659" customWidth="1"/>
    <col min="12789" max="12789" width="11.42578125" style="659"/>
    <col min="12790" max="12790" width="7.85546875" style="659" customWidth="1"/>
    <col min="12791" max="12793" width="9" style="659" customWidth="1"/>
    <col min="12794" max="12794" width="9.28515625" style="659" customWidth="1"/>
    <col min="12795" max="12795" width="9.85546875" style="659" bestFit="1" customWidth="1"/>
    <col min="12796" max="12796" width="9.28515625" style="659" customWidth="1"/>
    <col min="12797" max="12797" width="9.5703125" style="659" customWidth="1"/>
    <col min="12798" max="12799" width="9.140625" style="659" bestFit="1" customWidth="1"/>
    <col min="12800" max="12800" width="8.5703125" style="659" customWidth="1"/>
    <col min="12801" max="13038" width="11.42578125" style="659"/>
    <col min="13039" max="13039" width="14.7109375" style="659" bestFit="1" customWidth="1"/>
    <col min="13040" max="13040" width="11.42578125" style="659"/>
    <col min="13041" max="13041" width="13.42578125" style="659" bestFit="1" customWidth="1"/>
    <col min="13042" max="13042" width="11.140625" style="659" bestFit="1" customWidth="1"/>
    <col min="13043" max="13043" width="8.28515625" style="659" customWidth="1"/>
    <col min="13044" max="13044" width="8.7109375" style="659" customWidth="1"/>
    <col min="13045" max="13045" width="11.42578125" style="659"/>
    <col min="13046" max="13046" width="7.85546875" style="659" customWidth="1"/>
    <col min="13047" max="13049" width="9" style="659" customWidth="1"/>
    <col min="13050" max="13050" width="9.28515625" style="659" customWidth="1"/>
    <col min="13051" max="13051" width="9.85546875" style="659" bestFit="1" customWidth="1"/>
    <col min="13052" max="13052" width="9.28515625" style="659" customWidth="1"/>
    <col min="13053" max="13053" width="9.5703125" style="659" customWidth="1"/>
    <col min="13054" max="13055" width="9.140625" style="659" bestFit="1" customWidth="1"/>
    <col min="13056" max="13056" width="8.5703125" style="659" customWidth="1"/>
    <col min="13057" max="13294" width="11.42578125" style="659"/>
    <col min="13295" max="13295" width="14.7109375" style="659" bestFit="1" customWidth="1"/>
    <col min="13296" max="13296" width="11.42578125" style="659"/>
    <col min="13297" max="13297" width="13.42578125" style="659" bestFit="1" customWidth="1"/>
    <col min="13298" max="13298" width="11.140625" style="659" bestFit="1" customWidth="1"/>
    <col min="13299" max="13299" width="8.28515625" style="659" customWidth="1"/>
    <col min="13300" max="13300" width="8.7109375" style="659" customWidth="1"/>
    <col min="13301" max="13301" width="11.42578125" style="659"/>
    <col min="13302" max="13302" width="7.85546875" style="659" customWidth="1"/>
    <col min="13303" max="13305" width="9" style="659" customWidth="1"/>
    <col min="13306" max="13306" width="9.28515625" style="659" customWidth="1"/>
    <col min="13307" max="13307" width="9.85546875" style="659" bestFit="1" customWidth="1"/>
    <col min="13308" max="13308" width="9.28515625" style="659" customWidth="1"/>
    <col min="13309" max="13309" width="9.5703125" style="659" customWidth="1"/>
    <col min="13310" max="13311" width="9.140625" style="659" bestFit="1" customWidth="1"/>
    <col min="13312" max="13312" width="8.5703125" style="659" customWidth="1"/>
    <col min="13313" max="13550" width="11.42578125" style="659"/>
    <col min="13551" max="13551" width="14.7109375" style="659" bestFit="1" customWidth="1"/>
    <col min="13552" max="13552" width="11.42578125" style="659"/>
    <col min="13553" max="13553" width="13.42578125" style="659" bestFit="1" customWidth="1"/>
    <col min="13554" max="13554" width="11.140625" style="659" bestFit="1" customWidth="1"/>
    <col min="13555" max="13555" width="8.28515625" style="659" customWidth="1"/>
    <col min="13556" max="13556" width="8.7109375" style="659" customWidth="1"/>
    <col min="13557" max="13557" width="11.42578125" style="659"/>
    <col min="13558" max="13558" width="7.85546875" style="659" customWidth="1"/>
    <col min="13559" max="13561" width="9" style="659" customWidth="1"/>
    <col min="13562" max="13562" width="9.28515625" style="659" customWidth="1"/>
    <col min="13563" max="13563" width="9.85546875" style="659" bestFit="1" customWidth="1"/>
    <col min="13564" max="13564" width="9.28515625" style="659" customWidth="1"/>
    <col min="13565" max="13565" width="9.5703125" style="659" customWidth="1"/>
    <col min="13566" max="13567" width="9.140625" style="659" bestFit="1" customWidth="1"/>
    <col min="13568" max="13568" width="8.5703125" style="659" customWidth="1"/>
    <col min="13569" max="13806" width="11.42578125" style="659"/>
    <col min="13807" max="13807" width="14.7109375" style="659" bestFit="1" customWidth="1"/>
    <col min="13808" max="13808" width="11.42578125" style="659"/>
    <col min="13809" max="13809" width="13.42578125" style="659" bestFit="1" customWidth="1"/>
    <col min="13810" max="13810" width="11.140625" style="659" bestFit="1" customWidth="1"/>
    <col min="13811" max="13811" width="8.28515625" style="659" customWidth="1"/>
    <col min="13812" max="13812" width="8.7109375" style="659" customWidth="1"/>
    <col min="13813" max="13813" width="11.42578125" style="659"/>
    <col min="13814" max="13814" width="7.85546875" style="659" customWidth="1"/>
    <col min="13815" max="13817" width="9" style="659" customWidth="1"/>
    <col min="13818" max="13818" width="9.28515625" style="659" customWidth="1"/>
    <col min="13819" max="13819" width="9.85546875" style="659" bestFit="1" customWidth="1"/>
    <col min="13820" max="13820" width="9.28515625" style="659" customWidth="1"/>
    <col min="13821" max="13821" width="9.5703125" style="659" customWidth="1"/>
    <col min="13822" max="13823" width="9.140625" style="659" bestFit="1" customWidth="1"/>
    <col min="13824" max="13824" width="8.5703125" style="659" customWidth="1"/>
    <col min="13825" max="14062" width="11.42578125" style="659"/>
    <col min="14063" max="14063" width="14.7109375" style="659" bestFit="1" customWidth="1"/>
    <col min="14064" max="14064" width="11.42578125" style="659"/>
    <col min="14065" max="14065" width="13.42578125" style="659" bestFit="1" customWidth="1"/>
    <col min="14066" max="14066" width="11.140625" style="659" bestFit="1" customWidth="1"/>
    <col min="14067" max="14067" width="8.28515625" style="659" customWidth="1"/>
    <col min="14068" max="14068" width="8.7109375" style="659" customWidth="1"/>
    <col min="14069" max="14069" width="11.42578125" style="659"/>
    <col min="14070" max="14070" width="7.85546875" style="659" customWidth="1"/>
    <col min="14071" max="14073" width="9" style="659" customWidth="1"/>
    <col min="14074" max="14074" width="9.28515625" style="659" customWidth="1"/>
    <col min="14075" max="14075" width="9.85546875" style="659" bestFit="1" customWidth="1"/>
    <col min="14076" max="14076" width="9.28515625" style="659" customWidth="1"/>
    <col min="14077" max="14077" width="9.5703125" style="659" customWidth="1"/>
    <col min="14078" max="14079" width="9.140625" style="659" bestFit="1" customWidth="1"/>
    <col min="14080" max="14080" width="8.5703125" style="659" customWidth="1"/>
    <col min="14081" max="14318" width="11.42578125" style="659"/>
    <col min="14319" max="14319" width="14.7109375" style="659" bestFit="1" customWidth="1"/>
    <col min="14320" max="14320" width="11.42578125" style="659"/>
    <col min="14321" max="14321" width="13.42578125" style="659" bestFit="1" customWidth="1"/>
    <col min="14322" max="14322" width="11.140625" style="659" bestFit="1" customWidth="1"/>
    <col min="14323" max="14323" width="8.28515625" style="659" customWidth="1"/>
    <col min="14324" max="14324" width="8.7109375" style="659" customWidth="1"/>
    <col min="14325" max="14325" width="11.42578125" style="659"/>
    <col min="14326" max="14326" width="7.85546875" style="659" customWidth="1"/>
    <col min="14327" max="14329" width="9" style="659" customWidth="1"/>
    <col min="14330" max="14330" width="9.28515625" style="659" customWidth="1"/>
    <col min="14331" max="14331" width="9.85546875" style="659" bestFit="1" customWidth="1"/>
    <col min="14332" max="14332" width="9.28515625" style="659" customWidth="1"/>
    <col min="14333" max="14333" width="9.5703125" style="659" customWidth="1"/>
    <col min="14334" max="14335" width="9.140625" style="659" bestFit="1" customWidth="1"/>
    <col min="14336" max="14336" width="8.5703125" style="659" customWidth="1"/>
    <col min="14337" max="14574" width="11.42578125" style="659"/>
    <col min="14575" max="14575" width="14.7109375" style="659" bestFit="1" customWidth="1"/>
    <col min="14576" max="14576" width="11.42578125" style="659"/>
    <col min="14577" max="14577" width="13.42578125" style="659" bestFit="1" customWidth="1"/>
    <col min="14578" max="14578" width="11.140625" style="659" bestFit="1" customWidth="1"/>
    <col min="14579" max="14579" width="8.28515625" style="659" customWidth="1"/>
    <col min="14580" max="14580" width="8.7109375" style="659" customWidth="1"/>
    <col min="14581" max="14581" width="11.42578125" style="659"/>
    <col min="14582" max="14582" width="7.85546875" style="659" customWidth="1"/>
    <col min="14583" max="14585" width="9" style="659" customWidth="1"/>
    <col min="14586" max="14586" width="9.28515625" style="659" customWidth="1"/>
    <col min="14587" max="14587" width="9.85546875" style="659" bestFit="1" customWidth="1"/>
    <col min="14588" max="14588" width="9.28515625" style="659" customWidth="1"/>
    <col min="14589" max="14589" width="9.5703125" style="659" customWidth="1"/>
    <col min="14590" max="14591" width="9.140625" style="659" bestFit="1" customWidth="1"/>
    <col min="14592" max="14592" width="8.5703125" style="659" customWidth="1"/>
    <col min="14593" max="14830" width="11.42578125" style="659"/>
    <col min="14831" max="14831" width="14.7109375" style="659" bestFit="1" customWidth="1"/>
    <col min="14832" max="14832" width="11.42578125" style="659"/>
    <col min="14833" max="14833" width="13.42578125" style="659" bestFit="1" customWidth="1"/>
    <col min="14834" max="14834" width="11.140625" style="659" bestFit="1" customWidth="1"/>
    <col min="14835" max="14835" width="8.28515625" style="659" customWidth="1"/>
    <col min="14836" max="14836" width="8.7109375" style="659" customWidth="1"/>
    <col min="14837" max="14837" width="11.42578125" style="659"/>
    <col min="14838" max="14838" width="7.85546875" style="659" customWidth="1"/>
    <col min="14839" max="14841" width="9" style="659" customWidth="1"/>
    <col min="14842" max="14842" width="9.28515625" style="659" customWidth="1"/>
    <col min="14843" max="14843" width="9.85546875" style="659" bestFit="1" customWidth="1"/>
    <col min="14844" max="14844" width="9.28515625" style="659" customWidth="1"/>
    <col min="14845" max="14845" width="9.5703125" style="659" customWidth="1"/>
    <col min="14846" max="14847" width="9.140625" style="659" bestFit="1" customWidth="1"/>
    <col min="14848" max="14848" width="8.5703125" style="659" customWidth="1"/>
    <col min="14849" max="15086" width="11.42578125" style="659"/>
    <col min="15087" max="15087" width="14.7109375" style="659" bestFit="1" customWidth="1"/>
    <col min="15088" max="15088" width="11.42578125" style="659"/>
    <col min="15089" max="15089" width="13.42578125" style="659" bestFit="1" customWidth="1"/>
    <col min="15090" max="15090" width="11.140625" style="659" bestFit="1" customWidth="1"/>
    <col min="15091" max="15091" width="8.28515625" style="659" customWidth="1"/>
    <col min="15092" max="15092" width="8.7109375" style="659" customWidth="1"/>
    <col min="15093" max="15093" width="11.42578125" style="659"/>
    <col min="15094" max="15094" width="7.85546875" style="659" customWidth="1"/>
    <col min="15095" max="15097" width="9" style="659" customWidth="1"/>
    <col min="15098" max="15098" width="9.28515625" style="659" customWidth="1"/>
    <col min="15099" max="15099" width="9.85546875" style="659" bestFit="1" customWidth="1"/>
    <col min="15100" max="15100" width="9.28515625" style="659" customWidth="1"/>
    <col min="15101" max="15101" width="9.5703125" style="659" customWidth="1"/>
    <col min="15102" max="15103" width="9.140625" style="659" bestFit="1" customWidth="1"/>
    <col min="15104" max="15104" width="8.5703125" style="659" customWidth="1"/>
    <col min="15105" max="15342" width="11.42578125" style="659"/>
    <col min="15343" max="15343" width="14.7109375" style="659" bestFit="1" customWidth="1"/>
    <col min="15344" max="15344" width="11.42578125" style="659"/>
    <col min="15345" max="15345" width="13.42578125" style="659" bestFit="1" customWidth="1"/>
    <col min="15346" max="15346" width="11.140625" style="659" bestFit="1" customWidth="1"/>
    <col min="15347" max="15347" width="8.28515625" style="659" customWidth="1"/>
    <col min="15348" max="15348" width="8.7109375" style="659" customWidth="1"/>
    <col min="15349" max="15349" width="11.42578125" style="659"/>
    <col min="15350" max="15350" width="7.85546875" style="659" customWidth="1"/>
    <col min="15351" max="15353" width="9" style="659" customWidth="1"/>
    <col min="15354" max="15354" width="9.28515625" style="659" customWidth="1"/>
    <col min="15355" max="15355" width="9.85546875" style="659" bestFit="1" customWidth="1"/>
    <col min="15356" max="15356" width="9.28515625" style="659" customWidth="1"/>
    <col min="15357" max="15357" width="9.5703125" style="659" customWidth="1"/>
    <col min="15358" max="15359" width="9.140625" style="659" bestFit="1" customWidth="1"/>
    <col min="15360" max="15360" width="8.5703125" style="659" customWidth="1"/>
    <col min="15361" max="15598" width="11.42578125" style="659"/>
    <col min="15599" max="15599" width="14.7109375" style="659" bestFit="1" customWidth="1"/>
    <col min="15600" max="15600" width="11.42578125" style="659"/>
    <col min="15601" max="15601" width="13.42578125" style="659" bestFit="1" customWidth="1"/>
    <col min="15602" max="15602" width="11.140625" style="659" bestFit="1" customWidth="1"/>
    <col min="15603" max="15603" width="8.28515625" style="659" customWidth="1"/>
    <col min="15604" max="15604" width="8.7109375" style="659" customWidth="1"/>
    <col min="15605" max="15605" width="11.42578125" style="659"/>
    <col min="15606" max="15606" width="7.85546875" style="659" customWidth="1"/>
    <col min="15607" max="15609" width="9" style="659" customWidth="1"/>
    <col min="15610" max="15610" width="9.28515625" style="659" customWidth="1"/>
    <col min="15611" max="15611" width="9.85546875" style="659" bestFit="1" customWidth="1"/>
    <col min="15612" max="15612" width="9.28515625" style="659" customWidth="1"/>
    <col min="15613" max="15613" width="9.5703125" style="659" customWidth="1"/>
    <col min="15614" max="15615" width="9.140625" style="659" bestFit="1" customWidth="1"/>
    <col min="15616" max="15616" width="8.5703125" style="659" customWidth="1"/>
    <col min="15617" max="15854" width="11.42578125" style="659"/>
    <col min="15855" max="15855" width="14.7109375" style="659" bestFit="1" customWidth="1"/>
    <col min="15856" max="15856" width="11.42578125" style="659"/>
    <col min="15857" max="15857" width="13.42578125" style="659" bestFit="1" customWidth="1"/>
    <col min="15858" max="15858" width="11.140625" style="659" bestFit="1" customWidth="1"/>
    <col min="15859" max="15859" width="8.28515625" style="659" customWidth="1"/>
    <col min="15860" max="15860" width="8.7109375" style="659" customWidth="1"/>
    <col min="15861" max="15861" width="11.42578125" style="659"/>
    <col min="15862" max="15862" width="7.85546875" style="659" customWidth="1"/>
    <col min="15863" max="15865" width="9" style="659" customWidth="1"/>
    <col min="15866" max="15866" width="9.28515625" style="659" customWidth="1"/>
    <col min="15867" max="15867" width="9.85546875" style="659" bestFit="1" customWidth="1"/>
    <col min="15868" max="15868" width="9.28515625" style="659" customWidth="1"/>
    <col min="15869" max="15869" width="9.5703125" style="659" customWidth="1"/>
    <col min="15870" max="15871" width="9.140625" style="659" bestFit="1" customWidth="1"/>
    <col min="15872" max="15872" width="8.5703125" style="659" customWidth="1"/>
    <col min="15873" max="16110" width="11.42578125" style="659"/>
    <col min="16111" max="16111" width="14.7109375" style="659" bestFit="1" customWidth="1"/>
    <col min="16112" max="16112" width="11.42578125" style="659"/>
    <col min="16113" max="16113" width="13.42578125" style="659" bestFit="1" customWidth="1"/>
    <col min="16114" max="16114" width="11.140625" style="659" bestFit="1" customWidth="1"/>
    <col min="16115" max="16115" width="8.28515625" style="659" customWidth="1"/>
    <col min="16116" max="16116" width="8.7109375" style="659" customWidth="1"/>
    <col min="16117" max="16117" width="11.42578125" style="659"/>
    <col min="16118" max="16118" width="7.85546875" style="659" customWidth="1"/>
    <col min="16119" max="16121" width="9" style="659" customWidth="1"/>
    <col min="16122" max="16122" width="9.28515625" style="659" customWidth="1"/>
    <col min="16123" max="16123" width="9.85546875" style="659" bestFit="1" customWidth="1"/>
    <col min="16124" max="16124" width="9.28515625" style="659" customWidth="1"/>
    <col min="16125" max="16125" width="9.5703125" style="659" customWidth="1"/>
    <col min="16126" max="16127" width="9.140625" style="659" bestFit="1" customWidth="1"/>
    <col min="16128" max="16128" width="8.5703125" style="659" customWidth="1"/>
    <col min="16129" max="16384" width="11.42578125" style="659"/>
  </cols>
  <sheetData>
    <row r="1" spans="1:18" s="1217" customFormat="1" ht="13.5" thickBot="1" x14ac:dyDescent="0.25">
      <c r="G1" s="1501"/>
      <c r="H1" s="1502"/>
      <c r="O1" s="1502"/>
    </row>
    <row r="2" spans="1:18" s="1217" customFormat="1" ht="16.5" thickBot="1" x14ac:dyDescent="0.3">
      <c r="A2" s="3315" t="str">
        <f>'TRAD-Prix 10-2011 GPRM $'!B2</f>
        <v>PRIX des ARV en Dollar US $ d'après le Rapport GPRM 10-2011 pour les pays à faibles revenus (Low Income Countries)</v>
      </c>
      <c r="B2" s="3316"/>
      <c r="C2" s="3316"/>
      <c r="D2" s="3316"/>
      <c r="E2" s="3316"/>
      <c r="F2" s="3316"/>
      <c r="G2" s="3316"/>
      <c r="H2" s="3316"/>
      <c r="I2" s="3316"/>
      <c r="J2" s="3316"/>
      <c r="K2" s="3316"/>
      <c r="L2" s="3316"/>
      <c r="M2" s="3316"/>
      <c r="N2" s="3316"/>
      <c r="O2" s="3316"/>
      <c r="P2" s="3316"/>
      <c r="Q2" s="3316"/>
      <c r="R2" s="3317"/>
    </row>
    <row r="3" spans="1:18" s="1217" customFormat="1" x14ac:dyDescent="0.2">
      <c r="G3" s="1501"/>
      <c r="H3" s="1502"/>
      <c r="O3" s="1502"/>
    </row>
    <row r="4" spans="1:18" s="1217" customFormat="1" ht="13.5" thickBot="1" x14ac:dyDescent="0.25">
      <c r="G4" s="1501"/>
      <c r="H4" s="1502"/>
      <c r="O4" s="1502"/>
    </row>
    <row r="5" spans="1:18" s="1217" customFormat="1" ht="16.5" thickBot="1" x14ac:dyDescent="0.3">
      <c r="A5" s="3318" t="str">
        <f>'TRAD-Prix 10-2011 GPRM $'!B3</f>
        <v>NOTE D'INFORMATION</v>
      </c>
      <c r="B5" s="3319"/>
      <c r="C5" s="3319"/>
      <c r="D5" s="3319"/>
      <c r="E5" s="3319"/>
      <c r="F5" s="3319"/>
      <c r="G5" s="3319"/>
      <c r="H5" s="3319"/>
      <c r="I5" s="3319"/>
      <c r="J5" s="3319"/>
      <c r="K5" s="3319"/>
      <c r="L5" s="3319"/>
      <c r="M5" s="3319"/>
      <c r="N5" s="3319"/>
      <c r="O5" s="3319"/>
      <c r="P5" s="3319"/>
      <c r="Q5" s="3319"/>
      <c r="R5" s="3320"/>
    </row>
    <row r="6" spans="1:18" s="1217" customFormat="1" x14ac:dyDescent="0.2">
      <c r="B6" s="1503"/>
      <c r="G6" s="1501"/>
      <c r="H6" s="1502"/>
      <c r="O6" s="1502"/>
    </row>
    <row r="7" spans="1:18" s="1217" customFormat="1" x14ac:dyDescent="0.2">
      <c r="B7" s="1503" t="str">
        <f>'TRAD-Prix 10-2011 GPRM $'!B4</f>
        <v>Les données présentées dans ce tableau sont issus du rapport du GPRM, OMS, d'octobre 2011 (Source  http://www.who.int/hiv/amds/)</v>
      </c>
      <c r="G7" s="1501"/>
      <c r="H7" s="1502"/>
      <c r="L7" s="1504"/>
      <c r="O7" s="1502"/>
    </row>
    <row r="8" spans="1:18" s="1217" customFormat="1" x14ac:dyDescent="0.2">
      <c r="B8" s="1503" t="str">
        <f>'TRAD-Prix 10-2011 GPRM $'!B5</f>
        <v>Lorsque les données n'étaient pas présentes dans le rapport 12-2010, nous avons gardé les données du rapport précédent.</v>
      </c>
      <c r="G8" s="1501"/>
      <c r="H8" s="1502"/>
      <c r="L8" s="1504"/>
      <c r="O8" s="1502"/>
    </row>
    <row r="9" spans="1:18" s="1217" customFormat="1" x14ac:dyDescent="0.2">
      <c r="B9" s="1503" t="str">
        <f>'TRAD-Prix 10-2011 GPRM $'!B6</f>
        <v>Les calculs ont été faits en rapportant les prix annuels par jour et par nombre de prise</v>
      </c>
      <c r="G9" s="1501"/>
      <c r="H9" s="1502"/>
      <c r="O9" s="1502"/>
    </row>
    <row r="10" spans="1:18" s="1217" customFormat="1" x14ac:dyDescent="0.2">
      <c r="B10" s="1503" t="str">
        <f>'TRAD-Prix 10-2011 GPRM $'!B7</f>
        <v>Pour les ARV pédiatriques, 2 possibilités existent dans le rapport GPRM, pour les enfants de 5 et de 10 kg. Nous avons mentionné les 2 prix, qui varient peu entre eux.</v>
      </c>
      <c r="G10" s="1501"/>
      <c r="H10" s="1502"/>
      <c r="O10" s="1502"/>
    </row>
    <row r="11" spans="1:18" s="1217" customFormat="1" x14ac:dyDescent="0.2">
      <c r="B11" s="1503" t="str">
        <f>'TRAD-Prix 10-2011 GPRM $'!B8</f>
        <v>Les quantités de prises par boites ou les volumes des flacons peuvent changer en fonction des fournisseurs. Des emballages secondaires peuvent aussi varier (LPV/r sol. buv.)</v>
      </c>
      <c r="G11" s="1501"/>
      <c r="H11" s="1502"/>
      <c r="O11" s="1502"/>
    </row>
    <row r="12" spans="1:18" s="1217" customFormat="1" x14ac:dyDescent="0.2">
      <c r="B12" s="1503" t="str">
        <f>'TRAD-Prix 10-2011 GPRM $'!B9</f>
        <v>Attention les cellules contiennent des formules. Si vous copiez les données, pensées à ne copier que les valeurs</v>
      </c>
      <c r="G12" s="1501"/>
      <c r="H12" s="1502"/>
      <c r="O12" s="1502"/>
    </row>
    <row r="13" spans="1:18" s="1217" customFormat="1" x14ac:dyDescent="0.2">
      <c r="G13" s="1501"/>
      <c r="H13" s="1502"/>
      <c r="O13" s="1502"/>
    </row>
    <row r="14" spans="1:18" s="1444" customFormat="1" x14ac:dyDescent="0.2">
      <c r="A14" s="1217"/>
      <c r="B14" s="1568" t="str">
        <f>'TRAD-Prix 10-2011 GPRM $'!B10</f>
        <v>Commentaire mentionné dans le rapport GPRM sur la nature des prix présentés</v>
      </c>
      <c r="C14" s="1568"/>
      <c r="D14" s="1568"/>
      <c r="E14" s="1569"/>
      <c r="F14" s="1570"/>
      <c r="G14" s="1571"/>
      <c r="H14" s="1572"/>
      <c r="I14" s="1573"/>
      <c r="J14" s="1573"/>
      <c r="K14" s="1573"/>
      <c r="L14" s="1573"/>
      <c r="M14" s="1573"/>
      <c r="N14" s="1573"/>
      <c r="O14" s="1572"/>
      <c r="P14" s="1573"/>
      <c r="Q14" s="1573"/>
      <c r="R14" s="1495"/>
    </row>
    <row r="15" spans="1:18" s="1444" customFormat="1" x14ac:dyDescent="0.2">
      <c r="A15" s="1217"/>
      <c r="B15" s="1217"/>
      <c r="C15" s="1217"/>
      <c r="D15" s="1217"/>
      <c r="E15" s="1496"/>
      <c r="F15" s="1497"/>
      <c r="G15" s="1498"/>
      <c r="H15" s="1499"/>
      <c r="I15" s="1495"/>
      <c r="J15" s="1495"/>
      <c r="K15" s="1495"/>
      <c r="L15" s="1495"/>
      <c r="M15" s="1495"/>
      <c r="N15" s="1495"/>
      <c r="O15" s="1499"/>
      <c r="P15" s="1495"/>
      <c r="Q15" s="1495"/>
      <c r="R15" s="1495"/>
    </row>
    <row r="16" spans="1:18" s="1444" customFormat="1" ht="39.75" customHeight="1" x14ac:dyDescent="0.2">
      <c r="B16" s="3327" t="str">
        <f>'TRAD-Prix 10-2011 GPRM $'!B11</f>
        <v>Les prix indiqués dans ce rapport sont les prix des transactions internationales, et non pas les prix payés par les utilisateurs finaux au niveau des pays. Les prix utilisateurs sont souvent plus élevés que les prix des transactions internationales en raison des frais de douane, les taxes, les frais de transport, et les marges. Toutefois, dans certains cas, les prix utilisateurs peuvent être inférieurs aux prix des transactions internationales grâce à des subventions. vous pouvez avoir plus d'informations sur les prix utilisateurs  en consultant le site Web de Health Action International à http://www.haiweb.org/medicineprices/16.</v>
      </c>
      <c r="C16" s="3327"/>
      <c r="D16" s="3327"/>
      <c r="E16" s="3327"/>
      <c r="F16" s="3327"/>
      <c r="G16" s="3327"/>
      <c r="H16" s="3327"/>
      <c r="I16" s="3327"/>
      <c r="J16" s="3327"/>
      <c r="K16" s="3327"/>
      <c r="L16" s="3327"/>
      <c r="M16" s="3327"/>
      <c r="N16" s="3327"/>
      <c r="O16" s="3327"/>
      <c r="P16" s="3327"/>
      <c r="Q16" s="3327"/>
    </row>
    <row r="17" spans="1:18" s="1444" customFormat="1" x14ac:dyDescent="0.2"/>
    <row r="18" spans="1:18" s="1444" customFormat="1" x14ac:dyDescent="0.2">
      <c r="B18" s="1444" t="str">
        <f>'TRAD-Prix 10-2011 GPRM $'!B12</f>
        <v>Les taxes, frais de douane et / ou termes commerciaux internationaux (Incoterms: coût ou conditions de transport, assurance, etc) ne sont pas déclarés et ne sont donc pas considérés † †</v>
      </c>
    </row>
    <row r="19" spans="1:18" s="1444" customFormat="1" x14ac:dyDescent="0.2"/>
    <row r="20" spans="1:18" s="1444" customFormat="1" x14ac:dyDescent="0.2">
      <c r="B20" s="1217" t="str">
        <f>'TRAD-Prix 10-2011 GPRM $'!B13</f>
        <v>Enquêtes précédentes menées par  l'Office de Comptabilité, Management et propositions en Sciences pour la Santé du gouvernement des Etats Unis</v>
      </c>
    </row>
    <row r="21" spans="1:18" s="1444" customFormat="1" x14ac:dyDescent="0.2">
      <c r="B21" s="1217" t="str">
        <f>'TRAD-Prix 10-2011 GPRM $'!B14</f>
        <v>que toute variation INCOTERMS constituait une augmentation de 3% -15% au cours des travaux de l'usine ou ex (EXW) prix 12</v>
      </c>
    </row>
    <row r="22" spans="1:18" s="1217" customFormat="1" ht="13.5" thickBot="1" x14ac:dyDescent="0.25">
      <c r="B22" s="1503"/>
      <c r="G22" s="1501"/>
      <c r="H22" s="1502"/>
      <c r="O22" s="1502"/>
    </row>
    <row r="23" spans="1:18" ht="16.5" thickBot="1" x14ac:dyDescent="0.3">
      <c r="A23" s="3321" t="str">
        <f>'TRAD-Prix 10-2011 GPRM $'!B15</f>
        <v>FORMES ADULTES</v>
      </c>
      <c r="B23" s="3322"/>
      <c r="C23" s="3322"/>
      <c r="D23" s="3322"/>
      <c r="E23" s="3322"/>
      <c r="F23" s="3322"/>
      <c r="G23" s="3322"/>
      <c r="H23" s="3322"/>
      <c r="I23" s="3322"/>
      <c r="J23" s="3322"/>
      <c r="K23" s="3322"/>
      <c r="L23" s="3322"/>
      <c r="M23" s="3322"/>
      <c r="N23" s="3322"/>
      <c r="O23" s="3322"/>
      <c r="P23" s="3322"/>
      <c r="Q23" s="3322"/>
      <c r="R23" s="3323"/>
    </row>
    <row r="24" spans="1:18" ht="13.5" thickBot="1" x14ac:dyDescent="0.25"/>
    <row r="25" spans="1:18" s="662" customFormat="1" ht="39" thickBot="1" x14ac:dyDescent="0.25">
      <c r="A25" s="1416"/>
      <c r="B25" s="1416"/>
      <c r="C25" s="1417"/>
      <c r="D25" s="1417"/>
      <c r="E25" s="1417"/>
      <c r="F25" s="1418"/>
      <c r="G25" s="1419"/>
      <c r="H25" s="1420" t="str">
        <f>'TRAD-Prix 10-2011 GPRM $'!B21</f>
        <v>Qtés / boites - flacons</v>
      </c>
      <c r="I25" s="3324" t="str">
        <f>'TRAD-Prix 10-2011 GPRM $'!B22</f>
        <v>Prix annuel / patient (US$)</v>
      </c>
      <c r="J25" s="3325"/>
      <c r="K25" s="3326"/>
      <c r="L25" s="3325" t="str">
        <f>'TRAD-Prix 10-2011 GPRM $'!B24</f>
        <v>Prix / unité de prise  (US$)</v>
      </c>
      <c r="M25" s="3325"/>
      <c r="N25" s="3325"/>
      <c r="O25" s="3324" t="str">
        <f>'TRAD-Prix 10-2011 GPRM $'!B26</f>
        <v>Prix / boite  (US$)</v>
      </c>
      <c r="P25" s="3325"/>
      <c r="Q25" s="3326"/>
    </row>
    <row r="26" spans="1:18" s="662" customFormat="1" ht="39" thickBot="1" x14ac:dyDescent="0.25">
      <c r="A26" s="1416"/>
      <c r="B26" s="1416"/>
      <c r="C26" s="1421" t="str">
        <f>'TRAD-Prix 10-2011 GPRM $'!B16</f>
        <v>DCI</v>
      </c>
      <c r="D26" s="1422" t="str">
        <f>'TRAD-Prix 10-2011 GPRM $'!B17</f>
        <v>Dosage</v>
      </c>
      <c r="E26" s="1423" t="str">
        <f>'TRAD-Prix 10-2011 GPRM $'!B18</f>
        <v>Unité dosage</v>
      </c>
      <c r="F26" s="1424" t="str">
        <f>'TRAD-Prix 10-2011 GPRM $'!B19</f>
        <v>Forme</v>
      </c>
      <c r="G26" s="1425" t="str">
        <f>'TRAD-Prix 10-2011 GPRM $'!B20</f>
        <v>Nb d'unité de prises / jour</v>
      </c>
      <c r="H26" s="1426"/>
      <c r="I26" s="1544" t="str">
        <f>'TRAD-Prix 10-2011 GPRM $'!B23</f>
        <v>Médiane</v>
      </c>
      <c r="J26" s="1427" t="s">
        <v>323</v>
      </c>
      <c r="K26" s="1428" t="s">
        <v>324</v>
      </c>
      <c r="L26" s="1429" t="str">
        <f>'TRAD-Prix 10-2011 GPRM $'!B23</f>
        <v>Médiane</v>
      </c>
      <c r="M26" s="1430" t="s">
        <v>323</v>
      </c>
      <c r="N26" s="1431" t="s">
        <v>324</v>
      </c>
      <c r="O26" s="1429" t="str">
        <f>'TRAD-Prix 10-2011 GPRM $'!B23</f>
        <v>Médiane</v>
      </c>
      <c r="P26" s="1430" t="s">
        <v>323</v>
      </c>
      <c r="Q26" s="1431" t="s">
        <v>324</v>
      </c>
      <c r="R26" s="671"/>
    </row>
    <row r="27" spans="1:18" s="673" customFormat="1" x14ac:dyDescent="0.2">
      <c r="A27" s="1432" t="str">
        <f>'TRAD-Prix 10-2011 GPRM $'!B41</f>
        <v>1ères lignes</v>
      </c>
      <c r="B27" s="1432" t="s">
        <v>326</v>
      </c>
      <c r="C27" s="1433" t="s">
        <v>1</v>
      </c>
      <c r="D27" s="1434" t="s">
        <v>327</v>
      </c>
      <c r="E27" s="1434" t="s">
        <v>328</v>
      </c>
      <c r="F27" s="1435" t="str">
        <f>'TRAD-Prix 10-2011 GPRM $'!B43</f>
        <v>Cp</v>
      </c>
      <c r="G27" s="1436">
        <v>2</v>
      </c>
      <c r="H27" s="1437">
        <v>60</v>
      </c>
      <c r="I27" s="1438">
        <v>131</v>
      </c>
      <c r="J27" s="1439">
        <v>124</v>
      </c>
      <c r="K27" s="1440">
        <v>139</v>
      </c>
      <c r="L27" s="1441">
        <f>I27/365/$G27</f>
        <v>0.17945205479452056</v>
      </c>
      <c r="M27" s="1442">
        <f>J27/365/$G27</f>
        <v>0.16986301369863013</v>
      </c>
      <c r="N27" s="1443">
        <f>K27/365/$G27</f>
        <v>0.19041095890410958</v>
      </c>
      <c r="O27" s="1441">
        <f>L27*$H27</f>
        <v>10.767123287671234</v>
      </c>
      <c r="P27" s="1442">
        <f>M27*$H27</f>
        <v>10.191780821917808</v>
      </c>
      <c r="Q27" s="1443">
        <f>N27*$H27</f>
        <v>11.424657534246576</v>
      </c>
    </row>
    <row r="28" spans="1:18" s="673" customFormat="1" x14ac:dyDescent="0.2">
      <c r="A28" s="1445"/>
      <c r="B28" s="1445"/>
      <c r="C28" s="1446" t="s">
        <v>18</v>
      </c>
      <c r="D28" s="1447" t="s">
        <v>329</v>
      </c>
      <c r="E28" s="1447" t="s">
        <v>328</v>
      </c>
      <c r="F28" s="1448" t="str">
        <f>'TRAD-Prix 10-2011 GPRM $'!B43</f>
        <v>Cp</v>
      </c>
      <c r="G28" s="1449">
        <v>2</v>
      </c>
      <c r="H28" s="1450">
        <v>60</v>
      </c>
      <c r="I28" s="1451">
        <v>101</v>
      </c>
      <c r="J28" s="1452">
        <v>100</v>
      </c>
      <c r="K28" s="1453">
        <v>105</v>
      </c>
      <c r="L28" s="1454">
        <f t="shared" ref="L28:N64" si="0">I28/365/$G28</f>
        <v>0.13835616438356163</v>
      </c>
      <c r="M28" s="1455">
        <f t="shared" si="0"/>
        <v>0.13698630136986301</v>
      </c>
      <c r="N28" s="1456">
        <f t="shared" si="0"/>
        <v>0.14383561643835616</v>
      </c>
      <c r="O28" s="1454">
        <f t="shared" ref="O28:Q64" si="1">L28*$H28</f>
        <v>8.3013698630136972</v>
      </c>
      <c r="P28" s="1455">
        <f t="shared" si="1"/>
        <v>8.2191780821917799</v>
      </c>
      <c r="Q28" s="1456">
        <f t="shared" si="1"/>
        <v>8.6301369863013697</v>
      </c>
    </row>
    <row r="29" spans="1:18" s="673" customFormat="1" x14ac:dyDescent="0.2">
      <c r="A29" s="1445"/>
      <c r="B29" s="1445"/>
      <c r="C29" s="1446" t="s">
        <v>2</v>
      </c>
      <c r="D29" s="1447" t="s">
        <v>330</v>
      </c>
      <c r="E29" s="1447" t="s">
        <v>328</v>
      </c>
      <c r="F29" s="1448" t="str">
        <f>'TRAD-Prix 10-2011 GPRM $'!B43</f>
        <v>Cp</v>
      </c>
      <c r="G29" s="1449">
        <v>2</v>
      </c>
      <c r="H29" s="1450">
        <v>60</v>
      </c>
      <c r="I29" s="1451">
        <v>62</v>
      </c>
      <c r="J29" s="1452">
        <v>59</v>
      </c>
      <c r="K29" s="1453">
        <v>68</v>
      </c>
      <c r="L29" s="1454">
        <f t="shared" si="0"/>
        <v>8.4931506849315067E-2</v>
      </c>
      <c r="M29" s="1455">
        <f t="shared" si="0"/>
        <v>8.0821917808219179E-2</v>
      </c>
      <c r="N29" s="1456">
        <f t="shared" si="0"/>
        <v>9.3150684931506855E-2</v>
      </c>
      <c r="O29" s="1454">
        <f t="shared" si="1"/>
        <v>5.095890410958904</v>
      </c>
      <c r="P29" s="1455">
        <f t="shared" si="1"/>
        <v>4.8493150684931505</v>
      </c>
      <c r="Q29" s="1456">
        <f t="shared" si="1"/>
        <v>5.5890410958904111</v>
      </c>
    </row>
    <row r="30" spans="1:18" s="673" customFormat="1" x14ac:dyDescent="0.2">
      <c r="A30" s="1445"/>
      <c r="B30" s="1445"/>
      <c r="C30" s="1446" t="s">
        <v>22</v>
      </c>
      <c r="D30" s="1447" t="s">
        <v>331</v>
      </c>
      <c r="E30" s="1447" t="s">
        <v>328</v>
      </c>
      <c r="F30" s="1448" t="str">
        <f>'TRAD-Prix 10-2011 GPRM $'!B43</f>
        <v>Cp</v>
      </c>
      <c r="G30" s="1449">
        <v>2</v>
      </c>
      <c r="H30" s="1450">
        <v>60</v>
      </c>
      <c r="I30" s="1451">
        <v>37</v>
      </c>
      <c r="J30" s="1452">
        <v>37</v>
      </c>
      <c r="K30" s="1453">
        <v>37</v>
      </c>
      <c r="L30" s="1454">
        <f t="shared" si="0"/>
        <v>5.0684931506849315E-2</v>
      </c>
      <c r="M30" s="1455">
        <f t="shared" si="0"/>
        <v>5.0684931506849315E-2</v>
      </c>
      <c r="N30" s="1456">
        <f t="shared" si="0"/>
        <v>5.0684931506849315E-2</v>
      </c>
      <c r="O30" s="1454">
        <f t="shared" si="1"/>
        <v>3.0410958904109591</v>
      </c>
      <c r="P30" s="1455">
        <f t="shared" si="1"/>
        <v>3.0410958904109591</v>
      </c>
      <c r="Q30" s="1456">
        <f t="shared" si="1"/>
        <v>3.0410958904109591</v>
      </c>
    </row>
    <row r="31" spans="1:18" s="673" customFormat="1" x14ac:dyDescent="0.2">
      <c r="A31" s="1445"/>
      <c r="B31" s="1445"/>
      <c r="C31" s="1446" t="s">
        <v>3</v>
      </c>
      <c r="D31" s="1447" t="s">
        <v>332</v>
      </c>
      <c r="E31" s="1447" t="s">
        <v>328</v>
      </c>
      <c r="F31" s="1448" t="str">
        <f>'TRAD-Prix 10-2011 GPRM $'!B43</f>
        <v>Cp</v>
      </c>
      <c r="G31" s="1449">
        <v>2</v>
      </c>
      <c r="H31" s="1450">
        <v>60</v>
      </c>
      <c r="I31" s="1451">
        <v>365</v>
      </c>
      <c r="J31" s="1452">
        <v>365</v>
      </c>
      <c r="K31" s="1453">
        <v>365</v>
      </c>
      <c r="L31" s="1454">
        <f t="shared" si="0"/>
        <v>0.5</v>
      </c>
      <c r="M31" s="1455">
        <f t="shared" si="0"/>
        <v>0.5</v>
      </c>
      <c r="N31" s="1456">
        <f t="shared" si="0"/>
        <v>0.5</v>
      </c>
      <c r="O31" s="1454">
        <f t="shared" si="1"/>
        <v>30</v>
      </c>
      <c r="P31" s="1455">
        <f t="shared" si="1"/>
        <v>30</v>
      </c>
      <c r="Q31" s="1456">
        <f t="shared" si="1"/>
        <v>30</v>
      </c>
    </row>
    <row r="32" spans="1:18" s="673" customFormat="1" x14ac:dyDescent="0.2">
      <c r="A32" s="1445"/>
      <c r="B32" s="1445"/>
      <c r="C32" s="1446"/>
      <c r="D32" s="1447"/>
      <c r="E32" s="1447"/>
      <c r="F32" s="1448"/>
      <c r="G32" s="1449"/>
      <c r="H32" s="1450"/>
      <c r="I32" s="1451"/>
      <c r="J32" s="1452"/>
      <c r="K32" s="1453"/>
      <c r="L32" s="1454"/>
      <c r="M32" s="1455"/>
      <c r="N32" s="1456"/>
      <c r="O32" s="1454"/>
      <c r="P32" s="1455"/>
      <c r="Q32" s="1456"/>
    </row>
    <row r="33" spans="1:17" s="673" customFormat="1" x14ac:dyDescent="0.2">
      <c r="A33" s="1445"/>
      <c r="B33" s="1445"/>
      <c r="C33" s="1446" t="s">
        <v>596</v>
      </c>
      <c r="D33" s="1447" t="s">
        <v>597</v>
      </c>
      <c r="E33" s="1447" t="s">
        <v>328</v>
      </c>
      <c r="F33" s="1448" t="str">
        <f>'TRAD-Prix 10-2011 GPRM $'!B43</f>
        <v>Cp</v>
      </c>
      <c r="G33" s="1449">
        <v>1</v>
      </c>
      <c r="H33" s="1450">
        <v>30</v>
      </c>
      <c r="I33" s="1451">
        <v>274</v>
      </c>
      <c r="J33" s="1452">
        <v>271</v>
      </c>
      <c r="K33" s="1453">
        <v>291</v>
      </c>
      <c r="L33" s="1454">
        <f t="shared" si="0"/>
        <v>0.75068493150684934</v>
      </c>
      <c r="M33" s="1455">
        <f t="shared" si="0"/>
        <v>0.74246575342465748</v>
      </c>
      <c r="N33" s="1456">
        <f t="shared" si="0"/>
        <v>0.79726027397260268</v>
      </c>
      <c r="O33" s="1454">
        <f t="shared" si="1"/>
        <v>22.520547945205479</v>
      </c>
      <c r="P33" s="1455">
        <f t="shared" si="1"/>
        <v>22.273972602739725</v>
      </c>
      <c r="Q33" s="1456">
        <f t="shared" si="1"/>
        <v>23.917808219178081</v>
      </c>
    </row>
    <row r="34" spans="1:17" s="673" customFormat="1" x14ac:dyDescent="0.2">
      <c r="A34" s="1445"/>
      <c r="B34" s="1445"/>
      <c r="C34" s="1446" t="s">
        <v>9</v>
      </c>
      <c r="D34" s="1447" t="s">
        <v>338</v>
      </c>
      <c r="E34" s="1447" t="s">
        <v>328</v>
      </c>
      <c r="F34" s="1448" t="str">
        <f>'TRAD-Prix 10-2011 GPRM $'!B43</f>
        <v>Cp</v>
      </c>
      <c r="G34" s="1449">
        <v>1</v>
      </c>
      <c r="H34" s="1450">
        <v>30</v>
      </c>
      <c r="I34" s="1451">
        <v>242</v>
      </c>
      <c r="J34" s="1452">
        <v>242</v>
      </c>
      <c r="K34" s="1453">
        <v>242</v>
      </c>
      <c r="L34" s="1454">
        <f t="shared" si="0"/>
        <v>0.66301369863013704</v>
      </c>
      <c r="M34" s="1455">
        <f t="shared" si="0"/>
        <v>0.66301369863013704</v>
      </c>
      <c r="N34" s="1456">
        <f t="shared" si="0"/>
        <v>0.66301369863013704</v>
      </c>
      <c r="O34" s="1454">
        <f t="shared" si="1"/>
        <v>19.890410958904113</v>
      </c>
      <c r="P34" s="1455">
        <f t="shared" si="1"/>
        <v>19.890410958904113</v>
      </c>
      <c r="Q34" s="1456">
        <f t="shared" si="1"/>
        <v>19.890410958904113</v>
      </c>
    </row>
    <row r="35" spans="1:17" s="673" customFormat="1" x14ac:dyDescent="0.2">
      <c r="A35" s="1469"/>
      <c r="B35" s="1445"/>
      <c r="C35" s="1446" t="s">
        <v>339</v>
      </c>
      <c r="D35" s="1447" t="s">
        <v>340</v>
      </c>
      <c r="E35" s="1447" t="s">
        <v>328</v>
      </c>
      <c r="F35" s="1448" t="str">
        <f>'TRAD-Prix 10-2011 GPRM $'!B43</f>
        <v>Cp</v>
      </c>
      <c r="G35" s="1449">
        <v>1</v>
      </c>
      <c r="H35" s="1450">
        <v>30</v>
      </c>
      <c r="I35" s="1451">
        <v>193</v>
      </c>
      <c r="J35" s="1452">
        <v>172</v>
      </c>
      <c r="K35" s="1453">
        <v>204</v>
      </c>
      <c r="L35" s="1454">
        <f t="shared" si="0"/>
        <v>0.52876712328767128</v>
      </c>
      <c r="M35" s="1455">
        <f t="shared" si="0"/>
        <v>0.47123287671232877</v>
      </c>
      <c r="N35" s="1456">
        <f t="shared" si="0"/>
        <v>0.55890410958904113</v>
      </c>
      <c r="O35" s="1454">
        <f t="shared" si="1"/>
        <v>15.863013698630139</v>
      </c>
      <c r="P35" s="1455">
        <f t="shared" si="1"/>
        <v>14.136986301369863</v>
      </c>
      <c r="Q35" s="1456">
        <f t="shared" si="1"/>
        <v>16.767123287671232</v>
      </c>
    </row>
    <row r="36" spans="1:17" s="673" customFormat="1" x14ac:dyDescent="0.2">
      <c r="A36" s="1445"/>
      <c r="B36" s="1445"/>
      <c r="C36" s="1446" t="s">
        <v>121</v>
      </c>
      <c r="D36" s="1447" t="s">
        <v>336</v>
      </c>
      <c r="E36" s="1447" t="s">
        <v>328</v>
      </c>
      <c r="F36" s="1448" t="str">
        <f>'TRAD-Prix 10-2011 GPRM $'!B43</f>
        <v>Cp</v>
      </c>
      <c r="G36" s="1449">
        <v>1</v>
      </c>
      <c r="H36" s="1450">
        <v>30</v>
      </c>
      <c r="I36" s="1451">
        <v>125</v>
      </c>
      <c r="J36" s="1452">
        <v>125</v>
      </c>
      <c r="K36" s="1453">
        <v>125</v>
      </c>
      <c r="L36" s="1454">
        <f t="shared" si="0"/>
        <v>0.34246575342465752</v>
      </c>
      <c r="M36" s="1455">
        <f t="shared" si="0"/>
        <v>0.34246575342465752</v>
      </c>
      <c r="N36" s="1456">
        <f t="shared" si="0"/>
        <v>0.34246575342465752</v>
      </c>
      <c r="O36" s="1454">
        <f t="shared" si="1"/>
        <v>10.273972602739725</v>
      </c>
      <c r="P36" s="1455">
        <f t="shared" si="1"/>
        <v>10.273972602739725</v>
      </c>
      <c r="Q36" s="1456">
        <f t="shared" si="1"/>
        <v>10.273972602739725</v>
      </c>
    </row>
    <row r="37" spans="1:17" s="673" customFormat="1" x14ac:dyDescent="0.2">
      <c r="A37" s="1445"/>
      <c r="B37" s="1457"/>
      <c r="C37" s="1458" t="s">
        <v>228</v>
      </c>
      <c r="D37" s="1459" t="s">
        <v>337</v>
      </c>
      <c r="E37" s="1459" t="s">
        <v>328</v>
      </c>
      <c r="F37" s="1460" t="str">
        <f>'TRAD-Prix 10-2011 GPRM $'!B43</f>
        <v>Cp</v>
      </c>
      <c r="G37" s="1461">
        <v>1</v>
      </c>
      <c r="H37" s="1462">
        <v>30</v>
      </c>
      <c r="I37" s="1463">
        <v>99</v>
      </c>
      <c r="J37" s="1464">
        <v>78</v>
      </c>
      <c r="K37" s="1465">
        <v>106</v>
      </c>
      <c r="L37" s="1466">
        <f t="shared" si="0"/>
        <v>0.27123287671232876</v>
      </c>
      <c r="M37" s="1467">
        <f t="shared" si="0"/>
        <v>0.21369863013698631</v>
      </c>
      <c r="N37" s="1468">
        <f t="shared" si="0"/>
        <v>0.29041095890410956</v>
      </c>
      <c r="O37" s="1466">
        <f t="shared" si="1"/>
        <v>8.1369863013698627</v>
      </c>
      <c r="P37" s="1467">
        <f t="shared" si="1"/>
        <v>6.4109589041095898</v>
      </c>
      <c r="Q37" s="1468">
        <f t="shared" si="1"/>
        <v>8.712328767123287</v>
      </c>
    </row>
    <row r="38" spans="1:17" s="673" customFormat="1" x14ac:dyDescent="0.2">
      <c r="A38" s="1445"/>
      <c r="B38" s="1445" t="s">
        <v>333</v>
      </c>
      <c r="C38" s="1446" t="s">
        <v>32</v>
      </c>
      <c r="D38" s="1447">
        <v>300</v>
      </c>
      <c r="E38" s="1447" t="s">
        <v>328</v>
      </c>
      <c r="F38" s="1448" t="str">
        <f>'TRAD-Prix 10-2011 GPRM $'!B43</f>
        <v>Cp</v>
      </c>
      <c r="G38" s="1449">
        <v>2</v>
      </c>
      <c r="H38" s="1450">
        <v>60</v>
      </c>
      <c r="I38" s="1451">
        <v>93</v>
      </c>
      <c r="J38" s="1452">
        <v>86</v>
      </c>
      <c r="K38" s="1453">
        <v>99</v>
      </c>
      <c r="L38" s="1454">
        <f t="shared" si="0"/>
        <v>0.12739726027397261</v>
      </c>
      <c r="M38" s="1455">
        <f t="shared" si="0"/>
        <v>0.11780821917808219</v>
      </c>
      <c r="N38" s="1456">
        <f t="shared" si="0"/>
        <v>0.13561643835616438</v>
      </c>
      <c r="O38" s="1454">
        <f t="shared" si="1"/>
        <v>7.6438356164383565</v>
      </c>
      <c r="P38" s="1455">
        <f t="shared" si="1"/>
        <v>7.0684931506849313</v>
      </c>
      <c r="Q38" s="1456">
        <f t="shared" si="1"/>
        <v>8.1369863013698627</v>
      </c>
    </row>
    <row r="39" spans="1:17" s="673" customFormat="1" x14ac:dyDescent="0.2">
      <c r="A39" s="1445"/>
      <c r="B39" s="1445"/>
      <c r="C39" s="1446" t="s">
        <v>82</v>
      </c>
      <c r="D39" s="1447">
        <v>30</v>
      </c>
      <c r="E39" s="1447" t="s">
        <v>328</v>
      </c>
      <c r="F39" s="1448" t="str">
        <f>'TRAD-Prix 10-2011 GPRM $'!B43</f>
        <v>Cp</v>
      </c>
      <c r="G39" s="1449">
        <v>2</v>
      </c>
      <c r="H39" s="1450">
        <v>60</v>
      </c>
      <c r="I39" s="1451">
        <v>19</v>
      </c>
      <c r="J39" s="1452">
        <v>18</v>
      </c>
      <c r="K39" s="1453">
        <v>21</v>
      </c>
      <c r="L39" s="1454">
        <f t="shared" si="0"/>
        <v>2.6027397260273973E-2</v>
      </c>
      <c r="M39" s="1455">
        <f t="shared" si="0"/>
        <v>2.4657534246575342E-2</v>
      </c>
      <c r="N39" s="1456">
        <f t="shared" si="0"/>
        <v>2.8767123287671233E-2</v>
      </c>
      <c r="O39" s="1454">
        <f t="shared" si="1"/>
        <v>1.5616438356164384</v>
      </c>
      <c r="P39" s="1455">
        <f t="shared" si="1"/>
        <v>1.4794520547945205</v>
      </c>
      <c r="Q39" s="1456">
        <f t="shared" si="1"/>
        <v>1.726027397260274</v>
      </c>
    </row>
    <row r="40" spans="1:17" s="673" customFormat="1" x14ac:dyDescent="0.2">
      <c r="A40" s="1445"/>
      <c r="B40" s="1445"/>
      <c r="C40" s="1446" t="s">
        <v>34</v>
      </c>
      <c r="D40" s="1447">
        <v>150</v>
      </c>
      <c r="E40" s="1447" t="s">
        <v>328</v>
      </c>
      <c r="F40" s="1448" t="str">
        <f>'TRAD-Prix 10-2011 GPRM $'!B43</f>
        <v>Cp</v>
      </c>
      <c r="G40" s="1449">
        <v>2</v>
      </c>
      <c r="H40" s="1450">
        <v>60</v>
      </c>
      <c r="I40" s="1451">
        <v>29</v>
      </c>
      <c r="J40" s="1452">
        <v>29</v>
      </c>
      <c r="K40" s="1453">
        <v>37</v>
      </c>
      <c r="L40" s="1454">
        <f t="shared" si="0"/>
        <v>3.9726027397260277E-2</v>
      </c>
      <c r="M40" s="1455">
        <f t="shared" si="0"/>
        <v>3.9726027397260277E-2</v>
      </c>
      <c r="N40" s="1456">
        <f t="shared" si="0"/>
        <v>5.0684931506849315E-2</v>
      </c>
      <c r="O40" s="1454">
        <f t="shared" si="1"/>
        <v>2.3835616438356166</v>
      </c>
      <c r="P40" s="1455">
        <f t="shared" si="1"/>
        <v>2.3835616438356166</v>
      </c>
      <c r="Q40" s="1456">
        <f t="shared" si="1"/>
        <v>3.0410958904109591</v>
      </c>
    </row>
    <row r="41" spans="1:17" s="673" customFormat="1" x14ac:dyDescent="0.2">
      <c r="A41" s="1445"/>
      <c r="B41" s="1445"/>
      <c r="C41" s="1446"/>
      <c r="D41" s="1447"/>
      <c r="E41" s="1447"/>
      <c r="F41" s="1448"/>
      <c r="G41" s="1449"/>
      <c r="H41" s="1450"/>
      <c r="I41" s="1451"/>
      <c r="J41" s="1452"/>
      <c r="K41" s="1453"/>
      <c r="L41" s="1454"/>
      <c r="M41" s="1455"/>
      <c r="N41" s="1456"/>
      <c r="O41" s="1454"/>
      <c r="P41" s="1455"/>
      <c r="Q41" s="1456"/>
    </row>
    <row r="42" spans="1:17" s="673" customFormat="1" x14ac:dyDescent="0.2">
      <c r="A42" s="1445"/>
      <c r="B42" s="1445"/>
      <c r="C42" s="1446" t="s">
        <v>40</v>
      </c>
      <c r="D42" s="1447">
        <v>300</v>
      </c>
      <c r="E42" s="1447" t="s">
        <v>328</v>
      </c>
      <c r="F42" s="1448" t="str">
        <f>'TRAD-Prix 10-2011 GPRM $'!B43</f>
        <v>Cp</v>
      </c>
      <c r="G42" s="1449">
        <v>1</v>
      </c>
      <c r="H42" s="1450">
        <v>30</v>
      </c>
      <c r="I42" s="1451">
        <v>80</v>
      </c>
      <c r="J42" s="1452">
        <v>77</v>
      </c>
      <c r="K42" s="1453">
        <v>84</v>
      </c>
      <c r="L42" s="1454">
        <f t="shared" si="0"/>
        <v>0.21917808219178081</v>
      </c>
      <c r="M42" s="1455">
        <f t="shared" si="0"/>
        <v>0.21095890410958903</v>
      </c>
      <c r="N42" s="1456">
        <f t="shared" si="0"/>
        <v>0.23013698630136986</v>
      </c>
      <c r="O42" s="1454">
        <f t="shared" si="1"/>
        <v>6.5753424657534243</v>
      </c>
      <c r="P42" s="1455">
        <f t="shared" si="1"/>
        <v>6.3287671232876708</v>
      </c>
      <c r="Q42" s="1456">
        <f t="shared" si="1"/>
        <v>6.904109589041096</v>
      </c>
    </row>
    <row r="43" spans="1:17" s="673" customFormat="1" x14ac:dyDescent="0.2">
      <c r="A43" s="1445"/>
      <c r="B43" s="1445"/>
      <c r="C43" s="1446" t="s">
        <v>29</v>
      </c>
      <c r="D43" s="1447">
        <v>200</v>
      </c>
      <c r="E43" s="1447" t="s">
        <v>328</v>
      </c>
      <c r="F43" s="1448" t="str">
        <f>'TRAD-Prix 10-2011 GPRM $'!B43</f>
        <v>Cp</v>
      </c>
      <c r="G43" s="1449">
        <v>2</v>
      </c>
      <c r="H43" s="1450">
        <v>60</v>
      </c>
      <c r="I43" s="1451">
        <v>32</v>
      </c>
      <c r="J43" s="1452">
        <v>31</v>
      </c>
      <c r="K43" s="1453">
        <v>35</v>
      </c>
      <c r="L43" s="1454">
        <f t="shared" si="0"/>
        <v>4.3835616438356165E-2</v>
      </c>
      <c r="M43" s="1455">
        <f t="shared" si="0"/>
        <v>4.2465753424657533E-2</v>
      </c>
      <c r="N43" s="1456">
        <f t="shared" si="0"/>
        <v>4.7945205479452052E-2</v>
      </c>
      <c r="O43" s="1454">
        <f t="shared" si="1"/>
        <v>2.6301369863013697</v>
      </c>
      <c r="P43" s="1455">
        <f t="shared" si="1"/>
        <v>2.547945205479452</v>
      </c>
      <c r="Q43" s="1456">
        <f t="shared" si="1"/>
        <v>2.8767123287671232</v>
      </c>
    </row>
    <row r="44" spans="1:17" s="673" customFormat="1" x14ac:dyDescent="0.2">
      <c r="A44" s="1445"/>
      <c r="B44" s="1445"/>
      <c r="C44" s="1446" t="s">
        <v>27</v>
      </c>
      <c r="D44" s="1447">
        <v>200</v>
      </c>
      <c r="E44" s="1447" t="s">
        <v>328</v>
      </c>
      <c r="F44" s="1448" t="str">
        <f>'TRAD-Prix 10-2011 GPRM $'!B44</f>
        <v>Gélule</v>
      </c>
      <c r="G44" s="1449">
        <v>3</v>
      </c>
      <c r="H44" s="1450">
        <v>90</v>
      </c>
      <c r="I44" s="1451">
        <v>150</v>
      </c>
      <c r="J44" s="1452">
        <v>104</v>
      </c>
      <c r="K44" s="1453">
        <v>156</v>
      </c>
      <c r="L44" s="1454">
        <f t="shared" si="0"/>
        <v>0.13698630136986301</v>
      </c>
      <c r="M44" s="1455">
        <f t="shared" si="0"/>
        <v>9.4977168949771693E-2</v>
      </c>
      <c r="N44" s="1456">
        <f t="shared" si="0"/>
        <v>0.14246575342465753</v>
      </c>
      <c r="O44" s="1454">
        <f t="shared" si="1"/>
        <v>12.328767123287671</v>
      </c>
      <c r="P44" s="1455">
        <f t="shared" si="1"/>
        <v>8.5479452054794525</v>
      </c>
      <c r="Q44" s="1456">
        <f t="shared" si="1"/>
        <v>12.821917808219178</v>
      </c>
    </row>
    <row r="45" spans="1:17" s="673" customFormat="1" ht="13.5" thickBot="1" x14ac:dyDescent="0.25">
      <c r="A45" s="1477"/>
      <c r="B45" s="1477"/>
      <c r="C45" s="1478" t="s">
        <v>27</v>
      </c>
      <c r="D45" s="1479">
        <v>600</v>
      </c>
      <c r="E45" s="1479" t="s">
        <v>328</v>
      </c>
      <c r="F45" s="1480" t="str">
        <f>'TRAD-Prix 10-2011 GPRM $'!B43</f>
        <v>Cp</v>
      </c>
      <c r="G45" s="1481">
        <v>1</v>
      </c>
      <c r="H45" s="1482">
        <v>30</v>
      </c>
      <c r="I45" s="1483">
        <v>52</v>
      </c>
      <c r="J45" s="1484">
        <v>52</v>
      </c>
      <c r="K45" s="1485">
        <v>55</v>
      </c>
      <c r="L45" s="1486">
        <f t="shared" si="0"/>
        <v>0.14246575342465753</v>
      </c>
      <c r="M45" s="1487">
        <f t="shared" si="0"/>
        <v>0.14246575342465753</v>
      </c>
      <c r="N45" s="1488">
        <f t="shared" si="0"/>
        <v>0.15068493150684931</v>
      </c>
      <c r="O45" s="1486">
        <f t="shared" si="1"/>
        <v>4.2739726027397262</v>
      </c>
      <c r="P45" s="1487">
        <f t="shared" si="1"/>
        <v>4.2739726027397262</v>
      </c>
      <c r="Q45" s="1488">
        <f t="shared" si="1"/>
        <v>4.5205479452054789</v>
      </c>
    </row>
    <row r="46" spans="1:17" s="673" customFormat="1" x14ac:dyDescent="0.2">
      <c r="A46" s="1432" t="str">
        <f>'TRAD-Prix 10-2011 GPRM $'!B42</f>
        <v>2 &amp; 3èmes lignes</v>
      </c>
      <c r="B46" s="1432" t="s">
        <v>31</v>
      </c>
      <c r="C46" s="1433" t="s">
        <v>36</v>
      </c>
      <c r="D46" s="1434">
        <v>300</v>
      </c>
      <c r="E46" s="1434" t="s">
        <v>328</v>
      </c>
      <c r="F46" s="1435" t="str">
        <f>'TRAD-Prix 10-2011 GPRM $'!B43</f>
        <v>Cp</v>
      </c>
      <c r="G46" s="1436">
        <v>2</v>
      </c>
      <c r="H46" s="1437">
        <v>60</v>
      </c>
      <c r="I46" s="1438">
        <v>181</v>
      </c>
      <c r="J46" s="1439">
        <v>177</v>
      </c>
      <c r="K46" s="1440">
        <v>207</v>
      </c>
      <c r="L46" s="1441">
        <f t="shared" si="0"/>
        <v>0.24794520547945206</v>
      </c>
      <c r="M46" s="1442">
        <f t="shared" si="0"/>
        <v>0.24246575342465754</v>
      </c>
      <c r="N46" s="1443">
        <f t="shared" si="0"/>
        <v>0.28356164383561644</v>
      </c>
      <c r="O46" s="1441">
        <f t="shared" si="1"/>
        <v>14.876712328767123</v>
      </c>
      <c r="P46" s="1442">
        <f t="shared" si="1"/>
        <v>14.547945205479452</v>
      </c>
      <c r="Q46" s="1443">
        <f t="shared" si="1"/>
        <v>17.013698630136986</v>
      </c>
    </row>
    <row r="47" spans="1:17" s="673" customFormat="1" x14ac:dyDescent="0.2">
      <c r="A47" s="1469"/>
      <c r="B47" s="1469"/>
      <c r="C47" s="2966"/>
      <c r="D47" s="1470"/>
      <c r="E47" s="1470"/>
      <c r="F47" s="2967"/>
      <c r="G47" s="2968"/>
      <c r="H47" s="2969"/>
      <c r="I47" s="1471"/>
      <c r="J47" s="1472"/>
      <c r="K47" s="1473"/>
      <c r="L47" s="1474"/>
      <c r="M47" s="1475"/>
      <c r="N47" s="1476"/>
      <c r="O47" s="1474"/>
      <c r="P47" s="1475"/>
      <c r="Q47" s="1476"/>
    </row>
    <row r="48" spans="1:17" s="673" customFormat="1" x14ac:dyDescent="0.2">
      <c r="A48" s="1445"/>
      <c r="B48" s="1445"/>
      <c r="C48" s="1446" t="s">
        <v>37</v>
      </c>
      <c r="D48" s="1447">
        <v>100</v>
      </c>
      <c r="E48" s="1447" t="s">
        <v>328</v>
      </c>
      <c r="F48" s="1448" t="str">
        <f>'TRAD-Prix 10-2011 GPRM $'!B43</f>
        <v>Cp</v>
      </c>
      <c r="G48" s="1449">
        <v>4</v>
      </c>
      <c r="H48" s="1450">
        <v>30</v>
      </c>
      <c r="I48" s="1574">
        <v>188</v>
      </c>
      <c r="J48" s="1575">
        <v>180</v>
      </c>
      <c r="K48" s="1576">
        <v>188</v>
      </c>
      <c r="L48" s="1454">
        <f t="shared" si="0"/>
        <v>0.12876712328767123</v>
      </c>
      <c r="M48" s="1455">
        <f t="shared" si="0"/>
        <v>0.12328767123287671</v>
      </c>
      <c r="N48" s="1456">
        <f t="shared" si="0"/>
        <v>0.12876712328767123</v>
      </c>
      <c r="O48" s="1454">
        <f t="shared" si="1"/>
        <v>3.8630136986301369</v>
      </c>
      <c r="P48" s="1455">
        <f t="shared" si="1"/>
        <v>3.6986301369863011</v>
      </c>
      <c r="Q48" s="1456">
        <f t="shared" si="1"/>
        <v>3.8630136986301369</v>
      </c>
    </row>
    <row r="49" spans="1:18" s="673" customFormat="1" x14ac:dyDescent="0.2">
      <c r="A49" s="1445"/>
      <c r="B49" s="1445"/>
      <c r="C49" s="1446" t="s">
        <v>37</v>
      </c>
      <c r="D49" s="1447">
        <v>200</v>
      </c>
      <c r="E49" s="1447" t="s">
        <v>328</v>
      </c>
      <c r="F49" s="1448" t="str">
        <f>'TRAD-Prix 10-2011 GPRM $'!B43</f>
        <v>Cp</v>
      </c>
      <c r="G49" s="1449">
        <v>2</v>
      </c>
      <c r="H49" s="1450">
        <v>30</v>
      </c>
      <c r="I49" s="1451">
        <v>268</v>
      </c>
      <c r="J49" s="1452">
        <v>268</v>
      </c>
      <c r="K49" s="1453">
        <v>268</v>
      </c>
      <c r="L49" s="1454">
        <f t="shared" si="0"/>
        <v>0.36712328767123287</v>
      </c>
      <c r="M49" s="1455">
        <f t="shared" si="0"/>
        <v>0.36712328767123287</v>
      </c>
      <c r="N49" s="1456">
        <f t="shared" si="0"/>
        <v>0.36712328767123287</v>
      </c>
      <c r="O49" s="1454">
        <f t="shared" si="1"/>
        <v>11.013698630136986</v>
      </c>
      <c r="P49" s="1455">
        <f t="shared" si="1"/>
        <v>11.013698630136986</v>
      </c>
      <c r="Q49" s="1456">
        <f t="shared" si="1"/>
        <v>11.013698630136986</v>
      </c>
    </row>
    <row r="50" spans="1:18" s="673" customFormat="1" x14ac:dyDescent="0.2">
      <c r="A50" s="1445"/>
      <c r="B50" s="1445"/>
      <c r="C50" s="1446" t="s">
        <v>37</v>
      </c>
      <c r="D50" s="1447">
        <v>250</v>
      </c>
      <c r="E50" s="1447" t="s">
        <v>328</v>
      </c>
      <c r="F50" s="1448" t="str">
        <f>'TRAD-Prix 10-2011 GPRM $'!B44</f>
        <v>Gélule</v>
      </c>
      <c r="G50" s="1449">
        <v>1</v>
      </c>
      <c r="H50" s="1450">
        <v>30</v>
      </c>
      <c r="I50" s="1451">
        <v>181</v>
      </c>
      <c r="J50" s="1452">
        <v>163</v>
      </c>
      <c r="K50" s="1453">
        <v>213</v>
      </c>
      <c r="L50" s="1454">
        <f t="shared" si="0"/>
        <v>0.49589041095890413</v>
      </c>
      <c r="M50" s="1455">
        <f t="shared" si="0"/>
        <v>0.44657534246575342</v>
      </c>
      <c r="N50" s="1456">
        <f t="shared" si="0"/>
        <v>0.58356164383561648</v>
      </c>
      <c r="O50" s="1454">
        <f t="shared" si="1"/>
        <v>14.876712328767123</v>
      </c>
      <c r="P50" s="1455">
        <f t="shared" si="1"/>
        <v>13.397260273972602</v>
      </c>
      <c r="Q50" s="1456">
        <f t="shared" si="1"/>
        <v>17.506849315068493</v>
      </c>
    </row>
    <row r="51" spans="1:18" s="673" customFormat="1" x14ac:dyDescent="0.2">
      <c r="A51" s="1445"/>
      <c r="B51" s="1457"/>
      <c r="C51" s="1458" t="s">
        <v>37</v>
      </c>
      <c r="D51" s="1459">
        <v>400</v>
      </c>
      <c r="E51" s="1459" t="s">
        <v>328</v>
      </c>
      <c r="F51" s="1460" t="str">
        <f>'TRAD-Prix 10-2011 GPRM $'!B44</f>
        <v>Gélule</v>
      </c>
      <c r="G51" s="1461">
        <v>1</v>
      </c>
      <c r="H51" s="1462">
        <v>30</v>
      </c>
      <c r="I51" s="1463">
        <v>244</v>
      </c>
      <c r="J51" s="1464">
        <v>170</v>
      </c>
      <c r="K51" s="1465">
        <v>267</v>
      </c>
      <c r="L51" s="1466">
        <f t="shared" si="0"/>
        <v>0.66849315068493154</v>
      </c>
      <c r="M51" s="1467">
        <f t="shared" si="0"/>
        <v>0.46575342465753422</v>
      </c>
      <c r="N51" s="1468">
        <f t="shared" si="0"/>
        <v>0.73150684931506849</v>
      </c>
      <c r="O51" s="1466">
        <f t="shared" si="1"/>
        <v>20.054794520547947</v>
      </c>
      <c r="P51" s="1467">
        <f t="shared" si="1"/>
        <v>13.972602739726026</v>
      </c>
      <c r="Q51" s="1468">
        <f t="shared" si="1"/>
        <v>21.945205479452056</v>
      </c>
    </row>
    <row r="52" spans="1:18" s="673" customFormat="1" x14ac:dyDescent="0.2">
      <c r="A52" s="1469"/>
      <c r="B52" s="1445" t="s">
        <v>41</v>
      </c>
      <c r="C52" s="1446" t="s">
        <v>44</v>
      </c>
      <c r="D52" s="1447">
        <v>200</v>
      </c>
      <c r="E52" s="1447" t="s">
        <v>328</v>
      </c>
      <c r="F52" s="1448" t="str">
        <f>'TRAD-Prix 10-2011 GPRM $'!B44</f>
        <v>Gélule</v>
      </c>
      <c r="G52" s="1449">
        <v>8</v>
      </c>
      <c r="H52" s="1450">
        <v>360</v>
      </c>
      <c r="I52" s="1451">
        <v>730</v>
      </c>
      <c r="J52" s="1452">
        <v>730</v>
      </c>
      <c r="K52" s="1453">
        <v>730</v>
      </c>
      <c r="L52" s="1454">
        <f t="shared" si="0"/>
        <v>0.25</v>
      </c>
      <c r="M52" s="1455">
        <f t="shared" si="0"/>
        <v>0.25</v>
      </c>
      <c r="N52" s="1456">
        <f t="shared" si="0"/>
        <v>0.25</v>
      </c>
      <c r="O52" s="1454">
        <f t="shared" si="1"/>
        <v>90</v>
      </c>
      <c r="P52" s="1455">
        <f t="shared" si="1"/>
        <v>90</v>
      </c>
      <c r="Q52" s="1456">
        <f t="shared" si="1"/>
        <v>90</v>
      </c>
    </row>
    <row r="53" spans="1:18" s="673" customFormat="1" x14ac:dyDescent="0.2">
      <c r="A53" s="1469"/>
      <c r="B53" s="1445"/>
      <c r="C53" s="1446" t="s">
        <v>44</v>
      </c>
      <c r="D53" s="1447">
        <v>400</v>
      </c>
      <c r="E53" s="1447" t="s">
        <v>328</v>
      </c>
      <c r="F53" s="1448" t="str">
        <f>'TRAD-Prix 10-2011 GPRM $'!B44</f>
        <v>Gélule</v>
      </c>
      <c r="G53" s="1449">
        <v>4</v>
      </c>
      <c r="H53" s="1450">
        <v>180</v>
      </c>
      <c r="I53" s="1451">
        <v>406</v>
      </c>
      <c r="J53" s="1452">
        <v>406</v>
      </c>
      <c r="K53" s="1453">
        <v>467</v>
      </c>
      <c r="L53" s="1454">
        <f t="shared" si="0"/>
        <v>0.27808219178082194</v>
      </c>
      <c r="M53" s="1455">
        <f t="shared" si="0"/>
        <v>0.27808219178082194</v>
      </c>
      <c r="N53" s="1456">
        <f t="shared" si="0"/>
        <v>0.31986301369863013</v>
      </c>
      <c r="O53" s="1454">
        <f t="shared" si="1"/>
        <v>50.054794520547951</v>
      </c>
      <c r="P53" s="1455">
        <f t="shared" si="1"/>
        <v>50.054794520547951</v>
      </c>
      <c r="Q53" s="1456">
        <f t="shared" si="1"/>
        <v>57.575342465753423</v>
      </c>
    </row>
    <row r="54" spans="1:18" s="673" customFormat="1" x14ac:dyDescent="0.2">
      <c r="A54" s="1445"/>
      <c r="B54" s="1445"/>
      <c r="C54" s="1446" t="s">
        <v>42</v>
      </c>
      <c r="D54" s="1447" t="s">
        <v>341</v>
      </c>
      <c r="E54" s="1447" t="s">
        <v>328</v>
      </c>
      <c r="F54" s="1448" t="str">
        <f>'TRAD-Prix 10-2011 GPRM $'!B43</f>
        <v>Cp</v>
      </c>
      <c r="G54" s="1449">
        <v>4</v>
      </c>
      <c r="H54" s="1450">
        <v>120</v>
      </c>
      <c r="I54" s="1451">
        <v>410</v>
      </c>
      <c r="J54" s="1452">
        <v>375</v>
      </c>
      <c r="K54" s="1453">
        <v>442</v>
      </c>
      <c r="L54" s="1454">
        <f t="shared" si="0"/>
        <v>0.28082191780821919</v>
      </c>
      <c r="M54" s="1455">
        <f t="shared" si="0"/>
        <v>0.25684931506849318</v>
      </c>
      <c r="N54" s="1456">
        <f t="shared" si="0"/>
        <v>0.30273972602739724</v>
      </c>
      <c r="O54" s="1454">
        <f t="shared" si="1"/>
        <v>33.698630136986303</v>
      </c>
      <c r="P54" s="1455">
        <f t="shared" si="1"/>
        <v>30.821917808219183</v>
      </c>
      <c r="Q54" s="1456">
        <f t="shared" si="1"/>
        <v>36.328767123287669</v>
      </c>
    </row>
    <row r="55" spans="1:18" s="673" customFormat="1" x14ac:dyDescent="0.2">
      <c r="A55" s="1445"/>
      <c r="B55" s="1445"/>
      <c r="C55" s="1446"/>
      <c r="D55" s="1447"/>
      <c r="E55" s="1447"/>
      <c r="F55" s="1448"/>
      <c r="G55" s="1449"/>
      <c r="H55" s="1450"/>
      <c r="I55" s="1451"/>
      <c r="J55" s="1452"/>
      <c r="K55" s="1453"/>
      <c r="L55" s="1454"/>
      <c r="M55" s="1455"/>
      <c r="N55" s="1456"/>
      <c r="O55" s="1454"/>
      <c r="P55" s="1455"/>
      <c r="Q55" s="1456"/>
    </row>
    <row r="56" spans="1:18" s="673" customFormat="1" x14ac:dyDescent="0.2">
      <c r="A56" s="1445"/>
      <c r="B56" s="1445"/>
      <c r="C56" s="1446" t="s">
        <v>342</v>
      </c>
      <c r="D56" s="1447">
        <v>250</v>
      </c>
      <c r="E56" s="1447" t="s">
        <v>328</v>
      </c>
      <c r="F56" s="1448" t="str">
        <f>'TRAD-Prix 10-2011 GPRM $'!B44</f>
        <v>Gélule</v>
      </c>
      <c r="G56" s="1449">
        <v>10</v>
      </c>
      <c r="H56" s="1450">
        <v>300</v>
      </c>
      <c r="I56" s="1574">
        <v>1703</v>
      </c>
      <c r="J56" s="1575">
        <v>1703</v>
      </c>
      <c r="K56" s="1576">
        <v>1703</v>
      </c>
      <c r="L56" s="1454">
        <f t="shared" si="0"/>
        <v>0.46657534246575344</v>
      </c>
      <c r="M56" s="1455">
        <f t="shared" si="0"/>
        <v>0.46657534246575344</v>
      </c>
      <c r="N56" s="1456">
        <f t="shared" si="0"/>
        <v>0.46657534246575344</v>
      </c>
      <c r="O56" s="1454">
        <f t="shared" si="1"/>
        <v>139.97260273972603</v>
      </c>
      <c r="P56" s="1455">
        <f t="shared" si="1"/>
        <v>139.97260273972603</v>
      </c>
      <c r="Q56" s="1456">
        <f t="shared" si="1"/>
        <v>139.97260273972603</v>
      </c>
    </row>
    <row r="57" spans="1:18" s="673" customFormat="1" x14ac:dyDescent="0.2">
      <c r="A57" s="1445"/>
      <c r="B57" s="1445"/>
      <c r="C57" s="1446" t="s">
        <v>45</v>
      </c>
      <c r="D57" s="1447">
        <v>100</v>
      </c>
      <c r="E57" s="1447" t="s">
        <v>328</v>
      </c>
      <c r="F57" s="1448" t="s">
        <v>133</v>
      </c>
      <c r="G57" s="1449">
        <v>2</v>
      </c>
      <c r="H57" s="1450">
        <v>84</v>
      </c>
      <c r="I57" s="1451">
        <v>84</v>
      </c>
      <c r="J57" s="1452">
        <v>84</v>
      </c>
      <c r="K57" s="1453">
        <v>121</v>
      </c>
      <c r="L57" s="1454">
        <f t="shared" si="0"/>
        <v>0.11506849315068493</v>
      </c>
      <c r="M57" s="1455">
        <f t="shared" si="0"/>
        <v>0.11506849315068493</v>
      </c>
      <c r="N57" s="1456">
        <f t="shared" si="0"/>
        <v>0.16575342465753426</v>
      </c>
      <c r="O57" s="1454">
        <f t="shared" si="1"/>
        <v>9.6657534246575345</v>
      </c>
      <c r="P57" s="1455">
        <f t="shared" si="1"/>
        <v>9.6657534246575345</v>
      </c>
      <c r="Q57" s="1456">
        <f t="shared" si="1"/>
        <v>13.923287671232877</v>
      </c>
    </row>
    <row r="58" spans="1:18" s="673" customFormat="1" x14ac:dyDescent="0.2">
      <c r="A58" s="1445"/>
      <c r="B58" s="1445"/>
      <c r="C58" s="1446" t="s">
        <v>126</v>
      </c>
      <c r="D58" s="1447">
        <v>200</v>
      </c>
      <c r="E58" s="1447" t="s">
        <v>328</v>
      </c>
      <c r="F58" s="1448" t="str">
        <f>'TRAD-Prix 10-2011 GPRM $'!B43</f>
        <v>Cp</v>
      </c>
      <c r="G58" s="1449">
        <v>10</v>
      </c>
      <c r="H58" s="1450">
        <v>270</v>
      </c>
      <c r="I58" s="1451">
        <v>1400</v>
      </c>
      <c r="J58" s="1452">
        <v>1400</v>
      </c>
      <c r="K58" s="1453">
        <v>1400</v>
      </c>
      <c r="L58" s="1454">
        <f t="shared" si="0"/>
        <v>0.38356164383561642</v>
      </c>
      <c r="M58" s="1455">
        <f t="shared" si="0"/>
        <v>0.38356164383561642</v>
      </c>
      <c r="N58" s="1456">
        <f t="shared" si="0"/>
        <v>0.38356164383561642</v>
      </c>
      <c r="O58" s="1454">
        <f t="shared" si="1"/>
        <v>103.56164383561644</v>
      </c>
      <c r="P58" s="1455">
        <f t="shared" si="1"/>
        <v>103.56164383561644</v>
      </c>
      <c r="Q58" s="1456">
        <f t="shared" si="1"/>
        <v>103.56164383561644</v>
      </c>
    </row>
    <row r="59" spans="1:18" s="673" customFormat="1" x14ac:dyDescent="0.2">
      <c r="A59" s="1445"/>
      <c r="B59" s="1445"/>
      <c r="C59" s="1446" t="s">
        <v>262</v>
      </c>
      <c r="D59" s="1447">
        <v>150</v>
      </c>
      <c r="E59" s="1447" t="s">
        <v>328</v>
      </c>
      <c r="F59" s="1448" t="str">
        <f>'TRAD-Prix 10-2011 GPRM $'!B44</f>
        <v>Gélule</v>
      </c>
      <c r="G59" s="1449">
        <v>2</v>
      </c>
      <c r="H59" s="1450">
        <v>60</v>
      </c>
      <c r="I59" s="1451">
        <v>268</v>
      </c>
      <c r="J59" s="1452">
        <v>268</v>
      </c>
      <c r="K59" s="1453">
        <v>268</v>
      </c>
      <c r="L59" s="1454">
        <f t="shared" si="0"/>
        <v>0.36712328767123287</v>
      </c>
      <c r="M59" s="1455">
        <f t="shared" si="0"/>
        <v>0.36712328767123287</v>
      </c>
      <c r="N59" s="1456">
        <f t="shared" si="0"/>
        <v>0.36712328767123287</v>
      </c>
      <c r="O59" s="1454">
        <f t="shared" si="1"/>
        <v>22.027397260273972</v>
      </c>
      <c r="P59" s="1455">
        <f t="shared" si="1"/>
        <v>22.027397260273972</v>
      </c>
      <c r="Q59" s="1456">
        <f t="shared" si="1"/>
        <v>22.027397260273972</v>
      </c>
      <c r="R59" s="716"/>
    </row>
    <row r="60" spans="1:18" s="673" customFormat="1" x14ac:dyDescent="0.2">
      <c r="A60" s="1445"/>
      <c r="B60" s="1445"/>
      <c r="C60" s="1446" t="s">
        <v>262</v>
      </c>
      <c r="D60" s="1447">
        <v>200</v>
      </c>
      <c r="E60" s="1470" t="s">
        <v>328</v>
      </c>
      <c r="F60" s="1448" t="str">
        <f>'TRAD-Prix 10-2011 GPRM $'!B44</f>
        <v>Gélule</v>
      </c>
      <c r="G60" s="1449">
        <v>2</v>
      </c>
      <c r="H60" s="1450">
        <v>60</v>
      </c>
      <c r="I60" s="1577">
        <v>515</v>
      </c>
      <c r="J60" s="1578">
        <v>515</v>
      </c>
      <c r="K60" s="1579">
        <v>515</v>
      </c>
      <c r="L60" s="1474">
        <f t="shared" si="0"/>
        <v>0.70547945205479456</v>
      </c>
      <c r="M60" s="1475">
        <f t="shared" si="0"/>
        <v>0.70547945205479456</v>
      </c>
      <c r="N60" s="1476">
        <f t="shared" si="0"/>
        <v>0.70547945205479456</v>
      </c>
      <c r="O60" s="1474">
        <f t="shared" si="1"/>
        <v>42.328767123287676</v>
      </c>
      <c r="P60" s="1475">
        <f t="shared" si="1"/>
        <v>42.328767123287676</v>
      </c>
      <c r="Q60" s="1476">
        <f t="shared" si="1"/>
        <v>42.328767123287676</v>
      </c>
      <c r="R60" s="716"/>
    </row>
    <row r="61" spans="1:18" s="673" customFormat="1" x14ac:dyDescent="0.2">
      <c r="A61" s="1445"/>
      <c r="B61" s="1489"/>
      <c r="C61" s="1580" t="s">
        <v>598</v>
      </c>
      <c r="D61" s="1581">
        <v>700</v>
      </c>
      <c r="E61" s="1564" t="s">
        <v>328</v>
      </c>
      <c r="F61" s="1582" t="str">
        <f>'TRAD-Prix 10-2011 GPRM $'!B43</f>
        <v>Cp</v>
      </c>
      <c r="G61" s="1490">
        <v>2</v>
      </c>
      <c r="H61" s="1491">
        <v>60</v>
      </c>
      <c r="I61" s="1492">
        <v>1131</v>
      </c>
      <c r="J61" s="1493">
        <v>1131</v>
      </c>
      <c r="K61" s="1494">
        <v>1131</v>
      </c>
      <c r="L61" s="1565">
        <f t="shared" si="0"/>
        <v>1.5493150684931507</v>
      </c>
      <c r="M61" s="1566">
        <f t="shared" si="0"/>
        <v>1.5493150684931507</v>
      </c>
      <c r="N61" s="1567">
        <f t="shared" si="0"/>
        <v>1.5493150684931507</v>
      </c>
      <c r="O61" s="1565">
        <f t="shared" si="1"/>
        <v>92.958904109589042</v>
      </c>
      <c r="P61" s="1566">
        <f t="shared" si="1"/>
        <v>92.958904109589042</v>
      </c>
      <c r="Q61" s="1567">
        <f t="shared" si="1"/>
        <v>92.958904109589042</v>
      </c>
      <c r="R61" s="716" t="s">
        <v>654</v>
      </c>
    </row>
    <row r="62" spans="1:18" s="673" customFormat="1" x14ac:dyDescent="0.2">
      <c r="A62" s="1445"/>
      <c r="B62" s="1457"/>
      <c r="C62" s="1458" t="s">
        <v>264</v>
      </c>
      <c r="D62" s="1459">
        <v>300</v>
      </c>
      <c r="E62" s="1459" t="s">
        <v>328</v>
      </c>
      <c r="F62" s="1460" t="str">
        <f>'TRAD-Prix 10-2011 GPRM $'!B43</f>
        <v>Cp</v>
      </c>
      <c r="G62" s="1461">
        <v>4</v>
      </c>
      <c r="H62" s="1462">
        <v>120</v>
      </c>
      <c r="I62" s="1463">
        <v>1132</v>
      </c>
      <c r="J62" s="1464">
        <v>1128</v>
      </c>
      <c r="K62" s="1465">
        <v>1135</v>
      </c>
      <c r="L62" s="1466">
        <f t="shared" si="0"/>
        <v>0.77534246575342469</v>
      </c>
      <c r="M62" s="1467">
        <f t="shared" si="0"/>
        <v>0.77260273972602744</v>
      </c>
      <c r="N62" s="1468">
        <f t="shared" si="0"/>
        <v>0.7773972602739726</v>
      </c>
      <c r="O62" s="1466">
        <f t="shared" si="1"/>
        <v>93.041095890410958</v>
      </c>
      <c r="P62" s="1467">
        <f t="shared" si="1"/>
        <v>92.712328767123296</v>
      </c>
      <c r="Q62" s="1468">
        <f t="shared" si="1"/>
        <v>93.287671232876718</v>
      </c>
      <c r="R62" s="716"/>
    </row>
    <row r="63" spans="1:18" s="673" customFormat="1" x14ac:dyDescent="0.2">
      <c r="A63" s="1445"/>
      <c r="B63" s="1583" t="s">
        <v>599</v>
      </c>
      <c r="C63" s="1584" t="s">
        <v>600</v>
      </c>
      <c r="D63" s="1585">
        <v>400</v>
      </c>
      <c r="E63" s="1585" t="s">
        <v>328</v>
      </c>
      <c r="F63" s="1586" t="str">
        <f>'TRAD-Prix 10-2011 GPRM $'!B43</f>
        <v>Cp</v>
      </c>
      <c r="G63" s="1587">
        <v>2</v>
      </c>
      <c r="H63" s="1588">
        <v>60</v>
      </c>
      <c r="I63" s="1589">
        <v>2227</v>
      </c>
      <c r="J63" s="1590">
        <v>2227</v>
      </c>
      <c r="K63" s="1591">
        <v>2227</v>
      </c>
      <c r="L63" s="1592">
        <f t="shared" si="0"/>
        <v>3.0506849315068494</v>
      </c>
      <c r="M63" s="1593">
        <f t="shared" si="0"/>
        <v>3.0506849315068494</v>
      </c>
      <c r="N63" s="1594">
        <f t="shared" si="0"/>
        <v>3.0506849315068494</v>
      </c>
      <c r="O63" s="1592">
        <f t="shared" si="1"/>
        <v>183.04109589041096</v>
      </c>
      <c r="P63" s="1593">
        <f t="shared" si="1"/>
        <v>183.04109589041096</v>
      </c>
      <c r="Q63" s="1594">
        <f t="shared" si="1"/>
        <v>183.04109589041096</v>
      </c>
      <c r="R63" s="716"/>
    </row>
    <row r="64" spans="1:18" s="673" customFormat="1" ht="13.5" thickBot="1" x14ac:dyDescent="0.25">
      <c r="A64" s="1477"/>
      <c r="B64" s="1595" t="s">
        <v>26</v>
      </c>
      <c r="C64" s="1596" t="s">
        <v>354</v>
      </c>
      <c r="D64" s="1597">
        <v>100</v>
      </c>
      <c r="E64" s="1597" t="s">
        <v>328</v>
      </c>
      <c r="F64" s="1598" t="str">
        <f>'TRAD-Prix 10-2011 GPRM $'!B43</f>
        <v>Cp</v>
      </c>
      <c r="G64" s="1599">
        <v>4</v>
      </c>
      <c r="H64" s="1600">
        <v>120</v>
      </c>
      <c r="I64" s="1601">
        <v>1045</v>
      </c>
      <c r="J64" s="1602">
        <v>1035</v>
      </c>
      <c r="K64" s="1603">
        <v>1054</v>
      </c>
      <c r="L64" s="1604">
        <f t="shared" si="0"/>
        <v>0.71575342465753422</v>
      </c>
      <c r="M64" s="1605">
        <f t="shared" si="0"/>
        <v>0.70890410958904104</v>
      </c>
      <c r="N64" s="1606">
        <f t="shared" si="0"/>
        <v>0.72191780821917806</v>
      </c>
      <c r="O64" s="1604">
        <f t="shared" si="1"/>
        <v>85.890410958904113</v>
      </c>
      <c r="P64" s="1605">
        <f t="shared" si="1"/>
        <v>85.06849315068493</v>
      </c>
      <c r="Q64" s="1606">
        <f t="shared" si="1"/>
        <v>86.630136986301366</v>
      </c>
      <c r="R64" s="716"/>
    </row>
    <row r="65" spans="1:19" s="673" customFormat="1" ht="63.75" customHeight="1" thickBot="1" x14ac:dyDescent="0.25">
      <c r="A65" s="710"/>
      <c r="B65" s="710"/>
      <c r="C65" s="710"/>
      <c r="D65" s="710"/>
      <c r="E65" s="711"/>
      <c r="F65" s="712"/>
      <c r="G65" s="713"/>
      <c r="H65" s="714"/>
      <c r="I65" s="715"/>
      <c r="J65" s="715"/>
      <c r="K65" s="715"/>
      <c r="L65" s="716"/>
      <c r="M65" s="716"/>
      <c r="N65" s="716"/>
      <c r="O65" s="714"/>
      <c r="P65" s="716"/>
      <c r="Q65" s="716"/>
      <c r="R65" s="716"/>
    </row>
    <row r="66" spans="1:19" s="673" customFormat="1" ht="102.75" thickBot="1" x14ac:dyDescent="0.25">
      <c r="B66" s="710"/>
      <c r="C66" s="717" t="str">
        <f>'TRAD-Prix 10-2011 GPRM $'!B16</f>
        <v>DCI</v>
      </c>
      <c r="D66" s="718" t="str">
        <f>'TRAD-Prix 10-2011 GPRM $'!B17</f>
        <v>Dosage</v>
      </c>
      <c r="E66" s="719" t="str">
        <f>'TRAD-Prix 10-2011 GPRM $'!B18</f>
        <v>Unité dosage</v>
      </c>
      <c r="F66" s="720" t="str">
        <f>'TRAD-Prix 10-2011 GPRM $'!B19</f>
        <v>Forme</v>
      </c>
      <c r="G66" s="721" t="str">
        <f>'TRAD-Prix 10-2011 GPRM $'!B27</f>
        <v>Nom commercial Princeps</v>
      </c>
      <c r="H66" s="721" t="str">
        <f>'TRAD-Prix 10-2011 GPRM $'!B28</f>
        <v>Existence d'un générique ? (G) préqualifié A ou B ? (GPQ)</v>
      </c>
      <c r="I66" s="722" t="str">
        <f>'TRAD-Prix 10-2011 GPRM $'!B20</f>
        <v>Nb d'unité de prises / jour</v>
      </c>
      <c r="J66" s="722" t="str">
        <f>'TRAD-Prix 10-2011 GPRM $'!B29</f>
        <v>Qtés / boites</v>
      </c>
      <c r="K66" s="722" t="str">
        <f>'TRAD-Prix 10-2011 GPRM $'!B24</f>
        <v>Prix / unité de prise  (US$)</v>
      </c>
      <c r="L66" s="722" t="str">
        <f>'TRAD-Prix 10-2011 GPRM $'!B26</f>
        <v>Prix / boite  (US$)</v>
      </c>
      <c r="M66" s="722" t="str">
        <f>'TRAD-Prix 10-2011 GPRM $'!B30</f>
        <v>Prix annuel (hors autres ARV pr trithérapie ou boost) 
(US$)</v>
      </c>
      <c r="N66" s="722" t="str">
        <f>'TRAD-Prix 10-2011 GPRM $'!B31</f>
        <v>Source</v>
      </c>
      <c r="O66" s="714"/>
      <c r="P66" s="716"/>
      <c r="Q66" s="716" t="s">
        <v>472</v>
      </c>
      <c r="R66" s="716"/>
    </row>
    <row r="67" spans="1:19" s="673" customFormat="1" x14ac:dyDescent="0.2">
      <c r="A67" s="3328"/>
      <c r="B67" s="710"/>
      <c r="C67" s="675" t="s">
        <v>262</v>
      </c>
      <c r="D67" s="676">
        <v>150</v>
      </c>
      <c r="E67" s="694" t="s">
        <v>328</v>
      </c>
      <c r="F67" s="677" t="str">
        <f>'TRAD-Prix 10-2011 GPRM $'!B44</f>
        <v>Gélule</v>
      </c>
      <c r="G67" s="677" t="s">
        <v>347</v>
      </c>
      <c r="H67" s="677" t="s">
        <v>348</v>
      </c>
      <c r="I67" s="678">
        <v>2</v>
      </c>
      <c r="J67" s="679">
        <v>60</v>
      </c>
      <c r="K67" s="723">
        <v>0.51650066666666661</v>
      </c>
      <c r="L67" s="723">
        <f>K67*J67</f>
        <v>30.990039999999997</v>
      </c>
      <c r="M67" s="723">
        <f>365*K67*I67</f>
        <v>377.04548666666665</v>
      </c>
      <c r="N67" s="723" t="s">
        <v>349</v>
      </c>
      <c r="O67" s="714"/>
      <c r="P67" s="716"/>
      <c r="Q67" s="716"/>
      <c r="R67" s="716"/>
    </row>
    <row r="68" spans="1:19" s="673" customFormat="1" ht="13.5" thickBot="1" x14ac:dyDescent="0.25">
      <c r="A68" s="3328"/>
      <c r="B68" s="710"/>
      <c r="C68" s="702" t="s">
        <v>262</v>
      </c>
      <c r="D68" s="703">
        <v>200</v>
      </c>
      <c r="E68" s="703" t="s">
        <v>328</v>
      </c>
      <c r="F68" s="704" t="str">
        <f>'TRAD-Prix 10-2011 GPRM $'!B44</f>
        <v>Gélule</v>
      </c>
      <c r="G68" s="704"/>
      <c r="H68" s="704" t="s">
        <v>348</v>
      </c>
      <c r="I68" s="705">
        <v>2</v>
      </c>
      <c r="J68" s="706">
        <v>60</v>
      </c>
      <c r="K68" s="724">
        <v>0.64278166666666658</v>
      </c>
      <c r="L68" s="724">
        <f>K68*J68</f>
        <v>38.566899999999997</v>
      </c>
      <c r="M68" s="724">
        <f>365*K68*I68</f>
        <v>469.23061666666661</v>
      </c>
      <c r="N68" s="724"/>
      <c r="O68" s="714"/>
      <c r="P68" s="716"/>
      <c r="Q68" s="716"/>
      <c r="R68" s="716"/>
    </row>
    <row r="69" spans="1:19" s="673" customFormat="1" ht="13.5" thickBot="1" x14ac:dyDescent="0.25">
      <c r="A69" s="1543"/>
      <c r="B69" s="710"/>
      <c r="C69" s="1478" t="s">
        <v>601</v>
      </c>
      <c r="D69" s="1479" t="s">
        <v>602</v>
      </c>
      <c r="E69" s="1479" t="s">
        <v>328</v>
      </c>
      <c r="F69" s="1480" t="str">
        <f>'TRAD-Prix 10-2011 GPRM $'!B43</f>
        <v>Cp</v>
      </c>
      <c r="G69" s="1480"/>
      <c r="H69" s="1480" t="s">
        <v>348</v>
      </c>
      <c r="I69" s="1481">
        <v>1</v>
      </c>
      <c r="J69" s="1482">
        <v>30</v>
      </c>
      <c r="K69" s="724">
        <f>L69/J69</f>
        <v>0.83333333333333337</v>
      </c>
      <c r="L69" s="724">
        <v>25</v>
      </c>
      <c r="M69" s="724">
        <f t="shared" ref="M69:M70" si="2">365*K69*I69</f>
        <v>304.16666666666669</v>
      </c>
      <c r="N69" s="724" t="s">
        <v>351</v>
      </c>
      <c r="O69" s="1499" t="s">
        <v>603</v>
      </c>
      <c r="P69" s="716"/>
      <c r="Q69" s="716"/>
      <c r="R69" s="716"/>
    </row>
    <row r="70" spans="1:19" s="673" customFormat="1" ht="13.5" thickBot="1" x14ac:dyDescent="0.25">
      <c r="A70" s="1543"/>
      <c r="B70" s="710"/>
      <c r="C70" s="1478" t="s">
        <v>612</v>
      </c>
      <c r="D70" s="1479" t="s">
        <v>651</v>
      </c>
      <c r="E70" s="1479" t="s">
        <v>328</v>
      </c>
      <c r="F70" s="1480" t="str">
        <f>'TRAD-Prix 10-2011 GPRM $'!B43</f>
        <v>Cp</v>
      </c>
      <c r="G70" s="1480"/>
      <c r="H70" s="1480"/>
      <c r="I70" s="1481">
        <v>1</v>
      </c>
      <c r="J70" s="1482">
        <v>30</v>
      </c>
      <c r="K70" s="724">
        <f>L70/J70</f>
        <v>1.0966666666666667</v>
      </c>
      <c r="L70" s="724">
        <v>32.9</v>
      </c>
      <c r="M70" s="724">
        <f t="shared" si="2"/>
        <v>400.28333333333336</v>
      </c>
      <c r="N70" s="724" t="s">
        <v>652</v>
      </c>
      <c r="O70" s="1499"/>
      <c r="P70" s="716"/>
      <c r="Q70" s="716"/>
      <c r="R70" s="716"/>
    </row>
    <row r="71" spans="1:19" s="673" customFormat="1" ht="13.5" thickBot="1" x14ac:dyDescent="0.25">
      <c r="A71" s="725"/>
      <c r="B71" s="710"/>
      <c r="C71" s="702" t="s">
        <v>269</v>
      </c>
      <c r="D71" s="703">
        <v>400</v>
      </c>
      <c r="E71" s="703" t="s">
        <v>328</v>
      </c>
      <c r="F71" s="704" t="str">
        <f>'TRAD-Prix 10-2011 GPRM $'!B43</f>
        <v>Cp</v>
      </c>
      <c r="G71" s="704" t="s">
        <v>350</v>
      </c>
      <c r="H71" s="704"/>
      <c r="I71" s="705">
        <v>2</v>
      </c>
      <c r="J71" s="706">
        <v>60</v>
      </c>
      <c r="K71" s="724">
        <v>1.5249999999999999</v>
      </c>
      <c r="L71" s="724">
        <f>K71*J71</f>
        <v>91.5</v>
      </c>
      <c r="M71" s="724">
        <f>365*K71*I71</f>
        <v>1113.25</v>
      </c>
      <c r="N71" s="724" t="s">
        <v>353</v>
      </c>
      <c r="O71" s="726"/>
      <c r="P71" s="716"/>
      <c r="Q71" s="716"/>
      <c r="R71" s="716"/>
    </row>
    <row r="72" spans="1:19" s="673" customFormat="1" ht="13.5" thickBot="1" x14ac:dyDescent="0.25">
      <c r="A72" s="725"/>
      <c r="B72" s="710"/>
      <c r="C72" s="702" t="s">
        <v>264</v>
      </c>
      <c r="D72" s="703">
        <v>300</v>
      </c>
      <c r="E72" s="703" t="s">
        <v>328</v>
      </c>
      <c r="F72" s="704" t="str">
        <f>'TRAD-Prix 10-2011 GPRM $'!B43</f>
        <v>Cp</v>
      </c>
      <c r="G72" s="704" t="s">
        <v>352</v>
      </c>
      <c r="H72" s="704"/>
      <c r="I72" s="705">
        <v>4</v>
      </c>
      <c r="J72" s="706">
        <v>120</v>
      </c>
      <c r="K72" s="724">
        <v>0.75</v>
      </c>
      <c r="L72" s="724">
        <f>K72*J72</f>
        <v>90</v>
      </c>
      <c r="M72" s="724">
        <f>365*K72*I72</f>
        <v>1095</v>
      </c>
      <c r="N72" s="724" t="s">
        <v>356</v>
      </c>
      <c r="O72" s="714"/>
      <c r="P72" s="716"/>
      <c r="Q72" s="716"/>
      <c r="R72" s="716"/>
    </row>
    <row r="73" spans="1:19" s="673" customFormat="1" ht="13.5" thickBot="1" x14ac:dyDescent="0.25">
      <c r="A73" s="725"/>
      <c r="B73" s="710"/>
      <c r="C73" s="702" t="s">
        <v>354</v>
      </c>
      <c r="D73" s="703">
        <v>100</v>
      </c>
      <c r="E73" s="703" t="s">
        <v>328</v>
      </c>
      <c r="F73" s="704" t="str">
        <f>'TRAD-Prix 10-2011 GPRM $'!B43</f>
        <v>Cp</v>
      </c>
      <c r="G73" s="704" t="s">
        <v>355</v>
      </c>
      <c r="H73" s="704"/>
      <c r="I73" s="705">
        <v>4</v>
      </c>
      <c r="J73" s="706">
        <v>120</v>
      </c>
      <c r="K73" s="724">
        <f>L73/J73</f>
        <v>5.9484178901972191</v>
      </c>
      <c r="L73" s="724">
        <v>713.81014682366629</v>
      </c>
      <c r="M73" s="724">
        <f>365*K73*I73</f>
        <v>8684.6901196879408</v>
      </c>
      <c r="N73" s="724" t="s">
        <v>604</v>
      </c>
      <c r="O73" s="714"/>
      <c r="P73" s="716"/>
      <c r="Q73" s="716"/>
      <c r="R73" s="716"/>
    </row>
    <row r="74" spans="1:19" s="673" customFormat="1" ht="13.5" thickBot="1" x14ac:dyDescent="0.25">
      <c r="A74" s="725"/>
      <c r="B74" s="710"/>
      <c r="C74" s="702" t="s">
        <v>836</v>
      </c>
      <c r="D74" s="703">
        <v>100</v>
      </c>
      <c r="E74" s="703" t="s">
        <v>328</v>
      </c>
      <c r="F74" s="704" t="str">
        <f>'TRAD-Prix 10-2011 GPRM $'!B43</f>
        <v>Cp</v>
      </c>
      <c r="G74" s="704" t="s">
        <v>838</v>
      </c>
      <c r="H74" s="704"/>
      <c r="I74" s="705">
        <v>1</v>
      </c>
      <c r="J74" s="706">
        <v>30</v>
      </c>
      <c r="K74" s="724">
        <f>L74/J74</f>
        <v>10.645800000000001</v>
      </c>
      <c r="L74" s="724">
        <v>319.37400000000002</v>
      </c>
      <c r="M74" s="724">
        <f>365*K74*I74</f>
        <v>3885.7170000000006</v>
      </c>
      <c r="N74" s="724"/>
      <c r="O74" s="714"/>
      <c r="P74" s="716"/>
      <c r="Q74" s="716"/>
      <c r="R74" s="716"/>
    </row>
    <row r="75" spans="1:19" s="673" customFormat="1" x14ac:dyDescent="0.2">
      <c r="A75" s="725"/>
      <c r="B75" s="710"/>
      <c r="C75" s="727"/>
      <c r="D75" s="727"/>
      <c r="E75" s="727"/>
      <c r="F75" s="728"/>
      <c r="G75" s="728"/>
      <c r="H75" s="728"/>
      <c r="I75" s="728"/>
      <c r="J75" s="729"/>
      <c r="L75" s="730"/>
      <c r="M75" s="730"/>
      <c r="N75" s="731"/>
      <c r="O75" s="714"/>
      <c r="P75" s="716"/>
      <c r="Q75" s="716"/>
      <c r="R75" s="716"/>
    </row>
    <row r="76" spans="1:19" s="673" customFormat="1" x14ac:dyDescent="0.2">
      <c r="A76" s="725"/>
      <c r="B76" s="732" t="s">
        <v>357</v>
      </c>
      <c r="C76" s="733"/>
      <c r="D76" s="733"/>
      <c r="E76" s="733"/>
      <c r="F76" s="734"/>
      <c r="G76" s="734"/>
      <c r="H76" s="734"/>
      <c r="I76" s="734"/>
      <c r="J76" s="735"/>
      <c r="K76" s="736"/>
      <c r="L76" s="737"/>
      <c r="M76" s="737"/>
      <c r="N76" s="731"/>
      <c r="O76" s="714"/>
      <c r="P76" s="716"/>
      <c r="Q76" s="716"/>
      <c r="R76" s="716"/>
    </row>
    <row r="77" spans="1:19" s="745" customFormat="1" x14ac:dyDescent="0.2">
      <c r="A77" s="725"/>
      <c r="B77" s="711" t="s">
        <v>358</v>
      </c>
      <c r="C77" s="727" t="str">
        <f>'TRAD-Prix 10-2011 GPRM $'!B32</f>
        <v xml:space="preserve">D'après Untangling the web of price reduction - http://utw.msfaccess.org/drugs/emtricitabine </v>
      </c>
      <c r="D77" s="727"/>
      <c r="E77" s="727"/>
      <c r="F77" s="728"/>
      <c r="G77" s="728"/>
      <c r="H77" s="728"/>
      <c r="I77" s="728"/>
      <c r="J77" s="729"/>
      <c r="K77" s="673"/>
      <c r="L77" s="730"/>
      <c r="M77" s="730"/>
      <c r="N77" s="731"/>
      <c r="O77" s="714"/>
      <c r="P77" s="716"/>
      <c r="Q77" s="716"/>
      <c r="R77" s="716"/>
      <c r="S77" s="673"/>
    </row>
    <row r="78" spans="1:19" s="745" customFormat="1" x14ac:dyDescent="0.2">
      <c r="A78" s="725"/>
      <c r="B78" s="738" t="s">
        <v>349</v>
      </c>
      <c r="C78" s="727" t="str">
        <f>'TRAD-Prix 10-2011 GPRM $'!B33</f>
        <v>D'après BMS Global Access Program en mai 2009</v>
      </c>
      <c r="D78" s="727"/>
      <c r="E78" s="727"/>
      <c r="F78" s="728"/>
      <c r="G78" s="728"/>
      <c r="H78" s="728"/>
      <c r="I78" s="728"/>
      <c r="J78" s="729"/>
      <c r="K78" s="673"/>
      <c r="L78" s="730"/>
      <c r="M78" s="730"/>
      <c r="N78" s="731"/>
      <c r="O78" s="714"/>
      <c r="P78" s="716"/>
      <c r="Q78" s="716"/>
      <c r="R78" s="716"/>
      <c r="S78" s="673"/>
    </row>
    <row r="79" spans="1:19" s="745" customFormat="1" x14ac:dyDescent="0.2">
      <c r="A79" s="725"/>
      <c r="B79" s="738" t="s">
        <v>351</v>
      </c>
      <c r="C79" s="727" t="str">
        <f>'TRAD-Prix 10-2011 GPRM $'!B34</f>
        <v>D'après Untangling the web of price reduction - http://msf-utw.tumblr.com/post/13260793909/first-ever-atv-r-combination-pill-improves-treatment</v>
      </c>
      <c r="D79" s="1500"/>
      <c r="E79" s="727"/>
      <c r="F79" s="728"/>
      <c r="G79" s="728"/>
      <c r="H79" s="728"/>
      <c r="I79" s="728"/>
      <c r="J79" s="729"/>
      <c r="K79" s="673"/>
      <c r="L79" s="730"/>
      <c r="M79" s="730"/>
      <c r="N79" s="731"/>
      <c r="O79" s="714"/>
      <c r="P79" s="716"/>
      <c r="Q79" s="716"/>
      <c r="R79" s="716"/>
      <c r="S79" s="673"/>
    </row>
    <row r="80" spans="1:19" s="745" customFormat="1" x14ac:dyDescent="0.2">
      <c r="A80" s="739"/>
      <c r="B80" s="738" t="s">
        <v>353</v>
      </c>
      <c r="C80" s="727" t="str">
        <f>'TRAD-Prix 10-2011 GPRM $'!B35</f>
        <v>D'après Untangling the web of price reduction - http://utw.msfaccess.org/drugs/raltegravir</v>
      </c>
      <c r="D80" s="739"/>
      <c r="E80" s="738"/>
      <c r="F80" s="740"/>
      <c r="G80" s="741"/>
      <c r="H80" s="742"/>
      <c r="I80" s="743"/>
      <c r="J80" s="743"/>
      <c r="K80" s="743"/>
      <c r="L80" s="744"/>
      <c r="M80" s="744"/>
      <c r="N80" s="744"/>
      <c r="O80" s="742"/>
      <c r="P80" s="744"/>
      <c r="Q80" s="744"/>
      <c r="R80" s="744"/>
    </row>
    <row r="81" spans="1:19" s="673" customFormat="1" x14ac:dyDescent="0.2">
      <c r="A81" s="739"/>
      <c r="B81" s="738" t="s">
        <v>356</v>
      </c>
      <c r="C81" s="727" t="str">
        <f>'TRAD-Prix 10-2011 GPRM $'!B36</f>
        <v>D'après Untangling the web of price reduction - http://utw.msfaccess.org/drugs/darunavir</v>
      </c>
      <c r="D81" s="739"/>
      <c r="E81" s="738"/>
      <c r="F81" s="740"/>
      <c r="G81" s="741"/>
      <c r="H81" s="742"/>
      <c r="I81" s="743"/>
      <c r="J81" s="743"/>
      <c r="K81" s="743"/>
      <c r="L81" s="744"/>
      <c r="M81" s="744"/>
      <c r="N81" s="744"/>
      <c r="O81" s="742"/>
      <c r="P81" s="744"/>
      <c r="Q81" s="744"/>
      <c r="R81" s="744"/>
      <c r="S81" s="745"/>
    </row>
    <row r="82" spans="1:19" x14ac:dyDescent="0.2">
      <c r="A82" s="739"/>
      <c r="B82" s="738" t="s">
        <v>604</v>
      </c>
      <c r="C82" s="727" t="str">
        <f>'TRAD-Prix 10-2011 GPRM $'!B37</f>
        <v>D'après prix négocié France - VIDAL - 2009</v>
      </c>
      <c r="D82" s="739"/>
      <c r="E82" s="738"/>
      <c r="F82" s="740"/>
      <c r="G82" s="741"/>
      <c r="H82" s="742"/>
      <c r="I82" s="743"/>
      <c r="J82" s="743"/>
      <c r="K82" s="743"/>
      <c r="L82" s="744"/>
      <c r="M82" s="744"/>
      <c r="N82" s="744"/>
      <c r="O82" s="742"/>
      <c r="P82" s="744"/>
      <c r="Q82" s="744"/>
      <c r="R82" s="744"/>
      <c r="S82" s="745"/>
    </row>
    <row r="83" spans="1:19" x14ac:dyDescent="0.2">
      <c r="A83" s="710"/>
      <c r="B83" s="728" t="s">
        <v>652</v>
      </c>
      <c r="C83" s="727" t="str">
        <f>'TRAD-Prix 10-2011 GPRM $'!B38</f>
        <v>D'après Fondation Clinton Ceiling Prices 052011</v>
      </c>
      <c r="D83" s="710"/>
      <c r="E83" s="711"/>
      <c r="F83" s="712"/>
      <c r="G83" s="713"/>
      <c r="H83" s="714"/>
      <c r="I83" s="715"/>
      <c r="J83" s="715"/>
      <c r="K83" s="715"/>
      <c r="L83" s="716"/>
      <c r="M83" s="716"/>
      <c r="N83" s="716"/>
      <c r="O83" s="714"/>
      <c r="P83" s="716"/>
      <c r="Q83" s="716"/>
      <c r="R83" s="716"/>
      <c r="S83" s="673"/>
    </row>
    <row r="84" spans="1:19" x14ac:dyDescent="0.2">
      <c r="B84" s="746" t="s">
        <v>654</v>
      </c>
      <c r="C84" s="727" t="str">
        <f>'TRAD-Prix 10-2011 GPRM $'!B39</f>
        <v>D'après http://www.nelm.nhs.uk/en/NeLM-Area/News/2011---December/02/Rilpivirine-Edurant-launched-in-UK-for-treatment-of-HIV/</v>
      </c>
    </row>
    <row r="85" spans="1:19" ht="13.5" thickBot="1" x14ac:dyDescent="0.25">
      <c r="B85" s="746"/>
    </row>
    <row r="86" spans="1:19" s="746" customFormat="1" ht="16.5" thickBot="1" x14ac:dyDescent="0.3">
      <c r="A86" s="3321" t="str">
        <f>'TRAD-Prix 10-2011 GPRM $'!B40</f>
        <v>FORMES PEDIATRIQUES</v>
      </c>
      <c r="B86" s="3322"/>
      <c r="C86" s="3322"/>
      <c r="D86" s="3322"/>
      <c r="E86" s="3322"/>
      <c r="F86" s="3322"/>
      <c r="G86" s="3322"/>
      <c r="H86" s="3322"/>
      <c r="I86" s="3322"/>
      <c r="J86" s="3322"/>
      <c r="K86" s="3322"/>
      <c r="L86" s="3322"/>
      <c r="M86" s="3322"/>
      <c r="N86" s="3322"/>
      <c r="O86" s="3322"/>
      <c r="P86" s="3322"/>
      <c r="Q86" s="3322"/>
      <c r="R86" s="3323"/>
      <c r="S86" s="659"/>
    </row>
    <row r="87" spans="1:19" s="728" customFormat="1" ht="13.5" thickBot="1" x14ac:dyDescent="0.25">
      <c r="A87" s="659"/>
      <c r="B87" s="659"/>
      <c r="C87" s="659"/>
      <c r="D87" s="659"/>
      <c r="E87" s="659"/>
      <c r="F87" s="659"/>
      <c r="G87" s="660"/>
      <c r="H87" s="661"/>
      <c r="I87" s="659"/>
      <c r="J87" s="659"/>
      <c r="K87" s="659"/>
      <c r="L87" s="659"/>
      <c r="M87" s="659"/>
      <c r="N87" s="659"/>
      <c r="O87" s="661"/>
      <c r="P87" s="659"/>
      <c r="Q87" s="659"/>
      <c r="R87" s="659"/>
      <c r="S87" s="659"/>
    </row>
    <row r="88" spans="1:19" s="673" customFormat="1" ht="39" thickBot="1" x14ac:dyDescent="0.25">
      <c r="A88" s="746"/>
      <c r="B88" s="746"/>
      <c r="C88" s="662"/>
      <c r="D88" s="662"/>
      <c r="E88" s="662"/>
      <c r="F88" s="747"/>
      <c r="G88" s="748"/>
      <c r="H88" s="664" t="str">
        <f>'TRAD-Prix 10-2011 GPRM $'!B21</f>
        <v>Qtés / boites - flacons</v>
      </c>
      <c r="I88" s="3329" t="str">
        <f>'TRAD-Prix 10-2011 GPRM $'!B22</f>
        <v>Prix annuel / patient (US$)</v>
      </c>
      <c r="J88" s="3330"/>
      <c r="K88" s="3331"/>
      <c r="L88" s="3329" t="str">
        <f>'TRAD-Prix 10-2011 GPRM $'!B24</f>
        <v>Prix / unité de prise  (US$)</v>
      </c>
      <c r="M88" s="3330"/>
      <c r="N88" s="3331"/>
      <c r="O88" s="3329" t="str">
        <f>'TRAD-Prix 10-2011 GPRM $'!B25</f>
        <v>Prix / boite   ou flacon (US$)</v>
      </c>
      <c r="P88" s="3330"/>
      <c r="Q88" s="3331"/>
      <c r="R88" s="746"/>
      <c r="S88" s="746"/>
    </row>
    <row r="89" spans="1:19" s="673" customFormat="1" ht="39" thickBot="1" x14ac:dyDescent="0.25">
      <c r="A89" s="663"/>
      <c r="B89" s="749"/>
      <c r="C89" s="717" t="str">
        <f>'TRAD-Prix 10-2011 GPRM $'!B16</f>
        <v>DCI</v>
      </c>
      <c r="D89" s="1542" t="str">
        <f>'TRAD-Prix 10-2011 GPRM $'!B17</f>
        <v>Dosage</v>
      </c>
      <c r="E89" s="750" t="str">
        <f>'TRAD-Prix 10-2011 GPRM $'!B18</f>
        <v>Unité dosage</v>
      </c>
      <c r="F89" s="720" t="str">
        <f>'TRAD-Prix 10-2011 GPRM $'!B19</f>
        <v>Forme</v>
      </c>
      <c r="G89" s="722" t="str">
        <f>'TRAD-Prix 10-2011 GPRM $'!B20</f>
        <v>Nb d'unité de prises / jour</v>
      </c>
      <c r="H89" s="666"/>
      <c r="I89" s="1540" t="str">
        <f>'TRAD-Prix 10-2011 GPRM $'!B23</f>
        <v>Médiane</v>
      </c>
      <c r="J89" s="667" t="s">
        <v>323</v>
      </c>
      <c r="K89" s="668" t="s">
        <v>324</v>
      </c>
      <c r="L89" s="669" t="str">
        <f>'TRAD-Prix 10-2011 GPRM $'!B23</f>
        <v>Médiane</v>
      </c>
      <c r="M89" s="670" t="s">
        <v>323</v>
      </c>
      <c r="N89" s="1541" t="s">
        <v>324</v>
      </c>
      <c r="O89" s="751" t="str">
        <f>'TRAD-Prix 10-2011 GPRM $'!B23</f>
        <v>Médiane</v>
      </c>
      <c r="P89" s="752" t="s">
        <v>323</v>
      </c>
      <c r="Q89" s="665" t="s">
        <v>324</v>
      </c>
      <c r="R89" s="728"/>
      <c r="S89" s="728"/>
    </row>
    <row r="90" spans="1:19" s="673" customFormat="1" x14ac:dyDescent="0.2">
      <c r="A90" s="672" t="str">
        <f>'TRAD-Prix 10-2011 GPRM $'!B41</f>
        <v>1ères lignes</v>
      </c>
      <c r="B90" s="674" t="s">
        <v>333</v>
      </c>
      <c r="C90" s="675" t="s">
        <v>32</v>
      </c>
      <c r="D90" s="676">
        <v>10</v>
      </c>
      <c r="E90" s="676" t="s">
        <v>365</v>
      </c>
      <c r="F90" s="677" t="s">
        <v>366</v>
      </c>
      <c r="G90" s="678">
        <v>12</v>
      </c>
      <c r="H90" s="697">
        <v>240</v>
      </c>
      <c r="I90" s="1471">
        <v>38</v>
      </c>
      <c r="J90" s="1472">
        <v>38</v>
      </c>
      <c r="K90" s="1473">
        <v>119</v>
      </c>
      <c r="L90" s="698">
        <f t="shared" ref="L90:N139" si="3">I90/365/$G90</f>
        <v>8.6757990867579911E-3</v>
      </c>
      <c r="M90" s="699">
        <f t="shared" si="3"/>
        <v>8.6757990867579911E-3</v>
      </c>
      <c r="N90" s="700">
        <f t="shared" si="3"/>
        <v>2.7168949771689498E-2</v>
      </c>
      <c r="O90" s="698">
        <f t="shared" ref="O90:Q139" si="4">L90*$H90</f>
        <v>2.0821917808219177</v>
      </c>
      <c r="P90" s="699">
        <f t="shared" si="4"/>
        <v>2.0821917808219177</v>
      </c>
      <c r="Q90" s="700">
        <f t="shared" si="4"/>
        <v>6.5205479452054798</v>
      </c>
    </row>
    <row r="91" spans="1:19" s="673" customFormat="1" x14ac:dyDescent="0.2">
      <c r="A91" s="674"/>
      <c r="B91" s="674"/>
      <c r="C91" s="675" t="s">
        <v>32</v>
      </c>
      <c r="D91" s="676">
        <v>10</v>
      </c>
      <c r="E91" s="676" t="s">
        <v>365</v>
      </c>
      <c r="F91" s="677" t="s">
        <v>366</v>
      </c>
      <c r="G91" s="678">
        <v>20</v>
      </c>
      <c r="H91" s="679">
        <v>240</v>
      </c>
      <c r="I91" s="1451">
        <v>16</v>
      </c>
      <c r="J91" s="1452">
        <v>16</v>
      </c>
      <c r="K91" s="1453">
        <v>17</v>
      </c>
      <c r="L91" s="680">
        <f t="shared" si="3"/>
        <v>2.1917808219178081E-3</v>
      </c>
      <c r="M91" s="681">
        <f t="shared" si="3"/>
        <v>2.1917808219178081E-3</v>
      </c>
      <c r="N91" s="682">
        <f t="shared" si="3"/>
        <v>2.3287671232876716E-3</v>
      </c>
      <c r="O91" s="680">
        <f t="shared" si="4"/>
        <v>0.52602739726027392</v>
      </c>
      <c r="P91" s="681">
        <f t="shared" si="4"/>
        <v>0.52602739726027392</v>
      </c>
      <c r="Q91" s="682">
        <f t="shared" si="4"/>
        <v>0.55890410958904113</v>
      </c>
    </row>
    <row r="92" spans="1:19" s="673" customFormat="1" x14ac:dyDescent="0.2">
      <c r="A92" s="674"/>
      <c r="B92" s="674"/>
      <c r="C92" s="675" t="s">
        <v>82</v>
      </c>
      <c r="D92" s="676">
        <v>1</v>
      </c>
      <c r="E92" s="676" t="s">
        <v>365</v>
      </c>
      <c r="F92" s="677" t="s">
        <v>366</v>
      </c>
      <c r="G92" s="678">
        <v>12</v>
      </c>
      <c r="H92" s="679">
        <v>240</v>
      </c>
      <c r="I92" s="1451">
        <v>29</v>
      </c>
      <c r="J92" s="1452">
        <v>28</v>
      </c>
      <c r="K92" s="1453">
        <v>31</v>
      </c>
      <c r="L92" s="680">
        <f t="shared" si="3"/>
        <v>6.6210045662100465E-3</v>
      </c>
      <c r="M92" s="681">
        <f t="shared" si="3"/>
        <v>6.392694063926941E-3</v>
      </c>
      <c r="N92" s="682">
        <f t="shared" si="3"/>
        <v>7.0776255707762558E-3</v>
      </c>
      <c r="O92" s="680">
        <f t="shared" si="4"/>
        <v>1.5890410958904111</v>
      </c>
      <c r="P92" s="681">
        <f t="shared" si="4"/>
        <v>1.5342465753424659</v>
      </c>
      <c r="Q92" s="682">
        <f t="shared" si="4"/>
        <v>1.6986301369863015</v>
      </c>
    </row>
    <row r="93" spans="1:19" s="673" customFormat="1" x14ac:dyDescent="0.2">
      <c r="A93" s="753"/>
      <c r="C93" s="693" t="s">
        <v>34</v>
      </c>
      <c r="D93" s="694">
        <v>10</v>
      </c>
      <c r="E93" s="694" t="s">
        <v>365</v>
      </c>
      <c r="F93" s="695" t="s">
        <v>366</v>
      </c>
      <c r="G93" s="696">
        <v>6</v>
      </c>
      <c r="H93" s="697">
        <v>240</v>
      </c>
      <c r="I93" s="1471">
        <v>29</v>
      </c>
      <c r="J93" s="1472">
        <v>17</v>
      </c>
      <c r="K93" s="1473">
        <v>40</v>
      </c>
      <c r="L93" s="698">
        <f t="shared" si="3"/>
        <v>1.3242009132420093E-2</v>
      </c>
      <c r="M93" s="699">
        <f t="shared" si="3"/>
        <v>7.7625570776255716E-3</v>
      </c>
      <c r="N93" s="700">
        <f t="shared" si="3"/>
        <v>1.8264840182648401E-2</v>
      </c>
      <c r="O93" s="698">
        <f t="shared" si="4"/>
        <v>3.1780821917808222</v>
      </c>
      <c r="P93" s="699">
        <f t="shared" si="4"/>
        <v>1.8630136986301371</v>
      </c>
      <c r="Q93" s="700">
        <f t="shared" si="4"/>
        <v>4.3835616438356162</v>
      </c>
    </row>
    <row r="94" spans="1:19" s="673" customFormat="1" x14ac:dyDescent="0.2">
      <c r="A94" s="674"/>
      <c r="B94" s="674"/>
      <c r="C94" s="675" t="s">
        <v>34</v>
      </c>
      <c r="D94" s="676">
        <v>10</v>
      </c>
      <c r="E94" s="676" t="s">
        <v>365</v>
      </c>
      <c r="F94" s="677" t="s">
        <v>366</v>
      </c>
      <c r="G94" s="678">
        <v>10</v>
      </c>
      <c r="H94" s="679">
        <v>240</v>
      </c>
      <c r="I94" s="1451">
        <v>50</v>
      </c>
      <c r="J94" s="1452">
        <v>35</v>
      </c>
      <c r="K94" s="1453">
        <v>52</v>
      </c>
      <c r="L94" s="680">
        <f t="shared" si="3"/>
        <v>1.3698630136986301E-2</v>
      </c>
      <c r="M94" s="681">
        <f t="shared" si="3"/>
        <v>9.5890410958904097E-3</v>
      </c>
      <c r="N94" s="682">
        <f t="shared" si="3"/>
        <v>1.4246575342465753E-2</v>
      </c>
      <c r="O94" s="680">
        <f t="shared" si="4"/>
        <v>3.2876712328767121</v>
      </c>
      <c r="P94" s="681">
        <f t="shared" si="4"/>
        <v>2.3013698630136985</v>
      </c>
      <c r="Q94" s="682">
        <f t="shared" si="4"/>
        <v>3.4191780821917805</v>
      </c>
    </row>
    <row r="95" spans="1:19" s="673" customFormat="1" x14ac:dyDescent="0.2">
      <c r="A95" s="674"/>
      <c r="B95" s="674"/>
      <c r="C95" s="675" t="s">
        <v>27</v>
      </c>
      <c r="D95" s="676">
        <v>30</v>
      </c>
      <c r="E95" s="676" t="s">
        <v>365</v>
      </c>
      <c r="F95" s="677" t="s">
        <v>366</v>
      </c>
      <c r="G95" s="678">
        <v>3.25</v>
      </c>
      <c r="H95" s="679">
        <v>240</v>
      </c>
      <c r="I95" s="1451">
        <v>112</v>
      </c>
      <c r="J95" s="1452">
        <v>112</v>
      </c>
      <c r="K95" s="1453">
        <v>116</v>
      </c>
      <c r="L95" s="680">
        <f t="shared" si="3"/>
        <v>9.4415173867228669E-2</v>
      </c>
      <c r="M95" s="681">
        <f t="shared" si="3"/>
        <v>9.4415173867228669E-2</v>
      </c>
      <c r="N95" s="682">
        <f t="shared" si="3"/>
        <v>9.7787144362486839E-2</v>
      </c>
      <c r="O95" s="680">
        <f t="shared" si="4"/>
        <v>22.659641728134879</v>
      </c>
      <c r="P95" s="681">
        <f t="shared" si="4"/>
        <v>22.659641728134879</v>
      </c>
      <c r="Q95" s="682">
        <f t="shared" si="4"/>
        <v>23.46891464699684</v>
      </c>
    </row>
    <row r="96" spans="1:19" s="673" customFormat="1" x14ac:dyDescent="0.2">
      <c r="A96" s="674"/>
      <c r="B96" s="674"/>
      <c r="C96" s="675" t="s">
        <v>29</v>
      </c>
      <c r="D96" s="676">
        <v>10</v>
      </c>
      <c r="E96" s="676" t="s">
        <v>365</v>
      </c>
      <c r="F96" s="677" t="s">
        <v>366</v>
      </c>
      <c r="G96" s="678">
        <v>12</v>
      </c>
      <c r="H96" s="679">
        <v>240</v>
      </c>
      <c r="I96" s="1451">
        <v>36</v>
      </c>
      <c r="J96" s="1452">
        <v>36</v>
      </c>
      <c r="K96" s="1453">
        <v>110</v>
      </c>
      <c r="L96" s="680">
        <f t="shared" si="3"/>
        <v>8.21917808219178E-3</v>
      </c>
      <c r="M96" s="681">
        <f t="shared" si="3"/>
        <v>8.21917808219178E-3</v>
      </c>
      <c r="N96" s="682">
        <f t="shared" si="3"/>
        <v>2.5114155251141551E-2</v>
      </c>
      <c r="O96" s="680">
        <f t="shared" si="4"/>
        <v>1.9726027397260273</v>
      </c>
      <c r="P96" s="681">
        <f t="shared" si="4"/>
        <v>1.9726027397260273</v>
      </c>
      <c r="Q96" s="682">
        <f t="shared" si="4"/>
        <v>6.0273972602739718</v>
      </c>
    </row>
    <row r="97" spans="1:17" s="673" customFormat="1" x14ac:dyDescent="0.2">
      <c r="A97" s="683"/>
      <c r="B97" s="683"/>
      <c r="C97" s="684" t="s">
        <v>29</v>
      </c>
      <c r="D97" s="685">
        <v>10</v>
      </c>
      <c r="E97" s="685" t="s">
        <v>365</v>
      </c>
      <c r="F97" s="686" t="s">
        <v>366</v>
      </c>
      <c r="G97" s="687">
        <v>20</v>
      </c>
      <c r="H97" s="688">
        <v>240</v>
      </c>
      <c r="I97" s="1463">
        <v>154</v>
      </c>
      <c r="J97" s="1464">
        <v>141</v>
      </c>
      <c r="K97" s="1465">
        <v>165</v>
      </c>
      <c r="L97" s="689">
        <f t="shared" si="3"/>
        <v>2.1095890410958905E-2</v>
      </c>
      <c r="M97" s="690">
        <f t="shared" si="3"/>
        <v>1.9315068493150685E-2</v>
      </c>
      <c r="N97" s="691">
        <f t="shared" si="3"/>
        <v>2.2602739726027395E-2</v>
      </c>
      <c r="O97" s="689">
        <f t="shared" si="4"/>
        <v>5.0630136986301375</v>
      </c>
      <c r="P97" s="690">
        <f t="shared" si="4"/>
        <v>4.6356164383561644</v>
      </c>
      <c r="Q97" s="691">
        <f t="shared" si="4"/>
        <v>5.4246575342465748</v>
      </c>
    </row>
    <row r="98" spans="1:17" s="673" customFormat="1" x14ac:dyDescent="0.2">
      <c r="A98" s="754" t="str">
        <f>'TRAD-Prix 10-2011 GPRM $'!B42</f>
        <v>2 &amp; 3èmes lignes</v>
      </c>
      <c r="B98" s="692"/>
      <c r="C98" s="693" t="s">
        <v>36</v>
      </c>
      <c r="D98" s="694">
        <v>20</v>
      </c>
      <c r="E98" s="694" t="s">
        <v>365</v>
      </c>
      <c r="F98" s="695" t="s">
        <v>366</v>
      </c>
      <c r="G98" s="696">
        <v>4</v>
      </c>
      <c r="H98" s="697">
        <v>240</v>
      </c>
      <c r="I98" s="1471">
        <v>83</v>
      </c>
      <c r="J98" s="1472">
        <v>76</v>
      </c>
      <c r="K98" s="1473">
        <v>83</v>
      </c>
      <c r="L98" s="698">
        <f t="shared" si="3"/>
        <v>5.6849315068493153E-2</v>
      </c>
      <c r="M98" s="699">
        <f t="shared" si="3"/>
        <v>5.2054794520547946E-2</v>
      </c>
      <c r="N98" s="700">
        <f t="shared" si="3"/>
        <v>5.6849315068493153E-2</v>
      </c>
      <c r="O98" s="698">
        <f t="shared" si="4"/>
        <v>13.643835616438357</v>
      </c>
      <c r="P98" s="699">
        <f t="shared" si="4"/>
        <v>12.493150684931507</v>
      </c>
      <c r="Q98" s="700">
        <f t="shared" si="4"/>
        <v>13.643835616438357</v>
      </c>
    </row>
    <row r="99" spans="1:17" s="673" customFormat="1" x14ac:dyDescent="0.2">
      <c r="A99" s="674"/>
      <c r="B99" s="674"/>
      <c r="C99" s="675" t="s">
        <v>36</v>
      </c>
      <c r="D99" s="676">
        <v>20</v>
      </c>
      <c r="E99" s="676" t="s">
        <v>365</v>
      </c>
      <c r="F99" s="677" t="s">
        <v>366</v>
      </c>
      <c r="G99" s="678">
        <v>10</v>
      </c>
      <c r="H99" s="679">
        <v>240</v>
      </c>
      <c r="I99" s="1451">
        <v>207</v>
      </c>
      <c r="J99" s="1452">
        <v>190</v>
      </c>
      <c r="K99" s="1453">
        <v>208</v>
      </c>
      <c r="L99" s="680">
        <f t="shared" si="3"/>
        <v>5.6712328767123288E-2</v>
      </c>
      <c r="M99" s="681">
        <f t="shared" si="3"/>
        <v>5.205479452054794E-2</v>
      </c>
      <c r="N99" s="682">
        <f t="shared" si="3"/>
        <v>5.6986301369863011E-2</v>
      </c>
      <c r="O99" s="680">
        <f t="shared" si="4"/>
        <v>13.610958904109589</v>
      </c>
      <c r="P99" s="681">
        <f t="shared" si="4"/>
        <v>12.493150684931505</v>
      </c>
      <c r="Q99" s="682">
        <f t="shared" si="4"/>
        <v>13.676712328767122</v>
      </c>
    </row>
    <row r="100" spans="1:17" s="673" customFormat="1" x14ac:dyDescent="0.2">
      <c r="B100" s="674"/>
      <c r="C100" s="693" t="s">
        <v>37</v>
      </c>
      <c r="D100" s="694">
        <v>10</v>
      </c>
      <c r="E100" s="694" t="s">
        <v>365</v>
      </c>
      <c r="F100" s="695" t="s">
        <v>366</v>
      </c>
      <c r="G100" s="696">
        <v>8</v>
      </c>
      <c r="H100" s="697">
        <v>240</v>
      </c>
      <c r="I100" s="1471">
        <v>312</v>
      </c>
      <c r="J100" s="1472">
        <v>248</v>
      </c>
      <c r="K100" s="1473">
        <v>312</v>
      </c>
      <c r="L100" s="698">
        <f t="shared" si="3"/>
        <v>0.10684931506849316</v>
      </c>
      <c r="M100" s="699">
        <f t="shared" si="3"/>
        <v>8.4931506849315067E-2</v>
      </c>
      <c r="N100" s="700">
        <f t="shared" si="3"/>
        <v>0.10684931506849316</v>
      </c>
      <c r="O100" s="698">
        <f t="shared" si="4"/>
        <v>25.643835616438359</v>
      </c>
      <c r="P100" s="699">
        <f t="shared" si="4"/>
        <v>20.383561643835616</v>
      </c>
      <c r="Q100" s="700">
        <f t="shared" si="4"/>
        <v>25.643835616438359</v>
      </c>
    </row>
    <row r="101" spans="1:17" s="673" customFormat="1" x14ac:dyDescent="0.2">
      <c r="A101" s="674"/>
      <c r="B101" s="674"/>
      <c r="C101" s="675" t="s">
        <v>37</v>
      </c>
      <c r="D101" s="676">
        <v>10</v>
      </c>
      <c r="E101" s="676" t="s">
        <v>365</v>
      </c>
      <c r="F101" s="677" t="s">
        <v>366</v>
      </c>
      <c r="G101" s="678">
        <v>12</v>
      </c>
      <c r="H101" s="679">
        <v>240</v>
      </c>
      <c r="I101" s="1451"/>
      <c r="J101" s="1452"/>
      <c r="K101" s="1453"/>
      <c r="L101" s="680">
        <f t="shared" si="3"/>
        <v>0</v>
      </c>
      <c r="M101" s="681">
        <f t="shared" si="3"/>
        <v>0</v>
      </c>
      <c r="N101" s="682">
        <f t="shared" si="3"/>
        <v>0</v>
      </c>
      <c r="O101" s="680">
        <f t="shared" si="4"/>
        <v>0</v>
      </c>
      <c r="P101" s="681">
        <f t="shared" si="4"/>
        <v>0</v>
      </c>
      <c r="Q101" s="682">
        <f t="shared" si="4"/>
        <v>0</v>
      </c>
    </row>
    <row r="102" spans="1:17" s="673" customFormat="1" x14ac:dyDescent="0.2">
      <c r="A102" s="674"/>
      <c r="B102" s="674"/>
      <c r="C102" s="675" t="s">
        <v>42</v>
      </c>
      <c r="D102" s="676" t="s">
        <v>367</v>
      </c>
      <c r="E102" s="676" t="s">
        <v>365</v>
      </c>
      <c r="F102" s="677" t="s">
        <v>366</v>
      </c>
      <c r="G102" s="678">
        <v>2</v>
      </c>
      <c r="H102" s="679">
        <v>60</v>
      </c>
      <c r="I102" s="1451">
        <v>85</v>
      </c>
      <c r="J102" s="1452">
        <v>80</v>
      </c>
      <c r="K102" s="1453">
        <v>88</v>
      </c>
      <c r="L102" s="680">
        <f t="shared" si="3"/>
        <v>0.11643835616438356</v>
      </c>
      <c r="M102" s="681">
        <f t="shared" si="3"/>
        <v>0.1095890410958904</v>
      </c>
      <c r="N102" s="682">
        <f t="shared" si="3"/>
        <v>0.12054794520547946</v>
      </c>
      <c r="O102" s="680">
        <f t="shared" si="4"/>
        <v>6.9863013698630132</v>
      </c>
      <c r="P102" s="681">
        <f t="shared" si="4"/>
        <v>6.5753424657534243</v>
      </c>
      <c r="Q102" s="682">
        <f t="shared" si="4"/>
        <v>7.2328767123287676</v>
      </c>
    </row>
    <row r="103" spans="1:17" s="673" customFormat="1" x14ac:dyDescent="0.2">
      <c r="A103" s="674"/>
      <c r="B103" s="674"/>
      <c r="C103" s="675" t="s">
        <v>42</v>
      </c>
      <c r="D103" s="676" t="s">
        <v>367</v>
      </c>
      <c r="E103" s="676" t="s">
        <v>365</v>
      </c>
      <c r="F103" s="677" t="s">
        <v>366</v>
      </c>
      <c r="G103" s="678">
        <v>3</v>
      </c>
      <c r="H103" s="679">
        <v>60</v>
      </c>
      <c r="I103" s="1451">
        <v>48</v>
      </c>
      <c r="J103" s="1452">
        <v>29</v>
      </c>
      <c r="K103" s="1453">
        <v>55</v>
      </c>
      <c r="L103" s="680">
        <f t="shared" si="3"/>
        <v>4.3835616438356158E-2</v>
      </c>
      <c r="M103" s="681">
        <f t="shared" si="3"/>
        <v>2.6484018264840186E-2</v>
      </c>
      <c r="N103" s="682">
        <f t="shared" si="3"/>
        <v>5.0228310502283102E-2</v>
      </c>
      <c r="O103" s="680">
        <f t="shared" si="4"/>
        <v>2.6301369863013693</v>
      </c>
      <c r="P103" s="681">
        <f t="shared" si="4"/>
        <v>1.5890410958904111</v>
      </c>
      <c r="Q103" s="682">
        <f t="shared" si="4"/>
        <v>3.0136986301369859</v>
      </c>
    </row>
    <row r="104" spans="1:17" s="673" customFormat="1" ht="13.5" thickBot="1" x14ac:dyDescent="0.25">
      <c r="A104" s="674"/>
      <c r="B104" s="701"/>
      <c r="C104" s="702" t="s">
        <v>342</v>
      </c>
      <c r="D104" s="703">
        <v>50</v>
      </c>
      <c r="E104" s="703" t="s">
        <v>368</v>
      </c>
      <c r="F104" s="704" t="s">
        <v>369</v>
      </c>
      <c r="G104" s="705">
        <v>15</v>
      </c>
      <c r="H104" s="706">
        <v>144</v>
      </c>
      <c r="I104" s="1483">
        <v>1318</v>
      </c>
      <c r="J104" s="1484">
        <v>1318</v>
      </c>
      <c r="K104" s="1485">
        <v>1357</v>
      </c>
      <c r="L104" s="707">
        <f>I104/365/$G104</f>
        <v>0.24073059360730595</v>
      </c>
      <c r="M104" s="708">
        <f>J104/365/$G104</f>
        <v>0.24073059360730595</v>
      </c>
      <c r="N104" s="709">
        <f>K104/365/$G104</f>
        <v>0.2478538812785388</v>
      </c>
      <c r="O104" s="707">
        <f t="shared" si="4"/>
        <v>34.665205479452055</v>
      </c>
      <c r="P104" s="708">
        <f t="shared" si="4"/>
        <v>34.665205479452055</v>
      </c>
      <c r="Q104" s="709">
        <f t="shared" si="4"/>
        <v>35.690958904109586</v>
      </c>
    </row>
    <row r="105" spans="1:17" s="673" customFormat="1" ht="13.5" thickBot="1" x14ac:dyDescent="0.25">
      <c r="A105" s="692"/>
      <c r="B105" s="1552"/>
      <c r="C105" s="1553"/>
      <c r="D105" s="1554"/>
      <c r="E105" s="1554"/>
      <c r="F105" s="1555"/>
      <c r="G105" s="1556"/>
      <c r="H105" s="1557"/>
      <c r="I105" s="1558"/>
      <c r="J105" s="1559"/>
      <c r="K105" s="1560"/>
      <c r="L105" s="1561"/>
      <c r="M105" s="1562"/>
      <c r="N105" s="1563"/>
      <c r="O105" s="1561"/>
      <c r="P105" s="1562"/>
      <c r="Q105" s="1563"/>
    </row>
    <row r="106" spans="1:17" s="673" customFormat="1" x14ac:dyDescent="0.2">
      <c r="A106" s="672" t="str">
        <f>'TRAD-Prix 10-2011 GPRM $'!B41</f>
        <v>1ères lignes</v>
      </c>
      <c r="B106" s="692" t="s">
        <v>326</v>
      </c>
      <c r="C106" s="693" t="s">
        <v>2</v>
      </c>
      <c r="D106" s="694" t="s">
        <v>370</v>
      </c>
      <c r="E106" s="694" t="s">
        <v>328</v>
      </c>
      <c r="F106" s="695" t="s">
        <v>98</v>
      </c>
      <c r="G106" s="696">
        <v>3</v>
      </c>
      <c r="H106" s="697">
        <v>60</v>
      </c>
      <c r="I106" s="1471"/>
      <c r="J106" s="1472"/>
      <c r="K106" s="1473"/>
      <c r="L106" s="698">
        <f t="shared" si="3"/>
        <v>0</v>
      </c>
      <c r="M106" s="699">
        <f t="shared" si="3"/>
        <v>0</v>
      </c>
      <c r="N106" s="700">
        <f t="shared" si="3"/>
        <v>0</v>
      </c>
      <c r="O106" s="698">
        <f t="shared" si="4"/>
        <v>0</v>
      </c>
      <c r="P106" s="699">
        <f t="shared" si="4"/>
        <v>0</v>
      </c>
      <c r="Q106" s="700">
        <f t="shared" si="4"/>
        <v>0</v>
      </c>
    </row>
    <row r="107" spans="1:17" s="673" customFormat="1" x14ac:dyDescent="0.2">
      <c r="A107" s="674"/>
      <c r="B107" s="674"/>
      <c r="C107" s="675" t="s">
        <v>2</v>
      </c>
      <c r="D107" s="676" t="s">
        <v>370</v>
      </c>
      <c r="E107" s="676" t="s">
        <v>328</v>
      </c>
      <c r="F107" s="677" t="s">
        <v>98</v>
      </c>
      <c r="G107" s="678">
        <v>5</v>
      </c>
      <c r="H107" s="679">
        <v>60</v>
      </c>
      <c r="I107" s="1451"/>
      <c r="J107" s="1452"/>
      <c r="K107" s="1453"/>
      <c r="L107" s="680">
        <f t="shared" si="3"/>
        <v>0</v>
      </c>
      <c r="M107" s="681">
        <f t="shared" si="3"/>
        <v>0</v>
      </c>
      <c r="N107" s="682">
        <f t="shared" si="3"/>
        <v>0</v>
      </c>
      <c r="O107" s="680">
        <f t="shared" si="4"/>
        <v>0</v>
      </c>
      <c r="P107" s="681">
        <f t="shared" si="4"/>
        <v>0</v>
      </c>
      <c r="Q107" s="682">
        <f t="shared" si="4"/>
        <v>0</v>
      </c>
    </row>
    <row r="108" spans="1:17" s="673" customFormat="1" x14ac:dyDescent="0.2">
      <c r="A108" s="674"/>
      <c r="B108" s="674"/>
      <c r="C108" s="675" t="s">
        <v>2</v>
      </c>
      <c r="D108" s="676" t="s">
        <v>371</v>
      </c>
      <c r="E108" s="676" t="s">
        <v>328</v>
      </c>
      <c r="F108" s="677" t="s">
        <v>98</v>
      </c>
      <c r="G108" s="678">
        <v>2</v>
      </c>
      <c r="H108" s="679">
        <v>60</v>
      </c>
      <c r="I108" s="1451">
        <v>28</v>
      </c>
      <c r="J108" s="1452">
        <v>28</v>
      </c>
      <c r="K108" s="1453">
        <v>33</v>
      </c>
      <c r="L108" s="680">
        <f t="shared" si="3"/>
        <v>3.8356164383561646E-2</v>
      </c>
      <c r="M108" s="681">
        <f t="shared" si="3"/>
        <v>3.8356164383561646E-2</v>
      </c>
      <c r="N108" s="682">
        <f t="shared" si="3"/>
        <v>4.5205479452054796E-2</v>
      </c>
      <c r="O108" s="680">
        <f t="shared" si="4"/>
        <v>2.3013698630136989</v>
      </c>
      <c r="P108" s="681">
        <f t="shared" si="4"/>
        <v>2.3013698630136989</v>
      </c>
      <c r="Q108" s="682">
        <f t="shared" si="4"/>
        <v>2.7123287671232879</v>
      </c>
    </row>
    <row r="109" spans="1:17" s="673" customFormat="1" x14ac:dyDescent="0.2">
      <c r="A109" s="674"/>
      <c r="B109" s="674"/>
      <c r="C109" s="675" t="s">
        <v>2</v>
      </c>
      <c r="D109" s="676" t="s">
        <v>371</v>
      </c>
      <c r="E109" s="676" t="s">
        <v>328</v>
      </c>
      <c r="F109" s="677" t="s">
        <v>98</v>
      </c>
      <c r="G109" s="678">
        <v>4</v>
      </c>
      <c r="H109" s="679">
        <v>60</v>
      </c>
      <c r="I109" s="1451">
        <v>46</v>
      </c>
      <c r="J109" s="1452">
        <v>43</v>
      </c>
      <c r="K109" s="1453">
        <v>46</v>
      </c>
      <c r="L109" s="680">
        <f t="shared" si="3"/>
        <v>3.1506849315068496E-2</v>
      </c>
      <c r="M109" s="681">
        <f t="shared" si="3"/>
        <v>2.9452054794520548E-2</v>
      </c>
      <c r="N109" s="682">
        <f t="shared" si="3"/>
        <v>3.1506849315068496E-2</v>
      </c>
      <c r="O109" s="680">
        <f t="shared" si="4"/>
        <v>1.8904109589041098</v>
      </c>
      <c r="P109" s="681">
        <f t="shared" si="4"/>
        <v>1.7671232876712328</v>
      </c>
      <c r="Q109" s="682">
        <f t="shared" si="4"/>
        <v>1.8904109589041098</v>
      </c>
    </row>
    <row r="110" spans="1:17" s="673" customFormat="1" x14ac:dyDescent="0.2">
      <c r="A110" s="674"/>
      <c r="B110" s="674"/>
      <c r="C110" s="675" t="s">
        <v>2</v>
      </c>
      <c r="D110" s="676" t="s">
        <v>372</v>
      </c>
      <c r="E110" s="676" t="s">
        <v>328</v>
      </c>
      <c r="F110" s="677" t="s">
        <v>98</v>
      </c>
      <c r="G110" s="678">
        <v>1.5</v>
      </c>
      <c r="H110" s="679">
        <v>60</v>
      </c>
      <c r="I110" s="1451"/>
      <c r="J110" s="1452"/>
      <c r="K110" s="1453"/>
      <c r="L110" s="680">
        <f t="shared" si="3"/>
        <v>0</v>
      </c>
      <c r="M110" s="681">
        <f t="shared" si="3"/>
        <v>0</v>
      </c>
      <c r="N110" s="682">
        <f t="shared" si="3"/>
        <v>0</v>
      </c>
      <c r="O110" s="680">
        <f t="shared" si="4"/>
        <v>0</v>
      </c>
      <c r="P110" s="681">
        <f t="shared" si="4"/>
        <v>0</v>
      </c>
      <c r="Q110" s="682">
        <f t="shared" si="4"/>
        <v>0</v>
      </c>
    </row>
    <row r="111" spans="1:17" s="673" customFormat="1" x14ac:dyDescent="0.2">
      <c r="A111" s="674"/>
      <c r="B111" s="674"/>
      <c r="C111" s="675" t="s">
        <v>2</v>
      </c>
      <c r="D111" s="676" t="s">
        <v>372</v>
      </c>
      <c r="E111" s="676" t="s">
        <v>328</v>
      </c>
      <c r="F111" s="677" t="s">
        <v>98</v>
      </c>
      <c r="G111" s="678">
        <v>3</v>
      </c>
      <c r="H111" s="679">
        <v>60</v>
      </c>
      <c r="I111" s="1451"/>
      <c r="J111" s="1452"/>
      <c r="K111" s="1453"/>
      <c r="L111" s="680">
        <f t="shared" si="3"/>
        <v>0</v>
      </c>
      <c r="M111" s="681">
        <f t="shared" si="3"/>
        <v>0</v>
      </c>
      <c r="N111" s="682">
        <f t="shared" si="3"/>
        <v>0</v>
      </c>
      <c r="O111" s="680">
        <f t="shared" si="4"/>
        <v>0</v>
      </c>
      <c r="P111" s="681">
        <f t="shared" si="4"/>
        <v>0</v>
      </c>
      <c r="Q111" s="682">
        <f t="shared" si="4"/>
        <v>0</v>
      </c>
    </row>
    <row r="112" spans="1:17" s="673" customFormat="1" x14ac:dyDescent="0.2">
      <c r="A112" s="674"/>
      <c r="B112" s="674"/>
      <c r="C112" s="675" t="s">
        <v>2</v>
      </c>
      <c r="D112" s="676" t="s">
        <v>373</v>
      </c>
      <c r="E112" s="676" t="s">
        <v>328</v>
      </c>
      <c r="F112" s="677" t="s">
        <v>98</v>
      </c>
      <c r="G112" s="678">
        <v>1</v>
      </c>
      <c r="H112" s="679">
        <v>60</v>
      </c>
      <c r="I112" s="1451">
        <v>29</v>
      </c>
      <c r="J112" s="1452">
        <v>26</v>
      </c>
      <c r="K112" s="1453">
        <v>33</v>
      </c>
      <c r="L112" s="680">
        <f t="shared" si="3"/>
        <v>7.9452054794520555E-2</v>
      </c>
      <c r="M112" s="681">
        <f t="shared" si="3"/>
        <v>7.1232876712328766E-2</v>
      </c>
      <c r="N112" s="682">
        <f t="shared" si="3"/>
        <v>9.0410958904109592E-2</v>
      </c>
      <c r="O112" s="680">
        <f t="shared" si="4"/>
        <v>4.7671232876712333</v>
      </c>
      <c r="P112" s="681">
        <f t="shared" si="4"/>
        <v>4.2739726027397262</v>
      </c>
      <c r="Q112" s="682">
        <f t="shared" si="4"/>
        <v>5.4246575342465757</v>
      </c>
    </row>
    <row r="113" spans="1:17" s="673" customFormat="1" x14ac:dyDescent="0.2">
      <c r="A113" s="674"/>
      <c r="B113" s="674"/>
      <c r="C113" s="675" t="s">
        <v>2</v>
      </c>
      <c r="D113" s="676" t="s">
        <v>373</v>
      </c>
      <c r="E113" s="676" t="s">
        <v>328</v>
      </c>
      <c r="F113" s="677" t="s">
        <v>98</v>
      </c>
      <c r="G113" s="678">
        <v>2</v>
      </c>
      <c r="H113" s="679">
        <v>60</v>
      </c>
      <c r="I113" s="1451">
        <v>40</v>
      </c>
      <c r="J113" s="1452">
        <v>40</v>
      </c>
      <c r="K113" s="1453">
        <v>40</v>
      </c>
      <c r="L113" s="680">
        <f t="shared" si="3"/>
        <v>5.4794520547945202E-2</v>
      </c>
      <c r="M113" s="681">
        <f t="shared" si="3"/>
        <v>5.4794520547945202E-2</v>
      </c>
      <c r="N113" s="682">
        <f t="shared" si="3"/>
        <v>5.4794520547945202E-2</v>
      </c>
      <c r="O113" s="680">
        <f t="shared" si="4"/>
        <v>3.2876712328767121</v>
      </c>
      <c r="P113" s="681">
        <f t="shared" si="4"/>
        <v>3.2876712328767121</v>
      </c>
      <c r="Q113" s="682">
        <f t="shared" si="4"/>
        <v>3.2876712328767121</v>
      </c>
    </row>
    <row r="114" spans="1:17" s="673" customFormat="1" x14ac:dyDescent="0.2">
      <c r="A114" s="1607"/>
      <c r="B114" s="1607"/>
      <c r="C114" s="1608" t="s">
        <v>2</v>
      </c>
      <c r="D114" s="1609" t="s">
        <v>606</v>
      </c>
      <c r="E114" s="1609" t="s">
        <v>328</v>
      </c>
      <c r="F114" s="1610" t="s">
        <v>98</v>
      </c>
      <c r="G114" s="1611">
        <v>1</v>
      </c>
      <c r="H114" s="1612">
        <v>60</v>
      </c>
      <c r="I114" s="1451">
        <v>42</v>
      </c>
      <c r="J114" s="1452">
        <v>35</v>
      </c>
      <c r="K114" s="1453">
        <v>50</v>
      </c>
      <c r="L114" s="1613">
        <f t="shared" si="3"/>
        <v>0.11506849315068493</v>
      </c>
      <c r="M114" s="1614">
        <f t="shared" si="3"/>
        <v>9.5890410958904104E-2</v>
      </c>
      <c r="N114" s="1615">
        <f t="shared" si="3"/>
        <v>0.13698630136986301</v>
      </c>
      <c r="O114" s="1613">
        <f t="shared" si="4"/>
        <v>6.904109589041096</v>
      </c>
      <c r="P114" s="1614">
        <f t="shared" si="4"/>
        <v>5.7534246575342465</v>
      </c>
      <c r="Q114" s="1615">
        <f t="shared" si="4"/>
        <v>8.2191780821917799</v>
      </c>
    </row>
    <row r="115" spans="1:17" s="673" customFormat="1" x14ac:dyDescent="0.2">
      <c r="A115" s="674"/>
      <c r="B115" s="674"/>
      <c r="C115" s="675" t="s">
        <v>22</v>
      </c>
      <c r="D115" s="676" t="s">
        <v>374</v>
      </c>
      <c r="E115" s="676" t="s">
        <v>328</v>
      </c>
      <c r="F115" s="677" t="s">
        <v>98</v>
      </c>
      <c r="G115" s="678">
        <v>3</v>
      </c>
      <c r="H115" s="679">
        <v>60</v>
      </c>
      <c r="I115" s="1451"/>
      <c r="J115" s="1452"/>
      <c r="K115" s="1453"/>
      <c r="L115" s="680">
        <f t="shared" si="3"/>
        <v>0</v>
      </c>
      <c r="M115" s="681">
        <f t="shared" si="3"/>
        <v>0</v>
      </c>
      <c r="N115" s="682">
        <f t="shared" si="3"/>
        <v>0</v>
      </c>
      <c r="O115" s="680">
        <f t="shared" si="4"/>
        <v>0</v>
      </c>
      <c r="P115" s="681">
        <f t="shared" si="4"/>
        <v>0</v>
      </c>
      <c r="Q115" s="682">
        <f t="shared" si="4"/>
        <v>0</v>
      </c>
    </row>
    <row r="116" spans="1:17" s="673" customFormat="1" x14ac:dyDescent="0.2">
      <c r="A116" s="674"/>
      <c r="B116" s="674"/>
      <c r="C116" s="675" t="s">
        <v>22</v>
      </c>
      <c r="D116" s="676" t="s">
        <v>374</v>
      </c>
      <c r="E116" s="676" t="s">
        <v>328</v>
      </c>
      <c r="F116" s="677" t="s">
        <v>98</v>
      </c>
      <c r="G116" s="678">
        <v>5</v>
      </c>
      <c r="H116" s="679">
        <v>60</v>
      </c>
      <c r="I116" s="1451"/>
      <c r="J116" s="1452"/>
      <c r="K116" s="1453"/>
      <c r="L116" s="680">
        <f t="shared" si="3"/>
        <v>0</v>
      </c>
      <c r="M116" s="681">
        <f t="shared" si="3"/>
        <v>0</v>
      </c>
      <c r="N116" s="682">
        <f t="shared" si="3"/>
        <v>0</v>
      </c>
      <c r="O116" s="680">
        <f t="shared" si="4"/>
        <v>0</v>
      </c>
      <c r="P116" s="681">
        <f t="shared" si="4"/>
        <v>0</v>
      </c>
      <c r="Q116" s="682">
        <f t="shared" si="4"/>
        <v>0</v>
      </c>
    </row>
    <row r="117" spans="1:17" s="673" customFormat="1" x14ac:dyDescent="0.2">
      <c r="A117" s="674"/>
      <c r="B117" s="674"/>
      <c r="C117" s="675" t="s">
        <v>22</v>
      </c>
      <c r="D117" s="676" t="s">
        <v>375</v>
      </c>
      <c r="E117" s="676" t="s">
        <v>328</v>
      </c>
      <c r="F117" s="677" t="s">
        <v>98</v>
      </c>
      <c r="G117" s="678">
        <v>2</v>
      </c>
      <c r="H117" s="679">
        <v>60</v>
      </c>
      <c r="I117" s="1451">
        <v>21</v>
      </c>
      <c r="J117" s="1452">
        <v>20</v>
      </c>
      <c r="K117" s="1453">
        <v>22</v>
      </c>
      <c r="L117" s="680">
        <f t="shared" si="3"/>
        <v>2.8767123287671233E-2</v>
      </c>
      <c r="M117" s="681">
        <f t="shared" si="3"/>
        <v>2.7397260273972601E-2</v>
      </c>
      <c r="N117" s="682">
        <f t="shared" si="3"/>
        <v>3.0136986301369864E-2</v>
      </c>
      <c r="O117" s="680">
        <f t="shared" si="4"/>
        <v>1.726027397260274</v>
      </c>
      <c r="P117" s="681">
        <f t="shared" si="4"/>
        <v>1.6438356164383561</v>
      </c>
      <c r="Q117" s="682">
        <f t="shared" si="4"/>
        <v>1.8082191780821919</v>
      </c>
    </row>
    <row r="118" spans="1:17" s="673" customFormat="1" x14ac:dyDescent="0.2">
      <c r="A118" s="674"/>
      <c r="B118" s="674"/>
      <c r="C118" s="675" t="s">
        <v>22</v>
      </c>
      <c r="D118" s="676" t="s">
        <v>375</v>
      </c>
      <c r="E118" s="676" t="s">
        <v>328</v>
      </c>
      <c r="F118" s="677" t="s">
        <v>98</v>
      </c>
      <c r="G118" s="678">
        <v>4</v>
      </c>
      <c r="H118" s="679">
        <v>60</v>
      </c>
      <c r="I118" s="1451">
        <v>19</v>
      </c>
      <c r="J118" s="1452">
        <v>19</v>
      </c>
      <c r="K118" s="1453">
        <v>20</v>
      </c>
      <c r="L118" s="680">
        <f t="shared" si="3"/>
        <v>1.3013698630136987E-2</v>
      </c>
      <c r="M118" s="681">
        <f t="shared" si="3"/>
        <v>1.3013698630136987E-2</v>
      </c>
      <c r="N118" s="682">
        <f t="shared" si="3"/>
        <v>1.3698630136986301E-2</v>
      </c>
      <c r="O118" s="680">
        <f t="shared" si="4"/>
        <v>0.78082191780821919</v>
      </c>
      <c r="P118" s="681">
        <f t="shared" si="4"/>
        <v>0.78082191780821919</v>
      </c>
      <c r="Q118" s="682">
        <f t="shared" si="4"/>
        <v>0.82191780821917804</v>
      </c>
    </row>
    <row r="119" spans="1:17" s="673" customFormat="1" x14ac:dyDescent="0.2">
      <c r="A119" s="674"/>
      <c r="B119" s="674"/>
      <c r="C119" s="675" t="s">
        <v>22</v>
      </c>
      <c r="D119" s="676" t="s">
        <v>376</v>
      </c>
      <c r="E119" s="676" t="s">
        <v>328</v>
      </c>
      <c r="F119" s="677" t="s">
        <v>98</v>
      </c>
      <c r="G119" s="678">
        <v>1.5</v>
      </c>
      <c r="H119" s="679">
        <v>60</v>
      </c>
      <c r="I119" s="1471"/>
      <c r="J119" s="1472"/>
      <c r="K119" s="1473"/>
      <c r="L119" s="698">
        <f t="shared" si="3"/>
        <v>0</v>
      </c>
      <c r="M119" s="699">
        <f t="shared" si="3"/>
        <v>0</v>
      </c>
      <c r="N119" s="700">
        <f t="shared" si="3"/>
        <v>0</v>
      </c>
      <c r="O119" s="698">
        <f t="shared" si="4"/>
        <v>0</v>
      </c>
      <c r="P119" s="699">
        <f t="shared" si="4"/>
        <v>0</v>
      </c>
      <c r="Q119" s="700">
        <f t="shared" si="4"/>
        <v>0</v>
      </c>
    </row>
    <row r="120" spans="1:17" s="673" customFormat="1" x14ac:dyDescent="0.2">
      <c r="A120" s="674"/>
      <c r="B120" s="674"/>
      <c r="C120" s="675" t="s">
        <v>22</v>
      </c>
      <c r="D120" s="676" t="s">
        <v>376</v>
      </c>
      <c r="E120" s="676" t="s">
        <v>328</v>
      </c>
      <c r="F120" s="677" t="s">
        <v>98</v>
      </c>
      <c r="G120" s="678">
        <v>3</v>
      </c>
      <c r="H120" s="679">
        <v>60</v>
      </c>
      <c r="I120" s="1451"/>
      <c r="J120" s="1452"/>
      <c r="K120" s="1453"/>
      <c r="L120" s="680">
        <f t="shared" si="3"/>
        <v>0</v>
      </c>
      <c r="M120" s="681">
        <f t="shared" si="3"/>
        <v>0</v>
      </c>
      <c r="N120" s="682">
        <f t="shared" si="3"/>
        <v>0</v>
      </c>
      <c r="O120" s="680">
        <f t="shared" si="4"/>
        <v>0</v>
      </c>
      <c r="P120" s="681">
        <f t="shared" si="4"/>
        <v>0</v>
      </c>
      <c r="Q120" s="682">
        <f t="shared" si="4"/>
        <v>0</v>
      </c>
    </row>
    <row r="121" spans="1:17" s="673" customFormat="1" x14ac:dyDescent="0.2">
      <c r="A121" s="674"/>
      <c r="B121" s="674"/>
      <c r="C121" s="675" t="s">
        <v>22</v>
      </c>
      <c r="D121" s="676" t="s">
        <v>377</v>
      </c>
      <c r="E121" s="676" t="s">
        <v>328</v>
      </c>
      <c r="F121" s="677" t="s">
        <v>98</v>
      </c>
      <c r="G121" s="678">
        <v>1</v>
      </c>
      <c r="H121" s="679">
        <v>60</v>
      </c>
      <c r="I121" s="1451">
        <v>20</v>
      </c>
      <c r="J121" s="1452">
        <v>19</v>
      </c>
      <c r="K121" s="1453">
        <v>20</v>
      </c>
      <c r="L121" s="680">
        <f t="shared" si="3"/>
        <v>5.4794520547945202E-2</v>
      </c>
      <c r="M121" s="681">
        <f t="shared" si="3"/>
        <v>5.2054794520547946E-2</v>
      </c>
      <c r="N121" s="682">
        <f t="shared" si="3"/>
        <v>5.4794520547945202E-2</v>
      </c>
      <c r="O121" s="680">
        <f t="shared" si="4"/>
        <v>3.2876712328767121</v>
      </c>
      <c r="P121" s="681">
        <f t="shared" si="4"/>
        <v>3.1232876712328768</v>
      </c>
      <c r="Q121" s="682">
        <f t="shared" si="4"/>
        <v>3.2876712328767121</v>
      </c>
    </row>
    <row r="122" spans="1:17" s="673" customFormat="1" x14ac:dyDescent="0.2">
      <c r="A122" s="674"/>
      <c r="B122" s="674"/>
      <c r="C122" s="675" t="s">
        <v>22</v>
      </c>
      <c r="D122" s="676" t="s">
        <v>377</v>
      </c>
      <c r="E122" s="676" t="s">
        <v>328</v>
      </c>
      <c r="F122" s="677" t="s">
        <v>98</v>
      </c>
      <c r="G122" s="678">
        <v>2</v>
      </c>
      <c r="H122" s="679">
        <v>60</v>
      </c>
      <c r="I122" s="1451">
        <v>35</v>
      </c>
      <c r="J122" s="1452">
        <v>34</v>
      </c>
      <c r="K122" s="1453">
        <v>38</v>
      </c>
      <c r="L122" s="680">
        <f t="shared" si="3"/>
        <v>4.7945205479452052E-2</v>
      </c>
      <c r="M122" s="681">
        <f t="shared" si="3"/>
        <v>4.6575342465753428E-2</v>
      </c>
      <c r="N122" s="682">
        <f t="shared" si="3"/>
        <v>5.2054794520547946E-2</v>
      </c>
      <c r="O122" s="680">
        <f t="shared" si="4"/>
        <v>2.8767123287671232</v>
      </c>
      <c r="P122" s="681">
        <f t="shared" si="4"/>
        <v>2.7945205479452055</v>
      </c>
      <c r="Q122" s="682">
        <f t="shared" si="4"/>
        <v>3.1232876712328768</v>
      </c>
    </row>
    <row r="123" spans="1:17" s="673" customFormat="1" x14ac:dyDescent="0.2">
      <c r="A123" s="674"/>
      <c r="B123" s="674"/>
      <c r="C123" s="684" t="s">
        <v>22</v>
      </c>
      <c r="D123" s="685" t="s">
        <v>331</v>
      </c>
      <c r="E123" s="685" t="s">
        <v>328</v>
      </c>
      <c r="F123" s="686" t="s">
        <v>98</v>
      </c>
      <c r="G123" s="687">
        <v>1</v>
      </c>
      <c r="H123" s="688">
        <v>60</v>
      </c>
      <c r="I123" s="1463">
        <v>72</v>
      </c>
      <c r="J123" s="1464">
        <v>63</v>
      </c>
      <c r="K123" s="1465">
        <v>177</v>
      </c>
      <c r="L123" s="689">
        <f t="shared" si="3"/>
        <v>0.19726027397260273</v>
      </c>
      <c r="M123" s="690">
        <f t="shared" si="3"/>
        <v>0.17260273972602741</v>
      </c>
      <c r="N123" s="691">
        <f t="shared" si="3"/>
        <v>0.48493150684931507</v>
      </c>
      <c r="O123" s="689">
        <f t="shared" si="4"/>
        <v>11.835616438356164</v>
      </c>
      <c r="P123" s="690">
        <f t="shared" si="4"/>
        <v>10.356164383561644</v>
      </c>
      <c r="Q123" s="691">
        <f t="shared" si="4"/>
        <v>29.095890410958905</v>
      </c>
    </row>
    <row r="124" spans="1:17" s="673" customFormat="1" x14ac:dyDescent="0.2">
      <c r="A124" s="674"/>
      <c r="B124" s="674"/>
      <c r="C124" s="675" t="s">
        <v>1</v>
      </c>
      <c r="D124" s="676" t="s">
        <v>378</v>
      </c>
      <c r="E124" s="676" t="s">
        <v>328</v>
      </c>
      <c r="F124" s="677" t="s">
        <v>98</v>
      </c>
      <c r="G124" s="678">
        <v>2</v>
      </c>
      <c r="H124" s="679">
        <v>60</v>
      </c>
      <c r="I124" s="1471">
        <v>52</v>
      </c>
      <c r="J124" s="1472">
        <v>51</v>
      </c>
      <c r="K124" s="1473">
        <v>54</v>
      </c>
      <c r="L124" s="698">
        <f t="shared" si="3"/>
        <v>7.1232876712328766E-2</v>
      </c>
      <c r="M124" s="699">
        <f t="shared" si="3"/>
        <v>6.9863013698630141E-2</v>
      </c>
      <c r="N124" s="700">
        <f t="shared" si="3"/>
        <v>7.3972602739726029E-2</v>
      </c>
      <c r="O124" s="698">
        <f t="shared" si="4"/>
        <v>4.2739726027397262</v>
      </c>
      <c r="P124" s="699">
        <f t="shared" si="4"/>
        <v>4.1917808219178081</v>
      </c>
      <c r="Q124" s="700">
        <f t="shared" si="4"/>
        <v>4.4383561643835616</v>
      </c>
    </row>
    <row r="125" spans="1:17" s="673" customFormat="1" x14ac:dyDescent="0.2">
      <c r="A125" s="674"/>
      <c r="B125" s="674"/>
      <c r="C125" s="675" t="s">
        <v>1</v>
      </c>
      <c r="D125" s="676" t="s">
        <v>378</v>
      </c>
      <c r="E125" s="676" t="s">
        <v>328</v>
      </c>
      <c r="F125" s="677" t="s">
        <v>98</v>
      </c>
      <c r="G125" s="678">
        <v>4</v>
      </c>
      <c r="H125" s="679">
        <v>60</v>
      </c>
      <c r="I125" s="1451">
        <v>52</v>
      </c>
      <c r="J125" s="1452">
        <v>52</v>
      </c>
      <c r="K125" s="1453">
        <v>64</v>
      </c>
      <c r="L125" s="680">
        <f t="shared" si="3"/>
        <v>3.5616438356164383E-2</v>
      </c>
      <c r="M125" s="681">
        <f t="shared" si="3"/>
        <v>3.5616438356164383E-2</v>
      </c>
      <c r="N125" s="682">
        <f t="shared" si="3"/>
        <v>4.3835616438356165E-2</v>
      </c>
      <c r="O125" s="680">
        <f t="shared" si="4"/>
        <v>2.1369863013698631</v>
      </c>
      <c r="P125" s="681">
        <f t="shared" si="4"/>
        <v>2.1369863013698631</v>
      </c>
      <c r="Q125" s="682">
        <f t="shared" si="4"/>
        <v>2.6301369863013697</v>
      </c>
    </row>
    <row r="126" spans="1:17" s="673" customFormat="1" x14ac:dyDescent="0.2">
      <c r="A126" s="1607"/>
      <c r="B126" s="1607"/>
      <c r="C126" s="1608"/>
      <c r="D126" s="1609"/>
      <c r="E126" s="1609"/>
      <c r="F126" s="1610"/>
      <c r="G126" s="1611"/>
      <c r="H126" s="1612"/>
      <c r="I126" s="1451"/>
      <c r="J126" s="1452"/>
      <c r="K126" s="1453"/>
      <c r="L126" s="1613"/>
      <c r="M126" s="1614"/>
      <c r="N126" s="1615"/>
      <c r="O126" s="1613"/>
      <c r="P126" s="1614"/>
      <c r="Q126" s="1615"/>
    </row>
    <row r="127" spans="1:17" s="673" customFormat="1" x14ac:dyDescent="0.2">
      <c r="A127" s="674"/>
      <c r="B127" s="674"/>
      <c r="C127" s="675" t="s">
        <v>18</v>
      </c>
      <c r="D127" s="676" t="s">
        <v>379</v>
      </c>
      <c r="E127" s="676" t="s">
        <v>328</v>
      </c>
      <c r="F127" s="677" t="s">
        <v>98</v>
      </c>
      <c r="G127" s="678">
        <v>2</v>
      </c>
      <c r="H127" s="679">
        <v>60</v>
      </c>
      <c r="I127" s="1451">
        <v>43</v>
      </c>
      <c r="J127" s="1452">
        <v>41</v>
      </c>
      <c r="K127" s="1453">
        <v>43</v>
      </c>
      <c r="L127" s="680">
        <f t="shared" si="3"/>
        <v>5.8904109589041097E-2</v>
      </c>
      <c r="M127" s="681">
        <f t="shared" si="3"/>
        <v>5.6164383561643834E-2</v>
      </c>
      <c r="N127" s="682">
        <f t="shared" si="3"/>
        <v>5.8904109589041097E-2</v>
      </c>
      <c r="O127" s="680">
        <f t="shared" si="4"/>
        <v>3.5342465753424657</v>
      </c>
      <c r="P127" s="681">
        <f t="shared" si="4"/>
        <v>3.3698630136986298</v>
      </c>
      <c r="Q127" s="682">
        <f t="shared" si="4"/>
        <v>3.5342465753424657</v>
      </c>
    </row>
    <row r="128" spans="1:17" s="673" customFormat="1" x14ac:dyDescent="0.2">
      <c r="A128" s="674"/>
      <c r="B128" s="683"/>
      <c r="C128" s="684" t="s">
        <v>18</v>
      </c>
      <c r="D128" s="685" t="s">
        <v>379</v>
      </c>
      <c r="E128" s="685" t="s">
        <v>328</v>
      </c>
      <c r="F128" s="686" t="s">
        <v>98</v>
      </c>
      <c r="G128" s="687">
        <v>4</v>
      </c>
      <c r="H128" s="688">
        <v>60</v>
      </c>
      <c r="I128" s="1463">
        <v>56</v>
      </c>
      <c r="J128" s="1464">
        <v>56</v>
      </c>
      <c r="K128" s="1465">
        <v>63</v>
      </c>
      <c r="L128" s="689">
        <f t="shared" si="3"/>
        <v>3.8356164383561646E-2</v>
      </c>
      <c r="M128" s="690">
        <f t="shared" si="3"/>
        <v>3.8356164383561646E-2</v>
      </c>
      <c r="N128" s="691">
        <f t="shared" si="3"/>
        <v>4.3150684931506852E-2</v>
      </c>
      <c r="O128" s="689">
        <f t="shared" si="4"/>
        <v>2.3013698630136989</v>
      </c>
      <c r="P128" s="690">
        <f t="shared" si="4"/>
        <v>2.3013698630136989</v>
      </c>
      <c r="Q128" s="691">
        <f t="shared" si="4"/>
        <v>2.5890410958904111</v>
      </c>
    </row>
    <row r="129" spans="1:18" s="673" customFormat="1" x14ac:dyDescent="0.2">
      <c r="A129" s="1607"/>
      <c r="B129" s="1552"/>
      <c r="C129" s="1553" t="s">
        <v>596</v>
      </c>
      <c r="D129" s="1554" t="s">
        <v>379</v>
      </c>
      <c r="E129" s="1554" t="s">
        <v>328</v>
      </c>
      <c r="F129" s="1555" t="s">
        <v>98</v>
      </c>
      <c r="G129" s="1556">
        <v>4</v>
      </c>
      <c r="H129" s="1557">
        <v>60</v>
      </c>
      <c r="I129" s="1558">
        <v>103</v>
      </c>
      <c r="J129" s="1559">
        <v>100</v>
      </c>
      <c r="K129" s="1560">
        <v>103</v>
      </c>
      <c r="L129" s="1561">
        <f t="shared" si="3"/>
        <v>7.0547945205479454E-2</v>
      </c>
      <c r="M129" s="1562">
        <f t="shared" si="3"/>
        <v>6.8493150684931503E-2</v>
      </c>
      <c r="N129" s="1563">
        <f t="shared" si="3"/>
        <v>7.0547945205479454E-2</v>
      </c>
      <c r="O129" s="1561">
        <f t="shared" si="4"/>
        <v>4.2328767123287676</v>
      </c>
      <c r="P129" s="1562">
        <f t="shared" si="4"/>
        <v>4.10958904109589</v>
      </c>
      <c r="Q129" s="1563">
        <f t="shared" si="4"/>
        <v>4.2328767123287676</v>
      </c>
    </row>
    <row r="130" spans="1:18" s="673" customFormat="1" x14ac:dyDescent="0.2">
      <c r="A130" s="674"/>
      <c r="B130" s="692" t="s">
        <v>333</v>
      </c>
      <c r="C130" s="693" t="s">
        <v>32</v>
      </c>
      <c r="D130" s="694">
        <v>100</v>
      </c>
      <c r="E130" s="694" t="s">
        <v>328</v>
      </c>
      <c r="F130" s="695" t="s">
        <v>98</v>
      </c>
      <c r="G130" s="696">
        <v>2</v>
      </c>
      <c r="H130" s="697">
        <v>100</v>
      </c>
      <c r="I130" s="1471">
        <v>16</v>
      </c>
      <c r="J130" s="1472">
        <v>16</v>
      </c>
      <c r="K130" s="1473">
        <v>17</v>
      </c>
      <c r="L130" s="698">
        <f t="shared" si="3"/>
        <v>2.1917808219178082E-2</v>
      </c>
      <c r="M130" s="699">
        <f t="shared" si="3"/>
        <v>2.1917808219178082E-2</v>
      </c>
      <c r="N130" s="700">
        <f t="shared" si="3"/>
        <v>2.3287671232876714E-2</v>
      </c>
      <c r="O130" s="698">
        <f t="shared" si="4"/>
        <v>2.1917808219178081</v>
      </c>
      <c r="P130" s="699">
        <f t="shared" si="4"/>
        <v>2.1917808219178081</v>
      </c>
      <c r="Q130" s="700">
        <f t="shared" si="4"/>
        <v>2.3287671232876712</v>
      </c>
    </row>
    <row r="131" spans="1:18" s="673" customFormat="1" x14ac:dyDescent="0.2">
      <c r="A131" s="1607"/>
      <c r="B131" s="692"/>
      <c r="C131" s="693" t="s">
        <v>32</v>
      </c>
      <c r="D131" s="694">
        <v>60</v>
      </c>
      <c r="E131" s="694" t="s">
        <v>328</v>
      </c>
      <c r="F131" s="695" t="s">
        <v>98</v>
      </c>
      <c r="G131" s="696">
        <v>4</v>
      </c>
      <c r="H131" s="697">
        <v>60</v>
      </c>
      <c r="I131" s="1471">
        <v>115</v>
      </c>
      <c r="J131" s="1472">
        <v>115</v>
      </c>
      <c r="K131" s="1473">
        <v>115</v>
      </c>
      <c r="L131" s="698">
        <f>I131/365/$G131</f>
        <v>7.8767123287671229E-2</v>
      </c>
      <c r="M131" s="699">
        <f>J131/365/$G131</f>
        <v>7.8767123287671229E-2</v>
      </c>
      <c r="N131" s="700">
        <f>K131/365/$G131</f>
        <v>7.8767123287671229E-2</v>
      </c>
      <c r="O131" s="698">
        <f>L131*$H131</f>
        <v>4.7260273972602738</v>
      </c>
      <c r="P131" s="699">
        <f>M131*$H131</f>
        <v>4.7260273972602738</v>
      </c>
      <c r="Q131" s="700">
        <f>N131*$H131</f>
        <v>4.7260273972602738</v>
      </c>
      <c r="R131" s="673" t="s">
        <v>1662</v>
      </c>
    </row>
    <row r="132" spans="1:18" s="673" customFormat="1" x14ac:dyDescent="0.2">
      <c r="A132" s="1607"/>
      <c r="B132" s="692"/>
      <c r="C132" s="693" t="s">
        <v>34</v>
      </c>
      <c r="D132" s="694">
        <v>60</v>
      </c>
      <c r="E132" s="694" t="s">
        <v>328</v>
      </c>
      <c r="F132" s="695" t="s">
        <v>98</v>
      </c>
      <c r="G132" s="696">
        <v>4</v>
      </c>
      <c r="H132" s="697">
        <v>60</v>
      </c>
      <c r="I132" s="1471"/>
      <c r="J132" s="1472"/>
      <c r="K132" s="1473"/>
      <c r="L132" s="680">
        <v>5.8904109589041097E-2</v>
      </c>
      <c r="M132" s="681">
        <v>5.6164383561643834E-2</v>
      </c>
      <c r="N132" s="682">
        <v>5.8904109589041097E-2</v>
      </c>
      <c r="O132" s="680">
        <v>3.5342465753424657</v>
      </c>
      <c r="P132" s="681">
        <v>3.3698630136986298</v>
      </c>
      <c r="Q132" s="682">
        <v>3.5342465753424657</v>
      </c>
      <c r="R132" s="673" t="s">
        <v>1662</v>
      </c>
    </row>
    <row r="133" spans="1:18" s="673" customFormat="1" x14ac:dyDescent="0.2">
      <c r="A133" s="674"/>
      <c r="B133" s="674"/>
      <c r="C133" s="675" t="s">
        <v>82</v>
      </c>
      <c r="D133" s="676">
        <v>15</v>
      </c>
      <c r="E133" s="676" t="s">
        <v>328</v>
      </c>
      <c r="F133" s="677" t="s">
        <v>98</v>
      </c>
      <c r="G133" s="678">
        <v>2</v>
      </c>
      <c r="H133" s="679">
        <v>56</v>
      </c>
      <c r="I133" s="1451">
        <v>61</v>
      </c>
      <c r="J133" s="1452">
        <v>59</v>
      </c>
      <c r="K133" s="1453">
        <v>182</v>
      </c>
      <c r="L133" s="680">
        <f t="shared" si="3"/>
        <v>8.3561643835616442E-2</v>
      </c>
      <c r="M133" s="681">
        <f t="shared" si="3"/>
        <v>8.0821917808219179E-2</v>
      </c>
      <c r="N133" s="682">
        <f t="shared" si="3"/>
        <v>0.24931506849315069</v>
      </c>
      <c r="O133" s="680">
        <f t="shared" si="4"/>
        <v>4.6794520547945204</v>
      </c>
      <c r="P133" s="681">
        <f t="shared" si="4"/>
        <v>4.5260273972602736</v>
      </c>
      <c r="Q133" s="682">
        <f t="shared" si="4"/>
        <v>13.961643835616439</v>
      </c>
    </row>
    <row r="134" spans="1:18" s="673" customFormat="1" x14ac:dyDescent="0.2">
      <c r="A134" s="674"/>
      <c r="B134" s="674"/>
      <c r="C134" s="675" t="s">
        <v>82</v>
      </c>
      <c r="D134" s="676">
        <v>20</v>
      </c>
      <c r="E134" s="676" t="s">
        <v>328</v>
      </c>
      <c r="F134" s="677" t="s">
        <v>98</v>
      </c>
      <c r="G134" s="678">
        <v>2</v>
      </c>
      <c r="H134" s="679">
        <v>56</v>
      </c>
      <c r="I134" s="1451">
        <v>15</v>
      </c>
      <c r="J134" s="1452">
        <v>15</v>
      </c>
      <c r="K134" s="1453">
        <v>17</v>
      </c>
      <c r="L134" s="680">
        <f t="shared" si="3"/>
        <v>2.0547945205479451E-2</v>
      </c>
      <c r="M134" s="681">
        <f t="shared" si="3"/>
        <v>2.0547945205479451E-2</v>
      </c>
      <c r="N134" s="682">
        <f t="shared" si="3"/>
        <v>2.3287671232876714E-2</v>
      </c>
      <c r="O134" s="680">
        <f t="shared" si="4"/>
        <v>1.1506849315068493</v>
      </c>
      <c r="P134" s="681">
        <f t="shared" si="4"/>
        <v>1.1506849315068493</v>
      </c>
      <c r="Q134" s="682">
        <f t="shared" si="4"/>
        <v>1.3041095890410959</v>
      </c>
    </row>
    <row r="135" spans="1:18" s="673" customFormat="1" x14ac:dyDescent="0.2">
      <c r="A135" s="674"/>
      <c r="B135" s="674"/>
      <c r="C135" s="675" t="s">
        <v>27</v>
      </c>
      <c r="D135" s="676">
        <v>50</v>
      </c>
      <c r="E135" s="676" t="s">
        <v>328</v>
      </c>
      <c r="F135" s="677" t="s">
        <v>98</v>
      </c>
      <c r="G135" s="678">
        <v>2</v>
      </c>
      <c r="H135" s="679">
        <v>30</v>
      </c>
      <c r="I135" s="1451">
        <v>54</v>
      </c>
      <c r="J135" s="1452">
        <v>54</v>
      </c>
      <c r="K135" s="1453">
        <v>57</v>
      </c>
      <c r="L135" s="680">
        <f t="shared" si="3"/>
        <v>7.3972602739726029E-2</v>
      </c>
      <c r="M135" s="681">
        <f t="shared" si="3"/>
        <v>7.3972602739726029E-2</v>
      </c>
      <c r="N135" s="682">
        <f t="shared" si="3"/>
        <v>7.8082191780821916E-2</v>
      </c>
      <c r="O135" s="680">
        <f t="shared" si="4"/>
        <v>2.2191780821917808</v>
      </c>
      <c r="P135" s="681">
        <f t="shared" si="4"/>
        <v>2.2191780821917808</v>
      </c>
      <c r="Q135" s="682">
        <f t="shared" si="4"/>
        <v>2.3424657534246576</v>
      </c>
    </row>
    <row r="136" spans="1:18" s="673" customFormat="1" x14ac:dyDescent="0.2">
      <c r="A136" s="674"/>
      <c r="B136" s="674"/>
      <c r="C136" s="675" t="s">
        <v>27</v>
      </c>
      <c r="D136" s="676">
        <v>50</v>
      </c>
      <c r="E136" s="676" t="s">
        <v>328</v>
      </c>
      <c r="F136" s="677" t="s">
        <v>98</v>
      </c>
      <c r="G136" s="678">
        <v>4</v>
      </c>
      <c r="H136" s="679">
        <v>30</v>
      </c>
      <c r="I136" s="1451">
        <v>103</v>
      </c>
      <c r="J136" s="1452">
        <v>90</v>
      </c>
      <c r="K136" s="1453">
        <v>193</v>
      </c>
      <c r="L136" s="680">
        <f t="shared" si="3"/>
        <v>7.0547945205479454E-2</v>
      </c>
      <c r="M136" s="681">
        <f t="shared" si="3"/>
        <v>6.1643835616438353E-2</v>
      </c>
      <c r="N136" s="682">
        <f t="shared" si="3"/>
        <v>0.13219178082191782</v>
      </c>
      <c r="O136" s="680">
        <f t="shared" si="4"/>
        <v>2.1164383561643838</v>
      </c>
      <c r="P136" s="681">
        <f t="shared" si="4"/>
        <v>1.8493150684931505</v>
      </c>
      <c r="Q136" s="682">
        <f t="shared" si="4"/>
        <v>3.9657534246575348</v>
      </c>
    </row>
    <row r="137" spans="1:18" s="673" customFormat="1" x14ac:dyDescent="0.2">
      <c r="A137" s="674"/>
      <c r="B137" s="674"/>
      <c r="C137" s="675" t="s">
        <v>27</v>
      </c>
      <c r="D137" s="676">
        <v>200</v>
      </c>
      <c r="E137" s="676" t="s">
        <v>328</v>
      </c>
      <c r="F137" s="677" t="s">
        <v>98</v>
      </c>
      <c r="G137" s="678">
        <v>1</v>
      </c>
      <c r="H137" s="679">
        <v>90</v>
      </c>
      <c r="I137" s="1451">
        <v>119</v>
      </c>
      <c r="J137" s="1452">
        <v>114</v>
      </c>
      <c r="K137" s="1453">
        <v>151</v>
      </c>
      <c r="L137" s="680">
        <f t="shared" si="3"/>
        <v>0.32602739726027397</v>
      </c>
      <c r="M137" s="681">
        <f t="shared" si="3"/>
        <v>0.31232876712328766</v>
      </c>
      <c r="N137" s="682">
        <f t="shared" si="3"/>
        <v>0.41369863013698632</v>
      </c>
      <c r="O137" s="680">
        <f t="shared" si="4"/>
        <v>29.342465753424658</v>
      </c>
      <c r="P137" s="681">
        <f t="shared" si="4"/>
        <v>28.109589041095891</v>
      </c>
      <c r="Q137" s="682">
        <f t="shared" si="4"/>
        <v>37.232876712328768</v>
      </c>
    </row>
    <row r="138" spans="1:18" s="673" customFormat="1" x14ac:dyDescent="0.2">
      <c r="A138" s="683"/>
      <c r="B138" s="683"/>
      <c r="C138" s="684" t="s">
        <v>29</v>
      </c>
      <c r="D138" s="685">
        <v>200</v>
      </c>
      <c r="E138" s="685" t="s">
        <v>328</v>
      </c>
      <c r="F138" s="686" t="s">
        <v>98</v>
      </c>
      <c r="G138" s="687">
        <v>1</v>
      </c>
      <c r="H138" s="688">
        <v>60</v>
      </c>
      <c r="I138" s="1463">
        <v>1022</v>
      </c>
      <c r="J138" s="1464">
        <v>977</v>
      </c>
      <c r="K138" s="1465">
        <v>1022</v>
      </c>
      <c r="L138" s="689">
        <f t="shared" si="3"/>
        <v>2.8</v>
      </c>
      <c r="M138" s="690">
        <f t="shared" si="3"/>
        <v>2.6767123287671235</v>
      </c>
      <c r="N138" s="691">
        <f t="shared" si="3"/>
        <v>2.8</v>
      </c>
      <c r="O138" s="689">
        <f t="shared" si="4"/>
        <v>168</v>
      </c>
      <c r="P138" s="690">
        <f t="shared" si="4"/>
        <v>160.60273972602741</v>
      </c>
      <c r="Q138" s="691">
        <f t="shared" si="4"/>
        <v>168</v>
      </c>
    </row>
    <row r="139" spans="1:18" s="673" customFormat="1" x14ac:dyDescent="0.2">
      <c r="A139" s="1616" t="str">
        <f>'TRAD-Prix 10-2011 GPRM $'!B42</f>
        <v>2 &amp; 3èmes lignes</v>
      </c>
      <c r="B139" s="1552"/>
      <c r="C139" s="1553" t="s">
        <v>36</v>
      </c>
      <c r="D139" s="1554">
        <v>60</v>
      </c>
      <c r="E139" s="1554" t="s">
        <v>328</v>
      </c>
      <c r="F139" s="1555" t="s">
        <v>98</v>
      </c>
      <c r="G139" s="1556">
        <v>4</v>
      </c>
      <c r="H139" s="1557">
        <v>60</v>
      </c>
      <c r="I139" s="1558">
        <v>85</v>
      </c>
      <c r="J139" s="1559">
        <v>80</v>
      </c>
      <c r="K139" s="1560">
        <v>91</v>
      </c>
      <c r="L139" s="1561">
        <f t="shared" si="3"/>
        <v>5.8219178082191778E-2</v>
      </c>
      <c r="M139" s="1562">
        <f t="shared" si="3"/>
        <v>5.4794520547945202E-2</v>
      </c>
      <c r="N139" s="1563">
        <f t="shared" si="3"/>
        <v>6.2328767123287672E-2</v>
      </c>
      <c r="O139" s="1561">
        <f t="shared" si="4"/>
        <v>3.4931506849315066</v>
      </c>
      <c r="P139" s="1562">
        <f t="shared" si="4"/>
        <v>3.2876712328767121</v>
      </c>
      <c r="Q139" s="1563">
        <f t="shared" si="4"/>
        <v>3.7397260273972601</v>
      </c>
    </row>
    <row r="140" spans="1:18" s="673" customFormat="1" x14ac:dyDescent="0.2">
      <c r="A140" s="754"/>
      <c r="B140" s="692"/>
      <c r="C140" s="693" t="s">
        <v>37</v>
      </c>
      <c r="D140" s="694">
        <v>25</v>
      </c>
      <c r="E140" s="694" t="s">
        <v>328</v>
      </c>
      <c r="F140" s="695" t="s">
        <v>98</v>
      </c>
      <c r="G140" s="696">
        <v>4</v>
      </c>
      <c r="H140" s="697">
        <v>60</v>
      </c>
      <c r="I140" s="1471">
        <v>134</v>
      </c>
      <c r="J140" s="1472">
        <v>134</v>
      </c>
      <c r="K140" s="1473">
        <v>152</v>
      </c>
      <c r="L140" s="698">
        <f t="shared" ref="L140:N150" si="5">I140/365/$G140</f>
        <v>9.1780821917808217E-2</v>
      </c>
      <c r="M140" s="699">
        <f t="shared" si="5"/>
        <v>9.1780821917808217E-2</v>
      </c>
      <c r="N140" s="700">
        <f t="shared" si="5"/>
        <v>0.10410958904109589</v>
      </c>
      <c r="O140" s="698">
        <f t="shared" ref="O140:Q150" si="6">L140*$H140</f>
        <v>5.506849315068493</v>
      </c>
      <c r="P140" s="699">
        <f t="shared" si="6"/>
        <v>5.506849315068493</v>
      </c>
      <c r="Q140" s="700">
        <f t="shared" si="6"/>
        <v>6.2465753424657535</v>
      </c>
    </row>
    <row r="141" spans="1:18" s="673" customFormat="1" x14ac:dyDescent="0.2">
      <c r="A141" s="674"/>
      <c r="B141" s="674"/>
      <c r="C141" s="675" t="s">
        <v>37</v>
      </c>
      <c r="D141" s="676">
        <v>25</v>
      </c>
      <c r="E141" s="676" t="s">
        <v>328</v>
      </c>
      <c r="F141" s="677" t="s">
        <v>98</v>
      </c>
      <c r="G141" s="678">
        <v>5</v>
      </c>
      <c r="H141" s="679">
        <v>60</v>
      </c>
      <c r="I141" s="1451">
        <v>482</v>
      </c>
      <c r="J141" s="1452">
        <v>372</v>
      </c>
      <c r="K141" s="1453">
        <v>482</v>
      </c>
      <c r="L141" s="680">
        <f t="shared" si="5"/>
        <v>0.26410958904109588</v>
      </c>
      <c r="M141" s="681">
        <f t="shared" si="5"/>
        <v>0.20383561643835618</v>
      </c>
      <c r="N141" s="682">
        <f t="shared" si="5"/>
        <v>0.26410958904109588</v>
      </c>
      <c r="O141" s="680">
        <f t="shared" si="6"/>
        <v>15.846575342465753</v>
      </c>
      <c r="P141" s="681">
        <f t="shared" si="6"/>
        <v>12.230136986301371</v>
      </c>
      <c r="Q141" s="682">
        <f t="shared" si="6"/>
        <v>15.846575342465753</v>
      </c>
    </row>
    <row r="142" spans="1:18" s="673" customFormat="1" x14ac:dyDescent="0.2">
      <c r="A142" s="674"/>
      <c r="B142" s="674"/>
      <c r="C142" s="675" t="s">
        <v>37</v>
      </c>
      <c r="D142" s="676">
        <v>50</v>
      </c>
      <c r="E142" s="676" t="s">
        <v>328</v>
      </c>
      <c r="F142" s="677" t="s">
        <v>98</v>
      </c>
      <c r="G142" s="678">
        <v>2</v>
      </c>
      <c r="H142" s="679">
        <v>60</v>
      </c>
      <c r="I142" s="1451">
        <v>116</v>
      </c>
      <c r="J142" s="1452">
        <v>116</v>
      </c>
      <c r="K142" s="1453">
        <v>116</v>
      </c>
      <c r="L142" s="680">
        <f t="shared" si="5"/>
        <v>0.15890410958904111</v>
      </c>
      <c r="M142" s="681">
        <f t="shared" si="5"/>
        <v>0.15890410958904111</v>
      </c>
      <c r="N142" s="682">
        <f t="shared" si="5"/>
        <v>0.15890410958904111</v>
      </c>
      <c r="O142" s="680">
        <f t="shared" si="6"/>
        <v>9.5342465753424666</v>
      </c>
      <c r="P142" s="681">
        <f t="shared" si="6"/>
        <v>9.5342465753424666</v>
      </c>
      <c r="Q142" s="682">
        <f t="shared" si="6"/>
        <v>9.5342465753424666</v>
      </c>
    </row>
    <row r="143" spans="1:18" s="673" customFormat="1" x14ac:dyDescent="0.2">
      <c r="A143" s="674"/>
      <c r="B143" s="674"/>
      <c r="C143" s="675" t="s">
        <v>37</v>
      </c>
      <c r="D143" s="676">
        <v>50</v>
      </c>
      <c r="E143" s="676" t="s">
        <v>328</v>
      </c>
      <c r="F143" s="677" t="s">
        <v>98</v>
      </c>
      <c r="G143" s="678">
        <v>3</v>
      </c>
      <c r="H143" s="679">
        <v>60</v>
      </c>
      <c r="I143" s="1451">
        <v>190</v>
      </c>
      <c r="J143" s="1452">
        <v>167</v>
      </c>
      <c r="K143" s="1453">
        <v>213</v>
      </c>
      <c r="L143" s="680">
        <f t="shared" si="5"/>
        <v>0.17351598173515981</v>
      </c>
      <c r="M143" s="681">
        <f t="shared" si="5"/>
        <v>0.15251141552511416</v>
      </c>
      <c r="N143" s="682">
        <f t="shared" si="5"/>
        <v>0.19452054794520549</v>
      </c>
      <c r="O143" s="680">
        <f t="shared" si="6"/>
        <v>10.410958904109588</v>
      </c>
      <c r="P143" s="681">
        <f t="shared" si="6"/>
        <v>9.1506849315068486</v>
      </c>
      <c r="Q143" s="682">
        <f t="shared" si="6"/>
        <v>11.671232876712329</v>
      </c>
    </row>
    <row r="144" spans="1:18" s="673" customFormat="1" x14ac:dyDescent="0.2">
      <c r="A144" s="674"/>
      <c r="B144" s="674"/>
      <c r="C144" s="675" t="s">
        <v>37</v>
      </c>
      <c r="D144" s="676">
        <v>100</v>
      </c>
      <c r="E144" s="676" t="s">
        <v>328</v>
      </c>
      <c r="F144" s="677" t="s">
        <v>98</v>
      </c>
      <c r="G144" s="678">
        <v>2</v>
      </c>
      <c r="H144" s="679">
        <v>60</v>
      </c>
      <c r="I144" s="1451">
        <v>173</v>
      </c>
      <c r="J144" s="1452">
        <v>173</v>
      </c>
      <c r="K144" s="1453">
        <v>173</v>
      </c>
      <c r="L144" s="680">
        <f t="shared" si="5"/>
        <v>0.23698630136986301</v>
      </c>
      <c r="M144" s="681">
        <f t="shared" si="5"/>
        <v>0.23698630136986301</v>
      </c>
      <c r="N144" s="682">
        <f t="shared" si="5"/>
        <v>0.23698630136986301</v>
      </c>
      <c r="O144" s="680">
        <f t="shared" si="6"/>
        <v>14.21917808219178</v>
      </c>
      <c r="P144" s="681">
        <f t="shared" si="6"/>
        <v>14.21917808219178</v>
      </c>
      <c r="Q144" s="682">
        <f t="shared" si="6"/>
        <v>14.21917808219178</v>
      </c>
    </row>
    <row r="145" spans="1:18" s="673" customFormat="1" x14ac:dyDescent="0.2">
      <c r="A145" s="674"/>
      <c r="B145" s="674"/>
      <c r="C145" s="675" t="s">
        <v>37</v>
      </c>
      <c r="D145" s="676">
        <v>125</v>
      </c>
      <c r="E145" s="676" t="s">
        <v>328</v>
      </c>
      <c r="F145" s="677" t="s">
        <v>98</v>
      </c>
      <c r="G145" s="678">
        <v>1</v>
      </c>
      <c r="H145" s="679">
        <v>30</v>
      </c>
      <c r="I145" s="1451">
        <v>212</v>
      </c>
      <c r="J145" s="1452">
        <v>151</v>
      </c>
      <c r="K145" s="1453">
        <v>273</v>
      </c>
      <c r="L145" s="680">
        <f t="shared" si="5"/>
        <v>0.58082191780821912</v>
      </c>
      <c r="M145" s="681">
        <f t="shared" si="5"/>
        <v>0.41369863013698632</v>
      </c>
      <c r="N145" s="682">
        <f t="shared" si="5"/>
        <v>0.74794520547945209</v>
      </c>
      <c r="O145" s="680">
        <f t="shared" si="6"/>
        <v>17.424657534246574</v>
      </c>
      <c r="P145" s="681">
        <f t="shared" si="6"/>
        <v>12.41095890410959</v>
      </c>
      <c r="Q145" s="682">
        <f t="shared" si="6"/>
        <v>22.438356164383563</v>
      </c>
    </row>
    <row r="146" spans="1:18" s="673" customFormat="1" x14ac:dyDescent="0.2">
      <c r="A146" s="674"/>
      <c r="B146" s="674"/>
      <c r="C146" s="675" t="s">
        <v>42</v>
      </c>
      <c r="D146" s="676" t="s">
        <v>380</v>
      </c>
      <c r="E146" s="676" t="s">
        <v>328</v>
      </c>
      <c r="F146" s="677" t="s">
        <v>98</v>
      </c>
      <c r="G146" s="678">
        <v>3</v>
      </c>
      <c r="H146" s="679">
        <v>60</v>
      </c>
      <c r="I146" s="1451">
        <v>132</v>
      </c>
      <c r="J146" s="1452">
        <v>129</v>
      </c>
      <c r="K146" s="1453">
        <v>1772</v>
      </c>
      <c r="L146" s="680">
        <f t="shared" si="5"/>
        <v>0.12054794520547946</v>
      </c>
      <c r="M146" s="681">
        <f t="shared" si="5"/>
        <v>0.11780821917808219</v>
      </c>
      <c r="N146" s="682">
        <f t="shared" si="5"/>
        <v>1.6182648401826485</v>
      </c>
      <c r="O146" s="680">
        <f t="shared" si="6"/>
        <v>7.2328767123287676</v>
      </c>
      <c r="P146" s="681">
        <f t="shared" si="6"/>
        <v>7.0684931506849313</v>
      </c>
      <c r="Q146" s="682">
        <f t="shared" si="6"/>
        <v>97.095890410958916</v>
      </c>
    </row>
    <row r="147" spans="1:18" s="673" customFormat="1" x14ac:dyDescent="0.2">
      <c r="A147" s="674"/>
      <c r="B147" s="674"/>
      <c r="C147" s="675" t="s">
        <v>42</v>
      </c>
      <c r="D147" s="676" t="s">
        <v>381</v>
      </c>
      <c r="E147" s="676" t="s">
        <v>328</v>
      </c>
      <c r="F147" s="677" t="s">
        <v>98</v>
      </c>
      <c r="G147" s="678">
        <v>2</v>
      </c>
      <c r="H147" s="679">
        <v>90</v>
      </c>
      <c r="I147" s="1451"/>
      <c r="J147" s="1452"/>
      <c r="K147" s="1453"/>
      <c r="L147" s="680">
        <f t="shared" si="5"/>
        <v>0</v>
      </c>
      <c r="M147" s="681">
        <f t="shared" si="5"/>
        <v>0</v>
      </c>
      <c r="N147" s="682">
        <f t="shared" si="5"/>
        <v>0</v>
      </c>
      <c r="O147" s="680">
        <f t="shared" si="6"/>
        <v>0</v>
      </c>
      <c r="P147" s="681">
        <f t="shared" si="6"/>
        <v>0</v>
      </c>
      <c r="Q147" s="682">
        <f t="shared" si="6"/>
        <v>0</v>
      </c>
    </row>
    <row r="148" spans="1:18" s="673" customFormat="1" x14ac:dyDescent="0.2">
      <c r="A148" s="674"/>
      <c r="B148" s="674"/>
      <c r="C148" s="675" t="s">
        <v>42</v>
      </c>
      <c r="D148" s="676" t="s">
        <v>341</v>
      </c>
      <c r="E148" s="676" t="s">
        <v>328</v>
      </c>
      <c r="F148" s="677" t="s">
        <v>98</v>
      </c>
      <c r="G148" s="678">
        <v>1.5</v>
      </c>
      <c r="H148" s="679">
        <v>120</v>
      </c>
      <c r="I148" s="1451">
        <v>154</v>
      </c>
      <c r="J148" s="1452">
        <v>154</v>
      </c>
      <c r="K148" s="1453">
        <v>165</v>
      </c>
      <c r="L148" s="680">
        <f>I148/365/$G148</f>
        <v>0.28127853881278536</v>
      </c>
      <c r="M148" s="681">
        <f>J148/365/$G148</f>
        <v>0.28127853881278536</v>
      </c>
      <c r="N148" s="682">
        <f>K148/365/$G148</f>
        <v>0.30136986301369861</v>
      </c>
      <c r="O148" s="680">
        <f>L148*$H148</f>
        <v>33.753424657534246</v>
      </c>
      <c r="P148" s="681">
        <f>M148*$H148</f>
        <v>33.753424657534246</v>
      </c>
      <c r="Q148" s="682">
        <f>N148*$H148</f>
        <v>36.164383561643831</v>
      </c>
    </row>
    <row r="149" spans="1:18" s="673" customFormat="1" x14ac:dyDescent="0.2">
      <c r="A149" s="674"/>
      <c r="B149" s="674"/>
      <c r="C149" s="675" t="s">
        <v>342</v>
      </c>
      <c r="D149" s="676">
        <v>250</v>
      </c>
      <c r="E149" s="676" t="s">
        <v>328</v>
      </c>
      <c r="F149" s="677" t="s">
        <v>98</v>
      </c>
      <c r="G149" s="678">
        <v>4</v>
      </c>
      <c r="H149" s="679">
        <v>300</v>
      </c>
      <c r="I149" s="1451">
        <v>621</v>
      </c>
      <c r="J149" s="1452">
        <v>621</v>
      </c>
      <c r="K149" s="1453">
        <v>651</v>
      </c>
      <c r="L149" s="680">
        <f>I149/365/$G149</f>
        <v>0.42534246575342466</v>
      </c>
      <c r="M149" s="681">
        <f t="shared" si="5"/>
        <v>0.42534246575342466</v>
      </c>
      <c r="N149" s="682">
        <f t="shared" si="5"/>
        <v>0.44589041095890408</v>
      </c>
      <c r="O149" s="680">
        <f t="shared" si="6"/>
        <v>127.60273972602739</v>
      </c>
      <c r="P149" s="681">
        <f t="shared" si="6"/>
        <v>127.60273972602739</v>
      </c>
      <c r="Q149" s="682">
        <f t="shared" si="6"/>
        <v>133.76712328767121</v>
      </c>
    </row>
    <row r="150" spans="1:18" s="673" customFormat="1" ht="13.5" thickBot="1" x14ac:dyDescent="0.25">
      <c r="A150" s="701"/>
      <c r="B150" s="701"/>
      <c r="C150" s="702" t="s">
        <v>342</v>
      </c>
      <c r="D150" s="703">
        <v>250</v>
      </c>
      <c r="E150" s="703" t="s">
        <v>328</v>
      </c>
      <c r="F150" s="704" t="s">
        <v>98</v>
      </c>
      <c r="G150" s="705">
        <v>6</v>
      </c>
      <c r="H150" s="706">
        <v>300</v>
      </c>
      <c r="I150" s="1483">
        <v>164</v>
      </c>
      <c r="J150" s="1484">
        <v>155</v>
      </c>
      <c r="K150" s="1485">
        <v>170</v>
      </c>
      <c r="L150" s="707">
        <f t="shared" si="5"/>
        <v>7.4885844748858441E-2</v>
      </c>
      <c r="M150" s="708">
        <f t="shared" si="5"/>
        <v>7.0776255707762553E-2</v>
      </c>
      <c r="N150" s="709">
        <f t="shared" si="5"/>
        <v>7.7625570776255703E-2</v>
      </c>
      <c r="O150" s="707">
        <f t="shared" si="6"/>
        <v>22.465753424657532</v>
      </c>
      <c r="P150" s="708">
        <f t="shared" si="6"/>
        <v>21.232876712328768</v>
      </c>
      <c r="Q150" s="709">
        <f t="shared" si="6"/>
        <v>23.287671232876711</v>
      </c>
    </row>
    <row r="151" spans="1:18" s="673" customFormat="1" x14ac:dyDescent="0.2">
      <c r="A151" s="710"/>
      <c r="B151" s="710"/>
      <c r="C151" s="710"/>
      <c r="D151" s="710"/>
      <c r="E151" s="711"/>
      <c r="F151" s="712"/>
      <c r="G151" s="713"/>
      <c r="H151" s="714"/>
      <c r="I151" s="715"/>
      <c r="J151" s="715"/>
      <c r="K151" s="715"/>
      <c r="L151" s="716"/>
      <c r="M151" s="716"/>
      <c r="N151" s="716"/>
      <c r="O151" s="714"/>
      <c r="P151" s="716"/>
      <c r="Q151" s="716"/>
      <c r="R151" s="716"/>
    </row>
    <row r="152" spans="1:18" s="673" customFormat="1" x14ac:dyDescent="0.2">
      <c r="A152" s="710"/>
      <c r="B152" s="710"/>
      <c r="C152" s="710"/>
      <c r="D152" s="710"/>
      <c r="E152" s="711"/>
      <c r="F152" s="712"/>
      <c r="G152" s="713"/>
      <c r="H152" s="714"/>
      <c r="I152" s="715"/>
      <c r="J152" s="715"/>
      <c r="K152" s="715"/>
      <c r="L152" s="716"/>
      <c r="M152" s="716"/>
      <c r="N152" s="716"/>
      <c r="O152" s="714"/>
      <c r="P152" s="716"/>
      <c r="Q152" s="716"/>
      <c r="R152" s="716"/>
    </row>
    <row r="153" spans="1:18" s="673" customFormat="1" x14ac:dyDescent="0.2">
      <c r="A153" s="710"/>
      <c r="B153" s="710"/>
      <c r="C153" s="710"/>
      <c r="D153" s="710"/>
      <c r="E153" s="711"/>
      <c r="F153" s="712"/>
      <c r="G153" s="713"/>
      <c r="H153" s="714"/>
      <c r="I153" s="715"/>
      <c r="J153" s="715"/>
      <c r="K153" s="715"/>
      <c r="L153" s="716"/>
      <c r="M153" s="716"/>
      <c r="N153" s="716"/>
      <c r="O153" s="714"/>
      <c r="P153" s="716"/>
      <c r="Q153" s="716"/>
      <c r="R153" s="716"/>
    </row>
    <row r="154" spans="1:18" s="673" customFormat="1" x14ac:dyDescent="0.2">
      <c r="A154" s="710"/>
      <c r="B154" s="710"/>
      <c r="C154" s="710"/>
      <c r="D154" s="710"/>
      <c r="E154" s="711"/>
      <c r="F154" s="712"/>
      <c r="G154" s="713"/>
      <c r="H154" s="714"/>
      <c r="I154" s="715"/>
      <c r="J154" s="715"/>
      <c r="K154" s="715"/>
      <c r="L154" s="716"/>
      <c r="M154" s="716"/>
      <c r="N154" s="716"/>
      <c r="O154" s="714"/>
      <c r="P154" s="716"/>
      <c r="Q154" s="716"/>
      <c r="R154" s="716"/>
    </row>
    <row r="155" spans="1:18" s="673" customFormat="1" x14ac:dyDescent="0.2">
      <c r="A155" s="710"/>
      <c r="B155" s="710"/>
      <c r="R155" s="716"/>
    </row>
    <row r="156" spans="1:18" s="673" customFormat="1" x14ac:dyDescent="0.2">
      <c r="A156" s="710"/>
      <c r="B156" s="710"/>
      <c r="R156" s="716"/>
    </row>
    <row r="157" spans="1:18" s="673" customFormat="1" x14ac:dyDescent="0.2">
      <c r="A157" s="710"/>
      <c r="B157" s="710"/>
      <c r="C157" s="710"/>
      <c r="D157" s="710"/>
      <c r="E157" s="711"/>
      <c r="F157" s="712"/>
      <c r="G157" s="713"/>
      <c r="H157" s="714"/>
      <c r="I157" s="715"/>
      <c r="J157" s="715"/>
      <c r="K157" s="715"/>
      <c r="L157" s="716"/>
      <c r="M157" s="716"/>
      <c r="N157" s="716"/>
      <c r="O157" s="714"/>
      <c r="P157" s="716"/>
      <c r="Q157" s="716"/>
      <c r="R157" s="716"/>
    </row>
    <row r="158" spans="1:18" s="673" customFormat="1" x14ac:dyDescent="0.2">
      <c r="A158" s="710"/>
      <c r="B158" s="710"/>
      <c r="C158" s="710"/>
      <c r="D158" s="710"/>
      <c r="E158" s="711"/>
      <c r="F158" s="712"/>
      <c r="G158" s="713"/>
      <c r="H158" s="714"/>
      <c r="I158" s="715"/>
      <c r="J158" s="715"/>
      <c r="K158" s="715"/>
      <c r="L158" s="716"/>
      <c r="M158" s="716"/>
      <c r="N158" s="716"/>
      <c r="O158" s="714"/>
      <c r="P158" s="716"/>
      <c r="Q158" s="716"/>
      <c r="R158" s="716"/>
    </row>
    <row r="159" spans="1:18" s="673" customFormat="1" x14ac:dyDescent="0.2">
      <c r="A159" s="710"/>
      <c r="B159" s="710"/>
      <c r="C159" s="710"/>
      <c r="D159" s="710"/>
      <c r="E159" s="711"/>
      <c r="F159" s="712"/>
      <c r="G159" s="713"/>
      <c r="H159" s="714"/>
      <c r="I159" s="715"/>
      <c r="J159" s="715"/>
      <c r="K159" s="715"/>
      <c r="L159" s="715"/>
      <c r="M159" s="715"/>
      <c r="N159" s="715"/>
      <c r="O159" s="714"/>
      <c r="P159" s="715"/>
      <c r="Q159" s="715"/>
      <c r="R159" s="715"/>
    </row>
    <row r="160" spans="1:18" s="673" customFormat="1" x14ac:dyDescent="0.2">
      <c r="A160" s="710"/>
      <c r="B160" s="710"/>
      <c r="C160" s="710"/>
      <c r="D160" s="710"/>
      <c r="E160" s="711"/>
      <c r="F160" s="712"/>
      <c r="G160" s="713"/>
      <c r="H160" s="714"/>
      <c r="I160" s="715"/>
      <c r="J160" s="715"/>
      <c r="K160" s="715"/>
      <c r="L160" s="715"/>
      <c r="M160" s="715"/>
      <c r="N160" s="715"/>
      <c r="O160" s="714"/>
      <c r="P160" s="715"/>
      <c r="Q160" s="715"/>
      <c r="R160" s="715"/>
    </row>
    <row r="161" spans="1:18" s="673" customFormat="1" x14ac:dyDescent="0.2">
      <c r="A161" s="710"/>
      <c r="B161" s="710"/>
      <c r="C161" s="710"/>
      <c r="D161" s="710"/>
      <c r="E161" s="711"/>
      <c r="F161" s="712"/>
      <c r="G161" s="713"/>
      <c r="H161" s="714"/>
      <c r="I161" s="715"/>
      <c r="J161" s="715"/>
      <c r="K161" s="715"/>
      <c r="L161" s="715"/>
      <c r="M161" s="715"/>
      <c r="N161" s="715"/>
      <c r="O161" s="714"/>
      <c r="P161" s="715"/>
      <c r="Q161" s="715"/>
      <c r="R161" s="715"/>
    </row>
    <row r="162" spans="1:18" s="673" customFormat="1" x14ac:dyDescent="0.2">
      <c r="A162" s="710"/>
      <c r="B162" s="710"/>
      <c r="C162" s="710"/>
      <c r="D162" s="710"/>
      <c r="E162" s="711"/>
      <c r="F162" s="712"/>
      <c r="G162" s="713"/>
      <c r="H162" s="714"/>
      <c r="I162" s="715"/>
      <c r="J162" s="715"/>
      <c r="K162" s="715"/>
      <c r="L162" s="715"/>
      <c r="M162" s="715"/>
      <c r="N162" s="715"/>
      <c r="O162" s="714"/>
      <c r="P162" s="715"/>
      <c r="Q162" s="715"/>
      <c r="R162" s="715"/>
    </row>
    <row r="163" spans="1:18" s="673" customFormat="1" x14ac:dyDescent="0.2">
      <c r="A163" s="710"/>
      <c r="B163" s="710"/>
      <c r="C163" s="710"/>
      <c r="D163" s="710"/>
      <c r="E163" s="711"/>
      <c r="F163" s="712"/>
      <c r="G163" s="713"/>
      <c r="H163" s="714"/>
      <c r="I163" s="715"/>
      <c r="J163" s="715"/>
      <c r="K163" s="715"/>
      <c r="L163" s="715"/>
      <c r="M163" s="715"/>
      <c r="N163" s="715"/>
      <c r="O163" s="714"/>
      <c r="P163" s="715"/>
      <c r="Q163" s="715"/>
      <c r="R163" s="715"/>
    </row>
    <row r="164" spans="1:18" s="673" customFormat="1" x14ac:dyDescent="0.2">
      <c r="A164" s="710"/>
      <c r="B164" s="710"/>
      <c r="C164" s="710"/>
      <c r="D164" s="710"/>
      <c r="E164" s="711"/>
      <c r="F164" s="712"/>
      <c r="G164" s="713"/>
      <c r="H164" s="714"/>
      <c r="I164" s="715"/>
      <c r="J164" s="715"/>
      <c r="K164" s="715"/>
      <c r="L164" s="715"/>
      <c r="M164" s="715"/>
      <c r="N164" s="715"/>
      <c r="O164" s="714"/>
      <c r="P164" s="715"/>
      <c r="Q164" s="715"/>
      <c r="R164" s="715"/>
    </row>
    <row r="165" spans="1:18" s="673" customFormat="1" x14ac:dyDescent="0.2">
      <c r="A165" s="710"/>
      <c r="B165" s="710"/>
      <c r="C165" s="710"/>
      <c r="D165" s="710"/>
      <c r="E165" s="711"/>
      <c r="F165" s="712"/>
      <c r="G165" s="713"/>
      <c r="H165" s="714"/>
      <c r="I165" s="715"/>
      <c r="J165" s="715"/>
      <c r="K165" s="715"/>
      <c r="L165" s="715"/>
      <c r="M165" s="715"/>
      <c r="N165" s="715"/>
      <c r="O165" s="714"/>
      <c r="P165" s="715"/>
      <c r="Q165" s="715"/>
      <c r="R165" s="715"/>
    </row>
    <row r="166" spans="1:18" s="673" customFormat="1" x14ac:dyDescent="0.2">
      <c r="A166" s="710"/>
      <c r="B166" s="710"/>
      <c r="C166" s="710"/>
      <c r="D166" s="710"/>
      <c r="E166" s="711"/>
      <c r="F166" s="712"/>
      <c r="G166" s="713"/>
      <c r="H166" s="714"/>
      <c r="I166" s="715"/>
      <c r="J166" s="715"/>
      <c r="K166" s="715"/>
      <c r="L166" s="715"/>
      <c r="M166" s="715"/>
      <c r="N166" s="715"/>
      <c r="O166" s="714"/>
      <c r="P166" s="715"/>
      <c r="Q166" s="715"/>
      <c r="R166" s="715"/>
    </row>
    <row r="167" spans="1:18" s="673" customFormat="1" x14ac:dyDescent="0.2">
      <c r="A167" s="710"/>
      <c r="B167" s="710"/>
      <c r="C167" s="710"/>
      <c r="D167" s="710"/>
      <c r="E167" s="711"/>
      <c r="F167" s="712"/>
      <c r="G167" s="713"/>
      <c r="H167" s="714"/>
      <c r="I167" s="715"/>
      <c r="J167" s="715"/>
      <c r="K167" s="715"/>
      <c r="L167" s="715"/>
      <c r="M167" s="715"/>
      <c r="N167" s="715"/>
      <c r="O167" s="714"/>
      <c r="P167" s="715"/>
      <c r="Q167" s="715"/>
      <c r="R167" s="715"/>
    </row>
    <row r="168" spans="1:18" s="673" customFormat="1" x14ac:dyDescent="0.2">
      <c r="A168" s="710"/>
      <c r="B168" s="710"/>
      <c r="C168" s="710"/>
      <c r="D168" s="710"/>
      <c r="E168" s="711"/>
      <c r="F168" s="712"/>
      <c r="G168" s="713"/>
      <c r="H168" s="714"/>
      <c r="I168" s="715"/>
      <c r="J168" s="715"/>
      <c r="K168" s="715"/>
      <c r="L168" s="715"/>
      <c r="M168" s="715"/>
      <c r="N168" s="715"/>
      <c r="O168" s="714"/>
      <c r="P168" s="715"/>
      <c r="Q168" s="715"/>
      <c r="R168" s="715"/>
    </row>
    <row r="169" spans="1:18" s="673" customFormat="1" x14ac:dyDescent="0.2">
      <c r="A169" s="710"/>
      <c r="B169" s="710"/>
      <c r="C169" s="710"/>
      <c r="D169" s="710"/>
      <c r="E169" s="711"/>
      <c r="F169" s="712"/>
      <c r="G169" s="713"/>
      <c r="H169" s="714"/>
      <c r="I169" s="715"/>
      <c r="J169" s="715"/>
      <c r="K169" s="715"/>
      <c r="L169" s="715"/>
      <c r="M169" s="715"/>
      <c r="N169" s="715"/>
      <c r="O169" s="714"/>
      <c r="P169" s="715"/>
      <c r="Q169" s="715"/>
      <c r="R169" s="715"/>
    </row>
    <row r="170" spans="1:18" s="673" customFormat="1" x14ac:dyDescent="0.2">
      <c r="A170" s="710"/>
      <c r="B170" s="710"/>
      <c r="C170" s="710"/>
      <c r="D170" s="710"/>
      <c r="E170" s="711"/>
      <c r="F170" s="712"/>
      <c r="G170" s="713"/>
      <c r="H170" s="714"/>
      <c r="I170" s="715"/>
      <c r="J170" s="715"/>
      <c r="K170" s="715"/>
      <c r="L170" s="715"/>
      <c r="M170" s="715"/>
      <c r="N170" s="715"/>
      <c r="O170" s="714"/>
      <c r="P170" s="715"/>
      <c r="Q170" s="715"/>
      <c r="R170" s="715"/>
    </row>
    <row r="171" spans="1:18" s="673" customFormat="1" x14ac:dyDescent="0.2">
      <c r="A171" s="710"/>
      <c r="B171" s="710"/>
      <c r="C171" s="710"/>
      <c r="D171" s="710"/>
      <c r="E171" s="711"/>
      <c r="F171" s="712"/>
      <c r="G171" s="713"/>
      <c r="H171" s="714"/>
      <c r="I171" s="715"/>
      <c r="J171" s="715"/>
      <c r="K171" s="715"/>
      <c r="L171" s="715"/>
      <c r="M171" s="715"/>
      <c r="N171" s="715"/>
      <c r="O171" s="714"/>
      <c r="P171" s="715"/>
      <c r="Q171" s="715"/>
      <c r="R171" s="715"/>
    </row>
    <row r="172" spans="1:18" s="673" customFormat="1" x14ac:dyDescent="0.2">
      <c r="A172" s="710"/>
      <c r="B172" s="710"/>
      <c r="C172" s="710"/>
      <c r="D172" s="710"/>
      <c r="E172" s="711"/>
      <c r="F172" s="712"/>
      <c r="G172" s="713"/>
      <c r="H172" s="714"/>
      <c r="I172" s="715"/>
      <c r="J172" s="715"/>
      <c r="K172" s="715"/>
      <c r="L172" s="715"/>
      <c r="M172" s="715"/>
      <c r="N172" s="715"/>
      <c r="O172" s="714"/>
      <c r="P172" s="715"/>
      <c r="Q172" s="715"/>
      <c r="R172" s="715"/>
    </row>
    <row r="173" spans="1:18" s="673" customFormat="1" x14ac:dyDescent="0.2">
      <c r="A173" s="710"/>
      <c r="B173" s="710"/>
      <c r="C173" s="710"/>
      <c r="D173" s="710"/>
      <c r="E173" s="711"/>
      <c r="F173" s="712"/>
      <c r="G173" s="713"/>
      <c r="H173" s="714"/>
      <c r="I173" s="715"/>
      <c r="J173" s="715"/>
      <c r="K173" s="715"/>
      <c r="L173" s="715"/>
      <c r="M173" s="715"/>
      <c r="N173" s="715"/>
      <c r="O173" s="714"/>
      <c r="P173" s="715"/>
      <c r="Q173" s="715"/>
      <c r="R173" s="715"/>
    </row>
    <row r="174" spans="1:18" s="673" customFormat="1" x14ac:dyDescent="0.2">
      <c r="A174" s="710"/>
      <c r="B174" s="710"/>
      <c r="C174" s="710"/>
      <c r="D174" s="710"/>
      <c r="E174" s="711"/>
      <c r="F174" s="712"/>
      <c r="G174" s="713"/>
      <c r="H174" s="714"/>
      <c r="I174" s="715"/>
      <c r="J174" s="715"/>
      <c r="K174" s="715"/>
      <c r="L174" s="715"/>
      <c r="M174" s="715"/>
      <c r="N174" s="715"/>
      <c r="O174" s="714"/>
      <c r="P174" s="715"/>
      <c r="Q174" s="715"/>
      <c r="R174" s="715"/>
    </row>
    <row r="175" spans="1:18" s="673" customFormat="1" x14ac:dyDescent="0.2">
      <c r="A175" s="710"/>
      <c r="B175" s="710"/>
      <c r="C175" s="710"/>
      <c r="D175" s="710"/>
      <c r="E175" s="711"/>
      <c r="F175" s="712"/>
      <c r="G175" s="713"/>
      <c r="H175" s="714"/>
      <c r="I175" s="715"/>
      <c r="J175" s="715"/>
      <c r="K175" s="715"/>
      <c r="L175" s="715"/>
      <c r="M175" s="715"/>
      <c r="N175" s="715"/>
      <c r="O175" s="714"/>
      <c r="P175" s="715"/>
      <c r="Q175" s="715"/>
      <c r="R175" s="715"/>
    </row>
    <row r="176" spans="1:18" s="673" customFormat="1" x14ac:dyDescent="0.2">
      <c r="A176" s="710"/>
      <c r="B176" s="710"/>
      <c r="C176" s="710"/>
      <c r="D176" s="710"/>
      <c r="E176" s="711"/>
      <c r="F176" s="712"/>
      <c r="G176" s="713"/>
      <c r="H176" s="714"/>
      <c r="I176" s="715"/>
      <c r="J176" s="715"/>
      <c r="K176" s="715"/>
      <c r="L176" s="715"/>
      <c r="M176" s="715"/>
      <c r="N176" s="715"/>
      <c r="O176" s="714"/>
      <c r="P176" s="715"/>
      <c r="Q176" s="715"/>
      <c r="R176" s="715"/>
    </row>
    <row r="177" spans="1:18" s="673" customFormat="1" x14ac:dyDescent="0.2">
      <c r="A177" s="710"/>
      <c r="B177" s="710"/>
      <c r="C177" s="710"/>
      <c r="D177" s="710"/>
      <c r="E177" s="711"/>
      <c r="F177" s="712"/>
      <c r="G177" s="713"/>
      <c r="H177" s="714"/>
      <c r="I177" s="715"/>
      <c r="J177" s="715"/>
      <c r="K177" s="715"/>
      <c r="L177" s="715"/>
      <c r="M177" s="715"/>
      <c r="N177" s="715"/>
      <c r="O177" s="714"/>
      <c r="P177" s="715"/>
      <c r="Q177" s="715"/>
      <c r="R177" s="715"/>
    </row>
    <row r="178" spans="1:18" s="673" customFormat="1" x14ac:dyDescent="0.2">
      <c r="A178" s="710"/>
      <c r="B178" s="710"/>
      <c r="C178" s="710"/>
      <c r="D178" s="710"/>
      <c r="E178" s="711"/>
      <c r="F178" s="712"/>
      <c r="G178" s="713"/>
      <c r="H178" s="714"/>
      <c r="I178" s="715"/>
      <c r="J178" s="715"/>
      <c r="K178" s="715"/>
      <c r="L178" s="715"/>
      <c r="M178" s="715"/>
      <c r="N178" s="715"/>
      <c r="O178" s="714"/>
      <c r="P178" s="715"/>
      <c r="Q178" s="715"/>
      <c r="R178" s="715"/>
    </row>
    <row r="179" spans="1:18" s="673" customFormat="1" x14ac:dyDescent="0.2">
      <c r="A179" s="710"/>
      <c r="B179" s="710"/>
      <c r="C179" s="710"/>
      <c r="D179" s="710"/>
      <c r="E179" s="711"/>
      <c r="F179" s="712"/>
      <c r="G179" s="713"/>
      <c r="H179" s="714"/>
      <c r="I179" s="715"/>
      <c r="J179" s="715"/>
      <c r="K179" s="715"/>
      <c r="L179" s="715"/>
      <c r="M179" s="715"/>
      <c r="N179" s="715"/>
      <c r="O179" s="714"/>
      <c r="P179" s="715"/>
      <c r="Q179" s="715"/>
      <c r="R179" s="715"/>
    </row>
    <row r="180" spans="1:18" s="673" customFormat="1" x14ac:dyDescent="0.2">
      <c r="A180" s="710"/>
      <c r="B180" s="710"/>
      <c r="C180" s="710"/>
      <c r="D180" s="710"/>
      <c r="E180" s="711"/>
      <c r="F180" s="712"/>
      <c r="G180" s="713"/>
      <c r="H180" s="714"/>
      <c r="I180" s="715"/>
      <c r="J180" s="715"/>
      <c r="K180" s="715"/>
      <c r="L180" s="715"/>
      <c r="M180" s="715"/>
      <c r="N180" s="715"/>
      <c r="O180" s="714"/>
      <c r="P180" s="715"/>
      <c r="Q180" s="715"/>
      <c r="R180" s="715"/>
    </row>
    <row r="181" spans="1:18" s="673" customFormat="1" x14ac:dyDescent="0.2">
      <c r="A181" s="710"/>
      <c r="B181" s="710"/>
      <c r="C181" s="710"/>
      <c r="D181" s="710"/>
      <c r="E181" s="711"/>
      <c r="F181" s="712"/>
      <c r="G181" s="713"/>
      <c r="H181" s="714"/>
      <c r="I181" s="715"/>
      <c r="J181" s="715"/>
      <c r="K181" s="715"/>
      <c r="L181" s="715"/>
      <c r="M181" s="715"/>
      <c r="N181" s="715"/>
      <c r="O181" s="714"/>
      <c r="P181" s="715"/>
      <c r="Q181" s="715"/>
      <c r="R181" s="715"/>
    </row>
    <row r="182" spans="1:18" s="673" customFormat="1" x14ac:dyDescent="0.2">
      <c r="A182" s="710"/>
      <c r="B182" s="710"/>
      <c r="C182" s="710"/>
      <c r="D182" s="710"/>
      <c r="E182" s="711"/>
      <c r="F182" s="712"/>
      <c r="G182" s="713"/>
      <c r="H182" s="714"/>
      <c r="I182" s="715"/>
      <c r="J182" s="715"/>
      <c r="K182" s="715"/>
      <c r="L182" s="715"/>
      <c r="M182" s="715"/>
      <c r="N182" s="715"/>
      <c r="O182" s="714"/>
      <c r="P182" s="715"/>
      <c r="Q182" s="715"/>
      <c r="R182" s="715"/>
    </row>
    <row r="183" spans="1:18" s="673" customFormat="1" x14ac:dyDescent="0.2">
      <c r="A183" s="710"/>
      <c r="B183" s="710"/>
      <c r="C183" s="710"/>
      <c r="D183" s="710"/>
      <c r="E183" s="711"/>
      <c r="F183" s="712"/>
      <c r="G183" s="713"/>
      <c r="H183" s="714"/>
      <c r="I183" s="715"/>
      <c r="J183" s="715"/>
      <c r="K183" s="715"/>
      <c r="L183" s="715"/>
      <c r="M183" s="715"/>
      <c r="N183" s="715"/>
      <c r="O183" s="714"/>
      <c r="P183" s="715"/>
      <c r="Q183" s="715"/>
      <c r="R183" s="715"/>
    </row>
    <row r="184" spans="1:18" s="673" customFormat="1" x14ac:dyDescent="0.2">
      <c r="A184" s="710"/>
      <c r="B184" s="710"/>
      <c r="C184" s="710"/>
      <c r="D184" s="710"/>
      <c r="E184" s="711"/>
      <c r="F184" s="712"/>
      <c r="G184" s="713"/>
      <c r="H184" s="714"/>
      <c r="I184" s="715"/>
      <c r="J184" s="715"/>
      <c r="K184" s="715"/>
      <c r="L184" s="715"/>
      <c r="M184" s="715"/>
      <c r="N184" s="715"/>
      <c r="O184" s="714"/>
      <c r="P184" s="715"/>
      <c r="Q184" s="715"/>
      <c r="R184" s="715"/>
    </row>
    <row r="185" spans="1:18" s="673" customFormat="1" x14ac:dyDescent="0.2">
      <c r="A185" s="710"/>
      <c r="B185" s="710"/>
      <c r="C185" s="710"/>
      <c r="D185" s="710"/>
      <c r="E185" s="711"/>
      <c r="F185" s="712"/>
      <c r="G185" s="713"/>
      <c r="H185" s="714"/>
      <c r="I185" s="715"/>
      <c r="J185" s="715"/>
      <c r="K185" s="715"/>
      <c r="L185" s="715"/>
      <c r="M185" s="715"/>
      <c r="N185" s="715"/>
      <c r="O185" s="714"/>
      <c r="P185" s="715"/>
      <c r="Q185" s="715"/>
      <c r="R185" s="715"/>
    </row>
    <row r="186" spans="1:18" s="673" customFormat="1" x14ac:dyDescent="0.2">
      <c r="A186" s="710"/>
      <c r="B186" s="710"/>
      <c r="C186" s="710"/>
      <c r="D186" s="710"/>
      <c r="E186" s="711"/>
      <c r="F186" s="712"/>
      <c r="G186" s="713"/>
      <c r="H186" s="714"/>
      <c r="I186" s="715"/>
      <c r="J186" s="715"/>
      <c r="K186" s="715"/>
      <c r="L186" s="715"/>
      <c r="M186" s="715"/>
      <c r="N186" s="715"/>
      <c r="O186" s="714"/>
      <c r="P186" s="715"/>
      <c r="Q186" s="715"/>
      <c r="R186" s="715"/>
    </row>
    <row r="187" spans="1:18" s="673" customFormat="1" x14ac:dyDescent="0.2">
      <c r="A187" s="710"/>
      <c r="B187" s="710"/>
      <c r="C187" s="710"/>
      <c r="D187" s="710"/>
      <c r="E187" s="711"/>
      <c r="F187" s="712"/>
      <c r="G187" s="713"/>
      <c r="H187" s="714"/>
      <c r="I187" s="715"/>
      <c r="J187" s="715"/>
      <c r="K187" s="715"/>
      <c r="L187" s="715"/>
      <c r="M187" s="715"/>
      <c r="N187" s="715"/>
      <c r="O187" s="714"/>
      <c r="P187" s="715"/>
      <c r="Q187" s="715"/>
      <c r="R187" s="715"/>
    </row>
    <row r="188" spans="1:18" s="673" customFormat="1" x14ac:dyDescent="0.2">
      <c r="A188" s="710"/>
      <c r="B188" s="710"/>
      <c r="C188" s="710"/>
      <c r="D188" s="710"/>
      <c r="E188" s="711"/>
      <c r="F188" s="712"/>
      <c r="G188" s="713"/>
      <c r="H188" s="714"/>
      <c r="I188" s="715"/>
      <c r="J188" s="715"/>
      <c r="K188" s="715"/>
      <c r="L188" s="715"/>
      <c r="M188" s="715"/>
      <c r="N188" s="715"/>
      <c r="O188" s="714"/>
      <c r="P188" s="715"/>
      <c r="Q188" s="715"/>
      <c r="R188" s="715"/>
    </row>
    <row r="189" spans="1:18" s="673" customFormat="1" x14ac:dyDescent="0.2">
      <c r="A189" s="710"/>
      <c r="B189" s="710"/>
      <c r="C189" s="710"/>
      <c r="D189" s="710"/>
      <c r="E189" s="711"/>
      <c r="F189" s="712"/>
      <c r="G189" s="713"/>
      <c r="H189" s="714"/>
      <c r="I189" s="715"/>
      <c r="J189" s="715"/>
      <c r="K189" s="715"/>
      <c r="L189" s="715"/>
      <c r="M189" s="715"/>
      <c r="N189" s="715"/>
      <c r="O189" s="714"/>
      <c r="P189" s="715"/>
      <c r="Q189" s="715"/>
      <c r="R189" s="715"/>
    </row>
    <row r="190" spans="1:18" s="673" customFormat="1" x14ac:dyDescent="0.2">
      <c r="A190" s="710"/>
      <c r="B190" s="710"/>
      <c r="C190" s="710"/>
      <c r="D190" s="710"/>
      <c r="E190" s="711"/>
      <c r="F190" s="712"/>
      <c r="G190" s="713"/>
      <c r="H190" s="714"/>
      <c r="I190" s="715"/>
      <c r="J190" s="715"/>
      <c r="K190" s="715"/>
      <c r="L190" s="715"/>
      <c r="M190" s="715"/>
      <c r="N190" s="715"/>
      <c r="O190" s="714"/>
      <c r="P190" s="715"/>
      <c r="Q190" s="715"/>
      <c r="R190" s="715"/>
    </row>
    <row r="191" spans="1:18" s="673" customFormat="1" x14ac:dyDescent="0.2">
      <c r="A191" s="710"/>
      <c r="B191" s="710"/>
      <c r="C191" s="710"/>
      <c r="D191" s="710"/>
      <c r="E191" s="711"/>
      <c r="F191" s="712"/>
      <c r="G191" s="713"/>
      <c r="H191" s="714"/>
      <c r="I191" s="715"/>
      <c r="J191" s="715"/>
      <c r="K191" s="715"/>
      <c r="L191" s="715"/>
      <c r="M191" s="715"/>
      <c r="N191" s="715"/>
      <c r="O191" s="714"/>
      <c r="P191" s="715"/>
      <c r="Q191" s="715"/>
      <c r="R191" s="715"/>
    </row>
    <row r="192" spans="1:18" s="673" customFormat="1" x14ac:dyDescent="0.2">
      <c r="A192" s="710"/>
      <c r="B192" s="710"/>
      <c r="C192" s="710"/>
      <c r="D192" s="710"/>
      <c r="E192" s="711"/>
      <c r="F192" s="712"/>
      <c r="G192" s="713"/>
      <c r="H192" s="714"/>
      <c r="I192" s="715"/>
      <c r="J192" s="715"/>
      <c r="K192" s="715"/>
      <c r="L192" s="715"/>
      <c r="M192" s="715"/>
      <c r="N192" s="715"/>
      <c r="O192" s="714"/>
      <c r="P192" s="715"/>
      <c r="Q192" s="715"/>
      <c r="R192" s="715"/>
    </row>
    <row r="193" spans="1:18" s="673" customFormat="1" x14ac:dyDescent="0.2">
      <c r="A193" s="710"/>
      <c r="B193" s="710"/>
      <c r="C193" s="710"/>
      <c r="D193" s="710"/>
      <c r="E193" s="711"/>
      <c r="F193" s="712"/>
      <c r="G193" s="713"/>
      <c r="H193" s="714"/>
      <c r="I193" s="715"/>
      <c r="J193" s="715"/>
      <c r="K193" s="715"/>
      <c r="L193" s="715"/>
      <c r="M193" s="715"/>
      <c r="N193" s="715"/>
      <c r="O193" s="714"/>
      <c r="P193" s="715"/>
      <c r="Q193" s="715"/>
      <c r="R193" s="715"/>
    </row>
    <row r="194" spans="1:18" s="673" customFormat="1" x14ac:dyDescent="0.2">
      <c r="A194" s="710"/>
      <c r="B194" s="710"/>
      <c r="C194" s="710"/>
      <c r="D194" s="710"/>
      <c r="E194" s="711"/>
      <c r="F194" s="712"/>
      <c r="G194" s="713"/>
      <c r="H194" s="714"/>
      <c r="I194" s="715"/>
      <c r="J194" s="715"/>
      <c r="K194" s="715"/>
      <c r="L194" s="715"/>
      <c r="M194" s="715"/>
      <c r="N194" s="715"/>
      <c r="O194" s="714"/>
      <c r="P194" s="715"/>
      <c r="Q194" s="715"/>
      <c r="R194" s="715"/>
    </row>
    <row r="195" spans="1:18" s="673" customFormat="1" x14ac:dyDescent="0.2">
      <c r="A195" s="710"/>
      <c r="B195" s="710"/>
      <c r="C195" s="710"/>
      <c r="D195" s="710"/>
      <c r="E195" s="711"/>
      <c r="F195" s="712"/>
      <c r="G195" s="713"/>
      <c r="H195" s="714"/>
      <c r="I195" s="715"/>
      <c r="J195" s="715"/>
      <c r="K195" s="715"/>
      <c r="L195" s="715"/>
      <c r="M195" s="715"/>
      <c r="N195" s="715"/>
      <c r="O195" s="714"/>
      <c r="P195" s="715"/>
      <c r="Q195" s="715"/>
      <c r="R195" s="715"/>
    </row>
    <row r="196" spans="1:18" s="673" customFormat="1" x14ac:dyDescent="0.2">
      <c r="A196" s="710"/>
      <c r="B196" s="710"/>
      <c r="C196" s="710"/>
      <c r="D196" s="710"/>
      <c r="E196" s="711"/>
      <c r="F196" s="712"/>
      <c r="G196" s="713"/>
      <c r="H196" s="714"/>
      <c r="I196" s="715"/>
      <c r="J196" s="715"/>
      <c r="K196" s="715"/>
      <c r="L196" s="715"/>
      <c r="M196" s="715"/>
      <c r="N196" s="715"/>
      <c r="O196" s="714"/>
      <c r="P196" s="715"/>
      <c r="Q196" s="715"/>
      <c r="R196" s="715"/>
    </row>
    <row r="197" spans="1:18" s="673" customFormat="1" x14ac:dyDescent="0.2">
      <c r="A197" s="710"/>
      <c r="B197" s="710"/>
      <c r="C197" s="710"/>
      <c r="D197" s="710"/>
      <c r="E197" s="711"/>
      <c r="F197" s="712"/>
      <c r="G197" s="713"/>
      <c r="H197" s="714"/>
      <c r="I197" s="715"/>
      <c r="J197" s="715"/>
      <c r="K197" s="715"/>
      <c r="L197" s="715"/>
      <c r="M197" s="715"/>
      <c r="N197" s="715"/>
      <c r="O197" s="714"/>
      <c r="P197" s="715"/>
      <c r="Q197" s="715"/>
      <c r="R197" s="715"/>
    </row>
    <row r="198" spans="1:18" s="673" customFormat="1" x14ac:dyDescent="0.2">
      <c r="A198" s="710"/>
      <c r="B198" s="710"/>
      <c r="C198" s="710"/>
      <c r="D198" s="710"/>
      <c r="E198" s="711"/>
      <c r="F198" s="712"/>
      <c r="G198" s="713"/>
      <c r="H198" s="714"/>
      <c r="I198" s="715"/>
      <c r="J198" s="715"/>
      <c r="K198" s="715"/>
      <c r="L198" s="715"/>
      <c r="M198" s="715"/>
      <c r="N198" s="715"/>
      <c r="O198" s="714"/>
      <c r="P198" s="715"/>
      <c r="Q198" s="715"/>
      <c r="R198" s="715"/>
    </row>
    <row r="199" spans="1:18" s="673" customFormat="1" x14ac:dyDescent="0.2">
      <c r="A199" s="710"/>
      <c r="B199" s="710"/>
      <c r="C199" s="710"/>
      <c r="D199" s="710"/>
      <c r="E199" s="711"/>
      <c r="F199" s="712"/>
      <c r="G199" s="713"/>
      <c r="H199" s="714"/>
      <c r="I199" s="715"/>
      <c r="J199" s="715"/>
      <c r="K199" s="715"/>
      <c r="L199" s="715"/>
      <c r="M199" s="715"/>
      <c r="N199" s="715"/>
      <c r="O199" s="714"/>
      <c r="P199" s="715"/>
      <c r="Q199" s="715"/>
      <c r="R199" s="715"/>
    </row>
    <row r="200" spans="1:18" s="673" customFormat="1" x14ac:dyDescent="0.2">
      <c r="A200" s="710"/>
      <c r="B200" s="710"/>
      <c r="C200" s="710"/>
      <c r="D200" s="710"/>
      <c r="E200" s="711"/>
      <c r="F200" s="712"/>
      <c r="G200" s="713"/>
      <c r="H200" s="714"/>
      <c r="I200" s="715"/>
      <c r="J200" s="715"/>
      <c r="K200" s="715"/>
      <c r="L200" s="715"/>
      <c r="M200" s="715"/>
      <c r="N200" s="715"/>
      <c r="O200" s="714"/>
      <c r="P200" s="715"/>
      <c r="Q200" s="715"/>
      <c r="R200" s="715"/>
    </row>
    <row r="201" spans="1:18" s="673" customFormat="1" x14ac:dyDescent="0.2">
      <c r="A201" s="710"/>
      <c r="B201" s="710"/>
      <c r="C201" s="710"/>
      <c r="D201" s="710"/>
      <c r="E201" s="711"/>
      <c r="F201" s="712"/>
      <c r="G201" s="713"/>
      <c r="H201" s="714"/>
      <c r="I201" s="715"/>
      <c r="J201" s="715"/>
      <c r="K201" s="715"/>
      <c r="L201" s="715"/>
      <c r="M201" s="715"/>
      <c r="N201" s="715"/>
      <c r="O201" s="714"/>
      <c r="P201" s="715"/>
      <c r="Q201" s="715"/>
      <c r="R201" s="715"/>
    </row>
    <row r="202" spans="1:18" s="673" customFormat="1" x14ac:dyDescent="0.2">
      <c r="A202" s="710"/>
      <c r="B202" s="710"/>
      <c r="C202" s="710"/>
      <c r="D202" s="710"/>
      <c r="E202" s="711"/>
      <c r="F202" s="712"/>
      <c r="G202" s="713"/>
      <c r="H202" s="714"/>
      <c r="I202" s="715"/>
      <c r="J202" s="715"/>
      <c r="K202" s="715"/>
      <c r="L202" s="715"/>
      <c r="M202" s="715"/>
      <c r="N202" s="715"/>
      <c r="O202" s="714"/>
      <c r="P202" s="715"/>
      <c r="Q202" s="715"/>
      <c r="R202" s="715"/>
    </row>
    <row r="203" spans="1:18" s="673" customFormat="1" x14ac:dyDescent="0.2">
      <c r="A203" s="710"/>
      <c r="B203" s="710"/>
      <c r="C203" s="710"/>
      <c r="D203" s="710"/>
      <c r="E203" s="711"/>
      <c r="F203" s="712"/>
      <c r="G203" s="713"/>
      <c r="H203" s="714"/>
      <c r="I203" s="715"/>
      <c r="J203" s="715"/>
      <c r="K203" s="715"/>
      <c r="L203" s="715"/>
      <c r="M203" s="715"/>
      <c r="N203" s="715"/>
      <c r="O203" s="714"/>
      <c r="P203" s="715"/>
      <c r="Q203" s="715"/>
      <c r="R203" s="715"/>
    </row>
    <row r="204" spans="1:18" s="673" customFormat="1" x14ac:dyDescent="0.2">
      <c r="A204" s="710"/>
      <c r="B204" s="710"/>
      <c r="C204" s="710"/>
      <c r="D204" s="710"/>
      <c r="E204" s="711"/>
      <c r="F204" s="712"/>
      <c r="G204" s="713"/>
      <c r="H204" s="714"/>
      <c r="I204" s="715"/>
      <c r="J204" s="715"/>
      <c r="K204" s="715"/>
      <c r="L204" s="715"/>
      <c r="M204" s="715"/>
      <c r="N204" s="715"/>
      <c r="O204" s="714"/>
      <c r="P204" s="715"/>
      <c r="Q204" s="715"/>
      <c r="R204" s="715"/>
    </row>
    <row r="205" spans="1:18" s="673" customFormat="1" x14ac:dyDescent="0.2">
      <c r="A205" s="710"/>
      <c r="B205" s="710"/>
      <c r="C205" s="710"/>
      <c r="D205" s="710"/>
      <c r="E205" s="711"/>
      <c r="F205" s="712"/>
      <c r="G205" s="713"/>
      <c r="H205" s="714"/>
      <c r="I205" s="715"/>
      <c r="J205" s="715"/>
      <c r="K205" s="715"/>
      <c r="L205" s="715"/>
      <c r="M205" s="715"/>
      <c r="N205" s="715"/>
      <c r="O205" s="714"/>
      <c r="P205" s="715"/>
      <c r="Q205" s="715"/>
      <c r="R205" s="715"/>
    </row>
    <row r="206" spans="1:18" s="673" customFormat="1" x14ac:dyDescent="0.2">
      <c r="A206" s="710"/>
      <c r="B206" s="710"/>
      <c r="C206" s="710"/>
      <c r="D206" s="710"/>
      <c r="E206" s="711"/>
      <c r="F206" s="712"/>
      <c r="G206" s="713"/>
      <c r="H206" s="714"/>
      <c r="I206" s="715"/>
      <c r="J206" s="715"/>
      <c r="K206" s="715"/>
      <c r="L206" s="715"/>
      <c r="M206" s="715"/>
      <c r="N206" s="715"/>
      <c r="O206" s="714"/>
      <c r="P206" s="715"/>
      <c r="Q206" s="715"/>
      <c r="R206" s="715"/>
    </row>
    <row r="207" spans="1:18" s="673" customFormat="1" x14ac:dyDescent="0.2">
      <c r="A207" s="710"/>
      <c r="B207" s="710"/>
      <c r="C207" s="710"/>
      <c r="D207" s="710"/>
      <c r="E207" s="711"/>
      <c r="F207" s="712"/>
      <c r="G207" s="713"/>
      <c r="H207" s="714"/>
      <c r="I207" s="715"/>
      <c r="J207" s="715"/>
      <c r="K207" s="715"/>
      <c r="L207" s="715"/>
      <c r="M207" s="715"/>
      <c r="N207" s="715"/>
      <c r="O207" s="714"/>
      <c r="P207" s="715"/>
      <c r="Q207" s="715"/>
      <c r="R207" s="715"/>
    </row>
    <row r="208" spans="1:18" s="673" customFormat="1" x14ac:dyDescent="0.2">
      <c r="A208" s="710"/>
      <c r="B208" s="710"/>
      <c r="C208" s="710"/>
      <c r="D208" s="710"/>
      <c r="E208" s="711"/>
      <c r="F208" s="712"/>
      <c r="G208" s="713"/>
      <c r="H208" s="714"/>
      <c r="I208" s="715"/>
      <c r="J208" s="715"/>
      <c r="K208" s="715"/>
      <c r="L208" s="715"/>
      <c r="M208" s="715"/>
      <c r="N208" s="715"/>
      <c r="O208" s="714"/>
      <c r="P208" s="715"/>
      <c r="Q208" s="715"/>
      <c r="R208" s="715"/>
    </row>
    <row r="209" spans="1:18" s="673" customFormat="1" x14ac:dyDescent="0.2">
      <c r="A209" s="710"/>
      <c r="B209" s="710"/>
      <c r="C209" s="710"/>
      <c r="D209" s="710"/>
      <c r="E209" s="711"/>
      <c r="F209" s="712"/>
      <c r="G209" s="713"/>
      <c r="H209" s="714"/>
      <c r="I209" s="715"/>
      <c r="J209" s="715"/>
      <c r="K209" s="715"/>
      <c r="L209" s="715"/>
      <c r="M209" s="715"/>
      <c r="N209" s="715"/>
      <c r="O209" s="714"/>
      <c r="P209" s="715"/>
      <c r="Q209" s="715"/>
      <c r="R209" s="715"/>
    </row>
    <row r="210" spans="1:18" s="673" customFormat="1" x14ac:dyDescent="0.2">
      <c r="A210" s="710"/>
      <c r="B210" s="710"/>
      <c r="C210" s="710"/>
      <c r="D210" s="710"/>
      <c r="E210" s="711"/>
      <c r="F210" s="712"/>
      <c r="G210" s="713"/>
      <c r="H210" s="714"/>
      <c r="I210" s="715"/>
      <c r="J210" s="715"/>
      <c r="K210" s="715"/>
      <c r="L210" s="715"/>
      <c r="M210" s="715"/>
      <c r="N210" s="715"/>
      <c r="O210" s="714"/>
      <c r="P210" s="715"/>
      <c r="Q210" s="715"/>
      <c r="R210" s="715"/>
    </row>
    <row r="211" spans="1:18" s="673" customFormat="1" x14ac:dyDescent="0.2">
      <c r="A211" s="710"/>
      <c r="B211" s="710"/>
      <c r="C211" s="710"/>
      <c r="D211" s="710"/>
      <c r="E211" s="711"/>
      <c r="F211" s="712"/>
      <c r="G211" s="713"/>
      <c r="H211" s="714"/>
      <c r="I211" s="715"/>
      <c r="J211" s="715"/>
      <c r="K211" s="715"/>
      <c r="L211" s="715"/>
      <c r="M211" s="715"/>
      <c r="N211" s="715"/>
      <c r="O211" s="714"/>
      <c r="P211" s="715"/>
      <c r="Q211" s="715"/>
      <c r="R211" s="715"/>
    </row>
    <row r="212" spans="1:18" s="673" customFormat="1" x14ac:dyDescent="0.2">
      <c r="A212" s="710"/>
      <c r="B212" s="710"/>
      <c r="C212" s="710"/>
      <c r="D212" s="710"/>
      <c r="E212" s="711"/>
      <c r="F212" s="712"/>
      <c r="G212" s="713"/>
      <c r="H212" s="714"/>
      <c r="I212" s="715"/>
      <c r="J212" s="715"/>
      <c r="K212" s="715"/>
      <c r="L212" s="715"/>
      <c r="M212" s="715"/>
      <c r="N212" s="715"/>
      <c r="O212" s="714"/>
      <c r="P212" s="715"/>
      <c r="Q212" s="715"/>
      <c r="R212" s="715"/>
    </row>
    <row r="213" spans="1:18" s="673" customFormat="1" x14ac:dyDescent="0.2">
      <c r="A213" s="710"/>
      <c r="B213" s="710"/>
      <c r="C213" s="710"/>
      <c r="D213" s="710"/>
      <c r="E213" s="711"/>
      <c r="F213" s="712"/>
      <c r="G213" s="713"/>
      <c r="H213" s="714"/>
      <c r="I213" s="715"/>
      <c r="J213" s="715"/>
      <c r="K213" s="715"/>
      <c r="L213" s="715"/>
      <c r="M213" s="715"/>
      <c r="N213" s="715"/>
      <c r="O213" s="714"/>
      <c r="P213" s="715"/>
      <c r="Q213" s="715"/>
      <c r="R213" s="715"/>
    </row>
    <row r="214" spans="1:18" s="673" customFormat="1" x14ac:dyDescent="0.2">
      <c r="A214" s="710"/>
      <c r="B214" s="710"/>
      <c r="C214" s="710"/>
      <c r="D214" s="710"/>
      <c r="E214" s="711"/>
      <c r="F214" s="712"/>
      <c r="G214" s="713"/>
      <c r="H214" s="714"/>
      <c r="I214" s="715"/>
      <c r="J214" s="715"/>
      <c r="K214" s="715"/>
      <c r="L214" s="715"/>
      <c r="M214" s="715"/>
      <c r="N214" s="715"/>
      <c r="O214" s="714"/>
      <c r="P214" s="715"/>
      <c r="Q214" s="715"/>
      <c r="R214" s="715"/>
    </row>
    <row r="215" spans="1:18" s="673" customFormat="1" x14ac:dyDescent="0.2">
      <c r="A215" s="710"/>
      <c r="B215" s="710"/>
      <c r="C215" s="710"/>
      <c r="D215" s="710"/>
      <c r="E215" s="711"/>
      <c r="F215" s="712"/>
      <c r="G215" s="713"/>
      <c r="H215" s="714"/>
      <c r="I215" s="715"/>
      <c r="J215" s="715"/>
      <c r="K215" s="715"/>
      <c r="L215" s="715"/>
      <c r="M215" s="715"/>
      <c r="N215" s="715"/>
      <c r="O215" s="714"/>
      <c r="P215" s="715"/>
      <c r="Q215" s="715"/>
      <c r="R215" s="715"/>
    </row>
    <row r="216" spans="1:18" s="673" customFormat="1" x14ac:dyDescent="0.2">
      <c r="A216" s="710"/>
      <c r="B216" s="710"/>
      <c r="C216" s="710"/>
      <c r="D216" s="710"/>
      <c r="E216" s="711"/>
      <c r="F216" s="712"/>
      <c r="G216" s="713"/>
      <c r="H216" s="714"/>
      <c r="I216" s="715"/>
      <c r="J216" s="715"/>
      <c r="K216" s="715"/>
      <c r="L216" s="715"/>
      <c r="M216" s="715"/>
      <c r="N216" s="715"/>
      <c r="O216" s="714"/>
      <c r="P216" s="715"/>
      <c r="Q216" s="715"/>
      <c r="R216" s="715"/>
    </row>
    <row r="217" spans="1:18" s="673" customFormat="1" x14ac:dyDescent="0.2">
      <c r="A217" s="710"/>
      <c r="B217" s="710"/>
      <c r="C217" s="710"/>
      <c r="D217" s="710"/>
      <c r="E217" s="711"/>
      <c r="F217" s="712"/>
      <c r="G217" s="713"/>
      <c r="H217" s="714"/>
      <c r="I217" s="715"/>
      <c r="J217" s="715"/>
      <c r="K217" s="715"/>
      <c r="L217" s="715"/>
      <c r="M217" s="715"/>
      <c r="N217" s="715"/>
      <c r="O217" s="714"/>
      <c r="P217" s="715"/>
      <c r="Q217" s="715"/>
      <c r="R217" s="715"/>
    </row>
    <row r="218" spans="1:18" s="673" customFormat="1" x14ac:dyDescent="0.2">
      <c r="A218" s="710"/>
      <c r="B218" s="710"/>
      <c r="C218" s="710"/>
      <c r="D218" s="710"/>
      <c r="E218" s="711"/>
      <c r="F218" s="712"/>
      <c r="G218" s="713"/>
      <c r="H218" s="714"/>
      <c r="I218" s="715"/>
      <c r="J218" s="715"/>
      <c r="K218" s="715"/>
      <c r="L218" s="715"/>
      <c r="M218" s="715"/>
      <c r="N218" s="715"/>
      <c r="O218" s="714"/>
      <c r="P218" s="715"/>
      <c r="Q218" s="715"/>
      <c r="R218" s="715"/>
    </row>
    <row r="219" spans="1:18" s="673" customFormat="1" x14ac:dyDescent="0.2">
      <c r="A219" s="710"/>
      <c r="B219" s="710"/>
      <c r="C219" s="710"/>
      <c r="D219" s="710"/>
      <c r="E219" s="711"/>
      <c r="F219" s="712"/>
      <c r="G219" s="713"/>
      <c r="H219" s="714"/>
      <c r="I219" s="715"/>
      <c r="J219" s="715"/>
      <c r="K219" s="715"/>
      <c r="L219" s="715"/>
      <c r="M219" s="715"/>
      <c r="N219" s="715"/>
      <c r="O219" s="714"/>
      <c r="P219" s="715"/>
      <c r="Q219" s="715"/>
      <c r="R219" s="715"/>
    </row>
    <row r="220" spans="1:18" s="673" customFormat="1" x14ac:dyDescent="0.2">
      <c r="A220" s="710"/>
      <c r="B220" s="710"/>
      <c r="C220" s="710"/>
      <c r="D220" s="710"/>
      <c r="E220" s="711"/>
      <c r="F220" s="712"/>
      <c r="G220" s="713"/>
      <c r="H220" s="714"/>
      <c r="I220" s="715"/>
      <c r="J220" s="715"/>
      <c r="K220" s="715"/>
      <c r="L220" s="715"/>
      <c r="M220" s="715"/>
      <c r="N220" s="715"/>
      <c r="O220" s="714"/>
      <c r="P220" s="715"/>
      <c r="Q220" s="715"/>
      <c r="R220" s="715"/>
    </row>
    <row r="221" spans="1:18" s="673" customFormat="1" x14ac:dyDescent="0.2">
      <c r="A221" s="710"/>
      <c r="B221" s="710"/>
      <c r="C221" s="710"/>
      <c r="D221" s="710"/>
      <c r="E221" s="711"/>
      <c r="F221" s="712"/>
      <c r="G221" s="713"/>
      <c r="H221" s="714"/>
      <c r="I221" s="715"/>
      <c r="J221" s="715"/>
      <c r="K221" s="715"/>
      <c r="L221" s="715"/>
      <c r="M221" s="715"/>
      <c r="N221" s="715"/>
      <c r="O221" s="714"/>
      <c r="P221" s="715"/>
      <c r="Q221" s="715"/>
      <c r="R221" s="715"/>
    </row>
    <row r="222" spans="1:18" s="673" customFormat="1" x14ac:dyDescent="0.2">
      <c r="A222" s="710"/>
      <c r="B222" s="710"/>
      <c r="C222" s="710"/>
      <c r="D222" s="710"/>
      <c r="E222" s="711"/>
      <c r="F222" s="712"/>
      <c r="G222" s="713"/>
      <c r="H222" s="714"/>
      <c r="I222" s="715"/>
      <c r="J222" s="715"/>
      <c r="K222" s="715"/>
      <c r="L222" s="715"/>
      <c r="M222" s="715"/>
      <c r="N222" s="715"/>
      <c r="O222" s="714"/>
      <c r="P222" s="715"/>
      <c r="Q222" s="715"/>
      <c r="R222" s="715"/>
    </row>
    <row r="223" spans="1:18" s="673" customFormat="1" x14ac:dyDescent="0.2">
      <c r="A223" s="710"/>
      <c r="B223" s="710"/>
      <c r="C223" s="710"/>
      <c r="D223" s="710"/>
      <c r="E223" s="711"/>
      <c r="F223" s="712"/>
      <c r="G223" s="713"/>
      <c r="H223" s="714"/>
      <c r="I223" s="715"/>
      <c r="J223" s="715"/>
      <c r="K223" s="715"/>
      <c r="L223" s="715"/>
      <c r="M223" s="715"/>
      <c r="N223" s="715"/>
      <c r="O223" s="714"/>
      <c r="P223" s="715"/>
      <c r="Q223" s="715"/>
      <c r="R223" s="715"/>
    </row>
    <row r="224" spans="1:18" s="673" customFormat="1" x14ac:dyDescent="0.2">
      <c r="A224" s="710"/>
      <c r="B224" s="710"/>
      <c r="C224" s="710"/>
      <c r="D224" s="710"/>
      <c r="E224" s="711"/>
      <c r="F224" s="712"/>
      <c r="G224" s="713"/>
      <c r="H224" s="714"/>
      <c r="I224" s="715"/>
      <c r="J224" s="715"/>
      <c r="K224" s="715"/>
      <c r="L224" s="715"/>
      <c r="M224" s="715"/>
      <c r="N224" s="715"/>
      <c r="O224" s="714"/>
      <c r="P224" s="715"/>
      <c r="Q224" s="715"/>
      <c r="R224" s="715"/>
    </row>
    <row r="225" spans="1:18" s="673" customFormat="1" x14ac:dyDescent="0.2">
      <c r="A225" s="710"/>
      <c r="B225" s="710"/>
      <c r="C225" s="710"/>
      <c r="D225" s="710"/>
      <c r="E225" s="711"/>
      <c r="F225" s="712"/>
      <c r="G225" s="713"/>
      <c r="H225" s="714"/>
      <c r="I225" s="715"/>
      <c r="J225" s="715"/>
      <c r="K225" s="715"/>
      <c r="L225" s="715"/>
      <c r="M225" s="715"/>
      <c r="N225" s="715"/>
      <c r="O225" s="714"/>
      <c r="P225" s="715"/>
      <c r="Q225" s="715"/>
      <c r="R225" s="715"/>
    </row>
    <row r="226" spans="1:18" s="673" customFormat="1" x14ac:dyDescent="0.2">
      <c r="A226" s="710"/>
      <c r="B226" s="710"/>
      <c r="C226" s="710"/>
      <c r="D226" s="710"/>
      <c r="E226" s="711"/>
      <c r="F226" s="712"/>
      <c r="G226" s="713"/>
      <c r="H226" s="714"/>
      <c r="I226" s="715"/>
      <c r="J226" s="715"/>
      <c r="K226" s="715"/>
      <c r="L226" s="715"/>
      <c r="M226" s="715"/>
      <c r="N226" s="715"/>
      <c r="O226" s="714"/>
      <c r="P226" s="715"/>
      <c r="Q226" s="715"/>
      <c r="R226" s="715"/>
    </row>
    <row r="227" spans="1:18" s="673" customFormat="1" x14ac:dyDescent="0.2">
      <c r="A227" s="710"/>
      <c r="B227" s="710"/>
      <c r="C227" s="710"/>
      <c r="D227" s="710"/>
      <c r="E227" s="711"/>
      <c r="F227" s="712"/>
      <c r="G227" s="713"/>
      <c r="H227" s="714"/>
      <c r="I227" s="715"/>
      <c r="J227" s="715"/>
      <c r="K227" s="715"/>
      <c r="L227" s="715"/>
      <c r="M227" s="715"/>
      <c r="N227" s="715"/>
      <c r="O227" s="714"/>
      <c r="P227" s="715"/>
      <c r="Q227" s="715"/>
      <c r="R227" s="715"/>
    </row>
    <row r="228" spans="1:18" s="673" customFormat="1" x14ac:dyDescent="0.2">
      <c r="A228" s="710"/>
      <c r="B228" s="710"/>
      <c r="C228" s="710"/>
      <c r="D228" s="710"/>
      <c r="E228" s="711"/>
      <c r="F228" s="712"/>
      <c r="G228" s="713"/>
      <c r="H228" s="714"/>
      <c r="I228" s="715"/>
      <c r="J228" s="715"/>
      <c r="K228" s="715"/>
      <c r="L228" s="715"/>
      <c r="M228" s="715"/>
      <c r="N228" s="715"/>
      <c r="O228" s="714"/>
      <c r="P228" s="715"/>
      <c r="Q228" s="715"/>
      <c r="R228" s="715"/>
    </row>
    <row r="229" spans="1:18" s="673" customFormat="1" x14ac:dyDescent="0.2">
      <c r="A229" s="710"/>
      <c r="B229" s="710"/>
      <c r="C229" s="710"/>
      <c r="D229" s="710"/>
      <c r="E229" s="711"/>
      <c r="F229" s="712"/>
      <c r="G229" s="713"/>
      <c r="H229" s="714"/>
      <c r="I229" s="715"/>
      <c r="J229" s="715"/>
      <c r="K229" s="715"/>
      <c r="L229" s="715"/>
      <c r="M229" s="715"/>
      <c r="N229" s="715"/>
      <c r="O229" s="714"/>
      <c r="P229" s="715"/>
      <c r="Q229" s="715"/>
      <c r="R229" s="715"/>
    </row>
    <row r="230" spans="1:18" s="673" customFormat="1" x14ac:dyDescent="0.2">
      <c r="A230" s="710"/>
      <c r="B230" s="710"/>
      <c r="C230" s="710"/>
      <c r="D230" s="710"/>
      <c r="E230" s="711"/>
      <c r="F230" s="712"/>
      <c r="G230" s="713"/>
      <c r="H230" s="714"/>
      <c r="I230" s="715"/>
      <c r="J230" s="715"/>
      <c r="K230" s="715"/>
      <c r="L230" s="715"/>
      <c r="M230" s="715"/>
      <c r="N230" s="715"/>
      <c r="O230" s="714"/>
      <c r="P230" s="715"/>
      <c r="Q230" s="715"/>
      <c r="R230" s="715"/>
    </row>
    <row r="231" spans="1:18" s="673" customFormat="1" x14ac:dyDescent="0.2">
      <c r="A231" s="710"/>
      <c r="B231" s="710"/>
      <c r="C231" s="710"/>
      <c r="D231" s="710"/>
      <c r="E231" s="711"/>
      <c r="F231" s="712"/>
      <c r="G231" s="713"/>
      <c r="H231" s="714"/>
      <c r="I231" s="715"/>
      <c r="J231" s="715"/>
      <c r="K231" s="715"/>
      <c r="L231" s="715"/>
      <c r="M231" s="715"/>
      <c r="N231" s="715"/>
      <c r="O231" s="714"/>
      <c r="P231" s="715"/>
      <c r="Q231" s="715"/>
      <c r="R231" s="715"/>
    </row>
    <row r="232" spans="1:18" s="673" customFormat="1" x14ac:dyDescent="0.2">
      <c r="A232" s="710"/>
      <c r="B232" s="710"/>
      <c r="C232" s="710"/>
      <c r="D232" s="710"/>
      <c r="E232" s="711"/>
      <c r="F232" s="712"/>
      <c r="G232" s="713"/>
      <c r="H232" s="714"/>
      <c r="I232" s="715"/>
      <c r="J232" s="715"/>
      <c r="K232" s="715"/>
      <c r="L232" s="715"/>
      <c r="M232" s="715"/>
      <c r="N232" s="715"/>
      <c r="O232" s="714"/>
      <c r="P232" s="715"/>
      <c r="Q232" s="715"/>
      <c r="R232" s="715"/>
    </row>
    <row r="233" spans="1:18" s="673" customFormat="1" x14ac:dyDescent="0.2">
      <c r="A233" s="710"/>
      <c r="B233" s="710"/>
      <c r="C233" s="710"/>
      <c r="D233" s="710"/>
      <c r="E233" s="711"/>
      <c r="F233" s="712"/>
      <c r="G233" s="713"/>
      <c r="H233" s="714"/>
      <c r="I233" s="715"/>
      <c r="J233" s="715"/>
      <c r="K233" s="715"/>
      <c r="L233" s="715"/>
      <c r="M233" s="715"/>
      <c r="N233" s="715"/>
      <c r="O233" s="714"/>
      <c r="P233" s="715"/>
      <c r="Q233" s="715"/>
      <c r="R233" s="715"/>
    </row>
    <row r="234" spans="1:18" s="673" customFormat="1" x14ac:dyDescent="0.2">
      <c r="A234" s="710"/>
      <c r="B234" s="710"/>
      <c r="C234" s="710"/>
      <c r="D234" s="710"/>
      <c r="E234" s="711"/>
      <c r="F234" s="712"/>
      <c r="G234" s="713"/>
      <c r="H234" s="714"/>
      <c r="I234" s="715"/>
      <c r="J234" s="715"/>
      <c r="K234" s="715"/>
      <c r="L234" s="715"/>
      <c r="M234" s="715"/>
      <c r="N234" s="715"/>
      <c r="O234" s="714"/>
      <c r="P234" s="715"/>
      <c r="Q234" s="715"/>
      <c r="R234" s="715"/>
    </row>
    <row r="235" spans="1:18" s="673" customFormat="1" x14ac:dyDescent="0.2">
      <c r="A235" s="710"/>
      <c r="B235" s="710"/>
      <c r="C235" s="710"/>
      <c r="D235" s="710"/>
      <c r="E235" s="711"/>
      <c r="F235" s="712"/>
      <c r="G235" s="713"/>
      <c r="H235" s="714"/>
      <c r="I235" s="715"/>
      <c r="J235" s="715"/>
      <c r="K235" s="715"/>
      <c r="L235" s="715"/>
      <c r="M235" s="715"/>
      <c r="N235" s="715"/>
      <c r="O235" s="714"/>
      <c r="P235" s="715"/>
      <c r="Q235" s="715"/>
      <c r="R235" s="715"/>
    </row>
    <row r="236" spans="1:18" s="673" customFormat="1" x14ac:dyDescent="0.2">
      <c r="A236" s="710"/>
      <c r="B236" s="710"/>
      <c r="C236" s="710"/>
      <c r="D236" s="710"/>
      <c r="E236" s="711"/>
      <c r="F236" s="712"/>
      <c r="G236" s="713"/>
      <c r="H236" s="714"/>
      <c r="I236" s="715"/>
      <c r="J236" s="715"/>
      <c r="K236" s="715"/>
      <c r="L236" s="715"/>
      <c r="M236" s="715"/>
      <c r="N236" s="715"/>
      <c r="O236" s="714"/>
      <c r="P236" s="715"/>
      <c r="Q236" s="715"/>
      <c r="R236" s="715"/>
    </row>
    <row r="237" spans="1:18" s="673" customFormat="1" x14ac:dyDescent="0.2">
      <c r="A237" s="710"/>
      <c r="B237" s="710"/>
      <c r="C237" s="710"/>
      <c r="D237" s="710"/>
      <c r="E237" s="711"/>
      <c r="F237" s="712"/>
      <c r="G237" s="713"/>
      <c r="H237" s="714"/>
      <c r="I237" s="715"/>
      <c r="J237" s="715"/>
      <c r="K237" s="715"/>
      <c r="L237" s="715"/>
      <c r="M237" s="715"/>
      <c r="N237" s="715"/>
      <c r="O237" s="714"/>
      <c r="P237" s="715"/>
      <c r="Q237" s="715"/>
      <c r="R237" s="715"/>
    </row>
    <row r="238" spans="1:18" s="673" customFormat="1" x14ac:dyDescent="0.2">
      <c r="A238" s="710"/>
      <c r="B238" s="710"/>
      <c r="C238" s="710"/>
      <c r="D238" s="710"/>
      <c r="E238" s="711"/>
      <c r="F238" s="712"/>
      <c r="G238" s="713"/>
      <c r="H238" s="714"/>
      <c r="I238" s="715"/>
      <c r="J238" s="715"/>
      <c r="K238" s="715"/>
      <c r="L238" s="715"/>
      <c r="M238" s="715"/>
      <c r="N238" s="715"/>
      <c r="O238" s="714"/>
      <c r="P238" s="715"/>
      <c r="Q238" s="715"/>
      <c r="R238" s="715"/>
    </row>
    <row r="239" spans="1:18" s="673" customFormat="1" x14ac:dyDescent="0.2">
      <c r="A239" s="710"/>
      <c r="B239" s="710"/>
      <c r="C239" s="710"/>
      <c r="D239" s="710"/>
      <c r="E239" s="711"/>
      <c r="F239" s="712"/>
      <c r="G239" s="713"/>
      <c r="H239" s="714"/>
      <c r="I239" s="715"/>
      <c r="J239" s="715"/>
      <c r="K239" s="715"/>
      <c r="L239" s="715"/>
      <c r="M239" s="715"/>
      <c r="N239" s="715"/>
      <c r="O239" s="714"/>
      <c r="P239" s="715"/>
      <c r="Q239" s="715"/>
      <c r="R239" s="715"/>
    </row>
    <row r="240" spans="1:18" s="673" customFormat="1" x14ac:dyDescent="0.2">
      <c r="A240" s="710"/>
      <c r="B240" s="710"/>
      <c r="C240" s="710"/>
      <c r="D240" s="710"/>
      <c r="E240" s="711"/>
      <c r="F240" s="712"/>
      <c r="G240" s="713"/>
      <c r="H240" s="714"/>
      <c r="I240" s="715"/>
      <c r="J240" s="715"/>
      <c r="K240" s="715"/>
      <c r="L240" s="715"/>
      <c r="M240" s="715"/>
      <c r="N240" s="715"/>
      <c r="O240" s="714"/>
      <c r="P240" s="715"/>
      <c r="Q240" s="715"/>
      <c r="R240" s="715"/>
    </row>
    <row r="241" spans="1:18" s="673" customFormat="1" x14ac:dyDescent="0.2">
      <c r="A241" s="710"/>
      <c r="B241" s="710"/>
      <c r="C241" s="710"/>
      <c r="D241" s="710"/>
      <c r="E241" s="711"/>
      <c r="F241" s="712"/>
      <c r="G241" s="713"/>
      <c r="H241" s="714"/>
      <c r="I241" s="715"/>
      <c r="J241" s="715"/>
      <c r="K241" s="715"/>
      <c r="L241" s="715"/>
      <c r="M241" s="715"/>
      <c r="N241" s="715"/>
      <c r="O241" s="714"/>
      <c r="P241" s="715"/>
      <c r="Q241" s="715"/>
      <c r="R241" s="715"/>
    </row>
    <row r="242" spans="1:18" s="673" customFormat="1" x14ac:dyDescent="0.2">
      <c r="A242" s="710"/>
      <c r="B242" s="710"/>
      <c r="C242" s="710"/>
      <c r="D242" s="710"/>
      <c r="E242" s="711"/>
      <c r="F242" s="712"/>
      <c r="G242" s="713"/>
      <c r="H242" s="714"/>
      <c r="I242" s="715"/>
      <c r="J242" s="715"/>
      <c r="K242" s="715"/>
      <c r="L242" s="715"/>
      <c r="M242" s="715"/>
      <c r="N242" s="715"/>
      <c r="O242" s="714"/>
      <c r="P242" s="715"/>
      <c r="Q242" s="715"/>
      <c r="R242" s="715"/>
    </row>
    <row r="243" spans="1:18" s="673" customFormat="1" x14ac:dyDescent="0.2">
      <c r="A243" s="710"/>
      <c r="B243" s="710"/>
      <c r="C243" s="710"/>
      <c r="D243" s="710"/>
      <c r="E243" s="711"/>
      <c r="F243" s="712"/>
      <c r="G243" s="713"/>
      <c r="H243" s="714"/>
      <c r="I243" s="715"/>
      <c r="J243" s="715"/>
      <c r="K243" s="715"/>
      <c r="L243" s="715"/>
      <c r="M243" s="715"/>
      <c r="N243" s="715"/>
      <c r="O243" s="714"/>
      <c r="P243" s="715"/>
      <c r="Q243" s="715"/>
      <c r="R243" s="715"/>
    </row>
    <row r="244" spans="1:18" s="673" customFormat="1" x14ac:dyDescent="0.2">
      <c r="A244" s="710"/>
      <c r="B244" s="710"/>
      <c r="C244" s="710"/>
      <c r="D244" s="710"/>
      <c r="E244" s="711"/>
      <c r="F244" s="712"/>
      <c r="G244" s="713"/>
      <c r="H244" s="714"/>
      <c r="I244" s="715"/>
      <c r="J244" s="715"/>
      <c r="K244" s="715"/>
      <c r="L244" s="715"/>
      <c r="M244" s="715"/>
      <c r="N244" s="715"/>
      <c r="O244" s="714"/>
      <c r="P244" s="715"/>
      <c r="Q244" s="715"/>
      <c r="R244" s="715"/>
    </row>
    <row r="245" spans="1:18" s="673" customFormat="1" x14ac:dyDescent="0.2">
      <c r="A245" s="710"/>
      <c r="B245" s="710"/>
      <c r="C245" s="710"/>
      <c r="D245" s="710"/>
      <c r="E245" s="711"/>
      <c r="F245" s="712"/>
      <c r="G245" s="713"/>
      <c r="H245" s="714"/>
      <c r="I245" s="715"/>
      <c r="J245" s="715"/>
      <c r="K245" s="715"/>
      <c r="L245" s="715"/>
      <c r="M245" s="715"/>
      <c r="N245" s="715"/>
      <c r="O245" s="714"/>
      <c r="P245" s="715"/>
      <c r="Q245" s="715"/>
      <c r="R245" s="715"/>
    </row>
    <row r="246" spans="1:18" s="673" customFormat="1" x14ac:dyDescent="0.2">
      <c r="A246" s="710"/>
      <c r="B246" s="710"/>
      <c r="C246" s="710"/>
      <c r="D246" s="710"/>
      <c r="E246" s="711"/>
      <c r="F246" s="712"/>
      <c r="G246" s="713"/>
      <c r="H246" s="714"/>
      <c r="I246" s="715"/>
      <c r="J246" s="715"/>
      <c r="K246" s="715"/>
      <c r="L246" s="715"/>
      <c r="M246" s="715"/>
      <c r="N246" s="715"/>
      <c r="O246" s="714"/>
      <c r="P246" s="715"/>
      <c r="Q246" s="715"/>
      <c r="R246" s="715"/>
    </row>
    <row r="247" spans="1:18" s="673" customFormat="1" x14ac:dyDescent="0.2">
      <c r="A247" s="710"/>
      <c r="B247" s="710"/>
      <c r="C247" s="710"/>
      <c r="D247" s="710"/>
      <c r="E247" s="711"/>
      <c r="F247" s="712"/>
      <c r="G247" s="713"/>
      <c r="H247" s="714"/>
      <c r="I247" s="715"/>
      <c r="J247" s="715"/>
      <c r="K247" s="715"/>
      <c r="L247" s="715"/>
      <c r="M247" s="715"/>
      <c r="N247" s="715"/>
      <c r="O247" s="714"/>
      <c r="P247" s="715"/>
      <c r="Q247" s="715"/>
      <c r="R247" s="715"/>
    </row>
    <row r="248" spans="1:18" s="673" customFormat="1" x14ac:dyDescent="0.2">
      <c r="A248" s="710"/>
      <c r="B248" s="710"/>
      <c r="C248" s="710"/>
      <c r="D248" s="710"/>
      <c r="E248" s="711"/>
      <c r="F248" s="712"/>
      <c r="G248" s="713"/>
      <c r="H248" s="714"/>
      <c r="I248" s="715"/>
      <c r="J248" s="715"/>
      <c r="K248" s="715"/>
      <c r="L248" s="715"/>
      <c r="M248" s="715"/>
      <c r="N248" s="715"/>
      <c r="O248" s="714"/>
      <c r="P248" s="715"/>
      <c r="Q248" s="715"/>
      <c r="R248" s="715"/>
    </row>
    <row r="249" spans="1:18" s="673" customFormat="1" x14ac:dyDescent="0.2">
      <c r="A249" s="710"/>
      <c r="B249" s="710"/>
      <c r="C249" s="710"/>
      <c r="D249" s="710"/>
      <c r="E249" s="711"/>
      <c r="F249" s="712"/>
      <c r="G249" s="713"/>
      <c r="H249" s="714"/>
      <c r="I249" s="715"/>
      <c r="J249" s="715"/>
      <c r="K249" s="715"/>
      <c r="L249" s="715"/>
      <c r="M249" s="715"/>
      <c r="N249" s="715"/>
      <c r="O249" s="714"/>
      <c r="P249" s="715"/>
      <c r="Q249" s="715"/>
      <c r="R249" s="715"/>
    </row>
    <row r="250" spans="1:18" s="673" customFormat="1" x14ac:dyDescent="0.2">
      <c r="A250" s="710"/>
      <c r="B250" s="710"/>
      <c r="C250" s="710"/>
      <c r="D250" s="710"/>
      <c r="E250" s="711"/>
      <c r="F250" s="712"/>
      <c r="G250" s="713"/>
      <c r="H250" s="714"/>
      <c r="I250" s="715"/>
      <c r="J250" s="715"/>
      <c r="K250" s="715"/>
      <c r="L250" s="715"/>
      <c r="M250" s="715"/>
      <c r="N250" s="715"/>
      <c r="O250" s="714"/>
      <c r="P250" s="715"/>
      <c r="Q250" s="715"/>
      <c r="R250" s="715"/>
    </row>
    <row r="251" spans="1:18" s="673" customFormat="1" x14ac:dyDescent="0.2">
      <c r="A251" s="710"/>
      <c r="B251" s="710"/>
      <c r="C251" s="710"/>
      <c r="D251" s="710"/>
      <c r="E251" s="711"/>
      <c r="F251" s="712"/>
      <c r="G251" s="713"/>
      <c r="H251" s="714"/>
      <c r="I251" s="715"/>
      <c r="J251" s="715"/>
      <c r="K251" s="715"/>
      <c r="L251" s="715"/>
      <c r="M251" s="715"/>
      <c r="N251" s="715"/>
      <c r="O251" s="714"/>
      <c r="P251" s="715"/>
      <c r="Q251" s="715"/>
      <c r="R251" s="715"/>
    </row>
    <row r="252" spans="1:18" s="673" customFormat="1" x14ac:dyDescent="0.2">
      <c r="A252" s="710"/>
      <c r="B252" s="710"/>
      <c r="C252" s="710"/>
      <c r="D252" s="710"/>
      <c r="E252" s="711"/>
      <c r="F252" s="712"/>
      <c r="G252" s="713"/>
      <c r="H252" s="714"/>
      <c r="I252" s="715"/>
      <c r="J252" s="715"/>
      <c r="K252" s="715"/>
      <c r="L252" s="715"/>
      <c r="M252" s="715"/>
      <c r="N252" s="715"/>
      <c r="O252" s="714"/>
      <c r="P252" s="715"/>
      <c r="Q252" s="715"/>
      <c r="R252" s="715"/>
    </row>
    <row r="253" spans="1:18" s="673" customFormat="1" x14ac:dyDescent="0.2">
      <c r="A253" s="710"/>
      <c r="B253" s="710"/>
      <c r="C253" s="710"/>
      <c r="D253" s="710"/>
      <c r="E253" s="711"/>
      <c r="F253" s="712"/>
      <c r="G253" s="713"/>
      <c r="H253" s="714"/>
      <c r="I253" s="715"/>
      <c r="J253" s="715"/>
      <c r="K253" s="715"/>
      <c r="L253" s="715"/>
      <c r="M253" s="715"/>
      <c r="N253" s="715"/>
      <c r="O253" s="714"/>
      <c r="P253" s="715"/>
      <c r="Q253" s="715"/>
      <c r="R253" s="715"/>
    </row>
    <row r="254" spans="1:18" s="673" customFormat="1" x14ac:dyDescent="0.2">
      <c r="A254" s="710"/>
      <c r="B254" s="710"/>
      <c r="C254" s="710"/>
      <c r="D254" s="710"/>
      <c r="E254" s="711"/>
      <c r="F254" s="712"/>
      <c r="G254" s="713"/>
      <c r="H254" s="714"/>
      <c r="I254" s="715"/>
      <c r="J254" s="715"/>
      <c r="K254" s="715"/>
      <c r="L254" s="715"/>
      <c r="M254" s="715"/>
      <c r="N254" s="715"/>
      <c r="O254" s="714"/>
      <c r="P254" s="715"/>
      <c r="Q254" s="715"/>
      <c r="R254" s="715"/>
    </row>
    <row r="255" spans="1:18" s="673" customFormat="1" x14ac:dyDescent="0.2">
      <c r="A255" s="710"/>
      <c r="B255" s="710"/>
      <c r="C255" s="710"/>
      <c r="D255" s="710"/>
      <c r="E255" s="711"/>
      <c r="F255" s="712"/>
      <c r="G255" s="713"/>
      <c r="H255" s="714"/>
      <c r="I255" s="715"/>
      <c r="J255" s="715"/>
      <c r="K255" s="715"/>
      <c r="L255" s="715"/>
      <c r="M255" s="715"/>
      <c r="N255" s="715"/>
      <c r="O255" s="714"/>
      <c r="P255" s="715"/>
      <c r="Q255" s="715"/>
      <c r="R255" s="715"/>
    </row>
    <row r="256" spans="1:18" s="673" customFormat="1" x14ac:dyDescent="0.2">
      <c r="A256" s="710"/>
      <c r="B256" s="710"/>
      <c r="C256" s="710"/>
      <c r="D256" s="710"/>
      <c r="E256" s="711"/>
      <c r="F256" s="712"/>
      <c r="G256" s="713"/>
      <c r="H256" s="714"/>
      <c r="I256" s="715"/>
      <c r="J256" s="715"/>
      <c r="K256" s="715"/>
      <c r="L256" s="715"/>
      <c r="M256" s="715"/>
      <c r="N256" s="715"/>
      <c r="O256" s="714"/>
      <c r="P256" s="715"/>
      <c r="Q256" s="715"/>
      <c r="R256" s="715"/>
    </row>
    <row r="257" spans="1:18" s="673" customFormat="1" x14ac:dyDescent="0.2">
      <c r="A257" s="710"/>
      <c r="B257" s="710"/>
      <c r="C257" s="710"/>
      <c r="D257" s="710"/>
      <c r="E257" s="711"/>
      <c r="F257" s="712"/>
      <c r="G257" s="713"/>
      <c r="H257" s="714"/>
      <c r="I257" s="715"/>
      <c r="J257" s="715"/>
      <c r="K257" s="715"/>
      <c r="L257" s="715"/>
      <c r="M257" s="715"/>
      <c r="N257" s="715"/>
      <c r="O257" s="714"/>
      <c r="P257" s="715"/>
      <c r="Q257" s="715"/>
      <c r="R257" s="715"/>
    </row>
    <row r="258" spans="1:18" s="673" customFormat="1" x14ac:dyDescent="0.2">
      <c r="A258" s="710"/>
      <c r="B258" s="710"/>
      <c r="C258" s="710"/>
      <c r="D258" s="710"/>
      <c r="E258" s="711"/>
      <c r="F258" s="712"/>
      <c r="G258" s="713"/>
      <c r="H258" s="714"/>
      <c r="I258" s="715"/>
      <c r="J258" s="715"/>
      <c r="K258" s="715"/>
      <c r="L258" s="715"/>
      <c r="M258" s="715"/>
      <c r="N258" s="715"/>
      <c r="O258" s="714"/>
      <c r="P258" s="715"/>
      <c r="Q258" s="715"/>
      <c r="R258" s="715"/>
    </row>
    <row r="259" spans="1:18" s="673" customFormat="1" x14ac:dyDescent="0.2">
      <c r="A259" s="710"/>
      <c r="B259" s="710"/>
      <c r="C259" s="710"/>
      <c r="D259" s="710"/>
      <c r="E259" s="711"/>
      <c r="F259" s="712"/>
      <c r="G259" s="713"/>
      <c r="H259" s="714"/>
      <c r="I259" s="715"/>
      <c r="J259" s="715"/>
      <c r="K259" s="715"/>
      <c r="L259" s="715"/>
      <c r="M259" s="715"/>
      <c r="N259" s="715"/>
      <c r="O259" s="714"/>
      <c r="P259" s="715"/>
      <c r="Q259" s="715"/>
      <c r="R259" s="715"/>
    </row>
    <row r="260" spans="1:18" s="673" customFormat="1" x14ac:dyDescent="0.2">
      <c r="A260" s="710"/>
      <c r="B260" s="710"/>
      <c r="C260" s="710"/>
      <c r="D260" s="710"/>
      <c r="E260" s="711"/>
      <c r="F260" s="712"/>
      <c r="G260" s="713"/>
      <c r="H260" s="714"/>
      <c r="I260" s="715"/>
      <c r="J260" s="715"/>
      <c r="K260" s="715"/>
      <c r="L260" s="715"/>
      <c r="M260" s="715"/>
      <c r="N260" s="715"/>
      <c r="O260" s="714"/>
      <c r="P260" s="715"/>
      <c r="Q260" s="715"/>
      <c r="R260" s="715"/>
    </row>
    <row r="261" spans="1:18" s="673" customFormat="1" x14ac:dyDescent="0.2">
      <c r="A261" s="710"/>
      <c r="B261" s="710"/>
      <c r="C261" s="710"/>
      <c r="D261" s="710"/>
      <c r="E261" s="711"/>
      <c r="F261" s="712"/>
      <c r="G261" s="713"/>
      <c r="H261" s="714"/>
      <c r="I261" s="715"/>
      <c r="J261" s="715"/>
      <c r="K261" s="715"/>
      <c r="L261" s="715"/>
      <c r="M261" s="715"/>
      <c r="N261" s="715"/>
      <c r="O261" s="714"/>
      <c r="P261" s="715"/>
      <c r="Q261" s="715"/>
      <c r="R261" s="715"/>
    </row>
    <row r="262" spans="1:18" s="673" customFormat="1" x14ac:dyDescent="0.2">
      <c r="A262" s="710"/>
      <c r="B262" s="710"/>
      <c r="C262" s="710"/>
      <c r="D262" s="710"/>
      <c r="E262" s="711"/>
      <c r="F262" s="712"/>
      <c r="G262" s="713"/>
      <c r="H262" s="714"/>
      <c r="I262" s="715"/>
      <c r="J262" s="715"/>
      <c r="K262" s="715"/>
      <c r="L262" s="715"/>
      <c r="M262" s="715"/>
      <c r="N262" s="715"/>
      <c r="O262" s="714"/>
      <c r="P262" s="715"/>
      <c r="Q262" s="715"/>
      <c r="R262" s="715"/>
    </row>
    <row r="263" spans="1:18" s="673" customFormat="1" x14ac:dyDescent="0.2">
      <c r="A263" s="710"/>
      <c r="B263" s="710"/>
      <c r="C263" s="710"/>
      <c r="D263" s="710"/>
      <c r="E263" s="711"/>
      <c r="F263" s="712"/>
      <c r="G263" s="713"/>
      <c r="H263" s="714"/>
      <c r="I263" s="715"/>
      <c r="J263" s="715"/>
      <c r="K263" s="715"/>
      <c r="L263" s="715"/>
      <c r="M263" s="715"/>
      <c r="N263" s="715"/>
      <c r="O263" s="714"/>
      <c r="P263" s="715"/>
      <c r="Q263" s="715"/>
      <c r="R263" s="715"/>
    </row>
    <row r="264" spans="1:18" s="673" customFormat="1" x14ac:dyDescent="0.2">
      <c r="A264" s="710"/>
      <c r="B264" s="710"/>
      <c r="C264" s="710"/>
      <c r="D264" s="710"/>
      <c r="E264" s="711"/>
      <c r="F264" s="712"/>
      <c r="G264" s="713"/>
      <c r="H264" s="714"/>
      <c r="I264" s="715"/>
      <c r="J264" s="715"/>
      <c r="K264" s="715"/>
      <c r="L264" s="715"/>
      <c r="M264" s="715"/>
      <c r="N264" s="715"/>
      <c r="O264" s="714"/>
      <c r="P264" s="715"/>
      <c r="Q264" s="715"/>
      <c r="R264" s="715"/>
    </row>
    <row r="265" spans="1:18" s="673" customFormat="1" x14ac:dyDescent="0.2">
      <c r="A265" s="710"/>
      <c r="B265" s="710"/>
      <c r="C265" s="710"/>
      <c r="D265" s="710"/>
      <c r="E265" s="711"/>
      <c r="F265" s="712"/>
      <c r="G265" s="713"/>
      <c r="H265" s="714"/>
      <c r="I265" s="715"/>
      <c r="J265" s="715"/>
      <c r="K265" s="715"/>
      <c r="L265" s="715"/>
      <c r="M265" s="715"/>
      <c r="N265" s="715"/>
      <c r="O265" s="714"/>
      <c r="P265" s="715"/>
      <c r="Q265" s="715"/>
      <c r="R265" s="715"/>
    </row>
    <row r="266" spans="1:18" s="673" customFormat="1" x14ac:dyDescent="0.2">
      <c r="A266" s="710"/>
      <c r="B266" s="710"/>
      <c r="C266" s="710"/>
      <c r="D266" s="710"/>
      <c r="E266" s="711"/>
      <c r="F266" s="712"/>
      <c r="G266" s="713"/>
      <c r="H266" s="714"/>
      <c r="I266" s="715"/>
      <c r="J266" s="715"/>
      <c r="K266" s="715"/>
      <c r="L266" s="715"/>
      <c r="M266" s="715"/>
      <c r="N266" s="715"/>
      <c r="O266" s="714"/>
      <c r="P266" s="715"/>
      <c r="Q266" s="715"/>
      <c r="R266" s="715"/>
    </row>
    <row r="267" spans="1:18" s="673" customFormat="1" x14ac:dyDescent="0.2">
      <c r="A267" s="710"/>
      <c r="B267" s="710"/>
      <c r="C267" s="710"/>
      <c r="D267" s="710"/>
      <c r="E267" s="711"/>
      <c r="F267" s="712"/>
      <c r="G267" s="713"/>
      <c r="H267" s="714"/>
      <c r="I267" s="715"/>
      <c r="J267" s="715"/>
      <c r="K267" s="715"/>
      <c r="L267" s="715"/>
      <c r="M267" s="715"/>
      <c r="N267" s="715"/>
      <c r="O267" s="714"/>
      <c r="P267" s="715"/>
      <c r="Q267" s="715"/>
      <c r="R267" s="715"/>
    </row>
    <row r="268" spans="1:18" s="673" customFormat="1" x14ac:dyDescent="0.2">
      <c r="A268" s="710"/>
      <c r="B268" s="710"/>
      <c r="C268" s="710"/>
      <c r="D268" s="710"/>
      <c r="E268" s="711"/>
      <c r="F268" s="712"/>
      <c r="G268" s="713"/>
      <c r="H268" s="714"/>
      <c r="I268" s="715"/>
      <c r="J268" s="715"/>
      <c r="K268" s="715"/>
      <c r="L268" s="715"/>
      <c r="M268" s="715"/>
      <c r="N268" s="715"/>
      <c r="O268" s="714"/>
      <c r="P268" s="715"/>
      <c r="Q268" s="715"/>
      <c r="R268" s="715"/>
    </row>
    <row r="269" spans="1:18" s="673" customFormat="1" x14ac:dyDescent="0.2">
      <c r="A269" s="710"/>
      <c r="B269" s="710"/>
      <c r="C269" s="710"/>
      <c r="D269" s="710"/>
      <c r="E269" s="711"/>
      <c r="F269" s="712"/>
      <c r="G269" s="713"/>
      <c r="H269" s="714"/>
      <c r="I269" s="715"/>
      <c r="J269" s="715"/>
      <c r="K269" s="715"/>
      <c r="L269" s="715"/>
      <c r="M269" s="715"/>
      <c r="N269" s="715"/>
      <c r="O269" s="714"/>
      <c r="P269" s="715"/>
      <c r="Q269" s="715"/>
      <c r="R269" s="715"/>
    </row>
    <row r="270" spans="1:18" s="673" customFormat="1" x14ac:dyDescent="0.2">
      <c r="A270" s="710"/>
      <c r="B270" s="710"/>
      <c r="C270" s="710"/>
      <c r="D270" s="710"/>
      <c r="E270" s="711"/>
      <c r="F270" s="712"/>
      <c r="G270" s="713"/>
      <c r="H270" s="714"/>
      <c r="O270" s="714"/>
    </row>
    <row r="271" spans="1:18" s="673" customFormat="1" x14ac:dyDescent="0.2">
      <c r="A271" s="710"/>
      <c r="B271" s="710"/>
      <c r="C271" s="710"/>
      <c r="D271" s="710"/>
      <c r="E271" s="711"/>
      <c r="F271" s="712"/>
      <c r="G271" s="713"/>
      <c r="H271" s="714"/>
      <c r="O271" s="714"/>
    </row>
    <row r="272" spans="1:18" s="673" customFormat="1" x14ac:dyDescent="0.2">
      <c r="A272" s="710"/>
      <c r="B272" s="710"/>
      <c r="C272" s="710"/>
      <c r="D272" s="710"/>
      <c r="E272" s="711"/>
      <c r="F272" s="712"/>
      <c r="G272" s="713"/>
      <c r="H272" s="714"/>
      <c r="O272" s="714"/>
    </row>
    <row r="273" spans="1:15" s="673" customFormat="1" x14ac:dyDescent="0.2">
      <c r="A273" s="710"/>
      <c r="B273" s="710"/>
      <c r="C273" s="710"/>
      <c r="D273" s="710"/>
      <c r="E273" s="711"/>
      <c r="F273" s="712"/>
      <c r="G273" s="713"/>
      <c r="H273" s="714"/>
      <c r="O273" s="714"/>
    </row>
    <row r="274" spans="1:15" s="673" customFormat="1" x14ac:dyDescent="0.2">
      <c r="A274" s="710"/>
      <c r="B274" s="710"/>
      <c r="C274" s="710"/>
      <c r="D274" s="710"/>
      <c r="E274" s="711"/>
      <c r="F274" s="712"/>
      <c r="G274" s="713"/>
      <c r="H274" s="714"/>
      <c r="O274" s="714"/>
    </row>
    <row r="275" spans="1:15" s="673" customFormat="1" x14ac:dyDescent="0.2">
      <c r="A275" s="710"/>
      <c r="B275" s="710"/>
      <c r="C275" s="710"/>
      <c r="D275" s="710"/>
      <c r="E275" s="711"/>
      <c r="F275" s="712"/>
      <c r="G275" s="713"/>
      <c r="H275" s="714"/>
      <c r="O275" s="714"/>
    </row>
    <row r="276" spans="1:15" s="673" customFormat="1" x14ac:dyDescent="0.2">
      <c r="A276" s="710"/>
      <c r="B276" s="710"/>
      <c r="C276" s="710"/>
      <c r="D276" s="710"/>
      <c r="E276" s="711"/>
      <c r="F276" s="712"/>
      <c r="G276" s="713"/>
      <c r="H276" s="714"/>
      <c r="O276" s="714"/>
    </row>
    <row r="277" spans="1:15" s="673" customFormat="1" x14ac:dyDescent="0.2">
      <c r="A277" s="710"/>
      <c r="B277" s="710"/>
      <c r="C277" s="710"/>
      <c r="D277" s="710"/>
      <c r="E277" s="711"/>
      <c r="F277" s="712"/>
      <c r="G277" s="713"/>
      <c r="H277" s="714"/>
      <c r="O277" s="714"/>
    </row>
    <row r="278" spans="1:15" s="673" customFormat="1" x14ac:dyDescent="0.2">
      <c r="A278" s="710"/>
      <c r="B278" s="710"/>
      <c r="C278" s="710"/>
      <c r="D278" s="710"/>
      <c r="E278" s="711"/>
      <c r="F278" s="712"/>
      <c r="G278" s="713"/>
      <c r="H278" s="714"/>
      <c r="O278" s="714"/>
    </row>
    <row r="279" spans="1:15" s="673" customFormat="1" x14ac:dyDescent="0.2">
      <c r="A279" s="710"/>
      <c r="B279" s="710"/>
      <c r="C279" s="710"/>
      <c r="D279" s="710"/>
      <c r="E279" s="711"/>
      <c r="F279" s="712"/>
      <c r="G279" s="713"/>
      <c r="H279" s="714"/>
      <c r="O279" s="714"/>
    </row>
    <row r="280" spans="1:15" s="673" customFormat="1" x14ac:dyDescent="0.2">
      <c r="A280" s="710"/>
      <c r="B280" s="710"/>
      <c r="C280" s="710"/>
      <c r="D280" s="710"/>
      <c r="E280" s="711"/>
      <c r="F280" s="712"/>
      <c r="G280" s="713"/>
      <c r="H280" s="714"/>
      <c r="O280" s="714"/>
    </row>
    <row r="281" spans="1:15" s="673" customFormat="1" x14ac:dyDescent="0.2">
      <c r="A281" s="710"/>
      <c r="B281" s="710"/>
      <c r="C281" s="710"/>
      <c r="D281" s="710"/>
      <c r="E281" s="711"/>
      <c r="F281" s="712"/>
      <c r="G281" s="713"/>
      <c r="H281" s="714"/>
      <c r="O281" s="714"/>
    </row>
    <row r="282" spans="1:15" s="673" customFormat="1" x14ac:dyDescent="0.2">
      <c r="A282" s="710"/>
      <c r="B282" s="710"/>
      <c r="C282" s="710"/>
      <c r="D282" s="710"/>
      <c r="E282" s="711"/>
      <c r="F282" s="712"/>
      <c r="G282" s="713"/>
      <c r="H282" s="714"/>
      <c r="O282" s="714"/>
    </row>
    <row r="283" spans="1:15" s="673" customFormat="1" x14ac:dyDescent="0.2">
      <c r="A283" s="710"/>
      <c r="B283" s="710"/>
      <c r="C283" s="710"/>
      <c r="D283" s="710"/>
      <c r="E283" s="711"/>
      <c r="F283" s="712"/>
      <c r="G283" s="713"/>
      <c r="H283" s="714"/>
      <c r="O283" s="714"/>
    </row>
    <row r="284" spans="1:15" s="673" customFormat="1" x14ac:dyDescent="0.2">
      <c r="A284" s="710"/>
      <c r="B284" s="710"/>
      <c r="C284" s="710"/>
      <c r="D284" s="710"/>
      <c r="E284" s="711"/>
      <c r="F284" s="712"/>
      <c r="G284" s="713"/>
      <c r="H284" s="714"/>
      <c r="O284" s="714"/>
    </row>
    <row r="285" spans="1:15" s="673" customFormat="1" x14ac:dyDescent="0.2">
      <c r="A285" s="710"/>
      <c r="B285" s="710"/>
      <c r="C285" s="710"/>
      <c r="D285" s="710"/>
      <c r="E285" s="711"/>
      <c r="F285" s="712"/>
      <c r="G285" s="713"/>
      <c r="H285" s="714"/>
      <c r="O285" s="714"/>
    </row>
    <row r="286" spans="1:15" s="673" customFormat="1" x14ac:dyDescent="0.2">
      <c r="A286" s="710"/>
      <c r="B286" s="710"/>
      <c r="C286" s="710"/>
      <c r="D286" s="710"/>
      <c r="E286" s="711"/>
      <c r="F286" s="712"/>
      <c r="G286" s="713"/>
      <c r="H286" s="714"/>
      <c r="O286" s="714"/>
    </row>
    <row r="287" spans="1:15" s="673" customFormat="1" x14ac:dyDescent="0.2">
      <c r="A287" s="710"/>
      <c r="B287" s="710"/>
      <c r="C287" s="710"/>
      <c r="D287" s="710"/>
      <c r="E287" s="711"/>
      <c r="F287" s="712"/>
      <c r="G287" s="713"/>
      <c r="H287" s="714"/>
      <c r="O287" s="714"/>
    </row>
    <row r="288" spans="1:15" s="673" customFormat="1" x14ac:dyDescent="0.2">
      <c r="A288" s="710"/>
      <c r="B288" s="710"/>
      <c r="C288" s="710"/>
      <c r="D288" s="710"/>
      <c r="E288" s="711"/>
      <c r="F288" s="712"/>
      <c r="G288" s="713"/>
      <c r="H288" s="714"/>
      <c r="O288" s="714"/>
    </row>
    <row r="289" spans="1:19" s="673" customFormat="1" x14ac:dyDescent="0.2">
      <c r="A289" s="710"/>
      <c r="B289" s="710"/>
      <c r="C289" s="710"/>
      <c r="D289" s="710"/>
      <c r="E289" s="711"/>
      <c r="F289" s="712"/>
      <c r="G289" s="713"/>
      <c r="H289" s="714"/>
      <c r="O289" s="714"/>
    </row>
    <row r="290" spans="1:19" x14ac:dyDescent="0.2">
      <c r="A290" s="710"/>
      <c r="B290" s="710"/>
      <c r="C290" s="710"/>
      <c r="D290" s="710"/>
      <c r="E290" s="711"/>
      <c r="F290" s="712"/>
      <c r="G290" s="713"/>
      <c r="H290" s="714"/>
      <c r="I290" s="673"/>
      <c r="J290" s="673"/>
      <c r="K290" s="673"/>
      <c r="L290" s="673"/>
      <c r="M290" s="673"/>
      <c r="N290" s="673"/>
      <c r="O290" s="714"/>
      <c r="P290" s="673"/>
      <c r="Q290" s="673"/>
      <c r="R290" s="673"/>
      <c r="S290" s="673"/>
    </row>
    <row r="291" spans="1:19" x14ac:dyDescent="0.2">
      <c r="A291" s="710"/>
      <c r="B291" s="710"/>
      <c r="S291" s="673"/>
    </row>
  </sheetData>
  <sheetProtection sheet="1" objects="1" scenarios="1"/>
  <mergeCells count="12">
    <mergeCell ref="A67:A68"/>
    <mergeCell ref="A86:R86"/>
    <mergeCell ref="I88:K88"/>
    <mergeCell ref="L88:N88"/>
    <mergeCell ref="O88:Q88"/>
    <mergeCell ref="A2:R2"/>
    <mergeCell ref="A5:R5"/>
    <mergeCell ref="A23:R23"/>
    <mergeCell ref="I25:K25"/>
    <mergeCell ref="L25:N25"/>
    <mergeCell ref="O25:Q25"/>
    <mergeCell ref="B16:Q16"/>
  </mergeCells>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workbookViewId="0">
      <selection activeCell="F5" sqref="F5"/>
    </sheetView>
  </sheetViews>
  <sheetFormatPr defaultColWidth="11.42578125" defaultRowHeight="12.75" x14ac:dyDescent="0.2"/>
  <cols>
    <col min="1" max="1" width="5.28515625" customWidth="1"/>
  </cols>
  <sheetData>
    <row r="1" spans="1:13" x14ac:dyDescent="0.2">
      <c r="A1" s="1038" t="s">
        <v>2032</v>
      </c>
    </row>
    <row r="2" spans="1:13" ht="13.5" thickBot="1" x14ac:dyDescent="0.25"/>
    <row r="3" spans="1:13" s="3182" customFormat="1" ht="13.5" thickBot="1" x14ac:dyDescent="0.25">
      <c r="B3" s="3183" t="s">
        <v>2033</v>
      </c>
      <c r="C3" s="3184"/>
      <c r="D3" s="3184"/>
      <c r="E3" s="3184"/>
      <c r="F3" s="3184"/>
      <c r="G3" s="3184"/>
      <c r="H3" s="3184"/>
      <c r="I3" s="3184"/>
      <c r="J3" s="3184"/>
      <c r="K3" s="3184"/>
      <c r="L3" s="3184"/>
      <c r="M3" s="3185"/>
    </row>
    <row r="4" spans="1:13" s="3182" customFormat="1" x14ac:dyDescent="0.2"/>
    <row r="5" spans="1:13" s="3182" customFormat="1" x14ac:dyDescent="0.2">
      <c r="C5" s="3186">
        <v>1</v>
      </c>
      <c r="D5" s="3187" t="s">
        <v>2034</v>
      </c>
      <c r="E5" s="3182" t="s">
        <v>2046</v>
      </c>
      <c r="F5" s="3182">
        <v>1</v>
      </c>
      <c r="H5" s="3182">
        <v>2014</v>
      </c>
    </row>
    <row r="6" spans="1:13" s="3182" customFormat="1" x14ac:dyDescent="0.2">
      <c r="C6" s="3188">
        <v>2</v>
      </c>
      <c r="D6" s="3188" t="s">
        <v>2035</v>
      </c>
      <c r="E6" s="3182" t="s">
        <v>2047</v>
      </c>
      <c r="F6" s="3182">
        <v>2</v>
      </c>
      <c r="H6" s="3182">
        <v>2015</v>
      </c>
    </row>
    <row r="7" spans="1:13" s="3182" customFormat="1" x14ac:dyDescent="0.2">
      <c r="C7" s="3188">
        <v>3</v>
      </c>
      <c r="D7" s="3188" t="s">
        <v>2036</v>
      </c>
      <c r="E7" s="3182" t="s">
        <v>2048</v>
      </c>
      <c r="F7" s="3182">
        <v>3</v>
      </c>
      <c r="H7" s="3182">
        <v>2016</v>
      </c>
    </row>
    <row r="8" spans="1:13" s="3182" customFormat="1" x14ac:dyDescent="0.2">
      <c r="C8" s="3188">
        <v>4</v>
      </c>
      <c r="D8" s="3188" t="s">
        <v>2037</v>
      </c>
      <c r="E8" s="3182" t="s">
        <v>2049</v>
      </c>
      <c r="F8" s="3182">
        <v>4</v>
      </c>
      <c r="H8" s="3182">
        <v>2017</v>
      </c>
    </row>
    <row r="9" spans="1:13" s="3182" customFormat="1" x14ac:dyDescent="0.2">
      <c r="C9" s="3188">
        <v>5</v>
      </c>
      <c r="D9" s="3188" t="s">
        <v>2038</v>
      </c>
      <c r="E9" s="3182" t="s">
        <v>2050</v>
      </c>
      <c r="F9" s="3182">
        <v>5</v>
      </c>
      <c r="H9" s="3182">
        <v>2018</v>
      </c>
    </row>
    <row r="10" spans="1:13" s="3182" customFormat="1" x14ac:dyDescent="0.2">
      <c r="C10" s="3188">
        <v>6</v>
      </c>
      <c r="D10" s="3188" t="s">
        <v>2039</v>
      </c>
      <c r="E10" s="3182" t="s">
        <v>2051</v>
      </c>
      <c r="F10" s="3182">
        <v>6</v>
      </c>
      <c r="H10" s="3182">
        <v>2019</v>
      </c>
    </row>
    <row r="11" spans="1:13" s="3182" customFormat="1" x14ac:dyDescent="0.2">
      <c r="C11" s="3188">
        <v>7</v>
      </c>
      <c r="D11" s="3188" t="s">
        <v>2040</v>
      </c>
      <c r="E11" s="3182" t="s">
        <v>2052</v>
      </c>
      <c r="F11" s="3182">
        <v>7</v>
      </c>
      <c r="H11" s="3182">
        <v>2020</v>
      </c>
    </row>
    <row r="12" spans="1:13" s="3182" customFormat="1" x14ac:dyDescent="0.2">
      <c r="C12" s="3188">
        <v>8</v>
      </c>
      <c r="D12" s="3188" t="s">
        <v>2041</v>
      </c>
      <c r="E12" s="3182" t="s">
        <v>2053</v>
      </c>
      <c r="F12" s="3182">
        <v>8</v>
      </c>
      <c r="H12" s="3182">
        <v>2021</v>
      </c>
    </row>
    <row r="13" spans="1:13" s="3182" customFormat="1" x14ac:dyDescent="0.2">
      <c r="C13" s="3188">
        <v>9</v>
      </c>
      <c r="D13" s="3188" t="s">
        <v>2042</v>
      </c>
      <c r="E13" s="3182" t="s">
        <v>2054</v>
      </c>
      <c r="F13" s="3182">
        <v>9</v>
      </c>
      <c r="H13" s="3182">
        <v>2022</v>
      </c>
    </row>
    <row r="14" spans="1:13" s="3182" customFormat="1" x14ac:dyDescent="0.2">
      <c r="C14" s="3188">
        <v>10</v>
      </c>
      <c r="D14" s="3188" t="s">
        <v>2043</v>
      </c>
      <c r="E14" s="3182" t="s">
        <v>2055</v>
      </c>
      <c r="F14" s="3182">
        <v>10</v>
      </c>
      <c r="H14" s="3182">
        <v>2023</v>
      </c>
    </row>
    <row r="15" spans="1:13" s="3182" customFormat="1" x14ac:dyDescent="0.2">
      <c r="C15" s="3188">
        <v>11</v>
      </c>
      <c r="D15" s="3188" t="s">
        <v>2044</v>
      </c>
      <c r="E15" s="3182" t="s">
        <v>2056</v>
      </c>
      <c r="F15" s="3182">
        <v>11</v>
      </c>
      <c r="H15" s="3182">
        <v>2024</v>
      </c>
    </row>
    <row r="16" spans="1:13" s="3182" customFormat="1" x14ac:dyDescent="0.2">
      <c r="C16" s="3188">
        <v>12</v>
      </c>
      <c r="D16" s="3188" t="s">
        <v>2045</v>
      </c>
      <c r="E16" s="3182" t="s">
        <v>2057</v>
      </c>
      <c r="F16" s="3182">
        <v>12</v>
      </c>
      <c r="H16" s="3182">
        <v>2025</v>
      </c>
    </row>
    <row r="17" spans="6:8" s="3182" customFormat="1" x14ac:dyDescent="0.2">
      <c r="F17" s="3182">
        <v>13</v>
      </c>
      <c r="H17" s="3182">
        <v>2026</v>
      </c>
    </row>
    <row r="18" spans="6:8" s="3182" customFormat="1" x14ac:dyDescent="0.2">
      <c r="F18" s="3182">
        <v>14</v>
      </c>
      <c r="H18" s="3182">
        <v>2027</v>
      </c>
    </row>
    <row r="19" spans="6:8" s="3182" customFormat="1" x14ac:dyDescent="0.2">
      <c r="F19" s="3182">
        <v>15</v>
      </c>
      <c r="H19" s="3182">
        <v>2028</v>
      </c>
    </row>
    <row r="20" spans="6:8" s="3182" customFormat="1" x14ac:dyDescent="0.2">
      <c r="F20" s="3182">
        <v>16</v>
      </c>
      <c r="H20" s="3182">
        <v>2029</v>
      </c>
    </row>
    <row r="21" spans="6:8" s="3182" customFormat="1" x14ac:dyDescent="0.2">
      <c r="F21" s="3182">
        <v>17</v>
      </c>
      <c r="H21" s="3182">
        <v>2030</v>
      </c>
    </row>
    <row r="22" spans="6:8" s="3182" customFormat="1" x14ac:dyDescent="0.2">
      <c r="F22" s="3182">
        <v>18</v>
      </c>
      <c r="H22" s="3182">
        <v>2031</v>
      </c>
    </row>
    <row r="23" spans="6:8" s="3182" customFormat="1" x14ac:dyDescent="0.2">
      <c r="F23" s="3182">
        <v>19</v>
      </c>
      <c r="H23" s="3182">
        <v>2032</v>
      </c>
    </row>
    <row r="24" spans="6:8" s="3182" customFormat="1" x14ac:dyDescent="0.2">
      <c r="F24" s="3182">
        <v>20</v>
      </c>
      <c r="H24" s="3182">
        <v>2033</v>
      </c>
    </row>
    <row r="25" spans="6:8" s="3182" customFormat="1" x14ac:dyDescent="0.2">
      <c r="F25" s="3182">
        <v>21</v>
      </c>
      <c r="H25" s="3182">
        <v>2034</v>
      </c>
    </row>
    <row r="26" spans="6:8" s="3182" customFormat="1" x14ac:dyDescent="0.2">
      <c r="F26" s="3182">
        <v>22</v>
      </c>
      <c r="H26" s="3182">
        <v>2035</v>
      </c>
    </row>
    <row r="27" spans="6:8" s="3182" customFormat="1" x14ac:dyDescent="0.2">
      <c r="F27" s="3182">
        <v>23</v>
      </c>
      <c r="H27" s="3182">
        <v>2036</v>
      </c>
    </row>
    <row r="28" spans="6:8" s="3182" customFormat="1" x14ac:dyDescent="0.2">
      <c r="F28" s="3182">
        <v>24</v>
      </c>
      <c r="H28" s="3182">
        <v>2037</v>
      </c>
    </row>
    <row r="29" spans="6:8" s="3182" customFormat="1" x14ac:dyDescent="0.2">
      <c r="F29" s="3182">
        <v>25</v>
      </c>
      <c r="H29" s="3182">
        <v>2038</v>
      </c>
    </row>
    <row r="30" spans="6:8" s="3182" customFormat="1" x14ac:dyDescent="0.2">
      <c r="F30" s="3182">
        <v>26</v>
      </c>
      <c r="H30" s="3182">
        <v>2039</v>
      </c>
    </row>
    <row r="31" spans="6:8" s="3182" customFormat="1" x14ac:dyDescent="0.2">
      <c r="F31" s="3182">
        <v>27</v>
      </c>
      <c r="H31" s="3182">
        <v>2040</v>
      </c>
    </row>
    <row r="32" spans="6:8" s="3182" customFormat="1" x14ac:dyDescent="0.2">
      <c r="F32" s="3182">
        <v>28</v>
      </c>
      <c r="H32" s="3182">
        <v>2041</v>
      </c>
    </row>
    <row r="33" spans="6:8" s="3182" customFormat="1" x14ac:dyDescent="0.2">
      <c r="F33" s="3182">
        <v>29</v>
      </c>
      <c r="H33" s="3182">
        <v>2042</v>
      </c>
    </row>
    <row r="34" spans="6:8" s="3182" customFormat="1" x14ac:dyDescent="0.2">
      <c r="F34" s="3182">
        <v>30</v>
      </c>
      <c r="H34" s="3182">
        <v>2043</v>
      </c>
    </row>
    <row r="35" spans="6:8" s="3182" customFormat="1" x14ac:dyDescent="0.2">
      <c r="F35" s="3182">
        <v>31</v>
      </c>
      <c r="H35" s="3182">
        <v>2044</v>
      </c>
    </row>
    <row r="36" spans="6:8" s="3182" customFormat="1" x14ac:dyDescent="0.2"/>
  </sheetData>
  <sheetProtection password="D0E7" sheet="1" objects="1" scenarios="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tabColor theme="2" tint="-0.249977111117893"/>
  </sheetPr>
  <dimension ref="A1:AD322"/>
  <sheetViews>
    <sheetView zoomScale="85" zoomScaleNormal="85" workbookViewId="0">
      <selection activeCell="C88" sqref="C88"/>
    </sheetView>
  </sheetViews>
  <sheetFormatPr defaultColWidth="11.42578125" defaultRowHeight="12.75" x14ac:dyDescent="0.2"/>
  <cols>
    <col min="1" max="1" width="14.7109375" style="659" bestFit="1" customWidth="1"/>
    <col min="2" max="2" width="11.42578125" style="659"/>
    <col min="3" max="3" width="13.42578125" style="659" bestFit="1" customWidth="1"/>
    <col min="4" max="4" width="13.42578125" style="659" customWidth="1"/>
    <col min="5" max="5" width="11.140625" style="659" bestFit="1" customWidth="1"/>
    <col min="6" max="6" width="8.28515625" style="659" customWidth="1"/>
    <col min="7" max="8" width="8.7109375" style="659" customWidth="1"/>
    <col min="9" max="9" width="11.42578125" style="660"/>
    <col min="10" max="10" width="10.140625" style="661" customWidth="1"/>
    <col min="11" max="13" width="9" style="659" customWidth="1"/>
    <col min="14" max="16" width="10.85546875" style="659" customWidth="1"/>
    <col min="17" max="17" width="10.85546875" style="661" customWidth="1"/>
    <col min="18" max="19" width="10.85546875" style="659" customWidth="1"/>
    <col min="20" max="20" width="8.5703125" style="659" customWidth="1"/>
    <col min="21" max="21" width="22.7109375" style="659" customWidth="1"/>
    <col min="22" max="22" width="14.7109375" style="659" customWidth="1"/>
    <col min="23" max="23" width="12.5703125" style="2793" customWidth="1"/>
    <col min="24" max="24" width="11.42578125" style="659"/>
    <col min="25" max="30" width="11.42578125" style="2794"/>
    <col min="31" max="241" width="11.42578125" style="659"/>
    <col min="242" max="242" width="14.7109375" style="659" bestFit="1" customWidth="1"/>
    <col min="243" max="243" width="11.42578125" style="659"/>
    <col min="244" max="244" width="13.42578125" style="659" bestFit="1" customWidth="1"/>
    <col min="245" max="245" width="11.140625" style="659" bestFit="1" customWidth="1"/>
    <col min="246" max="246" width="8.28515625" style="659" customWidth="1"/>
    <col min="247" max="247" width="8.7109375" style="659" customWidth="1"/>
    <col min="248" max="248" width="11.42578125" style="659"/>
    <col min="249" max="249" width="7.85546875" style="659" customWidth="1"/>
    <col min="250" max="252" width="9" style="659" customWidth="1"/>
    <col min="253" max="253" width="9.28515625" style="659" customWidth="1"/>
    <col min="254" max="254" width="9.85546875" style="659" bestFit="1" customWidth="1"/>
    <col min="255" max="255" width="9.28515625" style="659" customWidth="1"/>
    <col min="256" max="256" width="9.5703125" style="659" customWidth="1"/>
    <col min="257" max="258" width="9.140625" style="659" bestFit="1" customWidth="1"/>
    <col min="259" max="259" width="8.5703125" style="659" customWidth="1"/>
    <col min="260" max="497" width="11.42578125" style="659"/>
    <col min="498" max="498" width="14.7109375" style="659" bestFit="1" customWidth="1"/>
    <col min="499" max="499" width="11.42578125" style="659"/>
    <col min="500" max="500" width="13.42578125" style="659" bestFit="1" customWidth="1"/>
    <col min="501" max="501" width="11.140625" style="659" bestFit="1" customWidth="1"/>
    <col min="502" max="502" width="8.28515625" style="659" customWidth="1"/>
    <col min="503" max="503" width="8.7109375" style="659" customWidth="1"/>
    <col min="504" max="504" width="11.42578125" style="659"/>
    <col min="505" max="505" width="7.85546875" style="659" customWidth="1"/>
    <col min="506" max="508" width="9" style="659" customWidth="1"/>
    <col min="509" max="509" width="9.28515625" style="659" customWidth="1"/>
    <col min="510" max="510" width="9.85546875" style="659" bestFit="1" customWidth="1"/>
    <col min="511" max="511" width="9.28515625" style="659" customWidth="1"/>
    <col min="512" max="512" width="9.5703125" style="659" customWidth="1"/>
    <col min="513" max="514" width="9.140625" style="659" bestFit="1" customWidth="1"/>
    <col min="515" max="515" width="8.5703125" style="659" customWidth="1"/>
    <col min="516" max="753" width="11.42578125" style="659"/>
    <col min="754" max="754" width="14.7109375" style="659" bestFit="1" customWidth="1"/>
    <col min="755" max="755" width="11.42578125" style="659"/>
    <col min="756" max="756" width="13.42578125" style="659" bestFit="1" customWidth="1"/>
    <col min="757" max="757" width="11.140625" style="659" bestFit="1" customWidth="1"/>
    <col min="758" max="758" width="8.28515625" style="659" customWidth="1"/>
    <col min="759" max="759" width="8.7109375" style="659" customWidth="1"/>
    <col min="760" max="760" width="11.42578125" style="659"/>
    <col min="761" max="761" width="7.85546875" style="659" customWidth="1"/>
    <col min="762" max="764" width="9" style="659" customWidth="1"/>
    <col min="765" max="765" width="9.28515625" style="659" customWidth="1"/>
    <col min="766" max="766" width="9.85546875" style="659" bestFit="1" customWidth="1"/>
    <col min="767" max="767" width="9.28515625" style="659" customWidth="1"/>
    <col min="768" max="768" width="9.5703125" style="659" customWidth="1"/>
    <col min="769" max="770" width="9.140625" style="659" bestFit="1" customWidth="1"/>
    <col min="771" max="771" width="8.5703125" style="659" customWidth="1"/>
    <col min="772" max="1009" width="11.42578125" style="659"/>
    <col min="1010" max="1010" width="14.7109375" style="659" bestFit="1" customWidth="1"/>
    <col min="1011" max="1011" width="11.42578125" style="659"/>
    <col min="1012" max="1012" width="13.42578125" style="659" bestFit="1" customWidth="1"/>
    <col min="1013" max="1013" width="11.140625" style="659" bestFit="1" customWidth="1"/>
    <col min="1014" max="1014" width="8.28515625" style="659" customWidth="1"/>
    <col min="1015" max="1015" width="8.7109375" style="659" customWidth="1"/>
    <col min="1016" max="1016" width="11.42578125" style="659"/>
    <col min="1017" max="1017" width="7.85546875" style="659" customWidth="1"/>
    <col min="1018" max="1020" width="9" style="659" customWidth="1"/>
    <col min="1021" max="1021" width="9.28515625" style="659" customWidth="1"/>
    <col min="1022" max="1022" width="9.85546875" style="659" bestFit="1" customWidth="1"/>
    <col min="1023" max="1023" width="9.28515625" style="659" customWidth="1"/>
    <col min="1024" max="1024" width="9.5703125" style="659" customWidth="1"/>
    <col min="1025" max="1026" width="9.140625" style="659" bestFit="1" customWidth="1"/>
    <col min="1027" max="1027" width="8.5703125" style="659" customWidth="1"/>
    <col min="1028" max="1265" width="11.42578125" style="659"/>
    <col min="1266" max="1266" width="14.7109375" style="659" bestFit="1" customWidth="1"/>
    <col min="1267" max="1267" width="11.42578125" style="659"/>
    <col min="1268" max="1268" width="13.42578125" style="659" bestFit="1" customWidth="1"/>
    <col min="1269" max="1269" width="11.140625" style="659" bestFit="1" customWidth="1"/>
    <col min="1270" max="1270" width="8.28515625" style="659" customWidth="1"/>
    <col min="1271" max="1271" width="8.7109375" style="659" customWidth="1"/>
    <col min="1272" max="1272" width="11.42578125" style="659"/>
    <col min="1273" max="1273" width="7.85546875" style="659" customWidth="1"/>
    <col min="1274" max="1276" width="9" style="659" customWidth="1"/>
    <col min="1277" max="1277" width="9.28515625" style="659" customWidth="1"/>
    <col min="1278" max="1278" width="9.85546875" style="659" bestFit="1" customWidth="1"/>
    <col min="1279" max="1279" width="9.28515625" style="659" customWidth="1"/>
    <col min="1280" max="1280" width="9.5703125" style="659" customWidth="1"/>
    <col min="1281" max="1282" width="9.140625" style="659" bestFit="1" customWidth="1"/>
    <col min="1283" max="1283" width="8.5703125" style="659" customWidth="1"/>
    <col min="1284" max="1521" width="11.42578125" style="659"/>
    <col min="1522" max="1522" width="14.7109375" style="659" bestFit="1" customWidth="1"/>
    <col min="1523" max="1523" width="11.42578125" style="659"/>
    <col min="1524" max="1524" width="13.42578125" style="659" bestFit="1" customWidth="1"/>
    <col min="1525" max="1525" width="11.140625" style="659" bestFit="1" customWidth="1"/>
    <col min="1526" max="1526" width="8.28515625" style="659" customWidth="1"/>
    <col min="1527" max="1527" width="8.7109375" style="659" customWidth="1"/>
    <col min="1528" max="1528" width="11.42578125" style="659"/>
    <col min="1529" max="1529" width="7.85546875" style="659" customWidth="1"/>
    <col min="1530" max="1532" width="9" style="659" customWidth="1"/>
    <col min="1533" max="1533" width="9.28515625" style="659" customWidth="1"/>
    <col min="1534" max="1534" width="9.85546875" style="659" bestFit="1" customWidth="1"/>
    <col min="1535" max="1535" width="9.28515625" style="659" customWidth="1"/>
    <col min="1536" max="1536" width="9.5703125" style="659" customWidth="1"/>
    <col min="1537" max="1538" width="9.140625" style="659" bestFit="1" customWidth="1"/>
    <col min="1539" max="1539" width="8.5703125" style="659" customWidth="1"/>
    <col min="1540" max="1777" width="11.42578125" style="659"/>
    <col min="1778" max="1778" width="14.7109375" style="659" bestFit="1" customWidth="1"/>
    <col min="1779" max="1779" width="11.42578125" style="659"/>
    <col min="1780" max="1780" width="13.42578125" style="659" bestFit="1" customWidth="1"/>
    <col min="1781" max="1781" width="11.140625" style="659" bestFit="1" customWidth="1"/>
    <col min="1782" max="1782" width="8.28515625" style="659" customWidth="1"/>
    <col min="1783" max="1783" width="8.7109375" style="659" customWidth="1"/>
    <col min="1784" max="1784" width="11.42578125" style="659"/>
    <col min="1785" max="1785" width="7.85546875" style="659" customWidth="1"/>
    <col min="1786" max="1788" width="9" style="659" customWidth="1"/>
    <col min="1789" max="1789" width="9.28515625" style="659" customWidth="1"/>
    <col min="1790" max="1790" width="9.85546875" style="659" bestFit="1" customWidth="1"/>
    <col min="1791" max="1791" width="9.28515625" style="659" customWidth="1"/>
    <col min="1792" max="1792" width="9.5703125" style="659" customWidth="1"/>
    <col min="1793" max="1794" width="9.140625" style="659" bestFit="1" customWidth="1"/>
    <col min="1795" max="1795" width="8.5703125" style="659" customWidth="1"/>
    <col min="1796" max="2033" width="11.42578125" style="659"/>
    <col min="2034" max="2034" width="14.7109375" style="659" bestFit="1" customWidth="1"/>
    <col min="2035" max="2035" width="11.42578125" style="659"/>
    <col min="2036" max="2036" width="13.42578125" style="659" bestFit="1" customWidth="1"/>
    <col min="2037" max="2037" width="11.140625" style="659" bestFit="1" customWidth="1"/>
    <col min="2038" max="2038" width="8.28515625" style="659" customWidth="1"/>
    <col min="2039" max="2039" width="8.7109375" style="659" customWidth="1"/>
    <col min="2040" max="2040" width="11.42578125" style="659"/>
    <col min="2041" max="2041" width="7.85546875" style="659" customWidth="1"/>
    <col min="2042" max="2044" width="9" style="659" customWidth="1"/>
    <col min="2045" max="2045" width="9.28515625" style="659" customWidth="1"/>
    <col min="2046" max="2046" width="9.85546875" style="659" bestFit="1" customWidth="1"/>
    <col min="2047" max="2047" width="9.28515625" style="659" customWidth="1"/>
    <col min="2048" max="2048" width="9.5703125" style="659" customWidth="1"/>
    <col min="2049" max="2050" width="9.140625" style="659" bestFit="1" customWidth="1"/>
    <col min="2051" max="2051" width="8.5703125" style="659" customWidth="1"/>
    <col min="2052" max="2289" width="11.42578125" style="659"/>
    <col min="2290" max="2290" width="14.7109375" style="659" bestFit="1" customWidth="1"/>
    <col min="2291" max="2291" width="11.42578125" style="659"/>
    <col min="2292" max="2292" width="13.42578125" style="659" bestFit="1" customWidth="1"/>
    <col min="2293" max="2293" width="11.140625" style="659" bestFit="1" customWidth="1"/>
    <col min="2294" max="2294" width="8.28515625" style="659" customWidth="1"/>
    <col min="2295" max="2295" width="8.7109375" style="659" customWidth="1"/>
    <col min="2296" max="2296" width="11.42578125" style="659"/>
    <col min="2297" max="2297" width="7.85546875" style="659" customWidth="1"/>
    <col min="2298" max="2300" width="9" style="659" customWidth="1"/>
    <col min="2301" max="2301" width="9.28515625" style="659" customWidth="1"/>
    <col min="2302" max="2302" width="9.85546875" style="659" bestFit="1" customWidth="1"/>
    <col min="2303" max="2303" width="9.28515625" style="659" customWidth="1"/>
    <col min="2304" max="2304" width="9.5703125" style="659" customWidth="1"/>
    <col min="2305" max="2306" width="9.140625" style="659" bestFit="1" customWidth="1"/>
    <col min="2307" max="2307" width="8.5703125" style="659" customWidth="1"/>
    <col min="2308" max="2545" width="11.42578125" style="659"/>
    <col min="2546" max="2546" width="14.7109375" style="659" bestFit="1" customWidth="1"/>
    <col min="2547" max="2547" width="11.42578125" style="659"/>
    <col min="2548" max="2548" width="13.42578125" style="659" bestFit="1" customWidth="1"/>
    <col min="2549" max="2549" width="11.140625" style="659" bestFit="1" customWidth="1"/>
    <col min="2550" max="2550" width="8.28515625" style="659" customWidth="1"/>
    <col min="2551" max="2551" width="8.7109375" style="659" customWidth="1"/>
    <col min="2552" max="2552" width="11.42578125" style="659"/>
    <col min="2553" max="2553" width="7.85546875" style="659" customWidth="1"/>
    <col min="2554" max="2556" width="9" style="659" customWidth="1"/>
    <col min="2557" max="2557" width="9.28515625" style="659" customWidth="1"/>
    <col min="2558" max="2558" width="9.85546875" style="659" bestFit="1" customWidth="1"/>
    <col min="2559" max="2559" width="9.28515625" style="659" customWidth="1"/>
    <col min="2560" max="2560" width="9.5703125" style="659" customWidth="1"/>
    <col min="2561" max="2562" width="9.140625" style="659" bestFit="1" customWidth="1"/>
    <col min="2563" max="2563" width="8.5703125" style="659" customWidth="1"/>
    <col min="2564" max="2801" width="11.42578125" style="659"/>
    <col min="2802" max="2802" width="14.7109375" style="659" bestFit="1" customWidth="1"/>
    <col min="2803" max="2803" width="11.42578125" style="659"/>
    <col min="2804" max="2804" width="13.42578125" style="659" bestFit="1" customWidth="1"/>
    <col min="2805" max="2805" width="11.140625" style="659" bestFit="1" customWidth="1"/>
    <col min="2806" max="2806" width="8.28515625" style="659" customWidth="1"/>
    <col min="2807" max="2807" width="8.7109375" style="659" customWidth="1"/>
    <col min="2808" max="2808" width="11.42578125" style="659"/>
    <col min="2809" max="2809" width="7.85546875" style="659" customWidth="1"/>
    <col min="2810" max="2812" width="9" style="659" customWidth="1"/>
    <col min="2813" max="2813" width="9.28515625" style="659" customWidth="1"/>
    <col min="2814" max="2814" width="9.85546875" style="659" bestFit="1" customWidth="1"/>
    <col min="2815" max="2815" width="9.28515625" style="659" customWidth="1"/>
    <col min="2816" max="2816" width="9.5703125" style="659" customWidth="1"/>
    <col min="2817" max="2818" width="9.140625" style="659" bestFit="1" customWidth="1"/>
    <col min="2819" max="2819" width="8.5703125" style="659" customWidth="1"/>
    <col min="2820" max="3057" width="11.42578125" style="659"/>
    <col min="3058" max="3058" width="14.7109375" style="659" bestFit="1" customWidth="1"/>
    <col min="3059" max="3059" width="11.42578125" style="659"/>
    <col min="3060" max="3060" width="13.42578125" style="659" bestFit="1" customWidth="1"/>
    <col min="3061" max="3061" width="11.140625" style="659" bestFit="1" customWidth="1"/>
    <col min="3062" max="3062" width="8.28515625" style="659" customWidth="1"/>
    <col min="3063" max="3063" width="8.7109375" style="659" customWidth="1"/>
    <col min="3064" max="3064" width="11.42578125" style="659"/>
    <col min="3065" max="3065" width="7.85546875" style="659" customWidth="1"/>
    <col min="3066" max="3068" width="9" style="659" customWidth="1"/>
    <col min="3069" max="3069" width="9.28515625" style="659" customWidth="1"/>
    <col min="3070" max="3070" width="9.85546875" style="659" bestFit="1" customWidth="1"/>
    <col min="3071" max="3071" width="9.28515625" style="659" customWidth="1"/>
    <col min="3072" max="3072" width="9.5703125" style="659" customWidth="1"/>
    <col min="3073" max="3074" width="9.140625" style="659" bestFit="1" customWidth="1"/>
    <col min="3075" max="3075" width="8.5703125" style="659" customWidth="1"/>
    <col min="3076" max="3313" width="11.42578125" style="659"/>
    <col min="3314" max="3314" width="14.7109375" style="659" bestFit="1" customWidth="1"/>
    <col min="3315" max="3315" width="11.42578125" style="659"/>
    <col min="3316" max="3316" width="13.42578125" style="659" bestFit="1" customWidth="1"/>
    <col min="3317" max="3317" width="11.140625" style="659" bestFit="1" customWidth="1"/>
    <col min="3318" max="3318" width="8.28515625" style="659" customWidth="1"/>
    <col min="3319" max="3319" width="8.7109375" style="659" customWidth="1"/>
    <col min="3320" max="3320" width="11.42578125" style="659"/>
    <col min="3321" max="3321" width="7.85546875" style="659" customWidth="1"/>
    <col min="3322" max="3324" width="9" style="659" customWidth="1"/>
    <col min="3325" max="3325" width="9.28515625" style="659" customWidth="1"/>
    <col min="3326" max="3326" width="9.85546875" style="659" bestFit="1" customWidth="1"/>
    <col min="3327" max="3327" width="9.28515625" style="659" customWidth="1"/>
    <col min="3328" max="3328" width="9.5703125" style="659" customWidth="1"/>
    <col min="3329" max="3330" width="9.140625" style="659" bestFit="1" customWidth="1"/>
    <col min="3331" max="3331" width="8.5703125" style="659" customWidth="1"/>
    <col min="3332" max="3569" width="11.42578125" style="659"/>
    <col min="3570" max="3570" width="14.7109375" style="659" bestFit="1" customWidth="1"/>
    <col min="3571" max="3571" width="11.42578125" style="659"/>
    <col min="3572" max="3572" width="13.42578125" style="659" bestFit="1" customWidth="1"/>
    <col min="3573" max="3573" width="11.140625" style="659" bestFit="1" customWidth="1"/>
    <col min="3574" max="3574" width="8.28515625" style="659" customWidth="1"/>
    <col min="3575" max="3575" width="8.7109375" style="659" customWidth="1"/>
    <col min="3576" max="3576" width="11.42578125" style="659"/>
    <col min="3577" max="3577" width="7.85546875" style="659" customWidth="1"/>
    <col min="3578" max="3580" width="9" style="659" customWidth="1"/>
    <col min="3581" max="3581" width="9.28515625" style="659" customWidth="1"/>
    <col min="3582" max="3582" width="9.85546875" style="659" bestFit="1" customWidth="1"/>
    <col min="3583" max="3583" width="9.28515625" style="659" customWidth="1"/>
    <col min="3584" max="3584" width="9.5703125" style="659" customWidth="1"/>
    <col min="3585" max="3586" width="9.140625" style="659" bestFit="1" customWidth="1"/>
    <col min="3587" max="3587" width="8.5703125" style="659" customWidth="1"/>
    <col min="3588" max="3825" width="11.42578125" style="659"/>
    <col min="3826" max="3826" width="14.7109375" style="659" bestFit="1" customWidth="1"/>
    <col min="3827" max="3827" width="11.42578125" style="659"/>
    <col min="3828" max="3828" width="13.42578125" style="659" bestFit="1" customWidth="1"/>
    <col min="3829" max="3829" width="11.140625" style="659" bestFit="1" customWidth="1"/>
    <col min="3830" max="3830" width="8.28515625" style="659" customWidth="1"/>
    <col min="3831" max="3831" width="8.7109375" style="659" customWidth="1"/>
    <col min="3832" max="3832" width="11.42578125" style="659"/>
    <col min="3833" max="3833" width="7.85546875" style="659" customWidth="1"/>
    <col min="3834" max="3836" width="9" style="659" customWidth="1"/>
    <col min="3837" max="3837" width="9.28515625" style="659" customWidth="1"/>
    <col min="3838" max="3838" width="9.85546875" style="659" bestFit="1" customWidth="1"/>
    <col min="3839" max="3839" width="9.28515625" style="659" customWidth="1"/>
    <col min="3840" max="3840" width="9.5703125" style="659" customWidth="1"/>
    <col min="3841" max="3842" width="9.140625" style="659" bestFit="1" customWidth="1"/>
    <col min="3843" max="3843" width="8.5703125" style="659" customWidth="1"/>
    <col min="3844" max="4081" width="11.42578125" style="659"/>
    <col min="4082" max="4082" width="14.7109375" style="659" bestFit="1" customWidth="1"/>
    <col min="4083" max="4083" width="11.42578125" style="659"/>
    <col min="4084" max="4084" width="13.42578125" style="659" bestFit="1" customWidth="1"/>
    <col min="4085" max="4085" width="11.140625" style="659" bestFit="1" customWidth="1"/>
    <col min="4086" max="4086" width="8.28515625" style="659" customWidth="1"/>
    <col min="4087" max="4087" width="8.7109375" style="659" customWidth="1"/>
    <col min="4088" max="4088" width="11.42578125" style="659"/>
    <col min="4089" max="4089" width="7.85546875" style="659" customWidth="1"/>
    <col min="4090" max="4092" width="9" style="659" customWidth="1"/>
    <col min="4093" max="4093" width="9.28515625" style="659" customWidth="1"/>
    <col min="4094" max="4094" width="9.85546875" style="659" bestFit="1" customWidth="1"/>
    <col min="4095" max="4095" width="9.28515625" style="659" customWidth="1"/>
    <col min="4096" max="4096" width="9.5703125" style="659" customWidth="1"/>
    <col min="4097" max="4098" width="9.140625" style="659" bestFit="1" customWidth="1"/>
    <col min="4099" max="4099" width="8.5703125" style="659" customWidth="1"/>
    <col min="4100" max="4337" width="11.42578125" style="659"/>
    <col min="4338" max="4338" width="14.7109375" style="659" bestFit="1" customWidth="1"/>
    <col min="4339" max="4339" width="11.42578125" style="659"/>
    <col min="4340" max="4340" width="13.42578125" style="659" bestFit="1" customWidth="1"/>
    <col min="4341" max="4341" width="11.140625" style="659" bestFit="1" customWidth="1"/>
    <col min="4342" max="4342" width="8.28515625" style="659" customWidth="1"/>
    <col min="4343" max="4343" width="8.7109375" style="659" customWidth="1"/>
    <col min="4344" max="4344" width="11.42578125" style="659"/>
    <col min="4345" max="4345" width="7.85546875" style="659" customWidth="1"/>
    <col min="4346" max="4348" width="9" style="659" customWidth="1"/>
    <col min="4349" max="4349" width="9.28515625" style="659" customWidth="1"/>
    <col min="4350" max="4350" width="9.85546875" style="659" bestFit="1" customWidth="1"/>
    <col min="4351" max="4351" width="9.28515625" style="659" customWidth="1"/>
    <col min="4352" max="4352" width="9.5703125" style="659" customWidth="1"/>
    <col min="4353" max="4354" width="9.140625" style="659" bestFit="1" customWidth="1"/>
    <col min="4355" max="4355" width="8.5703125" style="659" customWidth="1"/>
    <col min="4356" max="4593" width="11.42578125" style="659"/>
    <col min="4594" max="4594" width="14.7109375" style="659" bestFit="1" customWidth="1"/>
    <col min="4595" max="4595" width="11.42578125" style="659"/>
    <col min="4596" max="4596" width="13.42578125" style="659" bestFit="1" customWidth="1"/>
    <col min="4597" max="4597" width="11.140625" style="659" bestFit="1" customWidth="1"/>
    <col min="4598" max="4598" width="8.28515625" style="659" customWidth="1"/>
    <col min="4599" max="4599" width="8.7109375" style="659" customWidth="1"/>
    <col min="4600" max="4600" width="11.42578125" style="659"/>
    <col min="4601" max="4601" width="7.85546875" style="659" customWidth="1"/>
    <col min="4602" max="4604" width="9" style="659" customWidth="1"/>
    <col min="4605" max="4605" width="9.28515625" style="659" customWidth="1"/>
    <col min="4606" max="4606" width="9.85546875" style="659" bestFit="1" customWidth="1"/>
    <col min="4607" max="4607" width="9.28515625" style="659" customWidth="1"/>
    <col min="4608" max="4608" width="9.5703125" style="659" customWidth="1"/>
    <col min="4609" max="4610" width="9.140625" style="659" bestFit="1" customWidth="1"/>
    <col min="4611" max="4611" width="8.5703125" style="659" customWidth="1"/>
    <col min="4612" max="4849" width="11.42578125" style="659"/>
    <col min="4850" max="4850" width="14.7109375" style="659" bestFit="1" customWidth="1"/>
    <col min="4851" max="4851" width="11.42578125" style="659"/>
    <col min="4852" max="4852" width="13.42578125" style="659" bestFit="1" customWidth="1"/>
    <col min="4853" max="4853" width="11.140625" style="659" bestFit="1" customWidth="1"/>
    <col min="4854" max="4854" width="8.28515625" style="659" customWidth="1"/>
    <col min="4855" max="4855" width="8.7109375" style="659" customWidth="1"/>
    <col min="4856" max="4856" width="11.42578125" style="659"/>
    <col min="4857" max="4857" width="7.85546875" style="659" customWidth="1"/>
    <col min="4858" max="4860" width="9" style="659" customWidth="1"/>
    <col min="4861" max="4861" width="9.28515625" style="659" customWidth="1"/>
    <col min="4862" max="4862" width="9.85546875" style="659" bestFit="1" customWidth="1"/>
    <col min="4863" max="4863" width="9.28515625" style="659" customWidth="1"/>
    <col min="4864" max="4864" width="9.5703125" style="659" customWidth="1"/>
    <col min="4865" max="4866" width="9.140625" style="659" bestFit="1" customWidth="1"/>
    <col min="4867" max="4867" width="8.5703125" style="659" customWidth="1"/>
    <col min="4868" max="5105" width="11.42578125" style="659"/>
    <col min="5106" max="5106" width="14.7109375" style="659" bestFit="1" customWidth="1"/>
    <col min="5107" max="5107" width="11.42578125" style="659"/>
    <col min="5108" max="5108" width="13.42578125" style="659" bestFit="1" customWidth="1"/>
    <col min="5109" max="5109" width="11.140625" style="659" bestFit="1" customWidth="1"/>
    <col min="5110" max="5110" width="8.28515625" style="659" customWidth="1"/>
    <col min="5111" max="5111" width="8.7109375" style="659" customWidth="1"/>
    <col min="5112" max="5112" width="11.42578125" style="659"/>
    <col min="5113" max="5113" width="7.85546875" style="659" customWidth="1"/>
    <col min="5114" max="5116" width="9" style="659" customWidth="1"/>
    <col min="5117" max="5117" width="9.28515625" style="659" customWidth="1"/>
    <col min="5118" max="5118" width="9.85546875" style="659" bestFit="1" customWidth="1"/>
    <col min="5119" max="5119" width="9.28515625" style="659" customWidth="1"/>
    <col min="5120" max="5120" width="9.5703125" style="659" customWidth="1"/>
    <col min="5121" max="5122" width="9.140625" style="659" bestFit="1" customWidth="1"/>
    <col min="5123" max="5123" width="8.5703125" style="659" customWidth="1"/>
    <col min="5124" max="5361" width="11.42578125" style="659"/>
    <col min="5362" max="5362" width="14.7109375" style="659" bestFit="1" customWidth="1"/>
    <col min="5363" max="5363" width="11.42578125" style="659"/>
    <col min="5364" max="5364" width="13.42578125" style="659" bestFit="1" customWidth="1"/>
    <col min="5365" max="5365" width="11.140625" style="659" bestFit="1" customWidth="1"/>
    <col min="5366" max="5366" width="8.28515625" style="659" customWidth="1"/>
    <col min="5367" max="5367" width="8.7109375" style="659" customWidth="1"/>
    <col min="5368" max="5368" width="11.42578125" style="659"/>
    <col min="5369" max="5369" width="7.85546875" style="659" customWidth="1"/>
    <col min="5370" max="5372" width="9" style="659" customWidth="1"/>
    <col min="5373" max="5373" width="9.28515625" style="659" customWidth="1"/>
    <col min="5374" max="5374" width="9.85546875" style="659" bestFit="1" customWidth="1"/>
    <col min="5375" max="5375" width="9.28515625" style="659" customWidth="1"/>
    <col min="5376" max="5376" width="9.5703125" style="659" customWidth="1"/>
    <col min="5377" max="5378" width="9.140625" style="659" bestFit="1" customWidth="1"/>
    <col min="5379" max="5379" width="8.5703125" style="659" customWidth="1"/>
    <col min="5380" max="5617" width="11.42578125" style="659"/>
    <col min="5618" max="5618" width="14.7109375" style="659" bestFit="1" customWidth="1"/>
    <col min="5619" max="5619" width="11.42578125" style="659"/>
    <col min="5620" max="5620" width="13.42578125" style="659" bestFit="1" customWidth="1"/>
    <col min="5621" max="5621" width="11.140625" style="659" bestFit="1" customWidth="1"/>
    <col min="5622" max="5622" width="8.28515625" style="659" customWidth="1"/>
    <col min="5623" max="5623" width="8.7109375" style="659" customWidth="1"/>
    <col min="5624" max="5624" width="11.42578125" style="659"/>
    <col min="5625" max="5625" width="7.85546875" style="659" customWidth="1"/>
    <col min="5626" max="5628" width="9" style="659" customWidth="1"/>
    <col min="5629" max="5629" width="9.28515625" style="659" customWidth="1"/>
    <col min="5630" max="5630" width="9.85546875" style="659" bestFit="1" customWidth="1"/>
    <col min="5631" max="5631" width="9.28515625" style="659" customWidth="1"/>
    <col min="5632" max="5632" width="9.5703125" style="659" customWidth="1"/>
    <col min="5633" max="5634" width="9.140625" style="659" bestFit="1" customWidth="1"/>
    <col min="5635" max="5635" width="8.5703125" style="659" customWidth="1"/>
    <col min="5636" max="5873" width="11.42578125" style="659"/>
    <col min="5874" max="5874" width="14.7109375" style="659" bestFit="1" customWidth="1"/>
    <col min="5875" max="5875" width="11.42578125" style="659"/>
    <col min="5876" max="5876" width="13.42578125" style="659" bestFit="1" customWidth="1"/>
    <col min="5877" max="5877" width="11.140625" style="659" bestFit="1" customWidth="1"/>
    <col min="5878" max="5878" width="8.28515625" style="659" customWidth="1"/>
    <col min="5879" max="5879" width="8.7109375" style="659" customWidth="1"/>
    <col min="5880" max="5880" width="11.42578125" style="659"/>
    <col min="5881" max="5881" width="7.85546875" style="659" customWidth="1"/>
    <col min="5882" max="5884" width="9" style="659" customWidth="1"/>
    <col min="5885" max="5885" width="9.28515625" style="659" customWidth="1"/>
    <col min="5886" max="5886" width="9.85546875" style="659" bestFit="1" customWidth="1"/>
    <col min="5887" max="5887" width="9.28515625" style="659" customWidth="1"/>
    <col min="5888" max="5888" width="9.5703125" style="659" customWidth="1"/>
    <col min="5889" max="5890" width="9.140625" style="659" bestFit="1" customWidth="1"/>
    <col min="5891" max="5891" width="8.5703125" style="659" customWidth="1"/>
    <col min="5892" max="6129" width="11.42578125" style="659"/>
    <col min="6130" max="6130" width="14.7109375" style="659" bestFit="1" customWidth="1"/>
    <col min="6131" max="6131" width="11.42578125" style="659"/>
    <col min="6132" max="6132" width="13.42578125" style="659" bestFit="1" customWidth="1"/>
    <col min="6133" max="6133" width="11.140625" style="659" bestFit="1" customWidth="1"/>
    <col min="6134" max="6134" width="8.28515625" style="659" customWidth="1"/>
    <col min="6135" max="6135" width="8.7109375" style="659" customWidth="1"/>
    <col min="6136" max="6136" width="11.42578125" style="659"/>
    <col min="6137" max="6137" width="7.85546875" style="659" customWidth="1"/>
    <col min="6138" max="6140" width="9" style="659" customWidth="1"/>
    <col min="6141" max="6141" width="9.28515625" style="659" customWidth="1"/>
    <col min="6142" max="6142" width="9.85546875" style="659" bestFit="1" customWidth="1"/>
    <col min="6143" max="6143" width="9.28515625" style="659" customWidth="1"/>
    <col min="6144" max="6144" width="9.5703125" style="659" customWidth="1"/>
    <col min="6145" max="6146" width="9.140625" style="659" bestFit="1" customWidth="1"/>
    <col min="6147" max="6147" width="8.5703125" style="659" customWidth="1"/>
    <col min="6148" max="6385" width="11.42578125" style="659"/>
    <col min="6386" max="6386" width="14.7109375" style="659" bestFit="1" customWidth="1"/>
    <col min="6387" max="6387" width="11.42578125" style="659"/>
    <col min="6388" max="6388" width="13.42578125" style="659" bestFit="1" customWidth="1"/>
    <col min="6389" max="6389" width="11.140625" style="659" bestFit="1" customWidth="1"/>
    <col min="6390" max="6390" width="8.28515625" style="659" customWidth="1"/>
    <col min="6391" max="6391" width="8.7109375" style="659" customWidth="1"/>
    <col min="6392" max="6392" width="11.42578125" style="659"/>
    <col min="6393" max="6393" width="7.85546875" style="659" customWidth="1"/>
    <col min="6394" max="6396" width="9" style="659" customWidth="1"/>
    <col min="6397" max="6397" width="9.28515625" style="659" customWidth="1"/>
    <col min="6398" max="6398" width="9.85546875" style="659" bestFit="1" customWidth="1"/>
    <col min="6399" max="6399" width="9.28515625" style="659" customWidth="1"/>
    <col min="6400" max="6400" width="9.5703125" style="659" customWidth="1"/>
    <col min="6401" max="6402" width="9.140625" style="659" bestFit="1" customWidth="1"/>
    <col min="6403" max="6403" width="8.5703125" style="659" customWidth="1"/>
    <col min="6404" max="6641" width="11.42578125" style="659"/>
    <col min="6642" max="6642" width="14.7109375" style="659" bestFit="1" customWidth="1"/>
    <col min="6643" max="6643" width="11.42578125" style="659"/>
    <col min="6644" max="6644" width="13.42578125" style="659" bestFit="1" customWidth="1"/>
    <col min="6645" max="6645" width="11.140625" style="659" bestFit="1" customWidth="1"/>
    <col min="6646" max="6646" width="8.28515625" style="659" customWidth="1"/>
    <col min="6647" max="6647" width="8.7109375" style="659" customWidth="1"/>
    <col min="6648" max="6648" width="11.42578125" style="659"/>
    <col min="6649" max="6649" width="7.85546875" style="659" customWidth="1"/>
    <col min="6650" max="6652" width="9" style="659" customWidth="1"/>
    <col min="6653" max="6653" width="9.28515625" style="659" customWidth="1"/>
    <col min="6654" max="6654" width="9.85546875" style="659" bestFit="1" customWidth="1"/>
    <col min="6655" max="6655" width="9.28515625" style="659" customWidth="1"/>
    <col min="6656" max="6656" width="9.5703125" style="659" customWidth="1"/>
    <col min="6657" max="6658" width="9.140625" style="659" bestFit="1" customWidth="1"/>
    <col min="6659" max="6659" width="8.5703125" style="659" customWidth="1"/>
    <col min="6660" max="6897" width="11.42578125" style="659"/>
    <col min="6898" max="6898" width="14.7109375" style="659" bestFit="1" customWidth="1"/>
    <col min="6899" max="6899" width="11.42578125" style="659"/>
    <col min="6900" max="6900" width="13.42578125" style="659" bestFit="1" customWidth="1"/>
    <col min="6901" max="6901" width="11.140625" style="659" bestFit="1" customWidth="1"/>
    <col min="6902" max="6902" width="8.28515625" style="659" customWidth="1"/>
    <col min="6903" max="6903" width="8.7109375" style="659" customWidth="1"/>
    <col min="6904" max="6904" width="11.42578125" style="659"/>
    <col min="6905" max="6905" width="7.85546875" style="659" customWidth="1"/>
    <col min="6906" max="6908" width="9" style="659" customWidth="1"/>
    <col min="6909" max="6909" width="9.28515625" style="659" customWidth="1"/>
    <col min="6910" max="6910" width="9.85546875" style="659" bestFit="1" customWidth="1"/>
    <col min="6911" max="6911" width="9.28515625" style="659" customWidth="1"/>
    <col min="6912" max="6912" width="9.5703125" style="659" customWidth="1"/>
    <col min="6913" max="6914" width="9.140625" style="659" bestFit="1" customWidth="1"/>
    <col min="6915" max="6915" width="8.5703125" style="659" customWidth="1"/>
    <col min="6916" max="7153" width="11.42578125" style="659"/>
    <col min="7154" max="7154" width="14.7109375" style="659" bestFit="1" customWidth="1"/>
    <col min="7155" max="7155" width="11.42578125" style="659"/>
    <col min="7156" max="7156" width="13.42578125" style="659" bestFit="1" customWidth="1"/>
    <col min="7157" max="7157" width="11.140625" style="659" bestFit="1" customWidth="1"/>
    <col min="7158" max="7158" width="8.28515625" style="659" customWidth="1"/>
    <col min="7159" max="7159" width="8.7109375" style="659" customWidth="1"/>
    <col min="7160" max="7160" width="11.42578125" style="659"/>
    <col min="7161" max="7161" width="7.85546875" style="659" customWidth="1"/>
    <col min="7162" max="7164" width="9" style="659" customWidth="1"/>
    <col min="7165" max="7165" width="9.28515625" style="659" customWidth="1"/>
    <col min="7166" max="7166" width="9.85546875" style="659" bestFit="1" customWidth="1"/>
    <col min="7167" max="7167" width="9.28515625" style="659" customWidth="1"/>
    <col min="7168" max="7168" width="9.5703125" style="659" customWidth="1"/>
    <col min="7169" max="7170" width="9.140625" style="659" bestFit="1" customWidth="1"/>
    <col min="7171" max="7171" width="8.5703125" style="659" customWidth="1"/>
    <col min="7172" max="7409" width="11.42578125" style="659"/>
    <col min="7410" max="7410" width="14.7109375" style="659" bestFit="1" customWidth="1"/>
    <col min="7411" max="7411" width="11.42578125" style="659"/>
    <col min="7412" max="7412" width="13.42578125" style="659" bestFit="1" customWidth="1"/>
    <col min="7413" max="7413" width="11.140625" style="659" bestFit="1" customWidth="1"/>
    <col min="7414" max="7414" width="8.28515625" style="659" customWidth="1"/>
    <col min="7415" max="7415" width="8.7109375" style="659" customWidth="1"/>
    <col min="7416" max="7416" width="11.42578125" style="659"/>
    <col min="7417" max="7417" width="7.85546875" style="659" customWidth="1"/>
    <col min="7418" max="7420" width="9" style="659" customWidth="1"/>
    <col min="7421" max="7421" width="9.28515625" style="659" customWidth="1"/>
    <col min="7422" max="7422" width="9.85546875" style="659" bestFit="1" customWidth="1"/>
    <col min="7423" max="7423" width="9.28515625" style="659" customWidth="1"/>
    <col min="7424" max="7424" width="9.5703125" style="659" customWidth="1"/>
    <col min="7425" max="7426" width="9.140625" style="659" bestFit="1" customWidth="1"/>
    <col min="7427" max="7427" width="8.5703125" style="659" customWidth="1"/>
    <col min="7428" max="7665" width="11.42578125" style="659"/>
    <col min="7666" max="7666" width="14.7109375" style="659" bestFit="1" customWidth="1"/>
    <col min="7667" max="7667" width="11.42578125" style="659"/>
    <col min="7668" max="7668" width="13.42578125" style="659" bestFit="1" customWidth="1"/>
    <col min="7669" max="7669" width="11.140625" style="659" bestFit="1" customWidth="1"/>
    <col min="7670" max="7670" width="8.28515625" style="659" customWidth="1"/>
    <col min="7671" max="7671" width="8.7109375" style="659" customWidth="1"/>
    <col min="7672" max="7672" width="11.42578125" style="659"/>
    <col min="7673" max="7673" width="7.85546875" style="659" customWidth="1"/>
    <col min="7674" max="7676" width="9" style="659" customWidth="1"/>
    <col min="7677" max="7677" width="9.28515625" style="659" customWidth="1"/>
    <col min="7678" max="7678" width="9.85546875" style="659" bestFit="1" customWidth="1"/>
    <col min="7679" max="7679" width="9.28515625" style="659" customWidth="1"/>
    <col min="7680" max="7680" width="9.5703125" style="659" customWidth="1"/>
    <col min="7681" max="7682" width="9.140625" style="659" bestFit="1" customWidth="1"/>
    <col min="7683" max="7683" width="8.5703125" style="659" customWidth="1"/>
    <col min="7684" max="7921" width="11.42578125" style="659"/>
    <col min="7922" max="7922" width="14.7109375" style="659" bestFit="1" customWidth="1"/>
    <col min="7923" max="7923" width="11.42578125" style="659"/>
    <col min="7924" max="7924" width="13.42578125" style="659" bestFit="1" customWidth="1"/>
    <col min="7925" max="7925" width="11.140625" style="659" bestFit="1" customWidth="1"/>
    <col min="7926" max="7926" width="8.28515625" style="659" customWidth="1"/>
    <col min="7927" max="7927" width="8.7109375" style="659" customWidth="1"/>
    <col min="7928" max="7928" width="11.42578125" style="659"/>
    <col min="7929" max="7929" width="7.85546875" style="659" customWidth="1"/>
    <col min="7930" max="7932" width="9" style="659" customWidth="1"/>
    <col min="7933" max="7933" width="9.28515625" style="659" customWidth="1"/>
    <col min="7934" max="7934" width="9.85546875" style="659" bestFit="1" customWidth="1"/>
    <col min="7935" max="7935" width="9.28515625" style="659" customWidth="1"/>
    <col min="7936" max="7936" width="9.5703125" style="659" customWidth="1"/>
    <col min="7937" max="7938" width="9.140625" style="659" bestFit="1" customWidth="1"/>
    <col min="7939" max="7939" width="8.5703125" style="659" customWidth="1"/>
    <col min="7940" max="8177" width="11.42578125" style="659"/>
    <col min="8178" max="8178" width="14.7109375" style="659" bestFit="1" customWidth="1"/>
    <col min="8179" max="8179" width="11.42578125" style="659"/>
    <col min="8180" max="8180" width="13.42578125" style="659" bestFit="1" customWidth="1"/>
    <col min="8181" max="8181" width="11.140625" style="659" bestFit="1" customWidth="1"/>
    <col min="8182" max="8182" width="8.28515625" style="659" customWidth="1"/>
    <col min="8183" max="8183" width="8.7109375" style="659" customWidth="1"/>
    <col min="8184" max="8184" width="11.42578125" style="659"/>
    <col min="8185" max="8185" width="7.85546875" style="659" customWidth="1"/>
    <col min="8186" max="8188" width="9" style="659" customWidth="1"/>
    <col min="8189" max="8189" width="9.28515625" style="659" customWidth="1"/>
    <col min="8190" max="8190" width="9.85546875" style="659" bestFit="1" customWidth="1"/>
    <col min="8191" max="8191" width="9.28515625" style="659" customWidth="1"/>
    <col min="8192" max="8192" width="9.5703125" style="659" customWidth="1"/>
    <col min="8193" max="8194" width="9.140625" style="659" bestFit="1" customWidth="1"/>
    <col min="8195" max="8195" width="8.5703125" style="659" customWidth="1"/>
    <col min="8196" max="8433" width="11.42578125" style="659"/>
    <col min="8434" max="8434" width="14.7109375" style="659" bestFit="1" customWidth="1"/>
    <col min="8435" max="8435" width="11.42578125" style="659"/>
    <col min="8436" max="8436" width="13.42578125" style="659" bestFit="1" customWidth="1"/>
    <col min="8437" max="8437" width="11.140625" style="659" bestFit="1" customWidth="1"/>
    <col min="8438" max="8438" width="8.28515625" style="659" customWidth="1"/>
    <col min="8439" max="8439" width="8.7109375" style="659" customWidth="1"/>
    <col min="8440" max="8440" width="11.42578125" style="659"/>
    <col min="8441" max="8441" width="7.85546875" style="659" customWidth="1"/>
    <col min="8442" max="8444" width="9" style="659" customWidth="1"/>
    <col min="8445" max="8445" width="9.28515625" style="659" customWidth="1"/>
    <col min="8446" max="8446" width="9.85546875" style="659" bestFit="1" customWidth="1"/>
    <col min="8447" max="8447" width="9.28515625" style="659" customWidth="1"/>
    <col min="8448" max="8448" width="9.5703125" style="659" customWidth="1"/>
    <col min="8449" max="8450" width="9.140625" style="659" bestFit="1" customWidth="1"/>
    <col min="8451" max="8451" width="8.5703125" style="659" customWidth="1"/>
    <col min="8452" max="8689" width="11.42578125" style="659"/>
    <col min="8690" max="8690" width="14.7109375" style="659" bestFit="1" customWidth="1"/>
    <col min="8691" max="8691" width="11.42578125" style="659"/>
    <col min="8692" max="8692" width="13.42578125" style="659" bestFit="1" customWidth="1"/>
    <col min="8693" max="8693" width="11.140625" style="659" bestFit="1" customWidth="1"/>
    <col min="8694" max="8694" width="8.28515625" style="659" customWidth="1"/>
    <col min="8695" max="8695" width="8.7109375" style="659" customWidth="1"/>
    <col min="8696" max="8696" width="11.42578125" style="659"/>
    <col min="8697" max="8697" width="7.85546875" style="659" customWidth="1"/>
    <col min="8698" max="8700" width="9" style="659" customWidth="1"/>
    <col min="8701" max="8701" width="9.28515625" style="659" customWidth="1"/>
    <col min="8702" max="8702" width="9.85546875" style="659" bestFit="1" customWidth="1"/>
    <col min="8703" max="8703" width="9.28515625" style="659" customWidth="1"/>
    <col min="8704" max="8704" width="9.5703125" style="659" customWidth="1"/>
    <col min="8705" max="8706" width="9.140625" style="659" bestFit="1" customWidth="1"/>
    <col min="8707" max="8707" width="8.5703125" style="659" customWidth="1"/>
    <col min="8708" max="8945" width="11.42578125" style="659"/>
    <col min="8946" max="8946" width="14.7109375" style="659" bestFit="1" customWidth="1"/>
    <col min="8947" max="8947" width="11.42578125" style="659"/>
    <col min="8948" max="8948" width="13.42578125" style="659" bestFit="1" customWidth="1"/>
    <col min="8949" max="8949" width="11.140625" style="659" bestFit="1" customWidth="1"/>
    <col min="8950" max="8950" width="8.28515625" style="659" customWidth="1"/>
    <col min="8951" max="8951" width="8.7109375" style="659" customWidth="1"/>
    <col min="8952" max="8952" width="11.42578125" style="659"/>
    <col min="8953" max="8953" width="7.85546875" style="659" customWidth="1"/>
    <col min="8954" max="8956" width="9" style="659" customWidth="1"/>
    <col min="8957" max="8957" width="9.28515625" style="659" customWidth="1"/>
    <col min="8958" max="8958" width="9.85546875" style="659" bestFit="1" customWidth="1"/>
    <col min="8959" max="8959" width="9.28515625" style="659" customWidth="1"/>
    <col min="8960" max="8960" width="9.5703125" style="659" customWidth="1"/>
    <col min="8961" max="8962" width="9.140625" style="659" bestFit="1" customWidth="1"/>
    <col min="8963" max="8963" width="8.5703125" style="659" customWidth="1"/>
    <col min="8964" max="9201" width="11.42578125" style="659"/>
    <col min="9202" max="9202" width="14.7109375" style="659" bestFit="1" customWidth="1"/>
    <col min="9203" max="9203" width="11.42578125" style="659"/>
    <col min="9204" max="9204" width="13.42578125" style="659" bestFit="1" customWidth="1"/>
    <col min="9205" max="9205" width="11.140625" style="659" bestFit="1" customWidth="1"/>
    <col min="9206" max="9206" width="8.28515625" style="659" customWidth="1"/>
    <col min="9207" max="9207" width="8.7109375" style="659" customWidth="1"/>
    <col min="9208" max="9208" width="11.42578125" style="659"/>
    <col min="9209" max="9209" width="7.85546875" style="659" customWidth="1"/>
    <col min="9210" max="9212" width="9" style="659" customWidth="1"/>
    <col min="9213" max="9213" width="9.28515625" style="659" customWidth="1"/>
    <col min="9214" max="9214" width="9.85546875" style="659" bestFit="1" customWidth="1"/>
    <col min="9215" max="9215" width="9.28515625" style="659" customWidth="1"/>
    <col min="9216" max="9216" width="9.5703125" style="659" customWidth="1"/>
    <col min="9217" max="9218" width="9.140625" style="659" bestFit="1" customWidth="1"/>
    <col min="9219" max="9219" width="8.5703125" style="659" customWidth="1"/>
    <col min="9220" max="9457" width="11.42578125" style="659"/>
    <col min="9458" max="9458" width="14.7109375" style="659" bestFit="1" customWidth="1"/>
    <col min="9459" max="9459" width="11.42578125" style="659"/>
    <col min="9460" max="9460" width="13.42578125" style="659" bestFit="1" customWidth="1"/>
    <col min="9461" max="9461" width="11.140625" style="659" bestFit="1" customWidth="1"/>
    <col min="9462" max="9462" width="8.28515625" style="659" customWidth="1"/>
    <col min="9463" max="9463" width="8.7109375" style="659" customWidth="1"/>
    <col min="9464" max="9464" width="11.42578125" style="659"/>
    <col min="9465" max="9465" width="7.85546875" style="659" customWidth="1"/>
    <col min="9466" max="9468" width="9" style="659" customWidth="1"/>
    <col min="9469" max="9469" width="9.28515625" style="659" customWidth="1"/>
    <col min="9470" max="9470" width="9.85546875" style="659" bestFit="1" customWidth="1"/>
    <col min="9471" max="9471" width="9.28515625" style="659" customWidth="1"/>
    <col min="9472" max="9472" width="9.5703125" style="659" customWidth="1"/>
    <col min="9473" max="9474" width="9.140625" style="659" bestFit="1" customWidth="1"/>
    <col min="9475" max="9475" width="8.5703125" style="659" customWidth="1"/>
    <col min="9476" max="9713" width="11.42578125" style="659"/>
    <col min="9714" max="9714" width="14.7109375" style="659" bestFit="1" customWidth="1"/>
    <col min="9715" max="9715" width="11.42578125" style="659"/>
    <col min="9716" max="9716" width="13.42578125" style="659" bestFit="1" customWidth="1"/>
    <col min="9717" max="9717" width="11.140625" style="659" bestFit="1" customWidth="1"/>
    <col min="9718" max="9718" width="8.28515625" style="659" customWidth="1"/>
    <col min="9719" max="9719" width="8.7109375" style="659" customWidth="1"/>
    <col min="9720" max="9720" width="11.42578125" style="659"/>
    <col min="9721" max="9721" width="7.85546875" style="659" customWidth="1"/>
    <col min="9722" max="9724" width="9" style="659" customWidth="1"/>
    <col min="9725" max="9725" width="9.28515625" style="659" customWidth="1"/>
    <col min="9726" max="9726" width="9.85546875" style="659" bestFit="1" customWidth="1"/>
    <col min="9727" max="9727" width="9.28515625" style="659" customWidth="1"/>
    <col min="9728" max="9728" width="9.5703125" style="659" customWidth="1"/>
    <col min="9729" max="9730" width="9.140625" style="659" bestFit="1" customWidth="1"/>
    <col min="9731" max="9731" width="8.5703125" style="659" customWidth="1"/>
    <col min="9732" max="9969" width="11.42578125" style="659"/>
    <col min="9970" max="9970" width="14.7109375" style="659" bestFit="1" customWidth="1"/>
    <col min="9971" max="9971" width="11.42578125" style="659"/>
    <col min="9972" max="9972" width="13.42578125" style="659" bestFit="1" customWidth="1"/>
    <col min="9973" max="9973" width="11.140625" style="659" bestFit="1" customWidth="1"/>
    <col min="9974" max="9974" width="8.28515625" style="659" customWidth="1"/>
    <col min="9975" max="9975" width="8.7109375" style="659" customWidth="1"/>
    <col min="9976" max="9976" width="11.42578125" style="659"/>
    <col min="9977" max="9977" width="7.85546875" style="659" customWidth="1"/>
    <col min="9978" max="9980" width="9" style="659" customWidth="1"/>
    <col min="9981" max="9981" width="9.28515625" style="659" customWidth="1"/>
    <col min="9982" max="9982" width="9.85546875" style="659" bestFit="1" customWidth="1"/>
    <col min="9983" max="9983" width="9.28515625" style="659" customWidth="1"/>
    <col min="9984" max="9984" width="9.5703125" style="659" customWidth="1"/>
    <col min="9985" max="9986" width="9.140625" style="659" bestFit="1" customWidth="1"/>
    <col min="9987" max="9987" width="8.5703125" style="659" customWidth="1"/>
    <col min="9988" max="10225" width="11.42578125" style="659"/>
    <col min="10226" max="10226" width="14.7109375" style="659" bestFit="1" customWidth="1"/>
    <col min="10227" max="10227" width="11.42578125" style="659"/>
    <col min="10228" max="10228" width="13.42578125" style="659" bestFit="1" customWidth="1"/>
    <col min="10229" max="10229" width="11.140625" style="659" bestFit="1" customWidth="1"/>
    <col min="10230" max="10230" width="8.28515625" style="659" customWidth="1"/>
    <col min="10231" max="10231" width="8.7109375" style="659" customWidth="1"/>
    <col min="10232" max="10232" width="11.42578125" style="659"/>
    <col min="10233" max="10233" width="7.85546875" style="659" customWidth="1"/>
    <col min="10234" max="10236" width="9" style="659" customWidth="1"/>
    <col min="10237" max="10237" width="9.28515625" style="659" customWidth="1"/>
    <col min="10238" max="10238" width="9.85546875" style="659" bestFit="1" customWidth="1"/>
    <col min="10239" max="10239" width="9.28515625" style="659" customWidth="1"/>
    <col min="10240" max="10240" width="9.5703125" style="659" customWidth="1"/>
    <col min="10241" max="10242" width="9.140625" style="659" bestFit="1" customWidth="1"/>
    <col min="10243" max="10243" width="8.5703125" style="659" customWidth="1"/>
    <col min="10244" max="10481" width="11.42578125" style="659"/>
    <col min="10482" max="10482" width="14.7109375" style="659" bestFit="1" customWidth="1"/>
    <col min="10483" max="10483" width="11.42578125" style="659"/>
    <col min="10484" max="10484" width="13.42578125" style="659" bestFit="1" customWidth="1"/>
    <col min="10485" max="10485" width="11.140625" style="659" bestFit="1" customWidth="1"/>
    <col min="10486" max="10486" width="8.28515625" style="659" customWidth="1"/>
    <col min="10487" max="10487" width="8.7109375" style="659" customWidth="1"/>
    <col min="10488" max="10488" width="11.42578125" style="659"/>
    <col min="10489" max="10489" width="7.85546875" style="659" customWidth="1"/>
    <col min="10490" max="10492" width="9" style="659" customWidth="1"/>
    <col min="10493" max="10493" width="9.28515625" style="659" customWidth="1"/>
    <col min="10494" max="10494" width="9.85546875" style="659" bestFit="1" customWidth="1"/>
    <col min="10495" max="10495" width="9.28515625" style="659" customWidth="1"/>
    <col min="10496" max="10496" width="9.5703125" style="659" customWidth="1"/>
    <col min="10497" max="10498" width="9.140625" style="659" bestFit="1" customWidth="1"/>
    <col min="10499" max="10499" width="8.5703125" style="659" customWidth="1"/>
    <col min="10500" max="10737" width="11.42578125" style="659"/>
    <col min="10738" max="10738" width="14.7109375" style="659" bestFit="1" customWidth="1"/>
    <col min="10739" max="10739" width="11.42578125" style="659"/>
    <col min="10740" max="10740" width="13.42578125" style="659" bestFit="1" customWidth="1"/>
    <col min="10741" max="10741" width="11.140625" style="659" bestFit="1" customWidth="1"/>
    <col min="10742" max="10742" width="8.28515625" style="659" customWidth="1"/>
    <col min="10743" max="10743" width="8.7109375" style="659" customWidth="1"/>
    <col min="10744" max="10744" width="11.42578125" style="659"/>
    <col min="10745" max="10745" width="7.85546875" style="659" customWidth="1"/>
    <col min="10746" max="10748" width="9" style="659" customWidth="1"/>
    <col min="10749" max="10749" width="9.28515625" style="659" customWidth="1"/>
    <col min="10750" max="10750" width="9.85546875" style="659" bestFit="1" customWidth="1"/>
    <col min="10751" max="10751" width="9.28515625" style="659" customWidth="1"/>
    <col min="10752" max="10752" width="9.5703125" style="659" customWidth="1"/>
    <col min="10753" max="10754" width="9.140625" style="659" bestFit="1" customWidth="1"/>
    <col min="10755" max="10755" width="8.5703125" style="659" customWidth="1"/>
    <col min="10756" max="10993" width="11.42578125" style="659"/>
    <col min="10994" max="10994" width="14.7109375" style="659" bestFit="1" customWidth="1"/>
    <col min="10995" max="10995" width="11.42578125" style="659"/>
    <col min="10996" max="10996" width="13.42578125" style="659" bestFit="1" customWidth="1"/>
    <col min="10997" max="10997" width="11.140625" style="659" bestFit="1" customWidth="1"/>
    <col min="10998" max="10998" width="8.28515625" style="659" customWidth="1"/>
    <col min="10999" max="10999" width="8.7109375" style="659" customWidth="1"/>
    <col min="11000" max="11000" width="11.42578125" style="659"/>
    <col min="11001" max="11001" width="7.85546875" style="659" customWidth="1"/>
    <col min="11002" max="11004" width="9" style="659" customWidth="1"/>
    <col min="11005" max="11005" width="9.28515625" style="659" customWidth="1"/>
    <col min="11006" max="11006" width="9.85546875" style="659" bestFit="1" customWidth="1"/>
    <col min="11007" max="11007" width="9.28515625" style="659" customWidth="1"/>
    <col min="11008" max="11008" width="9.5703125" style="659" customWidth="1"/>
    <col min="11009" max="11010" width="9.140625" style="659" bestFit="1" customWidth="1"/>
    <col min="11011" max="11011" width="8.5703125" style="659" customWidth="1"/>
    <col min="11012" max="11249" width="11.42578125" style="659"/>
    <col min="11250" max="11250" width="14.7109375" style="659" bestFit="1" customWidth="1"/>
    <col min="11251" max="11251" width="11.42578125" style="659"/>
    <col min="11252" max="11252" width="13.42578125" style="659" bestFit="1" customWidth="1"/>
    <col min="11253" max="11253" width="11.140625" style="659" bestFit="1" customWidth="1"/>
    <col min="11254" max="11254" width="8.28515625" style="659" customWidth="1"/>
    <col min="11255" max="11255" width="8.7109375" style="659" customWidth="1"/>
    <col min="11256" max="11256" width="11.42578125" style="659"/>
    <col min="11257" max="11257" width="7.85546875" style="659" customWidth="1"/>
    <col min="11258" max="11260" width="9" style="659" customWidth="1"/>
    <col min="11261" max="11261" width="9.28515625" style="659" customWidth="1"/>
    <col min="11262" max="11262" width="9.85546875" style="659" bestFit="1" customWidth="1"/>
    <col min="11263" max="11263" width="9.28515625" style="659" customWidth="1"/>
    <col min="11264" max="11264" width="9.5703125" style="659" customWidth="1"/>
    <col min="11265" max="11266" width="9.140625" style="659" bestFit="1" customWidth="1"/>
    <col min="11267" max="11267" width="8.5703125" style="659" customWidth="1"/>
    <col min="11268" max="11505" width="11.42578125" style="659"/>
    <col min="11506" max="11506" width="14.7109375" style="659" bestFit="1" customWidth="1"/>
    <col min="11507" max="11507" width="11.42578125" style="659"/>
    <col min="11508" max="11508" width="13.42578125" style="659" bestFit="1" customWidth="1"/>
    <col min="11509" max="11509" width="11.140625" style="659" bestFit="1" customWidth="1"/>
    <col min="11510" max="11510" width="8.28515625" style="659" customWidth="1"/>
    <col min="11511" max="11511" width="8.7109375" style="659" customWidth="1"/>
    <col min="11512" max="11512" width="11.42578125" style="659"/>
    <col min="11513" max="11513" width="7.85546875" style="659" customWidth="1"/>
    <col min="11514" max="11516" width="9" style="659" customWidth="1"/>
    <col min="11517" max="11517" width="9.28515625" style="659" customWidth="1"/>
    <col min="11518" max="11518" width="9.85546875" style="659" bestFit="1" customWidth="1"/>
    <col min="11519" max="11519" width="9.28515625" style="659" customWidth="1"/>
    <col min="11520" max="11520" width="9.5703125" style="659" customWidth="1"/>
    <col min="11521" max="11522" width="9.140625" style="659" bestFit="1" customWidth="1"/>
    <col min="11523" max="11523" width="8.5703125" style="659" customWidth="1"/>
    <col min="11524" max="11761" width="11.42578125" style="659"/>
    <col min="11762" max="11762" width="14.7109375" style="659" bestFit="1" customWidth="1"/>
    <col min="11763" max="11763" width="11.42578125" style="659"/>
    <col min="11764" max="11764" width="13.42578125" style="659" bestFit="1" customWidth="1"/>
    <col min="11765" max="11765" width="11.140625" style="659" bestFit="1" customWidth="1"/>
    <col min="11766" max="11766" width="8.28515625" style="659" customWidth="1"/>
    <col min="11767" max="11767" width="8.7109375" style="659" customWidth="1"/>
    <col min="11768" max="11768" width="11.42578125" style="659"/>
    <col min="11769" max="11769" width="7.85546875" style="659" customWidth="1"/>
    <col min="11770" max="11772" width="9" style="659" customWidth="1"/>
    <col min="11773" max="11773" width="9.28515625" style="659" customWidth="1"/>
    <col min="11774" max="11774" width="9.85546875" style="659" bestFit="1" customWidth="1"/>
    <col min="11775" max="11775" width="9.28515625" style="659" customWidth="1"/>
    <col min="11776" max="11776" width="9.5703125" style="659" customWidth="1"/>
    <col min="11777" max="11778" width="9.140625" style="659" bestFit="1" customWidth="1"/>
    <col min="11779" max="11779" width="8.5703125" style="659" customWidth="1"/>
    <col min="11780" max="12017" width="11.42578125" style="659"/>
    <col min="12018" max="12018" width="14.7109375" style="659" bestFit="1" customWidth="1"/>
    <col min="12019" max="12019" width="11.42578125" style="659"/>
    <col min="12020" max="12020" width="13.42578125" style="659" bestFit="1" customWidth="1"/>
    <col min="12021" max="12021" width="11.140625" style="659" bestFit="1" customWidth="1"/>
    <col min="12022" max="12022" width="8.28515625" style="659" customWidth="1"/>
    <col min="12023" max="12023" width="8.7109375" style="659" customWidth="1"/>
    <col min="12024" max="12024" width="11.42578125" style="659"/>
    <col min="12025" max="12025" width="7.85546875" style="659" customWidth="1"/>
    <col min="12026" max="12028" width="9" style="659" customWidth="1"/>
    <col min="12029" max="12029" width="9.28515625" style="659" customWidth="1"/>
    <col min="12030" max="12030" width="9.85546875" style="659" bestFit="1" customWidth="1"/>
    <col min="12031" max="12031" width="9.28515625" style="659" customWidth="1"/>
    <col min="12032" max="12032" width="9.5703125" style="659" customWidth="1"/>
    <col min="12033" max="12034" width="9.140625" style="659" bestFit="1" customWidth="1"/>
    <col min="12035" max="12035" width="8.5703125" style="659" customWidth="1"/>
    <col min="12036" max="12273" width="11.42578125" style="659"/>
    <col min="12274" max="12274" width="14.7109375" style="659" bestFit="1" customWidth="1"/>
    <col min="12275" max="12275" width="11.42578125" style="659"/>
    <col min="12276" max="12276" width="13.42578125" style="659" bestFit="1" customWidth="1"/>
    <col min="12277" max="12277" width="11.140625" style="659" bestFit="1" customWidth="1"/>
    <col min="12278" max="12278" width="8.28515625" style="659" customWidth="1"/>
    <col min="12279" max="12279" width="8.7109375" style="659" customWidth="1"/>
    <col min="12280" max="12280" width="11.42578125" style="659"/>
    <col min="12281" max="12281" width="7.85546875" style="659" customWidth="1"/>
    <col min="12282" max="12284" width="9" style="659" customWidth="1"/>
    <col min="12285" max="12285" width="9.28515625" style="659" customWidth="1"/>
    <col min="12286" max="12286" width="9.85546875" style="659" bestFit="1" customWidth="1"/>
    <col min="12287" max="12287" width="9.28515625" style="659" customWidth="1"/>
    <col min="12288" max="12288" width="9.5703125" style="659" customWidth="1"/>
    <col min="12289" max="12290" width="9.140625" style="659" bestFit="1" customWidth="1"/>
    <col min="12291" max="12291" width="8.5703125" style="659" customWidth="1"/>
    <col min="12292" max="12529" width="11.42578125" style="659"/>
    <col min="12530" max="12530" width="14.7109375" style="659" bestFit="1" customWidth="1"/>
    <col min="12531" max="12531" width="11.42578125" style="659"/>
    <col min="12532" max="12532" width="13.42578125" style="659" bestFit="1" customWidth="1"/>
    <col min="12533" max="12533" width="11.140625" style="659" bestFit="1" customWidth="1"/>
    <col min="12534" max="12534" width="8.28515625" style="659" customWidth="1"/>
    <col min="12535" max="12535" width="8.7109375" style="659" customWidth="1"/>
    <col min="12536" max="12536" width="11.42578125" style="659"/>
    <col min="12537" max="12537" width="7.85546875" style="659" customWidth="1"/>
    <col min="12538" max="12540" width="9" style="659" customWidth="1"/>
    <col min="12541" max="12541" width="9.28515625" style="659" customWidth="1"/>
    <col min="12542" max="12542" width="9.85546875" style="659" bestFit="1" customWidth="1"/>
    <col min="12543" max="12543" width="9.28515625" style="659" customWidth="1"/>
    <col min="12544" max="12544" width="9.5703125" style="659" customWidth="1"/>
    <col min="12545" max="12546" width="9.140625" style="659" bestFit="1" customWidth="1"/>
    <col min="12547" max="12547" width="8.5703125" style="659" customWidth="1"/>
    <col min="12548" max="12785" width="11.42578125" style="659"/>
    <col min="12786" max="12786" width="14.7109375" style="659" bestFit="1" customWidth="1"/>
    <col min="12787" max="12787" width="11.42578125" style="659"/>
    <col min="12788" max="12788" width="13.42578125" style="659" bestFit="1" customWidth="1"/>
    <col min="12789" max="12789" width="11.140625" style="659" bestFit="1" customWidth="1"/>
    <col min="12790" max="12790" width="8.28515625" style="659" customWidth="1"/>
    <col min="12791" max="12791" width="8.7109375" style="659" customWidth="1"/>
    <col min="12792" max="12792" width="11.42578125" style="659"/>
    <col min="12793" max="12793" width="7.85546875" style="659" customWidth="1"/>
    <col min="12794" max="12796" width="9" style="659" customWidth="1"/>
    <col min="12797" max="12797" width="9.28515625" style="659" customWidth="1"/>
    <col min="12798" max="12798" width="9.85546875" style="659" bestFit="1" customWidth="1"/>
    <col min="12799" max="12799" width="9.28515625" style="659" customWidth="1"/>
    <col min="12800" max="12800" width="9.5703125" style="659" customWidth="1"/>
    <col min="12801" max="12802" width="9.140625" style="659" bestFit="1" customWidth="1"/>
    <col min="12803" max="12803" width="8.5703125" style="659" customWidth="1"/>
    <col min="12804" max="13041" width="11.42578125" style="659"/>
    <col min="13042" max="13042" width="14.7109375" style="659" bestFit="1" customWidth="1"/>
    <col min="13043" max="13043" width="11.42578125" style="659"/>
    <col min="13044" max="13044" width="13.42578125" style="659" bestFit="1" customWidth="1"/>
    <col min="13045" max="13045" width="11.140625" style="659" bestFit="1" customWidth="1"/>
    <col min="13046" max="13046" width="8.28515625" style="659" customWidth="1"/>
    <col min="13047" max="13047" width="8.7109375" style="659" customWidth="1"/>
    <col min="13048" max="13048" width="11.42578125" style="659"/>
    <col min="13049" max="13049" width="7.85546875" style="659" customWidth="1"/>
    <col min="13050" max="13052" width="9" style="659" customWidth="1"/>
    <col min="13053" max="13053" width="9.28515625" style="659" customWidth="1"/>
    <col min="13054" max="13054" width="9.85546875" style="659" bestFit="1" customWidth="1"/>
    <col min="13055" max="13055" width="9.28515625" style="659" customWidth="1"/>
    <col min="13056" max="13056" width="9.5703125" style="659" customWidth="1"/>
    <col min="13057" max="13058" width="9.140625" style="659" bestFit="1" customWidth="1"/>
    <col min="13059" max="13059" width="8.5703125" style="659" customWidth="1"/>
    <col min="13060" max="13297" width="11.42578125" style="659"/>
    <col min="13298" max="13298" width="14.7109375" style="659" bestFit="1" customWidth="1"/>
    <col min="13299" max="13299" width="11.42578125" style="659"/>
    <col min="13300" max="13300" width="13.42578125" style="659" bestFit="1" customWidth="1"/>
    <col min="13301" max="13301" width="11.140625" style="659" bestFit="1" customWidth="1"/>
    <col min="13302" max="13302" width="8.28515625" style="659" customWidth="1"/>
    <col min="13303" max="13303" width="8.7109375" style="659" customWidth="1"/>
    <col min="13304" max="13304" width="11.42578125" style="659"/>
    <col min="13305" max="13305" width="7.85546875" style="659" customWidth="1"/>
    <col min="13306" max="13308" width="9" style="659" customWidth="1"/>
    <col min="13309" max="13309" width="9.28515625" style="659" customWidth="1"/>
    <col min="13310" max="13310" width="9.85546875" style="659" bestFit="1" customWidth="1"/>
    <col min="13311" max="13311" width="9.28515625" style="659" customWidth="1"/>
    <col min="13312" max="13312" width="9.5703125" style="659" customWidth="1"/>
    <col min="13313" max="13314" width="9.140625" style="659" bestFit="1" customWidth="1"/>
    <col min="13315" max="13315" width="8.5703125" style="659" customWidth="1"/>
    <col min="13316" max="13553" width="11.42578125" style="659"/>
    <col min="13554" max="13554" width="14.7109375" style="659" bestFit="1" customWidth="1"/>
    <col min="13555" max="13555" width="11.42578125" style="659"/>
    <col min="13556" max="13556" width="13.42578125" style="659" bestFit="1" customWidth="1"/>
    <col min="13557" max="13557" width="11.140625" style="659" bestFit="1" customWidth="1"/>
    <col min="13558" max="13558" width="8.28515625" style="659" customWidth="1"/>
    <col min="13559" max="13559" width="8.7109375" style="659" customWidth="1"/>
    <col min="13560" max="13560" width="11.42578125" style="659"/>
    <col min="13561" max="13561" width="7.85546875" style="659" customWidth="1"/>
    <col min="13562" max="13564" width="9" style="659" customWidth="1"/>
    <col min="13565" max="13565" width="9.28515625" style="659" customWidth="1"/>
    <col min="13566" max="13566" width="9.85546875" style="659" bestFit="1" customWidth="1"/>
    <col min="13567" max="13567" width="9.28515625" style="659" customWidth="1"/>
    <col min="13568" max="13568" width="9.5703125" style="659" customWidth="1"/>
    <col min="13569" max="13570" width="9.140625" style="659" bestFit="1" customWidth="1"/>
    <col min="13571" max="13571" width="8.5703125" style="659" customWidth="1"/>
    <col min="13572" max="13809" width="11.42578125" style="659"/>
    <col min="13810" max="13810" width="14.7109375" style="659" bestFit="1" customWidth="1"/>
    <col min="13811" max="13811" width="11.42578125" style="659"/>
    <col min="13812" max="13812" width="13.42578125" style="659" bestFit="1" customWidth="1"/>
    <col min="13813" max="13813" width="11.140625" style="659" bestFit="1" customWidth="1"/>
    <col min="13814" max="13814" width="8.28515625" style="659" customWidth="1"/>
    <col min="13815" max="13815" width="8.7109375" style="659" customWidth="1"/>
    <col min="13816" max="13816" width="11.42578125" style="659"/>
    <col min="13817" max="13817" width="7.85546875" style="659" customWidth="1"/>
    <col min="13818" max="13820" width="9" style="659" customWidth="1"/>
    <col min="13821" max="13821" width="9.28515625" style="659" customWidth="1"/>
    <col min="13822" max="13822" width="9.85546875" style="659" bestFit="1" customWidth="1"/>
    <col min="13823" max="13823" width="9.28515625" style="659" customWidth="1"/>
    <col min="13824" max="13824" width="9.5703125" style="659" customWidth="1"/>
    <col min="13825" max="13826" width="9.140625" style="659" bestFit="1" customWidth="1"/>
    <col min="13827" max="13827" width="8.5703125" style="659" customWidth="1"/>
    <col min="13828" max="14065" width="11.42578125" style="659"/>
    <col min="14066" max="14066" width="14.7109375" style="659" bestFit="1" customWidth="1"/>
    <col min="14067" max="14067" width="11.42578125" style="659"/>
    <col min="14068" max="14068" width="13.42578125" style="659" bestFit="1" customWidth="1"/>
    <col min="14069" max="14069" width="11.140625" style="659" bestFit="1" customWidth="1"/>
    <col min="14070" max="14070" width="8.28515625" style="659" customWidth="1"/>
    <col min="14071" max="14071" width="8.7109375" style="659" customWidth="1"/>
    <col min="14072" max="14072" width="11.42578125" style="659"/>
    <col min="14073" max="14073" width="7.85546875" style="659" customWidth="1"/>
    <col min="14074" max="14076" width="9" style="659" customWidth="1"/>
    <col min="14077" max="14077" width="9.28515625" style="659" customWidth="1"/>
    <col min="14078" max="14078" width="9.85546875" style="659" bestFit="1" customWidth="1"/>
    <col min="14079" max="14079" width="9.28515625" style="659" customWidth="1"/>
    <col min="14080" max="14080" width="9.5703125" style="659" customWidth="1"/>
    <col min="14081" max="14082" width="9.140625" style="659" bestFit="1" customWidth="1"/>
    <col min="14083" max="14083" width="8.5703125" style="659" customWidth="1"/>
    <col min="14084" max="14321" width="11.42578125" style="659"/>
    <col min="14322" max="14322" width="14.7109375" style="659" bestFit="1" customWidth="1"/>
    <col min="14323" max="14323" width="11.42578125" style="659"/>
    <col min="14324" max="14324" width="13.42578125" style="659" bestFit="1" customWidth="1"/>
    <col min="14325" max="14325" width="11.140625" style="659" bestFit="1" customWidth="1"/>
    <col min="14326" max="14326" width="8.28515625" style="659" customWidth="1"/>
    <col min="14327" max="14327" width="8.7109375" style="659" customWidth="1"/>
    <col min="14328" max="14328" width="11.42578125" style="659"/>
    <col min="14329" max="14329" width="7.85546875" style="659" customWidth="1"/>
    <col min="14330" max="14332" width="9" style="659" customWidth="1"/>
    <col min="14333" max="14333" width="9.28515625" style="659" customWidth="1"/>
    <col min="14334" max="14334" width="9.85546875" style="659" bestFit="1" customWidth="1"/>
    <col min="14335" max="14335" width="9.28515625" style="659" customWidth="1"/>
    <col min="14336" max="14336" width="9.5703125" style="659" customWidth="1"/>
    <col min="14337" max="14338" width="9.140625" style="659" bestFit="1" customWidth="1"/>
    <col min="14339" max="14339" width="8.5703125" style="659" customWidth="1"/>
    <col min="14340" max="14577" width="11.42578125" style="659"/>
    <col min="14578" max="14578" width="14.7109375" style="659" bestFit="1" customWidth="1"/>
    <col min="14579" max="14579" width="11.42578125" style="659"/>
    <col min="14580" max="14580" width="13.42578125" style="659" bestFit="1" customWidth="1"/>
    <col min="14581" max="14581" width="11.140625" style="659" bestFit="1" customWidth="1"/>
    <col min="14582" max="14582" width="8.28515625" style="659" customWidth="1"/>
    <col min="14583" max="14583" width="8.7109375" style="659" customWidth="1"/>
    <col min="14584" max="14584" width="11.42578125" style="659"/>
    <col min="14585" max="14585" width="7.85546875" style="659" customWidth="1"/>
    <col min="14586" max="14588" width="9" style="659" customWidth="1"/>
    <col min="14589" max="14589" width="9.28515625" style="659" customWidth="1"/>
    <col min="14590" max="14590" width="9.85546875" style="659" bestFit="1" customWidth="1"/>
    <col min="14591" max="14591" width="9.28515625" style="659" customWidth="1"/>
    <col min="14592" max="14592" width="9.5703125" style="659" customWidth="1"/>
    <col min="14593" max="14594" width="9.140625" style="659" bestFit="1" customWidth="1"/>
    <col min="14595" max="14595" width="8.5703125" style="659" customWidth="1"/>
    <col min="14596" max="14833" width="11.42578125" style="659"/>
    <col min="14834" max="14834" width="14.7109375" style="659" bestFit="1" customWidth="1"/>
    <col min="14835" max="14835" width="11.42578125" style="659"/>
    <col min="14836" max="14836" width="13.42578125" style="659" bestFit="1" customWidth="1"/>
    <col min="14837" max="14837" width="11.140625" style="659" bestFit="1" customWidth="1"/>
    <col min="14838" max="14838" width="8.28515625" style="659" customWidth="1"/>
    <col min="14839" max="14839" width="8.7109375" style="659" customWidth="1"/>
    <col min="14840" max="14840" width="11.42578125" style="659"/>
    <col min="14841" max="14841" width="7.85546875" style="659" customWidth="1"/>
    <col min="14842" max="14844" width="9" style="659" customWidth="1"/>
    <col min="14845" max="14845" width="9.28515625" style="659" customWidth="1"/>
    <col min="14846" max="14846" width="9.85546875" style="659" bestFit="1" customWidth="1"/>
    <col min="14847" max="14847" width="9.28515625" style="659" customWidth="1"/>
    <col min="14848" max="14848" width="9.5703125" style="659" customWidth="1"/>
    <col min="14849" max="14850" width="9.140625" style="659" bestFit="1" customWidth="1"/>
    <col min="14851" max="14851" width="8.5703125" style="659" customWidth="1"/>
    <col min="14852" max="15089" width="11.42578125" style="659"/>
    <col min="15090" max="15090" width="14.7109375" style="659" bestFit="1" customWidth="1"/>
    <col min="15091" max="15091" width="11.42578125" style="659"/>
    <col min="15092" max="15092" width="13.42578125" style="659" bestFit="1" customWidth="1"/>
    <col min="15093" max="15093" width="11.140625" style="659" bestFit="1" customWidth="1"/>
    <col min="15094" max="15094" width="8.28515625" style="659" customWidth="1"/>
    <col min="15095" max="15095" width="8.7109375" style="659" customWidth="1"/>
    <col min="15096" max="15096" width="11.42578125" style="659"/>
    <col min="15097" max="15097" width="7.85546875" style="659" customWidth="1"/>
    <col min="15098" max="15100" width="9" style="659" customWidth="1"/>
    <col min="15101" max="15101" width="9.28515625" style="659" customWidth="1"/>
    <col min="15102" max="15102" width="9.85546875" style="659" bestFit="1" customWidth="1"/>
    <col min="15103" max="15103" width="9.28515625" style="659" customWidth="1"/>
    <col min="15104" max="15104" width="9.5703125" style="659" customWidth="1"/>
    <col min="15105" max="15106" width="9.140625" style="659" bestFit="1" customWidth="1"/>
    <col min="15107" max="15107" width="8.5703125" style="659" customWidth="1"/>
    <col min="15108" max="15345" width="11.42578125" style="659"/>
    <col min="15346" max="15346" width="14.7109375" style="659" bestFit="1" customWidth="1"/>
    <col min="15347" max="15347" width="11.42578125" style="659"/>
    <col min="15348" max="15348" width="13.42578125" style="659" bestFit="1" customWidth="1"/>
    <col min="15349" max="15349" width="11.140625" style="659" bestFit="1" customWidth="1"/>
    <col min="15350" max="15350" width="8.28515625" style="659" customWidth="1"/>
    <col min="15351" max="15351" width="8.7109375" style="659" customWidth="1"/>
    <col min="15352" max="15352" width="11.42578125" style="659"/>
    <col min="15353" max="15353" width="7.85546875" style="659" customWidth="1"/>
    <col min="15354" max="15356" width="9" style="659" customWidth="1"/>
    <col min="15357" max="15357" width="9.28515625" style="659" customWidth="1"/>
    <col min="15358" max="15358" width="9.85546875" style="659" bestFit="1" customWidth="1"/>
    <col min="15359" max="15359" width="9.28515625" style="659" customWidth="1"/>
    <col min="15360" max="15360" width="9.5703125" style="659" customWidth="1"/>
    <col min="15361" max="15362" width="9.140625" style="659" bestFit="1" customWidth="1"/>
    <col min="15363" max="15363" width="8.5703125" style="659" customWidth="1"/>
    <col min="15364" max="15601" width="11.42578125" style="659"/>
    <col min="15602" max="15602" width="14.7109375" style="659" bestFit="1" customWidth="1"/>
    <col min="15603" max="15603" width="11.42578125" style="659"/>
    <col min="15604" max="15604" width="13.42578125" style="659" bestFit="1" customWidth="1"/>
    <col min="15605" max="15605" width="11.140625" style="659" bestFit="1" customWidth="1"/>
    <col min="15606" max="15606" width="8.28515625" style="659" customWidth="1"/>
    <col min="15607" max="15607" width="8.7109375" style="659" customWidth="1"/>
    <col min="15608" max="15608" width="11.42578125" style="659"/>
    <col min="15609" max="15609" width="7.85546875" style="659" customWidth="1"/>
    <col min="15610" max="15612" width="9" style="659" customWidth="1"/>
    <col min="15613" max="15613" width="9.28515625" style="659" customWidth="1"/>
    <col min="15614" max="15614" width="9.85546875" style="659" bestFit="1" customWidth="1"/>
    <col min="15615" max="15615" width="9.28515625" style="659" customWidth="1"/>
    <col min="15616" max="15616" width="9.5703125" style="659" customWidth="1"/>
    <col min="15617" max="15618" width="9.140625" style="659" bestFit="1" customWidth="1"/>
    <col min="15619" max="15619" width="8.5703125" style="659" customWidth="1"/>
    <col min="15620" max="15857" width="11.42578125" style="659"/>
    <col min="15858" max="15858" width="14.7109375" style="659" bestFit="1" customWidth="1"/>
    <col min="15859" max="15859" width="11.42578125" style="659"/>
    <col min="15860" max="15860" width="13.42578125" style="659" bestFit="1" customWidth="1"/>
    <col min="15861" max="15861" width="11.140625" style="659" bestFit="1" customWidth="1"/>
    <col min="15862" max="15862" width="8.28515625" style="659" customWidth="1"/>
    <col min="15863" max="15863" width="8.7109375" style="659" customWidth="1"/>
    <col min="15864" max="15864" width="11.42578125" style="659"/>
    <col min="15865" max="15865" width="7.85546875" style="659" customWidth="1"/>
    <col min="15866" max="15868" width="9" style="659" customWidth="1"/>
    <col min="15869" max="15869" width="9.28515625" style="659" customWidth="1"/>
    <col min="15870" max="15870" width="9.85546875" style="659" bestFit="1" customWidth="1"/>
    <col min="15871" max="15871" width="9.28515625" style="659" customWidth="1"/>
    <col min="15872" max="15872" width="9.5703125" style="659" customWidth="1"/>
    <col min="15873" max="15874" width="9.140625" style="659" bestFit="1" customWidth="1"/>
    <col min="15875" max="15875" width="8.5703125" style="659" customWidth="1"/>
    <col min="15876" max="16113" width="11.42578125" style="659"/>
    <col min="16114" max="16114" width="14.7109375" style="659" bestFit="1" customWidth="1"/>
    <col min="16115" max="16115" width="11.42578125" style="659"/>
    <col min="16116" max="16116" width="13.42578125" style="659" bestFit="1" customWidth="1"/>
    <col min="16117" max="16117" width="11.140625" style="659" bestFit="1" customWidth="1"/>
    <col min="16118" max="16118" width="8.28515625" style="659" customWidth="1"/>
    <col min="16119" max="16119" width="8.7109375" style="659" customWidth="1"/>
    <col min="16120" max="16120" width="11.42578125" style="659"/>
    <col min="16121" max="16121" width="7.85546875" style="659" customWidth="1"/>
    <col min="16122" max="16124" width="9" style="659" customWidth="1"/>
    <col min="16125" max="16125" width="9.28515625" style="659" customWidth="1"/>
    <col min="16126" max="16126" width="9.85546875" style="659" bestFit="1" customWidth="1"/>
    <col min="16127" max="16127" width="9.28515625" style="659" customWidth="1"/>
    <col min="16128" max="16128" width="9.5703125" style="659" customWidth="1"/>
    <col min="16129" max="16130" width="9.140625" style="659" bestFit="1" customWidth="1"/>
    <col min="16131" max="16131" width="8.5703125" style="659" customWidth="1"/>
    <col min="16132" max="16384" width="11.42578125" style="659"/>
  </cols>
  <sheetData>
    <row r="1" spans="1:30" s="2775" customFormat="1" ht="13.5" thickBot="1" x14ac:dyDescent="0.25">
      <c r="J1" s="2776"/>
      <c r="Q1" s="2776"/>
      <c r="W1" s="2777"/>
      <c r="Y1" s="2778"/>
      <c r="Z1" s="2778"/>
      <c r="AA1" s="2778"/>
      <c r="AB1" s="2778"/>
      <c r="AC1" s="2778"/>
      <c r="AD1" s="2778"/>
    </row>
    <row r="2" spans="1:30" s="2775" customFormat="1" ht="16.5" thickBot="1" x14ac:dyDescent="0.3">
      <c r="A2" s="2957" t="s">
        <v>1862</v>
      </c>
      <c r="B2" s="2958"/>
      <c r="C2" s="2958"/>
      <c r="D2" s="2958"/>
      <c r="E2" s="2958"/>
      <c r="F2" s="2958"/>
      <c r="G2" s="2958"/>
      <c r="H2" s="2958"/>
      <c r="I2" s="2958"/>
      <c r="J2" s="2958"/>
      <c r="K2" s="2958"/>
      <c r="L2" s="2958"/>
      <c r="M2" s="2958"/>
      <c r="N2" s="2958"/>
      <c r="O2" s="2958"/>
      <c r="P2" s="2958"/>
      <c r="Q2" s="2958"/>
      <c r="R2" s="2958"/>
      <c r="S2" s="2958"/>
      <c r="T2" s="2959"/>
      <c r="W2" s="2777"/>
      <c r="Y2" s="2778"/>
      <c r="Z2" s="2778"/>
      <c r="AA2" s="2778"/>
      <c r="AB2" s="2778"/>
      <c r="AC2" s="2778"/>
      <c r="AD2" s="2778"/>
    </row>
    <row r="3" spans="1:30" s="2775" customFormat="1" x14ac:dyDescent="0.2">
      <c r="J3" s="2776"/>
      <c r="Q3" s="2776"/>
      <c r="W3" s="2777"/>
      <c r="Y3" s="2778"/>
      <c r="Z3" s="2778"/>
      <c r="AA3" s="2778"/>
      <c r="AB3" s="2778"/>
      <c r="AC3" s="2778"/>
      <c r="AD3" s="2778"/>
    </row>
    <row r="4" spans="1:30" s="2775" customFormat="1" ht="13.5" thickBot="1" x14ac:dyDescent="0.25">
      <c r="J4" s="2776"/>
      <c r="Q4" s="2776"/>
      <c r="W4" s="2777"/>
      <c r="Y4" s="2778"/>
      <c r="Z4" s="2778"/>
      <c r="AA4" s="2778"/>
      <c r="AB4" s="2778"/>
      <c r="AC4" s="2778"/>
      <c r="AD4" s="2778"/>
    </row>
    <row r="5" spans="1:30" s="2775" customFormat="1" ht="16.5" thickBot="1" x14ac:dyDescent="0.3">
      <c r="A5" s="2960" t="s">
        <v>1842</v>
      </c>
      <c r="B5" s="2961"/>
      <c r="C5" s="2961"/>
      <c r="D5" s="2961"/>
      <c r="E5" s="2961"/>
      <c r="F5" s="2961"/>
      <c r="G5" s="2961"/>
      <c r="H5" s="2961"/>
      <c r="I5" s="2961"/>
      <c r="J5" s="2961"/>
      <c r="K5" s="2961"/>
      <c r="L5" s="2961"/>
      <c r="M5" s="2961"/>
      <c r="N5" s="2961"/>
      <c r="O5" s="2961"/>
      <c r="P5" s="2961"/>
      <c r="Q5" s="2961"/>
      <c r="R5" s="2961"/>
      <c r="S5" s="2961"/>
      <c r="T5" s="2962"/>
      <c r="W5" s="2777"/>
      <c r="Y5" s="2778"/>
      <c r="Z5" s="2778"/>
      <c r="AA5" s="2778"/>
      <c r="AB5" s="2778"/>
      <c r="AC5" s="2778"/>
      <c r="AD5" s="2778"/>
    </row>
    <row r="6" spans="1:30" s="2775" customFormat="1" x14ac:dyDescent="0.2">
      <c r="B6" s="2779"/>
      <c r="J6" s="2776"/>
      <c r="Q6" s="2776"/>
      <c r="W6" s="2777"/>
      <c r="Y6" s="2778"/>
      <c r="Z6" s="2778"/>
      <c r="AA6" s="2778"/>
      <c r="AB6" s="2778"/>
      <c r="AC6" s="2778"/>
      <c r="AD6" s="2778"/>
    </row>
    <row r="7" spans="1:30" s="2775" customFormat="1" x14ac:dyDescent="0.2">
      <c r="B7" s="2779"/>
      <c r="J7" s="2776"/>
      <c r="N7" s="2780"/>
      <c r="Q7" s="2776"/>
      <c r="W7" s="2777"/>
      <c r="Y7" s="2778"/>
      <c r="Z7" s="2778"/>
      <c r="AA7" s="2778"/>
      <c r="AB7" s="2778"/>
      <c r="AC7" s="2778"/>
      <c r="AD7" s="2778"/>
    </row>
    <row r="8" spans="1:30" s="2775" customFormat="1" x14ac:dyDescent="0.2">
      <c r="B8" s="2779"/>
      <c r="J8" s="2776"/>
      <c r="N8" s="2780"/>
      <c r="Q8" s="2776"/>
      <c r="W8" s="2777"/>
      <c r="Y8" s="2778"/>
      <c r="Z8" s="2778"/>
      <c r="AA8" s="2778"/>
      <c r="AB8" s="2778"/>
      <c r="AC8" s="2778"/>
      <c r="AD8" s="2778"/>
    </row>
    <row r="9" spans="1:30" s="2775" customFormat="1" x14ac:dyDescent="0.2">
      <c r="B9" s="2779"/>
      <c r="J9" s="2776"/>
      <c r="Q9" s="2776"/>
      <c r="W9" s="2777"/>
      <c r="Y9" s="2778"/>
      <c r="Z9" s="2778"/>
      <c r="AA9" s="2778"/>
      <c r="AB9" s="2778"/>
      <c r="AC9" s="2778"/>
      <c r="AD9" s="2778"/>
    </row>
    <row r="10" spans="1:30" s="2775" customFormat="1" x14ac:dyDescent="0.2">
      <c r="B10" s="2779"/>
      <c r="J10" s="2776"/>
      <c r="Q10" s="2776"/>
      <c r="W10" s="2777"/>
      <c r="Y10" s="2778"/>
      <c r="Z10" s="2778"/>
      <c r="AA10" s="2778"/>
      <c r="AB10" s="2778"/>
      <c r="AC10" s="2778"/>
      <c r="AD10" s="2778"/>
    </row>
    <row r="11" spans="1:30" s="2775" customFormat="1" x14ac:dyDescent="0.2">
      <c r="B11" s="2779"/>
      <c r="J11" s="2776"/>
      <c r="Q11" s="2776"/>
      <c r="W11" s="2777"/>
      <c r="Y11" s="2778"/>
      <c r="Z11" s="2778"/>
      <c r="AA11" s="2778"/>
      <c r="AB11" s="2778"/>
      <c r="AC11" s="2778"/>
      <c r="AD11" s="2778"/>
    </row>
    <row r="12" spans="1:30" s="2775" customFormat="1" x14ac:dyDescent="0.2">
      <c r="B12" s="2779"/>
      <c r="J12" s="2776"/>
      <c r="Q12" s="2776"/>
      <c r="W12" s="2777"/>
      <c r="Y12" s="2778"/>
      <c r="Z12" s="2778"/>
      <c r="AA12" s="2778"/>
      <c r="AB12" s="2778"/>
      <c r="AC12" s="2778"/>
      <c r="AD12" s="2778"/>
    </row>
    <row r="13" spans="1:30" s="2775" customFormat="1" x14ac:dyDescent="0.2">
      <c r="J13" s="2776"/>
      <c r="Q13" s="2776"/>
      <c r="W13" s="2777"/>
      <c r="Y13" s="2778"/>
      <c r="Z13" s="2778"/>
      <c r="AA13" s="2778"/>
      <c r="AB13" s="2778"/>
      <c r="AC13" s="2778"/>
      <c r="AD13" s="2778"/>
    </row>
    <row r="14" spans="1:30" s="2787" customFormat="1" x14ac:dyDescent="0.2">
      <c r="A14" s="2775"/>
      <c r="B14" s="2781"/>
      <c r="C14" s="2781"/>
      <c r="D14" s="2781"/>
      <c r="E14" s="2781"/>
      <c r="F14" s="2782"/>
      <c r="G14" s="2783"/>
      <c r="H14" s="2783"/>
      <c r="I14" s="2784"/>
      <c r="J14" s="2785"/>
      <c r="K14" s="2784"/>
      <c r="L14" s="2784"/>
      <c r="M14" s="2784"/>
      <c r="N14" s="2784"/>
      <c r="O14" s="2784"/>
      <c r="P14" s="2784"/>
      <c r="Q14" s="2785"/>
      <c r="R14" s="2784"/>
      <c r="S14" s="2784"/>
      <c r="T14" s="2786"/>
      <c r="W14" s="2788"/>
      <c r="Y14" s="2789"/>
      <c r="Z14" s="2789"/>
      <c r="AA14" s="2789"/>
      <c r="AB14" s="2789"/>
      <c r="AC14" s="2789"/>
      <c r="AD14" s="2789"/>
    </row>
    <row r="15" spans="1:30" s="2787" customFormat="1" x14ac:dyDescent="0.2">
      <c r="A15" s="2775"/>
      <c r="B15" s="2775"/>
      <c r="C15" s="2775"/>
      <c r="D15" s="2775"/>
      <c r="E15" s="2775"/>
      <c r="F15" s="2790"/>
      <c r="G15" s="2791"/>
      <c r="H15" s="2791"/>
      <c r="I15" s="2786"/>
      <c r="J15" s="2792"/>
      <c r="K15" s="2786"/>
      <c r="L15" s="2786"/>
      <c r="M15" s="2786"/>
      <c r="N15" s="2786"/>
      <c r="O15" s="2786"/>
      <c r="P15" s="2786"/>
      <c r="Q15" s="2792"/>
      <c r="R15" s="2786"/>
      <c r="S15" s="2786"/>
      <c r="T15" s="2786"/>
      <c r="W15" s="2788"/>
      <c r="Y15" s="2789"/>
      <c r="Z15" s="2789"/>
      <c r="AA15" s="2789"/>
      <c r="AB15" s="2789"/>
      <c r="AC15" s="2789"/>
      <c r="AD15" s="2789"/>
    </row>
    <row r="16" spans="1:30" s="2787" customFormat="1" ht="39.75" customHeight="1" x14ac:dyDescent="0.2">
      <c r="B16" s="2963"/>
      <c r="C16" s="2963"/>
      <c r="D16" s="2963"/>
      <c r="E16" s="2963"/>
      <c r="F16" s="2963"/>
      <c r="G16" s="2963"/>
      <c r="H16" s="2963"/>
      <c r="I16" s="2963"/>
      <c r="J16" s="2963"/>
      <c r="K16" s="2963"/>
      <c r="L16" s="2963"/>
      <c r="M16" s="2963"/>
      <c r="N16" s="2963"/>
      <c r="O16" s="2963"/>
      <c r="P16" s="2963"/>
      <c r="Q16" s="2963"/>
      <c r="R16" s="2963"/>
      <c r="S16" s="2963"/>
      <c r="W16" s="2788"/>
      <c r="Y16" s="2789"/>
      <c r="Z16" s="2789"/>
      <c r="AA16" s="2789"/>
      <c r="AB16" s="2789"/>
      <c r="AC16" s="2789"/>
      <c r="AD16" s="2789"/>
    </row>
    <row r="17" spans="1:30" s="2787" customFormat="1" x14ac:dyDescent="0.2">
      <c r="W17" s="2788"/>
      <c r="Y17" s="2789"/>
      <c r="Z17" s="2789"/>
      <c r="AA17" s="2789"/>
      <c r="AB17" s="2789"/>
      <c r="AC17" s="2789"/>
      <c r="AD17" s="2789"/>
    </row>
    <row r="18" spans="1:30" s="2787" customFormat="1" x14ac:dyDescent="0.2">
      <c r="W18" s="2788"/>
      <c r="Y18" s="2789"/>
      <c r="Z18" s="2789"/>
      <c r="AA18" s="2789"/>
      <c r="AB18" s="2789"/>
      <c r="AC18" s="2789"/>
      <c r="AD18" s="2789"/>
    </row>
    <row r="19" spans="1:30" s="2787" customFormat="1" x14ac:dyDescent="0.2">
      <c r="W19" s="2788"/>
      <c r="Y19" s="2789"/>
      <c r="Z19" s="2789"/>
      <c r="AA19" s="2789"/>
      <c r="AB19" s="2789"/>
      <c r="AC19" s="2789"/>
      <c r="AD19" s="2789"/>
    </row>
    <row r="20" spans="1:30" s="2787" customFormat="1" x14ac:dyDescent="0.2">
      <c r="B20" s="2775"/>
      <c r="W20" s="2788"/>
      <c r="Y20" s="2789"/>
      <c r="Z20" s="2789"/>
      <c r="AA20" s="2789"/>
      <c r="AB20" s="2789"/>
      <c r="AC20" s="2789"/>
      <c r="AD20" s="2789"/>
    </row>
    <row r="21" spans="1:30" s="2787" customFormat="1" x14ac:dyDescent="0.2">
      <c r="B21" s="2775"/>
      <c r="W21" s="2788"/>
      <c r="Y21" s="2789"/>
      <c r="Z21" s="2789"/>
      <c r="AA21" s="2789"/>
      <c r="AB21" s="2789"/>
      <c r="AC21" s="2789"/>
      <c r="AD21" s="2789"/>
    </row>
    <row r="22" spans="1:30" s="2775" customFormat="1" ht="13.5" thickBot="1" x14ac:dyDescent="0.25">
      <c r="B22" s="2779"/>
      <c r="J22" s="2776"/>
      <c r="Q22" s="2776"/>
      <c r="W22" s="2777"/>
      <c r="Y22" s="2778"/>
      <c r="Z22" s="2778"/>
      <c r="AA22" s="2778"/>
      <c r="AB22" s="2778"/>
      <c r="AC22" s="2778"/>
      <c r="AD22" s="2778"/>
    </row>
    <row r="23" spans="1:30" ht="16.5" thickBot="1" x14ac:dyDescent="0.3">
      <c r="A23" s="2768" t="s">
        <v>1623</v>
      </c>
      <c r="B23" s="2769"/>
      <c r="C23" s="2769"/>
      <c r="D23" s="2769"/>
      <c r="E23" s="2769"/>
      <c r="F23" s="2769"/>
      <c r="G23" s="2769"/>
      <c r="H23" s="2769"/>
      <c r="I23" s="2769"/>
      <c r="J23" s="2769"/>
      <c r="K23" s="2769"/>
      <c r="L23" s="2769"/>
      <c r="M23" s="2769"/>
      <c r="N23" s="2769"/>
      <c r="O23" s="2769"/>
      <c r="P23" s="2769"/>
      <c r="Q23" s="2769"/>
      <c r="R23" s="2769"/>
      <c r="S23" s="2769"/>
      <c r="T23" s="2770"/>
    </row>
    <row r="24" spans="1:30" ht="13.5" thickBot="1" x14ac:dyDescent="0.25">
      <c r="I24" s="659"/>
      <c r="J24" s="746"/>
      <c r="Q24" s="746"/>
    </row>
    <row r="25" spans="1:30" s="662" customFormat="1" ht="39" thickBot="1" x14ac:dyDescent="0.25">
      <c r="A25" s="2795"/>
      <c r="B25" s="2795"/>
      <c r="C25" s="2796"/>
      <c r="D25" s="2796"/>
      <c r="E25" s="2796"/>
      <c r="F25" s="2796"/>
      <c r="G25" s="2797"/>
      <c r="H25" s="2798" t="s">
        <v>1651</v>
      </c>
      <c r="I25" s="2804" t="s">
        <v>1626</v>
      </c>
      <c r="J25" s="2964"/>
      <c r="K25" s="2965"/>
      <c r="L25" s="2804" t="s">
        <v>1628</v>
      </c>
      <c r="M25" s="2964"/>
      <c r="N25" s="2965"/>
      <c r="O25" s="2804" t="s">
        <v>1652</v>
      </c>
      <c r="P25" s="2964"/>
      <c r="Q25" s="2965"/>
    </row>
    <row r="26" spans="1:30" s="662" customFormat="1" ht="26.25" thickBot="1" x14ac:dyDescent="0.25">
      <c r="A26" s="2795"/>
      <c r="B26" s="2795"/>
      <c r="C26" s="2799" t="s">
        <v>1863</v>
      </c>
      <c r="D26" s="2800" t="s">
        <v>982</v>
      </c>
      <c r="E26" s="2800" t="s">
        <v>981</v>
      </c>
      <c r="F26" s="2801" t="s">
        <v>1624</v>
      </c>
      <c r="G26" s="2802"/>
      <c r="H26" s="2803"/>
      <c r="I26" s="2804"/>
      <c r="J26" s="2805"/>
      <c r="K26" s="668"/>
      <c r="L26" s="670" t="s">
        <v>1918</v>
      </c>
      <c r="M26" s="669" t="s">
        <v>1864</v>
      </c>
      <c r="N26" s="2772" t="s">
        <v>1865</v>
      </c>
      <c r="O26" s="752" t="s">
        <v>1918</v>
      </c>
      <c r="P26" s="751" t="s">
        <v>1864</v>
      </c>
      <c r="Q26" s="665" t="s">
        <v>1865</v>
      </c>
      <c r="R26" s="671"/>
    </row>
    <row r="27" spans="1:30" s="673" customFormat="1" x14ac:dyDescent="0.2">
      <c r="A27" s="2806" t="s">
        <v>1659</v>
      </c>
      <c r="B27" s="2806" t="s">
        <v>326</v>
      </c>
      <c r="C27" s="2807" t="s">
        <v>1</v>
      </c>
      <c r="D27" s="2808" t="s">
        <v>1870</v>
      </c>
      <c r="E27" s="2809" t="s">
        <v>327</v>
      </c>
      <c r="F27" s="2809" t="s">
        <v>328</v>
      </c>
      <c r="G27" s="2810" t="s">
        <v>1112</v>
      </c>
      <c r="H27" s="2811">
        <v>60</v>
      </c>
      <c r="I27" s="2812"/>
      <c r="J27" s="2813"/>
      <c r="K27" s="2814"/>
      <c r="L27" s="2816">
        <v>0.20608333333333334</v>
      </c>
      <c r="M27" s="2815">
        <v>0.14333333333333334</v>
      </c>
      <c r="N27" s="2817">
        <v>0.26883333333333331</v>
      </c>
      <c r="O27" s="2816">
        <v>12.364999999999998</v>
      </c>
      <c r="P27" s="2815">
        <v>8.6</v>
      </c>
      <c r="Q27" s="2817">
        <v>16.13</v>
      </c>
    </row>
    <row r="28" spans="1:30" s="673" customFormat="1" x14ac:dyDescent="0.2">
      <c r="A28" s="2820"/>
      <c r="B28" s="2820"/>
      <c r="C28" s="2821" t="s">
        <v>18</v>
      </c>
      <c r="D28" s="2822" t="s">
        <v>1871</v>
      </c>
      <c r="E28" s="2823" t="s">
        <v>329</v>
      </c>
      <c r="F28" s="2823" t="s">
        <v>328</v>
      </c>
      <c r="G28" s="2824" t="s">
        <v>1112</v>
      </c>
      <c r="H28" s="2825">
        <v>60</v>
      </c>
      <c r="I28" s="2826"/>
      <c r="J28" s="2827"/>
      <c r="K28" s="2828"/>
      <c r="L28" s="2830">
        <v>0.16591666666666666</v>
      </c>
      <c r="M28" s="2829">
        <v>0.115</v>
      </c>
      <c r="N28" s="2831">
        <v>0.21683333333333332</v>
      </c>
      <c r="O28" s="2830">
        <v>9.9550000000000001</v>
      </c>
      <c r="P28" s="2829">
        <v>6.9</v>
      </c>
      <c r="Q28" s="2831">
        <v>13.01</v>
      </c>
    </row>
    <row r="29" spans="1:30" s="673" customFormat="1" x14ac:dyDescent="0.2">
      <c r="A29" s="2820"/>
      <c r="B29" s="2820"/>
      <c r="C29" s="2821" t="s">
        <v>2</v>
      </c>
      <c r="D29" s="2822" t="s">
        <v>1872</v>
      </c>
      <c r="E29" s="2823" t="s">
        <v>330</v>
      </c>
      <c r="F29" s="2823" t="s">
        <v>328</v>
      </c>
      <c r="G29" s="2824" t="s">
        <v>1112</v>
      </c>
      <c r="H29" s="2825">
        <v>60</v>
      </c>
      <c r="I29" s="2826"/>
      <c r="J29" s="2827"/>
      <c r="K29" s="2828"/>
      <c r="L29" s="2830">
        <v>8.1833333333333341E-2</v>
      </c>
      <c r="M29" s="2829">
        <v>7.2000000000000008E-2</v>
      </c>
      <c r="N29" s="2831">
        <v>9.166666666666666E-2</v>
      </c>
      <c r="O29" s="2830">
        <v>4.91</v>
      </c>
      <c r="P29" s="2829">
        <v>4.32</v>
      </c>
      <c r="Q29" s="2831">
        <v>5.5</v>
      </c>
    </row>
    <row r="30" spans="1:30" s="673" customFormat="1" x14ac:dyDescent="0.2">
      <c r="A30" s="2820"/>
      <c r="B30" s="2820"/>
      <c r="C30" s="2821" t="s">
        <v>22</v>
      </c>
      <c r="D30" s="2822" t="s">
        <v>1873</v>
      </c>
      <c r="E30" s="2823" t="s">
        <v>331</v>
      </c>
      <c r="F30" s="2823" t="s">
        <v>328</v>
      </c>
      <c r="G30" s="2824" t="s">
        <v>1112</v>
      </c>
      <c r="H30" s="2825">
        <v>60</v>
      </c>
      <c r="I30" s="2826"/>
      <c r="J30" s="2827"/>
      <c r="K30" s="2828"/>
      <c r="L30" s="2830">
        <v>4.8750000000000002E-2</v>
      </c>
      <c r="M30" s="2829">
        <v>4.3333333333333335E-2</v>
      </c>
      <c r="N30" s="2831">
        <v>5.4166666666666669E-2</v>
      </c>
      <c r="O30" s="2830">
        <v>2.9249999999999998</v>
      </c>
      <c r="P30" s="2829">
        <v>2.6</v>
      </c>
      <c r="Q30" s="2831">
        <v>3.25</v>
      </c>
    </row>
    <row r="31" spans="1:30" s="673" customFormat="1" x14ac:dyDescent="0.2">
      <c r="A31" s="2820"/>
      <c r="B31" s="2820"/>
      <c r="C31" s="2821" t="s">
        <v>3</v>
      </c>
      <c r="D31" s="2822" t="s">
        <v>1874</v>
      </c>
      <c r="E31" s="2823" t="s">
        <v>332</v>
      </c>
      <c r="F31" s="2823" t="s">
        <v>328</v>
      </c>
      <c r="G31" s="2824" t="s">
        <v>1112</v>
      </c>
      <c r="H31" s="2825">
        <v>60</v>
      </c>
      <c r="I31" s="2826"/>
      <c r="J31" s="2827"/>
      <c r="K31" s="2828"/>
      <c r="L31" s="2830">
        <v>0.55000000000000004</v>
      </c>
      <c r="M31" s="2829">
        <v>0.46666666666666667</v>
      </c>
      <c r="N31" s="2831">
        <v>0.6333333333333333</v>
      </c>
      <c r="O31" s="2830">
        <v>33</v>
      </c>
      <c r="P31" s="2829">
        <v>28</v>
      </c>
      <c r="Q31" s="2831">
        <v>38</v>
      </c>
    </row>
    <row r="32" spans="1:30" s="673" customFormat="1" x14ac:dyDescent="0.2">
      <c r="A32" s="2820"/>
      <c r="B32" s="2820"/>
      <c r="C32" s="2821" t="s">
        <v>1866</v>
      </c>
      <c r="D32" s="2822" t="s">
        <v>1875</v>
      </c>
      <c r="E32" s="2823"/>
      <c r="F32" s="2823"/>
      <c r="G32" s="2824" t="s">
        <v>1876</v>
      </c>
      <c r="H32" s="2825">
        <v>60</v>
      </c>
      <c r="I32" s="2826"/>
      <c r="J32" s="2827"/>
      <c r="K32" s="2828"/>
      <c r="L32" s="2830">
        <v>0.25916666666666666</v>
      </c>
      <c r="M32" s="2829">
        <v>0.22666666666666666</v>
      </c>
      <c r="N32" s="2831">
        <v>0.29166666666666669</v>
      </c>
      <c r="O32" s="2830">
        <v>15.55</v>
      </c>
      <c r="P32" s="2829">
        <v>13.6</v>
      </c>
      <c r="Q32" s="2831">
        <v>17.5</v>
      </c>
    </row>
    <row r="33" spans="1:17" s="673" customFormat="1" x14ac:dyDescent="0.2">
      <c r="A33" s="2820"/>
      <c r="B33" s="2820"/>
      <c r="C33" s="2821" t="s">
        <v>596</v>
      </c>
      <c r="D33" s="2822" t="s">
        <v>1877</v>
      </c>
      <c r="E33" s="2823" t="s">
        <v>597</v>
      </c>
      <c r="F33" s="2823" t="s">
        <v>328</v>
      </c>
      <c r="G33" s="2824" t="s">
        <v>1878</v>
      </c>
      <c r="H33" s="2825">
        <v>30</v>
      </c>
      <c r="I33" s="2826"/>
      <c r="J33" s="2827"/>
      <c r="K33" s="2828"/>
      <c r="L33" s="2830">
        <v>0.6333333333333333</v>
      </c>
      <c r="M33" s="2829">
        <v>0.53333333333333333</v>
      </c>
      <c r="N33" s="2831">
        <v>0.73333333333333328</v>
      </c>
      <c r="O33" s="2830">
        <v>19</v>
      </c>
      <c r="P33" s="2829">
        <v>16</v>
      </c>
      <c r="Q33" s="2831">
        <v>22</v>
      </c>
    </row>
    <row r="34" spans="1:17" s="673" customFormat="1" x14ac:dyDescent="0.2">
      <c r="A34" s="2820"/>
      <c r="B34" s="2820"/>
      <c r="C34" s="2821" t="s">
        <v>9</v>
      </c>
      <c r="D34" s="2822" t="s">
        <v>1879</v>
      </c>
      <c r="E34" s="2823" t="s">
        <v>338</v>
      </c>
      <c r="F34" s="2823" t="s">
        <v>328</v>
      </c>
      <c r="G34" s="2824" t="s">
        <v>1112</v>
      </c>
      <c r="H34" s="2825">
        <v>30</v>
      </c>
      <c r="I34" s="2826"/>
      <c r="J34" s="2827"/>
      <c r="K34" s="2828"/>
      <c r="L34" s="2830">
        <v>0.44833333333333336</v>
      </c>
      <c r="M34" s="2829">
        <v>0.44166666666666665</v>
      </c>
      <c r="N34" s="2831">
        <v>0.45500000000000002</v>
      </c>
      <c r="O34" s="2830">
        <v>13.45</v>
      </c>
      <c r="P34" s="2829">
        <v>13.25</v>
      </c>
      <c r="Q34" s="2831">
        <v>13.65</v>
      </c>
    </row>
    <row r="35" spans="1:17" s="673" customFormat="1" x14ac:dyDescent="0.2">
      <c r="A35" s="2832"/>
      <c r="B35" s="2820"/>
      <c r="C35" s="2821" t="s">
        <v>339</v>
      </c>
      <c r="D35" s="2822" t="s">
        <v>1880</v>
      </c>
      <c r="E35" s="2823" t="s">
        <v>340</v>
      </c>
      <c r="F35" s="2823" t="s">
        <v>328</v>
      </c>
      <c r="G35" s="2824" t="s">
        <v>1112</v>
      </c>
      <c r="H35" s="2825">
        <v>30</v>
      </c>
      <c r="I35" s="2826"/>
      <c r="J35" s="2827"/>
      <c r="K35" s="2828"/>
      <c r="L35" s="2830">
        <v>0.39966666666666667</v>
      </c>
      <c r="M35" s="2829">
        <v>0.39966666666666667</v>
      </c>
      <c r="N35" s="2831">
        <v>0.39966666666666667</v>
      </c>
      <c r="O35" s="2830">
        <v>11.99</v>
      </c>
      <c r="P35" s="2829">
        <v>11.99</v>
      </c>
      <c r="Q35" s="2831">
        <v>11.99</v>
      </c>
    </row>
    <row r="36" spans="1:17" s="673" customFormat="1" x14ac:dyDescent="0.2">
      <c r="A36" s="2820"/>
      <c r="B36" s="2820"/>
      <c r="C36" s="2821" t="s">
        <v>121</v>
      </c>
      <c r="D36" s="2822" t="s">
        <v>1881</v>
      </c>
      <c r="E36" s="2823" t="s">
        <v>336</v>
      </c>
      <c r="F36" s="2823" t="s">
        <v>328</v>
      </c>
      <c r="G36" s="2824" t="s">
        <v>1112</v>
      </c>
      <c r="H36" s="2825">
        <v>30</v>
      </c>
      <c r="I36" s="2826"/>
      <c r="J36" s="2827"/>
      <c r="K36" s="2828"/>
      <c r="L36" s="2830">
        <v>0.54066666666666663</v>
      </c>
      <c r="M36" s="2829">
        <v>0.20633333333333334</v>
      </c>
      <c r="N36" s="2831">
        <v>0.875</v>
      </c>
      <c r="O36" s="2830">
        <v>16.22</v>
      </c>
      <c r="P36" s="2829">
        <v>6.19</v>
      </c>
      <c r="Q36" s="2831">
        <v>26.25</v>
      </c>
    </row>
    <row r="37" spans="1:17" s="673" customFormat="1" x14ac:dyDescent="0.2">
      <c r="A37" s="2820"/>
      <c r="B37" s="2833"/>
      <c r="C37" s="2834" t="s">
        <v>228</v>
      </c>
      <c r="D37" s="2835" t="s">
        <v>1882</v>
      </c>
      <c r="E37" s="2836" t="s">
        <v>337</v>
      </c>
      <c r="F37" s="2836" t="s">
        <v>328</v>
      </c>
      <c r="G37" s="2837" t="s">
        <v>1112</v>
      </c>
      <c r="H37" s="2838">
        <v>30</v>
      </c>
      <c r="I37" s="2839"/>
      <c r="J37" s="2840"/>
      <c r="K37" s="2841"/>
      <c r="L37" s="2843">
        <v>0.16766666666666666</v>
      </c>
      <c r="M37" s="2842">
        <v>0.157</v>
      </c>
      <c r="N37" s="2844">
        <v>0.17833333333333332</v>
      </c>
      <c r="O37" s="2843">
        <v>5.0299999999999994</v>
      </c>
      <c r="P37" s="2842">
        <v>4.71</v>
      </c>
      <c r="Q37" s="2844">
        <v>5.35</v>
      </c>
    </row>
    <row r="38" spans="1:17" s="673" customFormat="1" x14ac:dyDescent="0.2">
      <c r="A38" s="2820"/>
      <c r="B38" s="2820" t="s">
        <v>333</v>
      </c>
      <c r="C38" s="2821" t="s">
        <v>32</v>
      </c>
      <c r="D38" s="2822" t="s">
        <v>1883</v>
      </c>
      <c r="E38" s="2823">
        <v>300</v>
      </c>
      <c r="F38" s="2823" t="s">
        <v>328</v>
      </c>
      <c r="G38" s="2824" t="s">
        <v>1112</v>
      </c>
      <c r="H38" s="2825">
        <v>60</v>
      </c>
      <c r="I38" s="2826"/>
      <c r="J38" s="2827"/>
      <c r="K38" s="2828"/>
      <c r="L38" s="2830">
        <v>0.107</v>
      </c>
      <c r="M38" s="2829">
        <v>0.10149999999999999</v>
      </c>
      <c r="N38" s="2831">
        <v>0.1125</v>
      </c>
      <c r="O38" s="2830">
        <v>6.42</v>
      </c>
      <c r="P38" s="2829">
        <v>6.09</v>
      </c>
      <c r="Q38" s="2831">
        <v>6.75</v>
      </c>
    </row>
    <row r="39" spans="1:17" s="673" customFormat="1" x14ac:dyDescent="0.2">
      <c r="A39" s="2820"/>
      <c r="B39" s="2820"/>
      <c r="C39" s="2821" t="s">
        <v>82</v>
      </c>
      <c r="D39" s="2822" t="s">
        <v>1884</v>
      </c>
      <c r="E39" s="2823">
        <v>30</v>
      </c>
      <c r="F39" s="2823" t="s">
        <v>328</v>
      </c>
      <c r="G39" s="2824" t="s">
        <v>1885</v>
      </c>
      <c r="H39" s="2825">
        <v>60</v>
      </c>
      <c r="I39" s="2826"/>
      <c r="J39" s="2827"/>
      <c r="K39" s="2828"/>
      <c r="L39" s="2830">
        <v>2.6083333333333333E-2</v>
      </c>
      <c r="M39" s="2829">
        <v>2.3333333333333331E-2</v>
      </c>
      <c r="N39" s="2831">
        <v>2.8833333333333332E-2</v>
      </c>
      <c r="O39" s="2830">
        <v>1.5649999999999999</v>
      </c>
      <c r="P39" s="2829">
        <v>1.4</v>
      </c>
      <c r="Q39" s="2831">
        <v>1.73</v>
      </c>
    </row>
    <row r="40" spans="1:17" s="673" customFormat="1" x14ac:dyDescent="0.2">
      <c r="A40" s="2820"/>
      <c r="B40" s="2820"/>
      <c r="C40" s="2821" t="s">
        <v>34</v>
      </c>
      <c r="D40" s="2822" t="s">
        <v>1886</v>
      </c>
      <c r="E40" s="2823">
        <v>150</v>
      </c>
      <c r="F40" s="2823" t="s">
        <v>328</v>
      </c>
      <c r="G40" s="2824" t="s">
        <v>1112</v>
      </c>
      <c r="H40" s="2825">
        <v>60</v>
      </c>
      <c r="I40" s="2826"/>
      <c r="J40" s="2827"/>
      <c r="K40" s="2828"/>
      <c r="L40" s="2830">
        <v>3.7749999999999999E-2</v>
      </c>
      <c r="M40" s="2829">
        <v>3.2166666666666663E-2</v>
      </c>
      <c r="N40" s="2831">
        <v>4.3333333333333335E-2</v>
      </c>
      <c r="O40" s="2830">
        <v>2.2650000000000001</v>
      </c>
      <c r="P40" s="2829">
        <v>1.93</v>
      </c>
      <c r="Q40" s="2831">
        <v>2.6</v>
      </c>
    </row>
    <row r="41" spans="1:17" s="673" customFormat="1" x14ac:dyDescent="0.2">
      <c r="A41" s="2820"/>
      <c r="B41" s="2820"/>
      <c r="C41" s="2821" t="s">
        <v>34</v>
      </c>
      <c r="D41" s="2822" t="s">
        <v>1886</v>
      </c>
      <c r="E41" s="2823">
        <v>300</v>
      </c>
      <c r="F41" s="2823" t="s">
        <v>328</v>
      </c>
      <c r="G41" s="2824" t="s">
        <v>1112</v>
      </c>
      <c r="H41" s="2825">
        <v>30</v>
      </c>
      <c r="I41" s="2826"/>
      <c r="J41" s="2827"/>
      <c r="K41" s="2828"/>
      <c r="L41" s="2830">
        <v>8.7999999999999995E-2</v>
      </c>
      <c r="M41" s="2829">
        <v>6.5000000000000002E-2</v>
      </c>
      <c r="N41" s="2831">
        <v>0.111</v>
      </c>
      <c r="O41" s="2830">
        <v>2.64</v>
      </c>
      <c r="P41" s="2829">
        <v>1.95</v>
      </c>
      <c r="Q41" s="2831">
        <v>3.33</v>
      </c>
    </row>
    <row r="42" spans="1:17" s="673" customFormat="1" x14ac:dyDescent="0.2">
      <c r="A42" s="2820"/>
      <c r="B42" s="2820"/>
      <c r="C42" s="2821" t="s">
        <v>40</v>
      </c>
      <c r="D42" s="2822" t="s">
        <v>1888</v>
      </c>
      <c r="E42" s="2823">
        <v>300</v>
      </c>
      <c r="F42" s="2823" t="s">
        <v>328</v>
      </c>
      <c r="G42" s="2824" t="s">
        <v>1112</v>
      </c>
      <c r="H42" s="2825">
        <v>30</v>
      </c>
      <c r="I42" s="2826"/>
      <c r="J42" s="2827"/>
      <c r="K42" s="2828"/>
      <c r="L42" s="2830">
        <v>0.35</v>
      </c>
      <c r="M42" s="2829">
        <v>0.13333333333333333</v>
      </c>
      <c r="N42" s="2831">
        <v>0.56666666666666665</v>
      </c>
      <c r="O42" s="2830">
        <v>10.5</v>
      </c>
      <c r="P42" s="2829">
        <v>4</v>
      </c>
      <c r="Q42" s="2831">
        <v>17</v>
      </c>
    </row>
    <row r="43" spans="1:17" s="673" customFormat="1" x14ac:dyDescent="0.2">
      <c r="A43" s="2820"/>
      <c r="B43" s="2820"/>
      <c r="C43" s="2821" t="s">
        <v>29</v>
      </c>
      <c r="D43" s="2822" t="s">
        <v>1889</v>
      </c>
      <c r="E43" s="2823">
        <v>200</v>
      </c>
      <c r="F43" s="2823" t="s">
        <v>328</v>
      </c>
      <c r="G43" s="2824" t="s">
        <v>1112</v>
      </c>
      <c r="H43" s="2825">
        <v>60</v>
      </c>
      <c r="I43" s="2826"/>
      <c r="J43" s="2827"/>
      <c r="K43" s="2828"/>
      <c r="L43" s="2830">
        <v>4.5416666666666668E-2</v>
      </c>
      <c r="M43" s="2829">
        <v>3.7499999999999999E-2</v>
      </c>
      <c r="N43" s="2831">
        <v>5.3333333333333337E-2</v>
      </c>
      <c r="O43" s="2830">
        <v>2.7250000000000001</v>
      </c>
      <c r="P43" s="2829">
        <v>2.25</v>
      </c>
      <c r="Q43" s="2831">
        <v>3.2</v>
      </c>
    </row>
    <row r="44" spans="1:17" s="673" customFormat="1" x14ac:dyDescent="0.2">
      <c r="A44" s="2820"/>
      <c r="B44" s="2820"/>
      <c r="C44" s="2821" t="s">
        <v>27</v>
      </c>
      <c r="D44" s="2822" t="s">
        <v>1891</v>
      </c>
      <c r="E44" s="2823">
        <v>200</v>
      </c>
      <c r="F44" s="2823" t="s">
        <v>328</v>
      </c>
      <c r="G44" s="2824" t="s">
        <v>1112</v>
      </c>
      <c r="H44" s="2825">
        <v>90</v>
      </c>
      <c r="I44" s="2826"/>
      <c r="J44" s="2827"/>
      <c r="K44" s="2828"/>
      <c r="L44" s="2830">
        <v>8.2222222222222224E-2</v>
      </c>
      <c r="M44" s="2829">
        <v>8.1111111111111106E-2</v>
      </c>
      <c r="N44" s="2831">
        <v>8.3333333333333329E-2</v>
      </c>
      <c r="O44" s="2830">
        <v>7.4</v>
      </c>
      <c r="P44" s="2829">
        <v>7.3</v>
      </c>
      <c r="Q44" s="2831">
        <v>7.5</v>
      </c>
    </row>
    <row r="45" spans="1:17" s="673" customFormat="1" ht="13.5" thickBot="1" x14ac:dyDescent="0.25">
      <c r="A45" s="2845"/>
      <c r="B45" s="2845"/>
      <c r="C45" s="2846" t="s">
        <v>27</v>
      </c>
      <c r="D45" s="2847" t="s">
        <v>1891</v>
      </c>
      <c r="E45" s="2848">
        <v>600</v>
      </c>
      <c r="F45" s="2848" t="s">
        <v>328</v>
      </c>
      <c r="G45" s="2849" t="s">
        <v>1112</v>
      </c>
      <c r="H45" s="2850">
        <v>30</v>
      </c>
      <c r="I45" s="2851"/>
      <c r="J45" s="2852"/>
      <c r="K45" s="2853"/>
      <c r="L45" s="2855">
        <v>0.21466666666666664</v>
      </c>
      <c r="M45" s="2854">
        <v>0.109</v>
      </c>
      <c r="N45" s="2856">
        <v>0.3203333333333333</v>
      </c>
      <c r="O45" s="2855">
        <v>6.4399999999999995</v>
      </c>
      <c r="P45" s="2854">
        <v>3.27</v>
      </c>
      <c r="Q45" s="2856">
        <v>9.61</v>
      </c>
    </row>
    <row r="46" spans="1:17" s="673" customFormat="1" x14ac:dyDescent="0.2">
      <c r="A46" s="2806" t="s">
        <v>1658</v>
      </c>
      <c r="B46" s="2806" t="s">
        <v>31</v>
      </c>
      <c r="C46" s="2807" t="s">
        <v>36</v>
      </c>
      <c r="D46" s="2808" t="s">
        <v>1892</v>
      </c>
      <c r="E46" s="2809">
        <v>300</v>
      </c>
      <c r="F46" s="2809" t="s">
        <v>328</v>
      </c>
      <c r="G46" s="2810" t="s">
        <v>1112</v>
      </c>
      <c r="H46" s="2811">
        <v>60</v>
      </c>
      <c r="I46" s="2812"/>
      <c r="J46" s="2813"/>
      <c r="K46" s="2814"/>
      <c r="L46" s="2816">
        <v>0.27908333333333335</v>
      </c>
      <c r="M46" s="2815">
        <v>0.20816666666666667</v>
      </c>
      <c r="N46" s="2817">
        <v>0.35</v>
      </c>
      <c r="O46" s="2816">
        <v>16.745000000000001</v>
      </c>
      <c r="P46" s="2815">
        <v>12.49</v>
      </c>
      <c r="Q46" s="2817">
        <v>21</v>
      </c>
    </row>
    <row r="47" spans="1:17" s="673" customFormat="1" x14ac:dyDescent="0.2">
      <c r="A47" s="2832"/>
      <c r="B47" s="2832"/>
      <c r="C47" s="2973"/>
      <c r="D47" s="2974" t="s">
        <v>1893</v>
      </c>
      <c r="E47" s="2861"/>
      <c r="F47" s="2861"/>
      <c r="G47" s="2975" t="s">
        <v>1894</v>
      </c>
      <c r="H47" s="2976">
        <v>30</v>
      </c>
      <c r="I47" s="2916"/>
      <c r="J47" s="2917"/>
      <c r="K47" s="2918"/>
      <c r="L47" s="2866">
        <v>0.16666666666666666</v>
      </c>
      <c r="M47" s="2865">
        <v>0.16666666666666666</v>
      </c>
      <c r="N47" s="2867">
        <v>0.16666666666666666</v>
      </c>
      <c r="O47" s="2866">
        <v>5</v>
      </c>
      <c r="P47" s="2865">
        <v>5</v>
      </c>
      <c r="Q47" s="2867">
        <v>5</v>
      </c>
    </row>
    <row r="48" spans="1:17" s="673" customFormat="1" x14ac:dyDescent="0.2">
      <c r="A48" s="2820"/>
      <c r="B48" s="2820"/>
      <c r="C48" s="2821" t="s">
        <v>37</v>
      </c>
      <c r="D48" s="2822" t="s">
        <v>1895</v>
      </c>
      <c r="E48" s="2823">
        <v>100</v>
      </c>
      <c r="F48" s="2823" t="s">
        <v>328</v>
      </c>
      <c r="G48" s="2824" t="s">
        <v>1112</v>
      </c>
      <c r="H48" s="2825">
        <v>30</v>
      </c>
      <c r="I48" s="2857"/>
      <c r="J48" s="2858"/>
      <c r="K48" s="2859"/>
      <c r="L48" s="2830">
        <v>0.12333333333333334</v>
      </c>
      <c r="M48" s="2829">
        <v>0.12333333333333334</v>
      </c>
      <c r="N48" s="2831">
        <v>0.12333333333333334</v>
      </c>
      <c r="O48" s="2830">
        <v>7.4</v>
      </c>
      <c r="P48" s="2829">
        <v>7.4</v>
      </c>
      <c r="Q48" s="2831">
        <v>7.4</v>
      </c>
    </row>
    <row r="49" spans="1:18" s="673" customFormat="1" x14ac:dyDescent="0.2">
      <c r="A49" s="2820"/>
      <c r="B49" s="2820"/>
      <c r="C49" s="2821" t="s">
        <v>37</v>
      </c>
      <c r="D49" s="2822" t="s">
        <v>1895</v>
      </c>
      <c r="E49" s="2823">
        <v>200</v>
      </c>
      <c r="F49" s="2823" t="s">
        <v>328</v>
      </c>
      <c r="G49" s="2824" t="s">
        <v>1897</v>
      </c>
      <c r="H49" s="2825">
        <v>30</v>
      </c>
      <c r="I49" s="2826"/>
      <c r="J49" s="2827"/>
      <c r="K49" s="2828"/>
      <c r="L49" s="2830">
        <v>0.42033333333333334</v>
      </c>
      <c r="M49" s="2829">
        <v>0.36666666666666664</v>
      </c>
      <c r="N49" s="2831">
        <v>0.47400000000000003</v>
      </c>
      <c r="O49" s="2830">
        <v>12.61</v>
      </c>
      <c r="P49" s="2829">
        <v>11</v>
      </c>
      <c r="Q49" s="2831">
        <v>14.22</v>
      </c>
    </row>
    <row r="50" spans="1:18" s="673" customFormat="1" x14ac:dyDescent="0.2">
      <c r="A50" s="2820"/>
      <c r="B50" s="2820"/>
      <c r="C50" s="2821" t="s">
        <v>37</v>
      </c>
      <c r="D50" s="2822" t="s">
        <v>1895</v>
      </c>
      <c r="E50" s="2823">
        <v>250</v>
      </c>
      <c r="F50" s="2823" t="s">
        <v>328</v>
      </c>
      <c r="G50" s="2824" t="s">
        <v>1897</v>
      </c>
      <c r="H50" s="2825">
        <v>30</v>
      </c>
      <c r="I50" s="2826"/>
      <c r="J50" s="2827"/>
      <c r="K50" s="2828"/>
      <c r="L50" s="2830">
        <v>0.45233333333333337</v>
      </c>
      <c r="M50" s="2829">
        <v>0.43333333333333335</v>
      </c>
      <c r="N50" s="2831">
        <v>0.47133333333333333</v>
      </c>
      <c r="O50" s="2830">
        <v>13.57</v>
      </c>
      <c r="P50" s="2829">
        <v>13</v>
      </c>
      <c r="Q50" s="2831">
        <v>14.14</v>
      </c>
    </row>
    <row r="51" spans="1:18" s="673" customFormat="1" x14ac:dyDescent="0.2">
      <c r="A51" s="2820"/>
      <c r="B51" s="2833"/>
      <c r="C51" s="2834" t="s">
        <v>37</v>
      </c>
      <c r="D51" s="2835" t="s">
        <v>1895</v>
      </c>
      <c r="E51" s="2836">
        <v>400</v>
      </c>
      <c r="F51" s="2836" t="s">
        <v>328</v>
      </c>
      <c r="G51" s="2837" t="s">
        <v>1897</v>
      </c>
      <c r="H51" s="2838">
        <v>30</v>
      </c>
      <c r="I51" s="2839"/>
      <c r="J51" s="2840"/>
      <c r="K51" s="2841"/>
      <c r="L51" s="2843">
        <v>0.69966666666666666</v>
      </c>
      <c r="M51" s="2842">
        <v>0.66666666666666663</v>
      </c>
      <c r="N51" s="2844">
        <v>0.73266666666666669</v>
      </c>
      <c r="O51" s="2843">
        <v>20.990000000000002</v>
      </c>
      <c r="P51" s="2842">
        <v>20</v>
      </c>
      <c r="Q51" s="2844">
        <v>21.98</v>
      </c>
    </row>
    <row r="52" spans="1:18" s="673" customFormat="1" x14ac:dyDescent="0.2">
      <c r="A52" s="2832"/>
      <c r="B52" s="2820" t="s">
        <v>41</v>
      </c>
      <c r="C52" s="2821" t="s">
        <v>44</v>
      </c>
      <c r="D52" s="2822"/>
      <c r="E52" s="2823">
        <v>200</v>
      </c>
      <c r="F52" s="2823" t="s">
        <v>328</v>
      </c>
      <c r="G52" s="2824"/>
      <c r="H52" s="2825">
        <v>360</v>
      </c>
      <c r="I52" s="2826"/>
      <c r="J52" s="2827"/>
      <c r="K52" s="2828"/>
      <c r="L52" s="2830"/>
      <c r="M52" s="2829"/>
      <c r="N52" s="2831"/>
      <c r="O52" s="2830"/>
      <c r="P52" s="2829"/>
      <c r="Q52" s="2831"/>
    </row>
    <row r="53" spans="1:18" s="673" customFormat="1" x14ac:dyDescent="0.2">
      <c r="A53" s="2832"/>
      <c r="B53" s="2820"/>
      <c r="C53" s="2821" t="s">
        <v>44</v>
      </c>
      <c r="D53" s="2822"/>
      <c r="E53" s="2823">
        <v>400</v>
      </c>
      <c r="F53" s="2823" t="s">
        <v>328</v>
      </c>
      <c r="G53" s="2824"/>
      <c r="H53" s="2825">
        <v>180</v>
      </c>
      <c r="I53" s="2826"/>
      <c r="J53" s="2827"/>
      <c r="K53" s="2828"/>
      <c r="L53" s="2830">
        <v>0.27808219178082194</v>
      </c>
      <c r="M53" s="2829">
        <v>0.27808219178082194</v>
      </c>
      <c r="N53" s="2831">
        <v>0.31986301369863013</v>
      </c>
      <c r="O53" s="2830">
        <v>50.054794520547951</v>
      </c>
      <c r="P53" s="2829">
        <v>50.054794520547951</v>
      </c>
      <c r="Q53" s="2831">
        <v>57.575342465753423</v>
      </c>
      <c r="R53" s="716" t="s">
        <v>1919</v>
      </c>
    </row>
    <row r="54" spans="1:18" s="673" customFormat="1" x14ac:dyDescent="0.2">
      <c r="A54" s="2820"/>
      <c r="B54" s="2820"/>
      <c r="C54" s="2821" t="s">
        <v>42</v>
      </c>
      <c r="D54" s="2822" t="s">
        <v>1898</v>
      </c>
      <c r="E54" s="2823" t="s">
        <v>341</v>
      </c>
      <c r="F54" s="2823" t="s">
        <v>328</v>
      </c>
      <c r="G54" s="2824" t="s">
        <v>1112</v>
      </c>
      <c r="H54" s="2825">
        <v>120</v>
      </c>
      <c r="I54" s="2826"/>
      <c r="J54" s="2827"/>
      <c r="K54" s="2828"/>
      <c r="L54" s="2830">
        <v>0.24704166666666666</v>
      </c>
      <c r="M54" s="2829">
        <v>0.19375000000000001</v>
      </c>
      <c r="N54" s="2831">
        <v>0.30033333333333334</v>
      </c>
      <c r="O54" s="2830">
        <v>29.645</v>
      </c>
      <c r="P54" s="2829">
        <v>23.25</v>
      </c>
      <c r="Q54" s="2831">
        <v>36.04</v>
      </c>
    </row>
    <row r="55" spans="1:18" s="673" customFormat="1" x14ac:dyDescent="0.2">
      <c r="A55" s="2820"/>
      <c r="B55" s="2820"/>
      <c r="C55" s="2821" t="s">
        <v>601</v>
      </c>
      <c r="D55" s="2822" t="s">
        <v>1899</v>
      </c>
      <c r="E55" s="2823" t="s">
        <v>1867</v>
      </c>
      <c r="F55" s="2823" t="s">
        <v>328</v>
      </c>
      <c r="G55" s="2824" t="s">
        <v>1112</v>
      </c>
      <c r="H55" s="2825">
        <v>30</v>
      </c>
      <c r="I55" s="2826"/>
      <c r="J55" s="2827"/>
      <c r="K55" s="2828"/>
      <c r="L55" s="2830">
        <v>0.75</v>
      </c>
      <c r="M55" s="2829">
        <v>0.75</v>
      </c>
      <c r="N55" s="2831">
        <v>0.75</v>
      </c>
      <c r="O55" s="2830">
        <v>22.5</v>
      </c>
      <c r="P55" s="2829">
        <v>22.5</v>
      </c>
      <c r="Q55" s="2831">
        <v>22.5</v>
      </c>
    </row>
    <row r="56" spans="1:18" s="673" customFormat="1" x14ac:dyDescent="0.2">
      <c r="A56" s="2820"/>
      <c r="B56" s="2820"/>
      <c r="C56" s="2821" t="s">
        <v>342</v>
      </c>
      <c r="D56" s="2822"/>
      <c r="E56" s="2823">
        <v>250</v>
      </c>
      <c r="F56" s="2823" t="s">
        <v>328</v>
      </c>
      <c r="G56" s="2824"/>
      <c r="H56" s="2825">
        <v>300</v>
      </c>
      <c r="I56" s="2857"/>
      <c r="J56" s="2858"/>
      <c r="K56" s="2859"/>
      <c r="L56" s="2830"/>
      <c r="M56" s="2829"/>
      <c r="N56" s="2831"/>
      <c r="O56" s="2830"/>
      <c r="P56" s="2829"/>
      <c r="Q56" s="2831"/>
    </row>
    <row r="57" spans="1:18" s="673" customFormat="1" x14ac:dyDescent="0.2">
      <c r="A57" s="2820"/>
      <c r="B57" s="2820"/>
      <c r="C57" s="2821" t="s">
        <v>45</v>
      </c>
      <c r="D57" s="2822" t="s">
        <v>1900</v>
      </c>
      <c r="E57" s="2823">
        <v>100</v>
      </c>
      <c r="F57" s="2823" t="s">
        <v>328</v>
      </c>
      <c r="G57" s="2824" t="s">
        <v>1112</v>
      </c>
      <c r="H57" s="2825">
        <v>84</v>
      </c>
      <c r="I57" s="2826"/>
      <c r="J57" s="2827"/>
      <c r="K57" s="2828"/>
      <c r="L57" s="2830">
        <v>0.17833333333333334</v>
      </c>
      <c r="M57" s="2829">
        <v>0.114</v>
      </c>
      <c r="N57" s="2831">
        <v>0.24266666666666667</v>
      </c>
      <c r="O57" s="2830">
        <v>5.35</v>
      </c>
      <c r="P57" s="2829">
        <v>3.42</v>
      </c>
      <c r="Q57" s="2831">
        <v>7.28</v>
      </c>
    </row>
    <row r="58" spans="1:18" s="673" customFormat="1" x14ac:dyDescent="0.2">
      <c r="A58" s="2820"/>
      <c r="B58" s="2820"/>
      <c r="C58" s="2821" t="s">
        <v>126</v>
      </c>
      <c r="D58" s="2822"/>
      <c r="E58" s="2823">
        <v>200</v>
      </c>
      <c r="F58" s="2823" t="s">
        <v>328</v>
      </c>
      <c r="G58" s="2824"/>
      <c r="H58" s="2825">
        <v>270</v>
      </c>
      <c r="I58" s="2826"/>
      <c r="J58" s="2827"/>
      <c r="K58" s="2828"/>
      <c r="L58" s="2830">
        <v>0.38356164383561642</v>
      </c>
      <c r="M58" s="2829">
        <v>0.38356164383561642</v>
      </c>
      <c r="N58" s="2831">
        <v>0.38356164383561642</v>
      </c>
      <c r="O58" s="2830">
        <v>103.56164383561644</v>
      </c>
      <c r="P58" s="2829">
        <v>103.56164383561644</v>
      </c>
      <c r="Q58" s="2831">
        <v>103.56164383561644</v>
      </c>
      <c r="R58" s="716" t="s">
        <v>1919</v>
      </c>
    </row>
    <row r="59" spans="1:18" s="673" customFormat="1" x14ac:dyDescent="0.2">
      <c r="A59" s="2820"/>
      <c r="B59" s="2820"/>
      <c r="C59" s="2821" t="s">
        <v>262</v>
      </c>
      <c r="D59" s="2822"/>
      <c r="E59" s="2823">
        <v>150</v>
      </c>
      <c r="F59" s="2823" t="s">
        <v>328</v>
      </c>
      <c r="G59" s="2824"/>
      <c r="H59" s="2825">
        <v>60</v>
      </c>
      <c r="I59" s="2826"/>
      <c r="J59" s="2827"/>
      <c r="K59" s="2828"/>
      <c r="L59" s="2830"/>
      <c r="M59" s="2829"/>
      <c r="N59" s="2831"/>
      <c r="O59" s="2830"/>
      <c r="P59" s="2829"/>
      <c r="Q59" s="2831"/>
      <c r="R59" s="716"/>
    </row>
    <row r="60" spans="1:18" s="673" customFormat="1" x14ac:dyDescent="0.2">
      <c r="A60" s="2820"/>
      <c r="B60" s="2820"/>
      <c r="C60" s="2821" t="s">
        <v>262</v>
      </c>
      <c r="D60" s="2822"/>
      <c r="E60" s="2823">
        <v>200</v>
      </c>
      <c r="F60" s="2861" t="s">
        <v>328</v>
      </c>
      <c r="G60" s="2824"/>
      <c r="H60" s="2825">
        <v>60</v>
      </c>
      <c r="I60" s="2862"/>
      <c r="J60" s="2863"/>
      <c r="K60" s="2864"/>
      <c r="L60" s="2866"/>
      <c r="M60" s="2865"/>
      <c r="N60" s="2867"/>
      <c r="O60" s="2866"/>
      <c r="P60" s="2865"/>
      <c r="Q60" s="2867"/>
      <c r="R60" s="716"/>
    </row>
    <row r="61" spans="1:18" s="673" customFormat="1" x14ac:dyDescent="0.2">
      <c r="A61" s="2820"/>
      <c r="B61" s="2868"/>
      <c r="C61" s="2869" t="s">
        <v>598</v>
      </c>
      <c r="D61" s="2870"/>
      <c r="E61" s="2871">
        <v>700</v>
      </c>
      <c r="F61" s="2872" t="s">
        <v>328</v>
      </c>
      <c r="G61" s="2873"/>
      <c r="H61" s="2874">
        <v>60</v>
      </c>
      <c r="I61" s="2875"/>
      <c r="J61" s="2876"/>
      <c r="K61" s="2877"/>
      <c r="L61" s="2879">
        <v>1.5493150684931507</v>
      </c>
      <c r="M61" s="2878">
        <v>1.5493150684931507</v>
      </c>
      <c r="N61" s="2880">
        <v>1.5493150684931507</v>
      </c>
      <c r="O61" s="2879">
        <v>92.958904109589042</v>
      </c>
      <c r="P61" s="2878">
        <v>92.958904109589042</v>
      </c>
      <c r="Q61" s="2880">
        <v>92.958904109589042</v>
      </c>
      <c r="R61" s="716" t="s">
        <v>1919</v>
      </c>
    </row>
    <row r="62" spans="1:18" s="673" customFormat="1" x14ac:dyDescent="0.2">
      <c r="A62" s="2820"/>
      <c r="B62" s="2833"/>
      <c r="C62" s="2834" t="s">
        <v>264</v>
      </c>
      <c r="D62" s="2835"/>
      <c r="E62" s="2836">
        <v>300</v>
      </c>
      <c r="F62" s="2836" t="s">
        <v>328</v>
      </c>
      <c r="G62" s="2837"/>
      <c r="H62" s="2838">
        <v>120</v>
      </c>
      <c r="I62" s="2839"/>
      <c r="J62" s="2840"/>
      <c r="K62" s="2841"/>
      <c r="L62" s="2843">
        <v>0.77534246575342469</v>
      </c>
      <c r="M62" s="2842">
        <v>0.77260273972602744</v>
      </c>
      <c r="N62" s="2844">
        <v>0.7773972602739726</v>
      </c>
      <c r="O62" s="2843">
        <v>93.041095890410958</v>
      </c>
      <c r="P62" s="2842">
        <v>92.712328767123296</v>
      </c>
      <c r="Q62" s="2844">
        <v>93.287671232876718</v>
      </c>
      <c r="R62" s="716" t="s">
        <v>1919</v>
      </c>
    </row>
    <row r="63" spans="1:18" s="673" customFormat="1" x14ac:dyDescent="0.2">
      <c r="A63" s="2820"/>
      <c r="B63" s="2881" t="s">
        <v>599</v>
      </c>
      <c r="C63" s="2882" t="s">
        <v>600</v>
      </c>
      <c r="D63" s="2883"/>
      <c r="E63" s="2884">
        <v>400</v>
      </c>
      <c r="F63" s="2884" t="s">
        <v>328</v>
      </c>
      <c r="G63" s="2885"/>
      <c r="H63" s="2886">
        <v>60</v>
      </c>
      <c r="I63" s="2887"/>
      <c r="J63" s="2888"/>
      <c r="K63" s="2889"/>
      <c r="L63" s="2891">
        <v>3.0506849315068494</v>
      </c>
      <c r="M63" s="2890">
        <v>3.0506849315068494</v>
      </c>
      <c r="N63" s="2892">
        <v>3.0506849315068494</v>
      </c>
      <c r="O63" s="2891">
        <v>183.04109589041096</v>
      </c>
      <c r="P63" s="2890">
        <v>183.04109589041096</v>
      </c>
      <c r="Q63" s="2892">
        <v>183.04109589041096</v>
      </c>
      <c r="R63" s="716" t="s">
        <v>1919</v>
      </c>
    </row>
    <row r="64" spans="1:18" s="673" customFormat="1" ht="13.5" thickBot="1" x14ac:dyDescent="0.25">
      <c r="A64" s="2845"/>
      <c r="B64" s="2893" t="s">
        <v>26</v>
      </c>
      <c r="C64" s="2894" t="s">
        <v>354</v>
      </c>
      <c r="D64" s="2895" t="s">
        <v>1900</v>
      </c>
      <c r="E64" s="2896">
        <v>100</v>
      </c>
      <c r="F64" s="2896" t="s">
        <v>328</v>
      </c>
      <c r="G64" s="2897" t="s">
        <v>1901</v>
      </c>
      <c r="H64" s="2898">
        <v>120</v>
      </c>
      <c r="I64" s="2899"/>
      <c r="J64" s="2900"/>
      <c r="K64" s="2901"/>
      <c r="L64" s="2903">
        <v>0.11416666666666667</v>
      </c>
      <c r="M64" s="2902">
        <v>0.11416666666666667</v>
      </c>
      <c r="N64" s="2904">
        <v>0.11416666666666667</v>
      </c>
      <c r="O64" s="2903">
        <v>38.36</v>
      </c>
      <c r="P64" s="2902">
        <v>38.36</v>
      </c>
      <c r="Q64" s="2904">
        <v>38.36</v>
      </c>
      <c r="R64" s="716"/>
    </row>
    <row r="65" spans="1:30" s="673" customFormat="1" ht="63.75" customHeight="1" thickBot="1" x14ac:dyDescent="0.25">
      <c r="A65" s="710"/>
      <c r="B65" s="710"/>
      <c r="C65" s="710"/>
      <c r="D65" s="710"/>
      <c r="E65" s="710"/>
      <c r="F65" s="711"/>
      <c r="G65" s="712"/>
      <c r="H65" s="715"/>
      <c r="I65" s="728"/>
      <c r="J65" s="715"/>
      <c r="K65" s="715"/>
      <c r="L65" s="715"/>
      <c r="M65" s="716"/>
      <c r="N65" s="716"/>
      <c r="O65" s="716"/>
      <c r="P65" s="728"/>
      <c r="Q65" s="716"/>
      <c r="R65" s="716"/>
    </row>
    <row r="66" spans="1:30" s="673" customFormat="1" ht="90" thickBot="1" x14ac:dyDescent="0.25">
      <c r="B66" s="710"/>
      <c r="C66" s="717" t="s">
        <v>982</v>
      </c>
      <c r="D66" s="2773"/>
      <c r="E66" s="2773" t="s">
        <v>981</v>
      </c>
      <c r="F66" s="719" t="s">
        <v>1624</v>
      </c>
      <c r="G66" s="720" t="s">
        <v>1625</v>
      </c>
      <c r="H66" s="720"/>
      <c r="I66" s="721" t="s">
        <v>1653</v>
      </c>
      <c r="J66" s="721" t="s">
        <v>1654</v>
      </c>
      <c r="K66" s="719" t="s">
        <v>1650</v>
      </c>
      <c r="L66" s="719" t="s">
        <v>1655</v>
      </c>
      <c r="M66" s="719" t="s">
        <v>1628</v>
      </c>
      <c r="N66" s="719" t="s">
        <v>1652</v>
      </c>
      <c r="O66" s="719" t="s">
        <v>1656</v>
      </c>
      <c r="P66" s="719" t="s">
        <v>1629</v>
      </c>
      <c r="Q66" s="728"/>
      <c r="R66" s="716"/>
      <c r="S66" s="716" t="s">
        <v>472</v>
      </c>
      <c r="T66" s="716"/>
      <c r="W66" s="2818"/>
    </row>
    <row r="67" spans="1:30" s="673" customFormat="1" x14ac:dyDescent="0.2">
      <c r="A67" s="2767"/>
      <c r="B67" s="710"/>
      <c r="C67" s="1608" t="s">
        <v>262</v>
      </c>
      <c r="D67" s="2905"/>
      <c r="E67" s="1609">
        <v>150</v>
      </c>
      <c r="F67" s="694" t="s">
        <v>328</v>
      </c>
      <c r="G67" s="1610" t="s">
        <v>133</v>
      </c>
      <c r="H67" s="1610"/>
      <c r="I67" s="1610" t="s">
        <v>347</v>
      </c>
      <c r="J67" s="1610" t="s">
        <v>348</v>
      </c>
      <c r="K67" s="1611">
        <v>2</v>
      </c>
      <c r="L67" s="1612">
        <v>60</v>
      </c>
      <c r="M67" s="2906">
        <v>0.51650066666666661</v>
      </c>
      <c r="N67" s="2906">
        <v>30.990039999999997</v>
      </c>
      <c r="O67" s="2906">
        <v>377.04548666666665</v>
      </c>
      <c r="P67" s="2906" t="s">
        <v>349</v>
      </c>
      <c r="Q67" s="728"/>
      <c r="R67" s="716"/>
      <c r="S67" s="716"/>
      <c r="T67" s="716"/>
      <c r="W67" s="2818"/>
      <c r="Y67" s="2819"/>
      <c r="Z67" s="2819"/>
      <c r="AA67" s="2819"/>
      <c r="AB67" s="2819"/>
      <c r="AC67" s="2819"/>
      <c r="AD67" s="2819"/>
    </row>
    <row r="68" spans="1:30" s="673" customFormat="1" ht="13.5" thickBot="1" x14ac:dyDescent="0.25">
      <c r="A68" s="2767"/>
      <c r="B68" s="710"/>
      <c r="C68" s="2907" t="s">
        <v>262</v>
      </c>
      <c r="D68" s="2908"/>
      <c r="E68" s="2909">
        <v>200</v>
      </c>
      <c r="F68" s="2909" t="s">
        <v>328</v>
      </c>
      <c r="G68" s="704" t="s">
        <v>133</v>
      </c>
      <c r="H68" s="704"/>
      <c r="I68" s="704"/>
      <c r="J68" s="704" t="s">
        <v>348</v>
      </c>
      <c r="K68" s="2910">
        <v>2</v>
      </c>
      <c r="L68" s="706">
        <v>60</v>
      </c>
      <c r="M68" s="724">
        <v>0.64278166666666658</v>
      </c>
      <c r="N68" s="724">
        <v>38.566899999999997</v>
      </c>
      <c r="O68" s="724">
        <v>469.23061666666661</v>
      </c>
      <c r="P68" s="724"/>
      <c r="Q68" s="728"/>
      <c r="R68" s="716"/>
      <c r="S68" s="716"/>
      <c r="T68" s="716"/>
      <c r="W68" s="2818"/>
      <c r="Y68" s="2819"/>
      <c r="Z68" s="2819"/>
      <c r="AA68" s="2819"/>
      <c r="AB68" s="2819"/>
      <c r="AC68" s="2819"/>
      <c r="AD68" s="2819"/>
    </row>
    <row r="69" spans="1:30" s="673" customFormat="1" ht="13.5" thickBot="1" x14ac:dyDescent="0.25">
      <c r="A69" s="2767"/>
      <c r="B69" s="710"/>
      <c r="C69" s="2846" t="s">
        <v>601</v>
      </c>
      <c r="D69" s="2847" t="s">
        <v>1899</v>
      </c>
      <c r="E69" s="2848" t="s">
        <v>602</v>
      </c>
      <c r="F69" s="2848" t="s">
        <v>328</v>
      </c>
      <c r="G69" s="2849" t="s">
        <v>1380</v>
      </c>
      <c r="H69" s="2849"/>
      <c r="I69" s="2849"/>
      <c r="J69" s="2849" t="s">
        <v>348</v>
      </c>
      <c r="K69" s="2911">
        <v>1</v>
      </c>
      <c r="L69" s="2850">
        <v>30</v>
      </c>
      <c r="M69" s="724">
        <v>0.83333333333333337</v>
      </c>
      <c r="N69" s="724">
        <v>25</v>
      </c>
      <c r="O69" s="724">
        <v>304.16666666666669</v>
      </c>
      <c r="P69" s="724" t="s">
        <v>351</v>
      </c>
      <c r="Q69" s="2792" t="s">
        <v>603</v>
      </c>
      <c r="R69" s="716"/>
      <c r="S69" s="716"/>
      <c r="T69" s="716"/>
    </row>
    <row r="70" spans="1:30" s="673" customFormat="1" ht="13.5" thickBot="1" x14ac:dyDescent="0.25">
      <c r="A70" s="2767"/>
      <c r="B70" s="710"/>
      <c r="C70" s="2846" t="s">
        <v>612</v>
      </c>
      <c r="D70" s="2847"/>
      <c r="E70" s="2848" t="s">
        <v>651</v>
      </c>
      <c r="F70" s="2848" t="s">
        <v>328</v>
      </c>
      <c r="G70" s="2849" t="s">
        <v>1380</v>
      </c>
      <c r="H70" s="2849"/>
      <c r="I70" s="2849"/>
      <c r="J70" s="2849"/>
      <c r="K70" s="2911">
        <v>1</v>
      </c>
      <c r="L70" s="2850">
        <v>30</v>
      </c>
      <c r="M70" s="724">
        <v>1.0966666666666667</v>
      </c>
      <c r="N70" s="724">
        <v>32.9</v>
      </c>
      <c r="O70" s="724">
        <v>400.28333333333336</v>
      </c>
      <c r="P70" s="724" t="s">
        <v>652</v>
      </c>
      <c r="Q70" s="2792"/>
      <c r="R70" s="716"/>
      <c r="S70" s="716"/>
      <c r="T70" s="716"/>
      <c r="W70" s="2818"/>
      <c r="Y70" s="2819"/>
      <c r="Z70" s="2819"/>
      <c r="AA70" s="2819"/>
      <c r="AB70" s="2819"/>
      <c r="AC70" s="2819"/>
      <c r="AD70" s="2819"/>
    </row>
    <row r="71" spans="1:30" s="673" customFormat="1" ht="13.5" thickBot="1" x14ac:dyDescent="0.25">
      <c r="A71" s="725"/>
      <c r="B71" s="710"/>
      <c r="C71" s="2907" t="s">
        <v>269</v>
      </c>
      <c r="D71" s="2908"/>
      <c r="E71" s="2909">
        <v>400</v>
      </c>
      <c r="F71" s="2909" t="s">
        <v>328</v>
      </c>
      <c r="G71" s="704" t="s">
        <v>1380</v>
      </c>
      <c r="H71" s="704"/>
      <c r="I71" s="704" t="s">
        <v>350</v>
      </c>
      <c r="J71" s="704"/>
      <c r="K71" s="2910">
        <v>2</v>
      </c>
      <c r="L71" s="706">
        <v>60</v>
      </c>
      <c r="M71" s="724">
        <v>1.5249999999999999</v>
      </c>
      <c r="N71" s="724">
        <v>91.5</v>
      </c>
      <c r="O71" s="724">
        <v>1113.25</v>
      </c>
      <c r="P71" s="724" t="s">
        <v>353</v>
      </c>
      <c r="Q71" s="726"/>
      <c r="R71" s="716"/>
      <c r="S71" s="716"/>
      <c r="T71" s="716"/>
      <c r="W71" s="2818"/>
    </row>
    <row r="72" spans="1:30" s="673" customFormat="1" ht="13.5" thickBot="1" x14ac:dyDescent="0.25">
      <c r="A72" s="725"/>
      <c r="B72" s="710"/>
      <c r="C72" s="2907" t="s">
        <v>264</v>
      </c>
      <c r="D72" s="2908"/>
      <c r="E72" s="2909">
        <v>300</v>
      </c>
      <c r="F72" s="2909" t="s">
        <v>328</v>
      </c>
      <c r="G72" s="704" t="s">
        <v>1380</v>
      </c>
      <c r="H72" s="704"/>
      <c r="I72" s="704" t="s">
        <v>352</v>
      </c>
      <c r="J72" s="704"/>
      <c r="K72" s="2910">
        <v>4</v>
      </c>
      <c r="L72" s="706">
        <v>120</v>
      </c>
      <c r="M72" s="724">
        <v>0.75</v>
      </c>
      <c r="N72" s="724">
        <v>90</v>
      </c>
      <c r="O72" s="724">
        <v>1095</v>
      </c>
      <c r="P72" s="724" t="s">
        <v>356</v>
      </c>
      <c r="Q72" s="728"/>
      <c r="R72" s="716"/>
      <c r="S72" s="716"/>
      <c r="T72" s="716"/>
      <c r="W72" s="2818"/>
    </row>
    <row r="73" spans="1:30" s="673" customFormat="1" ht="13.5" thickBot="1" x14ac:dyDescent="0.25">
      <c r="A73" s="725"/>
      <c r="B73" s="710"/>
      <c r="C73" s="2907" t="s">
        <v>354</v>
      </c>
      <c r="D73" s="2908"/>
      <c r="E73" s="2909">
        <v>100</v>
      </c>
      <c r="F73" s="2909" t="s">
        <v>328</v>
      </c>
      <c r="G73" s="704" t="s">
        <v>1380</v>
      </c>
      <c r="H73" s="704"/>
      <c r="I73" s="704" t="s">
        <v>355</v>
      </c>
      <c r="J73" s="704"/>
      <c r="K73" s="2910">
        <v>4</v>
      </c>
      <c r="L73" s="706">
        <v>120</v>
      </c>
      <c r="M73" s="724">
        <v>5.9484178901972191</v>
      </c>
      <c r="N73" s="724">
        <v>713.81014682366629</v>
      </c>
      <c r="O73" s="724">
        <v>8684.6901196879408</v>
      </c>
      <c r="P73" s="724" t="s">
        <v>604</v>
      </c>
      <c r="Q73" s="728"/>
      <c r="R73" s="716"/>
      <c r="S73" s="716"/>
      <c r="T73" s="716"/>
      <c r="W73" s="2818"/>
    </row>
    <row r="74" spans="1:30" s="673" customFormat="1" ht="13.5" thickBot="1" x14ac:dyDescent="0.25">
      <c r="A74" s="725"/>
      <c r="B74" s="710"/>
      <c r="C74" s="2907" t="s">
        <v>836</v>
      </c>
      <c r="D74" s="2908"/>
      <c r="E74" s="2909">
        <v>100</v>
      </c>
      <c r="F74" s="2909" t="s">
        <v>328</v>
      </c>
      <c r="G74" s="704" t="s">
        <v>1380</v>
      </c>
      <c r="H74" s="704"/>
      <c r="I74" s="704" t="s">
        <v>838</v>
      </c>
      <c r="J74" s="704"/>
      <c r="K74" s="2910">
        <v>1</v>
      </c>
      <c r="L74" s="706">
        <v>30</v>
      </c>
      <c r="M74" s="724">
        <v>10.645800000000001</v>
      </c>
      <c r="N74" s="724">
        <v>319.37400000000002</v>
      </c>
      <c r="O74" s="724">
        <v>3885.7170000000006</v>
      </c>
      <c r="P74" s="724"/>
      <c r="Q74" s="728"/>
      <c r="R74" s="716"/>
      <c r="S74" s="716"/>
      <c r="T74" s="716"/>
      <c r="W74" s="2818"/>
    </row>
    <row r="75" spans="1:30" s="673" customFormat="1" x14ac:dyDescent="0.2">
      <c r="A75" s="725"/>
      <c r="B75" s="710"/>
      <c r="C75" s="727"/>
      <c r="D75" s="727"/>
      <c r="E75" s="727"/>
      <c r="F75" s="727"/>
      <c r="G75" s="728"/>
      <c r="H75" s="728"/>
      <c r="I75" s="728"/>
      <c r="J75" s="728"/>
      <c r="K75" s="728"/>
      <c r="L75" s="729"/>
      <c r="N75" s="730"/>
      <c r="O75" s="730"/>
      <c r="P75" s="731"/>
      <c r="Q75" s="728"/>
      <c r="R75" s="716"/>
      <c r="S75" s="716"/>
      <c r="T75" s="716"/>
      <c r="W75" s="2818"/>
    </row>
    <row r="76" spans="1:30" s="673" customFormat="1" x14ac:dyDescent="0.2">
      <c r="A76" s="725"/>
      <c r="B76" s="732" t="s">
        <v>357</v>
      </c>
      <c r="C76" s="733"/>
      <c r="D76" s="733"/>
      <c r="E76" s="733"/>
      <c r="F76" s="733"/>
      <c r="G76" s="734"/>
      <c r="H76" s="734"/>
      <c r="I76" s="734"/>
      <c r="J76" s="734"/>
      <c r="K76" s="734"/>
      <c r="L76" s="735"/>
      <c r="M76" s="736"/>
      <c r="N76" s="737"/>
      <c r="O76" s="737"/>
      <c r="P76" s="731"/>
      <c r="Q76" s="728"/>
      <c r="R76" s="716"/>
      <c r="S76" s="716"/>
      <c r="T76" s="716"/>
      <c r="W76" s="2818"/>
    </row>
    <row r="77" spans="1:30" s="745" customFormat="1" x14ac:dyDescent="0.2">
      <c r="A77" s="725"/>
      <c r="B77" s="711" t="s">
        <v>358</v>
      </c>
      <c r="C77" s="727" t="s">
        <v>1630</v>
      </c>
      <c r="D77" s="727"/>
      <c r="E77" s="727"/>
      <c r="F77" s="727"/>
      <c r="G77" s="728"/>
      <c r="H77" s="728"/>
      <c r="I77" s="728"/>
      <c r="J77" s="728"/>
      <c r="K77" s="728"/>
      <c r="L77" s="729"/>
      <c r="M77" s="673"/>
      <c r="N77" s="730"/>
      <c r="O77" s="730"/>
      <c r="P77" s="731"/>
      <c r="Q77" s="728"/>
      <c r="R77" s="716"/>
      <c r="S77" s="716"/>
      <c r="T77" s="716"/>
      <c r="W77" s="2860"/>
    </row>
    <row r="78" spans="1:30" s="745" customFormat="1" x14ac:dyDescent="0.2">
      <c r="A78" s="725"/>
      <c r="B78" s="738" t="s">
        <v>349</v>
      </c>
      <c r="C78" s="727" t="s">
        <v>1631</v>
      </c>
      <c r="D78" s="727"/>
      <c r="E78" s="727"/>
      <c r="F78" s="727"/>
      <c r="G78" s="728"/>
      <c r="H78" s="728"/>
      <c r="I78" s="728"/>
      <c r="J78" s="728"/>
      <c r="K78" s="728"/>
      <c r="L78" s="729"/>
      <c r="M78" s="673"/>
      <c r="N78" s="730"/>
      <c r="O78" s="730"/>
      <c r="P78" s="731"/>
      <c r="Q78" s="728"/>
      <c r="R78" s="716"/>
      <c r="S78" s="716"/>
      <c r="T78" s="716"/>
      <c r="W78" s="2860"/>
    </row>
    <row r="79" spans="1:30" s="745" customFormat="1" x14ac:dyDescent="0.2">
      <c r="A79" s="725"/>
      <c r="B79" s="738" t="s">
        <v>351</v>
      </c>
      <c r="C79" s="727" t="s">
        <v>1632</v>
      </c>
      <c r="D79" s="727"/>
      <c r="E79" s="2912"/>
      <c r="F79" s="727"/>
      <c r="G79" s="728"/>
      <c r="H79" s="728"/>
      <c r="I79" s="728"/>
      <c r="J79" s="728"/>
      <c r="K79" s="728"/>
      <c r="L79" s="729"/>
      <c r="M79" s="673"/>
      <c r="N79" s="730"/>
      <c r="O79" s="730"/>
      <c r="P79" s="731"/>
      <c r="Q79" s="728"/>
      <c r="R79" s="716"/>
      <c r="S79" s="716"/>
      <c r="T79" s="716"/>
      <c r="W79" s="2860"/>
    </row>
    <row r="80" spans="1:30" s="745" customFormat="1" x14ac:dyDescent="0.2">
      <c r="A80" s="739"/>
      <c r="B80" s="738" t="s">
        <v>353</v>
      </c>
      <c r="C80" s="727" t="s">
        <v>1633</v>
      </c>
      <c r="D80" s="727"/>
      <c r="E80" s="739"/>
      <c r="F80" s="738"/>
      <c r="G80" s="740"/>
      <c r="H80" s="740"/>
      <c r="I80" s="743"/>
      <c r="J80" s="2913"/>
      <c r="K80" s="743"/>
      <c r="L80" s="743"/>
      <c r="M80" s="743"/>
      <c r="N80" s="744"/>
      <c r="O80" s="744"/>
      <c r="P80" s="744"/>
      <c r="Q80" s="2913"/>
      <c r="R80" s="744"/>
      <c r="S80" s="744"/>
      <c r="T80" s="744"/>
      <c r="W80" s="2860"/>
    </row>
    <row r="81" spans="1:30" s="673" customFormat="1" x14ac:dyDescent="0.2">
      <c r="A81" s="739"/>
      <c r="B81" s="738" t="s">
        <v>356</v>
      </c>
      <c r="C81" s="727" t="s">
        <v>1634</v>
      </c>
      <c r="D81" s="727"/>
      <c r="E81" s="739"/>
      <c r="F81" s="738"/>
      <c r="G81" s="740"/>
      <c r="H81" s="740"/>
      <c r="I81" s="743"/>
      <c r="J81" s="2913"/>
      <c r="K81" s="743"/>
      <c r="L81" s="743"/>
      <c r="M81" s="743"/>
      <c r="N81" s="744"/>
      <c r="O81" s="744"/>
      <c r="P81" s="744"/>
      <c r="Q81" s="2913"/>
      <c r="R81" s="744"/>
      <c r="S81" s="744"/>
      <c r="T81" s="744"/>
      <c r="W81" s="2818"/>
    </row>
    <row r="82" spans="1:30" x14ac:dyDescent="0.2">
      <c r="A82" s="739"/>
      <c r="B82" s="738" t="s">
        <v>604</v>
      </c>
      <c r="C82" s="727" t="s">
        <v>1635</v>
      </c>
      <c r="D82" s="727"/>
      <c r="E82" s="739"/>
      <c r="F82" s="738"/>
      <c r="G82" s="740"/>
      <c r="H82" s="740"/>
      <c r="I82" s="743"/>
      <c r="J82" s="2913"/>
      <c r="K82" s="743"/>
      <c r="L82" s="743"/>
      <c r="M82" s="743"/>
      <c r="N82" s="744"/>
      <c r="O82" s="744"/>
      <c r="P82" s="744"/>
      <c r="Q82" s="2913"/>
      <c r="R82" s="744"/>
      <c r="S82" s="744"/>
      <c r="T82" s="744"/>
      <c r="U82" s="673"/>
      <c r="V82" s="673"/>
      <c r="W82" s="2818"/>
      <c r="X82" s="673"/>
      <c r="Y82" s="2819"/>
      <c r="Z82" s="2819"/>
      <c r="AA82" s="2819"/>
      <c r="AB82" s="2819"/>
      <c r="AC82" s="2819"/>
      <c r="AD82" s="2819"/>
    </row>
    <row r="83" spans="1:30" x14ac:dyDescent="0.2">
      <c r="A83" s="710"/>
      <c r="B83" s="728" t="s">
        <v>652</v>
      </c>
      <c r="C83" s="727" t="s">
        <v>1636</v>
      </c>
      <c r="D83" s="727"/>
      <c r="E83" s="710"/>
      <c r="F83" s="711"/>
      <c r="G83" s="712"/>
      <c r="H83" s="712"/>
      <c r="I83" s="715"/>
      <c r="J83" s="728"/>
      <c r="K83" s="715"/>
      <c r="L83" s="715"/>
      <c r="M83" s="715"/>
      <c r="N83" s="716"/>
      <c r="O83" s="716"/>
      <c r="P83" s="716"/>
      <c r="Q83" s="728"/>
      <c r="R83" s="716"/>
      <c r="S83" s="716"/>
      <c r="T83" s="716"/>
      <c r="U83" s="673"/>
      <c r="V83" s="673"/>
      <c r="W83" s="2818"/>
      <c r="X83" s="673"/>
      <c r="Y83" s="2819"/>
      <c r="Z83" s="2819"/>
      <c r="AA83" s="2819"/>
      <c r="AB83" s="2819"/>
      <c r="AC83" s="2819"/>
      <c r="AD83" s="2819"/>
    </row>
    <row r="84" spans="1:30" x14ac:dyDescent="0.2">
      <c r="B84" s="746" t="s">
        <v>654</v>
      </c>
      <c r="C84" s="727" t="s">
        <v>1657</v>
      </c>
      <c r="D84" s="727"/>
      <c r="I84" s="659"/>
      <c r="J84" s="746"/>
      <c r="Q84" s="746"/>
    </row>
    <row r="85" spans="1:30" ht="13.5" thickBot="1" x14ac:dyDescent="0.25">
      <c r="B85" s="746"/>
      <c r="I85" s="659"/>
      <c r="J85" s="746"/>
      <c r="Q85" s="746"/>
      <c r="U85" s="673"/>
      <c r="V85" s="673"/>
      <c r="W85" s="2818"/>
      <c r="X85" s="673"/>
      <c r="Y85" s="2819"/>
      <c r="Z85" s="2819"/>
      <c r="AA85" s="2819"/>
      <c r="AB85" s="2819"/>
      <c r="AC85" s="2819"/>
      <c r="AD85" s="2819"/>
    </row>
    <row r="86" spans="1:30" s="746" customFormat="1" ht="16.5" thickBot="1" x14ac:dyDescent="0.3">
      <c r="A86" s="2768" t="s">
        <v>1637</v>
      </c>
      <c r="B86" s="2769"/>
      <c r="C86" s="2769"/>
      <c r="D86" s="2769"/>
      <c r="E86" s="2769"/>
      <c r="F86" s="2769"/>
      <c r="G86" s="2769"/>
      <c r="H86" s="2769"/>
      <c r="I86" s="2769"/>
      <c r="J86" s="2769"/>
      <c r="K86" s="2769"/>
      <c r="L86" s="2769"/>
      <c r="M86" s="2769"/>
      <c r="N86" s="2769"/>
      <c r="O86" s="2769"/>
      <c r="P86" s="2769"/>
      <c r="Q86" s="2769"/>
      <c r="R86" s="2769"/>
      <c r="S86" s="2769"/>
      <c r="T86" s="2770"/>
      <c r="W86" s="2793"/>
    </row>
    <row r="87" spans="1:30" s="728" customFormat="1" ht="13.5" thickBot="1" x14ac:dyDescent="0.25">
      <c r="A87" s="659"/>
      <c r="B87" s="659"/>
      <c r="C87" s="659"/>
      <c r="D87" s="659"/>
      <c r="E87" s="659"/>
      <c r="F87" s="659"/>
      <c r="G87" s="659"/>
      <c r="H87" s="659"/>
      <c r="I87" s="746"/>
      <c r="J87" s="659"/>
      <c r="K87" s="659"/>
      <c r="L87" s="659"/>
      <c r="M87" s="659"/>
      <c r="N87" s="659"/>
      <c r="O87" s="659"/>
      <c r="P87" s="746"/>
      <c r="Q87" s="659"/>
      <c r="R87" s="659"/>
      <c r="S87" s="659"/>
      <c r="T87" s="673"/>
      <c r="U87" s="673"/>
      <c r="V87" s="2818"/>
      <c r="W87" s="673"/>
      <c r="X87" s="2819"/>
      <c r="Y87" s="2819"/>
      <c r="Z87" s="2819"/>
      <c r="AA87" s="2819"/>
      <c r="AB87" s="2819"/>
      <c r="AC87" s="2819"/>
    </row>
    <row r="88" spans="1:30" s="673" customFormat="1" ht="39" thickBot="1" x14ac:dyDescent="0.25">
      <c r="A88" s="746"/>
      <c r="B88" s="746"/>
      <c r="C88" s="662"/>
      <c r="D88" s="662"/>
      <c r="E88" s="662"/>
      <c r="F88" s="662"/>
      <c r="G88" s="747"/>
      <c r="H88" s="2914" t="s">
        <v>1651</v>
      </c>
      <c r="I88" s="2771"/>
      <c r="J88" s="2772"/>
      <c r="K88" s="2773"/>
      <c r="L88" s="2771" t="s">
        <v>1628</v>
      </c>
      <c r="M88" s="2772"/>
      <c r="N88" s="2773"/>
      <c r="O88" s="2771" t="s">
        <v>1661</v>
      </c>
      <c r="P88" s="2772"/>
      <c r="Q88" s="2773"/>
      <c r="R88" s="746"/>
      <c r="V88" s="2818"/>
      <c r="W88" s="2819"/>
      <c r="X88" s="2819"/>
      <c r="Y88" s="2819"/>
      <c r="Z88" s="2819"/>
      <c r="AA88" s="2819"/>
      <c r="AB88" s="2819"/>
    </row>
    <row r="89" spans="1:30" s="673" customFormat="1" ht="26.25" thickBot="1" x14ac:dyDescent="0.25">
      <c r="A89" s="663"/>
      <c r="B89" s="749"/>
      <c r="C89" s="717" t="s">
        <v>982</v>
      </c>
      <c r="D89" s="2773"/>
      <c r="E89" s="2773" t="s">
        <v>981</v>
      </c>
      <c r="F89" s="750" t="s">
        <v>1624</v>
      </c>
      <c r="G89" s="720"/>
      <c r="H89" s="717"/>
      <c r="I89" s="2771"/>
      <c r="J89" s="667"/>
      <c r="K89" s="668"/>
      <c r="L89" s="670" t="s">
        <v>1918</v>
      </c>
      <c r="M89" s="669" t="s">
        <v>1864</v>
      </c>
      <c r="N89" s="2772" t="s">
        <v>1865</v>
      </c>
      <c r="O89" s="752" t="s">
        <v>1918</v>
      </c>
      <c r="P89" s="751" t="s">
        <v>1864</v>
      </c>
      <c r="Q89" s="665" t="s">
        <v>1865</v>
      </c>
      <c r="R89" s="728"/>
    </row>
    <row r="90" spans="1:30" s="673" customFormat="1" x14ac:dyDescent="0.2">
      <c r="A90" s="672" t="s">
        <v>1659</v>
      </c>
      <c r="B90" s="1607" t="s">
        <v>333</v>
      </c>
      <c r="C90" s="1608" t="s">
        <v>32</v>
      </c>
      <c r="D90" s="2905" t="s">
        <v>1883</v>
      </c>
      <c r="E90" s="1609">
        <v>10</v>
      </c>
      <c r="F90" s="1609" t="s">
        <v>365</v>
      </c>
      <c r="G90" s="2915" t="s">
        <v>1902</v>
      </c>
      <c r="H90" s="697">
        <v>240</v>
      </c>
      <c r="I90" s="2916"/>
      <c r="J90" s="2917"/>
      <c r="K90" s="2918"/>
      <c r="L90" s="2920">
        <v>1.6E-2</v>
      </c>
      <c r="M90" s="2919">
        <v>1.6E-2</v>
      </c>
      <c r="N90" s="2921">
        <v>1.6E-2</v>
      </c>
      <c r="O90" s="2920">
        <v>1.6</v>
      </c>
      <c r="P90" s="2919">
        <v>1.6</v>
      </c>
      <c r="Q90" s="2921">
        <v>1.6</v>
      </c>
    </row>
    <row r="91" spans="1:30" s="673" customFormat="1" x14ac:dyDescent="0.2">
      <c r="A91" s="1607"/>
      <c r="B91" s="1607"/>
      <c r="C91" s="1608" t="s">
        <v>32</v>
      </c>
      <c r="D91" s="2905" t="s">
        <v>1883</v>
      </c>
      <c r="E91" s="1609">
        <v>10</v>
      </c>
      <c r="F91" s="1609" t="s">
        <v>365</v>
      </c>
      <c r="G91" s="2922" t="s">
        <v>1902</v>
      </c>
      <c r="H91" s="1612">
        <v>240</v>
      </c>
      <c r="I91" s="2826"/>
      <c r="J91" s="2827"/>
      <c r="K91" s="2828"/>
      <c r="L91" s="2924">
        <v>9.3749999999999997E-3</v>
      </c>
      <c r="M91" s="2923">
        <v>7.7083333333333335E-3</v>
      </c>
      <c r="N91" s="2925">
        <v>1.1041666666666667E-2</v>
      </c>
      <c r="O91" s="2924">
        <v>2.25</v>
      </c>
      <c r="P91" s="2923">
        <v>1.85</v>
      </c>
      <c r="Q91" s="2925">
        <v>2.65</v>
      </c>
    </row>
    <row r="92" spans="1:30" s="673" customFormat="1" x14ac:dyDescent="0.2">
      <c r="A92" s="1607"/>
      <c r="B92" s="1607"/>
      <c r="C92" s="1608" t="s">
        <v>82</v>
      </c>
      <c r="D92" s="2905" t="s">
        <v>1884</v>
      </c>
      <c r="E92" s="1609">
        <v>1</v>
      </c>
      <c r="F92" s="1609" t="s">
        <v>365</v>
      </c>
      <c r="G92" s="2922" t="s">
        <v>1903</v>
      </c>
      <c r="H92" s="1612">
        <v>240</v>
      </c>
      <c r="I92" s="2826"/>
      <c r="J92" s="2827"/>
      <c r="K92" s="2828"/>
      <c r="L92" s="2924">
        <v>6.875E-3</v>
      </c>
      <c r="M92" s="2923">
        <v>6.2500000000000003E-3</v>
      </c>
      <c r="N92" s="2925">
        <v>7.4999999999999997E-3</v>
      </c>
      <c r="O92" s="2924">
        <v>1.375</v>
      </c>
      <c r="P92" s="2923">
        <v>1.25</v>
      </c>
      <c r="Q92" s="2925">
        <v>1.5</v>
      </c>
    </row>
    <row r="93" spans="1:30" s="673" customFormat="1" x14ac:dyDescent="0.2">
      <c r="A93" s="2926"/>
      <c r="C93" s="693" t="s">
        <v>34</v>
      </c>
      <c r="D93" s="2927" t="s">
        <v>1886</v>
      </c>
      <c r="E93" s="694">
        <v>10</v>
      </c>
      <c r="F93" s="694" t="s">
        <v>365</v>
      </c>
      <c r="G93" s="2915" t="s">
        <v>1902</v>
      </c>
      <c r="H93" s="697">
        <v>240</v>
      </c>
      <c r="I93" s="2916"/>
      <c r="J93" s="2917"/>
      <c r="K93" s="2918"/>
      <c r="L93" s="2920">
        <v>9.0000000000000011E-3</v>
      </c>
      <c r="M93" s="2919">
        <v>9.0000000000000011E-3</v>
      </c>
      <c r="N93" s="2921">
        <v>9.0000000000000011E-3</v>
      </c>
      <c r="O93" s="2920">
        <v>0.9</v>
      </c>
      <c r="P93" s="2919">
        <v>0.9</v>
      </c>
      <c r="Q93" s="2921">
        <v>0.9</v>
      </c>
    </row>
    <row r="94" spans="1:30" s="673" customFormat="1" x14ac:dyDescent="0.2">
      <c r="A94" s="1607"/>
      <c r="B94" s="1607"/>
      <c r="C94" s="1608" t="s">
        <v>34</v>
      </c>
      <c r="D94" s="2905" t="s">
        <v>1886</v>
      </c>
      <c r="E94" s="1609">
        <v>10</v>
      </c>
      <c r="F94" s="1609" t="s">
        <v>365</v>
      </c>
      <c r="G94" s="2922" t="s">
        <v>1902</v>
      </c>
      <c r="H94" s="1612">
        <v>240</v>
      </c>
      <c r="I94" s="2826"/>
      <c r="J94" s="2827"/>
      <c r="K94" s="2828"/>
      <c r="L94" s="2924">
        <v>8.0208333333333347E-3</v>
      </c>
      <c r="M94" s="2923">
        <v>7.2916666666666668E-3</v>
      </c>
      <c r="N94" s="2925">
        <v>8.7500000000000008E-3</v>
      </c>
      <c r="O94" s="2924">
        <v>1.925</v>
      </c>
      <c r="P94" s="2923">
        <v>1.75</v>
      </c>
      <c r="Q94" s="2925">
        <v>2.1</v>
      </c>
    </row>
    <row r="95" spans="1:30" s="673" customFormat="1" x14ac:dyDescent="0.2">
      <c r="A95" s="1607"/>
      <c r="B95" s="1607"/>
      <c r="C95" s="1608" t="s">
        <v>27</v>
      </c>
      <c r="D95" s="2905"/>
      <c r="E95" s="1609">
        <v>30</v>
      </c>
      <c r="F95" s="1609" t="s">
        <v>365</v>
      </c>
      <c r="G95" s="2922"/>
      <c r="H95" s="1612">
        <v>240</v>
      </c>
      <c r="I95" s="2826"/>
      <c r="J95" s="2827"/>
      <c r="K95" s="2828"/>
      <c r="L95" s="2924">
        <v>9.4415173867228669E-2</v>
      </c>
      <c r="M95" s="2923">
        <v>9.4415173867228669E-2</v>
      </c>
      <c r="N95" s="2925">
        <v>9.7787144362486839E-2</v>
      </c>
      <c r="O95" s="2924">
        <v>22.659641728134879</v>
      </c>
      <c r="P95" s="2923">
        <v>22.659641728134879</v>
      </c>
      <c r="Q95" s="2925">
        <v>23.46891464699684</v>
      </c>
      <c r="R95" s="716" t="s">
        <v>1919</v>
      </c>
    </row>
    <row r="96" spans="1:30" s="673" customFormat="1" x14ac:dyDescent="0.2">
      <c r="A96" s="1607"/>
      <c r="B96" s="1607"/>
      <c r="C96" s="1608" t="s">
        <v>29</v>
      </c>
      <c r="D96" s="2905" t="s">
        <v>1889</v>
      </c>
      <c r="E96" s="1609">
        <v>10</v>
      </c>
      <c r="F96" s="1609" t="s">
        <v>365</v>
      </c>
      <c r="G96" s="2922" t="s">
        <v>1904</v>
      </c>
      <c r="H96" s="1612">
        <v>240</v>
      </c>
      <c r="I96" s="2826"/>
      <c r="J96" s="2827"/>
      <c r="K96" s="2828"/>
      <c r="L96" s="2924">
        <v>9.1999999999999998E-3</v>
      </c>
      <c r="M96" s="2923">
        <v>9.1999999999999998E-3</v>
      </c>
      <c r="N96" s="2925">
        <v>9.1999999999999998E-3</v>
      </c>
      <c r="O96" s="2924">
        <v>0.92</v>
      </c>
      <c r="P96" s="2923">
        <v>0.92</v>
      </c>
      <c r="Q96" s="2925">
        <v>0.92</v>
      </c>
    </row>
    <row r="97" spans="1:17" s="673" customFormat="1" x14ac:dyDescent="0.2">
      <c r="A97" s="2931"/>
      <c r="B97" s="2931"/>
      <c r="C97" s="2932" t="s">
        <v>29</v>
      </c>
      <c r="D97" s="2933" t="s">
        <v>1889</v>
      </c>
      <c r="E97" s="2934">
        <v>10</v>
      </c>
      <c r="F97" s="2934" t="s">
        <v>365</v>
      </c>
      <c r="G97" s="2935" t="s">
        <v>1904</v>
      </c>
      <c r="H97" s="688">
        <v>240</v>
      </c>
      <c r="I97" s="2839"/>
      <c r="J97" s="2840"/>
      <c r="K97" s="2841"/>
      <c r="L97" s="2937">
        <v>8.1250000000000003E-3</v>
      </c>
      <c r="M97" s="2936">
        <v>8.1250000000000003E-3</v>
      </c>
      <c r="N97" s="2938">
        <v>8.1250000000000003E-3</v>
      </c>
      <c r="O97" s="2937">
        <v>1.95</v>
      </c>
      <c r="P97" s="2936">
        <v>1.95</v>
      </c>
      <c r="Q97" s="2938">
        <v>1.95</v>
      </c>
    </row>
    <row r="98" spans="1:17" s="673" customFormat="1" x14ac:dyDescent="0.2">
      <c r="A98" s="754" t="s">
        <v>1658</v>
      </c>
      <c r="B98" s="692"/>
      <c r="C98" s="693" t="s">
        <v>36</v>
      </c>
      <c r="D98" s="2927" t="s">
        <v>1892</v>
      </c>
      <c r="E98" s="694">
        <v>20</v>
      </c>
      <c r="F98" s="694" t="s">
        <v>365</v>
      </c>
      <c r="G98" s="2915" t="s">
        <v>1902</v>
      </c>
      <c r="H98" s="697">
        <v>240</v>
      </c>
      <c r="I98" s="2916"/>
      <c r="J98" s="2917"/>
      <c r="K98" s="2918"/>
      <c r="L98" s="2920">
        <v>4.0625000000000001E-2</v>
      </c>
      <c r="M98" s="2919">
        <v>3.125E-2</v>
      </c>
      <c r="N98" s="2921">
        <v>0.05</v>
      </c>
      <c r="O98" s="2920">
        <v>9.75</v>
      </c>
      <c r="P98" s="2919">
        <v>7.5</v>
      </c>
      <c r="Q98" s="2921">
        <v>12</v>
      </c>
    </row>
    <row r="99" spans="1:17" s="673" customFormat="1" x14ac:dyDescent="0.2">
      <c r="A99" s="1607"/>
      <c r="B99" s="1607"/>
      <c r="C99" s="1608" t="s">
        <v>36</v>
      </c>
      <c r="D99" s="2905" t="s">
        <v>1889</v>
      </c>
      <c r="E99" s="1609">
        <v>20</v>
      </c>
      <c r="F99" s="1609" t="s">
        <v>365</v>
      </c>
      <c r="G99" s="2922" t="s">
        <v>1112</v>
      </c>
      <c r="H99" s="1612">
        <v>240</v>
      </c>
      <c r="I99" s="2826"/>
      <c r="J99" s="2827"/>
      <c r="K99" s="2828"/>
      <c r="L99" s="2924">
        <v>4.1666666666666664E-2</v>
      </c>
      <c r="M99" s="2923">
        <v>4.1666666666666664E-2</v>
      </c>
      <c r="N99" s="2925">
        <v>4.1666666666666664E-2</v>
      </c>
      <c r="O99" s="2924">
        <v>1.25</v>
      </c>
      <c r="P99" s="2923">
        <v>1.25</v>
      </c>
      <c r="Q99" s="2925">
        <v>1.25</v>
      </c>
    </row>
    <row r="100" spans="1:17" s="673" customFormat="1" x14ac:dyDescent="0.2">
      <c r="B100" s="1607"/>
      <c r="C100" s="693" t="s">
        <v>37</v>
      </c>
      <c r="D100" s="2927"/>
      <c r="E100" s="694">
        <v>10</v>
      </c>
      <c r="F100" s="694" t="s">
        <v>365</v>
      </c>
      <c r="G100" s="2915"/>
      <c r="H100" s="697">
        <v>240</v>
      </c>
      <c r="I100" s="2916"/>
      <c r="J100" s="2917"/>
      <c r="K100" s="2918"/>
      <c r="L100" s="2937">
        <v>0.10684931506849316</v>
      </c>
      <c r="M100" s="2936">
        <v>8.4931506849315067E-2</v>
      </c>
      <c r="N100" s="2938">
        <v>0.10684931506849316</v>
      </c>
      <c r="O100" s="2937">
        <v>25.643835616438359</v>
      </c>
      <c r="P100" s="2936">
        <v>20.383561643835616</v>
      </c>
      <c r="Q100" s="2938">
        <v>25.643835616438359</v>
      </c>
    </row>
    <row r="101" spans="1:17" s="673" customFormat="1" x14ac:dyDescent="0.2">
      <c r="A101" s="1607"/>
      <c r="B101" s="1607"/>
      <c r="C101" s="1608" t="s">
        <v>37</v>
      </c>
      <c r="D101" s="2905"/>
      <c r="E101" s="1609">
        <v>10</v>
      </c>
      <c r="F101" s="1609" t="s">
        <v>365</v>
      </c>
      <c r="G101" s="2922"/>
      <c r="H101" s="1612">
        <v>240</v>
      </c>
      <c r="I101" s="2826"/>
      <c r="J101" s="2827"/>
      <c r="K101" s="2828"/>
      <c r="L101" s="2929"/>
      <c r="M101" s="2928"/>
      <c r="N101" s="2930"/>
      <c r="O101" s="2929"/>
      <c r="P101" s="2928"/>
      <c r="Q101" s="2930"/>
    </row>
    <row r="102" spans="1:17" s="673" customFormat="1" x14ac:dyDescent="0.2">
      <c r="A102" s="1607"/>
      <c r="B102" s="1607"/>
      <c r="C102" s="1608" t="s">
        <v>42</v>
      </c>
      <c r="D102" s="2905" t="s">
        <v>1898</v>
      </c>
      <c r="E102" s="1609" t="s">
        <v>367</v>
      </c>
      <c r="F102" s="1609" t="s">
        <v>365</v>
      </c>
      <c r="G102" s="2922" t="s">
        <v>1906</v>
      </c>
      <c r="H102" s="1612">
        <v>60</v>
      </c>
      <c r="I102" s="2826"/>
      <c r="J102" s="2827"/>
      <c r="K102" s="2828"/>
      <c r="L102" s="2924">
        <v>0.10273333333333333</v>
      </c>
      <c r="M102" s="2923">
        <v>0.10273333333333333</v>
      </c>
      <c r="N102" s="2925">
        <v>0.10273333333333333</v>
      </c>
      <c r="O102" s="2924">
        <v>30.82</v>
      </c>
      <c r="P102" s="2923">
        <v>30.82</v>
      </c>
      <c r="Q102" s="2925">
        <v>30.82</v>
      </c>
    </row>
    <row r="103" spans="1:17" s="673" customFormat="1" x14ac:dyDescent="0.2">
      <c r="A103" s="1607"/>
      <c r="B103" s="1607"/>
      <c r="C103" s="1608" t="s">
        <v>42</v>
      </c>
      <c r="D103" s="2905" t="s">
        <v>1898</v>
      </c>
      <c r="E103" s="1609" t="s">
        <v>367</v>
      </c>
      <c r="F103" s="1609" t="s">
        <v>365</v>
      </c>
      <c r="G103" s="2922" t="s">
        <v>1902</v>
      </c>
      <c r="H103" s="1612">
        <v>60</v>
      </c>
      <c r="I103" s="2826"/>
      <c r="J103" s="2827"/>
      <c r="K103" s="2828"/>
      <c r="L103" s="2924">
        <v>0.16250000000000001</v>
      </c>
      <c r="M103" s="2923">
        <v>0.16250000000000001</v>
      </c>
      <c r="N103" s="2925">
        <v>0.16250000000000001</v>
      </c>
      <c r="O103" s="2924">
        <v>26</v>
      </c>
      <c r="P103" s="2923">
        <v>26</v>
      </c>
      <c r="Q103" s="2925">
        <v>26</v>
      </c>
    </row>
    <row r="104" spans="1:17" s="673" customFormat="1" ht="13.5" thickBot="1" x14ac:dyDescent="0.25">
      <c r="A104" s="1607"/>
      <c r="B104" s="2942"/>
      <c r="C104" s="2907" t="s">
        <v>342</v>
      </c>
      <c r="D104" s="2908"/>
      <c r="E104" s="2909">
        <v>50</v>
      </c>
      <c r="F104" s="2909" t="s">
        <v>368</v>
      </c>
      <c r="G104" s="2943"/>
      <c r="H104" s="706">
        <v>144</v>
      </c>
      <c r="I104" s="2851"/>
      <c r="J104" s="2852"/>
      <c r="K104" s="2853"/>
      <c r="L104" s="2945"/>
      <c r="M104" s="2944"/>
      <c r="N104" s="2946"/>
      <c r="O104" s="2945"/>
      <c r="P104" s="2944"/>
      <c r="Q104" s="2946"/>
    </row>
    <row r="105" spans="1:17" s="673" customFormat="1" ht="12" customHeight="1" thickBot="1" x14ac:dyDescent="0.25">
      <c r="A105" s="2942"/>
      <c r="B105" s="2942"/>
      <c r="C105" s="2907" t="s">
        <v>45</v>
      </c>
      <c r="D105" s="2908" t="s">
        <v>1900</v>
      </c>
      <c r="E105" s="2909">
        <v>80</v>
      </c>
      <c r="F105" s="2909" t="s">
        <v>1868</v>
      </c>
      <c r="G105" s="2943" t="s">
        <v>1902</v>
      </c>
      <c r="H105" s="706"/>
      <c r="I105" s="2851"/>
      <c r="J105" s="2852"/>
      <c r="K105" s="2853"/>
      <c r="L105" s="2970">
        <v>9.1333333333333336E-2</v>
      </c>
      <c r="M105" s="2971">
        <v>9.1333333333333336E-2</v>
      </c>
      <c r="N105" s="2972">
        <v>9.1333333333333336E-2</v>
      </c>
      <c r="O105" s="2970">
        <v>8.2200000000000006</v>
      </c>
      <c r="P105" s="2971">
        <v>8.2200000000000006</v>
      </c>
      <c r="Q105" s="2972">
        <v>8.2200000000000006</v>
      </c>
    </row>
    <row r="106" spans="1:17" s="673" customFormat="1" x14ac:dyDescent="0.2">
      <c r="A106" s="672" t="s">
        <v>1659</v>
      </c>
      <c r="B106" s="692" t="s">
        <v>326</v>
      </c>
      <c r="C106" s="693" t="s">
        <v>2</v>
      </c>
      <c r="D106" s="2927"/>
      <c r="E106" s="694" t="s">
        <v>370</v>
      </c>
      <c r="F106" s="694" t="s">
        <v>328</v>
      </c>
      <c r="G106" s="2915"/>
      <c r="H106" s="697">
        <v>60</v>
      </c>
      <c r="I106" s="2916"/>
      <c r="J106" s="2917"/>
      <c r="K106" s="2918"/>
      <c r="L106" s="2920"/>
      <c r="M106" s="2919"/>
      <c r="N106" s="2921"/>
      <c r="O106" s="2920"/>
      <c r="P106" s="2919"/>
      <c r="Q106" s="2921"/>
    </row>
    <row r="107" spans="1:17" s="673" customFormat="1" x14ac:dyDescent="0.2">
      <c r="A107" s="1607"/>
      <c r="B107" s="1607"/>
      <c r="C107" s="1608" t="s">
        <v>2</v>
      </c>
      <c r="D107" s="2905"/>
      <c r="E107" s="1609" t="s">
        <v>370</v>
      </c>
      <c r="F107" s="1609" t="s">
        <v>328</v>
      </c>
      <c r="G107" s="2922"/>
      <c r="H107" s="1612">
        <v>60</v>
      </c>
      <c r="I107" s="2826"/>
      <c r="J107" s="2827"/>
      <c r="K107" s="2828"/>
      <c r="L107" s="2924"/>
      <c r="M107" s="2923"/>
      <c r="N107" s="2925"/>
      <c r="O107" s="2924"/>
      <c r="P107" s="2923"/>
      <c r="Q107" s="2925"/>
    </row>
    <row r="108" spans="1:17" s="673" customFormat="1" x14ac:dyDescent="0.2">
      <c r="A108" s="1607"/>
      <c r="B108" s="1607"/>
      <c r="C108" s="1608" t="s">
        <v>2</v>
      </c>
      <c r="D108" s="2905" t="s">
        <v>1872</v>
      </c>
      <c r="E108" s="1609" t="s">
        <v>371</v>
      </c>
      <c r="F108" s="1609" t="s">
        <v>328</v>
      </c>
      <c r="G108" s="2922" t="s">
        <v>1907</v>
      </c>
      <c r="H108" s="1612">
        <v>60</v>
      </c>
      <c r="I108" s="2826"/>
      <c r="J108" s="2827"/>
      <c r="K108" s="2828"/>
      <c r="L108" s="2924">
        <v>3.7499999999999999E-2</v>
      </c>
      <c r="M108" s="2923">
        <v>3.7499999999999999E-2</v>
      </c>
      <c r="N108" s="2925">
        <v>3.7499999999999999E-2</v>
      </c>
      <c r="O108" s="2924">
        <v>2.25</v>
      </c>
      <c r="P108" s="2923">
        <v>2.25</v>
      </c>
      <c r="Q108" s="2925">
        <v>2.25</v>
      </c>
    </row>
    <row r="109" spans="1:17" s="673" customFormat="1" x14ac:dyDescent="0.2">
      <c r="A109" s="1607"/>
      <c r="B109" s="1607"/>
      <c r="C109" s="1608" t="s">
        <v>2</v>
      </c>
      <c r="D109" s="2905"/>
      <c r="E109" s="1609" t="s">
        <v>371</v>
      </c>
      <c r="F109" s="1609" t="s">
        <v>328</v>
      </c>
      <c r="G109" s="2922"/>
      <c r="H109" s="1612">
        <v>60</v>
      </c>
      <c r="I109" s="2826"/>
      <c r="J109" s="2827"/>
      <c r="K109" s="2828"/>
      <c r="L109" s="2924">
        <v>3.7499999999999999E-2</v>
      </c>
      <c r="M109" s="2923">
        <v>3.7499999999999999E-2</v>
      </c>
      <c r="N109" s="2925">
        <v>3.7499999999999999E-2</v>
      </c>
      <c r="O109" s="2924">
        <v>2.25</v>
      </c>
      <c r="P109" s="2923">
        <v>2.25</v>
      </c>
      <c r="Q109" s="2925">
        <v>2.25</v>
      </c>
    </row>
    <row r="110" spans="1:17" s="673" customFormat="1" x14ac:dyDescent="0.2">
      <c r="A110" s="1607"/>
      <c r="B110" s="1607"/>
      <c r="C110" s="1608" t="s">
        <v>2</v>
      </c>
      <c r="D110" s="2905"/>
      <c r="E110" s="1609" t="s">
        <v>372</v>
      </c>
      <c r="F110" s="1609" t="s">
        <v>328</v>
      </c>
      <c r="G110" s="2922"/>
      <c r="H110" s="1612">
        <v>60</v>
      </c>
      <c r="I110" s="2826"/>
      <c r="J110" s="2827"/>
      <c r="K110" s="2828"/>
      <c r="L110" s="2924"/>
      <c r="M110" s="2923"/>
      <c r="N110" s="2925"/>
      <c r="O110" s="2924"/>
      <c r="P110" s="2923"/>
      <c r="Q110" s="2925"/>
    </row>
    <row r="111" spans="1:17" s="673" customFormat="1" x14ac:dyDescent="0.2">
      <c r="A111" s="1607"/>
      <c r="B111" s="1607"/>
      <c r="C111" s="1608" t="s">
        <v>2</v>
      </c>
      <c r="D111" s="2905"/>
      <c r="E111" s="1609" t="s">
        <v>372</v>
      </c>
      <c r="F111" s="1609" t="s">
        <v>328</v>
      </c>
      <c r="G111" s="2922"/>
      <c r="H111" s="1612">
        <v>60</v>
      </c>
      <c r="I111" s="2826"/>
      <c r="J111" s="2827"/>
      <c r="K111" s="2828"/>
      <c r="L111" s="2924"/>
      <c r="M111" s="2923"/>
      <c r="N111" s="2925"/>
      <c r="O111" s="2924"/>
      <c r="P111" s="2923"/>
      <c r="Q111" s="2925"/>
    </row>
    <row r="112" spans="1:17" s="673" customFormat="1" x14ac:dyDescent="0.2">
      <c r="A112" s="1607"/>
      <c r="B112" s="1607"/>
      <c r="C112" s="1608" t="s">
        <v>2</v>
      </c>
      <c r="D112" s="2905" t="s">
        <v>1872</v>
      </c>
      <c r="E112" s="1609" t="s">
        <v>373</v>
      </c>
      <c r="F112" s="1609" t="s">
        <v>328</v>
      </c>
      <c r="G112" s="2922" t="s">
        <v>1907</v>
      </c>
      <c r="H112" s="1612">
        <v>60</v>
      </c>
      <c r="I112" s="2826"/>
      <c r="J112" s="2827"/>
      <c r="K112" s="2828"/>
      <c r="L112" s="2924">
        <v>7.166666666666667E-2</v>
      </c>
      <c r="M112" s="2923">
        <v>7.166666666666667E-2</v>
      </c>
      <c r="N112" s="2925">
        <v>7.166666666666667E-2</v>
      </c>
      <c r="O112" s="2924">
        <v>4.3</v>
      </c>
      <c r="P112" s="2923">
        <v>4.3</v>
      </c>
      <c r="Q112" s="2925">
        <v>4.3</v>
      </c>
    </row>
    <row r="113" spans="1:17" s="673" customFormat="1" x14ac:dyDescent="0.2">
      <c r="A113" s="1607"/>
      <c r="B113" s="1607"/>
      <c r="C113" s="1608" t="s">
        <v>2</v>
      </c>
      <c r="D113" s="2905"/>
      <c r="E113" s="1609" t="s">
        <v>373</v>
      </c>
      <c r="F113" s="1609" t="s">
        <v>328</v>
      </c>
      <c r="G113" s="2922"/>
      <c r="H113" s="1612">
        <v>60</v>
      </c>
      <c r="I113" s="2826"/>
      <c r="J113" s="2827"/>
      <c r="K113" s="2828"/>
      <c r="L113" s="2929"/>
      <c r="M113" s="2928"/>
      <c r="N113" s="2930"/>
      <c r="O113" s="2929"/>
      <c r="P113" s="2928"/>
      <c r="Q113" s="2930"/>
    </row>
    <row r="114" spans="1:17" s="673" customFormat="1" x14ac:dyDescent="0.2">
      <c r="A114" s="1607"/>
      <c r="B114" s="1607"/>
      <c r="C114" s="1608" t="s">
        <v>2</v>
      </c>
      <c r="D114" s="2905"/>
      <c r="E114" s="1609" t="s">
        <v>606</v>
      </c>
      <c r="F114" s="1609" t="s">
        <v>328</v>
      </c>
      <c r="G114" s="2922"/>
      <c r="H114" s="1612">
        <v>60</v>
      </c>
      <c r="I114" s="2826"/>
      <c r="J114" s="2827"/>
      <c r="K114" s="2828"/>
      <c r="L114" s="2924"/>
      <c r="M114" s="2923"/>
      <c r="N114" s="2925"/>
      <c r="O114" s="2924"/>
      <c r="P114" s="2923"/>
      <c r="Q114" s="2925"/>
    </row>
    <row r="115" spans="1:17" s="673" customFormat="1" x14ac:dyDescent="0.2">
      <c r="A115" s="1607"/>
      <c r="B115" s="1607"/>
      <c r="C115" s="1608" t="s">
        <v>22</v>
      </c>
      <c r="D115" s="2905"/>
      <c r="E115" s="1609" t="s">
        <v>374</v>
      </c>
      <c r="F115" s="1609" t="s">
        <v>328</v>
      </c>
      <c r="G115" s="2922"/>
      <c r="H115" s="1612">
        <v>60</v>
      </c>
      <c r="I115" s="2826"/>
      <c r="J115" s="2827"/>
      <c r="K115" s="2828"/>
      <c r="L115" s="2929"/>
      <c r="M115" s="2928"/>
      <c r="N115" s="2930"/>
      <c r="O115" s="2929"/>
      <c r="P115" s="2928"/>
      <c r="Q115" s="2930"/>
    </row>
    <row r="116" spans="1:17" s="673" customFormat="1" x14ac:dyDescent="0.2">
      <c r="A116" s="1607"/>
      <c r="B116" s="1607"/>
      <c r="C116" s="1608" t="s">
        <v>22</v>
      </c>
      <c r="D116" s="2905"/>
      <c r="E116" s="1609" t="s">
        <v>374</v>
      </c>
      <c r="F116" s="1609" t="s">
        <v>328</v>
      </c>
      <c r="G116" s="2922"/>
      <c r="H116" s="1612">
        <v>60</v>
      </c>
      <c r="I116" s="2826"/>
      <c r="J116" s="2827"/>
      <c r="K116" s="2828"/>
      <c r="L116" s="2924"/>
      <c r="M116" s="2923"/>
      <c r="N116" s="2925"/>
      <c r="O116" s="2924"/>
      <c r="P116" s="2923"/>
      <c r="Q116" s="2925"/>
    </row>
    <row r="117" spans="1:17" s="673" customFormat="1" x14ac:dyDescent="0.2">
      <c r="A117" s="1607"/>
      <c r="B117" s="1607"/>
      <c r="C117" s="1608" t="s">
        <v>22</v>
      </c>
      <c r="D117" s="2905" t="s">
        <v>1873</v>
      </c>
      <c r="E117" s="1609" t="s">
        <v>375</v>
      </c>
      <c r="F117" s="1609" t="s">
        <v>328</v>
      </c>
      <c r="G117" s="2922" t="s">
        <v>1908</v>
      </c>
      <c r="H117" s="1612">
        <v>60</v>
      </c>
      <c r="I117" s="2826"/>
      <c r="J117" s="2827"/>
      <c r="K117" s="2828"/>
      <c r="L117" s="2924">
        <v>3.1666666666666662E-2</v>
      </c>
      <c r="M117" s="2923">
        <v>3.1666666666666662E-2</v>
      </c>
      <c r="N117" s="2925">
        <v>3.1666666666666662E-2</v>
      </c>
      <c r="O117" s="2924">
        <v>1.9</v>
      </c>
      <c r="P117" s="2923">
        <v>1.9</v>
      </c>
      <c r="Q117" s="2925">
        <v>1.9</v>
      </c>
    </row>
    <row r="118" spans="1:17" s="673" customFormat="1" x14ac:dyDescent="0.2">
      <c r="A118" s="1607"/>
      <c r="B118" s="1607"/>
      <c r="C118" s="1608" t="s">
        <v>22</v>
      </c>
      <c r="D118" s="2905"/>
      <c r="E118" s="1609" t="s">
        <v>375</v>
      </c>
      <c r="F118" s="1609" t="s">
        <v>328</v>
      </c>
      <c r="G118" s="2922"/>
      <c r="H118" s="1612">
        <v>60</v>
      </c>
      <c r="I118" s="2826"/>
      <c r="J118" s="2827"/>
      <c r="K118" s="2828"/>
      <c r="L118" s="2929"/>
      <c r="M118" s="2928"/>
      <c r="N118" s="2930"/>
      <c r="O118" s="2929"/>
      <c r="P118" s="2928"/>
      <c r="Q118" s="2930"/>
    </row>
    <row r="119" spans="1:17" s="673" customFormat="1" x14ac:dyDescent="0.2">
      <c r="A119" s="1607"/>
      <c r="B119" s="1607"/>
      <c r="C119" s="1608" t="s">
        <v>22</v>
      </c>
      <c r="D119" s="2905"/>
      <c r="E119" s="1609" t="s">
        <v>376</v>
      </c>
      <c r="F119" s="1609" t="s">
        <v>328</v>
      </c>
      <c r="G119" s="2922"/>
      <c r="H119" s="1612">
        <v>60</v>
      </c>
      <c r="I119" s="2916"/>
      <c r="J119" s="2917"/>
      <c r="K119" s="2918"/>
      <c r="L119" s="2920"/>
      <c r="M119" s="2919"/>
      <c r="N119" s="2921"/>
      <c r="O119" s="2920"/>
      <c r="P119" s="2919"/>
      <c r="Q119" s="2921"/>
    </row>
    <row r="120" spans="1:17" s="673" customFormat="1" x14ac:dyDescent="0.2">
      <c r="A120" s="1607"/>
      <c r="B120" s="1607"/>
      <c r="C120" s="1608" t="s">
        <v>22</v>
      </c>
      <c r="D120" s="2905"/>
      <c r="E120" s="1609" t="s">
        <v>376</v>
      </c>
      <c r="F120" s="1609" t="s">
        <v>328</v>
      </c>
      <c r="G120" s="2922"/>
      <c r="H120" s="1612">
        <v>60</v>
      </c>
      <c r="I120" s="2826"/>
      <c r="J120" s="2827"/>
      <c r="K120" s="2828"/>
      <c r="L120" s="2929"/>
      <c r="M120" s="2928"/>
      <c r="N120" s="2930"/>
      <c r="O120" s="2929"/>
      <c r="P120" s="2928"/>
      <c r="Q120" s="2930"/>
    </row>
    <row r="121" spans="1:17" s="673" customFormat="1" x14ac:dyDescent="0.2">
      <c r="A121" s="1607"/>
      <c r="B121" s="1607"/>
      <c r="C121" s="1608" t="s">
        <v>22</v>
      </c>
      <c r="D121" s="2905" t="s">
        <v>1873</v>
      </c>
      <c r="E121" s="1609" t="s">
        <v>377</v>
      </c>
      <c r="F121" s="1609" t="s">
        <v>328</v>
      </c>
      <c r="G121" s="2922" t="s">
        <v>1908</v>
      </c>
      <c r="H121" s="1612">
        <v>60</v>
      </c>
      <c r="I121" s="2826"/>
      <c r="J121" s="2827"/>
      <c r="K121" s="2828"/>
      <c r="L121" s="2924">
        <v>5.5E-2</v>
      </c>
      <c r="M121" s="2923">
        <v>5.5E-2</v>
      </c>
      <c r="N121" s="2925">
        <v>5.5E-2</v>
      </c>
      <c r="O121" s="2924">
        <v>3.3</v>
      </c>
      <c r="P121" s="2923">
        <v>3.3</v>
      </c>
      <c r="Q121" s="2925">
        <v>3.3</v>
      </c>
    </row>
    <row r="122" spans="1:17" s="673" customFormat="1" x14ac:dyDescent="0.2">
      <c r="A122" s="1607"/>
      <c r="B122" s="1607"/>
      <c r="C122" s="1608" t="s">
        <v>22</v>
      </c>
      <c r="D122" s="2905"/>
      <c r="E122" s="1609" t="s">
        <v>377</v>
      </c>
      <c r="F122" s="1609" t="s">
        <v>328</v>
      </c>
      <c r="G122" s="2922"/>
      <c r="H122" s="1612">
        <v>60</v>
      </c>
      <c r="I122" s="2826"/>
      <c r="J122" s="2827"/>
      <c r="K122" s="2828"/>
      <c r="L122" s="2929"/>
      <c r="M122" s="2928"/>
      <c r="N122" s="2930"/>
      <c r="O122" s="2929"/>
      <c r="P122" s="2928"/>
      <c r="Q122" s="2930"/>
    </row>
    <row r="123" spans="1:17" s="673" customFormat="1" x14ac:dyDescent="0.2">
      <c r="A123" s="1607"/>
      <c r="B123" s="1607"/>
      <c r="C123" s="2932" t="s">
        <v>22</v>
      </c>
      <c r="D123" s="2933"/>
      <c r="E123" s="2934" t="s">
        <v>331</v>
      </c>
      <c r="F123" s="2934" t="s">
        <v>328</v>
      </c>
      <c r="G123" s="2935"/>
      <c r="H123" s="688">
        <v>60</v>
      </c>
      <c r="I123" s="2839"/>
      <c r="J123" s="2840"/>
      <c r="K123" s="2841"/>
      <c r="L123" s="2937"/>
      <c r="M123" s="2936"/>
      <c r="N123" s="2938"/>
      <c r="O123" s="2937"/>
      <c r="P123" s="2936"/>
      <c r="Q123" s="2938"/>
    </row>
    <row r="124" spans="1:17" s="673" customFormat="1" x14ac:dyDescent="0.2">
      <c r="A124" s="1607"/>
      <c r="B124" s="1607"/>
      <c r="C124" s="1608" t="s">
        <v>1</v>
      </c>
      <c r="D124" s="2905" t="s">
        <v>1870</v>
      </c>
      <c r="E124" s="1609" t="s">
        <v>378</v>
      </c>
      <c r="F124" s="1609" t="s">
        <v>328</v>
      </c>
      <c r="G124" s="2922" t="s">
        <v>1907</v>
      </c>
      <c r="H124" s="1612">
        <v>60</v>
      </c>
      <c r="I124" s="2916"/>
      <c r="J124" s="2917"/>
      <c r="K124" s="2918"/>
      <c r="L124" s="2920">
        <v>6.9166666666666668E-2</v>
      </c>
      <c r="M124" s="2919">
        <v>6.9166666666666668E-2</v>
      </c>
      <c r="N124" s="2921">
        <v>6.9166666666666668E-2</v>
      </c>
      <c r="O124" s="2920">
        <v>4.1500000000000004</v>
      </c>
      <c r="P124" s="2919">
        <v>4.1500000000000004</v>
      </c>
      <c r="Q124" s="2921">
        <v>4.1500000000000004</v>
      </c>
    </row>
    <row r="125" spans="1:17" s="673" customFormat="1" x14ac:dyDescent="0.2">
      <c r="A125" s="1607"/>
      <c r="B125" s="1607"/>
      <c r="C125" s="1608" t="s">
        <v>1</v>
      </c>
      <c r="D125" s="2905"/>
      <c r="E125" s="1609" t="s">
        <v>378</v>
      </c>
      <c r="F125" s="1609" t="s">
        <v>328</v>
      </c>
      <c r="G125" s="2922"/>
      <c r="H125" s="1612">
        <v>60</v>
      </c>
      <c r="I125" s="2826"/>
      <c r="J125" s="2827"/>
      <c r="K125" s="2828"/>
      <c r="L125" s="2929"/>
      <c r="M125" s="2928"/>
      <c r="N125" s="2930"/>
      <c r="O125" s="2929"/>
      <c r="P125" s="2928"/>
      <c r="Q125" s="2930"/>
    </row>
    <row r="126" spans="1:17" s="673" customFormat="1" x14ac:dyDescent="0.2">
      <c r="A126" s="1607"/>
      <c r="B126" s="1607"/>
      <c r="C126" s="1608" t="s">
        <v>3</v>
      </c>
      <c r="D126" s="673" t="s">
        <v>1874</v>
      </c>
      <c r="E126" s="1609" t="s">
        <v>1869</v>
      </c>
      <c r="F126" s="1609" t="s">
        <v>328</v>
      </c>
      <c r="G126" s="2922" t="s">
        <v>1112</v>
      </c>
      <c r="H126" s="1612">
        <v>60</v>
      </c>
      <c r="I126" s="2826"/>
      <c r="J126" s="2827"/>
      <c r="K126" s="2828"/>
      <c r="L126" s="2924">
        <v>0.16666666666666666</v>
      </c>
      <c r="M126" s="2923">
        <v>0.16666666666666666</v>
      </c>
      <c r="N126" s="2925">
        <v>0.16666666666666666</v>
      </c>
      <c r="O126" s="2924">
        <v>10</v>
      </c>
      <c r="P126" s="2923">
        <v>10</v>
      </c>
      <c r="Q126" s="2925">
        <v>10</v>
      </c>
    </row>
    <row r="127" spans="1:17" s="673" customFormat="1" x14ac:dyDescent="0.2">
      <c r="A127" s="1607"/>
      <c r="B127" s="1607"/>
      <c r="C127" s="1608" t="s">
        <v>18</v>
      </c>
      <c r="D127" s="2905" t="s">
        <v>1871</v>
      </c>
      <c r="E127" s="1609" t="s">
        <v>379</v>
      </c>
      <c r="F127" s="1609" t="s">
        <v>328</v>
      </c>
      <c r="G127" s="2922" t="s">
        <v>1112</v>
      </c>
      <c r="H127" s="1612">
        <v>60</v>
      </c>
      <c r="I127" s="2826"/>
      <c r="J127" s="2827"/>
      <c r="K127" s="2828"/>
      <c r="L127" s="2924">
        <v>4.9500000000000002E-2</v>
      </c>
      <c r="M127" s="2923">
        <v>3.6666666666666667E-2</v>
      </c>
      <c r="N127" s="2925">
        <v>6.2333333333333338E-2</v>
      </c>
      <c r="O127" s="2924">
        <v>2.97</v>
      </c>
      <c r="P127" s="2923">
        <v>2.2000000000000002</v>
      </c>
      <c r="Q127" s="2925">
        <v>3.74</v>
      </c>
    </row>
    <row r="128" spans="1:17" s="673" customFormat="1" x14ac:dyDescent="0.2">
      <c r="A128" s="1607"/>
      <c r="B128" s="2931"/>
      <c r="C128" s="2932" t="s">
        <v>18</v>
      </c>
      <c r="D128" s="2933" t="s">
        <v>1871</v>
      </c>
      <c r="E128" s="2934" t="s">
        <v>379</v>
      </c>
      <c r="F128" s="2934" t="s">
        <v>328</v>
      </c>
      <c r="G128" s="2935" t="s">
        <v>1907</v>
      </c>
      <c r="H128" s="688">
        <v>60</v>
      </c>
      <c r="I128" s="2839"/>
      <c r="J128" s="2840"/>
      <c r="K128" s="2841"/>
      <c r="L128" s="2937">
        <v>4.4499999999999998E-2</v>
      </c>
      <c r="M128" s="2936">
        <v>4.4499999999999998E-2</v>
      </c>
      <c r="N128" s="2938">
        <v>4.4499999999999998E-2</v>
      </c>
      <c r="O128" s="2937">
        <v>2.67</v>
      </c>
      <c r="P128" s="2936">
        <v>2.67</v>
      </c>
      <c r="Q128" s="2938">
        <v>2.67</v>
      </c>
    </row>
    <row r="129" spans="1:18" s="673" customFormat="1" x14ac:dyDescent="0.2">
      <c r="A129" s="1607"/>
      <c r="B129" s="1552"/>
      <c r="C129" s="1553" t="s">
        <v>596</v>
      </c>
      <c r="D129" s="2947" t="s">
        <v>1877</v>
      </c>
      <c r="E129" s="1554" t="s">
        <v>379</v>
      </c>
      <c r="F129" s="1554" t="s">
        <v>328</v>
      </c>
      <c r="G129" s="728" t="s">
        <v>1112</v>
      </c>
      <c r="H129" s="1557">
        <v>60</v>
      </c>
      <c r="I129" s="2948"/>
      <c r="J129" s="2949"/>
      <c r="K129" s="2950"/>
      <c r="L129" s="2952">
        <v>9.6666666666666665E-2</v>
      </c>
      <c r="M129" s="2951">
        <v>7.6666666666666661E-2</v>
      </c>
      <c r="N129" s="2953">
        <v>0.11666666666666667</v>
      </c>
      <c r="O129" s="2952">
        <v>5.8</v>
      </c>
      <c r="P129" s="2951">
        <v>4.5999999999999996</v>
      </c>
      <c r="Q129" s="2953">
        <v>7</v>
      </c>
    </row>
    <row r="130" spans="1:18" s="673" customFormat="1" x14ac:dyDescent="0.2">
      <c r="A130" s="1607"/>
      <c r="B130" s="692" t="s">
        <v>333</v>
      </c>
      <c r="C130" s="693" t="s">
        <v>32</v>
      </c>
      <c r="D130" s="2927" t="s">
        <v>1883</v>
      </c>
      <c r="E130" s="694">
        <v>100</v>
      </c>
      <c r="F130" s="694" t="s">
        <v>328</v>
      </c>
      <c r="G130" s="2915" t="s">
        <v>1885</v>
      </c>
      <c r="H130" s="697">
        <v>100</v>
      </c>
      <c r="I130" s="2916"/>
      <c r="J130" s="2917"/>
      <c r="K130" s="2918"/>
      <c r="L130" s="2920">
        <v>4.5700000000000005E-2</v>
      </c>
      <c r="M130" s="2919">
        <v>4.5400000000000003E-2</v>
      </c>
      <c r="N130" s="2921">
        <v>4.5999999999999999E-2</v>
      </c>
      <c r="O130" s="2920">
        <v>4.57</v>
      </c>
      <c r="P130" s="2919">
        <v>4.54</v>
      </c>
      <c r="Q130" s="2921">
        <v>4.5999999999999996</v>
      </c>
    </row>
    <row r="131" spans="1:18" s="673" customFormat="1" x14ac:dyDescent="0.2">
      <c r="A131" s="1607"/>
      <c r="B131" s="692"/>
      <c r="C131" s="693" t="s">
        <v>32</v>
      </c>
      <c r="D131" s="2927" t="s">
        <v>1883</v>
      </c>
      <c r="E131" s="694">
        <v>60</v>
      </c>
      <c r="F131" s="694" t="s">
        <v>328</v>
      </c>
      <c r="G131" s="2915" t="s">
        <v>1907</v>
      </c>
      <c r="H131" s="697">
        <v>60</v>
      </c>
      <c r="I131" s="2916"/>
      <c r="J131" s="2917"/>
      <c r="K131" s="2918"/>
      <c r="L131" s="2920">
        <v>6.25E-2</v>
      </c>
      <c r="M131" s="2919">
        <v>6.25E-2</v>
      </c>
      <c r="N131" s="2921">
        <v>6.25E-2</v>
      </c>
      <c r="O131" s="2920">
        <v>3.75</v>
      </c>
      <c r="P131" s="2919">
        <v>3.75</v>
      </c>
      <c r="Q131" s="2921">
        <v>3.75</v>
      </c>
    </row>
    <row r="132" spans="1:18" s="673" customFormat="1" x14ac:dyDescent="0.2">
      <c r="A132" s="1607"/>
      <c r="B132" s="692"/>
      <c r="C132" s="693" t="s">
        <v>34</v>
      </c>
      <c r="D132" s="2927"/>
      <c r="E132" s="694">
        <v>60</v>
      </c>
      <c r="F132" s="694" t="s">
        <v>328</v>
      </c>
      <c r="G132" s="695"/>
      <c r="H132" s="697">
        <v>60</v>
      </c>
      <c r="I132" s="2916"/>
      <c r="J132" s="2917"/>
      <c r="K132" s="2918"/>
      <c r="L132" s="2920">
        <v>5.8904109589041097E-2</v>
      </c>
      <c r="M132" s="2919">
        <v>5.6164383561643834E-2</v>
      </c>
      <c r="N132" s="2921">
        <v>5.8904109589041097E-2</v>
      </c>
      <c r="O132" s="2920">
        <v>3.5342465753424657</v>
      </c>
      <c r="P132" s="2919">
        <v>3.3698630136986298</v>
      </c>
      <c r="Q132" s="2921">
        <v>3.5342465753424657</v>
      </c>
      <c r="R132" s="716" t="s">
        <v>1919</v>
      </c>
    </row>
    <row r="133" spans="1:18" s="673" customFormat="1" x14ac:dyDescent="0.2">
      <c r="A133" s="1607"/>
      <c r="B133" s="1607"/>
      <c r="C133" s="1608" t="s">
        <v>82</v>
      </c>
      <c r="D133" s="2905" t="s">
        <v>1884</v>
      </c>
      <c r="E133" s="1609">
        <v>15</v>
      </c>
      <c r="F133" s="1609" t="s">
        <v>328</v>
      </c>
      <c r="G133" s="2922" t="s">
        <v>1885</v>
      </c>
      <c r="H133" s="1612">
        <v>60</v>
      </c>
      <c r="I133" s="2826"/>
      <c r="J133" s="2827"/>
      <c r="K133" s="2828"/>
      <c r="L133" s="2924">
        <v>2.1249999999999998E-2</v>
      </c>
      <c r="M133" s="2923">
        <v>2.0833333333333332E-2</v>
      </c>
      <c r="N133" s="2925">
        <v>2.1666666666666667E-2</v>
      </c>
      <c r="O133" s="2924">
        <v>1.2749999999999999</v>
      </c>
      <c r="P133" s="2923">
        <v>1.25</v>
      </c>
      <c r="Q133" s="2925">
        <v>1.3</v>
      </c>
    </row>
    <row r="134" spans="1:18" s="673" customFormat="1" x14ac:dyDescent="0.2">
      <c r="A134" s="1607"/>
      <c r="B134" s="1607"/>
      <c r="C134" s="1608" t="s">
        <v>82</v>
      </c>
      <c r="D134" s="2905" t="s">
        <v>1884</v>
      </c>
      <c r="E134" s="1609">
        <v>20</v>
      </c>
      <c r="F134" s="1609" t="s">
        <v>328</v>
      </c>
      <c r="G134" s="2922" t="s">
        <v>1885</v>
      </c>
      <c r="H134" s="1612">
        <v>60</v>
      </c>
      <c r="I134" s="2826"/>
      <c r="J134" s="2827"/>
      <c r="K134" s="2828"/>
      <c r="L134" s="2924">
        <v>2.3E-2</v>
      </c>
      <c r="M134" s="2923">
        <v>2.1666666666666667E-2</v>
      </c>
      <c r="N134" s="2925">
        <v>2.4333333333333332E-2</v>
      </c>
      <c r="O134" s="2924">
        <v>1.38</v>
      </c>
      <c r="P134" s="2923">
        <v>1.3</v>
      </c>
      <c r="Q134" s="2925">
        <v>1.46</v>
      </c>
    </row>
    <row r="135" spans="1:18" s="673" customFormat="1" x14ac:dyDescent="0.2">
      <c r="A135" s="1607"/>
      <c r="B135" s="1607"/>
      <c r="C135" s="1608" t="s">
        <v>27</v>
      </c>
      <c r="D135" s="2905" t="s">
        <v>1891</v>
      </c>
      <c r="E135" s="1609">
        <v>50</v>
      </c>
      <c r="F135" s="1609" t="s">
        <v>328</v>
      </c>
      <c r="G135" s="2922"/>
      <c r="H135" s="1612">
        <v>30</v>
      </c>
      <c r="I135" s="2826"/>
      <c r="J135" s="2827"/>
      <c r="K135" s="2828"/>
      <c r="L135" s="2924">
        <v>4.9666666666666665E-2</v>
      </c>
      <c r="M135" s="2923">
        <v>4.9666666666666665E-2</v>
      </c>
      <c r="N135" s="2925">
        <v>7.4666666666666673E-2</v>
      </c>
      <c r="O135" s="2924">
        <v>1.49</v>
      </c>
      <c r="P135" s="2923"/>
      <c r="Q135" s="2925">
        <v>2.2400000000000002</v>
      </c>
    </row>
    <row r="136" spans="1:18" s="673" customFormat="1" x14ac:dyDescent="0.2">
      <c r="A136" s="1607"/>
      <c r="B136" s="1607"/>
      <c r="C136" s="1608" t="s">
        <v>27</v>
      </c>
      <c r="D136" s="2905"/>
      <c r="E136" s="1609">
        <v>50</v>
      </c>
      <c r="F136" s="1609" t="s">
        <v>328</v>
      </c>
      <c r="G136" s="2922"/>
      <c r="H136" s="1612">
        <v>30</v>
      </c>
      <c r="I136" s="2826"/>
      <c r="J136" s="2827"/>
      <c r="K136" s="2828"/>
      <c r="L136" s="2924">
        <v>4.9666666666666665E-2</v>
      </c>
      <c r="M136" s="2923">
        <v>4.9666666666666665E-2</v>
      </c>
      <c r="N136" s="2925">
        <v>7.4666666666666673E-2</v>
      </c>
      <c r="O136" s="2924">
        <v>1.49</v>
      </c>
      <c r="P136" s="2923"/>
      <c r="Q136" s="2925">
        <v>2.2400000000000002</v>
      </c>
    </row>
    <row r="137" spans="1:18" s="673" customFormat="1" x14ac:dyDescent="0.2">
      <c r="A137" s="1607"/>
      <c r="B137" s="1607"/>
      <c r="C137" s="1608" t="s">
        <v>27</v>
      </c>
      <c r="D137" s="2905"/>
      <c r="E137" s="1609">
        <v>200</v>
      </c>
      <c r="F137" s="1609" t="s">
        <v>328</v>
      </c>
      <c r="G137" s="2922"/>
      <c r="H137" s="1612">
        <v>90</v>
      </c>
      <c r="I137" s="2826"/>
      <c r="J137" s="2827"/>
      <c r="K137" s="2828"/>
      <c r="L137" s="2924"/>
      <c r="M137" s="2923"/>
      <c r="N137" s="2925"/>
      <c r="O137" s="2924"/>
      <c r="P137" s="2923"/>
      <c r="Q137" s="2925"/>
    </row>
    <row r="138" spans="1:18" s="673" customFormat="1" x14ac:dyDescent="0.2">
      <c r="A138" s="2931"/>
      <c r="B138" s="2931"/>
      <c r="C138" s="2932" t="s">
        <v>29</v>
      </c>
      <c r="D138" s="2933"/>
      <c r="E138" s="2934">
        <v>200</v>
      </c>
      <c r="F138" s="2934" t="s">
        <v>328</v>
      </c>
      <c r="G138" s="2935"/>
      <c r="H138" s="688">
        <v>60</v>
      </c>
      <c r="I138" s="2839"/>
      <c r="J138" s="2840"/>
      <c r="K138" s="2841"/>
      <c r="L138" s="2955"/>
      <c r="M138" s="2954"/>
      <c r="N138" s="2956"/>
      <c r="O138" s="2955"/>
      <c r="P138" s="2954"/>
      <c r="Q138" s="2956"/>
    </row>
    <row r="139" spans="1:18" s="673" customFormat="1" x14ac:dyDescent="0.2">
      <c r="A139" s="1616" t="s">
        <v>1658</v>
      </c>
      <c r="B139" s="1552"/>
      <c r="C139" s="1553" t="s">
        <v>36</v>
      </c>
      <c r="D139" s="2947" t="s">
        <v>1892</v>
      </c>
      <c r="E139" s="1554">
        <v>60</v>
      </c>
      <c r="F139" s="1554" t="s">
        <v>328</v>
      </c>
      <c r="G139" s="728" t="s">
        <v>1908</v>
      </c>
      <c r="H139" s="1557">
        <v>60</v>
      </c>
      <c r="I139" s="2948"/>
      <c r="J139" s="2949"/>
      <c r="K139" s="2950"/>
      <c r="L139" s="2952">
        <v>8.7499999999999994E-2</v>
      </c>
      <c r="M139" s="2951">
        <v>8.7499999999999994E-2</v>
      </c>
      <c r="N139" s="2953">
        <v>8.7499999999999994E-2</v>
      </c>
      <c r="O139" s="2952">
        <v>5.25</v>
      </c>
      <c r="P139" s="2951">
        <v>5.25</v>
      </c>
      <c r="Q139" s="2953">
        <v>5.25</v>
      </c>
    </row>
    <row r="140" spans="1:18" s="673" customFormat="1" x14ac:dyDescent="0.2">
      <c r="A140" s="754"/>
      <c r="B140" s="692"/>
      <c r="C140" s="693" t="s">
        <v>37</v>
      </c>
      <c r="D140" s="2927"/>
      <c r="E140" s="694">
        <v>25</v>
      </c>
      <c r="F140" s="694" t="s">
        <v>328</v>
      </c>
      <c r="G140" s="2915"/>
      <c r="H140" s="697">
        <v>60</v>
      </c>
      <c r="I140" s="2916"/>
      <c r="J140" s="2917"/>
      <c r="K140" s="2918"/>
      <c r="L140" s="2940"/>
      <c r="M140" s="2939"/>
      <c r="N140" s="2941"/>
      <c r="O140" s="2940"/>
      <c r="P140" s="2939"/>
      <c r="Q140" s="2941"/>
    </row>
    <row r="141" spans="1:18" s="673" customFormat="1" x14ac:dyDescent="0.2">
      <c r="A141" s="1607"/>
      <c r="B141" s="1607"/>
      <c r="C141" s="1608" t="s">
        <v>37</v>
      </c>
      <c r="D141" s="2905"/>
      <c r="E141" s="1609">
        <v>25</v>
      </c>
      <c r="F141" s="1609" t="s">
        <v>328</v>
      </c>
      <c r="G141" s="2922"/>
      <c r="H141" s="1612">
        <v>60</v>
      </c>
      <c r="I141" s="2826"/>
      <c r="J141" s="2827"/>
      <c r="K141" s="2828"/>
      <c r="L141" s="2929"/>
      <c r="M141" s="2928"/>
      <c r="N141" s="2930"/>
      <c r="O141" s="2929"/>
      <c r="P141" s="2928"/>
      <c r="Q141" s="2930"/>
    </row>
    <row r="142" spans="1:18" s="673" customFormat="1" x14ac:dyDescent="0.2">
      <c r="A142" s="1607"/>
      <c r="B142" s="1607"/>
      <c r="C142" s="1608" t="s">
        <v>37</v>
      </c>
      <c r="D142" s="2905"/>
      <c r="E142" s="1609">
        <v>50</v>
      </c>
      <c r="F142" s="1609" t="s">
        <v>328</v>
      </c>
      <c r="G142" s="2922"/>
      <c r="H142" s="1612">
        <v>60</v>
      </c>
      <c r="I142" s="2826"/>
      <c r="J142" s="2827"/>
      <c r="K142" s="2828"/>
      <c r="L142" s="2929"/>
      <c r="M142" s="2928"/>
      <c r="N142" s="2930"/>
      <c r="O142" s="2929"/>
      <c r="P142" s="2928"/>
      <c r="Q142" s="2930"/>
    </row>
    <row r="143" spans="1:18" s="673" customFormat="1" x14ac:dyDescent="0.2">
      <c r="A143" s="1607"/>
      <c r="B143" s="1607"/>
      <c r="C143" s="1608" t="s">
        <v>37</v>
      </c>
      <c r="D143" s="2905"/>
      <c r="E143" s="1609">
        <v>50</v>
      </c>
      <c r="F143" s="1609" t="s">
        <v>328</v>
      </c>
      <c r="G143" s="2922"/>
      <c r="H143" s="1612">
        <v>60</v>
      </c>
      <c r="I143" s="2826"/>
      <c r="J143" s="2827"/>
      <c r="K143" s="2828"/>
      <c r="L143" s="2929"/>
      <c r="M143" s="2928"/>
      <c r="N143" s="2930"/>
      <c r="O143" s="2929"/>
      <c r="P143" s="2928"/>
      <c r="Q143" s="2930"/>
    </row>
    <row r="144" spans="1:18" s="673" customFormat="1" x14ac:dyDescent="0.2">
      <c r="A144" s="1607"/>
      <c r="B144" s="1607"/>
      <c r="C144" s="1608" t="s">
        <v>37</v>
      </c>
      <c r="D144" s="2905"/>
      <c r="E144" s="1609">
        <v>100</v>
      </c>
      <c r="F144" s="1609" t="s">
        <v>328</v>
      </c>
      <c r="G144" s="2922"/>
      <c r="H144" s="1612">
        <v>60</v>
      </c>
      <c r="I144" s="2826"/>
      <c r="J144" s="2827"/>
      <c r="K144" s="2828"/>
      <c r="L144" s="2929"/>
      <c r="M144" s="2928"/>
      <c r="N144" s="2930"/>
      <c r="O144" s="2929"/>
      <c r="P144" s="2928"/>
      <c r="Q144" s="2930"/>
    </row>
    <row r="145" spans="1:18" s="673" customFormat="1" x14ac:dyDescent="0.2">
      <c r="A145" s="1607"/>
      <c r="B145" s="1607"/>
      <c r="C145" s="1608" t="s">
        <v>37</v>
      </c>
      <c r="D145" s="2905"/>
      <c r="E145" s="1609">
        <v>125</v>
      </c>
      <c r="F145" s="1609" t="s">
        <v>328</v>
      </c>
      <c r="G145" s="2922"/>
      <c r="H145" s="1612">
        <v>30</v>
      </c>
      <c r="I145" s="2826"/>
      <c r="J145" s="2827"/>
      <c r="K145" s="2828"/>
      <c r="L145" s="2929"/>
      <c r="M145" s="2928"/>
      <c r="N145" s="2930"/>
      <c r="O145" s="2929"/>
      <c r="P145" s="2928"/>
      <c r="Q145" s="2930"/>
    </row>
    <row r="146" spans="1:18" s="673" customFormat="1" x14ac:dyDescent="0.2">
      <c r="A146" s="1607"/>
      <c r="B146" s="1607"/>
      <c r="C146" s="1608" t="s">
        <v>42</v>
      </c>
      <c r="D146" s="2905" t="s">
        <v>1898</v>
      </c>
      <c r="E146" s="1609" t="s">
        <v>380</v>
      </c>
      <c r="F146" s="1609" t="s">
        <v>328</v>
      </c>
      <c r="G146" s="2922" t="s">
        <v>1112</v>
      </c>
      <c r="H146" s="1612">
        <v>60</v>
      </c>
      <c r="I146" s="2826"/>
      <c r="J146" s="2827"/>
      <c r="K146" s="2828"/>
      <c r="L146" s="2924">
        <v>0.12008333333333332</v>
      </c>
      <c r="M146" s="2923">
        <v>0.10616666666666667</v>
      </c>
      <c r="N146" s="2925">
        <v>0.13399999999999998</v>
      </c>
      <c r="O146" s="2924">
        <v>7.2050000000000001</v>
      </c>
      <c r="P146" s="2923">
        <v>6.37</v>
      </c>
      <c r="Q146" s="2925">
        <v>8.0399999999999991</v>
      </c>
    </row>
    <row r="147" spans="1:18" s="673" customFormat="1" x14ac:dyDescent="0.2">
      <c r="A147" s="1607"/>
      <c r="B147" s="1607"/>
      <c r="C147" s="1608" t="s">
        <v>42</v>
      </c>
      <c r="D147" s="2905"/>
      <c r="E147" s="1609" t="s">
        <v>381</v>
      </c>
      <c r="F147" s="1609" t="s">
        <v>328</v>
      </c>
      <c r="G147" s="2922"/>
      <c r="H147" s="1612">
        <v>90</v>
      </c>
      <c r="I147" s="2826"/>
      <c r="J147" s="2827"/>
      <c r="K147" s="2828"/>
      <c r="L147" s="2929"/>
      <c r="M147" s="2928"/>
      <c r="N147" s="2930"/>
      <c r="O147" s="2929"/>
      <c r="P147" s="2928"/>
      <c r="Q147" s="2930"/>
    </row>
    <row r="148" spans="1:18" s="673" customFormat="1" x14ac:dyDescent="0.2">
      <c r="A148" s="1607"/>
      <c r="B148" s="1607"/>
      <c r="C148" s="1608" t="s">
        <v>42</v>
      </c>
      <c r="D148" s="2905"/>
      <c r="E148" s="1609" t="s">
        <v>341</v>
      </c>
      <c r="F148" s="1609" t="s">
        <v>328</v>
      </c>
      <c r="G148" s="2922"/>
      <c r="H148" s="1612">
        <v>120</v>
      </c>
      <c r="I148" s="2826"/>
      <c r="J148" s="2827"/>
      <c r="K148" s="2828"/>
      <c r="L148" s="2929"/>
      <c r="M148" s="2928"/>
      <c r="N148" s="2930"/>
      <c r="O148" s="2929"/>
      <c r="P148" s="2928"/>
      <c r="Q148" s="2930"/>
    </row>
    <row r="149" spans="1:18" s="673" customFormat="1" ht="12" customHeight="1" x14ac:dyDescent="0.2">
      <c r="A149" s="1607"/>
      <c r="B149" s="1607"/>
      <c r="C149" s="1608" t="s">
        <v>342</v>
      </c>
      <c r="D149" s="2905"/>
      <c r="E149" s="1609">
        <v>250</v>
      </c>
      <c r="F149" s="1609" t="s">
        <v>328</v>
      </c>
      <c r="G149" s="2922"/>
      <c r="H149" s="1612">
        <v>300</v>
      </c>
      <c r="I149" s="2826"/>
      <c r="J149" s="2827"/>
      <c r="K149" s="2828"/>
      <c r="L149" s="2929"/>
      <c r="M149" s="2928"/>
      <c r="N149" s="2930"/>
      <c r="O149" s="2929"/>
      <c r="P149" s="2928"/>
      <c r="Q149" s="2930"/>
    </row>
    <row r="150" spans="1:18" s="673" customFormat="1" ht="12" customHeight="1" x14ac:dyDescent="0.2">
      <c r="A150" s="1607"/>
      <c r="B150" s="1607"/>
      <c r="C150" s="1608" t="s">
        <v>342</v>
      </c>
      <c r="D150" s="2905"/>
      <c r="E150" s="1609">
        <v>250</v>
      </c>
      <c r="F150" s="1609" t="s">
        <v>328</v>
      </c>
      <c r="G150" s="2922"/>
      <c r="H150" s="1612">
        <v>300</v>
      </c>
      <c r="I150" s="2826"/>
      <c r="J150" s="2827"/>
      <c r="K150" s="2828"/>
      <c r="L150" s="2929"/>
      <c r="M150" s="2928"/>
      <c r="N150" s="2930"/>
      <c r="O150" s="2929"/>
      <c r="P150" s="2928"/>
      <c r="Q150" s="2930"/>
    </row>
    <row r="151" spans="1:18" s="673" customFormat="1" ht="12" customHeight="1" x14ac:dyDescent="0.2">
      <c r="A151" s="2977"/>
      <c r="B151" s="2977"/>
      <c r="C151" s="727"/>
      <c r="D151" s="727"/>
      <c r="E151" s="727"/>
      <c r="F151" s="727"/>
      <c r="G151" s="728"/>
      <c r="H151" s="729"/>
      <c r="I151" s="2786"/>
      <c r="J151" s="2786"/>
      <c r="K151" s="2786"/>
      <c r="L151" s="715"/>
      <c r="M151" s="715"/>
      <c r="N151" s="715"/>
      <c r="O151" s="715"/>
      <c r="P151" s="715"/>
      <c r="Q151" s="715"/>
    </row>
    <row r="152" spans="1:18" s="673" customFormat="1" x14ac:dyDescent="0.2">
      <c r="A152" s="710"/>
      <c r="B152" s="710"/>
      <c r="C152" s="710"/>
      <c r="D152" s="710"/>
      <c r="E152" s="710"/>
      <c r="F152" s="711"/>
      <c r="G152" s="712"/>
      <c r="H152" s="715"/>
      <c r="I152" s="728"/>
      <c r="J152" s="715"/>
      <c r="K152" s="715"/>
      <c r="L152" s="716"/>
      <c r="M152" s="728"/>
      <c r="N152" s="716"/>
      <c r="O152" s="716"/>
      <c r="P152" s="728"/>
      <c r="Q152" s="716"/>
      <c r="R152" s="716"/>
    </row>
    <row r="153" spans="1:18" s="673" customFormat="1" x14ac:dyDescent="0.2">
      <c r="A153" s="710"/>
      <c r="B153" s="710"/>
      <c r="C153" s="710" t="s">
        <v>1662</v>
      </c>
      <c r="D153" s="710"/>
      <c r="E153" s="710"/>
      <c r="F153" s="711"/>
      <c r="G153" s="712"/>
      <c r="H153" s="715"/>
      <c r="I153" s="728"/>
      <c r="J153" s="715"/>
      <c r="K153" s="715"/>
      <c r="L153" s="716"/>
      <c r="M153" s="728"/>
      <c r="N153" s="716"/>
      <c r="O153" s="716"/>
      <c r="P153" s="728"/>
      <c r="Q153" s="716"/>
      <c r="R153" s="716"/>
    </row>
    <row r="154" spans="1:18" s="673" customFormat="1" x14ac:dyDescent="0.2">
      <c r="A154" s="710"/>
      <c r="B154" s="710"/>
      <c r="C154" s="710"/>
      <c r="D154" s="710"/>
      <c r="E154" s="710"/>
      <c r="F154" s="711"/>
      <c r="G154" s="712"/>
      <c r="H154" s="715"/>
      <c r="I154" s="728"/>
      <c r="J154" s="715"/>
      <c r="K154" s="715"/>
      <c r="L154" s="716"/>
      <c r="M154" s="728"/>
      <c r="N154" s="716"/>
      <c r="O154" s="716"/>
      <c r="P154" s="728"/>
      <c r="Q154" s="716"/>
      <c r="R154" s="716"/>
    </row>
    <row r="155" spans="1:18" s="673" customFormat="1" x14ac:dyDescent="0.2">
      <c r="A155" s="710"/>
      <c r="B155" s="710"/>
      <c r="C155" s="693" t="s">
        <v>32</v>
      </c>
      <c r="D155" s="2927"/>
      <c r="E155" s="694">
        <v>60</v>
      </c>
      <c r="F155" s="694" t="s">
        <v>328</v>
      </c>
      <c r="G155" s="695"/>
      <c r="H155" s="697">
        <v>60</v>
      </c>
      <c r="I155" s="2916"/>
      <c r="J155" s="2917"/>
      <c r="K155" s="2918"/>
      <c r="L155" s="698">
        <v>4.7260273972602738</v>
      </c>
      <c r="M155" s="699">
        <v>4.7260273972602738</v>
      </c>
      <c r="N155" s="700">
        <v>4.7260273972602738</v>
      </c>
      <c r="O155" s="698"/>
      <c r="P155" s="699"/>
      <c r="Q155" s="700"/>
      <c r="R155" s="716"/>
    </row>
    <row r="156" spans="1:18" s="673" customFormat="1" x14ac:dyDescent="0.2">
      <c r="A156" s="710"/>
      <c r="B156" s="710"/>
      <c r="C156" s="693" t="s">
        <v>34</v>
      </c>
      <c r="D156" s="2927"/>
      <c r="E156" s="694">
        <v>60</v>
      </c>
      <c r="F156" s="694" t="s">
        <v>328</v>
      </c>
      <c r="G156" s="695"/>
      <c r="H156" s="697">
        <v>60</v>
      </c>
      <c r="I156" s="2916"/>
      <c r="J156" s="2917"/>
      <c r="K156" s="2918"/>
      <c r="L156" s="698">
        <v>0</v>
      </c>
      <c r="M156" s="699">
        <v>0</v>
      </c>
      <c r="N156" s="700">
        <v>0</v>
      </c>
      <c r="O156" s="698"/>
      <c r="P156" s="699"/>
      <c r="Q156" s="700"/>
      <c r="R156" s="716"/>
    </row>
    <row r="157" spans="1:18" s="673" customFormat="1" x14ac:dyDescent="0.2">
      <c r="A157" s="710"/>
      <c r="B157" s="710"/>
      <c r="C157" s="710"/>
      <c r="D157" s="710"/>
      <c r="E157" s="710"/>
      <c r="F157" s="711"/>
      <c r="G157" s="712"/>
      <c r="H157" s="715"/>
      <c r="I157" s="728"/>
      <c r="J157" s="715"/>
      <c r="K157" s="715"/>
      <c r="L157" s="715"/>
      <c r="M157" s="716"/>
      <c r="N157" s="716"/>
      <c r="O157" s="716"/>
      <c r="P157" s="728"/>
      <c r="Q157" s="716"/>
      <c r="R157" s="716"/>
    </row>
    <row r="158" spans="1:18" s="673" customFormat="1" x14ac:dyDescent="0.2">
      <c r="A158" s="710"/>
      <c r="B158" s="710"/>
      <c r="E158" s="2818"/>
      <c r="O158" s="716"/>
      <c r="P158" s="716"/>
      <c r="Q158" s="728"/>
      <c r="R158" s="716"/>
    </row>
    <row r="159" spans="1:18" s="673" customFormat="1" x14ac:dyDescent="0.2">
      <c r="A159" s="710"/>
      <c r="B159" s="710"/>
      <c r="C159" s="716"/>
      <c r="F159" s="2818"/>
      <c r="O159" s="715"/>
      <c r="P159" s="715"/>
      <c r="Q159" s="728"/>
      <c r="R159" s="715"/>
    </row>
    <row r="160" spans="1:18" s="673" customFormat="1" x14ac:dyDescent="0.2">
      <c r="A160" s="710"/>
      <c r="B160" s="710"/>
      <c r="C160" s="716"/>
      <c r="D160" s="673" t="s">
        <v>1895</v>
      </c>
      <c r="E160" s="673" t="s">
        <v>1909</v>
      </c>
      <c r="F160" s="2818" t="s">
        <v>1897</v>
      </c>
      <c r="G160" s="673">
        <v>30</v>
      </c>
      <c r="L160" s="2819">
        <v>0.28333333333333333</v>
      </c>
      <c r="M160" s="2819">
        <v>0.29716666666666669</v>
      </c>
      <c r="N160" s="2819">
        <v>0.311</v>
      </c>
      <c r="O160" s="2819">
        <v>8.5</v>
      </c>
      <c r="P160" s="2819"/>
      <c r="Q160" s="2819">
        <v>9.33</v>
      </c>
    </row>
    <row r="161" spans="1:30" s="673" customFormat="1" x14ac:dyDescent="0.2">
      <c r="A161" s="710"/>
      <c r="B161" s="710"/>
      <c r="C161" s="715"/>
      <c r="D161" s="673" t="s">
        <v>1895</v>
      </c>
      <c r="E161" s="673" t="s">
        <v>1887</v>
      </c>
      <c r="F161" s="2818" t="s">
        <v>1112</v>
      </c>
      <c r="G161" s="673">
        <v>60</v>
      </c>
      <c r="L161" s="2819">
        <v>0.14166666666666666</v>
      </c>
      <c r="M161" s="2819">
        <v>0.14166666666666666</v>
      </c>
      <c r="N161" s="2819">
        <v>0.14166666666666666</v>
      </c>
      <c r="O161" s="2819">
        <v>8.5</v>
      </c>
      <c r="P161" s="2819"/>
      <c r="Q161" s="2819">
        <v>8.5</v>
      </c>
    </row>
    <row r="162" spans="1:30" s="673" customFormat="1" x14ac:dyDescent="0.2">
      <c r="A162" s="710"/>
      <c r="B162" s="710"/>
      <c r="C162" s="715"/>
      <c r="D162" s="673" t="s">
        <v>1895</v>
      </c>
      <c r="E162" s="673" t="s">
        <v>1890</v>
      </c>
      <c r="F162" s="2818" t="s">
        <v>1112</v>
      </c>
      <c r="G162" s="673">
        <v>60</v>
      </c>
      <c r="L162" s="2819">
        <v>0.18333333333333332</v>
      </c>
      <c r="M162" s="2819">
        <v>0.18333333333333332</v>
      </c>
      <c r="N162" s="2819">
        <v>0.18333333333333332</v>
      </c>
      <c r="O162" s="2819">
        <v>11</v>
      </c>
      <c r="P162" s="2819"/>
      <c r="Q162" s="2819">
        <v>11</v>
      </c>
    </row>
    <row r="163" spans="1:30" s="673" customFormat="1" x14ac:dyDescent="0.2">
      <c r="A163" s="710"/>
      <c r="B163" s="710"/>
      <c r="C163" s="715"/>
      <c r="D163" s="673" t="s">
        <v>1891</v>
      </c>
      <c r="E163" s="673" t="s">
        <v>1905</v>
      </c>
      <c r="F163" s="2818" t="s">
        <v>1112</v>
      </c>
      <c r="G163" s="673">
        <v>30</v>
      </c>
      <c r="L163" s="2819">
        <v>4.9666666666666665E-2</v>
      </c>
      <c r="M163" s="2819">
        <v>4.9666666666666665E-2</v>
      </c>
      <c r="N163" s="2819">
        <v>7.4666666666666673E-2</v>
      </c>
      <c r="O163" s="2819">
        <v>1.49</v>
      </c>
      <c r="P163" s="2819"/>
      <c r="Q163" s="2819">
        <v>2.2400000000000002</v>
      </c>
    </row>
    <row r="164" spans="1:30" s="673" customFormat="1" x14ac:dyDescent="0.2">
      <c r="A164" s="710"/>
      <c r="B164" s="710"/>
      <c r="C164" s="715"/>
      <c r="D164" s="673" t="s">
        <v>1891</v>
      </c>
      <c r="E164" s="673" t="s">
        <v>1905</v>
      </c>
      <c r="F164" s="2818" t="s">
        <v>1894</v>
      </c>
      <c r="G164" s="673">
        <v>30</v>
      </c>
      <c r="L164" s="2819">
        <v>7.4666666666666673E-2</v>
      </c>
      <c r="M164" s="2819">
        <v>7.4666666666666673E-2</v>
      </c>
      <c r="O164" s="2819">
        <v>2.2400000000000002</v>
      </c>
      <c r="P164" s="2819"/>
    </row>
    <row r="165" spans="1:30" s="673" customFormat="1" x14ac:dyDescent="0.2">
      <c r="A165" s="710"/>
      <c r="B165" s="710"/>
      <c r="C165" s="715"/>
      <c r="D165" s="673" t="s">
        <v>1891</v>
      </c>
      <c r="E165" s="673" t="s">
        <v>1896</v>
      </c>
      <c r="F165" s="2818" t="s">
        <v>1112</v>
      </c>
      <c r="G165" s="673">
        <v>30</v>
      </c>
      <c r="L165" s="2819">
        <v>7.7666666666666676E-2</v>
      </c>
      <c r="M165" s="2819">
        <v>8.0166666666666664E-2</v>
      </c>
      <c r="N165" s="2819">
        <v>8.2666666666666666E-2</v>
      </c>
      <c r="O165" s="2819">
        <v>2.33</v>
      </c>
      <c r="P165" s="2819"/>
      <c r="Q165" s="2819">
        <v>2.48</v>
      </c>
    </row>
    <row r="166" spans="1:30" s="673" customFormat="1" x14ac:dyDescent="0.2">
      <c r="A166" s="710"/>
      <c r="B166" s="710"/>
      <c r="C166" s="715"/>
      <c r="D166" s="673" t="s">
        <v>1891</v>
      </c>
      <c r="E166" s="673" t="s">
        <v>1896</v>
      </c>
      <c r="F166" s="2818" t="s">
        <v>1894</v>
      </c>
      <c r="G166" s="673">
        <v>30</v>
      </c>
      <c r="L166" s="2819">
        <v>8.3333333333333329E-2</v>
      </c>
      <c r="M166" s="2819">
        <v>8.3333333333333329E-2</v>
      </c>
      <c r="N166" s="2819">
        <v>8.3333333333333329E-2</v>
      </c>
      <c r="O166" s="2819">
        <v>2.5</v>
      </c>
      <c r="P166" s="2819"/>
      <c r="Q166" s="2819">
        <v>2.5</v>
      </c>
    </row>
    <row r="167" spans="1:30" s="673" customFormat="1" x14ac:dyDescent="0.2">
      <c r="A167" s="710"/>
      <c r="B167" s="710"/>
      <c r="C167" s="715"/>
      <c r="D167" s="673" t="s">
        <v>1891</v>
      </c>
      <c r="E167" s="673" t="s">
        <v>1890</v>
      </c>
      <c r="F167" s="2818" t="s">
        <v>1894</v>
      </c>
      <c r="G167" s="673">
        <v>90</v>
      </c>
      <c r="L167" s="2819">
        <v>5.5555555555555552E-2</v>
      </c>
      <c r="M167" s="2819">
        <v>7.9166666666666663E-2</v>
      </c>
      <c r="N167" s="2819">
        <v>0.10277777777777777</v>
      </c>
      <c r="O167" s="2819">
        <v>5</v>
      </c>
      <c r="P167" s="2819"/>
      <c r="Q167" s="2819">
        <v>9.25</v>
      </c>
    </row>
    <row r="168" spans="1:30" s="673" customFormat="1" x14ac:dyDescent="0.2">
      <c r="A168" s="710"/>
      <c r="B168" s="710"/>
      <c r="C168" s="715"/>
      <c r="F168" s="2818"/>
      <c r="H168" s="2819"/>
      <c r="I168" s="2819"/>
      <c r="J168" s="2819"/>
      <c r="K168" s="2819"/>
      <c r="L168" s="2819"/>
      <c r="M168" s="2819"/>
      <c r="O168" s="715"/>
      <c r="P168" s="715"/>
      <c r="Q168" s="728"/>
      <c r="R168" s="715"/>
    </row>
    <row r="169" spans="1:30" s="673" customFormat="1" x14ac:dyDescent="0.2">
      <c r="A169" s="710"/>
      <c r="B169" s="710"/>
      <c r="C169" s="715"/>
      <c r="F169" s="2818"/>
      <c r="H169" s="2819"/>
      <c r="I169" s="2819"/>
      <c r="J169" s="2819"/>
      <c r="K169" s="2819"/>
      <c r="L169" s="2819"/>
      <c r="M169" s="2819"/>
      <c r="O169" s="715"/>
      <c r="P169" s="715"/>
      <c r="Q169" s="728"/>
      <c r="R169" s="715"/>
    </row>
    <row r="170" spans="1:30" s="673" customFormat="1" x14ac:dyDescent="0.2">
      <c r="A170" s="710"/>
      <c r="B170" s="710"/>
      <c r="C170" s="715"/>
      <c r="F170" s="2818"/>
      <c r="H170" s="2819"/>
      <c r="I170" s="2819"/>
      <c r="J170" s="2819"/>
      <c r="K170" s="2819"/>
      <c r="L170" s="2819"/>
      <c r="M170" s="2819"/>
      <c r="O170" s="715"/>
      <c r="P170" s="715"/>
      <c r="Q170" s="728"/>
      <c r="R170" s="715"/>
    </row>
    <row r="171" spans="1:30" s="673" customFormat="1" x14ac:dyDescent="0.2">
      <c r="A171" s="710"/>
      <c r="B171" s="710"/>
      <c r="C171" s="710"/>
      <c r="D171" s="710"/>
      <c r="E171" s="710"/>
      <c r="F171" s="711"/>
      <c r="G171" s="712"/>
      <c r="H171" s="712"/>
      <c r="I171" s="715"/>
      <c r="J171" s="728"/>
      <c r="K171" s="715"/>
      <c r="L171" s="715"/>
      <c r="M171" s="715"/>
      <c r="N171" s="715"/>
      <c r="O171" s="715"/>
      <c r="P171" s="715"/>
      <c r="Q171" s="728"/>
      <c r="R171" s="715"/>
    </row>
    <row r="172" spans="1:30" s="673" customFormat="1" x14ac:dyDescent="0.2">
      <c r="A172" s="710"/>
      <c r="B172" s="710"/>
      <c r="C172" s="710"/>
      <c r="D172" s="710"/>
      <c r="E172" s="710"/>
      <c r="F172" s="711"/>
      <c r="G172" s="712"/>
      <c r="H172" s="712"/>
      <c r="I172" s="715"/>
      <c r="J172" s="728"/>
      <c r="K172" s="715"/>
      <c r="L172" s="715"/>
      <c r="M172" s="715"/>
      <c r="N172" s="715"/>
      <c r="O172" s="715"/>
      <c r="P172" s="715"/>
      <c r="Q172" s="728"/>
      <c r="R172" s="715"/>
      <c r="S172" s="715"/>
      <c r="T172" s="715"/>
      <c r="W172" s="2818"/>
      <c r="Y172" s="2819"/>
      <c r="Z172" s="2819"/>
      <c r="AA172" s="2819"/>
      <c r="AB172" s="2819"/>
      <c r="AC172" s="2819"/>
      <c r="AD172" s="2819"/>
    </row>
    <row r="173" spans="1:30" s="673" customFormat="1" x14ac:dyDescent="0.2">
      <c r="A173" s="710"/>
      <c r="B173" s="710"/>
      <c r="C173" s="710"/>
      <c r="D173" s="710"/>
      <c r="E173" s="710"/>
      <c r="F173" s="711"/>
      <c r="G173" s="712"/>
      <c r="H173" s="712"/>
      <c r="I173" s="715"/>
      <c r="J173" s="728"/>
      <c r="K173" s="715"/>
      <c r="L173" s="715"/>
      <c r="M173" s="715"/>
      <c r="N173" s="715"/>
      <c r="O173" s="715"/>
      <c r="P173" s="715"/>
      <c r="Q173" s="728"/>
      <c r="R173" s="715"/>
      <c r="S173" s="715"/>
      <c r="T173" s="715"/>
      <c r="W173" s="2818"/>
      <c r="Y173" s="2819"/>
      <c r="Z173" s="2819"/>
      <c r="AA173" s="2819"/>
      <c r="AB173" s="2819"/>
      <c r="AC173" s="2819"/>
      <c r="AD173" s="2819"/>
    </row>
    <row r="174" spans="1:30" s="673" customFormat="1" x14ac:dyDescent="0.2">
      <c r="A174" s="710"/>
      <c r="B174" s="710"/>
      <c r="C174" s="710"/>
      <c r="D174" s="710"/>
      <c r="E174" s="710"/>
      <c r="F174" s="711"/>
      <c r="G174" s="712"/>
      <c r="H174" s="712"/>
      <c r="I174" s="715"/>
      <c r="J174" s="728"/>
      <c r="K174" s="715"/>
      <c r="L174" s="715"/>
      <c r="M174" s="715"/>
      <c r="N174" s="715"/>
      <c r="O174" s="715"/>
      <c r="P174" s="715"/>
      <c r="Q174" s="728"/>
      <c r="R174" s="715"/>
      <c r="S174" s="715"/>
      <c r="T174" s="715"/>
      <c r="W174" s="2818"/>
      <c r="Y174" s="2819"/>
      <c r="Z174" s="2819"/>
      <c r="AA174" s="2819"/>
      <c r="AB174" s="2819"/>
      <c r="AC174" s="2819"/>
      <c r="AD174" s="2819"/>
    </row>
    <row r="175" spans="1:30" s="673" customFormat="1" x14ac:dyDescent="0.2">
      <c r="A175" s="710"/>
      <c r="B175" s="710"/>
      <c r="C175" s="710"/>
      <c r="D175" s="710"/>
      <c r="E175" s="710"/>
      <c r="F175" s="711"/>
      <c r="G175" s="712"/>
      <c r="H175" s="712"/>
      <c r="I175" s="715"/>
      <c r="J175" s="728"/>
      <c r="K175" s="715"/>
      <c r="L175" s="715"/>
      <c r="M175" s="715"/>
      <c r="N175" s="715"/>
      <c r="O175" s="715"/>
      <c r="P175" s="715"/>
      <c r="Q175" s="728"/>
      <c r="R175" s="715"/>
      <c r="S175" s="715"/>
      <c r="T175" s="715"/>
      <c r="W175" s="2818"/>
      <c r="Y175" s="2819"/>
      <c r="Z175" s="2819"/>
      <c r="AA175" s="2819"/>
      <c r="AB175" s="2819"/>
      <c r="AC175" s="2819"/>
      <c r="AD175" s="2819"/>
    </row>
    <row r="176" spans="1:30" s="673" customFormat="1" x14ac:dyDescent="0.2">
      <c r="A176" s="710"/>
      <c r="B176" s="710"/>
      <c r="C176" s="710"/>
      <c r="D176" s="710"/>
      <c r="E176" s="710"/>
      <c r="F176" s="711"/>
      <c r="G176" s="712"/>
      <c r="H176" s="712"/>
      <c r="I176" s="715"/>
      <c r="J176" s="728"/>
      <c r="K176" s="715"/>
      <c r="L176" s="715"/>
      <c r="M176" s="715"/>
      <c r="N176" s="715"/>
      <c r="O176" s="715"/>
      <c r="P176" s="715"/>
      <c r="Q176" s="728"/>
      <c r="R176" s="715"/>
      <c r="S176" s="715"/>
      <c r="T176" s="715"/>
      <c r="W176" s="2818"/>
      <c r="Y176" s="2819"/>
      <c r="Z176" s="2819"/>
      <c r="AA176" s="2819"/>
      <c r="AB176" s="2819"/>
      <c r="AC176" s="2819"/>
      <c r="AD176" s="2819"/>
    </row>
    <row r="177" spans="1:30" s="673" customFormat="1" x14ac:dyDescent="0.2">
      <c r="A177" s="710"/>
      <c r="B177" s="710"/>
      <c r="C177" s="710"/>
      <c r="D177" s="710"/>
      <c r="E177" s="710"/>
      <c r="F177" s="711"/>
      <c r="G177" s="712"/>
      <c r="H177" s="712"/>
      <c r="I177" s="715"/>
      <c r="J177" s="728"/>
      <c r="K177" s="715"/>
      <c r="L177" s="715"/>
      <c r="M177" s="715"/>
      <c r="N177" s="715"/>
      <c r="O177" s="715"/>
      <c r="P177" s="715"/>
      <c r="Q177" s="728"/>
      <c r="R177" s="715"/>
      <c r="S177" s="715"/>
      <c r="T177" s="715"/>
      <c r="W177" s="2818"/>
      <c r="Y177" s="2819"/>
      <c r="Z177" s="2819"/>
      <c r="AA177" s="2819"/>
      <c r="AB177" s="2819"/>
      <c r="AC177" s="2819"/>
      <c r="AD177" s="2819"/>
    </row>
    <row r="178" spans="1:30" s="673" customFormat="1" x14ac:dyDescent="0.2">
      <c r="A178" s="710"/>
      <c r="B178" s="710"/>
      <c r="C178" s="710"/>
      <c r="D178" s="710"/>
      <c r="E178" s="710"/>
      <c r="F178" s="711"/>
      <c r="G178" s="712"/>
      <c r="H178" s="712"/>
      <c r="I178" s="715"/>
      <c r="J178" s="728"/>
      <c r="K178" s="715"/>
      <c r="L178" s="715"/>
      <c r="M178" s="715"/>
      <c r="N178" s="715"/>
      <c r="O178" s="715"/>
      <c r="P178" s="715"/>
      <c r="Q178" s="728"/>
      <c r="R178" s="715"/>
      <c r="S178" s="715"/>
      <c r="T178" s="715"/>
      <c r="W178" s="2818"/>
      <c r="Y178" s="2819"/>
      <c r="Z178" s="2819"/>
      <c r="AA178" s="2819"/>
      <c r="AB178" s="2819"/>
      <c r="AC178" s="2819"/>
      <c r="AD178" s="2819"/>
    </row>
    <row r="179" spans="1:30" s="673" customFormat="1" x14ac:dyDescent="0.2">
      <c r="A179" s="710"/>
      <c r="B179" s="710"/>
      <c r="C179" s="710"/>
      <c r="D179" s="710"/>
      <c r="E179" s="710"/>
      <c r="F179" s="711"/>
      <c r="G179" s="712"/>
      <c r="H179" s="712"/>
      <c r="I179" s="715"/>
      <c r="J179" s="728"/>
      <c r="K179" s="715"/>
      <c r="L179" s="715"/>
      <c r="M179" s="715"/>
      <c r="N179" s="715"/>
      <c r="O179" s="715"/>
      <c r="P179" s="715"/>
      <c r="Q179" s="728"/>
      <c r="R179" s="715"/>
      <c r="S179" s="715"/>
      <c r="T179" s="715"/>
      <c r="W179" s="2818"/>
      <c r="Y179" s="2819"/>
      <c r="Z179" s="2819"/>
      <c r="AA179" s="2819"/>
      <c r="AB179" s="2819"/>
      <c r="AC179" s="2819"/>
      <c r="AD179" s="2819"/>
    </row>
    <row r="180" spans="1:30" s="673" customFormat="1" x14ac:dyDescent="0.2">
      <c r="A180" s="710"/>
      <c r="B180" s="710"/>
      <c r="C180" s="710"/>
      <c r="D180" s="710"/>
      <c r="E180" s="710"/>
      <c r="F180" s="711"/>
      <c r="G180" s="712"/>
      <c r="H180" s="712"/>
      <c r="I180" s="715"/>
      <c r="J180" s="728"/>
      <c r="K180" s="715"/>
      <c r="L180" s="715"/>
      <c r="M180" s="715"/>
      <c r="N180" s="715"/>
      <c r="O180" s="715"/>
      <c r="P180" s="715"/>
      <c r="Q180" s="728"/>
      <c r="R180" s="715"/>
      <c r="S180" s="715"/>
      <c r="T180" s="715"/>
      <c r="W180" s="2818"/>
      <c r="Y180" s="2819"/>
      <c r="Z180" s="2819"/>
      <c r="AA180" s="2819"/>
      <c r="AB180" s="2819"/>
      <c r="AC180" s="2819"/>
      <c r="AD180" s="2819"/>
    </row>
    <row r="181" spans="1:30" s="673" customFormat="1" x14ac:dyDescent="0.2">
      <c r="A181" s="710"/>
      <c r="B181" s="710"/>
      <c r="C181" s="710"/>
      <c r="D181" s="710"/>
      <c r="E181" s="710"/>
      <c r="F181" s="711"/>
      <c r="G181" s="712"/>
      <c r="H181" s="712"/>
      <c r="I181" s="715"/>
      <c r="J181" s="728"/>
      <c r="K181" s="715"/>
      <c r="L181" s="715"/>
      <c r="M181" s="715"/>
      <c r="N181" s="715"/>
      <c r="O181" s="715"/>
      <c r="P181" s="715"/>
      <c r="Q181" s="728"/>
      <c r="R181" s="715"/>
      <c r="S181" s="715"/>
      <c r="T181" s="715"/>
      <c r="W181" s="2818"/>
      <c r="Y181" s="2819"/>
      <c r="Z181" s="2819"/>
      <c r="AA181" s="2819"/>
      <c r="AB181" s="2819"/>
      <c r="AC181" s="2819"/>
      <c r="AD181" s="2819"/>
    </row>
    <row r="182" spans="1:30" s="673" customFormat="1" x14ac:dyDescent="0.2">
      <c r="A182" s="710"/>
      <c r="B182" s="710"/>
      <c r="C182" s="710"/>
      <c r="D182" s="710"/>
      <c r="E182" s="710"/>
      <c r="F182" s="711"/>
      <c r="G182" s="712"/>
      <c r="H182" s="712"/>
      <c r="I182" s="715"/>
      <c r="J182" s="728"/>
      <c r="K182" s="715"/>
      <c r="L182" s="715"/>
      <c r="M182" s="715"/>
      <c r="N182" s="715"/>
      <c r="O182" s="715"/>
      <c r="P182" s="715"/>
      <c r="Q182" s="728"/>
      <c r="R182" s="715"/>
      <c r="S182" s="715"/>
      <c r="T182" s="715"/>
      <c r="W182" s="2818"/>
      <c r="Y182" s="2819"/>
      <c r="Z182" s="2819"/>
      <c r="AA182" s="2819"/>
      <c r="AB182" s="2819"/>
      <c r="AC182" s="2819"/>
      <c r="AD182" s="2819"/>
    </row>
    <row r="183" spans="1:30" s="673" customFormat="1" x14ac:dyDescent="0.2">
      <c r="A183" s="710"/>
      <c r="B183" s="710"/>
      <c r="C183" s="710"/>
      <c r="D183" s="710"/>
      <c r="E183" s="710"/>
      <c r="F183" s="711"/>
      <c r="G183" s="712"/>
      <c r="H183" s="712"/>
      <c r="I183" s="715"/>
      <c r="J183" s="728"/>
      <c r="K183" s="715"/>
      <c r="L183" s="715"/>
      <c r="M183" s="715"/>
      <c r="N183" s="715"/>
      <c r="O183" s="715"/>
      <c r="P183" s="715"/>
      <c r="Q183" s="728"/>
      <c r="R183" s="715"/>
      <c r="S183" s="715"/>
      <c r="T183" s="715"/>
      <c r="W183" s="2818"/>
      <c r="Y183" s="2819"/>
      <c r="Z183" s="2819"/>
      <c r="AA183" s="2819"/>
      <c r="AB183" s="2819"/>
      <c r="AC183" s="2819"/>
      <c r="AD183" s="2819"/>
    </row>
    <row r="184" spans="1:30" s="673" customFormat="1" x14ac:dyDescent="0.2">
      <c r="A184" s="710"/>
      <c r="B184" s="710"/>
      <c r="C184" s="710"/>
      <c r="D184" s="710"/>
      <c r="E184" s="710"/>
      <c r="F184" s="711"/>
      <c r="G184" s="712"/>
      <c r="H184" s="712"/>
      <c r="I184" s="715"/>
      <c r="J184" s="728"/>
      <c r="K184" s="715"/>
      <c r="L184" s="715"/>
      <c r="M184" s="715"/>
      <c r="N184" s="715"/>
      <c r="O184" s="715"/>
      <c r="P184" s="715"/>
      <c r="Q184" s="728"/>
      <c r="R184" s="715"/>
      <c r="S184" s="715"/>
      <c r="T184" s="715"/>
      <c r="W184" s="2818"/>
      <c r="Y184" s="2819"/>
      <c r="Z184" s="2819"/>
      <c r="AA184" s="2819"/>
      <c r="AB184" s="2819"/>
      <c r="AC184" s="2819"/>
      <c r="AD184" s="2819"/>
    </row>
    <row r="185" spans="1:30" s="673" customFormat="1" x14ac:dyDescent="0.2">
      <c r="A185" s="710"/>
      <c r="B185" s="710"/>
      <c r="C185" s="710"/>
      <c r="D185" s="710"/>
      <c r="E185" s="710"/>
      <c r="F185" s="711"/>
      <c r="G185" s="712"/>
      <c r="H185" s="712"/>
      <c r="I185" s="715"/>
      <c r="J185" s="728"/>
      <c r="K185" s="715"/>
      <c r="L185" s="715"/>
      <c r="M185" s="715"/>
      <c r="N185" s="715"/>
      <c r="O185" s="715"/>
      <c r="P185" s="715"/>
      <c r="Q185" s="728"/>
      <c r="R185" s="715"/>
      <c r="S185" s="715"/>
      <c r="T185" s="715"/>
      <c r="W185" s="2818"/>
      <c r="Y185" s="2819"/>
      <c r="Z185" s="2819"/>
      <c r="AA185" s="2819"/>
      <c r="AB185" s="2819"/>
      <c r="AC185" s="2819"/>
      <c r="AD185" s="2819"/>
    </row>
    <row r="186" spans="1:30" s="673" customFormat="1" x14ac:dyDescent="0.2">
      <c r="A186" s="710"/>
      <c r="B186" s="710"/>
      <c r="C186" s="710"/>
      <c r="D186" s="710"/>
      <c r="E186" s="710"/>
      <c r="F186" s="711"/>
      <c r="G186" s="712"/>
      <c r="H186" s="712"/>
      <c r="I186" s="715"/>
      <c r="J186" s="728"/>
      <c r="K186" s="715"/>
      <c r="L186" s="715"/>
      <c r="M186" s="715"/>
      <c r="N186" s="715"/>
      <c r="O186" s="715"/>
      <c r="P186" s="715"/>
      <c r="Q186" s="728"/>
      <c r="R186" s="715"/>
      <c r="S186" s="715"/>
      <c r="T186" s="715"/>
      <c r="W186" s="2818"/>
      <c r="Y186" s="2819"/>
      <c r="Z186" s="2819"/>
      <c r="AA186" s="2819"/>
      <c r="AB186" s="2819"/>
      <c r="AC186" s="2819"/>
      <c r="AD186" s="2819"/>
    </row>
    <row r="187" spans="1:30" s="673" customFormat="1" x14ac:dyDescent="0.2">
      <c r="A187" s="710"/>
      <c r="B187" s="710"/>
      <c r="C187" s="710"/>
      <c r="D187" s="710"/>
      <c r="E187" s="710"/>
      <c r="F187" s="711"/>
      <c r="G187" s="712"/>
      <c r="H187" s="712"/>
      <c r="I187" s="715"/>
      <c r="J187" s="728"/>
      <c r="K187" s="715"/>
      <c r="L187" s="715"/>
      <c r="M187" s="715"/>
      <c r="N187" s="715"/>
      <c r="O187" s="715"/>
      <c r="P187" s="715"/>
      <c r="Q187" s="728"/>
      <c r="R187" s="715"/>
      <c r="S187" s="715"/>
      <c r="T187" s="715"/>
      <c r="W187" s="2818"/>
      <c r="Y187" s="2819"/>
      <c r="Z187" s="2819"/>
      <c r="AA187" s="2819"/>
      <c r="AB187" s="2819"/>
      <c r="AC187" s="2819"/>
      <c r="AD187" s="2819"/>
    </row>
    <row r="188" spans="1:30" s="673" customFormat="1" x14ac:dyDescent="0.2">
      <c r="A188" s="710"/>
      <c r="B188" s="710"/>
      <c r="C188" s="710"/>
      <c r="D188" s="710"/>
      <c r="E188" s="710"/>
      <c r="F188" s="711"/>
      <c r="G188" s="712"/>
      <c r="H188" s="712"/>
      <c r="I188" s="715"/>
      <c r="J188" s="728"/>
      <c r="K188" s="715"/>
      <c r="L188" s="715"/>
      <c r="M188" s="715"/>
      <c r="N188" s="715"/>
      <c r="O188" s="715"/>
      <c r="P188" s="715"/>
      <c r="Q188" s="728"/>
      <c r="R188" s="715"/>
      <c r="S188" s="715"/>
      <c r="T188" s="715"/>
      <c r="W188" s="2818"/>
      <c r="Y188" s="2819"/>
      <c r="Z188" s="2819"/>
      <c r="AA188" s="2819"/>
      <c r="AB188" s="2819"/>
      <c r="AC188" s="2819"/>
      <c r="AD188" s="2819"/>
    </row>
    <row r="189" spans="1:30" s="673" customFormat="1" x14ac:dyDescent="0.2">
      <c r="A189" s="710"/>
      <c r="B189" s="710"/>
      <c r="C189" s="710"/>
      <c r="D189" s="710"/>
      <c r="E189" s="710"/>
      <c r="F189" s="711"/>
      <c r="G189" s="712"/>
      <c r="H189" s="712"/>
      <c r="I189" s="715"/>
      <c r="J189" s="728"/>
      <c r="K189" s="715"/>
      <c r="L189" s="715"/>
      <c r="M189" s="715"/>
      <c r="N189" s="715"/>
      <c r="O189" s="715"/>
      <c r="P189" s="715"/>
      <c r="Q189" s="728"/>
      <c r="R189" s="715"/>
      <c r="S189" s="715"/>
      <c r="T189" s="715"/>
      <c r="W189" s="2818"/>
      <c r="Y189" s="2819"/>
      <c r="Z189" s="2819"/>
      <c r="AA189" s="2819"/>
      <c r="AB189" s="2819"/>
      <c r="AC189" s="2819"/>
      <c r="AD189" s="2819"/>
    </row>
    <row r="190" spans="1:30" s="673" customFormat="1" x14ac:dyDescent="0.2">
      <c r="A190" s="710"/>
      <c r="B190" s="710"/>
      <c r="C190" s="710"/>
      <c r="D190" s="710"/>
      <c r="E190" s="710"/>
      <c r="F190" s="711"/>
      <c r="G190" s="712"/>
      <c r="H190" s="712"/>
      <c r="I190" s="715"/>
      <c r="J190" s="728"/>
      <c r="K190" s="715"/>
      <c r="L190" s="715"/>
      <c r="M190" s="715"/>
      <c r="N190" s="715"/>
      <c r="O190" s="715"/>
      <c r="P190" s="715"/>
      <c r="Q190" s="728"/>
      <c r="R190" s="715"/>
      <c r="S190" s="715"/>
      <c r="T190" s="715"/>
      <c r="W190" s="2818"/>
      <c r="Y190" s="2819"/>
      <c r="Z190" s="2819"/>
      <c r="AA190" s="2819"/>
      <c r="AB190" s="2819"/>
      <c r="AC190" s="2819"/>
      <c r="AD190" s="2819"/>
    </row>
    <row r="191" spans="1:30" s="673" customFormat="1" x14ac:dyDescent="0.2">
      <c r="A191" s="710"/>
      <c r="B191" s="710"/>
      <c r="C191" s="710"/>
      <c r="D191" s="710"/>
      <c r="E191" s="710"/>
      <c r="F191" s="711"/>
      <c r="G191" s="712"/>
      <c r="H191" s="712"/>
      <c r="I191" s="715"/>
      <c r="J191" s="728"/>
      <c r="K191" s="715"/>
      <c r="L191" s="715"/>
      <c r="M191" s="715"/>
      <c r="N191" s="715"/>
      <c r="O191" s="715"/>
      <c r="P191" s="715"/>
      <c r="Q191" s="728"/>
      <c r="R191" s="715"/>
      <c r="S191" s="715"/>
      <c r="T191" s="715"/>
      <c r="W191" s="2818"/>
      <c r="Y191" s="2819"/>
      <c r="Z191" s="2819"/>
      <c r="AA191" s="2819"/>
      <c r="AB191" s="2819"/>
      <c r="AC191" s="2819"/>
      <c r="AD191" s="2819"/>
    </row>
    <row r="192" spans="1:30" s="673" customFormat="1" x14ac:dyDescent="0.2">
      <c r="A192" s="710"/>
      <c r="B192" s="710"/>
      <c r="C192" s="710"/>
      <c r="D192" s="710"/>
      <c r="E192" s="710"/>
      <c r="F192" s="711"/>
      <c r="G192" s="712"/>
      <c r="H192" s="712"/>
      <c r="I192" s="715"/>
      <c r="J192" s="728"/>
      <c r="K192" s="715"/>
      <c r="L192" s="715"/>
      <c r="M192" s="715"/>
      <c r="N192" s="715"/>
      <c r="O192" s="715"/>
      <c r="P192" s="715"/>
      <c r="Q192" s="728"/>
      <c r="R192" s="715"/>
      <c r="S192" s="715"/>
      <c r="T192" s="715"/>
      <c r="W192" s="2818"/>
      <c r="Y192" s="2819"/>
      <c r="Z192" s="2819"/>
      <c r="AA192" s="2819"/>
      <c r="AB192" s="2819"/>
      <c r="AC192" s="2819"/>
      <c r="AD192" s="2819"/>
    </row>
    <row r="193" spans="1:30" s="673" customFormat="1" x14ac:dyDescent="0.2">
      <c r="A193" s="710"/>
      <c r="B193" s="710"/>
      <c r="C193" s="710"/>
      <c r="D193" s="710"/>
      <c r="E193" s="710"/>
      <c r="F193" s="711"/>
      <c r="G193" s="712"/>
      <c r="H193" s="712"/>
      <c r="I193" s="715"/>
      <c r="J193" s="728"/>
      <c r="K193" s="715"/>
      <c r="L193" s="715"/>
      <c r="M193" s="715"/>
      <c r="N193" s="715"/>
      <c r="O193" s="715"/>
      <c r="P193" s="715"/>
      <c r="Q193" s="728"/>
      <c r="R193" s="715"/>
      <c r="S193" s="715"/>
      <c r="T193" s="715"/>
      <c r="W193" s="2818"/>
      <c r="Y193" s="2819"/>
      <c r="Z193" s="2819"/>
      <c r="AA193" s="2819"/>
      <c r="AB193" s="2819"/>
      <c r="AC193" s="2819"/>
      <c r="AD193" s="2819"/>
    </row>
    <row r="194" spans="1:30" s="673" customFormat="1" x14ac:dyDescent="0.2">
      <c r="A194" s="710"/>
      <c r="B194" s="710"/>
      <c r="C194" s="710"/>
      <c r="D194" s="710"/>
      <c r="E194" s="710"/>
      <c r="F194" s="711"/>
      <c r="G194" s="712"/>
      <c r="H194" s="712"/>
      <c r="I194" s="715"/>
      <c r="J194" s="728"/>
      <c r="K194" s="715"/>
      <c r="L194" s="715"/>
      <c r="M194" s="715"/>
      <c r="N194" s="715"/>
      <c r="O194" s="715"/>
      <c r="P194" s="715"/>
      <c r="Q194" s="728"/>
      <c r="R194" s="715"/>
      <c r="S194" s="715"/>
      <c r="T194" s="715"/>
      <c r="W194" s="2818"/>
      <c r="Y194" s="2819"/>
      <c r="Z194" s="2819"/>
      <c r="AA194" s="2819"/>
      <c r="AB194" s="2819"/>
      <c r="AC194" s="2819"/>
      <c r="AD194" s="2819"/>
    </row>
    <row r="195" spans="1:30" s="673" customFormat="1" x14ac:dyDescent="0.2">
      <c r="A195" s="710"/>
      <c r="B195" s="710"/>
      <c r="C195" s="710"/>
      <c r="D195" s="710"/>
      <c r="E195" s="710"/>
      <c r="F195" s="711"/>
      <c r="G195" s="712"/>
      <c r="H195" s="712"/>
      <c r="I195" s="715"/>
      <c r="J195" s="728"/>
      <c r="K195" s="715"/>
      <c r="L195" s="715"/>
      <c r="M195" s="715"/>
      <c r="N195" s="715"/>
      <c r="O195" s="715"/>
      <c r="P195" s="715"/>
      <c r="Q195" s="728"/>
      <c r="R195" s="715"/>
      <c r="S195" s="715"/>
      <c r="T195" s="715"/>
      <c r="W195" s="2818"/>
      <c r="Y195" s="2819"/>
      <c r="Z195" s="2819"/>
      <c r="AA195" s="2819"/>
      <c r="AB195" s="2819"/>
      <c r="AC195" s="2819"/>
      <c r="AD195" s="2819"/>
    </row>
    <row r="196" spans="1:30" s="673" customFormat="1" x14ac:dyDescent="0.2">
      <c r="A196" s="710"/>
      <c r="B196" s="710"/>
      <c r="C196" s="710"/>
      <c r="D196" s="710"/>
      <c r="E196" s="710"/>
      <c r="F196" s="711"/>
      <c r="G196" s="712"/>
      <c r="H196" s="712"/>
      <c r="I196" s="715"/>
      <c r="J196" s="728"/>
      <c r="K196" s="715"/>
      <c r="L196" s="715"/>
      <c r="M196" s="715"/>
      <c r="N196" s="715"/>
      <c r="O196" s="715"/>
      <c r="P196" s="715"/>
      <c r="Q196" s="728"/>
      <c r="R196" s="715"/>
      <c r="S196" s="715"/>
      <c r="T196" s="715"/>
      <c r="W196" s="2818"/>
      <c r="Y196" s="2819"/>
      <c r="Z196" s="2819"/>
      <c r="AA196" s="2819"/>
      <c r="AB196" s="2819"/>
      <c r="AC196" s="2819"/>
      <c r="AD196" s="2819"/>
    </row>
    <row r="197" spans="1:30" s="673" customFormat="1" x14ac:dyDescent="0.2">
      <c r="A197" s="710"/>
      <c r="B197" s="710"/>
      <c r="C197" s="710"/>
      <c r="D197" s="710"/>
      <c r="E197" s="710"/>
      <c r="F197" s="711"/>
      <c r="G197" s="712"/>
      <c r="H197" s="712"/>
      <c r="I197" s="715"/>
      <c r="J197" s="728"/>
      <c r="K197" s="715"/>
      <c r="L197" s="715"/>
      <c r="M197" s="715"/>
      <c r="N197" s="715"/>
      <c r="O197" s="715"/>
      <c r="P197" s="715"/>
      <c r="Q197" s="728"/>
      <c r="R197" s="715"/>
      <c r="S197" s="715"/>
      <c r="T197" s="715"/>
      <c r="W197" s="2818"/>
      <c r="Y197" s="2819"/>
      <c r="Z197" s="2819"/>
      <c r="AA197" s="2819"/>
      <c r="AB197" s="2819"/>
      <c r="AC197" s="2819"/>
      <c r="AD197" s="2819"/>
    </row>
    <row r="198" spans="1:30" s="673" customFormat="1" x14ac:dyDescent="0.2">
      <c r="A198" s="710"/>
      <c r="B198" s="710"/>
      <c r="C198" s="710"/>
      <c r="D198" s="710"/>
      <c r="E198" s="710"/>
      <c r="F198" s="711"/>
      <c r="G198" s="712"/>
      <c r="H198" s="712"/>
      <c r="I198" s="715"/>
      <c r="J198" s="728"/>
      <c r="K198" s="715"/>
      <c r="L198" s="715"/>
      <c r="M198" s="715"/>
      <c r="N198" s="715"/>
      <c r="O198" s="715"/>
      <c r="P198" s="715"/>
      <c r="Q198" s="728"/>
      <c r="R198" s="715"/>
      <c r="S198" s="715"/>
      <c r="T198" s="715"/>
      <c r="W198" s="2818"/>
      <c r="Y198" s="2819"/>
      <c r="Z198" s="2819"/>
      <c r="AA198" s="2819"/>
      <c r="AB198" s="2819"/>
      <c r="AC198" s="2819"/>
      <c r="AD198" s="2819"/>
    </row>
    <row r="199" spans="1:30" s="673" customFormat="1" x14ac:dyDescent="0.2">
      <c r="A199" s="710"/>
      <c r="B199" s="710"/>
      <c r="C199" s="710"/>
      <c r="D199" s="710"/>
      <c r="E199" s="710"/>
      <c r="F199" s="711"/>
      <c r="G199" s="712"/>
      <c r="H199" s="712"/>
      <c r="I199" s="715"/>
      <c r="J199" s="728"/>
      <c r="K199" s="715"/>
      <c r="L199" s="715"/>
      <c r="M199" s="715"/>
      <c r="N199" s="715"/>
      <c r="O199" s="715"/>
      <c r="P199" s="715"/>
      <c r="Q199" s="728"/>
      <c r="R199" s="715"/>
      <c r="S199" s="715"/>
      <c r="T199" s="715"/>
      <c r="W199" s="2818"/>
      <c r="Y199" s="2819"/>
      <c r="Z199" s="2819"/>
      <c r="AA199" s="2819"/>
      <c r="AB199" s="2819"/>
      <c r="AC199" s="2819"/>
      <c r="AD199" s="2819"/>
    </row>
    <row r="200" spans="1:30" s="673" customFormat="1" x14ac:dyDescent="0.2">
      <c r="A200" s="710"/>
      <c r="B200" s="710"/>
      <c r="C200" s="710"/>
      <c r="D200" s="710"/>
      <c r="E200" s="710"/>
      <c r="F200" s="711"/>
      <c r="G200" s="712"/>
      <c r="H200" s="712"/>
      <c r="I200" s="715"/>
      <c r="J200" s="728"/>
      <c r="K200" s="715"/>
      <c r="L200" s="715"/>
      <c r="M200" s="715"/>
      <c r="N200" s="715"/>
      <c r="O200" s="715"/>
      <c r="P200" s="715"/>
      <c r="Q200" s="728"/>
      <c r="R200" s="715"/>
      <c r="S200" s="715"/>
      <c r="T200" s="715"/>
      <c r="W200" s="2818"/>
      <c r="Y200" s="2819"/>
      <c r="Z200" s="2819"/>
      <c r="AA200" s="2819"/>
      <c r="AB200" s="2819"/>
      <c r="AC200" s="2819"/>
      <c r="AD200" s="2819"/>
    </row>
    <row r="201" spans="1:30" s="673" customFormat="1" x14ac:dyDescent="0.2">
      <c r="A201" s="710"/>
      <c r="B201" s="710"/>
      <c r="C201" s="710"/>
      <c r="D201" s="710"/>
      <c r="E201" s="710"/>
      <c r="F201" s="711"/>
      <c r="G201" s="712"/>
      <c r="H201" s="712"/>
      <c r="I201" s="715"/>
      <c r="J201" s="728"/>
      <c r="K201" s="715"/>
      <c r="L201" s="715"/>
      <c r="M201" s="715"/>
      <c r="N201" s="715"/>
      <c r="O201" s="715"/>
      <c r="P201" s="715"/>
      <c r="Q201" s="728"/>
      <c r="R201" s="715"/>
      <c r="S201" s="715"/>
      <c r="T201" s="715"/>
      <c r="W201" s="2818"/>
      <c r="Y201" s="2819"/>
      <c r="Z201" s="2819"/>
      <c r="AA201" s="2819"/>
      <c r="AB201" s="2819"/>
      <c r="AC201" s="2819"/>
      <c r="AD201" s="2819"/>
    </row>
    <row r="202" spans="1:30" s="673" customFormat="1" x14ac:dyDescent="0.2">
      <c r="A202" s="710"/>
      <c r="B202" s="710"/>
      <c r="C202" s="710"/>
      <c r="D202" s="710"/>
      <c r="E202" s="710"/>
      <c r="F202" s="711"/>
      <c r="G202" s="712"/>
      <c r="H202" s="712"/>
      <c r="I202" s="715"/>
      <c r="J202" s="728"/>
      <c r="K202" s="715"/>
      <c r="L202" s="715"/>
      <c r="M202" s="715"/>
      <c r="N202" s="715"/>
      <c r="O202" s="715"/>
      <c r="P202" s="715"/>
      <c r="Q202" s="728"/>
      <c r="R202" s="715"/>
      <c r="S202" s="715"/>
      <c r="T202" s="715"/>
      <c r="W202" s="2818"/>
      <c r="Y202" s="2819"/>
      <c r="Z202" s="2819"/>
      <c r="AA202" s="2819"/>
      <c r="AB202" s="2819"/>
      <c r="AC202" s="2819"/>
      <c r="AD202" s="2819"/>
    </row>
    <row r="203" spans="1:30" s="673" customFormat="1" x14ac:dyDescent="0.2">
      <c r="A203" s="710"/>
      <c r="B203" s="710"/>
      <c r="C203" s="710"/>
      <c r="D203" s="710"/>
      <c r="E203" s="710"/>
      <c r="F203" s="711"/>
      <c r="G203" s="712"/>
      <c r="H203" s="712"/>
      <c r="I203" s="715"/>
      <c r="J203" s="728"/>
      <c r="K203" s="715"/>
      <c r="L203" s="715"/>
      <c r="M203" s="715"/>
      <c r="N203" s="715"/>
      <c r="O203" s="715"/>
      <c r="P203" s="715"/>
      <c r="Q203" s="728"/>
      <c r="R203" s="715"/>
      <c r="S203" s="715"/>
      <c r="T203" s="715"/>
      <c r="W203" s="2818"/>
      <c r="Y203" s="2819"/>
      <c r="Z203" s="2819"/>
      <c r="AA203" s="2819"/>
      <c r="AB203" s="2819"/>
      <c r="AC203" s="2819"/>
      <c r="AD203" s="2819"/>
    </row>
    <row r="204" spans="1:30" s="673" customFormat="1" x14ac:dyDescent="0.2">
      <c r="A204" s="710"/>
      <c r="B204" s="710"/>
      <c r="C204" s="710"/>
      <c r="D204" s="710"/>
      <c r="E204" s="710"/>
      <c r="F204" s="711"/>
      <c r="G204" s="712"/>
      <c r="H204" s="712"/>
      <c r="I204" s="715"/>
      <c r="J204" s="728"/>
      <c r="K204" s="715"/>
      <c r="L204" s="715"/>
      <c r="M204" s="715"/>
      <c r="N204" s="715"/>
      <c r="O204" s="715"/>
      <c r="P204" s="715"/>
      <c r="Q204" s="728"/>
      <c r="R204" s="715"/>
      <c r="S204" s="715"/>
      <c r="T204" s="715"/>
      <c r="W204" s="2818"/>
      <c r="Y204" s="2819"/>
      <c r="Z204" s="2819"/>
      <c r="AA204" s="2819"/>
      <c r="AB204" s="2819"/>
      <c r="AC204" s="2819"/>
      <c r="AD204" s="2819"/>
    </row>
    <row r="205" spans="1:30" s="673" customFormat="1" x14ac:dyDescent="0.2">
      <c r="A205" s="710"/>
      <c r="B205" s="710"/>
      <c r="C205" s="710"/>
      <c r="D205" s="710"/>
      <c r="E205" s="710"/>
      <c r="F205" s="711"/>
      <c r="G205" s="712"/>
      <c r="H205" s="712"/>
      <c r="I205" s="715"/>
      <c r="J205" s="728"/>
      <c r="K205" s="715"/>
      <c r="L205" s="715"/>
      <c r="M205" s="715"/>
      <c r="N205" s="715"/>
      <c r="O205" s="715"/>
      <c r="P205" s="715"/>
      <c r="Q205" s="728"/>
      <c r="R205" s="715"/>
      <c r="S205" s="715"/>
      <c r="T205" s="715"/>
      <c r="W205" s="2818"/>
      <c r="Y205" s="2819"/>
      <c r="Z205" s="2819"/>
      <c r="AA205" s="2819"/>
      <c r="AB205" s="2819"/>
      <c r="AC205" s="2819"/>
      <c r="AD205" s="2819"/>
    </row>
    <row r="206" spans="1:30" s="673" customFormat="1" x14ac:dyDescent="0.2">
      <c r="A206" s="710"/>
      <c r="B206" s="710"/>
      <c r="C206" s="710"/>
      <c r="D206" s="710"/>
      <c r="E206" s="710"/>
      <c r="F206" s="711"/>
      <c r="G206" s="712"/>
      <c r="H206" s="712"/>
      <c r="I206" s="715"/>
      <c r="J206" s="728"/>
      <c r="K206" s="715"/>
      <c r="L206" s="715"/>
      <c r="M206" s="715"/>
      <c r="N206" s="715"/>
      <c r="O206" s="715"/>
      <c r="P206" s="715"/>
      <c r="Q206" s="728"/>
      <c r="R206" s="715"/>
      <c r="S206" s="715"/>
      <c r="T206" s="715"/>
      <c r="W206" s="2818"/>
      <c r="Y206" s="2819"/>
      <c r="Z206" s="2819"/>
      <c r="AA206" s="2819"/>
      <c r="AB206" s="2819"/>
      <c r="AC206" s="2819"/>
      <c r="AD206" s="2819"/>
    </row>
    <row r="207" spans="1:30" s="673" customFormat="1" x14ac:dyDescent="0.2">
      <c r="A207" s="710"/>
      <c r="B207" s="710"/>
      <c r="C207" s="710"/>
      <c r="D207" s="710"/>
      <c r="E207" s="710"/>
      <c r="F207" s="711"/>
      <c r="G207" s="712"/>
      <c r="H207" s="712"/>
      <c r="I207" s="715"/>
      <c r="J207" s="728"/>
      <c r="K207" s="715"/>
      <c r="L207" s="715"/>
      <c r="M207" s="715"/>
      <c r="N207" s="715"/>
      <c r="O207" s="715"/>
      <c r="P207" s="715"/>
      <c r="Q207" s="728"/>
      <c r="R207" s="715"/>
      <c r="S207" s="715"/>
      <c r="T207" s="715"/>
      <c r="W207" s="2818"/>
      <c r="Y207" s="2819"/>
      <c r="Z207" s="2819"/>
      <c r="AA207" s="2819"/>
      <c r="AB207" s="2819"/>
      <c r="AC207" s="2819"/>
      <c r="AD207" s="2819"/>
    </row>
    <row r="208" spans="1:30" s="673" customFormat="1" x14ac:dyDescent="0.2">
      <c r="A208" s="710"/>
      <c r="B208" s="710"/>
      <c r="C208" s="710"/>
      <c r="D208" s="710"/>
      <c r="E208" s="710"/>
      <c r="F208" s="711"/>
      <c r="G208" s="712"/>
      <c r="H208" s="712"/>
      <c r="I208" s="715"/>
      <c r="J208" s="728"/>
      <c r="K208" s="715"/>
      <c r="L208" s="715"/>
      <c r="M208" s="715"/>
      <c r="N208" s="715"/>
      <c r="O208" s="715"/>
      <c r="P208" s="715"/>
      <c r="Q208" s="728"/>
      <c r="R208" s="715"/>
      <c r="S208" s="715"/>
      <c r="T208" s="715"/>
      <c r="W208" s="2818"/>
      <c r="Y208" s="2819"/>
      <c r="Z208" s="2819"/>
      <c r="AA208" s="2819"/>
      <c r="AB208" s="2819"/>
      <c r="AC208" s="2819"/>
      <c r="AD208" s="2819"/>
    </row>
    <row r="209" spans="1:30" s="673" customFormat="1" x14ac:dyDescent="0.2">
      <c r="A209" s="710"/>
      <c r="B209" s="710"/>
      <c r="C209" s="710"/>
      <c r="D209" s="710"/>
      <c r="E209" s="710"/>
      <c r="F209" s="711"/>
      <c r="G209" s="712"/>
      <c r="H209" s="712"/>
      <c r="I209" s="715"/>
      <c r="J209" s="728"/>
      <c r="K209" s="715"/>
      <c r="L209" s="715"/>
      <c r="M209" s="715"/>
      <c r="N209" s="715"/>
      <c r="O209" s="715"/>
      <c r="P209" s="715"/>
      <c r="Q209" s="728"/>
      <c r="R209" s="715"/>
      <c r="S209" s="715"/>
      <c r="T209" s="715"/>
      <c r="W209" s="2818"/>
      <c r="Y209" s="2819"/>
      <c r="Z209" s="2819"/>
      <c r="AA209" s="2819"/>
      <c r="AB209" s="2819"/>
      <c r="AC209" s="2819"/>
      <c r="AD209" s="2819"/>
    </row>
    <row r="210" spans="1:30" s="673" customFormat="1" x14ac:dyDescent="0.2">
      <c r="A210" s="710"/>
      <c r="B210" s="710"/>
      <c r="C210" s="710"/>
      <c r="D210" s="710"/>
      <c r="E210" s="710"/>
      <c r="F210" s="711"/>
      <c r="G210" s="712"/>
      <c r="H210" s="712"/>
      <c r="I210" s="715"/>
      <c r="J210" s="728"/>
      <c r="K210" s="715"/>
      <c r="L210" s="715"/>
      <c r="M210" s="715"/>
      <c r="N210" s="715"/>
      <c r="O210" s="715"/>
      <c r="P210" s="715"/>
      <c r="Q210" s="728"/>
      <c r="R210" s="715"/>
      <c r="S210" s="715"/>
      <c r="T210" s="715"/>
      <c r="W210" s="2818"/>
      <c r="Y210" s="2819"/>
      <c r="Z210" s="2819"/>
      <c r="AA210" s="2819"/>
      <c r="AB210" s="2819"/>
      <c r="AC210" s="2819"/>
      <c r="AD210" s="2819"/>
    </row>
    <row r="211" spans="1:30" s="673" customFormat="1" x14ac:dyDescent="0.2">
      <c r="A211" s="710"/>
      <c r="B211" s="710"/>
      <c r="C211" s="710"/>
      <c r="D211" s="710"/>
      <c r="E211" s="710"/>
      <c r="F211" s="711"/>
      <c r="G211" s="712"/>
      <c r="H211" s="712"/>
      <c r="I211" s="715"/>
      <c r="J211" s="728"/>
      <c r="K211" s="715"/>
      <c r="L211" s="715"/>
      <c r="M211" s="715"/>
      <c r="N211" s="715"/>
      <c r="O211" s="715"/>
      <c r="P211" s="715"/>
      <c r="Q211" s="728"/>
      <c r="R211" s="715"/>
      <c r="S211" s="715"/>
      <c r="T211" s="715"/>
      <c r="W211" s="2818"/>
      <c r="Y211" s="2819"/>
      <c r="Z211" s="2819"/>
      <c r="AA211" s="2819"/>
      <c r="AB211" s="2819"/>
      <c r="AC211" s="2819"/>
      <c r="AD211" s="2819"/>
    </row>
    <row r="212" spans="1:30" s="673" customFormat="1" x14ac:dyDescent="0.2">
      <c r="A212" s="710"/>
      <c r="B212" s="710"/>
      <c r="C212" s="710"/>
      <c r="D212" s="710"/>
      <c r="E212" s="710"/>
      <c r="F212" s="711"/>
      <c r="G212" s="712"/>
      <c r="H212" s="712"/>
      <c r="I212" s="715"/>
      <c r="J212" s="728"/>
      <c r="K212" s="715"/>
      <c r="L212" s="715"/>
      <c r="M212" s="715"/>
      <c r="N212" s="715"/>
      <c r="O212" s="715"/>
      <c r="P212" s="715"/>
      <c r="Q212" s="728"/>
      <c r="R212" s="715"/>
      <c r="S212" s="715"/>
      <c r="T212" s="715"/>
      <c r="W212" s="2818"/>
      <c r="Y212" s="2819"/>
      <c r="Z212" s="2819"/>
      <c r="AA212" s="2819"/>
      <c r="AB212" s="2819"/>
      <c r="AC212" s="2819"/>
      <c r="AD212" s="2819"/>
    </row>
    <row r="213" spans="1:30" s="673" customFormat="1" x14ac:dyDescent="0.2">
      <c r="A213" s="710"/>
      <c r="B213" s="710"/>
      <c r="C213" s="710"/>
      <c r="D213" s="710"/>
      <c r="E213" s="710"/>
      <c r="F213" s="711"/>
      <c r="G213" s="712"/>
      <c r="H213" s="712"/>
      <c r="I213" s="715"/>
      <c r="J213" s="728"/>
      <c r="K213" s="715"/>
      <c r="L213" s="715"/>
      <c r="M213" s="715"/>
      <c r="N213" s="715"/>
      <c r="O213" s="715"/>
      <c r="P213" s="715"/>
      <c r="Q213" s="728"/>
      <c r="R213" s="715"/>
      <c r="S213" s="715"/>
      <c r="T213" s="715"/>
      <c r="W213" s="2818"/>
      <c r="Y213" s="2819"/>
      <c r="Z213" s="2819"/>
      <c r="AA213" s="2819"/>
      <c r="AB213" s="2819"/>
      <c r="AC213" s="2819"/>
      <c r="AD213" s="2819"/>
    </row>
    <row r="214" spans="1:30" s="673" customFormat="1" x14ac:dyDescent="0.2">
      <c r="A214" s="710"/>
      <c r="B214" s="710"/>
      <c r="C214" s="710"/>
      <c r="D214" s="710"/>
      <c r="E214" s="710"/>
      <c r="F214" s="711"/>
      <c r="G214" s="712"/>
      <c r="H214" s="712"/>
      <c r="I214" s="715"/>
      <c r="J214" s="728"/>
      <c r="K214" s="715"/>
      <c r="L214" s="715"/>
      <c r="M214" s="715"/>
      <c r="N214" s="715"/>
      <c r="O214" s="715"/>
      <c r="P214" s="715"/>
      <c r="Q214" s="728"/>
      <c r="R214" s="715"/>
      <c r="S214" s="715"/>
      <c r="T214" s="715"/>
      <c r="W214" s="2818"/>
      <c r="Y214" s="2819"/>
      <c r="Z214" s="2819"/>
      <c r="AA214" s="2819"/>
      <c r="AB214" s="2819"/>
      <c r="AC214" s="2819"/>
      <c r="AD214" s="2819"/>
    </row>
    <row r="215" spans="1:30" s="673" customFormat="1" x14ac:dyDescent="0.2">
      <c r="A215" s="710"/>
      <c r="B215" s="710"/>
      <c r="C215" s="710"/>
      <c r="D215" s="710"/>
      <c r="E215" s="710"/>
      <c r="F215" s="711"/>
      <c r="G215" s="712"/>
      <c r="H215" s="712"/>
      <c r="I215" s="715"/>
      <c r="J215" s="728"/>
      <c r="K215" s="715"/>
      <c r="L215" s="715"/>
      <c r="M215" s="715"/>
      <c r="N215" s="715"/>
      <c r="O215" s="715"/>
      <c r="P215" s="715"/>
      <c r="Q215" s="728"/>
      <c r="R215" s="715"/>
      <c r="S215" s="715"/>
      <c r="T215" s="715"/>
      <c r="W215" s="2818"/>
      <c r="Y215" s="2819"/>
      <c r="Z215" s="2819"/>
      <c r="AA215" s="2819"/>
      <c r="AB215" s="2819"/>
      <c r="AC215" s="2819"/>
      <c r="AD215" s="2819"/>
    </row>
    <row r="216" spans="1:30" s="673" customFormat="1" x14ac:dyDescent="0.2">
      <c r="A216" s="710"/>
      <c r="B216" s="710"/>
      <c r="C216" s="710"/>
      <c r="D216" s="710"/>
      <c r="E216" s="710"/>
      <c r="F216" s="711"/>
      <c r="G216" s="712"/>
      <c r="H216" s="712"/>
      <c r="I216" s="715"/>
      <c r="J216" s="728"/>
      <c r="K216" s="715"/>
      <c r="L216" s="715"/>
      <c r="M216" s="715"/>
      <c r="N216" s="715"/>
      <c r="O216" s="715"/>
      <c r="P216" s="715"/>
      <c r="Q216" s="728"/>
      <c r="R216" s="715"/>
      <c r="S216" s="715"/>
      <c r="T216" s="715"/>
      <c r="W216" s="2818"/>
      <c r="Y216" s="2819"/>
      <c r="Z216" s="2819"/>
      <c r="AA216" s="2819"/>
      <c r="AB216" s="2819"/>
      <c r="AC216" s="2819"/>
      <c r="AD216" s="2819"/>
    </row>
    <row r="217" spans="1:30" s="673" customFormat="1" x14ac:dyDescent="0.2">
      <c r="A217" s="710"/>
      <c r="B217" s="710"/>
      <c r="C217" s="710"/>
      <c r="D217" s="710"/>
      <c r="E217" s="710"/>
      <c r="F217" s="711"/>
      <c r="G217" s="712"/>
      <c r="H217" s="712"/>
      <c r="I217" s="715"/>
      <c r="J217" s="728"/>
      <c r="K217" s="715"/>
      <c r="L217" s="715"/>
      <c r="M217" s="715"/>
      <c r="N217" s="715"/>
      <c r="O217" s="715"/>
      <c r="P217" s="715"/>
      <c r="Q217" s="728"/>
      <c r="R217" s="715"/>
      <c r="S217" s="715"/>
      <c r="T217" s="715"/>
      <c r="W217" s="2818"/>
      <c r="Y217" s="2819"/>
      <c r="Z217" s="2819"/>
      <c r="AA217" s="2819"/>
      <c r="AB217" s="2819"/>
      <c r="AC217" s="2819"/>
      <c r="AD217" s="2819"/>
    </row>
    <row r="218" spans="1:30" s="673" customFormat="1" x14ac:dyDescent="0.2">
      <c r="A218" s="710"/>
      <c r="B218" s="710"/>
      <c r="C218" s="710"/>
      <c r="D218" s="710"/>
      <c r="E218" s="710"/>
      <c r="F218" s="711"/>
      <c r="G218" s="712"/>
      <c r="H218" s="712"/>
      <c r="I218" s="715"/>
      <c r="J218" s="728"/>
      <c r="K218" s="715"/>
      <c r="L218" s="715"/>
      <c r="M218" s="715"/>
      <c r="N218" s="715"/>
      <c r="O218" s="715"/>
      <c r="P218" s="715"/>
      <c r="Q218" s="728"/>
      <c r="R218" s="715"/>
      <c r="S218" s="715"/>
      <c r="T218" s="715"/>
      <c r="W218" s="2818"/>
      <c r="Y218" s="2819"/>
      <c r="Z218" s="2819"/>
      <c r="AA218" s="2819"/>
      <c r="AB218" s="2819"/>
      <c r="AC218" s="2819"/>
      <c r="AD218" s="2819"/>
    </row>
    <row r="219" spans="1:30" s="673" customFormat="1" x14ac:dyDescent="0.2">
      <c r="A219" s="710"/>
      <c r="B219" s="710"/>
      <c r="C219" s="710"/>
      <c r="D219" s="710"/>
      <c r="E219" s="710"/>
      <c r="F219" s="711"/>
      <c r="G219" s="712"/>
      <c r="H219" s="712"/>
      <c r="I219" s="715"/>
      <c r="J219" s="728"/>
      <c r="K219" s="715"/>
      <c r="L219" s="715"/>
      <c r="M219" s="715"/>
      <c r="N219" s="715"/>
      <c r="O219" s="715"/>
      <c r="P219" s="715"/>
      <c r="Q219" s="728"/>
      <c r="R219" s="715"/>
      <c r="S219" s="715"/>
      <c r="T219" s="715"/>
      <c r="W219" s="2818"/>
      <c r="Y219" s="2819"/>
      <c r="Z219" s="2819"/>
      <c r="AA219" s="2819"/>
      <c r="AB219" s="2819"/>
      <c r="AC219" s="2819"/>
      <c r="AD219" s="2819"/>
    </row>
    <row r="220" spans="1:30" s="673" customFormat="1" x14ac:dyDescent="0.2">
      <c r="A220" s="710"/>
      <c r="B220" s="710"/>
      <c r="C220" s="710"/>
      <c r="D220" s="710"/>
      <c r="E220" s="710"/>
      <c r="F220" s="711"/>
      <c r="G220" s="712"/>
      <c r="H220" s="712"/>
      <c r="I220" s="715"/>
      <c r="J220" s="728"/>
      <c r="K220" s="715"/>
      <c r="L220" s="715"/>
      <c r="M220" s="715"/>
      <c r="N220" s="715"/>
      <c r="O220" s="715"/>
      <c r="P220" s="715"/>
      <c r="Q220" s="728"/>
      <c r="R220" s="715"/>
      <c r="S220" s="715"/>
      <c r="T220" s="715"/>
      <c r="W220" s="2818"/>
      <c r="Y220" s="2819"/>
      <c r="Z220" s="2819"/>
      <c r="AA220" s="2819"/>
      <c r="AB220" s="2819"/>
      <c r="AC220" s="2819"/>
      <c r="AD220" s="2819"/>
    </row>
    <row r="221" spans="1:30" s="673" customFormat="1" x14ac:dyDescent="0.2">
      <c r="A221" s="710"/>
      <c r="B221" s="710"/>
      <c r="C221" s="710"/>
      <c r="D221" s="710"/>
      <c r="E221" s="710"/>
      <c r="F221" s="711"/>
      <c r="G221" s="712"/>
      <c r="H221" s="712"/>
      <c r="I221" s="715"/>
      <c r="J221" s="728"/>
      <c r="K221" s="715"/>
      <c r="L221" s="715"/>
      <c r="M221" s="715"/>
      <c r="N221" s="715"/>
      <c r="O221" s="715"/>
      <c r="P221" s="715"/>
      <c r="Q221" s="728"/>
      <c r="R221" s="715"/>
      <c r="S221" s="715"/>
      <c r="T221" s="715"/>
      <c r="W221" s="2818"/>
      <c r="Y221" s="2819"/>
      <c r="Z221" s="2819"/>
      <c r="AA221" s="2819"/>
      <c r="AB221" s="2819"/>
      <c r="AC221" s="2819"/>
      <c r="AD221" s="2819"/>
    </row>
    <row r="222" spans="1:30" s="673" customFormat="1" x14ac:dyDescent="0.2">
      <c r="A222" s="710"/>
      <c r="B222" s="710"/>
      <c r="C222" s="710"/>
      <c r="D222" s="710"/>
      <c r="E222" s="710"/>
      <c r="F222" s="711"/>
      <c r="G222" s="712"/>
      <c r="H222" s="712"/>
      <c r="I222" s="715"/>
      <c r="J222" s="728"/>
      <c r="K222" s="715"/>
      <c r="L222" s="715"/>
      <c r="M222" s="715"/>
      <c r="N222" s="715"/>
      <c r="O222" s="715"/>
      <c r="P222" s="715"/>
      <c r="Q222" s="728"/>
      <c r="R222" s="715"/>
      <c r="S222" s="715"/>
      <c r="T222" s="715"/>
      <c r="W222" s="2818"/>
      <c r="Y222" s="2819"/>
      <c r="Z222" s="2819"/>
      <c r="AA222" s="2819"/>
      <c r="AB222" s="2819"/>
      <c r="AC222" s="2819"/>
      <c r="AD222" s="2819"/>
    </row>
    <row r="223" spans="1:30" s="673" customFormat="1" x14ac:dyDescent="0.2">
      <c r="A223" s="710"/>
      <c r="B223" s="710"/>
      <c r="C223" s="710"/>
      <c r="D223" s="710"/>
      <c r="E223" s="710"/>
      <c r="F223" s="711"/>
      <c r="G223" s="712"/>
      <c r="H223" s="712"/>
      <c r="I223" s="715"/>
      <c r="J223" s="728"/>
      <c r="K223" s="715"/>
      <c r="L223" s="715"/>
      <c r="M223" s="715"/>
      <c r="N223" s="715"/>
      <c r="O223" s="715"/>
      <c r="P223" s="715"/>
      <c r="Q223" s="728"/>
      <c r="R223" s="715"/>
      <c r="S223" s="715"/>
      <c r="T223" s="715"/>
      <c r="W223" s="2818"/>
      <c r="Y223" s="2819"/>
      <c r="Z223" s="2819"/>
      <c r="AA223" s="2819"/>
      <c r="AB223" s="2819"/>
      <c r="AC223" s="2819"/>
      <c r="AD223" s="2819"/>
    </row>
    <row r="224" spans="1:30" s="673" customFormat="1" x14ac:dyDescent="0.2">
      <c r="A224" s="710"/>
      <c r="B224" s="710"/>
      <c r="C224" s="710"/>
      <c r="D224" s="710"/>
      <c r="E224" s="710"/>
      <c r="F224" s="711"/>
      <c r="G224" s="712"/>
      <c r="H224" s="712"/>
      <c r="I224" s="715"/>
      <c r="J224" s="728"/>
      <c r="K224" s="715"/>
      <c r="L224" s="715"/>
      <c r="M224" s="715"/>
      <c r="N224" s="715"/>
      <c r="O224" s="715"/>
      <c r="P224" s="715"/>
      <c r="Q224" s="728"/>
      <c r="R224" s="715"/>
      <c r="S224" s="715"/>
      <c r="T224" s="715"/>
      <c r="W224" s="2818"/>
      <c r="Y224" s="2819"/>
      <c r="Z224" s="2819"/>
      <c r="AA224" s="2819"/>
      <c r="AB224" s="2819"/>
      <c r="AC224" s="2819"/>
      <c r="AD224" s="2819"/>
    </row>
    <row r="225" spans="1:30" s="673" customFormat="1" x14ac:dyDescent="0.2">
      <c r="A225" s="710"/>
      <c r="B225" s="710"/>
      <c r="C225" s="710"/>
      <c r="D225" s="710"/>
      <c r="E225" s="710"/>
      <c r="F225" s="711"/>
      <c r="G225" s="712"/>
      <c r="H225" s="712"/>
      <c r="I225" s="715"/>
      <c r="J225" s="728"/>
      <c r="K225" s="715"/>
      <c r="L225" s="715"/>
      <c r="M225" s="715"/>
      <c r="N225" s="715"/>
      <c r="O225" s="715"/>
      <c r="P225" s="715"/>
      <c r="Q225" s="728"/>
      <c r="R225" s="715"/>
      <c r="S225" s="715"/>
      <c r="T225" s="715"/>
      <c r="W225" s="2818"/>
      <c r="Y225" s="2819"/>
      <c r="Z225" s="2819"/>
      <c r="AA225" s="2819"/>
      <c r="AB225" s="2819"/>
      <c r="AC225" s="2819"/>
      <c r="AD225" s="2819"/>
    </row>
    <row r="226" spans="1:30" s="673" customFormat="1" x14ac:dyDescent="0.2">
      <c r="A226" s="710"/>
      <c r="B226" s="710"/>
      <c r="C226" s="710"/>
      <c r="D226" s="710"/>
      <c r="E226" s="710"/>
      <c r="F226" s="711"/>
      <c r="G226" s="712"/>
      <c r="H226" s="712"/>
      <c r="I226" s="715"/>
      <c r="J226" s="728"/>
      <c r="K226" s="715"/>
      <c r="L226" s="715"/>
      <c r="M226" s="715"/>
      <c r="N226" s="715"/>
      <c r="O226" s="715"/>
      <c r="P226" s="715"/>
      <c r="Q226" s="728"/>
      <c r="R226" s="715"/>
      <c r="S226" s="715"/>
      <c r="T226" s="715"/>
      <c r="W226" s="2818"/>
      <c r="Y226" s="2819"/>
      <c r="Z226" s="2819"/>
      <c r="AA226" s="2819"/>
      <c r="AB226" s="2819"/>
      <c r="AC226" s="2819"/>
      <c r="AD226" s="2819"/>
    </row>
    <row r="227" spans="1:30" s="673" customFormat="1" x14ac:dyDescent="0.2">
      <c r="A227" s="710"/>
      <c r="B227" s="710"/>
      <c r="C227" s="710"/>
      <c r="D227" s="710"/>
      <c r="E227" s="710"/>
      <c r="F227" s="711"/>
      <c r="G227" s="712"/>
      <c r="H227" s="712"/>
      <c r="I227" s="715"/>
      <c r="J227" s="728"/>
      <c r="K227" s="715"/>
      <c r="L227" s="715"/>
      <c r="M227" s="715"/>
      <c r="N227" s="715"/>
      <c r="O227" s="715"/>
      <c r="P227" s="715"/>
      <c r="Q227" s="728"/>
      <c r="R227" s="715"/>
      <c r="S227" s="715"/>
      <c r="T227" s="715"/>
      <c r="W227" s="2818"/>
      <c r="Y227" s="2819"/>
      <c r="Z227" s="2819"/>
      <c r="AA227" s="2819"/>
      <c r="AB227" s="2819"/>
      <c r="AC227" s="2819"/>
      <c r="AD227" s="2819"/>
    </row>
    <row r="228" spans="1:30" s="673" customFormat="1" x14ac:dyDescent="0.2">
      <c r="A228" s="710"/>
      <c r="B228" s="710"/>
      <c r="C228" s="710"/>
      <c r="D228" s="710"/>
      <c r="E228" s="710"/>
      <c r="F228" s="711"/>
      <c r="G228" s="712"/>
      <c r="H228" s="712"/>
      <c r="I228" s="715"/>
      <c r="J228" s="728"/>
      <c r="K228" s="715"/>
      <c r="L228" s="715"/>
      <c r="M228" s="715"/>
      <c r="N228" s="715"/>
      <c r="O228" s="715"/>
      <c r="P228" s="715"/>
      <c r="Q228" s="728"/>
      <c r="R228" s="715"/>
      <c r="S228" s="715"/>
      <c r="T228" s="715"/>
      <c r="W228" s="2818"/>
      <c r="Y228" s="2819"/>
      <c r="Z228" s="2819"/>
      <c r="AA228" s="2819"/>
      <c r="AB228" s="2819"/>
      <c r="AC228" s="2819"/>
      <c r="AD228" s="2819"/>
    </row>
    <row r="229" spans="1:30" s="673" customFormat="1" x14ac:dyDescent="0.2">
      <c r="A229" s="710"/>
      <c r="B229" s="710"/>
      <c r="C229" s="710"/>
      <c r="D229" s="710"/>
      <c r="E229" s="710"/>
      <c r="F229" s="711"/>
      <c r="G229" s="712"/>
      <c r="H229" s="712"/>
      <c r="I229" s="715"/>
      <c r="J229" s="728"/>
      <c r="K229" s="715"/>
      <c r="L229" s="715"/>
      <c r="M229" s="715"/>
      <c r="N229" s="715"/>
      <c r="O229" s="715"/>
      <c r="P229" s="715"/>
      <c r="Q229" s="728"/>
      <c r="R229" s="715"/>
      <c r="S229" s="715"/>
      <c r="T229" s="715"/>
      <c r="W229" s="2818"/>
      <c r="Y229" s="2819"/>
      <c r="Z229" s="2819"/>
      <c r="AA229" s="2819"/>
      <c r="AB229" s="2819"/>
      <c r="AC229" s="2819"/>
      <c r="AD229" s="2819"/>
    </row>
    <row r="230" spans="1:30" s="673" customFormat="1" x14ac:dyDescent="0.2">
      <c r="A230" s="710"/>
      <c r="B230" s="710"/>
      <c r="C230" s="710"/>
      <c r="D230" s="710"/>
      <c r="E230" s="710"/>
      <c r="F230" s="711"/>
      <c r="G230" s="712"/>
      <c r="H230" s="712"/>
      <c r="I230" s="715"/>
      <c r="J230" s="728"/>
      <c r="K230" s="715"/>
      <c r="L230" s="715"/>
      <c r="M230" s="715"/>
      <c r="N230" s="715"/>
      <c r="O230" s="715"/>
      <c r="P230" s="715"/>
      <c r="Q230" s="728"/>
      <c r="R230" s="715"/>
      <c r="S230" s="715"/>
      <c r="T230" s="715"/>
      <c r="W230" s="2818"/>
      <c r="Y230" s="2819"/>
      <c r="Z230" s="2819"/>
      <c r="AA230" s="2819"/>
      <c r="AB230" s="2819"/>
      <c r="AC230" s="2819"/>
      <c r="AD230" s="2819"/>
    </row>
    <row r="231" spans="1:30" s="673" customFormat="1" x14ac:dyDescent="0.2">
      <c r="A231" s="710"/>
      <c r="B231" s="710"/>
      <c r="C231" s="710"/>
      <c r="D231" s="710"/>
      <c r="E231" s="710"/>
      <c r="F231" s="711"/>
      <c r="G231" s="712"/>
      <c r="H231" s="712"/>
      <c r="I231" s="715"/>
      <c r="J231" s="728"/>
      <c r="K231" s="715"/>
      <c r="L231" s="715"/>
      <c r="M231" s="715"/>
      <c r="N231" s="715"/>
      <c r="O231" s="715"/>
      <c r="P231" s="715"/>
      <c r="Q231" s="728"/>
      <c r="R231" s="715"/>
      <c r="S231" s="715"/>
      <c r="T231" s="715"/>
      <c r="W231" s="2818"/>
      <c r="Y231" s="2819"/>
      <c r="Z231" s="2819"/>
      <c r="AA231" s="2819"/>
      <c r="AB231" s="2819"/>
      <c r="AC231" s="2819"/>
      <c r="AD231" s="2819"/>
    </row>
    <row r="232" spans="1:30" s="673" customFormat="1" x14ac:dyDescent="0.2">
      <c r="A232" s="710"/>
      <c r="B232" s="710"/>
      <c r="C232" s="710"/>
      <c r="D232" s="710"/>
      <c r="E232" s="710"/>
      <c r="F232" s="711"/>
      <c r="G232" s="712"/>
      <c r="H232" s="712"/>
      <c r="I232" s="715"/>
      <c r="J232" s="728"/>
      <c r="K232" s="715"/>
      <c r="L232" s="715"/>
      <c r="M232" s="715"/>
      <c r="N232" s="715"/>
      <c r="O232" s="715"/>
      <c r="P232" s="715"/>
      <c r="Q232" s="728"/>
      <c r="R232" s="715"/>
      <c r="S232" s="715"/>
      <c r="T232" s="715"/>
      <c r="W232" s="2818"/>
      <c r="Y232" s="2819"/>
      <c r="Z232" s="2819"/>
      <c r="AA232" s="2819"/>
      <c r="AB232" s="2819"/>
      <c r="AC232" s="2819"/>
      <c r="AD232" s="2819"/>
    </row>
    <row r="233" spans="1:30" s="673" customFormat="1" x14ac:dyDescent="0.2">
      <c r="A233" s="710"/>
      <c r="B233" s="710"/>
      <c r="C233" s="710"/>
      <c r="D233" s="710"/>
      <c r="E233" s="710"/>
      <c r="F233" s="711"/>
      <c r="G233" s="712"/>
      <c r="H233" s="712"/>
      <c r="I233" s="715"/>
      <c r="J233" s="728"/>
      <c r="K233" s="715"/>
      <c r="L233" s="715"/>
      <c r="M233" s="715"/>
      <c r="N233" s="715"/>
      <c r="O233" s="715"/>
      <c r="P233" s="715"/>
      <c r="Q233" s="728"/>
      <c r="R233" s="715"/>
      <c r="S233" s="715"/>
      <c r="T233" s="715"/>
      <c r="W233" s="2818"/>
      <c r="Y233" s="2819"/>
      <c r="Z233" s="2819"/>
      <c r="AA233" s="2819"/>
      <c r="AB233" s="2819"/>
      <c r="AC233" s="2819"/>
      <c r="AD233" s="2819"/>
    </row>
    <row r="234" spans="1:30" s="673" customFormat="1" x14ac:dyDescent="0.2">
      <c r="A234" s="710"/>
      <c r="B234" s="710"/>
      <c r="C234" s="710"/>
      <c r="D234" s="710"/>
      <c r="E234" s="710"/>
      <c r="F234" s="711"/>
      <c r="G234" s="712"/>
      <c r="H234" s="712"/>
      <c r="I234" s="715"/>
      <c r="J234" s="728"/>
      <c r="K234" s="715"/>
      <c r="L234" s="715"/>
      <c r="M234" s="715"/>
      <c r="N234" s="715"/>
      <c r="O234" s="715"/>
      <c r="P234" s="715"/>
      <c r="Q234" s="728"/>
      <c r="R234" s="715"/>
      <c r="S234" s="715"/>
      <c r="T234" s="715"/>
      <c r="W234" s="2818"/>
      <c r="Y234" s="2819"/>
      <c r="Z234" s="2819"/>
      <c r="AA234" s="2819"/>
      <c r="AB234" s="2819"/>
      <c r="AC234" s="2819"/>
      <c r="AD234" s="2819"/>
    </row>
    <row r="235" spans="1:30" s="673" customFormat="1" x14ac:dyDescent="0.2">
      <c r="A235" s="710"/>
      <c r="B235" s="710"/>
      <c r="C235" s="710"/>
      <c r="D235" s="710"/>
      <c r="E235" s="710"/>
      <c r="F235" s="711"/>
      <c r="G235" s="712"/>
      <c r="H235" s="712"/>
      <c r="I235" s="715"/>
      <c r="J235" s="728"/>
      <c r="K235" s="715"/>
      <c r="L235" s="715"/>
      <c r="M235" s="715"/>
      <c r="N235" s="715"/>
      <c r="O235" s="715"/>
      <c r="P235" s="715"/>
      <c r="Q235" s="728"/>
      <c r="R235" s="715"/>
      <c r="S235" s="715"/>
      <c r="T235" s="715"/>
      <c r="W235" s="2818"/>
      <c r="Y235" s="2819"/>
      <c r="Z235" s="2819"/>
      <c r="AA235" s="2819"/>
      <c r="AB235" s="2819"/>
      <c r="AC235" s="2819"/>
      <c r="AD235" s="2819"/>
    </row>
    <row r="236" spans="1:30" s="673" customFormat="1" x14ac:dyDescent="0.2">
      <c r="A236" s="710"/>
      <c r="B236" s="710"/>
      <c r="C236" s="710"/>
      <c r="D236" s="710"/>
      <c r="E236" s="710"/>
      <c r="F236" s="711"/>
      <c r="G236" s="712"/>
      <c r="H236" s="712"/>
      <c r="I236" s="715"/>
      <c r="J236" s="728"/>
      <c r="K236" s="715"/>
      <c r="L236" s="715"/>
      <c r="M236" s="715"/>
      <c r="N236" s="715"/>
      <c r="O236" s="715"/>
      <c r="P236" s="715"/>
      <c r="Q236" s="728"/>
      <c r="R236" s="715"/>
      <c r="S236" s="715"/>
      <c r="T236" s="715"/>
      <c r="W236" s="2818"/>
      <c r="Y236" s="2819"/>
      <c r="Z236" s="2819"/>
      <c r="AA236" s="2819"/>
      <c r="AB236" s="2819"/>
      <c r="AC236" s="2819"/>
      <c r="AD236" s="2819"/>
    </row>
    <row r="237" spans="1:30" s="673" customFormat="1" x14ac:dyDescent="0.2">
      <c r="A237" s="710"/>
      <c r="B237" s="710"/>
      <c r="C237" s="710"/>
      <c r="D237" s="710"/>
      <c r="E237" s="710"/>
      <c r="F237" s="711"/>
      <c r="G237" s="712"/>
      <c r="H237" s="712"/>
      <c r="I237" s="715"/>
      <c r="J237" s="728"/>
      <c r="K237" s="715"/>
      <c r="L237" s="715"/>
      <c r="M237" s="715"/>
      <c r="N237" s="715"/>
      <c r="O237" s="715"/>
      <c r="P237" s="715"/>
      <c r="Q237" s="728"/>
      <c r="R237" s="715"/>
      <c r="S237" s="715"/>
      <c r="T237" s="715"/>
      <c r="W237" s="2818"/>
      <c r="Y237" s="2819"/>
      <c r="Z237" s="2819"/>
      <c r="AA237" s="2819"/>
      <c r="AB237" s="2819"/>
      <c r="AC237" s="2819"/>
      <c r="AD237" s="2819"/>
    </row>
    <row r="238" spans="1:30" s="673" customFormat="1" x14ac:dyDescent="0.2">
      <c r="A238" s="710"/>
      <c r="B238" s="710"/>
      <c r="C238" s="710"/>
      <c r="D238" s="710"/>
      <c r="E238" s="710"/>
      <c r="F238" s="711"/>
      <c r="G238" s="712"/>
      <c r="H238" s="712"/>
      <c r="I238" s="715"/>
      <c r="J238" s="728"/>
      <c r="K238" s="715"/>
      <c r="L238" s="715"/>
      <c r="M238" s="715"/>
      <c r="N238" s="715"/>
      <c r="O238" s="715"/>
      <c r="P238" s="715"/>
      <c r="Q238" s="728"/>
      <c r="R238" s="715"/>
      <c r="S238" s="715"/>
      <c r="T238" s="715"/>
      <c r="W238" s="2818"/>
      <c r="Y238" s="2819"/>
      <c r="Z238" s="2819"/>
      <c r="AA238" s="2819"/>
      <c r="AB238" s="2819"/>
      <c r="AC238" s="2819"/>
      <c r="AD238" s="2819"/>
    </row>
    <row r="239" spans="1:30" s="673" customFormat="1" x14ac:dyDescent="0.2">
      <c r="A239" s="710"/>
      <c r="B239" s="710"/>
      <c r="C239" s="710"/>
      <c r="D239" s="710"/>
      <c r="E239" s="710"/>
      <c r="F239" s="711"/>
      <c r="G239" s="712"/>
      <c r="H239" s="712"/>
      <c r="I239" s="715"/>
      <c r="J239" s="728"/>
      <c r="K239" s="715"/>
      <c r="L239" s="715"/>
      <c r="M239" s="715"/>
      <c r="N239" s="715"/>
      <c r="O239" s="715"/>
      <c r="P239" s="715"/>
      <c r="Q239" s="728"/>
      <c r="R239" s="715"/>
      <c r="S239" s="715"/>
      <c r="T239" s="715"/>
      <c r="W239" s="2818"/>
      <c r="Y239" s="2819"/>
      <c r="Z239" s="2819"/>
      <c r="AA239" s="2819"/>
      <c r="AB239" s="2819"/>
      <c r="AC239" s="2819"/>
      <c r="AD239" s="2819"/>
    </row>
    <row r="240" spans="1:30" s="673" customFormat="1" x14ac:dyDescent="0.2">
      <c r="A240" s="710"/>
      <c r="B240" s="710"/>
      <c r="C240" s="710"/>
      <c r="D240" s="710"/>
      <c r="E240" s="710"/>
      <c r="F240" s="711"/>
      <c r="G240" s="712"/>
      <c r="H240" s="712"/>
      <c r="I240" s="715"/>
      <c r="J240" s="728"/>
      <c r="K240" s="715"/>
      <c r="L240" s="715"/>
      <c r="M240" s="715"/>
      <c r="N240" s="715"/>
      <c r="O240" s="715"/>
      <c r="P240" s="715"/>
      <c r="Q240" s="728"/>
      <c r="R240" s="715"/>
      <c r="S240" s="715"/>
      <c r="T240" s="715"/>
      <c r="W240" s="2818"/>
      <c r="Y240" s="2819"/>
      <c r="Z240" s="2819"/>
      <c r="AA240" s="2819"/>
      <c r="AB240" s="2819"/>
      <c r="AC240" s="2819"/>
      <c r="AD240" s="2819"/>
    </row>
    <row r="241" spans="1:30" s="673" customFormat="1" x14ac:dyDescent="0.2">
      <c r="A241" s="710"/>
      <c r="B241" s="710"/>
      <c r="C241" s="710"/>
      <c r="D241" s="710"/>
      <c r="E241" s="710"/>
      <c r="F241" s="711"/>
      <c r="G241" s="712"/>
      <c r="H241" s="712"/>
      <c r="I241" s="715"/>
      <c r="J241" s="728"/>
      <c r="K241" s="715"/>
      <c r="L241" s="715"/>
      <c r="M241" s="715"/>
      <c r="N241" s="715"/>
      <c r="O241" s="715"/>
      <c r="P241" s="715"/>
      <c r="Q241" s="728"/>
      <c r="R241" s="715"/>
      <c r="S241" s="715"/>
      <c r="T241" s="715"/>
      <c r="W241" s="2818"/>
      <c r="Y241" s="2819"/>
      <c r="Z241" s="2819"/>
      <c r="AA241" s="2819"/>
      <c r="AB241" s="2819"/>
      <c r="AC241" s="2819"/>
      <c r="AD241" s="2819"/>
    </row>
    <row r="242" spans="1:30" s="673" customFormat="1" x14ac:dyDescent="0.2">
      <c r="A242" s="710"/>
      <c r="B242" s="710"/>
      <c r="C242" s="710"/>
      <c r="D242" s="710"/>
      <c r="E242" s="710"/>
      <c r="F242" s="711"/>
      <c r="G242" s="712"/>
      <c r="H242" s="712"/>
      <c r="I242" s="715"/>
      <c r="J242" s="728"/>
      <c r="K242" s="715"/>
      <c r="L242" s="715"/>
      <c r="M242" s="715"/>
      <c r="N242" s="715"/>
      <c r="O242" s="715"/>
      <c r="P242" s="715"/>
      <c r="Q242" s="728"/>
      <c r="R242" s="715"/>
      <c r="S242" s="715"/>
      <c r="T242" s="715"/>
      <c r="W242" s="2818"/>
      <c r="Y242" s="2819"/>
      <c r="Z242" s="2819"/>
      <c r="AA242" s="2819"/>
      <c r="AB242" s="2819"/>
      <c r="AC242" s="2819"/>
      <c r="AD242" s="2819"/>
    </row>
    <row r="243" spans="1:30" s="673" customFormat="1" x14ac:dyDescent="0.2">
      <c r="A243" s="710"/>
      <c r="B243" s="710"/>
      <c r="C243" s="710"/>
      <c r="D243" s="710"/>
      <c r="E243" s="710"/>
      <c r="F243" s="711"/>
      <c r="G243" s="712"/>
      <c r="H243" s="712"/>
      <c r="I243" s="715"/>
      <c r="J243" s="728"/>
      <c r="K243" s="715"/>
      <c r="L243" s="715"/>
      <c r="M243" s="715"/>
      <c r="N243" s="715"/>
      <c r="O243" s="715"/>
      <c r="P243" s="715"/>
      <c r="Q243" s="728"/>
      <c r="R243" s="715"/>
      <c r="S243" s="715"/>
      <c r="T243" s="715"/>
      <c r="W243" s="2818"/>
      <c r="Y243" s="2819"/>
      <c r="Z243" s="2819"/>
      <c r="AA243" s="2819"/>
      <c r="AB243" s="2819"/>
      <c r="AC243" s="2819"/>
      <c r="AD243" s="2819"/>
    </row>
    <row r="244" spans="1:30" s="673" customFormat="1" x14ac:dyDescent="0.2">
      <c r="A244" s="710"/>
      <c r="B244" s="710"/>
      <c r="C244" s="710"/>
      <c r="D244" s="710"/>
      <c r="E244" s="710"/>
      <c r="F244" s="711"/>
      <c r="G244" s="712"/>
      <c r="H244" s="712"/>
      <c r="I244" s="715"/>
      <c r="J244" s="728"/>
      <c r="K244" s="715"/>
      <c r="L244" s="715"/>
      <c r="M244" s="715"/>
      <c r="N244" s="715"/>
      <c r="O244" s="715"/>
      <c r="P244" s="715"/>
      <c r="Q244" s="728"/>
      <c r="R244" s="715"/>
      <c r="S244" s="715"/>
      <c r="T244" s="715"/>
      <c r="W244" s="2818"/>
      <c r="Y244" s="2819"/>
      <c r="Z244" s="2819"/>
      <c r="AA244" s="2819"/>
      <c r="AB244" s="2819"/>
      <c r="AC244" s="2819"/>
      <c r="AD244" s="2819"/>
    </row>
    <row r="245" spans="1:30" s="673" customFormat="1" x14ac:dyDescent="0.2">
      <c r="A245" s="710"/>
      <c r="B245" s="710"/>
      <c r="C245" s="710"/>
      <c r="D245" s="710"/>
      <c r="E245" s="710"/>
      <c r="F245" s="711"/>
      <c r="G245" s="712"/>
      <c r="H245" s="712"/>
      <c r="I245" s="715"/>
      <c r="J245" s="728"/>
      <c r="K245" s="715"/>
      <c r="L245" s="715"/>
      <c r="M245" s="715"/>
      <c r="N245" s="715"/>
      <c r="O245" s="715"/>
      <c r="P245" s="715"/>
      <c r="Q245" s="728"/>
      <c r="R245" s="715"/>
      <c r="S245" s="715"/>
      <c r="T245" s="715"/>
      <c r="W245" s="2818"/>
      <c r="Y245" s="2819"/>
      <c r="Z245" s="2819"/>
      <c r="AA245" s="2819"/>
      <c r="AB245" s="2819"/>
      <c r="AC245" s="2819"/>
      <c r="AD245" s="2819"/>
    </row>
    <row r="246" spans="1:30" s="673" customFormat="1" x14ac:dyDescent="0.2">
      <c r="A246" s="710"/>
      <c r="B246" s="710"/>
      <c r="C246" s="710"/>
      <c r="D246" s="710"/>
      <c r="E246" s="710"/>
      <c r="F246" s="711"/>
      <c r="G246" s="712"/>
      <c r="H246" s="712"/>
      <c r="I246" s="715"/>
      <c r="J246" s="728"/>
      <c r="K246" s="715"/>
      <c r="L246" s="715"/>
      <c r="M246" s="715"/>
      <c r="N246" s="715"/>
      <c r="O246" s="715"/>
      <c r="P246" s="715"/>
      <c r="Q246" s="728"/>
      <c r="R246" s="715"/>
      <c r="S246" s="715"/>
      <c r="T246" s="715"/>
      <c r="W246" s="2818"/>
      <c r="Y246" s="2819"/>
      <c r="Z246" s="2819"/>
      <c r="AA246" s="2819"/>
      <c r="AB246" s="2819"/>
      <c r="AC246" s="2819"/>
      <c r="AD246" s="2819"/>
    </row>
    <row r="247" spans="1:30" s="673" customFormat="1" x14ac:dyDescent="0.2">
      <c r="A247" s="710"/>
      <c r="B247" s="710"/>
      <c r="C247" s="710"/>
      <c r="D247" s="710"/>
      <c r="E247" s="710"/>
      <c r="F247" s="711"/>
      <c r="G247" s="712"/>
      <c r="H247" s="712"/>
      <c r="I247" s="715"/>
      <c r="J247" s="728"/>
      <c r="K247" s="715"/>
      <c r="L247" s="715"/>
      <c r="M247" s="715"/>
      <c r="N247" s="715"/>
      <c r="O247" s="715"/>
      <c r="P247" s="715"/>
      <c r="Q247" s="728"/>
      <c r="R247" s="715"/>
      <c r="S247" s="715"/>
      <c r="T247" s="715"/>
      <c r="W247" s="2818"/>
      <c r="Y247" s="2819"/>
      <c r="Z247" s="2819"/>
      <c r="AA247" s="2819"/>
      <c r="AB247" s="2819"/>
      <c r="AC247" s="2819"/>
      <c r="AD247" s="2819"/>
    </row>
    <row r="248" spans="1:30" s="673" customFormat="1" x14ac:dyDescent="0.2">
      <c r="A248" s="710"/>
      <c r="B248" s="710"/>
      <c r="C248" s="710"/>
      <c r="D248" s="710"/>
      <c r="E248" s="710"/>
      <c r="F248" s="711"/>
      <c r="G248" s="712"/>
      <c r="H248" s="712"/>
      <c r="I248" s="715"/>
      <c r="J248" s="728"/>
      <c r="K248" s="715"/>
      <c r="L248" s="715"/>
      <c r="M248" s="715"/>
      <c r="N248" s="715"/>
      <c r="O248" s="715"/>
      <c r="P248" s="715"/>
      <c r="Q248" s="728"/>
      <c r="R248" s="715"/>
      <c r="S248" s="715"/>
      <c r="T248" s="715"/>
      <c r="W248" s="2818"/>
      <c r="Y248" s="2819"/>
      <c r="Z248" s="2819"/>
      <c r="AA248" s="2819"/>
      <c r="AB248" s="2819"/>
      <c r="AC248" s="2819"/>
      <c r="AD248" s="2819"/>
    </row>
    <row r="249" spans="1:30" s="673" customFormat="1" x14ac:dyDescent="0.2">
      <c r="A249" s="710"/>
      <c r="B249" s="710"/>
      <c r="C249" s="710"/>
      <c r="D249" s="710"/>
      <c r="E249" s="710"/>
      <c r="F249" s="711"/>
      <c r="G249" s="712"/>
      <c r="H249" s="712"/>
      <c r="I249" s="715"/>
      <c r="J249" s="728"/>
      <c r="K249" s="715"/>
      <c r="L249" s="715"/>
      <c r="M249" s="715"/>
      <c r="N249" s="715"/>
      <c r="O249" s="715"/>
      <c r="P249" s="715"/>
      <c r="Q249" s="728"/>
      <c r="R249" s="715"/>
      <c r="S249" s="715"/>
      <c r="T249" s="715"/>
      <c r="W249" s="2818"/>
      <c r="Y249" s="2819"/>
      <c r="Z249" s="2819"/>
      <c r="AA249" s="2819"/>
      <c r="AB249" s="2819"/>
      <c r="AC249" s="2819"/>
      <c r="AD249" s="2819"/>
    </row>
    <row r="250" spans="1:30" s="673" customFormat="1" x14ac:dyDescent="0.2">
      <c r="A250" s="710"/>
      <c r="B250" s="710"/>
      <c r="C250" s="710"/>
      <c r="D250" s="710"/>
      <c r="E250" s="710"/>
      <c r="F250" s="711"/>
      <c r="G250" s="712"/>
      <c r="H250" s="712"/>
      <c r="I250" s="715"/>
      <c r="J250" s="728"/>
      <c r="K250" s="715"/>
      <c r="L250" s="715"/>
      <c r="M250" s="715"/>
      <c r="N250" s="715"/>
      <c r="O250" s="715"/>
      <c r="P250" s="715"/>
      <c r="Q250" s="728"/>
      <c r="R250" s="715"/>
      <c r="S250" s="715"/>
      <c r="T250" s="715"/>
      <c r="W250" s="2818"/>
      <c r="Y250" s="2819"/>
      <c r="Z250" s="2819"/>
      <c r="AA250" s="2819"/>
      <c r="AB250" s="2819"/>
      <c r="AC250" s="2819"/>
      <c r="AD250" s="2819"/>
    </row>
    <row r="251" spans="1:30" s="673" customFormat="1" x14ac:dyDescent="0.2">
      <c r="A251" s="710"/>
      <c r="B251" s="710"/>
      <c r="C251" s="710"/>
      <c r="D251" s="710"/>
      <c r="E251" s="710"/>
      <c r="F251" s="711"/>
      <c r="G251" s="712"/>
      <c r="H251" s="712"/>
      <c r="I251" s="715"/>
      <c r="J251" s="728"/>
      <c r="K251" s="715"/>
      <c r="L251" s="715"/>
      <c r="M251" s="715"/>
      <c r="N251" s="715"/>
      <c r="O251" s="715"/>
      <c r="P251" s="715"/>
      <c r="Q251" s="728"/>
      <c r="R251" s="715"/>
      <c r="S251" s="715"/>
      <c r="T251" s="715"/>
      <c r="W251" s="2818"/>
      <c r="Y251" s="2819"/>
      <c r="Z251" s="2819"/>
      <c r="AA251" s="2819"/>
      <c r="AB251" s="2819"/>
      <c r="AC251" s="2819"/>
      <c r="AD251" s="2819"/>
    </row>
    <row r="252" spans="1:30" s="673" customFormat="1" x14ac:dyDescent="0.2">
      <c r="A252" s="710"/>
      <c r="B252" s="710"/>
      <c r="C252" s="710"/>
      <c r="D252" s="710"/>
      <c r="E252" s="710"/>
      <c r="F252" s="711"/>
      <c r="G252" s="712"/>
      <c r="H252" s="712"/>
      <c r="I252" s="715"/>
      <c r="J252" s="728"/>
      <c r="K252" s="715"/>
      <c r="L252" s="715"/>
      <c r="M252" s="715"/>
      <c r="N252" s="715"/>
      <c r="O252" s="715"/>
      <c r="P252" s="715"/>
      <c r="Q252" s="728"/>
      <c r="R252" s="715"/>
      <c r="S252" s="715"/>
      <c r="T252" s="715"/>
      <c r="W252" s="2818"/>
      <c r="Y252" s="2819"/>
      <c r="Z252" s="2819"/>
      <c r="AA252" s="2819"/>
      <c r="AB252" s="2819"/>
      <c r="AC252" s="2819"/>
      <c r="AD252" s="2819"/>
    </row>
    <row r="253" spans="1:30" s="673" customFormat="1" x14ac:dyDescent="0.2">
      <c r="A253" s="710"/>
      <c r="B253" s="710"/>
      <c r="C253" s="710"/>
      <c r="D253" s="710"/>
      <c r="E253" s="710"/>
      <c r="F253" s="711"/>
      <c r="G253" s="712"/>
      <c r="H253" s="712"/>
      <c r="I253" s="715"/>
      <c r="J253" s="728"/>
      <c r="K253" s="715"/>
      <c r="L253" s="715"/>
      <c r="M253" s="715"/>
      <c r="N253" s="715"/>
      <c r="O253" s="715"/>
      <c r="P253" s="715"/>
      <c r="Q253" s="728"/>
      <c r="R253" s="715"/>
      <c r="S253" s="715"/>
      <c r="T253" s="715"/>
      <c r="W253" s="2818"/>
      <c r="Y253" s="2819"/>
      <c r="Z253" s="2819"/>
      <c r="AA253" s="2819"/>
      <c r="AB253" s="2819"/>
      <c r="AC253" s="2819"/>
      <c r="AD253" s="2819"/>
    </row>
    <row r="254" spans="1:30" s="673" customFormat="1" x14ac:dyDescent="0.2">
      <c r="A254" s="710"/>
      <c r="B254" s="710"/>
      <c r="C254" s="710"/>
      <c r="D254" s="710"/>
      <c r="E254" s="710"/>
      <c r="F254" s="711"/>
      <c r="G254" s="712"/>
      <c r="H254" s="712"/>
      <c r="I254" s="715"/>
      <c r="J254" s="728"/>
      <c r="K254" s="715"/>
      <c r="L254" s="715"/>
      <c r="M254" s="715"/>
      <c r="N254" s="715"/>
      <c r="O254" s="715"/>
      <c r="P254" s="715"/>
      <c r="Q254" s="728"/>
      <c r="R254" s="715"/>
      <c r="S254" s="715"/>
      <c r="T254" s="715"/>
      <c r="W254" s="2818"/>
      <c r="Y254" s="2819"/>
      <c r="Z254" s="2819"/>
      <c r="AA254" s="2819"/>
      <c r="AB254" s="2819"/>
      <c r="AC254" s="2819"/>
      <c r="AD254" s="2819"/>
    </row>
    <row r="255" spans="1:30" s="673" customFormat="1" x14ac:dyDescent="0.2">
      <c r="A255" s="710"/>
      <c r="B255" s="710"/>
      <c r="C255" s="710"/>
      <c r="D255" s="710"/>
      <c r="E255" s="710"/>
      <c r="F255" s="711"/>
      <c r="G255" s="712"/>
      <c r="H255" s="712"/>
      <c r="I255" s="715"/>
      <c r="J255" s="728"/>
      <c r="K255" s="715"/>
      <c r="L255" s="715"/>
      <c r="M255" s="715"/>
      <c r="N255" s="715"/>
      <c r="O255" s="715"/>
      <c r="P255" s="715"/>
      <c r="Q255" s="728"/>
      <c r="R255" s="715"/>
      <c r="S255" s="715"/>
      <c r="T255" s="715"/>
      <c r="W255" s="2818"/>
      <c r="Y255" s="2819"/>
      <c r="Z255" s="2819"/>
      <c r="AA255" s="2819"/>
      <c r="AB255" s="2819"/>
      <c r="AC255" s="2819"/>
      <c r="AD255" s="2819"/>
    </row>
    <row r="256" spans="1:30" s="673" customFormat="1" x14ac:dyDescent="0.2">
      <c r="A256" s="710"/>
      <c r="B256" s="710"/>
      <c r="C256" s="710"/>
      <c r="D256" s="710"/>
      <c r="E256" s="710"/>
      <c r="F256" s="711"/>
      <c r="G256" s="712"/>
      <c r="H256" s="712"/>
      <c r="I256" s="715"/>
      <c r="J256" s="728"/>
      <c r="K256" s="715"/>
      <c r="L256" s="715"/>
      <c r="M256" s="715"/>
      <c r="N256" s="715"/>
      <c r="O256" s="715"/>
      <c r="P256" s="715"/>
      <c r="Q256" s="728"/>
      <c r="R256" s="715"/>
      <c r="S256" s="715"/>
      <c r="T256" s="715"/>
      <c r="W256" s="2818"/>
      <c r="Y256" s="2819"/>
      <c r="Z256" s="2819"/>
      <c r="AA256" s="2819"/>
      <c r="AB256" s="2819"/>
      <c r="AC256" s="2819"/>
      <c r="AD256" s="2819"/>
    </row>
    <row r="257" spans="1:30" s="673" customFormat="1" x14ac:dyDescent="0.2">
      <c r="A257" s="710"/>
      <c r="B257" s="710"/>
      <c r="C257" s="710"/>
      <c r="D257" s="710"/>
      <c r="E257" s="710"/>
      <c r="F257" s="711"/>
      <c r="G257" s="712"/>
      <c r="H257" s="712"/>
      <c r="I257" s="715"/>
      <c r="J257" s="728"/>
      <c r="K257" s="715"/>
      <c r="L257" s="715"/>
      <c r="M257" s="715"/>
      <c r="N257" s="715"/>
      <c r="O257" s="715"/>
      <c r="P257" s="715"/>
      <c r="Q257" s="728"/>
      <c r="R257" s="715"/>
      <c r="S257" s="715"/>
      <c r="T257" s="715"/>
      <c r="W257" s="2818"/>
      <c r="Y257" s="2819"/>
      <c r="Z257" s="2819"/>
      <c r="AA257" s="2819"/>
      <c r="AB257" s="2819"/>
      <c r="AC257" s="2819"/>
      <c r="AD257" s="2819"/>
    </row>
    <row r="258" spans="1:30" s="673" customFormat="1" x14ac:dyDescent="0.2">
      <c r="A258" s="710"/>
      <c r="B258" s="710"/>
      <c r="C258" s="710"/>
      <c r="D258" s="710"/>
      <c r="E258" s="710"/>
      <c r="F258" s="711"/>
      <c r="G258" s="712"/>
      <c r="H258" s="712"/>
      <c r="I258" s="715"/>
      <c r="J258" s="728"/>
      <c r="K258" s="715"/>
      <c r="L258" s="715"/>
      <c r="M258" s="715"/>
      <c r="N258" s="715"/>
      <c r="O258" s="715"/>
      <c r="P258" s="715"/>
      <c r="Q258" s="728"/>
      <c r="R258" s="715"/>
      <c r="S258" s="715"/>
      <c r="T258" s="715"/>
      <c r="W258" s="2818"/>
      <c r="Y258" s="2819"/>
      <c r="Z258" s="2819"/>
      <c r="AA258" s="2819"/>
      <c r="AB258" s="2819"/>
      <c r="AC258" s="2819"/>
      <c r="AD258" s="2819"/>
    </row>
    <row r="259" spans="1:30" s="673" customFormat="1" x14ac:dyDescent="0.2">
      <c r="A259" s="710"/>
      <c r="B259" s="710"/>
      <c r="C259" s="710"/>
      <c r="D259" s="710"/>
      <c r="E259" s="710"/>
      <c r="F259" s="711"/>
      <c r="G259" s="712"/>
      <c r="H259" s="712"/>
      <c r="I259" s="715"/>
      <c r="J259" s="728"/>
      <c r="K259" s="715"/>
      <c r="L259" s="715"/>
      <c r="M259" s="715"/>
      <c r="N259" s="715"/>
      <c r="O259" s="715"/>
      <c r="P259" s="715"/>
      <c r="Q259" s="728"/>
      <c r="R259" s="715"/>
      <c r="S259" s="715"/>
      <c r="T259" s="715"/>
      <c r="W259" s="2818"/>
      <c r="Y259" s="2819"/>
      <c r="Z259" s="2819"/>
      <c r="AA259" s="2819"/>
      <c r="AB259" s="2819"/>
      <c r="AC259" s="2819"/>
      <c r="AD259" s="2819"/>
    </row>
    <row r="260" spans="1:30" s="673" customFormat="1" x14ac:dyDescent="0.2">
      <c r="A260" s="710"/>
      <c r="B260" s="710"/>
      <c r="C260" s="710"/>
      <c r="D260" s="710"/>
      <c r="E260" s="710"/>
      <c r="F260" s="711"/>
      <c r="G260" s="712"/>
      <c r="H260" s="712"/>
      <c r="I260" s="715"/>
      <c r="J260" s="728"/>
      <c r="K260" s="715"/>
      <c r="L260" s="715"/>
      <c r="M260" s="715"/>
      <c r="N260" s="715"/>
      <c r="O260" s="715"/>
      <c r="P260" s="715"/>
      <c r="Q260" s="728"/>
      <c r="R260" s="715"/>
      <c r="S260" s="715"/>
      <c r="T260" s="715"/>
      <c r="W260" s="2818"/>
      <c r="Y260" s="2819"/>
      <c r="Z260" s="2819"/>
      <c r="AA260" s="2819"/>
      <c r="AB260" s="2819"/>
      <c r="AC260" s="2819"/>
      <c r="AD260" s="2819"/>
    </row>
    <row r="261" spans="1:30" s="673" customFormat="1" x14ac:dyDescent="0.2">
      <c r="A261" s="710"/>
      <c r="B261" s="710"/>
      <c r="C261" s="710"/>
      <c r="D261" s="710"/>
      <c r="E261" s="710"/>
      <c r="F261" s="711"/>
      <c r="G261" s="712"/>
      <c r="H261" s="712"/>
      <c r="I261" s="715"/>
      <c r="J261" s="728"/>
      <c r="K261" s="715"/>
      <c r="L261" s="715"/>
      <c r="M261" s="715"/>
      <c r="N261" s="715"/>
      <c r="O261" s="715"/>
      <c r="P261" s="715"/>
      <c r="Q261" s="728"/>
      <c r="R261" s="715"/>
      <c r="S261" s="715"/>
      <c r="T261" s="715"/>
      <c r="W261" s="2818"/>
      <c r="Y261" s="2819"/>
      <c r="Z261" s="2819"/>
      <c r="AA261" s="2819"/>
      <c r="AB261" s="2819"/>
      <c r="AC261" s="2819"/>
      <c r="AD261" s="2819"/>
    </row>
    <row r="262" spans="1:30" s="673" customFormat="1" x14ac:dyDescent="0.2">
      <c r="A262" s="710"/>
      <c r="B262" s="710"/>
      <c r="C262" s="710"/>
      <c r="D262" s="710"/>
      <c r="E262" s="710"/>
      <c r="F262" s="711"/>
      <c r="G262" s="712"/>
      <c r="H262" s="712"/>
      <c r="I262" s="715"/>
      <c r="J262" s="728"/>
      <c r="K262" s="715"/>
      <c r="L262" s="715"/>
      <c r="M262" s="715"/>
      <c r="N262" s="715"/>
      <c r="O262" s="715"/>
      <c r="P262" s="715"/>
      <c r="Q262" s="728"/>
      <c r="R262" s="715"/>
      <c r="S262" s="715"/>
      <c r="T262" s="715"/>
      <c r="W262" s="2818"/>
      <c r="Y262" s="2819"/>
      <c r="Z262" s="2819"/>
      <c r="AA262" s="2819"/>
      <c r="AB262" s="2819"/>
      <c r="AC262" s="2819"/>
      <c r="AD262" s="2819"/>
    </row>
    <row r="263" spans="1:30" s="673" customFormat="1" x14ac:dyDescent="0.2">
      <c r="A263" s="710"/>
      <c r="B263" s="710"/>
      <c r="C263" s="710"/>
      <c r="D263" s="710"/>
      <c r="E263" s="710"/>
      <c r="F263" s="711"/>
      <c r="G263" s="712"/>
      <c r="H263" s="712"/>
      <c r="I263" s="715"/>
      <c r="J263" s="728"/>
      <c r="K263" s="715"/>
      <c r="L263" s="715"/>
      <c r="M263" s="715"/>
      <c r="N263" s="715"/>
      <c r="O263" s="715"/>
      <c r="P263" s="715"/>
      <c r="Q263" s="728"/>
      <c r="R263" s="715"/>
      <c r="S263" s="715"/>
      <c r="T263" s="715"/>
      <c r="W263" s="2818"/>
      <c r="Y263" s="2819"/>
      <c r="Z263" s="2819"/>
      <c r="AA263" s="2819"/>
      <c r="AB263" s="2819"/>
      <c r="AC263" s="2819"/>
      <c r="AD263" s="2819"/>
    </row>
    <row r="264" spans="1:30" s="673" customFormat="1" x14ac:dyDescent="0.2">
      <c r="A264" s="710"/>
      <c r="B264" s="710"/>
      <c r="C264" s="710"/>
      <c r="D264" s="710"/>
      <c r="E264" s="710"/>
      <c r="F264" s="711"/>
      <c r="G264" s="712"/>
      <c r="H264" s="712"/>
      <c r="I264" s="715"/>
      <c r="J264" s="728"/>
      <c r="K264" s="715"/>
      <c r="L264" s="715"/>
      <c r="M264" s="715"/>
      <c r="N264" s="715"/>
      <c r="O264" s="715"/>
      <c r="P264" s="715"/>
      <c r="Q264" s="728"/>
      <c r="R264" s="715"/>
      <c r="S264" s="715"/>
      <c r="T264" s="715"/>
      <c r="W264" s="2818"/>
      <c r="Y264" s="2819"/>
      <c r="Z264" s="2819"/>
      <c r="AA264" s="2819"/>
      <c r="AB264" s="2819"/>
      <c r="AC264" s="2819"/>
      <c r="AD264" s="2819"/>
    </row>
    <row r="265" spans="1:30" s="673" customFormat="1" x14ac:dyDescent="0.2">
      <c r="A265" s="710"/>
      <c r="B265" s="710"/>
      <c r="C265" s="710"/>
      <c r="D265" s="710"/>
      <c r="E265" s="710"/>
      <c r="F265" s="711"/>
      <c r="G265" s="712"/>
      <c r="H265" s="712"/>
      <c r="I265" s="715"/>
      <c r="J265" s="728"/>
      <c r="K265" s="715"/>
      <c r="L265" s="715"/>
      <c r="M265" s="715"/>
      <c r="N265" s="715"/>
      <c r="O265" s="715"/>
      <c r="P265" s="715"/>
      <c r="Q265" s="728"/>
      <c r="R265" s="715"/>
      <c r="S265" s="715"/>
      <c r="T265" s="715"/>
      <c r="W265" s="2818"/>
      <c r="Y265" s="2819"/>
      <c r="Z265" s="2819"/>
      <c r="AA265" s="2819"/>
      <c r="AB265" s="2819"/>
      <c r="AC265" s="2819"/>
      <c r="AD265" s="2819"/>
    </row>
    <row r="266" spans="1:30" s="673" customFormat="1" x14ac:dyDescent="0.2">
      <c r="A266" s="710"/>
      <c r="B266" s="710"/>
      <c r="C266" s="710"/>
      <c r="D266" s="710"/>
      <c r="E266" s="710"/>
      <c r="F266" s="711"/>
      <c r="G266" s="712"/>
      <c r="H266" s="712"/>
      <c r="I266" s="715"/>
      <c r="J266" s="728"/>
      <c r="K266" s="715"/>
      <c r="L266" s="715"/>
      <c r="M266" s="715"/>
      <c r="N266" s="715"/>
      <c r="O266" s="715"/>
      <c r="P266" s="715"/>
      <c r="Q266" s="728"/>
      <c r="R266" s="715"/>
      <c r="S266" s="715"/>
      <c r="T266" s="715"/>
      <c r="W266" s="2818"/>
      <c r="Y266" s="2819"/>
      <c r="Z266" s="2819"/>
      <c r="AA266" s="2819"/>
      <c r="AB266" s="2819"/>
      <c r="AC266" s="2819"/>
      <c r="AD266" s="2819"/>
    </row>
    <row r="267" spans="1:30" s="673" customFormat="1" x14ac:dyDescent="0.2">
      <c r="A267" s="710"/>
      <c r="B267" s="710"/>
      <c r="C267" s="710"/>
      <c r="D267" s="710"/>
      <c r="E267" s="710"/>
      <c r="F267" s="711"/>
      <c r="G267" s="712"/>
      <c r="H267" s="712"/>
      <c r="I267" s="715"/>
      <c r="J267" s="728"/>
      <c r="K267" s="715"/>
      <c r="L267" s="715"/>
      <c r="M267" s="715"/>
      <c r="N267" s="715"/>
      <c r="O267" s="715"/>
      <c r="P267" s="715"/>
      <c r="Q267" s="728"/>
      <c r="R267" s="715"/>
      <c r="S267" s="715"/>
      <c r="T267" s="715"/>
      <c r="W267" s="2818"/>
      <c r="Y267" s="2819"/>
      <c r="Z267" s="2819"/>
      <c r="AA267" s="2819"/>
      <c r="AB267" s="2819"/>
      <c r="AC267" s="2819"/>
      <c r="AD267" s="2819"/>
    </row>
    <row r="268" spans="1:30" s="673" customFormat="1" x14ac:dyDescent="0.2">
      <c r="A268" s="710"/>
      <c r="B268" s="710"/>
      <c r="C268" s="710"/>
      <c r="D268" s="710"/>
      <c r="E268" s="710"/>
      <c r="F268" s="711"/>
      <c r="G268" s="712"/>
      <c r="H268" s="712"/>
      <c r="I268" s="715"/>
      <c r="J268" s="728"/>
      <c r="K268" s="715"/>
      <c r="L268" s="715"/>
      <c r="M268" s="715"/>
      <c r="N268" s="715"/>
      <c r="O268" s="715"/>
      <c r="P268" s="715"/>
      <c r="Q268" s="728"/>
      <c r="R268" s="715"/>
      <c r="S268" s="715"/>
      <c r="T268" s="715"/>
      <c r="W268" s="2818"/>
      <c r="Y268" s="2819"/>
      <c r="Z268" s="2819"/>
      <c r="AA268" s="2819"/>
      <c r="AB268" s="2819"/>
      <c r="AC268" s="2819"/>
      <c r="AD268" s="2819"/>
    </row>
    <row r="269" spans="1:30" s="673" customFormat="1" x14ac:dyDescent="0.2">
      <c r="A269" s="710"/>
      <c r="B269" s="710"/>
      <c r="C269" s="710"/>
      <c r="D269" s="710"/>
      <c r="E269" s="710"/>
      <c r="F269" s="711"/>
      <c r="G269" s="712"/>
      <c r="H269" s="712"/>
      <c r="I269" s="715"/>
      <c r="J269" s="728"/>
      <c r="K269" s="715"/>
      <c r="L269" s="715"/>
      <c r="M269" s="715"/>
      <c r="N269" s="715"/>
      <c r="O269" s="715"/>
      <c r="P269" s="715"/>
      <c r="Q269" s="728"/>
      <c r="R269" s="715"/>
      <c r="S269" s="715"/>
      <c r="T269" s="715"/>
      <c r="W269" s="2818"/>
      <c r="Y269" s="2819"/>
      <c r="Z269" s="2819"/>
      <c r="AA269" s="2819"/>
      <c r="AB269" s="2819"/>
      <c r="AC269" s="2819"/>
      <c r="AD269" s="2819"/>
    </row>
    <row r="270" spans="1:30" s="673" customFormat="1" x14ac:dyDescent="0.2">
      <c r="A270" s="710"/>
      <c r="B270" s="710"/>
      <c r="C270" s="710"/>
      <c r="D270" s="710"/>
      <c r="E270" s="710"/>
      <c r="F270" s="711"/>
      <c r="G270" s="712"/>
      <c r="H270" s="712"/>
      <c r="I270" s="715"/>
      <c r="J270" s="728"/>
      <c r="Q270" s="728"/>
      <c r="W270" s="2818"/>
      <c r="Y270" s="2819"/>
      <c r="Z270" s="2819"/>
      <c r="AA270" s="2819"/>
      <c r="AB270" s="2819"/>
      <c r="AC270" s="2819"/>
      <c r="AD270" s="2819"/>
    </row>
    <row r="271" spans="1:30" s="673" customFormat="1" x14ac:dyDescent="0.2">
      <c r="A271" s="710"/>
      <c r="B271" s="710"/>
      <c r="C271" s="710"/>
      <c r="D271" s="710"/>
      <c r="E271" s="710"/>
      <c r="F271" s="711"/>
      <c r="G271" s="712"/>
      <c r="H271" s="712"/>
      <c r="I271" s="715"/>
      <c r="J271" s="728"/>
      <c r="Q271" s="728"/>
      <c r="W271" s="2818"/>
      <c r="Y271" s="2819"/>
      <c r="Z271" s="2819"/>
      <c r="AA271" s="2819"/>
      <c r="AB271" s="2819"/>
      <c r="AC271" s="2819"/>
      <c r="AD271" s="2819"/>
    </row>
    <row r="272" spans="1:30" s="673" customFormat="1" x14ac:dyDescent="0.2">
      <c r="A272" s="710"/>
      <c r="B272" s="710"/>
      <c r="C272" s="710"/>
      <c r="D272" s="710"/>
      <c r="E272" s="710"/>
      <c r="F272" s="711"/>
      <c r="G272" s="712"/>
      <c r="H272" s="712"/>
      <c r="I272" s="715"/>
      <c r="J272" s="728"/>
      <c r="Q272" s="728"/>
      <c r="W272" s="2818"/>
      <c r="Y272" s="2819"/>
      <c r="Z272" s="2819"/>
      <c r="AA272" s="2819"/>
      <c r="AB272" s="2819"/>
      <c r="AC272" s="2819"/>
      <c r="AD272" s="2819"/>
    </row>
    <row r="273" spans="1:30" s="673" customFormat="1" x14ac:dyDescent="0.2">
      <c r="A273" s="710"/>
      <c r="B273" s="710"/>
      <c r="C273" s="710"/>
      <c r="D273" s="710"/>
      <c r="E273" s="710"/>
      <c r="F273" s="711"/>
      <c r="G273" s="712"/>
      <c r="H273" s="712"/>
      <c r="I273" s="715"/>
      <c r="J273" s="728"/>
      <c r="Q273" s="728"/>
      <c r="W273" s="2818"/>
      <c r="Y273" s="2819"/>
      <c r="Z273" s="2819"/>
      <c r="AA273" s="2819"/>
      <c r="AB273" s="2819"/>
      <c r="AC273" s="2819"/>
      <c r="AD273" s="2819"/>
    </row>
    <row r="274" spans="1:30" s="673" customFormat="1" x14ac:dyDescent="0.2">
      <c r="A274" s="710"/>
      <c r="B274" s="710"/>
      <c r="C274" s="710"/>
      <c r="D274" s="710"/>
      <c r="E274" s="710"/>
      <c r="F274" s="711"/>
      <c r="G274" s="712"/>
      <c r="H274" s="712"/>
      <c r="I274" s="715"/>
      <c r="J274" s="728"/>
      <c r="Q274" s="728"/>
      <c r="W274" s="2818"/>
      <c r="Y274" s="2819"/>
      <c r="Z274" s="2819"/>
      <c r="AA274" s="2819"/>
      <c r="AB274" s="2819"/>
      <c r="AC274" s="2819"/>
      <c r="AD274" s="2819"/>
    </row>
    <row r="275" spans="1:30" s="673" customFormat="1" x14ac:dyDescent="0.2">
      <c r="A275" s="710"/>
      <c r="B275" s="710"/>
      <c r="C275" s="710"/>
      <c r="D275" s="710"/>
      <c r="E275" s="710"/>
      <c r="F275" s="711"/>
      <c r="G275" s="712"/>
      <c r="H275" s="712"/>
      <c r="I275" s="715"/>
      <c r="J275" s="728"/>
      <c r="Q275" s="728"/>
      <c r="W275" s="2818"/>
      <c r="Y275" s="2819"/>
      <c r="Z275" s="2819"/>
      <c r="AA275" s="2819"/>
      <c r="AB275" s="2819"/>
      <c r="AC275" s="2819"/>
      <c r="AD275" s="2819"/>
    </row>
    <row r="276" spans="1:30" s="673" customFormat="1" x14ac:dyDescent="0.2">
      <c r="A276" s="710"/>
      <c r="B276" s="710"/>
      <c r="C276" s="710"/>
      <c r="D276" s="710"/>
      <c r="E276" s="710"/>
      <c r="F276" s="711"/>
      <c r="G276" s="712"/>
      <c r="H276" s="712"/>
      <c r="I276" s="715"/>
      <c r="J276" s="728"/>
      <c r="Q276" s="728"/>
      <c r="W276" s="2818"/>
      <c r="Y276" s="2819"/>
      <c r="Z276" s="2819"/>
      <c r="AA276" s="2819"/>
      <c r="AB276" s="2819"/>
      <c r="AC276" s="2819"/>
      <c r="AD276" s="2819"/>
    </row>
    <row r="277" spans="1:30" s="673" customFormat="1" x14ac:dyDescent="0.2">
      <c r="A277" s="710"/>
      <c r="B277" s="710"/>
      <c r="C277" s="710"/>
      <c r="D277" s="710"/>
      <c r="E277" s="710"/>
      <c r="F277" s="711"/>
      <c r="G277" s="712"/>
      <c r="H277" s="712"/>
      <c r="I277" s="715"/>
      <c r="J277" s="728"/>
      <c r="Q277" s="728"/>
      <c r="W277" s="2818"/>
      <c r="Y277" s="2819"/>
      <c r="Z277" s="2819"/>
      <c r="AA277" s="2819"/>
      <c r="AB277" s="2819"/>
      <c r="AC277" s="2819"/>
      <c r="AD277" s="2819"/>
    </row>
    <row r="278" spans="1:30" s="673" customFormat="1" x14ac:dyDescent="0.2">
      <c r="A278" s="710"/>
      <c r="B278" s="710"/>
      <c r="C278" s="710"/>
      <c r="D278" s="710"/>
      <c r="E278" s="710"/>
      <c r="F278" s="711"/>
      <c r="G278" s="712"/>
      <c r="H278" s="712"/>
      <c r="I278" s="715"/>
      <c r="J278" s="728"/>
      <c r="Q278" s="728"/>
      <c r="W278" s="2818"/>
      <c r="Y278" s="2819"/>
      <c r="Z278" s="2819"/>
      <c r="AA278" s="2819"/>
      <c r="AB278" s="2819"/>
      <c r="AC278" s="2819"/>
      <c r="AD278" s="2819"/>
    </row>
    <row r="279" spans="1:30" s="673" customFormat="1" x14ac:dyDescent="0.2">
      <c r="A279" s="710"/>
      <c r="B279" s="710"/>
      <c r="C279" s="710"/>
      <c r="D279" s="710"/>
      <c r="E279" s="710"/>
      <c r="F279" s="711"/>
      <c r="G279" s="712"/>
      <c r="H279" s="712"/>
      <c r="I279" s="715"/>
      <c r="J279" s="728"/>
      <c r="Q279" s="728"/>
      <c r="W279" s="2818"/>
      <c r="Y279" s="2819"/>
      <c r="Z279" s="2819"/>
      <c r="AA279" s="2819"/>
      <c r="AB279" s="2819"/>
      <c r="AC279" s="2819"/>
      <c r="AD279" s="2819"/>
    </row>
    <row r="280" spans="1:30" s="673" customFormat="1" x14ac:dyDescent="0.2">
      <c r="A280" s="710"/>
      <c r="B280" s="710"/>
      <c r="C280" s="710"/>
      <c r="D280" s="710"/>
      <c r="E280" s="710"/>
      <c r="F280" s="711"/>
      <c r="G280" s="712"/>
      <c r="H280" s="712"/>
      <c r="I280" s="715"/>
      <c r="J280" s="728"/>
      <c r="Q280" s="728"/>
      <c r="W280" s="2818"/>
      <c r="Y280" s="2819"/>
      <c r="Z280" s="2819"/>
      <c r="AA280" s="2819"/>
      <c r="AB280" s="2819"/>
      <c r="AC280" s="2819"/>
      <c r="AD280" s="2819"/>
    </row>
    <row r="281" spans="1:30" s="673" customFormat="1" x14ac:dyDescent="0.2">
      <c r="A281" s="710"/>
      <c r="B281" s="710"/>
      <c r="C281" s="710"/>
      <c r="D281" s="710"/>
      <c r="E281" s="710"/>
      <c r="F281" s="711"/>
      <c r="G281" s="712"/>
      <c r="H281" s="712"/>
      <c r="I281" s="715"/>
      <c r="J281" s="728"/>
      <c r="Q281" s="728"/>
      <c r="W281" s="2818"/>
      <c r="Y281" s="2819"/>
      <c r="Z281" s="2819"/>
      <c r="AA281" s="2819"/>
      <c r="AB281" s="2819"/>
      <c r="AC281" s="2819"/>
      <c r="AD281" s="2819"/>
    </row>
    <row r="282" spans="1:30" s="673" customFormat="1" x14ac:dyDescent="0.2">
      <c r="A282" s="710"/>
      <c r="B282" s="710"/>
      <c r="C282" s="710"/>
      <c r="D282" s="710"/>
      <c r="E282" s="710"/>
      <c r="F282" s="711"/>
      <c r="G282" s="712"/>
      <c r="H282" s="712"/>
      <c r="I282" s="715"/>
      <c r="J282" s="728"/>
      <c r="Q282" s="728"/>
      <c r="W282" s="2818"/>
      <c r="Y282" s="2819"/>
      <c r="Z282" s="2819"/>
      <c r="AA282" s="2819"/>
      <c r="AB282" s="2819"/>
      <c r="AC282" s="2819"/>
      <c r="AD282" s="2819"/>
    </row>
    <row r="283" spans="1:30" s="673" customFormat="1" x14ac:dyDescent="0.2">
      <c r="A283" s="710"/>
      <c r="B283" s="710"/>
      <c r="C283" s="710"/>
      <c r="D283" s="710"/>
      <c r="E283" s="710"/>
      <c r="F283" s="711"/>
      <c r="G283" s="712"/>
      <c r="H283" s="712"/>
      <c r="I283" s="715"/>
      <c r="J283" s="728"/>
      <c r="Q283" s="728"/>
      <c r="W283" s="2818"/>
      <c r="Y283" s="2819"/>
      <c r="Z283" s="2819"/>
      <c r="AA283" s="2819"/>
      <c r="AB283" s="2819"/>
      <c r="AC283" s="2819"/>
      <c r="AD283" s="2819"/>
    </row>
    <row r="284" spans="1:30" s="673" customFormat="1" x14ac:dyDescent="0.2">
      <c r="A284" s="710"/>
      <c r="B284" s="710"/>
      <c r="C284" s="710"/>
      <c r="D284" s="710"/>
      <c r="E284" s="710"/>
      <c r="F284" s="711"/>
      <c r="G284" s="712"/>
      <c r="H284" s="712"/>
      <c r="I284" s="715"/>
      <c r="J284" s="728"/>
      <c r="Q284" s="728"/>
      <c r="W284" s="2818"/>
      <c r="Y284" s="2819"/>
      <c r="Z284" s="2819"/>
      <c r="AA284" s="2819"/>
      <c r="AB284" s="2819"/>
      <c r="AC284" s="2819"/>
      <c r="AD284" s="2819"/>
    </row>
    <row r="285" spans="1:30" s="673" customFormat="1" x14ac:dyDescent="0.2">
      <c r="A285" s="710"/>
      <c r="B285" s="710"/>
      <c r="C285" s="710"/>
      <c r="D285" s="710"/>
      <c r="E285" s="710"/>
      <c r="F285" s="711"/>
      <c r="G285" s="712"/>
      <c r="H285" s="712"/>
      <c r="I285" s="715"/>
      <c r="J285" s="728"/>
      <c r="Q285" s="728"/>
      <c r="W285" s="2818"/>
      <c r="Y285" s="2819"/>
      <c r="Z285" s="2819"/>
      <c r="AA285" s="2819"/>
      <c r="AB285" s="2819"/>
      <c r="AC285" s="2819"/>
      <c r="AD285" s="2819"/>
    </row>
    <row r="286" spans="1:30" s="673" customFormat="1" x14ac:dyDescent="0.2">
      <c r="A286" s="710"/>
      <c r="B286" s="710"/>
      <c r="C286" s="710"/>
      <c r="D286" s="710"/>
      <c r="E286" s="710"/>
      <c r="F286" s="711"/>
      <c r="G286" s="712"/>
      <c r="H286" s="712"/>
      <c r="I286" s="715"/>
      <c r="J286" s="728"/>
      <c r="Q286" s="728"/>
      <c r="W286" s="2818"/>
      <c r="Y286" s="2819"/>
      <c r="Z286" s="2819"/>
      <c r="AA286" s="2819"/>
      <c r="AB286" s="2819"/>
      <c r="AC286" s="2819"/>
      <c r="AD286" s="2819"/>
    </row>
    <row r="287" spans="1:30" s="673" customFormat="1" x14ac:dyDescent="0.2">
      <c r="A287" s="710"/>
      <c r="B287" s="710"/>
      <c r="C287" s="710"/>
      <c r="D287" s="710"/>
      <c r="E287" s="710"/>
      <c r="F287" s="711"/>
      <c r="G287" s="712"/>
      <c r="H287" s="712"/>
      <c r="I287" s="715"/>
      <c r="J287" s="728"/>
      <c r="Q287" s="728"/>
      <c r="W287" s="2818"/>
      <c r="Y287" s="2819"/>
      <c r="Z287" s="2819"/>
      <c r="AA287" s="2819"/>
      <c r="AB287" s="2819"/>
      <c r="AC287" s="2819"/>
      <c r="AD287" s="2819"/>
    </row>
    <row r="288" spans="1:30" s="673" customFormat="1" x14ac:dyDescent="0.2">
      <c r="A288" s="710"/>
      <c r="B288" s="710"/>
      <c r="C288" s="710"/>
      <c r="D288" s="710"/>
      <c r="E288" s="710"/>
      <c r="F288" s="711"/>
      <c r="G288" s="712"/>
      <c r="H288" s="712"/>
      <c r="I288" s="715"/>
      <c r="J288" s="728"/>
      <c r="Q288" s="728"/>
      <c r="W288" s="2818"/>
      <c r="Y288" s="2819"/>
      <c r="Z288" s="2819"/>
      <c r="AA288" s="2819"/>
      <c r="AB288" s="2819"/>
      <c r="AC288" s="2819"/>
      <c r="AD288" s="2819"/>
    </row>
    <row r="289" spans="1:30" s="673" customFormat="1" x14ac:dyDescent="0.2">
      <c r="A289" s="710"/>
      <c r="B289" s="710"/>
      <c r="C289" s="710"/>
      <c r="D289" s="710"/>
      <c r="E289" s="710"/>
      <c r="F289" s="711"/>
      <c r="G289" s="712"/>
      <c r="H289" s="712"/>
      <c r="I289" s="715"/>
      <c r="J289" s="728"/>
      <c r="Q289" s="728"/>
      <c r="W289" s="2818"/>
      <c r="Y289" s="2819"/>
      <c r="Z289" s="2819"/>
      <c r="AA289" s="2819"/>
      <c r="AB289" s="2819"/>
      <c r="AC289" s="2819"/>
      <c r="AD289" s="2819"/>
    </row>
    <row r="290" spans="1:30" x14ac:dyDescent="0.2">
      <c r="A290" s="710"/>
      <c r="B290" s="710"/>
      <c r="C290" s="710"/>
      <c r="D290" s="710"/>
      <c r="E290" s="710"/>
      <c r="F290" s="711"/>
      <c r="G290" s="712"/>
      <c r="H290" s="712"/>
      <c r="I290" s="715"/>
      <c r="J290" s="728"/>
      <c r="K290" s="673"/>
      <c r="L290" s="673"/>
      <c r="M290" s="673"/>
      <c r="N290" s="673"/>
      <c r="O290" s="673"/>
      <c r="P290" s="673"/>
      <c r="Q290" s="728"/>
      <c r="R290" s="673"/>
      <c r="S290" s="673"/>
      <c r="T290" s="673"/>
      <c r="U290" s="673"/>
      <c r="V290" s="673"/>
      <c r="W290" s="2818"/>
      <c r="X290" s="673"/>
      <c r="Y290" s="2819"/>
      <c r="Z290" s="2819"/>
      <c r="AA290" s="2819"/>
      <c r="AB290" s="2819"/>
      <c r="AC290" s="2819"/>
      <c r="AD290" s="2819"/>
    </row>
    <row r="291" spans="1:30" x14ac:dyDescent="0.2">
      <c r="A291" s="710"/>
      <c r="B291" s="710"/>
      <c r="I291" s="659"/>
      <c r="J291" s="746"/>
      <c r="Q291" s="746"/>
      <c r="U291" s="673"/>
      <c r="V291" s="673"/>
      <c r="W291" s="2818"/>
      <c r="X291" s="673"/>
      <c r="Y291" s="2819"/>
      <c r="Z291" s="2819"/>
      <c r="AA291" s="2819"/>
      <c r="AB291" s="2819"/>
      <c r="AC291" s="2819"/>
      <c r="AD291" s="2819"/>
    </row>
    <row r="292" spans="1:30" x14ac:dyDescent="0.2">
      <c r="I292" s="659"/>
      <c r="J292" s="746"/>
      <c r="Q292" s="746"/>
      <c r="U292" s="673"/>
      <c r="V292" s="673"/>
      <c r="W292" s="2818"/>
      <c r="X292" s="673"/>
      <c r="Y292" s="2819"/>
      <c r="Z292" s="2819"/>
      <c r="AA292" s="2819"/>
      <c r="AB292" s="2819"/>
      <c r="AC292" s="2819"/>
      <c r="AD292" s="2819"/>
    </row>
    <row r="293" spans="1:30" x14ac:dyDescent="0.2">
      <c r="I293" s="659"/>
      <c r="J293" s="746"/>
      <c r="Q293" s="746"/>
      <c r="U293" s="673"/>
      <c r="V293" s="673"/>
      <c r="W293" s="2818"/>
      <c r="X293" s="673"/>
      <c r="Y293" s="2819"/>
      <c r="Z293" s="2819"/>
      <c r="AA293" s="2819"/>
      <c r="AB293" s="2819"/>
      <c r="AC293" s="2819"/>
      <c r="AD293" s="2819"/>
    </row>
    <row r="294" spans="1:30" x14ac:dyDescent="0.2">
      <c r="I294" s="659"/>
      <c r="J294" s="746"/>
      <c r="Q294" s="746"/>
      <c r="U294" s="673"/>
      <c r="V294" s="673"/>
      <c r="W294" s="2818"/>
      <c r="X294" s="673"/>
      <c r="Y294" s="2819"/>
      <c r="Z294" s="2819"/>
      <c r="AA294" s="2819"/>
      <c r="AB294" s="2819"/>
      <c r="AC294" s="2819"/>
      <c r="AD294" s="2819"/>
    </row>
    <row r="295" spans="1:30" x14ac:dyDescent="0.2">
      <c r="I295" s="659"/>
      <c r="J295" s="746"/>
      <c r="Q295" s="746"/>
      <c r="U295" s="673"/>
      <c r="V295" s="673"/>
      <c r="W295" s="2818"/>
      <c r="X295" s="673"/>
      <c r="Y295" s="2819"/>
      <c r="Z295" s="2819"/>
      <c r="AA295" s="2819"/>
      <c r="AB295" s="2819"/>
      <c r="AC295" s="2819"/>
      <c r="AD295" s="2819"/>
    </row>
    <row r="296" spans="1:30" x14ac:dyDescent="0.2">
      <c r="I296" s="659"/>
      <c r="J296" s="746"/>
      <c r="Q296" s="746"/>
      <c r="U296" s="673"/>
      <c r="V296" s="673"/>
      <c r="W296" s="2818"/>
      <c r="X296" s="673"/>
      <c r="Y296" s="2819"/>
      <c r="Z296" s="2819"/>
      <c r="AA296" s="2819"/>
      <c r="AB296" s="2819"/>
      <c r="AC296" s="2819"/>
      <c r="AD296" s="2819"/>
    </row>
    <row r="297" spans="1:30" x14ac:dyDescent="0.2">
      <c r="I297" s="659"/>
      <c r="J297" s="746"/>
      <c r="Q297" s="746"/>
      <c r="U297" s="673"/>
      <c r="V297" s="673"/>
      <c r="W297" s="2818"/>
      <c r="X297" s="673"/>
      <c r="Y297" s="2819"/>
      <c r="Z297" s="2819"/>
      <c r="AA297" s="2819"/>
      <c r="AB297" s="2819"/>
      <c r="AC297" s="2819"/>
      <c r="AD297" s="2819"/>
    </row>
    <row r="298" spans="1:30" x14ac:dyDescent="0.2">
      <c r="I298" s="659"/>
      <c r="J298" s="746"/>
      <c r="Q298" s="746"/>
      <c r="U298" s="673"/>
      <c r="V298" s="673"/>
      <c r="W298" s="2818"/>
      <c r="X298" s="673"/>
      <c r="Y298" s="2819"/>
      <c r="Z298" s="2819"/>
      <c r="AA298" s="2819"/>
      <c r="AB298" s="2819"/>
      <c r="AC298" s="2819"/>
      <c r="AD298" s="2819"/>
    </row>
    <row r="299" spans="1:30" x14ac:dyDescent="0.2">
      <c r="I299" s="659"/>
      <c r="J299" s="746"/>
      <c r="Q299" s="746"/>
      <c r="U299" s="673"/>
      <c r="V299" s="673"/>
      <c r="W299" s="2818"/>
      <c r="X299" s="673"/>
      <c r="Y299" s="2819"/>
      <c r="Z299" s="2819"/>
      <c r="AA299" s="2819"/>
      <c r="AB299" s="2819"/>
      <c r="AC299" s="2819"/>
      <c r="AD299" s="2819"/>
    </row>
    <row r="300" spans="1:30" x14ac:dyDescent="0.2">
      <c r="I300" s="659"/>
      <c r="J300" s="746"/>
      <c r="Q300" s="746"/>
      <c r="U300" s="673"/>
      <c r="V300" s="673"/>
      <c r="W300" s="2818"/>
      <c r="X300" s="673"/>
      <c r="Y300" s="2819"/>
      <c r="Z300" s="2819"/>
      <c r="AA300" s="2819"/>
      <c r="AB300" s="2819"/>
      <c r="AC300" s="2819"/>
      <c r="AD300" s="2819"/>
    </row>
    <row r="301" spans="1:30" x14ac:dyDescent="0.2">
      <c r="I301" s="659"/>
      <c r="J301" s="746"/>
      <c r="Q301" s="746"/>
      <c r="U301" s="673"/>
      <c r="V301" s="673"/>
      <c r="W301" s="2818"/>
      <c r="X301" s="673"/>
      <c r="Y301" s="2819"/>
      <c r="Z301" s="2819"/>
      <c r="AA301" s="2819"/>
      <c r="AB301" s="2819"/>
      <c r="AC301" s="2819"/>
      <c r="AD301" s="2819"/>
    </row>
    <row r="302" spans="1:30" x14ac:dyDescent="0.2">
      <c r="I302" s="659"/>
      <c r="J302" s="746"/>
      <c r="Q302" s="746"/>
      <c r="U302" s="673"/>
      <c r="V302" s="673"/>
      <c r="W302" s="2818"/>
      <c r="X302" s="673"/>
      <c r="Y302" s="2819"/>
      <c r="Z302" s="2819"/>
      <c r="AA302" s="2819"/>
      <c r="AB302" s="2819"/>
      <c r="AC302" s="2819"/>
      <c r="AD302" s="2819"/>
    </row>
    <row r="303" spans="1:30" x14ac:dyDescent="0.2">
      <c r="I303" s="659"/>
      <c r="J303" s="746"/>
      <c r="Q303" s="746"/>
      <c r="U303" s="673"/>
      <c r="V303" s="673"/>
      <c r="W303" s="2818"/>
      <c r="X303" s="673"/>
      <c r="Y303" s="2819"/>
      <c r="Z303" s="2819"/>
      <c r="AA303" s="2819"/>
      <c r="AB303" s="2819"/>
      <c r="AC303" s="2819"/>
      <c r="AD303" s="2819"/>
    </row>
    <row r="304" spans="1:30" x14ac:dyDescent="0.2">
      <c r="I304" s="659"/>
      <c r="J304" s="746"/>
      <c r="Q304" s="746"/>
      <c r="U304" s="673"/>
      <c r="V304" s="673"/>
      <c r="W304" s="2818"/>
      <c r="X304" s="673"/>
      <c r="Y304" s="2819"/>
      <c r="Z304" s="2819"/>
      <c r="AA304" s="2819"/>
      <c r="AB304" s="2819"/>
      <c r="AC304" s="2819"/>
      <c r="AD304" s="2819"/>
    </row>
    <row r="305" spans="9:30" x14ac:dyDescent="0.2">
      <c r="I305" s="659"/>
      <c r="J305" s="746"/>
      <c r="Q305" s="746"/>
      <c r="U305" s="673"/>
      <c r="V305" s="673"/>
      <c r="W305" s="2818"/>
      <c r="X305" s="673"/>
      <c r="Y305" s="2819"/>
      <c r="Z305" s="2819"/>
      <c r="AA305" s="2819"/>
      <c r="AB305" s="2819"/>
      <c r="AC305" s="2819"/>
      <c r="AD305" s="2819"/>
    </row>
    <row r="306" spans="9:30" x14ac:dyDescent="0.2">
      <c r="I306" s="659"/>
      <c r="J306" s="746"/>
      <c r="Q306" s="746"/>
      <c r="U306" s="673"/>
      <c r="V306" s="673"/>
      <c r="W306" s="2818"/>
      <c r="X306" s="673"/>
      <c r="Y306" s="2819"/>
      <c r="Z306" s="2819"/>
      <c r="AA306" s="2819"/>
      <c r="AB306" s="2819"/>
      <c r="AC306" s="2819"/>
      <c r="AD306" s="2819"/>
    </row>
    <row r="307" spans="9:30" x14ac:dyDescent="0.2">
      <c r="I307" s="659"/>
      <c r="J307" s="746"/>
      <c r="Q307" s="746"/>
      <c r="U307" s="673"/>
      <c r="V307" s="673"/>
      <c r="W307" s="2818"/>
      <c r="X307" s="673"/>
      <c r="Y307" s="2819"/>
      <c r="Z307" s="2819"/>
      <c r="AA307" s="2819"/>
      <c r="AB307" s="2819"/>
      <c r="AC307" s="2819"/>
      <c r="AD307" s="2819"/>
    </row>
    <row r="308" spans="9:30" x14ac:dyDescent="0.2">
      <c r="I308" s="659"/>
      <c r="J308" s="746"/>
      <c r="Q308" s="746"/>
      <c r="U308" s="673"/>
      <c r="V308" s="673"/>
      <c r="W308" s="2818"/>
      <c r="X308" s="673"/>
      <c r="Y308" s="2819"/>
      <c r="Z308" s="2819"/>
      <c r="AA308" s="2819"/>
      <c r="AB308" s="2819"/>
      <c r="AC308" s="2819"/>
      <c r="AD308" s="2819"/>
    </row>
    <row r="309" spans="9:30" x14ac:dyDescent="0.2">
      <c r="I309" s="659"/>
      <c r="J309" s="746"/>
      <c r="Q309" s="746"/>
      <c r="U309" s="673"/>
      <c r="V309" s="673"/>
      <c r="W309" s="2818"/>
      <c r="X309" s="673"/>
      <c r="Y309" s="2819"/>
      <c r="Z309" s="2819"/>
      <c r="AA309" s="2819"/>
      <c r="AB309" s="2819"/>
      <c r="AC309" s="2819"/>
      <c r="AD309" s="2819"/>
    </row>
    <row r="310" spans="9:30" x14ac:dyDescent="0.2">
      <c r="I310" s="659"/>
      <c r="J310" s="746"/>
      <c r="Q310" s="746"/>
      <c r="U310" s="673"/>
      <c r="V310" s="673"/>
      <c r="W310" s="2818"/>
      <c r="X310" s="673"/>
      <c r="Y310" s="2819"/>
      <c r="Z310" s="2819"/>
      <c r="AA310" s="2819"/>
      <c r="AB310" s="2819"/>
      <c r="AC310" s="2819"/>
      <c r="AD310" s="2819"/>
    </row>
    <row r="311" spans="9:30" x14ac:dyDescent="0.2">
      <c r="I311" s="659"/>
      <c r="J311" s="746"/>
      <c r="Q311" s="746"/>
      <c r="U311" s="673"/>
      <c r="V311" s="673"/>
      <c r="W311" s="2818"/>
      <c r="X311" s="673"/>
      <c r="Y311" s="2819"/>
      <c r="Z311" s="2819"/>
      <c r="AA311" s="2819"/>
      <c r="AB311" s="2819"/>
      <c r="AC311" s="2819"/>
      <c r="AD311" s="2819"/>
    </row>
    <row r="312" spans="9:30" x14ac:dyDescent="0.2">
      <c r="I312" s="659"/>
      <c r="J312" s="746"/>
      <c r="Q312" s="746"/>
      <c r="U312" s="673"/>
      <c r="V312" s="673"/>
      <c r="W312" s="2818"/>
      <c r="X312" s="673"/>
      <c r="Y312" s="2819"/>
      <c r="Z312" s="2819"/>
      <c r="AA312" s="2819"/>
      <c r="AB312" s="2819"/>
      <c r="AC312" s="2819"/>
      <c r="AD312" s="2819"/>
    </row>
    <row r="313" spans="9:30" x14ac:dyDescent="0.2">
      <c r="I313" s="659"/>
      <c r="J313" s="746"/>
      <c r="Q313" s="746"/>
      <c r="U313" s="673"/>
      <c r="V313" s="673"/>
      <c r="W313" s="2818"/>
      <c r="X313" s="673"/>
      <c r="Y313" s="2819"/>
      <c r="Z313" s="2819"/>
      <c r="AA313" s="2819"/>
      <c r="AB313" s="2819"/>
      <c r="AC313" s="2819"/>
      <c r="AD313" s="2819"/>
    </row>
    <row r="314" spans="9:30" x14ac:dyDescent="0.2">
      <c r="I314" s="659"/>
      <c r="J314" s="746"/>
      <c r="Q314" s="746"/>
      <c r="U314" s="673"/>
      <c r="V314" s="673"/>
      <c r="W314" s="2818"/>
      <c r="X314" s="673"/>
      <c r="Y314" s="2819"/>
      <c r="Z314" s="2819"/>
      <c r="AA314" s="2819"/>
      <c r="AB314" s="2819"/>
      <c r="AC314" s="2819"/>
      <c r="AD314" s="2819"/>
    </row>
    <row r="315" spans="9:30" x14ac:dyDescent="0.2">
      <c r="I315" s="659"/>
      <c r="J315" s="746"/>
      <c r="Q315" s="746"/>
      <c r="U315" s="673"/>
      <c r="V315" s="673"/>
      <c r="W315" s="2818"/>
      <c r="X315" s="673"/>
      <c r="Y315" s="2819"/>
      <c r="Z315" s="2819"/>
      <c r="AA315" s="2819"/>
      <c r="AB315" s="2819"/>
      <c r="AC315" s="2819"/>
      <c r="AD315" s="2819"/>
    </row>
    <row r="316" spans="9:30" x14ac:dyDescent="0.2">
      <c r="I316" s="659"/>
      <c r="J316" s="746"/>
      <c r="Q316" s="746"/>
      <c r="U316" s="673"/>
      <c r="V316" s="673"/>
      <c r="W316" s="2818"/>
      <c r="X316" s="673"/>
      <c r="Y316" s="2819"/>
      <c r="Z316" s="2819"/>
      <c r="AA316" s="2819"/>
      <c r="AB316" s="2819"/>
      <c r="AC316" s="2819"/>
      <c r="AD316" s="2819"/>
    </row>
    <row r="317" spans="9:30" x14ac:dyDescent="0.2">
      <c r="I317" s="659"/>
      <c r="J317" s="746"/>
      <c r="Q317" s="746"/>
      <c r="U317" s="673"/>
      <c r="V317" s="673"/>
      <c r="W317" s="2818"/>
      <c r="X317" s="673"/>
      <c r="Y317" s="2819"/>
      <c r="Z317" s="2819"/>
      <c r="AA317" s="2819"/>
      <c r="AB317" s="2819"/>
      <c r="AC317" s="2819"/>
      <c r="AD317" s="2819"/>
    </row>
    <row r="318" spans="9:30" x14ac:dyDescent="0.2">
      <c r="I318" s="659"/>
      <c r="J318" s="746"/>
      <c r="Q318" s="746"/>
      <c r="U318" s="673"/>
      <c r="V318" s="673"/>
      <c r="W318" s="2818"/>
      <c r="X318" s="673"/>
      <c r="Y318" s="2819"/>
      <c r="Z318" s="2819"/>
      <c r="AA318" s="2819"/>
      <c r="AB318" s="2819"/>
      <c r="AC318" s="2819"/>
      <c r="AD318" s="2819"/>
    </row>
    <row r="319" spans="9:30" x14ac:dyDescent="0.2">
      <c r="I319" s="659"/>
      <c r="J319" s="746"/>
      <c r="Q319" s="746"/>
      <c r="U319" s="673"/>
      <c r="V319" s="673"/>
      <c r="W319" s="2818"/>
      <c r="X319" s="673"/>
      <c r="Y319" s="2819"/>
      <c r="Z319" s="2819"/>
      <c r="AA319" s="2819"/>
      <c r="AB319" s="2819"/>
      <c r="AC319" s="2819"/>
      <c r="AD319" s="2819"/>
    </row>
    <row r="320" spans="9:30" x14ac:dyDescent="0.2">
      <c r="I320" s="659"/>
      <c r="J320" s="746"/>
      <c r="Q320" s="746"/>
      <c r="U320" s="673"/>
      <c r="V320" s="673"/>
      <c r="W320" s="2818"/>
      <c r="X320" s="673"/>
      <c r="Y320" s="2819"/>
      <c r="Z320" s="2819"/>
      <c r="AA320" s="2819"/>
      <c r="AB320" s="2819"/>
      <c r="AC320" s="2819"/>
      <c r="AD320" s="2819"/>
    </row>
    <row r="321" spans="9:21" x14ac:dyDescent="0.2">
      <c r="I321" s="659"/>
      <c r="J321" s="746"/>
      <c r="Q321" s="746"/>
      <c r="U321" s="673"/>
    </row>
    <row r="322" spans="9:21" x14ac:dyDescent="0.2">
      <c r="I322" s="659"/>
      <c r="J322" s="746"/>
      <c r="Q322" s="746"/>
      <c r="U322" s="673"/>
    </row>
  </sheetData>
  <sheetProtection sheet="1" objects="1" scenarios="1"/>
  <pageMargins left="0.78740157499999996" right="0.78740157499999996" top="0.984251969" bottom="0.984251969" header="0.4921259845" footer="0.492125984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tabColor theme="0"/>
  </sheetPr>
  <dimension ref="B1:U45"/>
  <sheetViews>
    <sheetView workbookViewId="0">
      <selection activeCell="F4" sqref="F4"/>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21" s="2586" customFormat="1" x14ac:dyDescent="0.2">
      <c r="B1" s="2586" t="s">
        <v>865</v>
      </c>
      <c r="D1" s="2586" t="s">
        <v>866</v>
      </c>
      <c r="F1" s="2586" t="s">
        <v>867</v>
      </c>
    </row>
    <row r="2" spans="2:21" ht="38.25" x14ac:dyDescent="0.2">
      <c r="B2" s="2586" t="str">
        <f>IF(Présentation!$E$2="Français",'TRAD-Prix 10-2011 GPRM $'!D2,IF(Présentation!$E$2="Anglais",'TRAD-Prix 10-2011 GPRM $'!F2,""))</f>
        <v>PRIX des ARV en Dollar US $ d'après le Rapport GPRM 10-2011 pour les pays à faibles revenus (Low Income Countries)</v>
      </c>
      <c r="D2" s="2553" t="s">
        <v>589</v>
      </c>
      <c r="E2" s="2603"/>
      <c r="F2" s="2558" t="s">
        <v>1638</v>
      </c>
      <c r="G2" s="2604"/>
      <c r="H2" s="2604"/>
      <c r="I2" s="2604"/>
      <c r="J2" s="2604"/>
      <c r="K2" s="2604"/>
      <c r="L2" s="2604"/>
      <c r="M2" s="2604"/>
      <c r="N2" s="2604"/>
      <c r="O2" s="2604"/>
      <c r="P2" s="2604"/>
      <c r="Q2" s="2604"/>
      <c r="R2" s="2604"/>
      <c r="S2" s="2604"/>
      <c r="T2" s="2604"/>
      <c r="U2" s="2604"/>
    </row>
    <row r="3" spans="2:21" x14ac:dyDescent="0.2">
      <c r="B3" s="2586" t="str">
        <f>IF(Présentation!$E$2="Français",'TRAD-Prix 10-2011 GPRM $'!D3,IF(Présentation!$E$2="Anglais",'TRAD-Prix 10-2011 GPRM $'!F3,""))</f>
        <v>NOTE D'INFORMATION</v>
      </c>
      <c r="D3" s="2553" t="s">
        <v>308</v>
      </c>
      <c r="E3" s="2586"/>
      <c r="F3" s="2558" t="s">
        <v>1842</v>
      </c>
    </row>
    <row r="4" spans="2:21" ht="51" x14ac:dyDescent="0.2">
      <c r="B4" s="2586" t="str">
        <f>IF(Présentation!$E$2="Français",'TRAD-Prix 10-2011 GPRM $'!D4,IF(Présentation!$E$2="Anglais",'TRAD-Prix 10-2011 GPRM $'!F4,""))</f>
        <v>Les données présentées dans ce tableau sont issus du rapport du GPRM, OMS, d'octobre 2011 (Source  http://www.who.int/hiv/amds/)</v>
      </c>
      <c r="D4" s="2553" t="s">
        <v>590</v>
      </c>
      <c r="F4" s="2558" t="s">
        <v>1639</v>
      </c>
      <c r="J4" s="2605"/>
      <c r="K4" s="2605"/>
      <c r="R4" s="2605"/>
    </row>
    <row r="5" spans="2:21" ht="51" x14ac:dyDescent="0.2">
      <c r="B5" s="2586" t="str">
        <f>IF(Présentation!$E$2="Français",'TRAD-Prix 10-2011 GPRM $'!D5,IF(Présentation!$E$2="Anglais",'TRAD-Prix 10-2011 GPRM $'!F5,""))</f>
        <v>Lorsque les données n'étaient pas présentes dans le rapport 12-2010, nous avons gardé les données du rapport précédent.</v>
      </c>
      <c r="D5" s="2553" t="s">
        <v>591</v>
      </c>
      <c r="F5" s="2558" t="s">
        <v>1622</v>
      </c>
    </row>
    <row r="6" spans="2:21" ht="38.25" x14ac:dyDescent="0.2">
      <c r="B6" s="2586" t="str">
        <f>IF(Présentation!$E$2="Français",'TRAD-Prix 10-2011 GPRM $'!D6,IF(Présentation!$E$2="Anglais",'TRAD-Prix 10-2011 GPRM $'!F6,""))</f>
        <v>Les calculs ont été faits en rapportant les prix annuels par jour et par nombre de prise</v>
      </c>
      <c r="D6" s="2553" t="s">
        <v>309</v>
      </c>
      <c r="E6" s="2606"/>
      <c r="F6" s="2558" t="s">
        <v>1640</v>
      </c>
      <c r="J6" s="2605"/>
      <c r="K6" s="2605"/>
      <c r="R6" s="2605"/>
    </row>
    <row r="7" spans="2:21" ht="63.75" x14ac:dyDescent="0.2">
      <c r="B7" s="2586" t="str">
        <f>IF(Présentation!$E$2="Français",'TRAD-Prix 10-2011 GPRM $'!D7,IF(Présentation!$E$2="Anglais",'TRAD-Prix 10-2011 GPRM $'!F7,""))</f>
        <v>Pour les ARV pédiatriques, 2 possibilités existent dans le rapport GPRM, pour les enfants de 5 et de 10 kg. Nous avons mentionné les 2 prix, qui varient peu entre eux.</v>
      </c>
      <c r="D7" s="2553" t="s">
        <v>310</v>
      </c>
      <c r="F7" s="2558" t="s">
        <v>1641</v>
      </c>
      <c r="J7" s="2605"/>
      <c r="K7" s="2605"/>
      <c r="O7" s="2604"/>
      <c r="R7" s="2605"/>
    </row>
    <row r="8" spans="2:21" ht="63.75" x14ac:dyDescent="0.2">
      <c r="B8" s="2586" t="str">
        <f>IF(Présentation!$E$2="Français",'TRAD-Prix 10-2011 GPRM $'!D8,IF(Présentation!$E$2="Anglais",'TRAD-Prix 10-2011 GPRM $'!F8,""))</f>
        <v>Les quantités de prises par boites ou les volumes des flacons peuvent changer en fonction des fournisseurs. Des emballages secondaires peuvent aussi varier (LPV/r sol. buv.)</v>
      </c>
      <c r="D8" s="2553" t="s">
        <v>311</v>
      </c>
      <c r="F8" s="2558" t="s">
        <v>1642</v>
      </c>
      <c r="J8" s="2605"/>
      <c r="K8" s="2605"/>
      <c r="O8" s="2604"/>
      <c r="R8" s="2605"/>
    </row>
    <row r="9" spans="2:21" ht="38.25" x14ac:dyDescent="0.2">
      <c r="B9" s="2586" t="str">
        <f>IF(Présentation!$E$2="Français",'TRAD-Prix 10-2011 GPRM $'!D9,IF(Présentation!$E$2="Anglais",'TRAD-Prix 10-2011 GPRM $'!F9,""))</f>
        <v>Attention les cellules contiennent des formules. Si vous copiez les données, pensées à ne copier que les valeurs</v>
      </c>
      <c r="D9" s="2553" t="s">
        <v>312</v>
      </c>
      <c r="F9" s="2558" t="s">
        <v>1643</v>
      </c>
      <c r="J9" s="2605"/>
      <c r="K9" s="2605"/>
      <c r="R9" s="2605"/>
    </row>
    <row r="10" spans="2:21" ht="25.5" x14ac:dyDescent="0.2">
      <c r="B10" s="2586" t="str">
        <f>IF(Présentation!$E$2="Français",'TRAD-Prix 10-2011 GPRM $'!D10,IF(Présentation!$E$2="Anglais",'TRAD-Prix 10-2011 GPRM $'!F10,""))</f>
        <v>Commentaire mentionné dans le rapport GPRM sur la nature des prix présentés</v>
      </c>
      <c r="D10" s="2553" t="s">
        <v>592</v>
      </c>
      <c r="F10" s="2558" t="s">
        <v>1644</v>
      </c>
      <c r="J10" s="2605"/>
      <c r="K10" s="2605"/>
      <c r="R10" s="2605"/>
    </row>
    <row r="11" spans="2:21" ht="216.75" x14ac:dyDescent="0.2">
      <c r="B11" s="2586" t="str">
        <f>IF(Présentation!$E$2="Français",'TRAD-Prix 10-2011 GPRM $'!D11,IF(Présentation!$E$2="Anglais",'TRAD-Prix 10-2011 GPRM $'!F11,""))</f>
        <v>Les prix indiqués dans ce rapport sont les prix des transactions internationales, et non pas les prix payés par les utilisateurs finaux au niveau des pays. Les prix utilisateurs sont souvent plus élevés que les prix des transactions internationales en raison des frais de douane, les taxes, les frais de transport, et les marges. Toutefois, dans certains cas, les prix utilisateurs peuvent être inférieurs aux prix des transactions internationales grâce à des subventions. vous pouvez avoir plus d'informations sur les prix utilisateurs  en consultant le site Web de Health Action International à http://www.haiweb.org/medicineprices/16.</v>
      </c>
      <c r="D11" s="2568" t="s">
        <v>1645</v>
      </c>
      <c r="F11" s="2558" t="s">
        <v>593</v>
      </c>
      <c r="J11" s="2605"/>
      <c r="K11" s="2605"/>
      <c r="R11" s="2605"/>
    </row>
    <row r="12" spans="2:21" ht="63.75" x14ac:dyDescent="0.2">
      <c r="B12" s="2586" t="str">
        <f>IF(Présentation!$E$2="Français",'TRAD-Prix 10-2011 GPRM $'!D12,IF(Présentation!$E$2="Anglais",'TRAD-Prix 10-2011 GPRM $'!F12,""))</f>
        <v>Les taxes, frais de douane et / ou termes commerciaux internationaux (Incoterms: coût ou conditions de transport, assurance, etc) ne sont pas déclarés et ne sont donc pas considérés † †</v>
      </c>
      <c r="D12" s="2553" t="s">
        <v>1646</v>
      </c>
      <c r="F12" s="2553" t="s">
        <v>594</v>
      </c>
      <c r="J12" s="2605"/>
      <c r="K12" s="2605"/>
      <c r="R12" s="2605"/>
    </row>
    <row r="13" spans="2:21" ht="51" x14ac:dyDescent="0.2">
      <c r="B13" s="2586" t="str">
        <f>IF(Présentation!$E$2="Français",'TRAD-Prix 10-2011 GPRM $'!D13,IF(Présentation!$E$2="Anglais",'TRAD-Prix 10-2011 GPRM $'!F13,""))</f>
        <v>Enquêtes précédentes menées par  l'Office de Comptabilité, Management et propositions en Sciences pour la Santé du gouvernement des Etats Unis</v>
      </c>
      <c r="D13" s="2553" t="s">
        <v>1647</v>
      </c>
      <c r="F13" s="2558" t="s">
        <v>595</v>
      </c>
      <c r="J13" s="2605"/>
      <c r="K13" s="2605"/>
      <c r="R13" s="2605"/>
    </row>
    <row r="14" spans="2:21" ht="51" x14ac:dyDescent="0.2">
      <c r="B14" s="2586" t="str">
        <f>IF(Présentation!$E$2="Français",'TRAD-Prix 10-2011 GPRM $'!D14,IF(Présentation!$E$2="Anglais",'TRAD-Prix 10-2011 GPRM $'!F14,""))</f>
        <v>que toute variation INCOTERMS constituait une augmentation de 3% -15% au cours des travaux de l'usine ou ex (EXW) prix 12</v>
      </c>
      <c r="D14" s="2553" t="s">
        <v>1649</v>
      </c>
      <c r="F14" s="2558" t="s">
        <v>1648</v>
      </c>
      <c r="G14" s="2606"/>
      <c r="H14" s="2606"/>
      <c r="I14" s="2607"/>
      <c r="J14" s="2608"/>
      <c r="K14" s="2608"/>
      <c r="L14" s="2606"/>
      <c r="M14" s="2606"/>
      <c r="N14" s="2606"/>
      <c r="O14" s="2606"/>
      <c r="P14" s="2606"/>
      <c r="Q14" s="2606"/>
      <c r="R14" s="2608"/>
      <c r="S14" s="2606"/>
      <c r="T14" s="2606"/>
    </row>
    <row r="15" spans="2:21" x14ac:dyDescent="0.2">
      <c r="B15" s="2586" t="str">
        <f>IF(Présentation!$E$2="Français",'TRAD-Prix 10-2011 GPRM $'!D15,IF(Présentation!$E$2="Anglais",'TRAD-Prix 10-2011 GPRM $'!F15,""))</f>
        <v>FORMES ADULTES</v>
      </c>
      <c r="D15" s="2609" t="s">
        <v>313</v>
      </c>
      <c r="E15" s="2610"/>
      <c r="F15" s="2570" t="s">
        <v>1623</v>
      </c>
      <c r="G15" s="2570"/>
      <c r="H15" s="2570"/>
      <c r="I15" s="2570"/>
      <c r="J15" s="2570"/>
      <c r="K15" s="2570"/>
      <c r="L15" s="2570"/>
      <c r="M15" s="2570"/>
      <c r="N15" s="2570"/>
      <c r="O15" s="2570"/>
      <c r="P15" s="2570"/>
      <c r="Q15" s="2570"/>
      <c r="R15" s="2570"/>
      <c r="S15" s="2570"/>
      <c r="T15" s="2570"/>
      <c r="U15" s="2570"/>
    </row>
    <row r="16" spans="2:21" x14ac:dyDescent="0.2">
      <c r="B16" s="2586" t="str">
        <f>IF(Présentation!$E$2="Français",'TRAD-Prix 10-2011 GPRM $'!D16,IF(Présentation!$E$2="Anglais",'TRAD-Prix 10-2011 GPRM $'!F16,""))</f>
        <v>DCI</v>
      </c>
      <c r="D16" s="2553" t="s">
        <v>318</v>
      </c>
      <c r="E16" s="2570"/>
      <c r="F16" s="2570" t="s">
        <v>982</v>
      </c>
      <c r="G16" s="2570"/>
      <c r="H16" s="2570"/>
      <c r="I16" s="2570"/>
      <c r="J16" s="2571"/>
      <c r="K16" s="2571"/>
      <c r="L16" s="2570"/>
      <c r="M16" s="2570"/>
      <c r="N16" s="2570"/>
      <c r="O16" s="2570"/>
      <c r="P16" s="2570"/>
      <c r="Q16" s="2570"/>
      <c r="R16" s="2571"/>
      <c r="S16" s="2570"/>
      <c r="T16" s="2570"/>
      <c r="U16" s="2570"/>
    </row>
    <row r="17" spans="2:21" x14ac:dyDescent="0.2">
      <c r="B17" s="2586" t="str">
        <f>IF(Présentation!$E$2="Français",'TRAD-Prix 10-2011 GPRM $'!D17,IF(Présentation!$E$2="Anglais",'TRAD-Prix 10-2011 GPRM $'!F17,""))</f>
        <v>Dosage</v>
      </c>
      <c r="D17" s="2553" t="s">
        <v>14</v>
      </c>
      <c r="E17" s="2611"/>
      <c r="F17" s="2558" t="s">
        <v>981</v>
      </c>
      <c r="I17" s="2612"/>
      <c r="J17" s="2605"/>
      <c r="U17" s="2570"/>
    </row>
    <row r="18" spans="2:21" x14ac:dyDescent="0.2">
      <c r="B18" s="2586" t="str">
        <f>IF(Présentation!$E$2="Français",'TRAD-Prix 10-2011 GPRM $'!D18,IF(Présentation!$E$2="Anglais",'TRAD-Prix 10-2011 GPRM $'!F18,""))</f>
        <v>Unité dosage</v>
      </c>
      <c r="D18" s="2553" t="s">
        <v>319</v>
      </c>
      <c r="E18" s="2611"/>
      <c r="F18" s="2558" t="s">
        <v>1624</v>
      </c>
      <c r="K18" s="2605"/>
      <c r="U18" s="2570"/>
    </row>
    <row r="19" spans="2:21" x14ac:dyDescent="0.2">
      <c r="B19" s="2586" t="str">
        <f>IF(Présentation!$E$2="Français",'TRAD-Prix 10-2011 GPRM $'!D19,IF(Présentation!$E$2="Anglais",'TRAD-Prix 10-2011 GPRM $'!F19,""))</f>
        <v>Forme</v>
      </c>
      <c r="D19" s="2613" t="s">
        <v>320</v>
      </c>
      <c r="F19" s="2558" t="s">
        <v>1625</v>
      </c>
    </row>
    <row r="20" spans="2:21" x14ac:dyDescent="0.2">
      <c r="B20" s="2586" t="str">
        <f>IF(Présentation!$E$2="Français",'TRAD-Prix 10-2011 GPRM $'!D20,IF(Présentation!$E$2="Anglais",'TRAD-Prix 10-2011 GPRM $'!F20,""))</f>
        <v>Nb d'unité de prises / jour</v>
      </c>
      <c r="D20" s="2568" t="s">
        <v>321</v>
      </c>
      <c r="F20" s="2558" t="s">
        <v>1650</v>
      </c>
    </row>
    <row r="21" spans="2:21" x14ac:dyDescent="0.2">
      <c r="B21" s="2586" t="str">
        <f>IF(Présentation!$E$2="Français",'TRAD-Prix 10-2011 GPRM $'!D21,IF(Présentation!$E$2="Anglais",'TRAD-Prix 10-2011 GPRM $'!F21,""))</f>
        <v>Qtés / boites - flacons</v>
      </c>
      <c r="D21" s="2568" t="s">
        <v>314</v>
      </c>
      <c r="F21" s="2558" t="s">
        <v>1651</v>
      </c>
    </row>
    <row r="22" spans="2:21" x14ac:dyDescent="0.2">
      <c r="B22" s="2586" t="str">
        <f>IF(Présentation!$E$2="Français",'TRAD-Prix 10-2011 GPRM $'!D22,IF(Présentation!$E$2="Anglais",'TRAD-Prix 10-2011 GPRM $'!F22,""))</f>
        <v>Prix annuel / patient (US$)</v>
      </c>
      <c r="D22" s="2553" t="s">
        <v>315</v>
      </c>
      <c r="F22" s="2558" t="s">
        <v>1626</v>
      </c>
    </row>
    <row r="23" spans="2:21" x14ac:dyDescent="0.2">
      <c r="B23" s="2586" t="str">
        <f>IF(Présentation!$E$2="Français",'TRAD-Prix 10-2011 GPRM $'!D23,IF(Présentation!$E$2="Anglais",'TRAD-Prix 10-2011 GPRM $'!F23,""))</f>
        <v>Médiane</v>
      </c>
      <c r="D23" s="2553" t="s">
        <v>322</v>
      </c>
      <c r="F23" s="2558" t="s">
        <v>1627</v>
      </c>
    </row>
    <row r="24" spans="2:21" x14ac:dyDescent="0.2">
      <c r="B24" s="2586" t="str">
        <f>IF(Présentation!$E$2="Français",'TRAD-Prix 10-2011 GPRM $'!D24,IF(Présentation!$E$2="Anglais",'TRAD-Prix 10-2011 GPRM $'!F24,""))</f>
        <v>Prix / unité de prise  (US$)</v>
      </c>
      <c r="D24" s="2553" t="s">
        <v>316</v>
      </c>
      <c r="F24" s="2558" t="s">
        <v>1628</v>
      </c>
    </row>
    <row r="25" spans="2:21" x14ac:dyDescent="0.2">
      <c r="B25" s="2586" t="str">
        <f>IF(Présentation!$E$2="Français",'TRAD-Prix 10-2011 GPRM $'!D25,IF(Présentation!$E$2="Anglais",'TRAD-Prix 10-2011 GPRM $'!F25,""))</f>
        <v>Prix / boite   ou flacon (US$)</v>
      </c>
      <c r="D25" s="2553" t="s">
        <v>1660</v>
      </c>
      <c r="F25" s="2558" t="s">
        <v>1661</v>
      </c>
    </row>
    <row r="26" spans="2:21" x14ac:dyDescent="0.2">
      <c r="B26" s="2586" t="str">
        <f>IF(Présentation!$E$2="Français",'TRAD-Prix 10-2011 GPRM $'!D26,IF(Présentation!$E$2="Anglais",'TRAD-Prix 10-2011 GPRM $'!F26,""))</f>
        <v>Prix / boite  (US$)</v>
      </c>
      <c r="D26" s="2553" t="s">
        <v>317</v>
      </c>
      <c r="F26" s="2558" t="s">
        <v>1652</v>
      </c>
    </row>
    <row r="27" spans="2:21" x14ac:dyDescent="0.2">
      <c r="B27" s="2586" t="str">
        <f>IF(Présentation!$E$2="Français",'TRAD-Prix 10-2011 GPRM $'!D27,IF(Présentation!$E$2="Anglais",'TRAD-Prix 10-2011 GPRM $'!F27,""))</f>
        <v>Nom commercial Princeps</v>
      </c>
      <c r="D27" s="2569" t="s">
        <v>343</v>
      </c>
      <c r="E27" s="2614"/>
      <c r="F27" s="2570" t="s">
        <v>1653</v>
      </c>
      <c r="G27" s="2615"/>
      <c r="J27" s="2571"/>
      <c r="L27" s="2571"/>
      <c r="M27" s="2571"/>
    </row>
    <row r="28" spans="2:21" ht="25.5" x14ac:dyDescent="0.2">
      <c r="B28" s="2586" t="str">
        <f>IF(Présentation!$E$2="Français",'TRAD-Prix 10-2011 GPRM $'!D28,IF(Présentation!$E$2="Anglais",'TRAD-Prix 10-2011 GPRM $'!F28,""))</f>
        <v>Existence d'un générique ? (G) préqualifié A ou B ? (GPQ)</v>
      </c>
      <c r="D28" s="2569" t="s">
        <v>1621</v>
      </c>
      <c r="F28" s="2558" t="s">
        <v>1654</v>
      </c>
    </row>
    <row r="29" spans="2:21" x14ac:dyDescent="0.2">
      <c r="B29" s="2586" t="str">
        <f>IF(Présentation!$E$2="Français",'TRAD-Prix 10-2011 GPRM $'!D29,IF(Présentation!$E$2="Anglais",'TRAD-Prix 10-2011 GPRM $'!F29,""))</f>
        <v>Qtés / boites</v>
      </c>
      <c r="D29" s="2572" t="s">
        <v>344</v>
      </c>
      <c r="F29" s="2558" t="s">
        <v>1655</v>
      </c>
    </row>
    <row r="30" spans="2:21" ht="38.25" x14ac:dyDescent="0.2">
      <c r="B30" s="2586" t="str">
        <f>IF(Présentation!$E$2="Français",'TRAD-Prix 10-2011 GPRM $'!D30,IF(Présentation!$E$2="Anglais",'TRAD-Prix 10-2011 GPRM $'!F30,""))</f>
        <v>Prix annuel (hors autres ARV pr trithérapie ou boost) 
(US$)</v>
      </c>
      <c r="D30" s="2572" t="s">
        <v>345</v>
      </c>
      <c r="F30" s="2558" t="s">
        <v>1656</v>
      </c>
    </row>
    <row r="31" spans="2:21" x14ac:dyDescent="0.2">
      <c r="B31" s="2586" t="str">
        <f>IF(Présentation!$E$2="Français",'TRAD-Prix 10-2011 GPRM $'!D31,IF(Présentation!$E$2="Anglais",'TRAD-Prix 10-2011 GPRM $'!F31,""))</f>
        <v>Source</v>
      </c>
      <c r="D31" s="2572" t="s">
        <v>346</v>
      </c>
      <c r="F31" s="2558" t="s">
        <v>1629</v>
      </c>
    </row>
    <row r="32" spans="2:21" ht="51" x14ac:dyDescent="0.2">
      <c r="B32" s="2586" t="str">
        <f>IF(Présentation!$E$2="Français",'TRAD-Prix 10-2011 GPRM $'!D32,IF(Présentation!$E$2="Anglais",'TRAD-Prix 10-2011 GPRM $'!F32,""))</f>
        <v xml:space="preserve">D'après Untangling the web of price reduction - http://utw.msfaccess.org/drugs/emtricitabine </v>
      </c>
      <c r="D32" s="2609" t="s">
        <v>359</v>
      </c>
      <c r="F32" s="2558" t="s">
        <v>1630</v>
      </c>
    </row>
    <row r="33" spans="2:21" ht="25.5" x14ac:dyDescent="0.2">
      <c r="B33" s="2586" t="str">
        <f>IF(Présentation!$E$2="Français",'TRAD-Prix 10-2011 GPRM $'!D33,IF(Présentation!$E$2="Anglais",'TRAD-Prix 10-2011 GPRM $'!F33,""))</f>
        <v>D'après BMS Global Access Program en mai 2009</v>
      </c>
      <c r="D33" s="2609" t="s">
        <v>360</v>
      </c>
      <c r="F33" s="2558" t="s">
        <v>1631</v>
      </c>
    </row>
    <row r="34" spans="2:21" ht="63.75" x14ac:dyDescent="0.2">
      <c r="B34" s="2586" t="str">
        <f>IF(Présentation!$E$2="Français",'TRAD-Prix 10-2011 GPRM $'!D34,IF(Présentation!$E$2="Anglais",'TRAD-Prix 10-2011 GPRM $'!F34,""))</f>
        <v>D'après Untangling the web of price reduction - http://msf-utw.tumblr.com/post/13260793909/first-ever-atv-r-combination-pill-improves-treatment</v>
      </c>
      <c r="D34" s="2553" t="s">
        <v>605</v>
      </c>
      <c r="F34" s="2558" t="s">
        <v>1632</v>
      </c>
    </row>
    <row r="35" spans="2:21" ht="51" x14ac:dyDescent="0.2">
      <c r="B35" s="2586" t="str">
        <f>IF(Présentation!$E$2="Français",'TRAD-Prix 10-2011 GPRM $'!D35,IF(Présentation!$E$2="Anglais",'TRAD-Prix 10-2011 GPRM $'!F35,""))</f>
        <v>D'après Untangling the web of price reduction - http://utw.msfaccess.org/drugs/raltegravir</v>
      </c>
      <c r="D35" s="2553" t="s">
        <v>361</v>
      </c>
      <c r="F35" s="2558" t="s">
        <v>1633</v>
      </c>
    </row>
    <row r="36" spans="2:21" ht="51" x14ac:dyDescent="0.2">
      <c r="B36" s="2586" t="str">
        <f>IF(Présentation!$E$2="Français",'TRAD-Prix 10-2011 GPRM $'!D36,IF(Présentation!$E$2="Anglais",'TRAD-Prix 10-2011 GPRM $'!F36,""))</f>
        <v>D'après Untangling the web of price reduction - http://utw.msfaccess.org/drugs/darunavir</v>
      </c>
      <c r="D36" s="2553" t="s">
        <v>362</v>
      </c>
      <c r="F36" s="2558" t="s">
        <v>1634</v>
      </c>
    </row>
    <row r="37" spans="2:21" ht="25.5" x14ac:dyDescent="0.2">
      <c r="B37" s="2586" t="str">
        <f>IF(Présentation!$E$2="Français",'TRAD-Prix 10-2011 GPRM $'!D37,IF(Présentation!$E$2="Anglais",'TRAD-Prix 10-2011 GPRM $'!F37,""))</f>
        <v>D'après prix négocié France - VIDAL - 2009</v>
      </c>
      <c r="D37" s="2553" t="s">
        <v>363</v>
      </c>
      <c r="F37" s="2558" t="s">
        <v>1635</v>
      </c>
    </row>
    <row r="38" spans="2:21" ht="25.5" x14ac:dyDescent="0.2">
      <c r="B38" s="2586" t="str">
        <f>IF(Présentation!$E$2="Français",'TRAD-Prix 10-2011 GPRM $'!D38,IF(Présentation!$E$2="Anglais",'TRAD-Prix 10-2011 GPRM $'!F38,""))</f>
        <v>D'après Fondation Clinton Ceiling Prices 052011</v>
      </c>
      <c r="D38" s="2609" t="s">
        <v>653</v>
      </c>
      <c r="F38" s="2558" t="s">
        <v>1636</v>
      </c>
    </row>
    <row r="39" spans="2:21" ht="63.75" x14ac:dyDescent="0.2">
      <c r="B39" s="2586" t="str">
        <f>IF(Présentation!$E$2="Français",'TRAD-Prix 10-2011 GPRM $'!D39,IF(Présentation!$E$2="Anglais",'TRAD-Prix 10-2011 GPRM $'!F39,""))</f>
        <v>D'après http://www.nelm.nhs.uk/en/NeLM-Area/News/2011---December/02/Rilpivirine-Edurant-launched-in-UK-for-treatment-of-HIV/</v>
      </c>
      <c r="D39" s="2609" t="s">
        <v>837</v>
      </c>
      <c r="F39" s="2558" t="s">
        <v>1657</v>
      </c>
    </row>
    <row r="40" spans="2:21" x14ac:dyDescent="0.2">
      <c r="B40" s="2586" t="str">
        <f>IF(Présentation!$E$2="Français",'TRAD-Prix 10-2011 GPRM $'!D40,IF(Présentation!$E$2="Anglais",'TRAD-Prix 10-2011 GPRM $'!F40,""))</f>
        <v>FORMES PEDIATRIQUES</v>
      </c>
      <c r="D40" s="2609" t="s">
        <v>364</v>
      </c>
      <c r="E40" s="2610"/>
      <c r="F40" s="2570" t="s">
        <v>1637</v>
      </c>
      <c r="G40" s="2570"/>
      <c r="H40" s="2570"/>
      <c r="I40" s="2570"/>
      <c r="J40" s="2570"/>
      <c r="K40" s="2570"/>
      <c r="L40" s="2570"/>
      <c r="M40" s="2570"/>
      <c r="N40" s="2570"/>
      <c r="O40" s="2570"/>
      <c r="P40" s="2570"/>
      <c r="Q40" s="2570"/>
      <c r="R40" s="2570"/>
      <c r="S40" s="2570"/>
      <c r="T40" s="2570"/>
      <c r="U40" s="2570"/>
    </row>
    <row r="41" spans="2:21" x14ac:dyDescent="0.2">
      <c r="B41" s="2586" t="str">
        <f>IF(Présentation!$E$2="Français",'TRAD-Prix 10-2011 GPRM $'!D41,IF(Présentation!$E$2="Anglais",'TRAD-Prix 10-2011 GPRM $'!F41,""))</f>
        <v>1ères lignes</v>
      </c>
      <c r="D41" s="2553" t="s">
        <v>325</v>
      </c>
      <c r="F41" s="2570" t="s">
        <v>1659</v>
      </c>
    </row>
    <row r="42" spans="2:21" x14ac:dyDescent="0.2">
      <c r="B42" s="2586" t="str">
        <f>IF(Présentation!$E$2="Français",'TRAD-Prix 10-2011 GPRM $'!D42,IF(Présentation!$E$2="Anglais",'TRAD-Prix 10-2011 GPRM $'!F42,""))</f>
        <v>2 &amp; 3èmes lignes</v>
      </c>
      <c r="D42" s="2553" t="s">
        <v>335</v>
      </c>
      <c r="F42" s="2570" t="s">
        <v>1658</v>
      </c>
    </row>
    <row r="43" spans="2:21" x14ac:dyDescent="0.2">
      <c r="B43" s="2586" t="str">
        <f>IF(Présentation!$E$2="Français",'TRAD-Prix 10-2011 GPRM $'!D43,IF(Présentation!$E$2="Anglais",'TRAD-Prix 10-2011 GPRM $'!F43,""))</f>
        <v>Cp</v>
      </c>
      <c r="D43" s="2553" t="s">
        <v>98</v>
      </c>
      <c r="F43" s="2570" t="s">
        <v>1380</v>
      </c>
    </row>
    <row r="44" spans="2:21" x14ac:dyDescent="0.2">
      <c r="B44" s="2586" t="str">
        <f>IF(Présentation!$E$2="Français",'TRAD-Prix 10-2011 GPRM $'!D44,IF(Présentation!$E$2="Anglais",'TRAD-Prix 10-2011 GPRM $'!F44,""))</f>
        <v>Gélule</v>
      </c>
      <c r="D44" s="2553" t="s">
        <v>334</v>
      </c>
      <c r="F44" s="2570" t="s">
        <v>133</v>
      </c>
    </row>
    <row r="45" spans="2:21" x14ac:dyDescent="0.2">
      <c r="B45" s="2586" t="str">
        <f>IF(Présentation!$E$2="Français",'TRAD-Prix 10-2011 GPRM $'!D45,IF(Présentation!$E$2="Anglais",'TRAD-Prix 10-2011 GPRM $'!F45,""))</f>
        <v>Hors GPRM - Source Untangling the web</v>
      </c>
      <c r="D45" s="2553" t="s">
        <v>650</v>
      </c>
      <c r="F45" s="2553" t="s">
        <v>1662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tabColor rgb="FF92D050"/>
  </sheetPr>
  <dimension ref="A1:AD56"/>
  <sheetViews>
    <sheetView showGridLines="0" zoomScale="80" zoomScaleNormal="80" workbookViewId="0">
      <selection activeCell="H49" sqref="H49"/>
    </sheetView>
  </sheetViews>
  <sheetFormatPr defaultColWidth="11.42578125" defaultRowHeight="12.75" x14ac:dyDescent="0.2"/>
  <cols>
    <col min="1" max="1" width="4" style="599" customWidth="1"/>
    <col min="2" max="2" width="10.140625" style="599" customWidth="1"/>
    <col min="3" max="3" width="11.42578125" style="599"/>
    <col min="4" max="4" width="14.42578125" style="599" customWidth="1"/>
    <col min="5" max="5" width="9.42578125" style="599" customWidth="1"/>
    <col min="6" max="6" width="16.140625" style="599" customWidth="1"/>
    <col min="7" max="7" width="14.85546875" style="599" customWidth="1"/>
    <col min="8" max="8" width="10.28515625" style="599" customWidth="1"/>
    <col min="9" max="9" width="13.85546875" style="599" bestFit="1" customWidth="1"/>
    <col min="10" max="10" width="14.140625" style="599" bestFit="1" customWidth="1"/>
    <col min="11" max="16384" width="11.42578125" style="599"/>
  </cols>
  <sheetData>
    <row r="1" spans="1:30" ht="13.5" thickBot="1" x14ac:dyDescent="0.25"/>
    <row r="2" spans="1:30" s="659" customFormat="1" ht="16.5" thickBot="1" x14ac:dyDescent="0.3">
      <c r="A2" s="3094" t="str">
        <f>'TRAD-Prix'!B2</f>
        <v>Prix d'une source spécifique</v>
      </c>
      <c r="B2" s="3095"/>
      <c r="C2" s="3095"/>
      <c r="D2" s="3095"/>
      <c r="E2" s="3095"/>
      <c r="F2" s="3095"/>
      <c r="G2" s="3095"/>
      <c r="H2" s="3095"/>
      <c r="I2" s="3095"/>
      <c r="J2" s="3095"/>
      <c r="K2" s="3095"/>
      <c r="L2" s="3095"/>
      <c r="M2" s="3095"/>
      <c r="N2" s="3095"/>
      <c r="O2" s="3095"/>
      <c r="P2" s="3095"/>
      <c r="Q2" s="3095"/>
      <c r="R2" s="3095"/>
      <c r="S2" s="3095"/>
      <c r="T2" s="3096"/>
      <c r="W2" s="2793"/>
      <c r="Y2" s="2794"/>
      <c r="Z2" s="2794"/>
      <c r="AA2" s="2794"/>
      <c r="AB2" s="2794"/>
      <c r="AC2" s="2794"/>
      <c r="AD2" s="2794"/>
    </row>
    <row r="3" spans="1:30" ht="13.5" thickBot="1" x14ac:dyDescent="0.25"/>
    <row r="4" spans="1:30" ht="30" customHeight="1" thickBot="1" x14ac:dyDescent="0.25">
      <c r="B4" s="3133" t="str">
        <f>'TRAD-Prix'!B3</f>
        <v>Préciser ici le nom de la source que vous souhaitez faire apparaître dans le document</v>
      </c>
      <c r="H4" s="3158" t="s">
        <v>2007</v>
      </c>
      <c r="I4" s="3158"/>
      <c r="J4" s="3158"/>
    </row>
    <row r="5" spans="1:30" ht="13.5" thickBot="1" x14ac:dyDescent="0.25"/>
    <row r="6" spans="1:30" ht="39" thickBot="1" x14ac:dyDescent="0.25">
      <c r="B6" s="2496" t="str">
        <f>'TRAD-Quanti et TdB Péremptions'!$B$37</f>
        <v>Forme</v>
      </c>
      <c r="C6" s="2497" t="str">
        <f>'TRAD-Quanti et TdB Péremptions'!$B$38</f>
        <v>Classe pharmaco</v>
      </c>
      <c r="D6" s="32" t="str">
        <f>'TRAD-Quanti et TdB Péremptions'!$B$39</f>
        <v>Composition</v>
      </c>
      <c r="E6" s="33" t="str">
        <f>'TRAD-Quanti et TdB Péremptions'!$B$40</f>
        <v>Forme galénique</v>
      </c>
      <c r="F6" s="33" t="str">
        <f>'TRAD-Quanti et TdB Péremptions'!$B$41</f>
        <v>Dosage</v>
      </c>
      <c r="G6" s="33" t="str">
        <f>'TRAD-Quanti et TdB Péremptions'!$B$42</f>
        <v>DCI</v>
      </c>
      <c r="H6" s="33" t="str">
        <f>'TRAD-Quanti et TdB Péremptions'!$B$43</f>
        <v>Conditionnement</v>
      </c>
      <c r="I6" s="3108" t="str">
        <f>'TRAD-Prix'!B4</f>
        <v>Prix par unité (cp, gél., mL) - $</v>
      </c>
      <c r="J6" s="33" t="str">
        <f>'TRAD-Prix'!B5</f>
        <v>Prix par conditionnement - $</v>
      </c>
    </row>
    <row r="7" spans="1:30" ht="39" thickBot="1" x14ac:dyDescent="0.25">
      <c r="B7" s="31" t="str">
        <f>'TRAD-Quanti et TdB Péremptions'!$B$94</f>
        <v>Comprimés</v>
      </c>
      <c r="C7" s="97" t="str">
        <f>'Saisie données stocks'!$E$19</f>
        <v>CDF</v>
      </c>
      <c r="D7" s="1654" t="str">
        <f>'Saisie données stocks'!F19</f>
        <v>AZT+3TC+NVP</v>
      </c>
      <c r="E7" s="1655" t="str">
        <f>'Saisie données stocks'!G19</f>
        <v>Cp</v>
      </c>
      <c r="F7" s="1655" t="str">
        <f>'Saisie données stocks'!H19</f>
        <v>300/150/200 mg</v>
      </c>
      <c r="G7" s="87" t="str">
        <f>'Saisie données stocks'!I19</f>
        <v>Zidovudine+ Lamivudine+ Nevirapine</v>
      </c>
      <c r="H7" s="3109">
        <f>'Saisie données stocks'!L19</f>
        <v>60</v>
      </c>
      <c r="I7" s="3117">
        <v>0.20608333333333331</v>
      </c>
      <c r="J7" s="3118">
        <f>H7*I7</f>
        <v>12.364999999999998</v>
      </c>
      <c r="L7" s="3134"/>
    </row>
    <row r="8" spans="1:30" ht="39" thickBot="1" x14ac:dyDescent="0.25">
      <c r="B8" s="37"/>
      <c r="C8" s="98"/>
      <c r="D8" s="1658" t="str">
        <f>'Saisie données stocks'!F20</f>
        <v>AZT+3TC+NVP</v>
      </c>
      <c r="E8" s="1659" t="str">
        <f>'Saisie données stocks'!G20</f>
        <v>Cp</v>
      </c>
      <c r="F8" s="1659" t="str">
        <f>'Saisie données stocks'!H20</f>
        <v>60/30/50 mg</v>
      </c>
      <c r="G8" s="89" t="str">
        <f>'Saisie données stocks'!I20</f>
        <v>Zidovudine+ Lamivudine+ Nevirapine</v>
      </c>
      <c r="H8" s="308">
        <f>'Saisie données stocks'!L20</f>
        <v>60</v>
      </c>
      <c r="I8" s="3135">
        <v>6.9166666666666668E-2</v>
      </c>
      <c r="J8" s="3111">
        <f t="shared" ref="J8:J56" si="0">H8*I8</f>
        <v>4.1500000000000004</v>
      </c>
      <c r="L8" s="3134"/>
    </row>
    <row r="9" spans="1:30" ht="39" thickBot="1" x14ac:dyDescent="0.25">
      <c r="B9" s="37"/>
      <c r="C9" s="98"/>
      <c r="D9" s="1658" t="str">
        <f>'Saisie données stocks'!F21</f>
        <v>AZT+3TC+ABC</v>
      </c>
      <c r="E9" s="1659" t="str">
        <f>'Saisie données stocks'!G21</f>
        <v>Cp</v>
      </c>
      <c r="F9" s="1659" t="str">
        <f>'Saisie données stocks'!H21</f>
        <v>300/150/300 mg</v>
      </c>
      <c r="G9" s="89" t="str">
        <f>'Saisie données stocks'!I21</f>
        <v>Zidovudine+ Lamivudine+ Abacavir</v>
      </c>
      <c r="H9" s="308">
        <f>'Saisie données stocks'!L21</f>
        <v>60</v>
      </c>
      <c r="I9" s="3135">
        <v>0.55000000000000004</v>
      </c>
      <c r="J9" s="3111">
        <f t="shared" si="0"/>
        <v>33</v>
      </c>
      <c r="L9" s="3134"/>
    </row>
    <row r="10" spans="1:30" ht="26.25" thickBot="1" x14ac:dyDescent="0.25">
      <c r="B10" s="37"/>
      <c r="C10" s="98"/>
      <c r="D10" s="1658" t="str">
        <f>'Saisie données stocks'!F22</f>
        <v>AZT+3TC</v>
      </c>
      <c r="E10" s="1659" t="str">
        <f>'Saisie données stocks'!G22</f>
        <v>Cp</v>
      </c>
      <c r="F10" s="1659" t="str">
        <f>'Saisie données stocks'!H22</f>
        <v>300/150 mg</v>
      </c>
      <c r="G10" s="89" t="str">
        <f>'Saisie données stocks'!I22</f>
        <v>Zidovudine+ Lamivudine</v>
      </c>
      <c r="H10" s="308">
        <f>'Saisie données stocks'!L22</f>
        <v>60</v>
      </c>
      <c r="I10" s="3135">
        <v>0.16591666666666666</v>
      </c>
      <c r="J10" s="3111">
        <f t="shared" si="0"/>
        <v>9.9550000000000001</v>
      </c>
      <c r="L10" s="3134"/>
    </row>
    <row r="11" spans="1:30" ht="26.25" thickBot="1" x14ac:dyDescent="0.25">
      <c r="B11" s="37"/>
      <c r="C11" s="98"/>
      <c r="D11" s="1658" t="str">
        <f>'Saisie données stocks'!F23</f>
        <v>AZT+3TC</v>
      </c>
      <c r="E11" s="1659" t="str">
        <f>'Saisie données stocks'!G23</f>
        <v>Cp</v>
      </c>
      <c r="F11" s="1659" t="str">
        <f>'Saisie données stocks'!H23</f>
        <v>60/30 mg</v>
      </c>
      <c r="G11" s="89" t="str">
        <f>'Saisie données stocks'!I23</f>
        <v>Zidovudine+ Lamivudine</v>
      </c>
      <c r="H11" s="308">
        <f>'Saisie données stocks'!L23</f>
        <v>60</v>
      </c>
      <c r="I11" s="3135">
        <v>4.4499999999999998E-2</v>
      </c>
      <c r="J11" s="3111">
        <f t="shared" si="0"/>
        <v>2.67</v>
      </c>
      <c r="L11" s="3134"/>
    </row>
    <row r="12" spans="1:30" ht="26.25" thickBot="1" x14ac:dyDescent="0.25">
      <c r="B12" s="37"/>
      <c r="C12" s="98"/>
      <c r="D12" s="1658" t="str">
        <f>'Saisie données stocks'!F24</f>
        <v>3TC+ABC</v>
      </c>
      <c r="E12" s="1659" t="str">
        <f>'Saisie données stocks'!G24</f>
        <v>Cp</v>
      </c>
      <c r="F12" s="1659" t="str">
        <f>'Saisie données stocks'!H24</f>
        <v>300/600 mg</v>
      </c>
      <c r="G12" s="89" t="str">
        <f>'Saisie données stocks'!I24</f>
        <v>Lamivudine+ Abacavir</v>
      </c>
      <c r="H12" s="308">
        <f>'Saisie données stocks'!L24</f>
        <v>30</v>
      </c>
      <c r="I12" s="3135">
        <v>0.6333333333333333</v>
      </c>
      <c r="J12" s="3111">
        <f t="shared" si="0"/>
        <v>19</v>
      </c>
      <c r="L12" s="3134"/>
    </row>
    <row r="13" spans="1:30" ht="26.25" thickBot="1" x14ac:dyDescent="0.25">
      <c r="B13" s="37"/>
      <c r="C13" s="98"/>
      <c r="D13" s="1658" t="str">
        <f>'Saisie données stocks'!F25</f>
        <v>3TC+ABC</v>
      </c>
      <c r="E13" s="1659" t="str">
        <f>'Saisie données stocks'!G25</f>
        <v>Cp</v>
      </c>
      <c r="F13" s="1659" t="str">
        <f>'Saisie données stocks'!H25</f>
        <v>30/60 mg</v>
      </c>
      <c r="G13" s="89" t="str">
        <f>'Saisie données stocks'!I25</f>
        <v>Lamivudine+ Abacavir</v>
      </c>
      <c r="H13" s="308">
        <f>'Saisie données stocks'!L25</f>
        <v>60</v>
      </c>
      <c r="I13" s="3135">
        <v>9.6666666666666665E-2</v>
      </c>
      <c r="J13" s="3111">
        <f t="shared" si="0"/>
        <v>5.8</v>
      </c>
      <c r="L13" s="3134"/>
    </row>
    <row r="14" spans="1:30" ht="39" thickBot="1" x14ac:dyDescent="0.25">
      <c r="B14" s="37"/>
      <c r="C14" s="98"/>
      <c r="D14" s="1660" t="str">
        <f>'Saisie données stocks'!F26</f>
        <v>D4T+3TC+NVP</v>
      </c>
      <c r="E14" s="1661" t="str">
        <f>'Saisie données stocks'!G26</f>
        <v>Cp</v>
      </c>
      <c r="F14" s="1661" t="str">
        <f>'Saisie données stocks'!H26</f>
        <v>30/150/200 mg</v>
      </c>
      <c r="G14" s="1207" t="str">
        <f>'Saisie données stocks'!I26</f>
        <v>Stavudine+ Lamivudine+ Nevirapine</v>
      </c>
      <c r="H14" s="1867">
        <f>'Saisie données stocks'!L26</f>
        <v>60</v>
      </c>
      <c r="I14" s="3135">
        <v>8.1833333333333341E-2</v>
      </c>
      <c r="J14" s="3112">
        <f t="shared" si="0"/>
        <v>4.91</v>
      </c>
      <c r="L14" s="3134"/>
    </row>
    <row r="15" spans="1:30" ht="39" thickBot="1" x14ac:dyDescent="0.25">
      <c r="B15" s="37"/>
      <c r="C15" s="98"/>
      <c r="D15" s="1660" t="str">
        <f>'Saisie données stocks'!F27</f>
        <v>D4T+3TC+NVP</v>
      </c>
      <c r="E15" s="1661" t="str">
        <f>'Saisie données stocks'!G27</f>
        <v>Cp</v>
      </c>
      <c r="F15" s="1661" t="str">
        <f>'Saisie données stocks'!H27</f>
        <v>6/30/50 mg</v>
      </c>
      <c r="G15" s="1207" t="str">
        <f>'Saisie données stocks'!I27</f>
        <v>Stavudine+ Lamivudine+ Nevirapine</v>
      </c>
      <c r="H15" s="1867">
        <f>'Saisie données stocks'!L27</f>
        <v>60</v>
      </c>
      <c r="I15" s="3135">
        <v>3.7499999999999999E-2</v>
      </c>
      <c r="J15" s="3112">
        <f t="shared" si="0"/>
        <v>2.25</v>
      </c>
      <c r="L15" s="3134"/>
    </row>
    <row r="16" spans="1:30" ht="26.25" thickBot="1" x14ac:dyDescent="0.25">
      <c r="B16" s="37"/>
      <c r="C16" s="98"/>
      <c r="D16" s="1660" t="str">
        <f>'Saisie données stocks'!F28</f>
        <v>D4T+3TC</v>
      </c>
      <c r="E16" s="1661" t="str">
        <f>'Saisie données stocks'!G28</f>
        <v>Cp</v>
      </c>
      <c r="F16" s="1661" t="str">
        <f>'Saisie données stocks'!H28</f>
        <v>30/150 mg</v>
      </c>
      <c r="G16" s="89" t="str">
        <f>'Saisie données stocks'!I28</f>
        <v>Stavudine+ Lamivudine</v>
      </c>
      <c r="H16" s="1867">
        <f>'Saisie données stocks'!L28</f>
        <v>60</v>
      </c>
      <c r="I16" s="3135">
        <v>4.8749999999999995E-2</v>
      </c>
      <c r="J16" s="3112">
        <f t="shared" si="0"/>
        <v>2.9249999999999998</v>
      </c>
      <c r="L16" s="3134"/>
    </row>
    <row r="17" spans="2:12" ht="39" thickBot="1" x14ac:dyDescent="0.25">
      <c r="B17" s="37"/>
      <c r="C17" s="98"/>
      <c r="D17" s="1660" t="str">
        <f>'Saisie données stocks'!F29</f>
        <v>TDF+FTC+EFV</v>
      </c>
      <c r="E17" s="1661" t="str">
        <f>'Saisie données stocks'!G29</f>
        <v>Cp</v>
      </c>
      <c r="F17" s="1661" t="str">
        <f>'Saisie données stocks'!H29</f>
        <v>300/200/600 mg</v>
      </c>
      <c r="G17" s="89" t="str">
        <f>'Saisie données stocks'!I29</f>
        <v>Tenofovir+ Emtricitabine+ Efavirenz</v>
      </c>
      <c r="H17" s="1867">
        <f>'Saisie données stocks'!L29</f>
        <v>30</v>
      </c>
      <c r="I17" s="3135">
        <v>0.44833333333333331</v>
      </c>
      <c r="J17" s="3112">
        <f t="shared" si="0"/>
        <v>13.45</v>
      </c>
      <c r="L17" s="3134"/>
    </row>
    <row r="18" spans="2:12" ht="26.25" thickBot="1" x14ac:dyDescent="0.25">
      <c r="B18" s="37"/>
      <c r="C18" s="98"/>
      <c r="D18" s="1660" t="str">
        <f>'Saisie données stocks'!F30</f>
        <v>TDF+FTC</v>
      </c>
      <c r="E18" s="1661" t="str">
        <f>'Saisie données stocks'!G30</f>
        <v>Cp</v>
      </c>
      <c r="F18" s="1661" t="str">
        <f>'Saisie données stocks'!H30</f>
        <v>300/200 mg</v>
      </c>
      <c r="G18" s="89" t="str">
        <f>'Saisie données stocks'!I30</f>
        <v>Tenofovir+ Emtricitabine</v>
      </c>
      <c r="H18" s="1867">
        <f>'Saisie données stocks'!L30</f>
        <v>30</v>
      </c>
      <c r="I18" s="3135">
        <v>0.54066666666666663</v>
      </c>
      <c r="J18" s="3112">
        <f t="shared" si="0"/>
        <v>16.22</v>
      </c>
      <c r="L18" s="3134"/>
    </row>
    <row r="19" spans="2:12" ht="39" thickBot="1" x14ac:dyDescent="0.25">
      <c r="B19" s="37"/>
      <c r="C19" s="123"/>
      <c r="D19" s="1660" t="str">
        <f>'Saisie données stocks'!F31</f>
        <v>TDF+3TC+EFV</v>
      </c>
      <c r="E19" s="1661" t="str">
        <f>'Saisie données stocks'!G31</f>
        <v>Cp</v>
      </c>
      <c r="F19" s="1661" t="str">
        <f>'Saisie données stocks'!H31</f>
        <v>300/200/600 mg</v>
      </c>
      <c r="G19" s="89" t="str">
        <f>'Saisie données stocks'!I31</f>
        <v>Tenofovir+ Lamivudine+ Efavirenz</v>
      </c>
      <c r="H19" s="1867">
        <f>'Saisie données stocks'!L31</f>
        <v>30</v>
      </c>
      <c r="I19" s="3135">
        <v>0.39966666666666667</v>
      </c>
      <c r="J19" s="3112">
        <f t="shared" si="0"/>
        <v>11.99</v>
      </c>
      <c r="L19" s="3134"/>
    </row>
    <row r="20" spans="2:12" ht="26.25" thickBot="1" x14ac:dyDescent="0.25">
      <c r="B20" s="37"/>
      <c r="C20" s="123"/>
      <c r="D20" s="1660" t="str">
        <f>'Saisie données stocks'!F32</f>
        <v>TDF+3TC</v>
      </c>
      <c r="E20" s="1661" t="str">
        <f>'Saisie données stocks'!G32</f>
        <v>Cp</v>
      </c>
      <c r="F20" s="1661" t="str">
        <f>'Saisie données stocks'!H32</f>
        <v>300/200 mg</v>
      </c>
      <c r="G20" s="89" t="str">
        <f>'Saisie données stocks'!I32</f>
        <v>Tenofovir+ Lamivudine</v>
      </c>
      <c r="H20" s="1867">
        <f>'Saisie données stocks'!L32</f>
        <v>30</v>
      </c>
      <c r="I20" s="3135">
        <v>0.16766666666666666</v>
      </c>
      <c r="J20" s="3112">
        <f t="shared" si="0"/>
        <v>5.0299999999999994</v>
      </c>
      <c r="L20" s="3134"/>
    </row>
    <row r="21" spans="2:12" ht="51.75" thickBot="1" x14ac:dyDescent="0.25">
      <c r="B21" s="100"/>
      <c r="C21" s="101"/>
      <c r="D21" s="1663" t="str">
        <f>'Saisie données stocks'!F33</f>
        <v>[TDF+3TC]+ATV/r</v>
      </c>
      <c r="E21" s="1664" t="str">
        <f>'Saisie données stocks'!G33</f>
        <v>Cp coblister</v>
      </c>
      <c r="F21" s="1664" t="str">
        <f>'Saisie données stocks'!H33</f>
        <v>[300/300]+300/100 mg</v>
      </c>
      <c r="G21" s="1640" t="str">
        <f>'Saisie données stocks'!I33</f>
        <v>[Tenofovir+ Lamivudine]+ Atazanavir/Ritonavir</v>
      </c>
      <c r="H21" s="1868">
        <f>'Saisie données stocks'!L33</f>
        <v>30</v>
      </c>
      <c r="I21" s="3135">
        <v>1</v>
      </c>
      <c r="J21" s="3113">
        <f t="shared" si="0"/>
        <v>30</v>
      </c>
      <c r="L21" s="3134"/>
    </row>
    <row r="22" spans="2:12" ht="13.5" thickBot="1" x14ac:dyDescent="0.25">
      <c r="B22" s="37"/>
      <c r="C22" s="98" t="str">
        <f>'Saisie données stocks'!$E$34</f>
        <v>INNTI</v>
      </c>
      <c r="D22" s="1658" t="str">
        <f>'Saisie données stocks'!F34</f>
        <v>EFV</v>
      </c>
      <c r="E22" s="1659" t="str">
        <f>'Saisie données stocks'!G34</f>
        <v>Gél</v>
      </c>
      <c r="F22" s="1659" t="str">
        <f>'Saisie données stocks'!H34</f>
        <v>50 mg</v>
      </c>
      <c r="G22" s="89" t="str">
        <f>'Saisie données stocks'!I34</f>
        <v>Efavirenz</v>
      </c>
      <c r="H22" s="308">
        <f>'Saisie données stocks'!L34</f>
        <v>30</v>
      </c>
      <c r="I22" s="3135">
        <v>4.9666666666666665E-2</v>
      </c>
      <c r="J22" s="3111">
        <f t="shared" si="0"/>
        <v>1.49</v>
      </c>
      <c r="L22" s="3134"/>
    </row>
    <row r="23" spans="2:12" ht="13.5" thickBot="1" x14ac:dyDescent="0.25">
      <c r="B23" s="37"/>
      <c r="C23" s="98"/>
      <c r="D23" s="1660" t="str">
        <f>'Saisie données stocks'!F35</f>
        <v>EFV</v>
      </c>
      <c r="E23" s="1661" t="str">
        <f>'Saisie données stocks'!G35</f>
        <v>Gél</v>
      </c>
      <c r="F23" s="1661" t="str">
        <f>'Saisie données stocks'!H35</f>
        <v>200 mg</v>
      </c>
      <c r="G23" s="89" t="str">
        <f>'Saisie données stocks'!I35</f>
        <v>Efavirenz</v>
      </c>
      <c r="H23" s="1867">
        <f>'Saisie données stocks'!L35</f>
        <v>90</v>
      </c>
      <c r="I23" s="3135">
        <v>8.2222222222222224E-2</v>
      </c>
      <c r="J23" s="3112">
        <f t="shared" si="0"/>
        <v>7.4</v>
      </c>
      <c r="L23" s="3134"/>
    </row>
    <row r="24" spans="2:12" ht="13.5" thickBot="1" x14ac:dyDescent="0.25">
      <c r="B24" s="37"/>
      <c r="C24" s="98"/>
      <c r="D24" s="1665" t="str">
        <f>'Saisie données stocks'!F36</f>
        <v>EFV</v>
      </c>
      <c r="E24" s="1666" t="str">
        <f>'Saisie données stocks'!G36</f>
        <v>Cp</v>
      </c>
      <c r="F24" s="1662" t="str">
        <f>'Saisie données stocks'!H36</f>
        <v>600 mg</v>
      </c>
      <c r="G24" s="89" t="str">
        <f>'Saisie données stocks'!I36</f>
        <v>Efavirenz</v>
      </c>
      <c r="H24" s="3110">
        <f>'Saisie données stocks'!L36</f>
        <v>30</v>
      </c>
      <c r="I24" s="3135">
        <v>0.21466666666666664</v>
      </c>
      <c r="J24" s="3114">
        <f t="shared" si="0"/>
        <v>6.4399999999999995</v>
      </c>
      <c r="L24" s="3134"/>
    </row>
    <row r="25" spans="2:12" ht="13.5" thickBot="1" x14ac:dyDescent="0.25">
      <c r="B25" s="37"/>
      <c r="C25" s="98"/>
      <c r="D25" s="1667" t="str">
        <f>'Saisie données stocks'!F37</f>
        <v>ETV</v>
      </c>
      <c r="E25" s="1668" t="str">
        <f>'Saisie données stocks'!G37</f>
        <v>Cp</v>
      </c>
      <c r="F25" s="1662" t="str">
        <f>'Saisie données stocks'!H37</f>
        <v>200 mg</v>
      </c>
      <c r="G25" s="89" t="str">
        <f>'Saisie données stocks'!I37</f>
        <v>Etravirine</v>
      </c>
      <c r="H25" s="3110">
        <f>'Saisie données stocks'!L37</f>
        <v>60</v>
      </c>
      <c r="I25" s="3135">
        <v>0.63933333333333331</v>
      </c>
      <c r="J25" s="3114">
        <f t="shared" si="0"/>
        <v>38.36</v>
      </c>
      <c r="L25" s="3134"/>
    </row>
    <row r="26" spans="2:12" ht="13.5" thickBot="1" x14ac:dyDescent="0.25">
      <c r="B26" s="37"/>
      <c r="C26" s="123"/>
      <c r="D26" s="1660" t="str">
        <f>'Saisie données stocks'!F38</f>
        <v>NVP</v>
      </c>
      <c r="E26" s="1661" t="str">
        <f>'Saisie données stocks'!G38</f>
        <v>Cp</v>
      </c>
      <c r="F26" s="1671" t="str">
        <f>'Saisie données stocks'!H38</f>
        <v>200 mg</v>
      </c>
      <c r="G26" s="377" t="str">
        <f>'Saisie données stocks'!I38</f>
        <v>Nevirapine</v>
      </c>
      <c r="H26" s="1867">
        <f>'Saisie données stocks'!L38</f>
        <v>60</v>
      </c>
      <c r="I26" s="3135">
        <v>4.5416666666666668E-2</v>
      </c>
      <c r="J26" s="3112">
        <f t="shared" si="0"/>
        <v>2.7250000000000001</v>
      </c>
      <c r="L26" s="3134"/>
    </row>
    <row r="27" spans="2:12" ht="13.5" thickBot="1" x14ac:dyDescent="0.25">
      <c r="B27" s="100"/>
      <c r="C27" s="101"/>
      <c r="D27" s="1663" t="str">
        <f>'Saisie données stocks'!F39</f>
        <v>RPV</v>
      </c>
      <c r="E27" s="1664" t="str">
        <f>'Saisie données stocks'!G39</f>
        <v>Cp</v>
      </c>
      <c r="F27" s="1664" t="str">
        <f>'Saisie données stocks'!H39</f>
        <v>25 mg</v>
      </c>
      <c r="G27" s="1640" t="str">
        <f>'Saisie données stocks'!I39</f>
        <v>Rilpivirine</v>
      </c>
      <c r="H27" s="1868">
        <f>'Saisie données stocks'!L39</f>
        <v>30</v>
      </c>
      <c r="I27" s="3135">
        <v>1</v>
      </c>
      <c r="J27" s="3113">
        <f t="shared" si="0"/>
        <v>30</v>
      </c>
      <c r="L27" s="3134"/>
    </row>
    <row r="28" spans="2:12" ht="13.5" thickBot="1" x14ac:dyDescent="0.25">
      <c r="B28" s="37"/>
      <c r="C28" s="123" t="str">
        <f>'Saisie données stocks'!$E$40</f>
        <v>INTI</v>
      </c>
      <c r="D28" s="1660" t="str">
        <f>'Saisie données stocks'!F40</f>
        <v>ABC</v>
      </c>
      <c r="E28" s="1661" t="str">
        <f>'Saisie données stocks'!G40</f>
        <v>Cp</v>
      </c>
      <c r="F28" s="1661" t="str">
        <f>'Saisie données stocks'!H40</f>
        <v>300 mg</v>
      </c>
      <c r="G28" s="89" t="str">
        <f>'Saisie données stocks'!I40</f>
        <v>Abacavir</v>
      </c>
      <c r="H28" s="1867">
        <f>'Saisie données stocks'!L40</f>
        <v>60</v>
      </c>
      <c r="I28" s="3135">
        <v>0.27908333333333335</v>
      </c>
      <c r="J28" s="3112">
        <f t="shared" si="0"/>
        <v>16.745000000000001</v>
      </c>
      <c r="L28" s="3134"/>
    </row>
    <row r="29" spans="2:12" ht="13.5" thickBot="1" x14ac:dyDescent="0.25">
      <c r="B29" s="37"/>
      <c r="C29" s="98"/>
      <c r="D29" s="1658" t="str">
        <f>'Saisie données stocks'!F41</f>
        <v>ABC</v>
      </c>
      <c r="E29" s="1659" t="str">
        <f>'Saisie données stocks'!G41</f>
        <v>Cp</v>
      </c>
      <c r="F29" s="1659" t="str">
        <f>'Saisie données stocks'!H41</f>
        <v>60 mg</v>
      </c>
      <c r="G29" s="89" t="str">
        <f>'Saisie données stocks'!I41</f>
        <v>Abacavir</v>
      </c>
      <c r="H29" s="308">
        <f>'Saisie données stocks'!L41</f>
        <v>60</v>
      </c>
      <c r="I29" s="3135">
        <v>8.7499999999999994E-2</v>
      </c>
      <c r="J29" s="3111">
        <f t="shared" si="0"/>
        <v>5.25</v>
      </c>
      <c r="L29" s="3134"/>
    </row>
    <row r="30" spans="2:12" ht="13.5" thickBot="1" x14ac:dyDescent="0.25">
      <c r="B30" s="37"/>
      <c r="C30" s="98"/>
      <c r="D30" s="1658" t="str">
        <f>'Saisie données stocks'!F42</f>
        <v>AZT</v>
      </c>
      <c r="E30" s="1659" t="str">
        <f>'Saisie données stocks'!G42</f>
        <v>Cp</v>
      </c>
      <c r="F30" s="1661" t="str">
        <f>'Saisie données stocks'!H42</f>
        <v>300 mg</v>
      </c>
      <c r="G30" s="89" t="str">
        <f>'Saisie données stocks'!I42</f>
        <v>Zidovudine</v>
      </c>
      <c r="H30" s="308">
        <f>'Saisie données stocks'!L42</f>
        <v>60</v>
      </c>
      <c r="I30" s="3135">
        <v>0.107</v>
      </c>
      <c r="J30" s="3111">
        <f t="shared" si="0"/>
        <v>6.42</v>
      </c>
      <c r="L30" s="3134"/>
    </row>
    <row r="31" spans="2:12" ht="13.5" thickBot="1" x14ac:dyDescent="0.25">
      <c r="B31" s="37"/>
      <c r="C31" s="98"/>
      <c r="D31" s="1658" t="str">
        <f>'Saisie données stocks'!F43</f>
        <v>AZT</v>
      </c>
      <c r="E31" s="1659" t="str">
        <f>'Saisie données stocks'!G43</f>
        <v>Cp</v>
      </c>
      <c r="F31" s="1662" t="str">
        <f>'Saisie données stocks'!H43</f>
        <v>100 mg</v>
      </c>
      <c r="G31" s="89" t="str">
        <f>'Saisie données stocks'!I43</f>
        <v>Zidovudine</v>
      </c>
      <c r="H31" s="308">
        <f>'Saisie données stocks'!L43</f>
        <v>100</v>
      </c>
      <c r="I31" s="3135">
        <v>4.5700000000000005E-2</v>
      </c>
      <c r="J31" s="3111">
        <f t="shared" si="0"/>
        <v>4.57</v>
      </c>
      <c r="L31" s="3134"/>
    </row>
    <row r="32" spans="2:12" ht="13.5" thickBot="1" x14ac:dyDescent="0.25">
      <c r="B32" s="37"/>
      <c r="C32" s="98"/>
      <c r="D32" s="1658" t="str">
        <f>'Saisie données stocks'!F44</f>
        <v>AZT</v>
      </c>
      <c r="E32" s="1659" t="str">
        <f>'Saisie données stocks'!G44</f>
        <v>Cp</v>
      </c>
      <c r="F32" s="1662" t="str">
        <f>'Saisie données stocks'!H44</f>
        <v>60 mg</v>
      </c>
      <c r="G32" s="89" t="str">
        <f>'Saisie données stocks'!I44</f>
        <v>Zidovudine</v>
      </c>
      <c r="H32" s="308">
        <f>'Saisie données stocks'!L44</f>
        <v>60</v>
      </c>
      <c r="I32" s="3135">
        <v>6.25E-2</v>
      </c>
      <c r="J32" s="3111">
        <f t="shared" si="0"/>
        <v>3.75</v>
      </c>
      <c r="L32" s="3134"/>
    </row>
    <row r="33" spans="2:12" ht="13.5" thickBot="1" x14ac:dyDescent="0.25">
      <c r="B33" s="37"/>
      <c r="C33" s="98"/>
      <c r="D33" s="1669" t="str">
        <f>'Saisie données stocks'!F45</f>
        <v>D4T</v>
      </c>
      <c r="E33" s="1670" t="str">
        <f>'Saisie données stocks'!G45</f>
        <v>Cp</v>
      </c>
      <c r="F33" s="1671" t="str">
        <f>'Saisie données stocks'!H45</f>
        <v>30 mg</v>
      </c>
      <c r="G33" s="377" t="str">
        <f>'Saisie données stocks'!I45</f>
        <v>Stavudine</v>
      </c>
      <c r="H33" s="308">
        <f>'Saisie données stocks'!L45</f>
        <v>60</v>
      </c>
      <c r="I33" s="3135">
        <v>2.6083333333333333E-2</v>
      </c>
      <c r="J33" s="3111">
        <f t="shared" si="0"/>
        <v>1.5649999999999999</v>
      </c>
      <c r="L33" s="3134"/>
    </row>
    <row r="34" spans="2:12" ht="13.5" thickBot="1" x14ac:dyDescent="0.25">
      <c r="B34" s="37"/>
      <c r="C34" s="98"/>
      <c r="D34" s="1658" t="str">
        <f>'Saisie données stocks'!F46</f>
        <v>3TC</v>
      </c>
      <c r="E34" s="1659" t="str">
        <f>'Saisie données stocks'!G46</f>
        <v>Cp</v>
      </c>
      <c r="F34" s="1661" t="str">
        <f>'Saisie données stocks'!H46</f>
        <v>150 mg</v>
      </c>
      <c r="G34" s="89" t="str">
        <f>'Saisie données stocks'!I46</f>
        <v>Lamivudine</v>
      </c>
      <c r="H34" s="308">
        <f>'Saisie données stocks'!L46</f>
        <v>60</v>
      </c>
      <c r="I34" s="3135">
        <v>3.7749999999999999E-2</v>
      </c>
      <c r="J34" s="3111">
        <f t="shared" si="0"/>
        <v>2.2650000000000001</v>
      </c>
      <c r="L34" s="3134"/>
    </row>
    <row r="35" spans="2:12" ht="13.5" thickBot="1" x14ac:dyDescent="0.25">
      <c r="B35" s="37"/>
      <c r="C35" s="98"/>
      <c r="D35" s="1658" t="str">
        <f>'Saisie données stocks'!F47</f>
        <v>3TC</v>
      </c>
      <c r="E35" s="1659" t="str">
        <f>'Saisie données stocks'!G47</f>
        <v>Cp</v>
      </c>
      <c r="F35" s="1662" t="str">
        <f>'Saisie données stocks'!H47</f>
        <v>30 mg</v>
      </c>
      <c r="G35" s="89" t="str">
        <f>'Saisie données stocks'!I47</f>
        <v>Lamivudine</v>
      </c>
      <c r="H35" s="308">
        <f>'Saisie données stocks'!L47</f>
        <v>60</v>
      </c>
      <c r="I35" s="3135">
        <v>5.8904109589041097E-2</v>
      </c>
      <c r="J35" s="3111">
        <f t="shared" si="0"/>
        <v>3.5342465753424657</v>
      </c>
      <c r="L35" s="3134"/>
    </row>
    <row r="36" spans="2:12" ht="13.5" thickBot="1" x14ac:dyDescent="0.25">
      <c r="B36" s="37"/>
      <c r="C36" s="98"/>
      <c r="D36" s="1660" t="str">
        <f>'Saisie données stocks'!F48</f>
        <v>DDI</v>
      </c>
      <c r="E36" s="1661" t="str">
        <f>'Saisie données stocks'!G48</f>
        <v>Cp</v>
      </c>
      <c r="F36" s="1661" t="str">
        <f>'Saisie données stocks'!H48</f>
        <v>250 mg</v>
      </c>
      <c r="G36" s="1207" t="str">
        <f>'Saisie données stocks'!I48</f>
        <v>Didanosine</v>
      </c>
      <c r="H36" s="1867">
        <f>'Saisie données stocks'!L48</f>
        <v>30</v>
      </c>
      <c r="I36" s="3135">
        <v>0.45233333333333337</v>
      </c>
      <c r="J36" s="3112">
        <f t="shared" si="0"/>
        <v>13.57</v>
      </c>
      <c r="L36" s="3134"/>
    </row>
    <row r="37" spans="2:12" ht="13.5" thickBot="1" x14ac:dyDescent="0.25">
      <c r="B37" s="37"/>
      <c r="C37" s="98"/>
      <c r="D37" s="1660" t="str">
        <f>'Saisie données stocks'!F49</f>
        <v>DDI</v>
      </c>
      <c r="E37" s="1661" t="str">
        <f>'Saisie données stocks'!G49</f>
        <v>Cp</v>
      </c>
      <c r="F37" s="1666" t="str">
        <f>'Saisie données stocks'!H49</f>
        <v>400 mg</v>
      </c>
      <c r="G37" s="1637" t="str">
        <f>'Saisie données stocks'!I49</f>
        <v>Didanosine</v>
      </c>
      <c r="H37" s="3110">
        <f>'Saisie données stocks'!L49</f>
        <v>30</v>
      </c>
      <c r="I37" s="3135">
        <v>0.69966666666666677</v>
      </c>
      <c r="J37" s="3114">
        <f t="shared" si="0"/>
        <v>20.990000000000002</v>
      </c>
      <c r="L37" s="3134"/>
    </row>
    <row r="38" spans="2:12" ht="13.5" thickBot="1" x14ac:dyDescent="0.25">
      <c r="B38" s="100"/>
      <c r="C38" s="101"/>
      <c r="D38" s="1663" t="str">
        <f>'Saisie données stocks'!F50</f>
        <v>TDF</v>
      </c>
      <c r="E38" s="1664" t="str">
        <f>'Saisie données stocks'!G50</f>
        <v>Cp</v>
      </c>
      <c r="F38" s="1664" t="str">
        <f>'Saisie données stocks'!H50</f>
        <v>300 mg</v>
      </c>
      <c r="G38" s="1643" t="str">
        <f>'Saisie données stocks'!I50</f>
        <v>Tenofovir</v>
      </c>
      <c r="H38" s="1868">
        <f>'Saisie données stocks'!L50</f>
        <v>30</v>
      </c>
      <c r="I38" s="3135">
        <v>0.35</v>
      </c>
      <c r="J38" s="3113">
        <f t="shared" si="0"/>
        <v>10.5</v>
      </c>
      <c r="L38" s="3134"/>
    </row>
    <row r="39" spans="2:12" ht="26.25" thickBot="1" x14ac:dyDescent="0.25">
      <c r="B39" s="37"/>
      <c r="C39" s="98" t="str">
        <f>'Saisie données stocks'!$E$51</f>
        <v>IP</v>
      </c>
      <c r="D39" s="1658" t="str">
        <f>'Saisie données stocks'!F51</f>
        <v>LPV/r</v>
      </c>
      <c r="E39" s="1659" t="str">
        <f>'Saisie données stocks'!G51</f>
        <v>Cp</v>
      </c>
      <c r="F39" s="1659" t="str">
        <f>'Saisie données stocks'!H51</f>
        <v>200/50 mg</v>
      </c>
      <c r="G39" s="89" t="str">
        <f>'Saisie données stocks'!I51</f>
        <v>Lopinavir/ Ritonavir</v>
      </c>
      <c r="H39" s="308">
        <f>'Saisie données stocks'!L51</f>
        <v>120</v>
      </c>
      <c r="I39" s="3135">
        <v>0.24704166666666666</v>
      </c>
      <c r="J39" s="3111">
        <f t="shared" si="0"/>
        <v>29.645</v>
      </c>
      <c r="L39" s="3134"/>
    </row>
    <row r="40" spans="2:12" ht="39" thickBot="1" x14ac:dyDescent="0.25">
      <c r="B40" s="37"/>
      <c r="C40" s="98"/>
      <c r="D40" s="1672" t="str">
        <f>'Saisie données stocks'!F52</f>
        <v>LPV/r</v>
      </c>
      <c r="E40" s="1673" t="str">
        <f>'Saisie données stocks'!G52</f>
        <v>Cp coblister</v>
      </c>
      <c r="F40" s="1673" t="str">
        <f>'Saisie données stocks'!H52</f>
        <v>100/25 mg</v>
      </c>
      <c r="G40" s="1210" t="str">
        <f>'Saisie données stocks'!I52</f>
        <v>Lopinavir/ Ritonavir</v>
      </c>
      <c r="H40" s="549">
        <f>'Saisie données stocks'!L52</f>
        <v>60</v>
      </c>
      <c r="I40" s="3135">
        <v>0.12008333333333333</v>
      </c>
      <c r="J40" s="3115">
        <f t="shared" si="0"/>
        <v>7.2050000000000001</v>
      </c>
      <c r="L40" s="3134"/>
    </row>
    <row r="41" spans="2:12" ht="26.25" thickBot="1" x14ac:dyDescent="0.25">
      <c r="B41" s="37"/>
      <c r="C41" s="92"/>
      <c r="D41" s="1660" t="str">
        <f>'Saisie données stocks'!F53</f>
        <v>ATV/r</v>
      </c>
      <c r="E41" s="1661" t="str">
        <f>'Saisie données stocks'!G53</f>
        <v>Cp</v>
      </c>
      <c r="F41" s="1666" t="str">
        <f>'Saisie données stocks'!H53</f>
        <v>300/100 mg</v>
      </c>
      <c r="G41" s="1637" t="str">
        <f>'Saisie données stocks'!I53</f>
        <v>Atazanavir/ Ritonavir</v>
      </c>
      <c r="H41" s="3110">
        <f>'Saisie données stocks'!L53</f>
        <v>30</v>
      </c>
      <c r="I41" s="3135">
        <v>0.75</v>
      </c>
      <c r="J41" s="3114">
        <f t="shared" si="0"/>
        <v>22.5</v>
      </c>
      <c r="L41" s="3134"/>
    </row>
    <row r="42" spans="2:12" ht="13.5" thickBot="1" x14ac:dyDescent="0.25">
      <c r="B42" s="37"/>
      <c r="C42" s="92"/>
      <c r="D42" s="1667" t="str">
        <f>'Saisie données stocks'!F54</f>
        <v>FPV</v>
      </c>
      <c r="E42" s="1668" t="str">
        <f>'Saisie données stocks'!G54</f>
        <v>Cp</v>
      </c>
      <c r="F42" s="1668" t="str">
        <f>'Saisie données stocks'!H54</f>
        <v>700 mg</v>
      </c>
      <c r="G42" s="1637" t="str">
        <f>'Saisie données stocks'!I54</f>
        <v>Fosamprenavir</v>
      </c>
      <c r="H42" s="3110">
        <f>'Saisie données stocks'!L54</f>
        <v>60</v>
      </c>
      <c r="I42" s="3135">
        <v>1.5493150684931507</v>
      </c>
      <c r="J42" s="3114">
        <f t="shared" si="0"/>
        <v>92.958904109589042</v>
      </c>
      <c r="L42" s="3134"/>
    </row>
    <row r="43" spans="2:12" ht="13.5" thickBot="1" x14ac:dyDescent="0.25">
      <c r="B43" s="37"/>
      <c r="C43" s="92"/>
      <c r="D43" s="1665" t="str">
        <f>'Saisie données stocks'!F55</f>
        <v>IDV</v>
      </c>
      <c r="E43" s="1666" t="str">
        <f>'Saisie données stocks'!G55</f>
        <v>Gel</v>
      </c>
      <c r="F43" s="1666" t="str">
        <f>'Saisie données stocks'!H55</f>
        <v>400 mg</v>
      </c>
      <c r="G43" s="1637" t="str">
        <f>'Saisie données stocks'!I55</f>
        <v>Indinavir</v>
      </c>
      <c r="H43" s="3110">
        <f>'Saisie données stocks'!L55</f>
        <v>180</v>
      </c>
      <c r="I43" s="3135">
        <v>0.27808219178082194</v>
      </c>
      <c r="J43" s="3114">
        <f t="shared" si="0"/>
        <v>50.054794520547951</v>
      </c>
      <c r="L43" s="3134"/>
    </row>
    <row r="44" spans="2:12" ht="13.5" thickBot="1" x14ac:dyDescent="0.25">
      <c r="B44" s="37"/>
      <c r="C44" s="92"/>
      <c r="D44" s="1665" t="str">
        <f>'Saisie données stocks'!F56</f>
        <v>DRV</v>
      </c>
      <c r="E44" s="1666" t="str">
        <f>'Saisie données stocks'!G56</f>
        <v>Cp</v>
      </c>
      <c r="F44" s="1679" t="str">
        <f>'Saisie données stocks'!H56</f>
        <v>300 mg</v>
      </c>
      <c r="G44" s="1637" t="str">
        <f>'Saisie données stocks'!I56</f>
        <v>Darunavir</v>
      </c>
      <c r="H44" s="3110">
        <f>'Saisie données stocks'!L56</f>
        <v>60</v>
      </c>
      <c r="I44" s="3135">
        <v>1.5506849315068494</v>
      </c>
      <c r="J44" s="3114">
        <f t="shared" si="0"/>
        <v>93.041095890410958</v>
      </c>
      <c r="L44" s="3134"/>
    </row>
    <row r="45" spans="2:12" ht="13.5" thickBot="1" x14ac:dyDescent="0.25">
      <c r="B45" s="37"/>
      <c r="C45" s="92"/>
      <c r="D45" s="1665" t="str">
        <f>'Saisie données stocks'!F57</f>
        <v>SQV</v>
      </c>
      <c r="E45" s="1666" t="str">
        <f>'Saisie données stocks'!G57</f>
        <v>Cp</v>
      </c>
      <c r="F45" s="1666" t="str">
        <f>'Saisie données stocks'!H57</f>
        <v>500 mg</v>
      </c>
      <c r="G45" s="1637" t="str">
        <f>'Saisie données stocks'!I57</f>
        <v>Saquinavir</v>
      </c>
      <c r="H45" s="3110">
        <f>'Saisie données stocks'!L57</f>
        <v>120</v>
      </c>
      <c r="I45" s="3135">
        <v>0.86301369863013699</v>
      </c>
      <c r="J45" s="3114">
        <f t="shared" si="0"/>
        <v>103.56164383561644</v>
      </c>
      <c r="L45" s="3134"/>
    </row>
    <row r="46" spans="2:12" ht="13.5" thickBot="1" x14ac:dyDescent="0.25">
      <c r="B46" s="100"/>
      <c r="C46" s="101"/>
      <c r="D46" s="1663" t="str">
        <f>'Saisie données stocks'!F58</f>
        <v>RTV</v>
      </c>
      <c r="E46" s="1664" t="str">
        <f>'Saisie données stocks'!G58</f>
        <v>Caps</v>
      </c>
      <c r="F46" s="1664" t="str">
        <f>'Saisie données stocks'!H58</f>
        <v>100 mg</v>
      </c>
      <c r="G46" s="1643" t="str">
        <f>'Saisie données stocks'!I58</f>
        <v>Ritonavir</v>
      </c>
      <c r="H46" s="1868">
        <f>'Saisie données stocks'!L58</f>
        <v>84</v>
      </c>
      <c r="I46" s="3135">
        <v>6.3690476190476186E-2</v>
      </c>
      <c r="J46" s="3113">
        <f t="shared" si="0"/>
        <v>5.35</v>
      </c>
      <c r="L46" s="3134"/>
    </row>
    <row r="47" spans="2:12" ht="13.5" thickBot="1" x14ac:dyDescent="0.25">
      <c r="B47" s="37"/>
      <c r="C47" s="101" t="str">
        <f>'Saisie données stocks'!$E$59</f>
        <v>Inh Integrase</v>
      </c>
      <c r="D47" s="1663" t="str">
        <f>'Saisie données stocks'!F59</f>
        <v>RLT = RAL</v>
      </c>
      <c r="E47" s="1664" t="str">
        <f>'Saisie données stocks'!G59</f>
        <v>Cp</v>
      </c>
      <c r="F47" s="1664" t="str">
        <f>'Saisie données stocks'!H59</f>
        <v>400 mg</v>
      </c>
      <c r="G47" s="1643" t="str">
        <f>'Saisie données stocks'!I59</f>
        <v>Raltegravir</v>
      </c>
      <c r="H47" s="1868">
        <f>'Saisie données stocks'!L59</f>
        <v>60</v>
      </c>
      <c r="I47" s="3135">
        <v>3.0506849315068494</v>
      </c>
      <c r="J47" s="3113">
        <f t="shared" si="0"/>
        <v>183.04109589041096</v>
      </c>
      <c r="L47" s="3134"/>
    </row>
    <row r="48" spans="2:12" ht="26.25" thickBot="1" x14ac:dyDescent="0.25">
      <c r="B48" s="2496" t="str">
        <f>'TRAD-Quanti et TdB Péremptions'!$B$37</f>
        <v>Forme</v>
      </c>
      <c r="C48" s="2497" t="str">
        <f>'TRAD-Quanti et TdB Péremptions'!$B$38</f>
        <v>Classe pharmaco</v>
      </c>
      <c r="D48" s="32" t="str">
        <f>'TRAD-Quanti et TdB Péremptions'!$B$39</f>
        <v>Composition</v>
      </c>
      <c r="E48" s="33" t="str">
        <f>'TRAD-Quanti et TdB Péremptions'!$B$40</f>
        <v>Forme galénique</v>
      </c>
      <c r="F48" s="33" t="str">
        <f>'TRAD-Quanti et TdB Péremptions'!$B$41</f>
        <v>Dosage</v>
      </c>
      <c r="G48" s="33" t="str">
        <f>'TRAD-Quanti et TdB Péremptions'!$B$42</f>
        <v>DCI</v>
      </c>
      <c r="H48" s="33" t="str">
        <f>'TRAD-Quanti et TdB Péremptions'!$B$43</f>
        <v>Conditionnement</v>
      </c>
      <c r="I48" s="3116"/>
      <c r="J48" s="33"/>
    </row>
    <row r="49" spans="2:12" ht="26.25" thickBot="1" x14ac:dyDescent="0.25">
      <c r="B49" s="3098" t="str">
        <f>'TRAD-Quanti et TdB Péremptions'!$B$56</f>
        <v>Solutions buvables</v>
      </c>
      <c r="C49" s="367" t="str">
        <f>'Saisie données stocks'!$E$61</f>
        <v>INTI</v>
      </c>
      <c r="D49" s="368" t="str">
        <f>'Saisie données stocks'!F61</f>
        <v>AZT</v>
      </c>
      <c r="E49" s="369" t="str">
        <f>'Saisie données stocks'!G61</f>
        <v>Sol buv</v>
      </c>
      <c r="F49" s="369" t="str">
        <f>'Saisie données stocks'!H61</f>
        <v>10 mg/mL</v>
      </c>
      <c r="G49" s="369" t="str">
        <f>'Saisie données stocks'!I61</f>
        <v>Zidovudine</v>
      </c>
      <c r="H49" s="3099">
        <f>'Saisie données stocks'!L61</f>
        <v>240</v>
      </c>
      <c r="I49" s="3117">
        <v>9.3749999999999997E-3</v>
      </c>
      <c r="J49" s="3103">
        <f t="shared" si="0"/>
        <v>2.25</v>
      </c>
      <c r="L49" s="3134"/>
    </row>
    <row r="50" spans="2:12" ht="13.5" thickBot="1" x14ac:dyDescent="0.25">
      <c r="B50" s="374"/>
      <c r="C50" s="375"/>
      <c r="D50" s="376" t="str">
        <f>'Saisie données stocks'!F62</f>
        <v>D4T</v>
      </c>
      <c r="E50" s="377" t="str">
        <f>'Saisie données stocks'!G62</f>
        <v>Sol buv</v>
      </c>
      <c r="F50" s="377" t="str">
        <f>'Saisie données stocks'!H62</f>
        <v>10 mg/mL</v>
      </c>
      <c r="G50" s="377" t="str">
        <f>'Saisie données stocks'!I62</f>
        <v>Stavudine</v>
      </c>
      <c r="H50" s="488">
        <f>'Saisie données stocks'!L62</f>
        <v>240</v>
      </c>
      <c r="I50" s="3117">
        <v>6.875E-3</v>
      </c>
      <c r="J50" s="3104">
        <f t="shared" si="0"/>
        <v>1.65</v>
      </c>
      <c r="L50" s="3134"/>
    </row>
    <row r="51" spans="2:12" ht="13.5" thickBot="1" x14ac:dyDescent="0.25">
      <c r="B51" s="374"/>
      <c r="C51" s="375"/>
      <c r="D51" s="1516" t="str">
        <f>'Saisie données stocks'!F63</f>
        <v>3TC</v>
      </c>
      <c r="E51" s="1208" t="str">
        <f>'Saisie données stocks'!G63</f>
        <v>Sol buv</v>
      </c>
      <c r="F51" s="1208" t="str">
        <f>'Saisie données stocks'!H63</f>
        <v>10 mg/mL</v>
      </c>
      <c r="G51" s="1208" t="str">
        <f>'Saisie données stocks'!I63</f>
        <v>Lamivudine</v>
      </c>
      <c r="H51" s="3100">
        <f>'Saisie données stocks'!L63</f>
        <v>240</v>
      </c>
      <c r="I51" s="3117">
        <v>9.0000000000000011E-3</v>
      </c>
      <c r="J51" s="3105">
        <f t="shared" si="0"/>
        <v>2.16</v>
      </c>
      <c r="L51" s="3134"/>
    </row>
    <row r="52" spans="2:12" ht="13.5" thickBot="1" x14ac:dyDescent="0.25">
      <c r="B52" s="374"/>
      <c r="C52" s="407"/>
      <c r="D52" s="376" t="str">
        <f>'Saisie données stocks'!F64</f>
        <v>ABC</v>
      </c>
      <c r="E52" s="377" t="str">
        <f>'Saisie données stocks'!G64</f>
        <v>Sol buv</v>
      </c>
      <c r="F52" s="377" t="str">
        <f>'Saisie données stocks'!H64</f>
        <v>20 mg/mL</v>
      </c>
      <c r="G52" s="377" t="str">
        <f>'Saisie données stocks'!I64</f>
        <v>Abacavir</v>
      </c>
      <c r="H52" s="488">
        <f>'Saisie données stocks'!L64</f>
        <v>240</v>
      </c>
      <c r="I52" s="3117">
        <v>4.0625000000000001E-2</v>
      </c>
      <c r="J52" s="3104">
        <f t="shared" si="0"/>
        <v>9.75</v>
      </c>
      <c r="L52" s="3134"/>
    </row>
    <row r="53" spans="2:12" ht="26.25" thickBot="1" x14ac:dyDescent="0.25">
      <c r="B53" s="374"/>
      <c r="C53" s="389"/>
      <c r="D53" s="1518" t="str">
        <f>'Saisie données stocks'!F65</f>
        <v>DDI</v>
      </c>
      <c r="E53" s="1519" t="str">
        <f>'Saisie données stocks'!G65</f>
        <v>Poudre buvable</v>
      </c>
      <c r="F53" s="1519" t="str">
        <f>'Saisie données stocks'!H65</f>
        <v>2 g</v>
      </c>
      <c r="G53" s="1519" t="str">
        <f>'Saisie données stocks'!I65</f>
        <v>Didanosine</v>
      </c>
      <c r="H53" s="3101">
        <f>'Saisie données stocks'!L65</f>
        <v>200</v>
      </c>
      <c r="I53" s="3117">
        <v>0.10684931506849316</v>
      </c>
      <c r="J53" s="3106">
        <f t="shared" si="0"/>
        <v>21.36986301369863</v>
      </c>
      <c r="L53" s="3134"/>
    </row>
    <row r="54" spans="2:12" ht="13.5" thickBot="1" x14ac:dyDescent="0.25">
      <c r="B54" s="374"/>
      <c r="C54" s="375" t="str">
        <f>'Saisie données stocks'!$E$66</f>
        <v>INNTI</v>
      </c>
      <c r="D54" s="376" t="str">
        <f>'Saisie données stocks'!F66</f>
        <v>NVP</v>
      </c>
      <c r="E54" s="377" t="str">
        <f>'Saisie données stocks'!G66</f>
        <v>Sol buv</v>
      </c>
      <c r="F54" s="377" t="str">
        <f>'Saisie données stocks'!H66</f>
        <v>10 mg/mL</v>
      </c>
      <c r="G54" s="377" t="str">
        <f>'Saisie données stocks'!I66</f>
        <v>Nevirapine</v>
      </c>
      <c r="H54" s="488">
        <f>'Saisie données stocks'!L66</f>
        <v>240</v>
      </c>
      <c r="I54" s="3117">
        <v>8.1250000000000003E-3</v>
      </c>
      <c r="J54" s="3104">
        <f t="shared" si="0"/>
        <v>1.9500000000000002</v>
      </c>
      <c r="L54" s="3134"/>
    </row>
    <row r="55" spans="2:12" ht="13.5" thickBot="1" x14ac:dyDescent="0.25">
      <c r="B55" s="374"/>
      <c r="C55" s="389"/>
      <c r="D55" s="1518" t="str">
        <f>'Saisie données stocks'!F67</f>
        <v>EFV</v>
      </c>
      <c r="E55" s="1519" t="str">
        <f>'Saisie données stocks'!G67</f>
        <v>Sol buv</v>
      </c>
      <c r="F55" s="1519" t="str">
        <f>'Saisie données stocks'!H67</f>
        <v>30 mg/mL</v>
      </c>
      <c r="G55" s="1519" t="str">
        <f>'Saisie données stocks'!I67</f>
        <v>Efavirenz</v>
      </c>
      <c r="H55" s="3101">
        <f>'Saisie données stocks'!L67</f>
        <v>180</v>
      </c>
      <c r="I55" s="3117">
        <v>9.4415173867228669E-2</v>
      </c>
      <c r="J55" s="3106">
        <f t="shared" si="0"/>
        <v>16.994731296101161</v>
      </c>
      <c r="L55" s="3134"/>
    </row>
    <row r="56" spans="2:12" ht="26.25" thickBot="1" x14ac:dyDescent="0.25">
      <c r="B56" s="404"/>
      <c r="C56" s="408" t="str">
        <f>'Saisie données stocks'!$E$68</f>
        <v>IP</v>
      </c>
      <c r="D56" s="409" t="str">
        <f>'Saisie données stocks'!F68</f>
        <v>LPV/r</v>
      </c>
      <c r="E56" s="410" t="str">
        <f>'Saisie données stocks'!G68</f>
        <v>Sol buv</v>
      </c>
      <c r="F56" s="410" t="str">
        <f>'Saisie données stocks'!H68</f>
        <v>80/20 mg/mL</v>
      </c>
      <c r="G56" s="410" t="str">
        <f>'Saisie données stocks'!I68</f>
        <v>Lopinavir/Ritonavir</v>
      </c>
      <c r="H56" s="3102">
        <f>'Saisie données stocks'!L68</f>
        <v>60</v>
      </c>
      <c r="I56" s="3117">
        <v>0.10273333333333333</v>
      </c>
      <c r="J56" s="3107">
        <f t="shared" si="0"/>
        <v>6.1639999999999997</v>
      </c>
      <c r="L56" s="3134"/>
    </row>
  </sheetData>
  <sheetProtection password="D0E7" sheet="1" objects="1" scenario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dimension ref="B1:U77"/>
  <sheetViews>
    <sheetView workbookViewId="0">
      <selection activeCell="B3" sqref="B3"/>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21" s="2586" customFormat="1" x14ac:dyDescent="0.2">
      <c r="B1" s="2586" t="s">
        <v>865</v>
      </c>
      <c r="D1" s="2586" t="s">
        <v>866</v>
      </c>
      <c r="F1" s="2586" t="s">
        <v>867</v>
      </c>
    </row>
    <row r="2" spans="2:21" s="2586" customFormat="1" x14ac:dyDescent="0.2">
      <c r="B2" s="2586" t="str">
        <f>IF(Présentation!$E$2="Français",'TRAD-Prix'!D2,IF(Présentation!$E$2="Anglais",'TRAD-Prix'!F2,""))</f>
        <v>Prix d'une source spécifique</v>
      </c>
      <c r="D2" s="2558" t="s">
        <v>1984</v>
      </c>
    </row>
    <row r="3" spans="2:21" s="2586" customFormat="1" ht="38.25" x14ac:dyDescent="0.2">
      <c r="B3" s="2586" t="str">
        <f>IF(Présentation!$E$2="Français",'TRAD-Prix'!D3,IF(Présentation!$E$2="Anglais",'TRAD-Prix'!F3,""))</f>
        <v>Préciser ici le nom de la source que vous souhaitez faire apparaître dans le document</v>
      </c>
      <c r="D3" s="2558" t="s">
        <v>1985</v>
      </c>
    </row>
    <row r="4" spans="2:21" s="2586" customFormat="1" x14ac:dyDescent="0.2">
      <c r="B4" s="2586" t="str">
        <f>IF(Présentation!$E$2="Français",'TRAD-Prix'!D4,IF(Présentation!$E$2="Anglais",'TRAD-Prix'!F4,""))</f>
        <v>Prix par unité (cp, gél., mL) - $</v>
      </c>
      <c r="D4" s="2558" t="s">
        <v>1986</v>
      </c>
    </row>
    <row r="5" spans="2:21" x14ac:dyDescent="0.2">
      <c r="B5" s="2586" t="str">
        <f>IF(Présentation!$E$2="Français",'TRAD-Prix'!D5,IF(Présentation!$E$2="Anglais",'TRAD-Prix'!F5,""))</f>
        <v>Prix par conditionnement - $</v>
      </c>
      <c r="D5" s="2563" t="s">
        <v>1987</v>
      </c>
      <c r="E5" s="2562"/>
      <c r="F5" s="2562"/>
      <c r="G5" s="2562"/>
      <c r="H5" s="2562"/>
      <c r="I5" s="2553"/>
      <c r="J5" s="2553"/>
      <c r="K5" s="2553"/>
      <c r="L5" s="2553"/>
      <c r="M5" s="2553"/>
      <c r="N5" s="2553"/>
      <c r="O5" s="2553"/>
      <c r="P5" s="2553"/>
      <c r="Q5" s="2553"/>
      <c r="R5" s="2553"/>
      <c r="S5" s="2553"/>
      <c r="T5" s="2553"/>
      <c r="U5" s="2553"/>
    </row>
    <row r="6" spans="2:21" x14ac:dyDescent="0.2">
      <c r="B6" s="2586">
        <f>IF(Présentation!$E$2="Français",'TRAD-Prix'!D6,IF(Présentation!$E$2="Anglais",'TRAD-Prix'!F6,""))</f>
        <v>0</v>
      </c>
      <c r="D6" s="2562"/>
      <c r="F6" s="2553"/>
      <c r="G6" s="2553"/>
      <c r="H6" s="2553"/>
      <c r="I6" s="2553"/>
      <c r="J6" s="2553"/>
      <c r="K6" s="2553"/>
      <c r="L6" s="2553"/>
      <c r="M6" s="2553"/>
      <c r="N6" s="2553"/>
      <c r="O6" s="2553"/>
      <c r="P6" s="2553"/>
      <c r="Q6" s="2553"/>
      <c r="R6" s="2553"/>
      <c r="S6" s="2553"/>
      <c r="T6" s="2553"/>
      <c r="U6" s="2553"/>
    </row>
    <row r="7" spans="2:21" x14ac:dyDescent="0.2">
      <c r="B7" s="2586">
        <f>IF(Présentation!$E$2="Français",'TRAD-Prix'!D7,IF(Présentation!$E$2="Anglais",'TRAD-Prix'!F7,""))</f>
        <v>0</v>
      </c>
      <c r="D7" s="2562"/>
      <c r="F7" s="2563"/>
      <c r="G7" s="2562"/>
      <c r="H7" s="2562"/>
      <c r="I7" s="2553"/>
      <c r="J7" s="2553"/>
      <c r="K7" s="2553"/>
      <c r="L7" s="2553"/>
      <c r="M7" s="2553"/>
      <c r="N7" s="2553"/>
      <c r="O7" s="2553"/>
      <c r="P7" s="2553"/>
      <c r="Q7" s="2553"/>
      <c r="R7" s="2553"/>
      <c r="S7" s="2553"/>
      <c r="T7" s="2553"/>
      <c r="U7" s="2553"/>
    </row>
    <row r="8" spans="2:21" x14ac:dyDescent="0.2">
      <c r="B8" s="2586">
        <f>IF(Présentation!$E$2="Français",'TRAD-Prix'!D8,IF(Présentation!$E$2="Anglais",'TRAD-Prix'!F8,""))</f>
        <v>0</v>
      </c>
      <c r="D8" s="2553"/>
      <c r="F8" s="2562"/>
      <c r="G8" s="2562"/>
      <c r="H8" s="2562"/>
      <c r="I8" s="2553"/>
      <c r="J8" s="2553"/>
      <c r="K8" s="2553"/>
      <c r="L8" s="2553"/>
      <c r="M8" s="2553"/>
      <c r="N8" s="2553"/>
      <c r="O8" s="2553"/>
      <c r="P8" s="2553"/>
      <c r="Q8" s="2553"/>
      <c r="R8" s="2553"/>
      <c r="S8" s="2553"/>
      <c r="T8" s="2553"/>
      <c r="U8" s="2553"/>
    </row>
    <row r="9" spans="2:21" x14ac:dyDescent="0.2">
      <c r="B9" s="2586">
        <f>IF(Présentation!$E$2="Français",'TRAD-Prix'!D9,IF(Présentation!$E$2="Anglais",'TRAD-Prix'!F9,""))</f>
        <v>0</v>
      </c>
      <c r="D9" s="2553"/>
      <c r="F9" s="2553"/>
      <c r="G9" s="2562"/>
      <c r="H9" s="2562"/>
      <c r="I9" s="2553"/>
      <c r="J9" s="2553"/>
      <c r="K9" s="2553"/>
      <c r="L9" s="2553"/>
      <c r="M9" s="2553"/>
      <c r="N9" s="2553"/>
      <c r="O9" s="2553"/>
      <c r="P9" s="2553"/>
      <c r="Q9" s="2553"/>
      <c r="R9" s="2553"/>
      <c r="S9" s="2553"/>
      <c r="T9" s="2553"/>
      <c r="U9" s="2553"/>
    </row>
    <row r="10" spans="2:21" x14ac:dyDescent="0.2">
      <c r="B10" s="2586">
        <f>IF(Présentation!$E$2="Français",'TRAD-Prix'!D10,IF(Présentation!$E$2="Anglais",'TRAD-Prix'!F10,""))</f>
        <v>0</v>
      </c>
      <c r="D10" s="2553"/>
      <c r="F10" s="2562"/>
      <c r="G10" s="2562"/>
      <c r="H10" s="2562"/>
      <c r="I10" s="2553"/>
      <c r="J10" s="2553"/>
      <c r="K10" s="2553"/>
      <c r="L10" s="2553"/>
      <c r="M10" s="2553"/>
      <c r="N10" s="2553"/>
      <c r="O10" s="2553"/>
      <c r="P10" s="2553"/>
      <c r="Q10" s="2553"/>
      <c r="R10" s="2553"/>
      <c r="S10" s="2553"/>
      <c r="T10" s="2553"/>
      <c r="U10" s="2553"/>
    </row>
    <row r="11" spans="2:21" x14ac:dyDescent="0.2">
      <c r="B11" s="2586">
        <f>IF(Présentation!$E$2="Français",'TRAD-Prix'!D11,IF(Présentation!$E$2="Anglais",'TRAD-Prix'!F11,""))</f>
        <v>0</v>
      </c>
      <c r="D11" s="2553"/>
      <c r="F11" s="2553"/>
      <c r="G11" s="2553"/>
      <c r="H11" s="2553"/>
      <c r="I11" s="2553"/>
      <c r="J11" s="2553"/>
      <c r="K11" s="2553"/>
      <c r="L11" s="2553"/>
      <c r="M11" s="2553"/>
      <c r="N11" s="2553"/>
      <c r="O11" s="2553"/>
      <c r="P11" s="2553"/>
      <c r="Q11" s="2553"/>
      <c r="R11" s="2553"/>
      <c r="S11" s="2553"/>
      <c r="T11" s="2553"/>
      <c r="U11" s="2553"/>
    </row>
    <row r="12" spans="2:21" x14ac:dyDescent="0.2">
      <c r="B12" s="2586">
        <f>IF(Présentation!$E$2="Français",'TRAD-Prix'!D12,IF(Présentation!$E$2="Anglais",'TRAD-Prix'!F12,""))</f>
        <v>0</v>
      </c>
      <c r="D12" s="2553"/>
      <c r="F12" s="2553"/>
      <c r="G12" s="2553"/>
      <c r="H12" s="2553"/>
      <c r="I12" s="2553"/>
      <c r="J12" s="2553"/>
      <c r="K12" s="2553"/>
      <c r="L12" s="2553"/>
      <c r="M12" s="2553"/>
      <c r="N12" s="2553"/>
      <c r="O12" s="2553"/>
      <c r="P12" s="2553"/>
      <c r="Q12" s="2553"/>
      <c r="R12" s="2553"/>
      <c r="S12" s="2553"/>
      <c r="T12" s="2553"/>
      <c r="U12" s="2553"/>
    </row>
    <row r="13" spans="2:21" x14ac:dyDescent="0.2">
      <c r="B13" s="2586">
        <f>IF(Présentation!$E$2="Français",'TRAD-Prix'!D13,IF(Présentation!$E$2="Anglais",'TRAD-Prix'!F13,""))</f>
        <v>0</v>
      </c>
      <c r="D13" s="2553"/>
      <c r="F13" s="2553"/>
      <c r="G13" s="2553"/>
      <c r="H13" s="2553"/>
      <c r="I13" s="2553"/>
      <c r="J13" s="2553"/>
      <c r="K13" s="2553"/>
      <c r="L13" s="2553"/>
      <c r="M13" s="2553"/>
      <c r="N13" s="2553"/>
      <c r="O13" s="2553"/>
      <c r="P13" s="2553"/>
      <c r="Q13" s="2553"/>
      <c r="R13" s="2553"/>
      <c r="S13" s="2553"/>
      <c r="T13" s="2553"/>
      <c r="U13" s="2553"/>
    </row>
    <row r="14" spans="2:21" x14ac:dyDescent="0.2">
      <c r="B14" s="2586">
        <f>IF(Présentation!$E$2="Français",'TRAD-Prix'!D14,IF(Présentation!$E$2="Anglais",'TRAD-Prix'!F14,""))</f>
        <v>0</v>
      </c>
      <c r="D14" s="2553"/>
      <c r="F14" s="2553"/>
      <c r="G14" s="2553"/>
      <c r="H14" s="2553"/>
      <c r="I14" s="2553"/>
      <c r="J14" s="2553"/>
      <c r="K14" s="2553"/>
      <c r="L14" s="2553"/>
      <c r="M14" s="2553"/>
      <c r="N14" s="2553"/>
      <c r="O14" s="2553"/>
      <c r="P14" s="2553"/>
      <c r="Q14" s="2553"/>
      <c r="R14" s="2553"/>
      <c r="S14" s="2553"/>
      <c r="T14" s="2553"/>
      <c r="U14" s="2553"/>
    </row>
    <row r="15" spans="2:21" x14ac:dyDescent="0.2">
      <c r="B15" s="2586">
        <f>IF(Présentation!$E$2="Français",'TRAD-Prix'!D15,IF(Présentation!$E$2="Anglais",'TRAD-Prix'!F15,""))</f>
        <v>0</v>
      </c>
      <c r="D15" s="2562"/>
      <c r="F15" s="2553"/>
      <c r="G15" s="2553"/>
      <c r="H15" s="2553"/>
      <c r="I15" s="2553"/>
      <c r="J15" s="2553"/>
      <c r="K15" s="2562"/>
      <c r="L15" s="2553"/>
      <c r="M15" s="2553"/>
      <c r="N15" s="2553"/>
      <c r="O15" s="2553"/>
      <c r="P15" s="2553"/>
      <c r="Q15" s="2553"/>
      <c r="R15" s="2553"/>
      <c r="S15" s="2553"/>
      <c r="T15" s="2553"/>
      <c r="U15" s="2553"/>
    </row>
    <row r="16" spans="2:21" x14ac:dyDescent="0.2">
      <c r="B16" s="2586">
        <f>IF(Présentation!$E$2="Français",'TRAD-Prix'!D16,IF(Présentation!$E$2="Anglais",'TRAD-Prix'!F16,""))</f>
        <v>0</v>
      </c>
      <c r="D16" s="2562"/>
      <c r="F16" s="2553"/>
      <c r="G16" s="2553"/>
      <c r="H16" s="2553"/>
      <c r="I16" s="2553"/>
      <c r="J16" s="2553"/>
      <c r="K16" s="2553"/>
      <c r="L16" s="2553"/>
      <c r="M16" s="2553"/>
      <c r="N16" s="2553"/>
      <c r="O16" s="2553"/>
      <c r="P16" s="2553"/>
      <c r="Q16" s="2553"/>
      <c r="R16" s="2553"/>
      <c r="S16" s="2553"/>
      <c r="T16" s="2553"/>
      <c r="U16" s="2553"/>
    </row>
    <row r="17" spans="2:21" x14ac:dyDescent="0.2">
      <c r="B17" s="2586">
        <f>IF(Présentation!$E$2="Français",'TRAD-Prix'!D17,IF(Présentation!$E$2="Anglais",'TRAD-Prix'!F17,""))</f>
        <v>0</v>
      </c>
      <c r="D17" s="2562"/>
      <c r="F17" s="2553"/>
      <c r="G17" s="2553"/>
      <c r="H17" s="2553"/>
      <c r="I17" s="2553"/>
      <c r="J17" s="2553"/>
      <c r="K17" s="2553"/>
      <c r="L17" s="2553"/>
      <c r="M17" s="2553"/>
      <c r="N17" s="2553"/>
      <c r="O17" s="2553"/>
      <c r="P17" s="2553"/>
      <c r="Q17" s="2553"/>
      <c r="R17" s="2553"/>
      <c r="S17" s="2553"/>
      <c r="T17" s="2553"/>
      <c r="U17" s="2553"/>
    </row>
    <row r="18" spans="2:21" x14ac:dyDescent="0.2">
      <c r="B18" s="2586">
        <f>IF(Présentation!$E$2="Français",'TRAD-Prix'!D18,IF(Présentation!$E$2="Anglais",'TRAD-Prix'!F18,""))</f>
        <v>0</v>
      </c>
      <c r="D18" s="2562"/>
      <c r="F18" s="2553"/>
      <c r="G18" s="2553"/>
      <c r="H18" s="2553"/>
      <c r="I18" s="2553"/>
      <c r="J18" s="2553"/>
      <c r="K18" s="2553"/>
      <c r="L18" s="2553"/>
      <c r="M18" s="2553"/>
      <c r="N18" s="2553"/>
      <c r="O18" s="2553"/>
      <c r="P18" s="2553"/>
      <c r="Q18" s="2553"/>
      <c r="R18" s="2553"/>
      <c r="S18" s="2553"/>
      <c r="T18" s="2553"/>
      <c r="U18" s="2553"/>
    </row>
    <row r="19" spans="2:21" x14ac:dyDescent="0.2">
      <c r="B19" s="2586">
        <f>IF(Présentation!$E$2="Français",'TRAD-Prix'!D19,IF(Présentation!$E$2="Anglais",'TRAD-Prix'!F19,""))</f>
        <v>0</v>
      </c>
      <c r="D19" s="2562"/>
      <c r="F19" s="2553"/>
      <c r="G19" s="2553"/>
      <c r="H19" s="2553"/>
      <c r="I19" s="2553"/>
      <c r="J19" s="2553"/>
      <c r="K19" s="2553"/>
      <c r="L19" s="2553"/>
      <c r="M19" s="2553"/>
      <c r="N19" s="2553"/>
      <c r="O19" s="2553"/>
      <c r="P19" s="2553"/>
      <c r="Q19" s="2553"/>
      <c r="R19" s="2553"/>
      <c r="S19" s="2553"/>
      <c r="T19" s="2553"/>
      <c r="U19" s="2553"/>
    </row>
    <row r="20" spans="2:21" x14ac:dyDescent="0.2">
      <c r="B20" s="2586">
        <f>IF(Présentation!$E$2="Français",'TRAD-Prix'!D20,IF(Présentation!$E$2="Anglais",'TRAD-Prix'!F20,""))</f>
        <v>0</v>
      </c>
      <c r="D20" s="2562"/>
      <c r="F20" s="2553"/>
      <c r="G20" s="2553"/>
      <c r="H20" s="2553"/>
      <c r="I20" s="2553"/>
      <c r="J20" s="2553"/>
      <c r="K20" s="2553"/>
      <c r="L20" s="2553"/>
      <c r="M20" s="2553"/>
      <c r="N20" s="2553"/>
      <c r="O20" s="2553"/>
      <c r="P20" s="2553"/>
      <c r="Q20" s="2553"/>
      <c r="R20" s="2553"/>
      <c r="S20" s="2553"/>
      <c r="T20" s="2553"/>
      <c r="U20" s="2553"/>
    </row>
    <row r="21" spans="2:21" x14ac:dyDescent="0.2">
      <c r="B21" s="2586">
        <f>IF(Présentation!$E$2="Français",'TRAD-Prix'!D21,IF(Présentation!$E$2="Anglais",'TRAD-Prix'!F21,""))</f>
        <v>0</v>
      </c>
      <c r="D21" s="2562"/>
      <c r="F21" s="2553"/>
      <c r="G21" s="2553"/>
      <c r="H21" s="2553"/>
      <c r="I21" s="2553"/>
      <c r="J21" s="2553"/>
      <c r="K21" s="2553"/>
      <c r="L21" s="2553"/>
      <c r="M21" s="2553"/>
      <c r="N21" s="2553"/>
      <c r="O21" s="2553"/>
      <c r="P21" s="2553"/>
      <c r="Q21" s="2553"/>
      <c r="R21" s="2553"/>
      <c r="S21" s="2553"/>
      <c r="T21" s="2553"/>
      <c r="U21" s="2553"/>
    </row>
    <row r="22" spans="2:21" x14ac:dyDescent="0.2">
      <c r="B22" s="2586">
        <f>IF(Présentation!$E$2="Français",'TRAD-Prix'!D22,IF(Présentation!$E$2="Anglais",'TRAD-Prix'!F22,""))</f>
        <v>0</v>
      </c>
      <c r="D22" s="2553"/>
      <c r="F22" s="2553"/>
      <c r="G22" s="2553"/>
      <c r="H22" s="2553"/>
      <c r="I22" s="2553"/>
      <c r="J22" s="2553"/>
      <c r="K22" s="2553"/>
      <c r="L22" s="2553"/>
      <c r="M22" s="2553"/>
      <c r="N22" s="2553"/>
      <c r="O22" s="2553"/>
      <c r="P22" s="2553"/>
      <c r="Q22" s="2553"/>
      <c r="R22" s="2553"/>
      <c r="S22" s="2553"/>
      <c r="T22" s="2553"/>
      <c r="U22" s="2553"/>
    </row>
    <row r="23" spans="2:21" x14ac:dyDescent="0.2">
      <c r="B23" s="2586">
        <f>IF(Présentation!$E$2="Français",'TRAD-Prix'!D23,IF(Présentation!$E$2="Anglais",'TRAD-Prix'!F23,""))</f>
        <v>0</v>
      </c>
      <c r="D23" s="2562"/>
      <c r="F23" s="2562"/>
      <c r="G23" s="2562"/>
      <c r="H23" s="2562"/>
      <c r="I23" s="2562"/>
      <c r="J23" s="2562"/>
      <c r="K23" s="2562"/>
      <c r="L23" s="2562"/>
      <c r="M23" s="2562"/>
      <c r="N23" s="2562"/>
      <c r="O23" s="2562"/>
      <c r="P23" s="2562"/>
      <c r="Q23" s="2562"/>
      <c r="R23" s="2562"/>
      <c r="S23" s="2553"/>
      <c r="T23" s="2553"/>
      <c r="U23" s="2553"/>
    </row>
    <row r="24" spans="2:21" x14ac:dyDescent="0.2">
      <c r="B24" s="2586">
        <f>IF(Présentation!$E$2="Français",'TRAD-Prix'!D24,IF(Présentation!$E$2="Anglais",'TRAD-Prix'!F24,""))</f>
        <v>0</v>
      </c>
      <c r="D24" s="2562"/>
      <c r="F24" s="2553"/>
      <c r="G24" s="2553"/>
      <c r="H24" s="2553"/>
      <c r="I24" s="2553"/>
      <c r="J24" s="2553"/>
      <c r="K24" s="2553"/>
      <c r="L24" s="2553"/>
      <c r="M24" s="2553"/>
      <c r="N24" s="2553"/>
      <c r="O24" s="2553"/>
      <c r="P24" s="2553"/>
      <c r="Q24" s="2553"/>
      <c r="R24" s="2553"/>
      <c r="S24" s="2553"/>
      <c r="T24" s="2553"/>
      <c r="U24" s="2553"/>
    </row>
    <row r="25" spans="2:21" x14ac:dyDescent="0.2">
      <c r="B25" s="2586">
        <f>IF(Présentation!$E$2="Français",'TRAD-Prix'!D25,IF(Présentation!$E$2="Anglais",'TRAD-Prix'!F25,""))</f>
        <v>0</v>
      </c>
      <c r="D25" s="2562"/>
      <c r="F25" s="2553"/>
      <c r="G25" s="2553"/>
      <c r="H25" s="2553"/>
      <c r="I25" s="2553"/>
      <c r="J25" s="2553"/>
      <c r="K25" s="2553"/>
      <c r="L25" s="2553"/>
      <c r="M25" s="2553"/>
      <c r="N25" s="2553"/>
      <c r="O25" s="2553"/>
      <c r="P25" s="2553"/>
      <c r="Q25" s="2553"/>
      <c r="R25" s="2553"/>
      <c r="S25" s="2553"/>
      <c r="T25" s="2553"/>
      <c r="U25" s="2553"/>
    </row>
    <row r="26" spans="2:21" x14ac:dyDescent="0.2">
      <c r="B26" s="2586">
        <f>IF(Présentation!$E$2="Français",'TRAD-Prix'!D26,IF(Présentation!$E$2="Anglais",'TRAD-Prix'!F26,""))</f>
        <v>0</v>
      </c>
      <c r="D26" s="2562"/>
      <c r="F26" s="2553"/>
      <c r="G26" s="2553"/>
      <c r="H26" s="2553"/>
      <c r="I26" s="2553"/>
      <c r="J26" s="2553"/>
      <c r="K26" s="2553"/>
      <c r="L26" s="2553"/>
      <c r="M26" s="2553"/>
      <c r="N26" s="2553"/>
      <c r="O26" s="2553"/>
      <c r="P26" s="2553"/>
      <c r="Q26" s="2553"/>
      <c r="R26" s="2553"/>
      <c r="S26" s="2553"/>
      <c r="T26" s="2553"/>
      <c r="U26" s="2553"/>
    </row>
    <row r="27" spans="2:21" x14ac:dyDescent="0.2">
      <c r="B27" s="2586">
        <f>IF(Présentation!$E$2="Français",'TRAD-Prix'!D27,IF(Présentation!$E$2="Anglais",'TRAD-Prix'!F27,""))</f>
        <v>0</v>
      </c>
      <c r="D27" s="2562"/>
      <c r="F27" s="2553"/>
      <c r="G27" s="2553"/>
      <c r="H27" s="2553"/>
      <c r="I27" s="2553"/>
      <c r="J27" s="2553"/>
      <c r="K27" s="2553"/>
      <c r="L27" s="2553"/>
      <c r="M27" s="2553"/>
      <c r="N27" s="2553"/>
      <c r="O27" s="2553"/>
      <c r="P27" s="2553"/>
      <c r="Q27" s="2553"/>
      <c r="R27" s="2553"/>
      <c r="S27" s="2553"/>
      <c r="T27" s="2553"/>
      <c r="U27" s="2553"/>
    </row>
    <row r="28" spans="2:21" x14ac:dyDescent="0.2">
      <c r="B28" s="2586">
        <f>IF(Présentation!$E$2="Français",'TRAD-Prix'!D28,IF(Présentation!$E$2="Anglais",'TRAD-Prix'!F28,""))</f>
        <v>0</v>
      </c>
      <c r="D28" s="2562"/>
      <c r="F28" s="2553"/>
      <c r="G28" s="2553"/>
      <c r="H28" s="2553"/>
      <c r="I28" s="2553"/>
      <c r="J28" s="2553"/>
      <c r="K28" s="2553"/>
      <c r="L28" s="2553"/>
      <c r="M28" s="2553"/>
      <c r="N28" s="2553"/>
      <c r="O28" s="2553"/>
      <c r="P28" s="2553"/>
      <c r="Q28" s="2553"/>
      <c r="R28" s="2553"/>
      <c r="S28" s="2553"/>
      <c r="T28" s="2553"/>
      <c r="U28" s="2553"/>
    </row>
    <row r="29" spans="2:21" x14ac:dyDescent="0.2">
      <c r="B29" s="2586">
        <f>IF(Présentation!$E$2="Français",'TRAD-Prix'!D29,IF(Présentation!$E$2="Anglais",'TRAD-Prix'!F29,""))</f>
        <v>0</v>
      </c>
      <c r="D29" s="2562"/>
      <c r="F29" s="2553"/>
      <c r="G29" s="2553"/>
      <c r="H29" s="2553"/>
      <c r="I29" s="2553"/>
      <c r="J29" s="2553"/>
      <c r="K29" s="2553"/>
      <c r="L29" s="2553"/>
      <c r="M29" s="2553"/>
      <c r="N29" s="2553"/>
      <c r="O29" s="2553"/>
      <c r="P29" s="2553"/>
      <c r="Q29" s="2553"/>
      <c r="R29" s="2553"/>
      <c r="S29" s="2553"/>
      <c r="T29" s="2553"/>
      <c r="U29" s="2553"/>
    </row>
    <row r="30" spans="2:21" x14ac:dyDescent="0.2">
      <c r="B30" s="2586">
        <f>IF(Présentation!$E$2="Français",'TRAD-Prix'!D30,IF(Présentation!$E$2="Anglais",'TRAD-Prix'!F30,""))</f>
        <v>0</v>
      </c>
      <c r="D30" s="2562"/>
      <c r="F30" s="2553"/>
      <c r="G30" s="2553"/>
      <c r="H30" s="2553"/>
      <c r="I30" s="2553"/>
      <c r="J30" s="2553"/>
      <c r="K30" s="2553"/>
      <c r="L30" s="2553"/>
      <c r="M30" s="2553"/>
      <c r="N30" s="2553"/>
      <c r="O30" s="2553"/>
      <c r="P30" s="2553"/>
      <c r="Q30" s="2553"/>
      <c r="R30" s="2553"/>
      <c r="S30" s="2553"/>
      <c r="T30" s="2553"/>
      <c r="U30" s="2553"/>
    </row>
    <row r="31" spans="2:21" x14ac:dyDescent="0.2">
      <c r="B31" s="2586">
        <f>IF(Présentation!$E$2="Français",'TRAD-Prix'!D31,IF(Présentation!$E$2="Anglais",'TRAD-Prix'!F31,""))</f>
        <v>0</v>
      </c>
      <c r="D31" s="2562"/>
      <c r="F31" s="2553"/>
      <c r="G31" s="2553"/>
      <c r="H31" s="2553"/>
      <c r="I31" s="2553"/>
      <c r="J31" s="2553"/>
      <c r="K31" s="2553"/>
      <c r="L31" s="2553"/>
      <c r="M31" s="2553"/>
      <c r="N31" s="2553"/>
      <c r="O31" s="2553"/>
      <c r="P31" s="2553"/>
      <c r="Q31" s="2553"/>
      <c r="R31" s="2553"/>
      <c r="S31" s="2553"/>
      <c r="T31" s="2553"/>
      <c r="U31" s="2553"/>
    </row>
    <row r="32" spans="2:21" x14ac:dyDescent="0.2">
      <c r="B32" s="2586">
        <f>IF(Présentation!$E$2="Français",'TRAD-Prix'!D32,IF(Présentation!$E$2="Anglais",'TRAD-Prix'!F32,""))</f>
        <v>0</v>
      </c>
      <c r="D32" s="2562"/>
      <c r="F32" s="2553"/>
      <c r="G32" s="2553"/>
      <c r="H32" s="2553"/>
      <c r="I32" s="2553"/>
      <c r="J32" s="2553"/>
      <c r="K32" s="2553"/>
      <c r="L32" s="2553"/>
      <c r="M32" s="2553"/>
      <c r="N32" s="2553"/>
      <c r="O32" s="2553"/>
      <c r="P32" s="2553"/>
      <c r="Q32" s="2553"/>
      <c r="R32" s="2553"/>
      <c r="S32" s="2553"/>
      <c r="T32" s="2553"/>
      <c r="U32" s="2553"/>
    </row>
    <row r="33" spans="2:21" x14ac:dyDescent="0.2">
      <c r="B33" s="2586">
        <f>IF(Présentation!$E$2="Français",'TRAD-Prix'!D33,IF(Présentation!$E$2="Anglais",'TRAD-Prix'!F33,""))</f>
        <v>0</v>
      </c>
      <c r="D33" s="2562"/>
      <c r="F33" s="2553"/>
      <c r="G33" s="2553"/>
      <c r="H33" s="2553"/>
      <c r="I33" s="2553"/>
      <c r="J33" s="2553"/>
      <c r="K33" s="2553"/>
      <c r="L33" s="2553"/>
      <c r="M33" s="2553"/>
      <c r="N33" s="2553"/>
      <c r="O33" s="2553"/>
      <c r="P33" s="2553"/>
      <c r="Q33" s="2553"/>
      <c r="R33" s="2553"/>
      <c r="S33" s="2553"/>
      <c r="T33" s="2553"/>
      <c r="U33" s="2553"/>
    </row>
    <row r="34" spans="2:21" x14ac:dyDescent="0.2">
      <c r="B34" s="2586">
        <f>IF(Présentation!$E$2="Français",'TRAD-Prix'!D34,IF(Présentation!$E$2="Anglais",'TRAD-Prix'!F34,""))</f>
        <v>0</v>
      </c>
      <c r="D34" s="2562"/>
      <c r="F34" s="2553"/>
      <c r="G34" s="2553"/>
      <c r="H34" s="2553"/>
      <c r="I34" s="2553"/>
      <c r="J34" s="2553"/>
      <c r="K34" s="2553"/>
      <c r="L34" s="2553"/>
      <c r="M34" s="2553"/>
      <c r="N34" s="2553"/>
      <c r="O34" s="2553"/>
      <c r="P34" s="2553"/>
      <c r="Q34" s="2553"/>
      <c r="R34" s="2553"/>
      <c r="S34" s="2553"/>
      <c r="T34" s="2553"/>
      <c r="U34" s="2553"/>
    </row>
    <row r="35" spans="2:21" x14ac:dyDescent="0.2">
      <c r="B35" s="2586">
        <f>IF(Présentation!$E$2="Français",'TRAD-Prix'!D35,IF(Présentation!$E$2="Anglais",'TRAD-Prix'!F35,""))</f>
        <v>0</v>
      </c>
      <c r="D35" s="2562"/>
      <c r="F35" s="2553"/>
      <c r="G35" s="2553"/>
      <c r="H35" s="2553"/>
      <c r="I35" s="2553"/>
      <c r="J35" s="2553"/>
      <c r="K35" s="2553"/>
      <c r="L35" s="2553"/>
      <c r="M35" s="2553"/>
      <c r="N35" s="2553"/>
      <c r="O35" s="2553"/>
      <c r="P35" s="2553"/>
      <c r="Q35" s="2553"/>
      <c r="R35" s="2553"/>
      <c r="S35" s="2553"/>
      <c r="T35" s="2553"/>
      <c r="U35" s="2553"/>
    </row>
    <row r="36" spans="2:21" x14ac:dyDescent="0.2">
      <c r="B36" s="2586">
        <f>IF(Présentation!$E$2="Français",'TRAD-Prix'!D36,IF(Présentation!$E$2="Anglais",'TRAD-Prix'!F36,""))</f>
        <v>0</v>
      </c>
      <c r="D36" s="2562"/>
      <c r="F36" s="2553"/>
      <c r="G36" s="2553"/>
      <c r="H36" s="2553"/>
      <c r="I36" s="2553"/>
      <c r="J36" s="2553"/>
      <c r="K36" s="2553"/>
      <c r="L36" s="2553"/>
      <c r="M36" s="2553"/>
      <c r="N36" s="2553"/>
      <c r="O36" s="2553"/>
      <c r="P36" s="2553"/>
      <c r="Q36" s="2553"/>
      <c r="R36" s="2553"/>
      <c r="S36" s="2553"/>
      <c r="T36" s="2553"/>
      <c r="U36" s="2553"/>
    </row>
    <row r="37" spans="2:21" x14ac:dyDescent="0.2">
      <c r="B37" s="2586">
        <f>IF(Présentation!$E$2="Français",'TRAD-Prix'!D37,IF(Présentation!$E$2="Anglais",'TRAD-Prix'!F37,""))</f>
        <v>0</v>
      </c>
      <c r="D37" s="2562"/>
      <c r="F37" s="2553"/>
      <c r="G37" s="2553"/>
      <c r="H37" s="2553"/>
      <c r="I37" s="2553"/>
      <c r="J37" s="2553"/>
      <c r="K37" s="2553"/>
      <c r="L37" s="2553"/>
      <c r="M37" s="2553"/>
      <c r="N37" s="2553"/>
      <c r="O37" s="2553"/>
      <c r="P37" s="2553"/>
      <c r="Q37" s="2553"/>
      <c r="R37" s="2553"/>
      <c r="S37" s="2553"/>
      <c r="T37" s="2553"/>
      <c r="U37" s="2553"/>
    </row>
    <row r="38" spans="2:21" x14ac:dyDescent="0.2">
      <c r="B38" s="2586">
        <f>IF(Présentation!$E$2="Français",'TRAD-Prix'!D38,IF(Présentation!$E$2="Anglais",'TRAD-Prix'!F38,""))</f>
        <v>0</v>
      </c>
      <c r="D38" s="2562"/>
      <c r="F38" s="2553"/>
      <c r="G38" s="2553"/>
      <c r="H38" s="2553"/>
      <c r="I38" s="2553"/>
      <c r="J38" s="2553"/>
      <c r="K38" s="2553"/>
      <c r="L38" s="2553"/>
      <c r="M38" s="2553"/>
      <c r="N38" s="2553"/>
      <c r="O38" s="2553"/>
      <c r="P38" s="2553"/>
      <c r="Q38" s="2553"/>
      <c r="R38" s="2553"/>
      <c r="S38" s="2553"/>
      <c r="T38" s="2553"/>
      <c r="U38" s="2553"/>
    </row>
    <row r="39" spans="2:21" x14ac:dyDescent="0.2">
      <c r="B39" s="2586">
        <f>IF(Présentation!$E$2="Français",'TRAD-Prix'!D39,IF(Présentation!$E$2="Anglais",'TRAD-Prix'!F39,""))</f>
        <v>0</v>
      </c>
      <c r="D39" s="2562"/>
      <c r="F39" s="2553"/>
      <c r="G39" s="2553"/>
      <c r="H39" s="2553"/>
      <c r="I39" s="2553"/>
      <c r="J39" s="2553"/>
      <c r="K39" s="2553"/>
      <c r="L39" s="2553"/>
      <c r="M39" s="2553"/>
      <c r="N39" s="2553"/>
      <c r="O39" s="2553"/>
      <c r="P39" s="2553"/>
      <c r="Q39" s="2553"/>
      <c r="R39" s="2553"/>
      <c r="S39" s="2553"/>
      <c r="T39" s="2553"/>
      <c r="U39" s="2553"/>
    </row>
    <row r="40" spans="2:21" x14ac:dyDescent="0.2">
      <c r="B40" s="2586">
        <f>IF(Présentation!$E$2="Français",'TRAD-Prix'!D40,IF(Présentation!$E$2="Anglais",'TRAD-Prix'!F40,""))</f>
        <v>0</v>
      </c>
      <c r="D40" s="2562"/>
      <c r="F40" s="2553"/>
      <c r="G40" s="2553"/>
      <c r="H40" s="2553"/>
      <c r="I40" s="2553"/>
      <c r="J40" s="2553"/>
      <c r="K40" s="2553"/>
      <c r="L40" s="2553"/>
      <c r="M40" s="2553"/>
      <c r="N40" s="2553"/>
      <c r="O40" s="2553"/>
      <c r="P40" s="2553"/>
      <c r="Q40" s="2553"/>
      <c r="R40" s="2553"/>
      <c r="S40" s="2553"/>
      <c r="T40" s="2553"/>
      <c r="U40" s="2553"/>
    </row>
    <row r="41" spans="2:21" x14ac:dyDescent="0.2">
      <c r="B41" s="2586">
        <f>IF(Présentation!$E$2="Français",'TRAD-Prix'!D41,IF(Présentation!$E$2="Anglais",'TRAD-Prix'!F41,""))</f>
        <v>0</v>
      </c>
      <c r="D41" s="2562"/>
      <c r="F41" s="2553"/>
      <c r="G41" s="2553"/>
      <c r="H41" s="2553"/>
      <c r="I41" s="2553"/>
      <c r="J41" s="2553"/>
      <c r="K41" s="2553"/>
      <c r="L41" s="2553"/>
      <c r="M41" s="2553"/>
      <c r="N41" s="2553"/>
      <c r="O41" s="2553"/>
      <c r="P41" s="2553"/>
      <c r="Q41" s="2553"/>
      <c r="R41" s="2553"/>
      <c r="S41" s="2553"/>
      <c r="T41" s="2553"/>
      <c r="U41" s="2553"/>
    </row>
    <row r="42" spans="2:21" x14ac:dyDescent="0.2">
      <c r="B42" s="2586">
        <f>IF(Présentation!$E$2="Français",'TRAD-Prix'!D42,IF(Présentation!$E$2="Anglais",'TRAD-Prix'!F42,""))</f>
        <v>0</v>
      </c>
      <c r="D42" s="2562"/>
      <c r="F42" s="2553"/>
      <c r="G42" s="2553"/>
      <c r="H42" s="2553"/>
      <c r="I42" s="2553"/>
      <c r="J42" s="2553"/>
      <c r="K42" s="2553"/>
      <c r="L42" s="2553"/>
      <c r="M42" s="2553"/>
      <c r="N42" s="2553"/>
      <c r="O42" s="2553"/>
      <c r="P42" s="2553"/>
      <c r="Q42" s="2553"/>
      <c r="R42" s="2553"/>
      <c r="S42" s="2553"/>
      <c r="T42" s="2553"/>
      <c r="U42" s="2553"/>
    </row>
    <row r="43" spans="2:21" x14ac:dyDescent="0.2">
      <c r="B43" s="2586">
        <f>IF(Présentation!$E$2="Français",'TRAD-Prix'!D43,IF(Présentation!$E$2="Anglais",'TRAD-Prix'!F43,""))</f>
        <v>0</v>
      </c>
      <c r="D43" s="2562"/>
      <c r="F43" s="2553"/>
      <c r="G43" s="2553"/>
      <c r="H43" s="2553"/>
      <c r="I43" s="2553"/>
      <c r="J43" s="2553"/>
      <c r="K43" s="2553"/>
      <c r="L43" s="2553"/>
      <c r="M43" s="2553"/>
      <c r="N43" s="2553"/>
      <c r="O43" s="2553"/>
      <c r="P43" s="2553"/>
      <c r="Q43" s="2553"/>
      <c r="R43" s="2553"/>
      <c r="S43" s="2553"/>
      <c r="T43" s="2553"/>
      <c r="U43" s="2553"/>
    </row>
    <row r="44" spans="2:21" x14ac:dyDescent="0.2">
      <c r="B44" s="2586">
        <f>IF(Présentation!$E$2="Français",'TRAD-Prix'!D44,IF(Présentation!$E$2="Anglais",'TRAD-Prix'!F44,""))</f>
        <v>0</v>
      </c>
      <c r="D44" s="2562"/>
      <c r="F44" s="2553"/>
      <c r="G44" s="2553"/>
      <c r="H44" s="2553"/>
      <c r="I44" s="2553"/>
      <c r="J44" s="2553"/>
      <c r="K44" s="2553"/>
      <c r="L44" s="2553"/>
      <c r="M44" s="2553"/>
      <c r="N44" s="2553"/>
      <c r="O44" s="2553"/>
      <c r="P44" s="2553"/>
      <c r="Q44" s="2553"/>
      <c r="R44" s="2553"/>
      <c r="S44" s="2553"/>
      <c r="T44" s="2553"/>
      <c r="U44" s="2553"/>
    </row>
    <row r="45" spans="2:21" x14ac:dyDescent="0.2">
      <c r="B45" s="2586">
        <f>IF(Présentation!$E$2="Français",'TRAD-Prix'!D45,IF(Présentation!$E$2="Anglais",'TRAD-Prix'!F45,""))</f>
        <v>0</v>
      </c>
      <c r="D45" s="2562"/>
      <c r="F45" s="2553"/>
      <c r="G45" s="2553"/>
      <c r="H45" s="2553"/>
      <c r="I45" s="2553"/>
      <c r="J45" s="2553"/>
      <c r="K45" s="2553"/>
      <c r="L45" s="2553"/>
      <c r="M45" s="2553"/>
      <c r="N45" s="2553"/>
      <c r="O45" s="2553"/>
      <c r="P45" s="2553"/>
      <c r="Q45" s="2553"/>
      <c r="R45" s="2553"/>
      <c r="S45" s="2553"/>
      <c r="T45" s="2553"/>
      <c r="U45" s="2553"/>
    </row>
    <row r="46" spans="2:21" x14ac:dyDescent="0.2">
      <c r="B46" s="2586">
        <f>IF(Présentation!$E$2="Français",'TRAD-Prix'!D46,IF(Présentation!$E$2="Anglais",'TRAD-Prix'!F46,""))</f>
        <v>0</v>
      </c>
      <c r="D46" s="2562"/>
      <c r="F46" s="2553"/>
      <c r="G46" s="2553"/>
      <c r="H46" s="2553"/>
      <c r="I46" s="2553"/>
      <c r="J46" s="2553"/>
      <c r="K46" s="2553"/>
      <c r="L46" s="2553"/>
      <c r="M46" s="2553"/>
      <c r="N46" s="2553"/>
      <c r="O46" s="2553"/>
      <c r="P46" s="2553"/>
      <c r="Q46" s="2553"/>
      <c r="R46" s="2553"/>
      <c r="S46" s="2553"/>
      <c r="T46" s="2553"/>
      <c r="U46" s="2553"/>
    </row>
    <row r="47" spans="2:21" x14ac:dyDescent="0.2">
      <c r="B47" s="2586">
        <f>IF(Présentation!$E$2="Français",'TRAD-Prix'!D47,IF(Présentation!$E$2="Anglais",'TRAD-Prix'!F47,""))</f>
        <v>0</v>
      </c>
      <c r="D47" s="2553"/>
      <c r="F47" s="2553"/>
      <c r="G47" s="2553"/>
      <c r="H47" s="2553"/>
      <c r="I47" s="2553"/>
      <c r="J47" s="2553"/>
      <c r="K47" s="2553"/>
      <c r="L47" s="2553"/>
      <c r="M47" s="2553"/>
      <c r="N47" s="2553"/>
      <c r="O47" s="2553"/>
      <c r="P47" s="2553"/>
      <c r="Q47" s="2553"/>
      <c r="R47" s="2553"/>
      <c r="S47" s="2553"/>
      <c r="T47" s="2553"/>
      <c r="U47" s="2553"/>
    </row>
    <row r="48" spans="2:21" x14ac:dyDescent="0.2">
      <c r="B48" s="2586">
        <f>IF(Présentation!$E$2="Français",'TRAD-Prix'!D48,IF(Présentation!$E$2="Anglais",'TRAD-Prix'!F48,""))</f>
        <v>0</v>
      </c>
      <c r="D48" s="2562"/>
      <c r="F48" s="2553"/>
      <c r="G48" s="2562"/>
      <c r="H48" s="2562"/>
      <c r="I48" s="2562"/>
      <c r="J48" s="2562"/>
      <c r="K48" s="2562"/>
      <c r="L48" s="2562"/>
      <c r="M48" s="2553"/>
      <c r="N48" s="2553"/>
      <c r="O48" s="2553"/>
      <c r="P48" s="2553"/>
      <c r="Q48" s="2553"/>
      <c r="R48" s="2553"/>
      <c r="S48" s="2553"/>
      <c r="T48" s="2553"/>
      <c r="U48" s="2553"/>
    </row>
    <row r="49" spans="2:21" x14ac:dyDescent="0.2">
      <c r="B49" s="2586">
        <f>IF(Présentation!$E$2="Français",'TRAD-Prix'!D49,IF(Présentation!$E$2="Anglais",'TRAD-Prix'!F49,""))</f>
        <v>0</v>
      </c>
      <c r="D49" s="2562"/>
      <c r="F49" s="2553"/>
      <c r="G49" s="2562"/>
      <c r="H49" s="2562"/>
      <c r="I49" s="2562"/>
      <c r="J49" s="2562"/>
      <c r="K49" s="2562"/>
      <c r="L49" s="2562"/>
      <c r="M49" s="2553"/>
      <c r="N49" s="2553"/>
      <c r="O49" s="2553"/>
      <c r="P49" s="2553"/>
      <c r="Q49" s="2553"/>
      <c r="R49" s="2553"/>
      <c r="S49" s="2553"/>
      <c r="T49" s="2553"/>
      <c r="U49" s="2553"/>
    </row>
    <row r="50" spans="2:21" x14ac:dyDescent="0.2">
      <c r="B50" s="2586">
        <f>IF(Présentation!$E$2="Français",'TRAD-Prix'!D50,IF(Présentation!$E$2="Anglais",'TRAD-Prix'!F50,""))</f>
        <v>0</v>
      </c>
      <c r="D50" s="2562"/>
      <c r="F50" s="2562"/>
      <c r="G50" s="2562"/>
      <c r="H50" s="2562"/>
      <c r="I50" s="2562"/>
      <c r="J50" s="2562"/>
      <c r="K50" s="2562"/>
      <c r="L50" s="2562"/>
      <c r="M50" s="2553"/>
      <c r="N50" s="2553"/>
      <c r="O50" s="2553"/>
      <c r="P50" s="2553"/>
      <c r="Q50" s="2553"/>
      <c r="R50" s="2553"/>
      <c r="S50" s="2553"/>
      <c r="T50" s="2553"/>
      <c r="U50" s="2553"/>
    </row>
    <row r="51" spans="2:21" x14ac:dyDescent="0.2">
      <c r="B51" s="2586">
        <f>IF(Présentation!$E$2="Français",'TRAD-Prix'!D51,IF(Présentation!$E$2="Anglais",'TRAD-Prix'!F51,""))</f>
        <v>0</v>
      </c>
      <c r="D51" s="2562"/>
      <c r="F51" s="2562"/>
      <c r="G51" s="2562"/>
      <c r="H51" s="2562"/>
      <c r="I51" s="2562"/>
      <c r="J51" s="2562"/>
      <c r="K51" s="2562"/>
      <c r="L51" s="2562"/>
      <c r="M51" s="2553"/>
      <c r="N51" s="2553"/>
      <c r="O51" s="2553"/>
      <c r="P51" s="2553"/>
      <c r="Q51" s="2553"/>
      <c r="R51" s="2553"/>
      <c r="S51" s="2553"/>
      <c r="T51" s="2553"/>
      <c r="U51" s="2553"/>
    </row>
    <row r="52" spans="2:21" x14ac:dyDescent="0.2">
      <c r="B52" s="2586">
        <f>IF(Présentation!$E$2="Français",'TRAD-Prix'!D52,IF(Présentation!$E$2="Anglais",'TRAD-Prix'!F52,""))</f>
        <v>0</v>
      </c>
      <c r="D52" s="2660"/>
      <c r="F52" s="2661"/>
      <c r="G52" s="2562"/>
      <c r="H52" s="2562"/>
      <c r="I52" s="2562"/>
      <c r="J52" s="2562"/>
      <c r="K52" s="2562"/>
      <c r="L52" s="2562"/>
      <c r="M52" s="2553"/>
      <c r="N52" s="2553"/>
      <c r="O52" s="2553"/>
      <c r="P52" s="2553"/>
      <c r="Q52" s="2553"/>
      <c r="R52" s="2553"/>
      <c r="S52" s="2553"/>
      <c r="T52" s="2553"/>
      <c r="U52" s="2553"/>
    </row>
    <row r="53" spans="2:21" x14ac:dyDescent="0.2">
      <c r="B53" s="2586">
        <f>IF(Présentation!$E$2="Français",'TRAD-Prix'!D53,IF(Présentation!$E$2="Anglais",'TRAD-Prix'!F53,""))</f>
        <v>0</v>
      </c>
      <c r="D53" s="2660"/>
      <c r="F53" s="2562"/>
      <c r="G53" s="2562"/>
      <c r="H53" s="2562"/>
      <c r="I53" s="2562"/>
      <c r="J53" s="2562"/>
      <c r="K53" s="2562"/>
      <c r="L53" s="2562"/>
      <c r="M53" s="2553"/>
      <c r="N53" s="2553"/>
      <c r="O53" s="2553"/>
      <c r="P53" s="2553"/>
      <c r="Q53" s="2553"/>
      <c r="R53" s="2553"/>
      <c r="S53" s="2553"/>
      <c r="T53" s="2553"/>
      <c r="U53" s="2553"/>
    </row>
    <row r="54" spans="2:21" x14ac:dyDescent="0.2">
      <c r="B54" s="2586">
        <f>IF(Présentation!$E$2="Français",'TRAD-Prix'!D54,IF(Présentation!$E$2="Anglais",'TRAD-Prix'!F54,""))</f>
        <v>0</v>
      </c>
      <c r="D54" s="2553"/>
      <c r="F54" s="2562"/>
      <c r="G54" s="2562"/>
      <c r="H54" s="2562"/>
      <c r="I54" s="2562"/>
      <c r="J54" s="2562"/>
      <c r="K54" s="2562"/>
      <c r="L54" s="2553"/>
      <c r="M54" s="2553"/>
      <c r="N54" s="2553"/>
      <c r="O54" s="2553"/>
      <c r="P54" s="2553"/>
      <c r="Q54" s="2553"/>
      <c r="R54" s="2553"/>
      <c r="S54" s="2553"/>
      <c r="T54" s="2553"/>
      <c r="U54" s="2553"/>
    </row>
    <row r="55" spans="2:21" x14ac:dyDescent="0.2">
      <c r="B55" s="2586">
        <f>IF(Présentation!$E$2="Français",'TRAD-Prix'!D55,IF(Présentation!$E$2="Anglais",'TRAD-Prix'!F55,""))</f>
        <v>0</v>
      </c>
      <c r="D55" s="2553"/>
      <c r="F55" s="2553"/>
      <c r="G55" s="2553"/>
      <c r="H55" s="2553"/>
      <c r="I55" s="2553"/>
      <c r="J55" s="2553"/>
      <c r="K55" s="2553"/>
      <c r="L55" s="2553"/>
      <c r="M55" s="2553"/>
      <c r="N55" s="2553"/>
      <c r="O55" s="2553"/>
      <c r="P55" s="2553"/>
      <c r="Q55" s="2553"/>
      <c r="R55" s="2553"/>
      <c r="S55" s="2553"/>
      <c r="T55" s="2553"/>
      <c r="U55" s="2553"/>
    </row>
    <row r="56" spans="2:21" x14ac:dyDescent="0.2">
      <c r="B56" s="2586">
        <f>IF(Présentation!$E$2="Français",'TRAD-Prix'!D56,IF(Présentation!$E$2="Anglais",'TRAD-Prix'!F56,""))</f>
        <v>0</v>
      </c>
      <c r="D56" s="2553"/>
      <c r="F56" s="2553"/>
      <c r="G56" s="2553"/>
      <c r="H56" s="2553"/>
      <c r="I56" s="2553"/>
      <c r="J56" s="2553"/>
      <c r="K56" s="2553"/>
      <c r="L56" s="2553"/>
      <c r="M56" s="2553"/>
      <c r="N56" s="2553"/>
      <c r="O56" s="2553"/>
      <c r="P56" s="2553"/>
      <c r="Q56" s="2553"/>
      <c r="R56" s="2553"/>
      <c r="S56" s="2553"/>
      <c r="T56" s="2553"/>
      <c r="U56" s="2553"/>
    </row>
    <row r="57" spans="2:21" x14ac:dyDescent="0.2">
      <c r="B57" s="2586">
        <f>IF(Présentation!$E$2="Français",'TRAD-Prix'!D57,IF(Présentation!$E$2="Anglais",'TRAD-Prix'!F57,""))</f>
        <v>0</v>
      </c>
      <c r="D57" s="2562"/>
      <c r="F57" s="2562"/>
      <c r="G57" s="2562"/>
      <c r="H57" s="2562"/>
      <c r="I57" s="2553"/>
      <c r="J57" s="2553"/>
      <c r="K57" s="2553"/>
      <c r="L57" s="2553"/>
      <c r="M57" s="2553"/>
      <c r="N57" s="2553"/>
      <c r="O57" s="2553"/>
      <c r="P57" s="2553"/>
      <c r="Q57" s="2553"/>
      <c r="R57" s="2553"/>
      <c r="S57" s="2553"/>
      <c r="T57" s="2553"/>
      <c r="U57" s="2553"/>
    </row>
    <row r="58" spans="2:21" x14ac:dyDescent="0.2">
      <c r="B58" s="2586">
        <f>IF(Présentation!$E$2="Français",'TRAD-Prix'!D58,IF(Présentation!$E$2="Anglais",'TRAD-Prix'!F58,""))</f>
        <v>0</v>
      </c>
      <c r="D58" s="2562"/>
      <c r="F58" s="2562"/>
      <c r="G58" s="2562"/>
      <c r="H58" s="2562"/>
      <c r="I58" s="2553"/>
      <c r="J58" s="2553"/>
      <c r="K58" s="2553"/>
      <c r="L58" s="2553"/>
      <c r="M58" s="2553"/>
      <c r="N58" s="2553"/>
      <c r="O58" s="2553"/>
      <c r="P58" s="2553"/>
      <c r="Q58" s="2553"/>
      <c r="R58" s="2553"/>
      <c r="S58" s="2553"/>
      <c r="T58" s="2553"/>
      <c r="U58" s="2553"/>
    </row>
    <row r="59" spans="2:21" x14ac:dyDescent="0.2">
      <c r="B59" s="2586">
        <f>IF(Présentation!$E$2="Français",'TRAD-Prix'!D59,IF(Présentation!$E$2="Anglais",'TRAD-Prix'!F59,""))</f>
        <v>0</v>
      </c>
      <c r="D59" s="2564"/>
      <c r="F59" s="2553"/>
      <c r="G59" s="2562"/>
      <c r="H59" s="2562"/>
      <c r="I59" s="2553"/>
      <c r="J59" s="2553"/>
      <c r="K59" s="2553"/>
      <c r="L59" s="2553"/>
      <c r="M59" s="2553"/>
      <c r="N59" s="2553"/>
      <c r="O59" s="2553"/>
      <c r="P59" s="2553"/>
      <c r="Q59" s="2553"/>
      <c r="R59" s="2553"/>
      <c r="S59" s="2553"/>
      <c r="T59" s="2553"/>
      <c r="U59" s="2553"/>
    </row>
    <row r="60" spans="2:21" x14ac:dyDescent="0.2">
      <c r="B60" s="2586">
        <f>IF(Présentation!$E$2="Français",'TRAD-Prix'!D60,IF(Présentation!$E$2="Anglais",'TRAD-Prix'!F60,""))</f>
        <v>0</v>
      </c>
      <c r="D60" s="2564"/>
      <c r="F60" s="2553"/>
      <c r="G60" s="2553"/>
      <c r="H60" s="2553"/>
      <c r="I60" s="2553"/>
      <c r="J60" s="2553"/>
      <c r="K60" s="2553"/>
      <c r="L60" s="2553"/>
      <c r="M60" s="2553"/>
      <c r="N60" s="2553"/>
      <c r="O60" s="2553"/>
      <c r="P60" s="2553"/>
      <c r="Q60" s="2553"/>
      <c r="R60" s="2553"/>
      <c r="S60" s="2553"/>
      <c r="T60" s="2553"/>
      <c r="U60" s="2553"/>
    </row>
    <row r="61" spans="2:21" x14ac:dyDescent="0.2">
      <c r="B61" s="2586">
        <f>IF(Présentation!$E$2="Français",'TRAD-Prix'!D61,IF(Présentation!$E$2="Anglais",'TRAD-Prix'!F61,""))</f>
        <v>0</v>
      </c>
      <c r="D61" s="2553"/>
      <c r="F61" s="2553"/>
      <c r="G61" s="2553"/>
      <c r="H61" s="2553"/>
      <c r="I61" s="2553"/>
      <c r="J61" s="2553"/>
      <c r="K61" s="2553"/>
      <c r="L61" s="2553"/>
      <c r="M61" s="2553"/>
      <c r="N61" s="2553"/>
      <c r="O61" s="2553"/>
      <c r="P61" s="2553"/>
      <c r="Q61" s="2553"/>
      <c r="R61" s="2553"/>
      <c r="S61" s="2553"/>
      <c r="T61" s="2553"/>
      <c r="U61" s="2553"/>
    </row>
    <row r="62" spans="2:21" x14ac:dyDescent="0.2">
      <c r="B62" s="2586">
        <f>IF(Présentation!$E$2="Français",'TRAD-Prix'!D62,IF(Présentation!$E$2="Anglais",'TRAD-Prix'!F62,""))</f>
        <v>0</v>
      </c>
      <c r="D62" s="2562"/>
      <c r="F62" s="2553"/>
      <c r="G62" s="2553"/>
      <c r="H62" s="2553"/>
      <c r="I62" s="2553"/>
      <c r="J62" s="2553"/>
      <c r="K62" s="2553"/>
      <c r="L62" s="2553"/>
      <c r="M62" s="2553"/>
      <c r="N62" s="2553"/>
      <c r="O62" s="2553"/>
      <c r="P62" s="2553"/>
      <c r="Q62" s="2553"/>
      <c r="R62" s="2553"/>
      <c r="S62" s="2553"/>
      <c r="T62" s="2553"/>
      <c r="U62" s="2553"/>
    </row>
    <row r="63" spans="2:21" x14ac:dyDescent="0.2">
      <c r="B63" s="2586">
        <f>IF(Présentation!$E$2="Français",'TRAD-Prix'!D63,IF(Présentation!$E$2="Anglais",'TRAD-Prix'!F63,""))</f>
        <v>0</v>
      </c>
      <c r="D63" s="2562"/>
      <c r="F63" s="2553"/>
      <c r="G63" s="2553"/>
      <c r="H63" s="2553"/>
      <c r="I63" s="2553"/>
      <c r="J63" s="2553"/>
      <c r="K63" s="2553"/>
      <c r="L63" s="2553"/>
      <c r="M63" s="2553"/>
      <c r="N63" s="2553"/>
      <c r="O63" s="2553"/>
      <c r="P63" s="2553"/>
      <c r="Q63" s="2553"/>
      <c r="R63" s="2553"/>
      <c r="S63" s="2553"/>
      <c r="T63" s="2553"/>
      <c r="U63" s="2553"/>
    </row>
    <row r="64" spans="2:21" x14ac:dyDescent="0.2">
      <c r="B64" s="2586">
        <f>IF(Présentation!$E$2="Français",'TRAD-Prix'!D64,IF(Présentation!$E$2="Anglais",'TRAD-Prix'!F64,""))</f>
        <v>0</v>
      </c>
      <c r="D64" s="2562"/>
      <c r="F64" s="2553"/>
      <c r="G64" s="2553"/>
      <c r="H64" s="2553"/>
      <c r="I64" s="2553"/>
      <c r="J64" s="2553"/>
      <c r="K64" s="2553"/>
      <c r="L64" s="2553"/>
      <c r="M64" s="2553"/>
      <c r="N64" s="2553"/>
      <c r="O64" s="2553"/>
      <c r="P64" s="2553"/>
      <c r="Q64" s="2553"/>
      <c r="R64" s="2553"/>
      <c r="S64" s="2553"/>
      <c r="T64" s="2553"/>
      <c r="U64" s="2553"/>
    </row>
    <row r="65" spans="2:21" x14ac:dyDescent="0.2">
      <c r="B65" s="2586">
        <f>IF(Présentation!$E$2="Français",'TRAD-Prix'!D65,IF(Présentation!$E$2="Anglais",'TRAD-Prix'!F65,""))</f>
        <v>0</v>
      </c>
      <c r="D65" s="2562"/>
      <c r="E65" s="2553"/>
      <c r="F65" s="2553"/>
      <c r="G65" s="2553"/>
      <c r="H65" s="2553"/>
      <c r="I65" s="2553"/>
      <c r="J65" s="2553"/>
      <c r="K65" s="2553"/>
      <c r="L65" s="2553"/>
      <c r="M65" s="2553"/>
      <c r="N65" s="2553"/>
      <c r="O65" s="2553"/>
      <c r="P65" s="2553"/>
      <c r="Q65" s="2553"/>
      <c r="R65" s="2553"/>
      <c r="S65" s="2553"/>
      <c r="T65" s="2553"/>
      <c r="U65" s="2553"/>
    </row>
    <row r="66" spans="2:21" x14ac:dyDescent="0.2">
      <c r="B66" s="2586">
        <f>IF(Présentation!$E$2="Français",'TRAD-Prix'!D66,IF(Présentation!$E$2="Anglais",'TRAD-Prix'!F66,""))</f>
        <v>0</v>
      </c>
      <c r="D66" s="2553"/>
      <c r="E66" s="2553"/>
      <c r="F66" s="2553"/>
      <c r="G66" s="2553"/>
      <c r="H66" s="2553"/>
      <c r="I66" s="2553"/>
      <c r="J66" s="2553"/>
      <c r="K66" s="2553"/>
      <c r="L66" s="2553"/>
      <c r="M66" s="2553"/>
      <c r="N66" s="2553"/>
      <c r="O66" s="2553"/>
      <c r="P66" s="2553"/>
      <c r="Q66" s="2553"/>
      <c r="R66" s="2553"/>
      <c r="S66" s="2553"/>
      <c r="T66" s="2553"/>
      <c r="U66" s="2553"/>
    </row>
    <row r="67" spans="2:21" x14ac:dyDescent="0.2">
      <c r="B67" s="2586">
        <f>IF(Présentation!$E$2="Français",'TRAD-Prix'!D67,IF(Présentation!$E$2="Anglais",'TRAD-Prix'!F67,""))</f>
        <v>0</v>
      </c>
      <c r="D67" s="2553"/>
      <c r="E67" s="2553"/>
      <c r="F67" s="2553"/>
      <c r="G67" s="2553"/>
      <c r="H67" s="2553"/>
      <c r="I67" s="2553"/>
      <c r="J67" s="2553"/>
      <c r="K67" s="2553"/>
      <c r="L67" s="2553"/>
      <c r="M67" s="2553"/>
      <c r="N67" s="2553"/>
      <c r="O67" s="2553"/>
      <c r="P67" s="2553"/>
      <c r="Q67" s="2553"/>
      <c r="R67" s="2553"/>
      <c r="S67" s="2553"/>
      <c r="T67" s="2553"/>
      <c r="U67" s="2553"/>
    </row>
    <row r="68" spans="2:21" x14ac:dyDescent="0.2">
      <c r="B68" s="2586">
        <f>IF(Présentation!$E$2="Français",'TRAD-Prix'!D68,IF(Présentation!$E$2="Anglais",'TRAD-Prix'!F68,""))</f>
        <v>0</v>
      </c>
      <c r="D68" s="2553"/>
      <c r="E68" s="2553"/>
      <c r="F68" s="2553"/>
      <c r="G68" s="2553"/>
      <c r="H68" s="2553"/>
      <c r="I68" s="2553"/>
      <c r="J68" s="2553"/>
      <c r="K68" s="2553"/>
      <c r="L68" s="2553"/>
      <c r="M68" s="2553"/>
      <c r="N68" s="2553"/>
      <c r="O68" s="2553"/>
      <c r="P68" s="2553"/>
      <c r="Q68" s="2553"/>
      <c r="R68" s="2553"/>
      <c r="S68" s="2553"/>
      <c r="T68" s="2553"/>
      <c r="U68" s="2553"/>
    </row>
    <row r="69" spans="2:21" x14ac:dyDescent="0.2">
      <c r="B69" s="2586">
        <f>IF(Présentation!$E$2="Français",'TRAD-Prix'!D69,IF(Présentation!$E$2="Anglais",'TRAD-Prix'!F69,""))</f>
        <v>0</v>
      </c>
      <c r="D69" s="2553"/>
      <c r="E69" s="2553"/>
      <c r="F69" s="2553"/>
      <c r="G69" s="2553"/>
      <c r="H69" s="2553"/>
      <c r="I69" s="2553"/>
      <c r="J69" s="2553"/>
      <c r="K69" s="2553"/>
      <c r="L69" s="2553"/>
      <c r="M69" s="2553"/>
      <c r="N69" s="2553"/>
      <c r="O69" s="2553"/>
      <c r="P69" s="2553"/>
      <c r="Q69" s="2553"/>
      <c r="R69" s="2553"/>
      <c r="S69" s="2553"/>
      <c r="T69" s="2553"/>
      <c r="U69" s="2553"/>
    </row>
    <row r="70" spans="2:21" x14ac:dyDescent="0.2">
      <c r="B70" s="2586">
        <f>IF(Présentation!$E$2="Français",'TRAD-Prix'!D70,IF(Présentation!$E$2="Anglais",'TRAD-Prix'!F70,""))</f>
        <v>0</v>
      </c>
      <c r="D70" s="2553"/>
      <c r="E70" s="2553"/>
      <c r="F70" s="2553"/>
      <c r="G70" s="2553"/>
      <c r="H70" s="2553"/>
      <c r="I70" s="2553"/>
      <c r="J70" s="2553"/>
      <c r="K70" s="2553"/>
      <c r="L70" s="2553"/>
      <c r="M70" s="2553"/>
      <c r="N70" s="2553"/>
      <c r="O70" s="2553"/>
      <c r="P70" s="2553"/>
      <c r="Q70" s="2553"/>
      <c r="R70" s="2553"/>
      <c r="S70" s="2553"/>
      <c r="T70" s="2553"/>
      <c r="U70" s="2553"/>
    </row>
    <row r="71" spans="2:21" x14ac:dyDescent="0.2">
      <c r="B71" s="2586">
        <f>IF(Présentation!$E$2="Français",'TRAD-Prix'!D71,IF(Présentation!$E$2="Anglais",'TRAD-Prix'!F71,""))</f>
        <v>0</v>
      </c>
      <c r="D71" s="2553"/>
      <c r="F71" s="2553"/>
    </row>
    <row r="72" spans="2:21" x14ac:dyDescent="0.2">
      <c r="B72" s="2586">
        <f>IF(Présentation!$E$2="Français",'TRAD-Prix'!D72,IF(Présentation!$E$2="Anglais",'TRAD-Prix'!F72,""))</f>
        <v>0</v>
      </c>
      <c r="D72" s="2553"/>
      <c r="F72" s="2553"/>
    </row>
    <row r="73" spans="2:21" x14ac:dyDescent="0.2">
      <c r="B73" s="2586">
        <f>IF(Présentation!$E$2="Français",'TRAD-Prix'!D73,IF(Présentation!$E$2="Anglais",'TRAD-Prix'!F73,""))</f>
        <v>0</v>
      </c>
    </row>
    <row r="74" spans="2:21" x14ac:dyDescent="0.2">
      <c r="B74" s="2586">
        <f>IF(Présentation!$E$2="Français",'TRAD-Prix'!D74,IF(Présentation!$E$2="Anglais",'TRAD-Prix'!F74,""))</f>
        <v>0</v>
      </c>
    </row>
    <row r="75" spans="2:21" x14ac:dyDescent="0.2">
      <c r="B75" s="2586">
        <f>IF(Présentation!$E$2="Français",'TRAD-Prix'!D75,IF(Présentation!$E$2="Anglais",'TRAD-Prix'!F75,""))</f>
        <v>0</v>
      </c>
    </row>
    <row r="76" spans="2:21" x14ac:dyDescent="0.2">
      <c r="B76" s="2586">
        <f>IF(Présentation!$E$2="Français",'TRAD-Prix'!D76,IF(Présentation!$E$2="Anglais",'TRAD-Prix'!F76,""))</f>
        <v>0</v>
      </c>
    </row>
    <row r="77" spans="2:21" x14ac:dyDescent="0.2">
      <c r="B77" s="2586">
        <f>IF(Présentation!$E$2="Français",'TRAD-Prix'!D77,IF(Présentation!$E$2="Anglais",'TRAD-Prix'!F77,""))</f>
        <v>0</v>
      </c>
    </row>
  </sheetData>
  <sheetProtection password="D0E7" sheet="1" objects="1" scenarios="1"/>
  <conditionalFormatting sqref="D52:D53 J55:K58 J48:K53 D14 D19:D20">
    <cfRule type="cellIs" dxfId="0" priority="1" operator="equal">
      <formula>0</formula>
    </cfRule>
  </conditionalFormatting>
  <dataValidations count="1">
    <dataValidation allowBlank="1" showInputMessage="1" showErrorMessage="1" sqref="D52:D53"/>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sheetPr>
  <dimension ref="B1:R30"/>
  <sheetViews>
    <sheetView workbookViewId="0">
      <selection activeCell="D7" sqref="D7"/>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18" x14ac:dyDescent="0.2">
      <c r="B1" s="2586" t="s">
        <v>865</v>
      </c>
      <c r="D1" s="2586" t="s">
        <v>866</v>
      </c>
      <c r="F1" s="2586" t="s">
        <v>867</v>
      </c>
    </row>
    <row r="3" spans="2:18" x14ac:dyDescent="0.2">
      <c r="B3" s="2586" t="str">
        <f>IF(Présentation!$E$2="Français",'TRAD-Paramétrage'!D3,IF(Présentation!$E$2="Anglais",'TRAD-Paramétrage'!F3,""))</f>
        <v>Feuille SAISIE 1 - Paramétrage général</v>
      </c>
      <c r="D3" s="2592" t="s">
        <v>840</v>
      </c>
      <c r="E3" s="2592"/>
      <c r="F3" s="2592" t="s">
        <v>965</v>
      </c>
      <c r="G3" s="2565"/>
      <c r="H3" s="2565"/>
      <c r="I3" s="2565"/>
      <c r="J3" s="2565"/>
      <c r="K3" s="2565"/>
      <c r="L3" s="2565"/>
      <c r="M3" s="2565"/>
      <c r="N3" s="2565"/>
      <c r="O3" s="2565"/>
      <c r="P3" s="2565"/>
      <c r="Q3" s="2565"/>
      <c r="R3" s="2563"/>
    </row>
    <row r="4" spans="2:18" x14ac:dyDescent="0.2">
      <c r="B4" s="2586" t="str">
        <f>IF(Présentation!$E$2="Français",'TRAD-Paramétrage'!D4,IF(Présentation!$E$2="Anglais",'TRAD-Paramétrage'!F4,""))</f>
        <v>Les cases vertes sont à renseigner</v>
      </c>
      <c r="D4" s="2592" t="s">
        <v>65</v>
      </c>
      <c r="E4" s="2592"/>
      <c r="F4" s="2592" t="s">
        <v>1741</v>
      </c>
      <c r="G4" s="2563"/>
      <c r="H4" s="2563"/>
      <c r="I4" s="2563"/>
      <c r="J4" s="2563"/>
      <c r="K4" s="2563"/>
      <c r="L4" s="2563"/>
      <c r="M4" s="2563"/>
      <c r="N4" s="2563"/>
      <c r="O4" s="2563"/>
      <c r="P4" s="2563"/>
      <c r="Q4" s="2563"/>
      <c r="R4" s="2563"/>
    </row>
    <row r="5" spans="2:18" ht="25.5" x14ac:dyDescent="0.2">
      <c r="B5" s="2586" t="str">
        <f>IF(Présentation!$E$2="Français",'TRAD-Paramétrage'!D5,IF(Présentation!$E$2="Anglais",'TRAD-Paramétrage'!F5,""))</f>
        <v>Etape 1 : Préciser le nom du pays et / ou de la structure de prise en charge</v>
      </c>
      <c r="D5" s="2592" t="s">
        <v>1818</v>
      </c>
      <c r="E5" s="2592"/>
      <c r="F5" s="2592" t="s">
        <v>1786</v>
      </c>
      <c r="G5" s="2563"/>
      <c r="H5" s="2563"/>
      <c r="I5" s="2563"/>
      <c r="J5" s="2563"/>
      <c r="K5" s="2563"/>
      <c r="L5" s="2563"/>
      <c r="M5" s="2563"/>
      <c r="N5" s="2563"/>
      <c r="O5" s="2563"/>
      <c r="P5" s="2563"/>
      <c r="Q5" s="2563"/>
      <c r="R5" s="2563"/>
    </row>
    <row r="6" spans="2:18" ht="25.5" x14ac:dyDescent="0.2">
      <c r="B6" s="2586" t="str">
        <f>IF(Présentation!$E$2="Français",'TRAD-Paramétrage'!D6,IF(Présentation!$E$2="Anglais",'TRAD-Paramétrage'!F6,""))</f>
        <v>Etape 2 : Date d'évaluation de la couverture des besoins</v>
      </c>
      <c r="D6" s="2592" t="s">
        <v>1819</v>
      </c>
      <c r="E6" s="2592"/>
      <c r="F6" s="2592" t="s">
        <v>1787</v>
      </c>
    </row>
    <row r="7" spans="2:18" ht="51" x14ac:dyDescent="0.2">
      <c r="B7" s="2586" t="str">
        <f>IF(Présentation!$E$2="Français",'TRAD-Paramétrage'!D7,IF(Présentation!$E$2="Anglais",'TRAD-Paramétrage'!F7,""))</f>
        <v>Si vous souhaitez tenir compte de la date, préciser ci-dessous dans les cellules correspondantes le jour, le mois et l'année</v>
      </c>
      <c r="D7" s="3191" t="s">
        <v>2058</v>
      </c>
      <c r="E7" s="2592"/>
      <c r="F7" s="3191" t="s">
        <v>2059</v>
      </c>
      <c r="G7" s="2563"/>
      <c r="H7" s="2563"/>
      <c r="I7" s="2563"/>
      <c r="J7" s="2563"/>
      <c r="K7" s="2563"/>
      <c r="L7" s="2563"/>
      <c r="M7" s="2563"/>
      <c r="N7" s="2563"/>
      <c r="O7" s="2563"/>
      <c r="P7" s="2563"/>
      <c r="Q7" s="2563"/>
      <c r="R7" s="2563"/>
    </row>
    <row r="8" spans="2:18" ht="25.5" x14ac:dyDescent="0.2">
      <c r="B8" s="2586" t="str">
        <f>IF(Présentation!$E$2="Français",'TRAD-Paramétrage'!D8,IF(Présentation!$E$2="Anglais",'TRAD-Paramétrage'!F8,""))</f>
        <v>Etape 3 : Stocks de sécurité ou stock tampon</v>
      </c>
      <c r="D8" s="2592" t="s">
        <v>1820</v>
      </c>
      <c r="E8" s="2592"/>
      <c r="F8" s="2592" t="s">
        <v>1788</v>
      </c>
      <c r="G8" s="2593"/>
      <c r="H8" s="2593"/>
      <c r="I8" s="2593"/>
      <c r="J8" s="2593"/>
      <c r="K8" s="2593"/>
      <c r="L8" s="2593"/>
      <c r="M8" s="2593"/>
      <c r="N8" s="2593"/>
      <c r="O8" s="2593"/>
      <c r="P8" s="2593"/>
      <c r="Q8" s="2593"/>
      <c r="R8" s="2593"/>
    </row>
    <row r="9" spans="2:18" ht="25.5" x14ac:dyDescent="0.2">
      <c r="B9" s="2586" t="str">
        <f>IF(Présentation!$E$2="Français",'TRAD-Paramétrage'!D9,IF(Présentation!$E$2="Anglais",'TRAD-Paramétrage'!F9,""))</f>
        <v>Quelle période de sécurité voulez-vous prendre en compte ?</v>
      </c>
      <c r="D9" s="2592" t="s">
        <v>183</v>
      </c>
      <c r="E9" s="2592"/>
      <c r="F9" s="2592" t="s">
        <v>969</v>
      </c>
      <c r="G9" s="2563"/>
      <c r="H9" s="2563"/>
      <c r="I9" s="2563"/>
      <c r="J9" s="2563"/>
      <c r="K9" s="2563"/>
      <c r="L9" s="2563"/>
      <c r="M9" s="2563"/>
      <c r="N9" s="2563"/>
      <c r="O9" s="2563"/>
      <c r="P9" s="2563"/>
      <c r="Q9" s="2563"/>
      <c r="R9" s="2563"/>
    </row>
    <row r="10" spans="2:18" x14ac:dyDescent="0.2">
      <c r="B10" s="2586" t="str">
        <f>IF(Présentation!$E$2="Français",'TRAD-Paramétrage'!D10,IF(Présentation!$E$2="Anglais",'TRAD-Paramétrage'!F10,""))</f>
        <v>Remarque</v>
      </c>
      <c r="D10" s="2592" t="s">
        <v>67</v>
      </c>
      <c r="E10" s="2592"/>
      <c r="F10" s="2592" t="s">
        <v>1008</v>
      </c>
      <c r="G10" s="2594"/>
      <c r="H10" s="2594"/>
      <c r="I10" s="2563"/>
      <c r="J10" s="2563"/>
      <c r="K10" s="2563"/>
      <c r="L10" s="2563"/>
      <c r="M10" s="2563"/>
      <c r="N10" s="2563"/>
      <c r="O10" s="2563"/>
      <c r="P10" s="2563"/>
      <c r="Q10" s="2563"/>
      <c r="R10" s="2563"/>
    </row>
    <row r="11" spans="2:18" ht="63.75" x14ac:dyDescent="0.2">
      <c r="B11" s="2586" t="str">
        <f>IF(Présentation!$E$2="Français",'TRAD-Paramétrage'!D11,IF(Présentation!$E$2="Anglais",'TRAD-Paramétrage'!F11,""))</f>
        <v>Cette donnée permet soit de faire apparaître graphiquement le stock de sécurité sur les représentations visuelles, soit d'en tenir compte dans les quantifications</v>
      </c>
      <c r="D11" s="2592" t="s">
        <v>669</v>
      </c>
      <c r="E11" s="2592"/>
      <c r="F11" s="2592" t="s">
        <v>1742</v>
      </c>
      <c r="G11" s="2563"/>
      <c r="H11" s="2563"/>
      <c r="I11" s="2563"/>
      <c r="J11" s="2563"/>
      <c r="K11" s="2563"/>
      <c r="L11" s="2563"/>
      <c r="M11" s="2563"/>
      <c r="N11" s="2563"/>
      <c r="O11" s="2563"/>
      <c r="P11" s="2563"/>
      <c r="Q11" s="2563"/>
      <c r="R11" s="2563"/>
    </row>
    <row r="12" spans="2:18" x14ac:dyDescent="0.2">
      <c r="B12" s="2586" t="str">
        <f>IF(Présentation!$E$2="Français",'TRAD-Paramétrage'!D12,IF(Présentation!$E$2="Anglais",'TRAD-Paramétrage'!F12,""))</f>
        <v>mois</v>
      </c>
      <c r="D12" s="2592" t="s">
        <v>184</v>
      </c>
      <c r="E12" s="2592"/>
      <c r="F12" s="2592" t="s">
        <v>966</v>
      </c>
      <c r="G12" s="2563"/>
      <c r="H12" s="2563"/>
      <c r="I12" s="2563"/>
      <c r="J12" s="2563"/>
      <c r="K12" s="2563"/>
      <c r="L12" s="2563"/>
      <c r="M12" s="2563"/>
      <c r="N12" s="2563"/>
      <c r="O12" s="2563"/>
      <c r="P12" s="2563"/>
      <c r="Q12" s="2563"/>
      <c r="R12" s="2563"/>
    </row>
    <row r="13" spans="2:18" ht="51" x14ac:dyDescent="0.2">
      <c r="B13" s="2586" t="str">
        <f>IF(Présentation!$E$2="Français",'TRAD-Paramétrage'!D13,IF(Présentation!$E$2="Anglais",'TRAD-Paramétrage'!F13,""))</f>
        <v>Commentaires : certains paramétres spécifiques pourront être saisies dans les différentes feuilles, en particulier pour le module de quantification</v>
      </c>
      <c r="D13" s="2592" t="s">
        <v>1821</v>
      </c>
      <c r="E13" s="2592"/>
      <c r="F13" s="2592" t="s">
        <v>967</v>
      </c>
      <c r="G13" s="2593"/>
      <c r="H13" s="2593"/>
      <c r="I13" s="2593"/>
      <c r="J13" s="2593"/>
      <c r="K13" s="2593"/>
      <c r="L13" s="2593"/>
      <c r="M13" s="2593"/>
      <c r="N13" s="2593"/>
      <c r="O13" s="2593"/>
      <c r="P13" s="2593"/>
      <c r="Q13" s="2593"/>
      <c r="R13" s="2593"/>
    </row>
    <row r="14" spans="2:18" x14ac:dyDescent="0.2">
      <c r="B14" s="2586" t="str">
        <f>IF(Présentation!$E$2="Français",'TRAD-Paramétrage'!D14,IF(Présentation!$E$2="Anglais",'TRAD-Paramétrage'!F14,""))</f>
        <v>Jour</v>
      </c>
      <c r="D14" s="2563" t="s">
        <v>448</v>
      </c>
      <c r="E14" s="2563"/>
      <c r="F14" s="2563" t="s">
        <v>1423</v>
      </c>
      <c r="G14" s="2563"/>
      <c r="H14" s="2563"/>
      <c r="I14" s="2563"/>
      <c r="J14" s="2563"/>
      <c r="K14" s="2563"/>
      <c r="L14" s="2563"/>
      <c r="M14" s="2563"/>
      <c r="N14" s="2563"/>
      <c r="O14" s="2563"/>
      <c r="P14" s="2563"/>
      <c r="Q14" s="2563"/>
      <c r="R14" s="2563"/>
    </row>
    <row r="15" spans="2:18" x14ac:dyDescent="0.2">
      <c r="B15" s="2586" t="str">
        <f>IF(Présentation!$E$2="Français",'TRAD-Paramétrage'!D15,IF(Présentation!$E$2="Anglais",'TRAD-Paramétrage'!F15,""))</f>
        <v>Mois</v>
      </c>
      <c r="D15" s="2563" t="s">
        <v>449</v>
      </c>
      <c r="E15" s="2563"/>
      <c r="F15" s="2563" t="s">
        <v>1424</v>
      </c>
      <c r="G15" s="2565"/>
      <c r="H15" s="2565"/>
      <c r="I15" s="2565"/>
      <c r="J15" s="2565"/>
      <c r="K15" s="2565"/>
      <c r="L15" s="2565"/>
      <c r="M15" s="2565"/>
      <c r="N15" s="2565"/>
      <c r="O15" s="2563"/>
      <c r="P15" s="2563"/>
      <c r="Q15" s="2563"/>
      <c r="R15" s="2563"/>
    </row>
    <row r="16" spans="2:18" x14ac:dyDescent="0.2">
      <c r="B16" s="2586" t="str">
        <f>IF(Présentation!$E$2="Français",'TRAD-Paramétrage'!D16,IF(Présentation!$E$2="Anglais",'TRAD-Paramétrage'!F16,""))</f>
        <v>Année</v>
      </c>
      <c r="D16" s="2558" t="s">
        <v>450</v>
      </c>
      <c r="F16" s="2558" t="s">
        <v>1425</v>
      </c>
    </row>
    <row r="17" spans="2:18" x14ac:dyDescent="0.2">
      <c r="B17" s="2586" t="str">
        <f>IF(Présentation!$E$2="Français",'TRAD-Paramétrage'!D17,IF(Présentation!$E$2="Anglais",'TRAD-Paramétrage'!F17,""))</f>
        <v>Janvier</v>
      </c>
      <c r="D17" s="2558" t="s">
        <v>2034</v>
      </c>
      <c r="F17" s="2558" t="s">
        <v>2046</v>
      </c>
      <c r="G17" s="2595"/>
      <c r="H17" s="2553"/>
      <c r="I17" s="2596"/>
    </row>
    <row r="18" spans="2:18" x14ac:dyDescent="0.2">
      <c r="B18" s="2586" t="str">
        <f>IF(Présentation!$E$2="Français",'TRAD-Paramétrage'!D18,IF(Présentation!$E$2="Anglais",'TRAD-Paramétrage'!F18,""))</f>
        <v>Février</v>
      </c>
      <c r="D18" s="2558" t="s">
        <v>2035</v>
      </c>
      <c r="F18" s="2558" t="s">
        <v>2047</v>
      </c>
    </row>
    <row r="19" spans="2:18" x14ac:dyDescent="0.2">
      <c r="B19" s="2586" t="str">
        <f>IF(Présentation!$E$2="Français",'TRAD-Paramétrage'!D19,IF(Présentation!$E$2="Anglais",'TRAD-Paramétrage'!F19,""))</f>
        <v>Mars</v>
      </c>
      <c r="D19" s="2558" t="s">
        <v>2036</v>
      </c>
      <c r="F19" s="2558" t="s">
        <v>2048</v>
      </c>
    </row>
    <row r="20" spans="2:18" x14ac:dyDescent="0.2">
      <c r="B20" s="2586" t="str">
        <f>IF(Présentation!$E$2="Français",'TRAD-Paramétrage'!D20,IF(Présentation!$E$2="Anglais",'TRAD-Paramétrage'!F20,""))</f>
        <v>Avril</v>
      </c>
      <c r="D20" s="2563" t="s">
        <v>2037</v>
      </c>
      <c r="F20" s="2558" t="s">
        <v>2049</v>
      </c>
      <c r="G20" s="2593"/>
      <c r="H20" s="2593"/>
      <c r="I20" s="2593"/>
      <c r="J20" s="2593"/>
      <c r="K20" s="2593"/>
      <c r="L20" s="2593"/>
      <c r="M20" s="2593"/>
      <c r="N20" s="2593"/>
      <c r="O20" s="2593"/>
      <c r="P20" s="2593"/>
      <c r="Q20" s="2593"/>
      <c r="R20" s="2593"/>
    </row>
    <row r="21" spans="2:18" x14ac:dyDescent="0.2">
      <c r="B21" s="2586" t="str">
        <f>IF(Présentation!$E$2="Français",'TRAD-Paramétrage'!D21,IF(Présentation!$E$2="Anglais",'TRAD-Paramétrage'!F21,""))</f>
        <v>Mai</v>
      </c>
      <c r="D21" s="2563" t="s">
        <v>2038</v>
      </c>
      <c r="E21" s="2563"/>
      <c r="F21" s="2563" t="s">
        <v>2050</v>
      </c>
      <c r="G21" s="2563"/>
      <c r="H21" s="2563"/>
      <c r="I21" s="2563"/>
      <c r="J21" s="2563"/>
      <c r="K21" s="2563"/>
      <c r="L21" s="2563"/>
      <c r="M21" s="2563"/>
      <c r="N21" s="2563"/>
      <c r="O21" s="2563"/>
      <c r="P21" s="2563"/>
      <c r="Q21" s="2563"/>
      <c r="R21" s="2563"/>
    </row>
    <row r="22" spans="2:18" x14ac:dyDescent="0.2">
      <c r="B22" s="2586" t="str">
        <f>IF(Présentation!$E$2="Français",'TRAD-Paramétrage'!D22,IF(Présentation!$E$2="Anglais",'TRAD-Paramétrage'!F22,""))</f>
        <v>Juin</v>
      </c>
      <c r="D22" s="2563" t="s">
        <v>2039</v>
      </c>
      <c r="E22" s="2563"/>
      <c r="F22" s="2563" t="s">
        <v>2051</v>
      </c>
      <c r="G22" s="2565"/>
      <c r="H22" s="2565"/>
      <c r="I22" s="2565"/>
      <c r="J22" s="2565"/>
      <c r="K22" s="2565"/>
      <c r="L22" s="2565"/>
      <c r="M22" s="2565"/>
      <c r="N22" s="2565"/>
      <c r="O22" s="2563"/>
      <c r="P22" s="2563"/>
      <c r="Q22" s="2563"/>
      <c r="R22" s="2563"/>
    </row>
    <row r="23" spans="2:18" x14ac:dyDescent="0.2">
      <c r="B23" s="2586" t="str">
        <f>IF(Présentation!$E$2="Français",'TRAD-Paramétrage'!D23,IF(Présentation!$E$2="Anglais",'TRAD-Paramétrage'!F23,""))</f>
        <v>Juillet</v>
      </c>
      <c r="D23" s="2558" t="s">
        <v>2040</v>
      </c>
      <c r="F23" s="2558" t="s">
        <v>2052</v>
      </c>
    </row>
    <row r="24" spans="2:18" x14ac:dyDescent="0.2">
      <c r="B24" s="2586" t="str">
        <f>IF(Présentation!$E$2="Français",'TRAD-Paramétrage'!D24,IF(Présentation!$E$2="Anglais",'TRAD-Paramétrage'!F24,""))</f>
        <v>Août</v>
      </c>
      <c r="D24" s="2558" t="s">
        <v>2041</v>
      </c>
      <c r="F24" s="2558" t="s">
        <v>2053</v>
      </c>
      <c r="H24" s="2566"/>
      <c r="I24" s="2566"/>
      <c r="J24" s="2566"/>
      <c r="K24" s="2566"/>
      <c r="L24" s="2566"/>
      <c r="M24" s="2566"/>
      <c r="N24" s="2566"/>
      <c r="O24" s="2566"/>
      <c r="P24" s="2566"/>
      <c r="Q24" s="2566"/>
      <c r="R24" s="2566"/>
    </row>
    <row r="25" spans="2:18" x14ac:dyDescent="0.2">
      <c r="B25" s="2586" t="str">
        <f>IF(Présentation!$E$2="Français",'TRAD-Paramétrage'!D25,IF(Présentation!$E$2="Anglais",'TRAD-Paramétrage'!F25,""))</f>
        <v>Septembre</v>
      </c>
      <c r="D25" s="2558" t="s">
        <v>2042</v>
      </c>
      <c r="F25" s="2558" t="s">
        <v>2054</v>
      </c>
      <c r="G25" s="2567"/>
      <c r="I25" s="2566"/>
      <c r="J25" s="2566"/>
      <c r="K25" s="2566"/>
      <c r="L25" s="2566"/>
      <c r="M25" s="2566"/>
      <c r="N25" s="2566"/>
      <c r="O25" s="2566"/>
      <c r="P25" s="2566"/>
      <c r="Q25" s="2566"/>
      <c r="R25" s="2566"/>
    </row>
    <row r="26" spans="2:18" x14ac:dyDescent="0.2">
      <c r="B26" s="2586" t="str">
        <f>IF(Présentation!$E$2="Français",'TRAD-Paramétrage'!D26,IF(Présentation!$E$2="Anglais",'TRAD-Paramétrage'!F26,""))</f>
        <v>Octobre</v>
      </c>
      <c r="D26" s="2558" t="s">
        <v>2043</v>
      </c>
      <c r="F26" s="2558" t="s">
        <v>2055</v>
      </c>
    </row>
    <row r="27" spans="2:18" x14ac:dyDescent="0.2">
      <c r="B27" s="2586" t="str">
        <f>IF(Présentation!$E$2="Français",'TRAD-Paramétrage'!D27,IF(Présentation!$E$2="Anglais",'TRAD-Paramétrage'!F27,""))</f>
        <v>Novembre</v>
      </c>
      <c r="D27" s="2558" t="s">
        <v>2044</v>
      </c>
      <c r="F27" s="2558" t="s">
        <v>2056</v>
      </c>
      <c r="G27" s="2597"/>
    </row>
    <row r="28" spans="2:18" x14ac:dyDescent="0.2">
      <c r="B28" s="2586" t="str">
        <f>IF(Présentation!$E$2="Français",'TRAD-Paramétrage'!D28,IF(Présentation!$E$2="Anglais",'TRAD-Paramétrage'!F28,""))</f>
        <v>Décembre</v>
      </c>
      <c r="D28" s="2558" t="s">
        <v>2045</v>
      </c>
      <c r="F28" s="2558" t="s">
        <v>2057</v>
      </c>
    </row>
    <row r="30" spans="2:18" x14ac:dyDescent="0.2">
      <c r="D30" s="2563"/>
      <c r="F30" s="2593"/>
      <c r="G30" s="2593"/>
      <c r="H30" s="2593"/>
      <c r="I30" s="2593"/>
      <c r="J30" s="2593"/>
      <c r="K30" s="2593"/>
      <c r="L30" s="2593"/>
      <c r="M30" s="2593"/>
      <c r="N30" s="2593"/>
      <c r="O30" s="2593"/>
      <c r="P30" s="2593"/>
      <c r="Q30" s="2593"/>
      <c r="R30" s="2593"/>
    </row>
  </sheetData>
  <sheetProtection sheet="1" objects="1" scenarios="1"/>
  <dataValidations count="1">
    <dataValidation type="date" allowBlank="1" showInputMessage="1" showErrorMessage="1" sqref="G17">
      <formula1>39814</formula1>
      <formula2>46022</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6"/>
  </sheetPr>
  <dimension ref="A2:AK193"/>
  <sheetViews>
    <sheetView showGridLines="0" topLeftCell="A43" zoomScale="85" zoomScaleNormal="85" workbookViewId="0">
      <selection activeCell="O144" sqref="O144"/>
    </sheetView>
  </sheetViews>
  <sheetFormatPr defaultColWidth="11.42578125" defaultRowHeight="12.75" x14ac:dyDescent="0.2"/>
  <cols>
    <col min="1" max="1" width="3.140625" customWidth="1"/>
    <col min="2" max="2" width="5.28515625" customWidth="1"/>
    <col min="3" max="3" width="5.42578125" customWidth="1"/>
    <col min="4" max="4" width="13.5703125" customWidth="1"/>
    <col min="5" max="5" width="10" customWidth="1"/>
    <col min="6" max="6" width="19.85546875" bestFit="1" customWidth="1"/>
    <col min="7" max="7" width="16.42578125" customWidth="1"/>
    <col min="8" max="8" width="18.42578125" bestFit="1" customWidth="1"/>
    <col min="9" max="9" width="19" customWidth="1"/>
    <col min="10" max="10" width="19.7109375" bestFit="1" customWidth="1"/>
    <col min="11" max="11" width="19" bestFit="1" customWidth="1"/>
    <col min="14" max="14" width="15.42578125" customWidth="1"/>
    <col min="15" max="15" width="16.140625" bestFit="1" customWidth="1"/>
    <col min="16" max="16" width="18.7109375" bestFit="1" customWidth="1"/>
    <col min="17" max="17" width="15.140625" bestFit="1" customWidth="1"/>
    <col min="19" max="19" width="16.140625" bestFit="1" customWidth="1"/>
    <col min="20" max="20" width="11.5703125" bestFit="1" customWidth="1"/>
    <col min="21" max="21" width="16.140625" bestFit="1" customWidth="1"/>
    <col min="22" max="22" width="12.28515625" bestFit="1" customWidth="1"/>
    <col min="23" max="23" width="15.5703125" bestFit="1" customWidth="1"/>
    <col min="24" max="24" width="11.5703125" bestFit="1" customWidth="1"/>
    <col min="25" max="25" width="16.140625" bestFit="1" customWidth="1"/>
    <col min="26" max="26" width="11.5703125" bestFit="1" customWidth="1"/>
    <col min="27" max="27" width="15.140625" bestFit="1" customWidth="1"/>
    <col min="28" max="28" width="11.5703125" bestFit="1" customWidth="1"/>
    <col min="29" max="29" width="15.140625" bestFit="1" customWidth="1"/>
    <col min="30" max="30" width="11.5703125" bestFit="1" customWidth="1"/>
  </cols>
  <sheetData>
    <row r="2" spans="1:35" s="9" customFormat="1" ht="22.5" x14ac:dyDescent="0.3">
      <c r="A2" s="1814" t="str">
        <f>'TRAD-Saisie données stocks'!B3</f>
        <v>Feuille SAISIE 2 - Saisie des données de stocks (centraux, périphériques ou commandes en cours)</v>
      </c>
      <c r="B2" s="1814"/>
      <c r="C2" s="1814"/>
      <c r="D2" s="1814"/>
      <c r="E2" s="1814"/>
      <c r="F2" s="1814"/>
      <c r="G2" s="1814"/>
      <c r="H2" s="1814"/>
      <c r="I2" s="1814"/>
      <c r="J2" s="1814"/>
      <c r="K2" s="1814"/>
      <c r="L2" s="1814"/>
      <c r="M2" s="1814"/>
      <c r="N2" s="1814"/>
      <c r="AE2" s="835"/>
      <c r="AF2" s="835"/>
      <c r="AG2" s="835"/>
      <c r="AH2" s="835"/>
      <c r="AI2" s="835"/>
    </row>
    <row r="3" spans="1:35" ht="13.5" thickBot="1" x14ac:dyDescent="0.25"/>
    <row r="4" spans="1:35" s="2530" customFormat="1" ht="13.5" thickBot="1" x14ac:dyDescent="0.25">
      <c r="B4" s="3189" t="str">
        <f>'TRAD-Saisie données stocks'!$B$2</f>
        <v>Rappel de la langue choisie</v>
      </c>
      <c r="E4" s="3192" t="str">
        <f>Présentation!$E$2</f>
        <v>Français</v>
      </c>
    </row>
    <row r="5" spans="1:35" s="2530" customFormat="1" x14ac:dyDescent="0.2"/>
    <row r="6" spans="1:35" s="1713" customFormat="1" ht="18" customHeight="1" thickBot="1" x14ac:dyDescent="0.35">
      <c r="B6" s="1715" t="str">
        <f>'TRAD-Saisie données stocks'!B4</f>
        <v>Etape 1 : Stocks disponibles</v>
      </c>
      <c r="C6" s="1715"/>
      <c r="D6" s="1715"/>
      <c r="E6" s="1715"/>
      <c r="F6" s="1715"/>
      <c r="G6" s="1715"/>
      <c r="H6" s="1715"/>
      <c r="I6" s="1715"/>
      <c r="J6" s="1715"/>
      <c r="K6" s="1715"/>
      <c r="L6" s="1715"/>
      <c r="M6" s="1715"/>
      <c r="N6" s="1715"/>
      <c r="O6" s="1715"/>
      <c r="AD6" s="1714"/>
      <c r="AE6" s="1714"/>
      <c r="AF6" s="1714"/>
      <c r="AG6" s="1714"/>
      <c r="AH6" s="1714"/>
    </row>
    <row r="7" spans="1:35" s="4" customFormat="1" x14ac:dyDescent="0.2">
      <c r="AD7" s="835"/>
      <c r="AE7" s="835"/>
      <c r="AF7" s="835"/>
      <c r="AG7" s="835"/>
      <c r="AH7" s="835"/>
    </row>
    <row r="8" spans="1:35" s="4" customFormat="1" ht="14.25" x14ac:dyDescent="0.2">
      <c r="C8" s="25" t="str">
        <f>'TRAD-Saisie données stocks'!B5</f>
        <v>A. Renseignez les stocks disponibles au niveau central et vérifier le volume des flacons de solutions buvables</v>
      </c>
      <c r="D8" s="25"/>
      <c r="E8" s="25"/>
      <c r="F8" s="25"/>
      <c r="G8" s="25"/>
      <c r="H8" s="25"/>
      <c r="I8" s="25"/>
      <c r="J8" s="25"/>
      <c r="K8" s="25"/>
      <c r="AD8" s="835"/>
      <c r="AE8" s="835"/>
      <c r="AF8" s="835"/>
      <c r="AG8" s="835"/>
      <c r="AH8" s="835"/>
    </row>
    <row r="9" spans="1:35" s="4" customFormat="1" ht="10.5" customHeight="1" thickBot="1" x14ac:dyDescent="0.25">
      <c r="AD9" s="835"/>
      <c r="AE9" s="835"/>
      <c r="AF9" s="835"/>
      <c r="AG9" s="835"/>
      <c r="AH9" s="835"/>
    </row>
    <row r="10" spans="1:35" ht="13.5" customHeight="1" thickBot="1" x14ac:dyDescent="0.25">
      <c r="D10" s="2515" t="str">
        <f>'TRAD-Saisie données stocks'!B6</f>
        <v>Souhaitez vous tenir compte des stocks disponibles UTILISABLES (quantités consommées avant la péremption) ? (Précisez OUI ou NON)</v>
      </c>
      <c r="F10" s="1536"/>
      <c r="G10" s="1536"/>
      <c r="H10" s="1536"/>
      <c r="I10" s="1536"/>
      <c r="J10" s="1536"/>
      <c r="K10" s="1536"/>
      <c r="N10" s="270" t="s">
        <v>1016</v>
      </c>
      <c r="O10" s="2547" t="str">
        <f>IF(Présentation!$E$2="Français",IF($N$10="OUI","OUI",IF($N$10="YES","OUI",IF($N$10="NON","NON",IF($N$10="NO","NON","")))), IF(Présentation!$E$2="Anglais",IF($N$10="YES","YES",IF($N$10="OUI","YES",IF($N$10="NO","NO",IF($N$10="NON","NO",""))))))</f>
        <v>OUI</v>
      </c>
      <c r="P10" s="2538"/>
      <c r="Q10" s="2530"/>
      <c r="AD10" s="836"/>
      <c r="AE10" s="836"/>
      <c r="AF10" s="836"/>
      <c r="AG10" s="836"/>
      <c r="AH10" s="836"/>
    </row>
    <row r="11" spans="1:35" ht="13.5" customHeight="1" x14ac:dyDescent="0.2">
      <c r="E11" s="1812" t="str">
        <f>'TRAD-Saisie données stocks'!B7</f>
        <v>Attention, l'estimation des stocks disponibles UTILISABLES ne sera pas effectuée si le détail des dates de péremption pour chaque produit n'est pas renseigné.</v>
      </c>
      <c r="P11" s="2530"/>
    </row>
    <row r="12" spans="1:35" ht="13.5" customHeight="1" x14ac:dyDescent="0.2">
      <c r="E12" s="1812" t="str">
        <f>'TRAD-Saisie données stocks'!B8</f>
        <v>Si le détail de la répartition des quantités / DLU n'est pas complet, la mention "ATTENTION" apparait dans le tableau de droite.</v>
      </c>
      <c r="N12" s="2530"/>
    </row>
    <row r="13" spans="1:35" ht="13.5" customHeight="1" thickBot="1" x14ac:dyDescent="0.25">
      <c r="E13" s="1812"/>
      <c r="S13" s="2053"/>
    </row>
    <row r="14" spans="1:35" ht="13.5" customHeight="1" thickBot="1" x14ac:dyDescent="0.25">
      <c r="D14" s="64" t="str">
        <f>+'TRAD-Saisie données stocks'!B9</f>
        <v>En l'absence de renseignement d'informations précises sur les DLU, merci de préciser ci-dessous la durée maximale d'utilisation avant péremption que vous voulez prendre en compte.</v>
      </c>
      <c r="E14" s="62"/>
      <c r="F14" s="62"/>
      <c r="G14" s="62"/>
      <c r="H14" s="62"/>
      <c r="I14" s="62"/>
      <c r="J14" s="62"/>
      <c r="N14" s="270">
        <v>6</v>
      </c>
      <c r="O14" s="840" t="str">
        <f>'TRAD-Saisie données stocks'!B12</f>
        <v>MOIS</v>
      </c>
      <c r="P14" s="3193">
        <f>Paramétrage!$H$19</f>
        <v>41919</v>
      </c>
    </row>
    <row r="15" spans="1:35" ht="13.5" customHeight="1" x14ac:dyDescent="0.2">
      <c r="D15" s="2483"/>
      <c r="E15" s="2483"/>
      <c r="F15" s="2483"/>
      <c r="G15" s="2483"/>
      <c r="H15" s="2483"/>
      <c r="I15" s="2483"/>
      <c r="J15" s="2483"/>
      <c r="S15" s="3199"/>
    </row>
    <row r="16" spans="1:35" ht="12.75" customHeight="1" thickBot="1" x14ac:dyDescent="0.25">
      <c r="D16" s="61" t="str">
        <f>'TRAD-Saisie données stocks'!B10</f>
        <v>Lexique</v>
      </c>
      <c r="E16" s="1812" t="str">
        <f>'TRAD-Saisie données stocks'!B11</f>
        <v>DLU = Date limite d'Utilisation</v>
      </c>
      <c r="F16" s="1536"/>
      <c r="G16" s="1536"/>
      <c r="H16" s="1536"/>
      <c r="I16" s="1536"/>
      <c r="J16" s="1536"/>
      <c r="K16" s="1536"/>
      <c r="L16" s="1536"/>
      <c r="M16" s="1536"/>
      <c r="N16" s="1536"/>
      <c r="O16" s="1536"/>
      <c r="AD16" s="836"/>
      <c r="AE16" s="836"/>
      <c r="AF16" s="836"/>
      <c r="AG16" s="836"/>
      <c r="AH16" s="836"/>
    </row>
    <row r="17" spans="4:34" s="4" customFormat="1" ht="13.5" thickBot="1" x14ac:dyDescent="0.25">
      <c r="N17"/>
      <c r="P17" s="3215" t="str">
        <f>'TRAD-Saisie données stocks'!B21</f>
        <v>Détail des dates de péremption et des quantités</v>
      </c>
      <c r="Q17" s="3216"/>
      <c r="R17" s="3216"/>
      <c r="S17" s="3216"/>
      <c r="T17" s="3216"/>
      <c r="U17" s="3216"/>
      <c r="V17" s="3216"/>
      <c r="W17" s="3216"/>
      <c r="X17" s="3216"/>
      <c r="Y17" s="3216"/>
      <c r="Z17" s="3216"/>
      <c r="AA17" s="3216"/>
      <c r="AB17" s="3216"/>
      <c r="AC17" s="3217"/>
      <c r="AD17" s="835"/>
      <c r="AE17" s="835"/>
      <c r="AF17" s="835"/>
      <c r="AG17" s="835"/>
      <c r="AH17" s="835"/>
    </row>
    <row r="18" spans="4:34" s="4" customFormat="1" ht="64.5" thickBot="1" x14ac:dyDescent="0.25">
      <c r="D18" s="85"/>
      <c r="E18" s="120"/>
      <c r="F18" s="32" t="str">
        <f>'TRAD-Saisie données stocks'!B13</f>
        <v>Composition</v>
      </c>
      <c r="G18" s="33" t="str">
        <f>'TRAD-Saisie données stocks'!B14</f>
        <v>Forme galénique</v>
      </c>
      <c r="H18" s="33" t="str">
        <f>'TRAD-Saisie données stocks'!B15</f>
        <v>Dosage</v>
      </c>
      <c r="I18" s="33" t="str">
        <f>'TRAD-Saisie données stocks'!B16</f>
        <v>DCI</v>
      </c>
      <c r="J18" s="33" t="str">
        <f>'TRAD-Saisie données stocks'!B17</f>
        <v>Nom de spécialité</v>
      </c>
      <c r="K18" s="33" t="str">
        <f>'TRAD-Saisie données stocks'!B18</f>
        <v>Nom de générique possible</v>
      </c>
      <c r="L18" s="33" t="str">
        <f>'TRAD-Saisie données stocks'!B19</f>
        <v>Conditionnement</v>
      </c>
      <c r="M18" s="34"/>
      <c r="N18" s="127" t="str">
        <f>'TRAD-Saisie données stocks'!B20</f>
        <v>Quantités en stock en nombre de boites</v>
      </c>
      <c r="O18"/>
      <c r="P18" s="778" t="str">
        <f>'TRAD-Saisie données stocks'!B22</f>
        <v>Alerte Le détail / DLU est incomplet</v>
      </c>
      <c r="Q18" s="32" t="str">
        <f>'TRAD-Saisie données stocks'!$B$23</f>
        <v>Date de péremption 
1</v>
      </c>
      <c r="R18" s="34" t="str">
        <f>'TRAD-Saisie données stocks'!$B$24</f>
        <v>Quantités (nb de boites) 1
1</v>
      </c>
      <c r="S18" s="32" t="str">
        <f>'TRAD-Saisie données stocks'!$B$25</f>
        <v xml:space="preserve">Date de péremption 2
</v>
      </c>
      <c r="T18" s="34" t="str">
        <f>'TRAD-Saisie données stocks'!$B$26</f>
        <v>Quantités (nb de boites) 2</v>
      </c>
      <c r="U18" s="32" t="str">
        <f>'TRAD-Saisie données stocks'!$B$27</f>
        <v>Date de péremption 3
3</v>
      </c>
      <c r="V18" s="34" t="str">
        <f>'TRAD-Saisie données stocks'!$B$28</f>
        <v>Quantités (nb de boites) 3</v>
      </c>
      <c r="W18" s="32" t="str">
        <f>'TRAD-Saisie données stocks'!$B$29</f>
        <v xml:space="preserve">Date de péremption 4
</v>
      </c>
      <c r="X18" s="34" t="str">
        <f>'TRAD-Saisie données stocks'!$B$30</f>
        <v>Quantités (nb de boites) 4</v>
      </c>
      <c r="Y18" s="32" t="str">
        <f>'TRAD-Saisie données stocks'!$B$31</f>
        <v xml:space="preserve">Date de péremption 5
</v>
      </c>
      <c r="Z18" s="34" t="str">
        <f>'TRAD-Saisie données stocks'!$B$32</f>
        <v>Quantités (nb de boites) 5</v>
      </c>
      <c r="AA18" s="32" t="str">
        <f>'TRAD-Saisie données stocks'!$B$33</f>
        <v>Date de péremption 6</v>
      </c>
      <c r="AB18" s="34" t="str">
        <f>'TRAD-Saisie données stocks'!$B$34</f>
        <v>Quantités (nb de boites) 6</v>
      </c>
      <c r="AC18" s="32" t="str">
        <f>'TRAD-Saisie données stocks'!$B$35</f>
        <v>Date de péremption 7</v>
      </c>
      <c r="AD18" s="34" t="str">
        <f>'TRAD-Saisie données stocks'!$B$36</f>
        <v>Quantités (nb de boites) 7</v>
      </c>
    </row>
    <row r="19" spans="4:34" s="4" customFormat="1" ht="39" thickBot="1" x14ac:dyDescent="0.25">
      <c r="D19" s="31" t="str">
        <f>'TRAD-Saisie données stocks'!B37</f>
        <v>Comprimés</v>
      </c>
      <c r="E19" s="97" t="str">
        <f>'TRAD-Saisie données stocks'!B38</f>
        <v>CDF</v>
      </c>
      <c r="F19" s="86" t="s">
        <v>1</v>
      </c>
      <c r="G19" s="87" t="str">
        <f>'TRAD-Saisie données stocks'!B64</f>
        <v>Cp</v>
      </c>
      <c r="H19" s="87" t="s">
        <v>17</v>
      </c>
      <c r="I19" s="87" t="s">
        <v>1761</v>
      </c>
      <c r="J19" s="36"/>
      <c r="K19" s="35" t="s">
        <v>99</v>
      </c>
      <c r="L19" s="113">
        <v>60</v>
      </c>
      <c r="M19" s="328"/>
      <c r="N19" s="270">
        <f>(220800+590400+592200+592200+592200+592380+595200)/60</f>
        <v>62923</v>
      </c>
      <c r="O19"/>
      <c r="P19" s="779" t="str">
        <f>IF('Calculs Péremption FA'!P7='TRAD-Saisie données stocks'!$B$70, 'TRAD-Saisie données stocks'!$B$69, "")</f>
        <v/>
      </c>
      <c r="Q19" s="652">
        <v>42856</v>
      </c>
      <c r="R19" s="647">
        <v>62923</v>
      </c>
      <c r="S19" s="652"/>
      <c r="T19" s="647"/>
      <c r="U19" s="652"/>
      <c r="V19" s="647"/>
      <c r="W19" s="652"/>
      <c r="X19" s="647"/>
      <c r="Y19" s="652"/>
      <c r="Z19" s="647"/>
      <c r="AA19" s="652"/>
      <c r="AB19" s="647"/>
      <c r="AC19" s="652"/>
      <c r="AD19" s="647"/>
    </row>
    <row r="20" spans="4:34" s="4" customFormat="1" ht="39" thickBot="1" x14ac:dyDescent="0.25">
      <c r="D20" s="37"/>
      <c r="E20" s="98"/>
      <c r="F20" s="501" t="s">
        <v>1</v>
      </c>
      <c r="G20" s="502" t="str">
        <f>'TRAD-Saisie données stocks'!B64</f>
        <v>Cp</v>
      </c>
      <c r="H20" s="502" t="s">
        <v>258</v>
      </c>
      <c r="I20" s="502" t="s">
        <v>1761</v>
      </c>
      <c r="J20" s="503"/>
      <c r="K20" s="504" t="s">
        <v>259</v>
      </c>
      <c r="L20" s="505">
        <v>60</v>
      </c>
      <c r="M20" s="330"/>
      <c r="N20" s="270">
        <f>61920/L20</f>
        <v>1032</v>
      </c>
      <c r="O20"/>
      <c r="P20" s="779" t="str">
        <f>IF('Calculs Péremption FA'!P8='TRAD-Saisie données stocks'!$B$70, 'TRAD-Saisie données stocks'!$B$69, "")</f>
        <v/>
      </c>
      <c r="Q20" s="653">
        <v>42339</v>
      </c>
      <c r="R20" s="648">
        <v>1032</v>
      </c>
      <c r="S20" s="653"/>
      <c r="T20" s="648"/>
      <c r="U20" s="653"/>
      <c r="V20" s="648"/>
      <c r="W20" s="653"/>
      <c r="X20" s="648"/>
      <c r="Y20" s="653"/>
      <c r="Z20" s="648"/>
      <c r="AA20" s="653"/>
      <c r="AB20" s="648"/>
      <c r="AC20" s="653"/>
      <c r="AD20" s="648"/>
    </row>
    <row r="21" spans="4:34" s="4" customFormat="1" ht="39" thickBot="1" x14ac:dyDescent="0.25">
      <c r="D21" s="37"/>
      <c r="E21" s="98"/>
      <c r="F21" s="88" t="s">
        <v>3</v>
      </c>
      <c r="G21" s="89" t="str">
        <f>'TRAD-Saisie données stocks'!B64</f>
        <v>Cp</v>
      </c>
      <c r="H21" s="89" t="s">
        <v>137</v>
      </c>
      <c r="I21" s="89" t="s">
        <v>790</v>
      </c>
      <c r="J21" s="39" t="s">
        <v>138</v>
      </c>
      <c r="K21" s="38"/>
      <c r="L21" s="114">
        <v>60</v>
      </c>
      <c r="M21" s="330"/>
      <c r="N21" s="270">
        <f>39960/L21</f>
        <v>666</v>
      </c>
      <c r="O21"/>
      <c r="P21" s="779" t="str">
        <f>IF('Calculs Péremption FA'!P9='TRAD-Saisie données stocks'!$B$70, 'TRAD-Saisie données stocks'!$B$69, "")</f>
        <v/>
      </c>
      <c r="Q21" s="653">
        <v>42186</v>
      </c>
      <c r="R21" s="648">
        <v>666</v>
      </c>
      <c r="S21" s="653"/>
      <c r="T21" s="648"/>
      <c r="U21" s="653"/>
      <c r="V21" s="648"/>
      <c r="W21" s="653"/>
      <c r="X21" s="648"/>
      <c r="Y21" s="653"/>
      <c r="Z21" s="648"/>
      <c r="AA21" s="653"/>
      <c r="AB21" s="648"/>
      <c r="AC21" s="653"/>
      <c r="AD21" s="648"/>
    </row>
    <row r="22" spans="4:34" s="4" customFormat="1" ht="26.25" thickBot="1" x14ac:dyDescent="0.25">
      <c r="D22" s="37"/>
      <c r="E22" s="98"/>
      <c r="F22" s="1658" t="s">
        <v>18</v>
      </c>
      <c r="G22" s="1659" t="str">
        <f>'TRAD-Saisie données stocks'!B64</f>
        <v>Cp</v>
      </c>
      <c r="H22" s="1659" t="s">
        <v>19</v>
      </c>
      <c r="I22" s="89" t="s">
        <v>791</v>
      </c>
      <c r="J22" s="39" t="s">
        <v>100</v>
      </c>
      <c r="K22" s="38" t="s">
        <v>101</v>
      </c>
      <c r="L22" s="114">
        <v>60</v>
      </c>
      <c r="M22" s="330"/>
      <c r="N22" s="270">
        <f>(287040+390840)/L22</f>
        <v>11298</v>
      </c>
      <c r="O22"/>
      <c r="P22" s="779" t="str">
        <f>IF('Calculs Péremption FA'!P10='TRAD-Saisie données stocks'!$B$70, 'TRAD-Saisie données stocks'!$B$69, "")</f>
        <v/>
      </c>
      <c r="Q22" s="653">
        <v>42430</v>
      </c>
      <c r="R22" s="648">
        <v>4784</v>
      </c>
      <c r="S22" s="653">
        <v>42705</v>
      </c>
      <c r="T22" s="648">
        <f>N22-R22</f>
        <v>6514</v>
      </c>
      <c r="U22" s="653"/>
      <c r="V22" s="648"/>
      <c r="W22" s="653"/>
      <c r="X22" s="648"/>
      <c r="Y22" s="653"/>
      <c r="Z22" s="648"/>
      <c r="AA22" s="653"/>
      <c r="AB22" s="648"/>
      <c r="AC22" s="653"/>
      <c r="AD22" s="648"/>
    </row>
    <row r="23" spans="4:34" s="4" customFormat="1" ht="26.25" thickBot="1" x14ac:dyDescent="0.25">
      <c r="D23" s="37"/>
      <c r="E23" s="98"/>
      <c r="F23" s="1656" t="s">
        <v>18</v>
      </c>
      <c r="G23" s="1657" t="str">
        <f>'TRAD-Saisie données stocks'!B64</f>
        <v>Cp</v>
      </c>
      <c r="H23" s="1657" t="s">
        <v>260</v>
      </c>
      <c r="I23" s="502" t="s">
        <v>791</v>
      </c>
      <c r="J23" s="503"/>
      <c r="K23" s="504" t="s">
        <v>261</v>
      </c>
      <c r="L23" s="505">
        <v>60</v>
      </c>
      <c r="M23" s="330"/>
      <c r="N23" s="270">
        <f>743</f>
        <v>743</v>
      </c>
      <c r="O23"/>
      <c r="P23" s="779" t="str">
        <f>IF('Calculs Péremption FA'!P11='TRAD-Saisie données stocks'!$B$70, 'TRAD-Saisie données stocks'!$B$69, "")</f>
        <v/>
      </c>
      <c r="Q23" s="653">
        <v>42186</v>
      </c>
      <c r="R23" s="648">
        <v>743</v>
      </c>
      <c r="S23" s="653"/>
      <c r="T23" s="648"/>
      <c r="U23" s="653"/>
      <c r="V23" s="648"/>
      <c r="W23" s="653"/>
      <c r="X23" s="648"/>
      <c r="Y23" s="653"/>
      <c r="Z23" s="648"/>
      <c r="AA23" s="653"/>
      <c r="AB23" s="648"/>
      <c r="AC23" s="653"/>
      <c r="AD23" s="648"/>
    </row>
    <row r="24" spans="4:34" s="4" customFormat="1" ht="26.25" thickBot="1" x14ac:dyDescent="0.25">
      <c r="D24" s="37"/>
      <c r="E24" s="98"/>
      <c r="F24" s="1656" t="s">
        <v>474</v>
      </c>
      <c r="G24" s="1657" t="str">
        <f>'TRAD-Saisie données stocks'!B64</f>
        <v>Cp</v>
      </c>
      <c r="H24" s="1657" t="s">
        <v>478</v>
      </c>
      <c r="I24" s="502" t="s">
        <v>792</v>
      </c>
      <c r="J24" s="503"/>
      <c r="K24" s="504" t="s">
        <v>489</v>
      </c>
      <c r="L24" s="505">
        <v>30</v>
      </c>
      <c r="M24" s="330"/>
      <c r="N24" s="270">
        <f>4410/L24</f>
        <v>147</v>
      </c>
      <c r="O24"/>
      <c r="P24" s="779" t="str">
        <f>IF('Calculs Péremption FA'!P12='TRAD-Saisie données stocks'!$B$70, 'TRAD-Saisie données stocks'!$B$69, "")</f>
        <v/>
      </c>
      <c r="Q24" s="653">
        <v>42461</v>
      </c>
      <c r="R24" s="648">
        <v>147</v>
      </c>
      <c r="S24" s="653"/>
      <c r="T24" s="648"/>
      <c r="U24" s="653"/>
      <c r="V24" s="648"/>
      <c r="W24" s="653"/>
      <c r="X24" s="648"/>
      <c r="Y24" s="653"/>
      <c r="Z24" s="648"/>
      <c r="AA24" s="653"/>
      <c r="AB24" s="648"/>
      <c r="AC24" s="653"/>
      <c r="AD24" s="648"/>
    </row>
    <row r="25" spans="4:34" s="4" customFormat="1" ht="26.25" thickBot="1" x14ac:dyDescent="0.25">
      <c r="D25" s="37"/>
      <c r="E25" s="98"/>
      <c r="F25" s="1656" t="s">
        <v>474</v>
      </c>
      <c r="G25" s="1657" t="str">
        <f>'TRAD-Saisie données stocks'!B64</f>
        <v>Cp</v>
      </c>
      <c r="H25" s="1657" t="s">
        <v>610</v>
      </c>
      <c r="I25" s="502" t="s">
        <v>792</v>
      </c>
      <c r="J25" s="503"/>
      <c r="K25" s="504"/>
      <c r="L25" s="505">
        <v>60</v>
      </c>
      <c r="M25" s="330"/>
      <c r="N25" s="270">
        <f>13860/L25</f>
        <v>231</v>
      </c>
      <c r="O25"/>
      <c r="P25" s="779" t="str">
        <f>IF('Calculs Péremption FA'!P13='TRAD-Saisie données stocks'!$B$70, 'TRAD-Saisie données stocks'!$B$69, "")</f>
        <v/>
      </c>
      <c r="Q25" s="653">
        <v>42036</v>
      </c>
      <c r="R25" s="648">
        <v>231</v>
      </c>
      <c r="S25" s="653"/>
      <c r="T25" s="648"/>
      <c r="U25" s="653"/>
      <c r="V25" s="648"/>
      <c r="W25" s="653"/>
      <c r="X25" s="648"/>
      <c r="Y25" s="653"/>
      <c r="Z25" s="648"/>
      <c r="AA25" s="653"/>
      <c r="AB25" s="648"/>
      <c r="AC25" s="653"/>
      <c r="AD25" s="648"/>
    </row>
    <row r="26" spans="4:34" s="4" customFormat="1" ht="39" thickBot="1" x14ac:dyDescent="0.25">
      <c r="D26" s="37"/>
      <c r="E26" s="98"/>
      <c r="F26" s="1660" t="s">
        <v>2</v>
      </c>
      <c r="G26" s="1661" t="str">
        <f>'TRAD-Saisie données stocks'!B64</f>
        <v>Cp</v>
      </c>
      <c r="H26" s="1661" t="s">
        <v>21</v>
      </c>
      <c r="I26" s="1207" t="s">
        <v>1762</v>
      </c>
      <c r="J26" s="41"/>
      <c r="K26" s="40" t="s">
        <v>20</v>
      </c>
      <c r="L26" s="115">
        <v>60</v>
      </c>
      <c r="M26" s="331"/>
      <c r="N26" s="270"/>
      <c r="O26"/>
      <c r="P26" s="779" t="str">
        <f>IF('Calculs Péremption FA'!P14='TRAD-Saisie données stocks'!$B$70, 'TRAD-Saisie données stocks'!$B$69, "")</f>
        <v/>
      </c>
      <c r="Q26" s="3197"/>
      <c r="R26" s="648"/>
      <c r="S26" s="3197"/>
      <c r="T26" s="648"/>
      <c r="U26" s="3197"/>
      <c r="V26" s="648"/>
      <c r="W26" s="3197"/>
      <c r="X26" s="648"/>
      <c r="Y26" s="3197"/>
      <c r="Z26" s="648"/>
      <c r="AA26" s="3197"/>
      <c r="AB26" s="648"/>
      <c r="AC26" s="3197"/>
      <c r="AD26" s="648"/>
    </row>
    <row r="27" spans="4:34" s="4" customFormat="1" ht="39" thickBot="1" x14ac:dyDescent="0.25">
      <c r="D27" s="37"/>
      <c r="E27" s="98"/>
      <c r="F27" s="1660" t="s">
        <v>2</v>
      </c>
      <c r="G27" s="1661" t="str">
        <f>'TRAD-Saisie données stocks'!B64</f>
        <v>Cp</v>
      </c>
      <c r="H27" s="1661" t="s">
        <v>102</v>
      </c>
      <c r="I27" s="1207" t="s">
        <v>1762</v>
      </c>
      <c r="J27" s="40"/>
      <c r="K27" s="40" t="s">
        <v>103</v>
      </c>
      <c r="L27" s="115">
        <v>60</v>
      </c>
      <c r="M27" s="331"/>
      <c r="N27" s="270">
        <v>91</v>
      </c>
      <c r="O27"/>
      <c r="P27" s="779" t="str">
        <f>IF('Calculs Péremption FA'!P15='TRAD-Saisie données stocks'!$B$70, 'TRAD-Saisie données stocks'!$B$69, "")</f>
        <v/>
      </c>
      <c r="Q27" s="653">
        <v>41944</v>
      </c>
      <c r="R27" s="648">
        <v>91</v>
      </c>
      <c r="S27" s="653"/>
      <c r="T27" s="648"/>
      <c r="U27" s="653"/>
      <c r="V27" s="648"/>
      <c r="W27" s="653"/>
      <c r="X27" s="648"/>
      <c r="Y27" s="653"/>
      <c r="Z27" s="648"/>
      <c r="AA27" s="653"/>
      <c r="AB27" s="648"/>
      <c r="AC27" s="653"/>
      <c r="AD27" s="648"/>
    </row>
    <row r="28" spans="4:34" s="4" customFormat="1" ht="26.25" thickBot="1" x14ac:dyDescent="0.25">
      <c r="D28" s="37"/>
      <c r="E28" s="98"/>
      <c r="F28" s="1660" t="s">
        <v>22</v>
      </c>
      <c r="G28" s="1661" t="str">
        <f>'TRAD-Saisie données stocks'!B64</f>
        <v>Cp</v>
      </c>
      <c r="H28" s="1661" t="s">
        <v>23</v>
      </c>
      <c r="I28" s="89" t="s">
        <v>793</v>
      </c>
      <c r="J28" s="38"/>
      <c r="K28" s="40" t="s">
        <v>124</v>
      </c>
      <c r="L28" s="115">
        <v>60</v>
      </c>
      <c r="M28" s="331"/>
      <c r="N28" s="270">
        <f>120/L28</f>
        <v>2</v>
      </c>
      <c r="O28"/>
      <c r="P28" s="779" t="str">
        <f>IF('Calculs Péremption FA'!P16='TRAD-Saisie données stocks'!$B$70, 'TRAD-Saisie données stocks'!$B$69, "")</f>
        <v/>
      </c>
      <c r="Q28" s="653">
        <v>42005</v>
      </c>
      <c r="R28" s="648">
        <v>2</v>
      </c>
      <c r="S28" s="653"/>
      <c r="T28" s="648"/>
      <c r="U28" s="653"/>
      <c r="V28" s="648"/>
      <c r="W28" s="653"/>
      <c r="X28" s="648"/>
      <c r="Y28" s="653"/>
      <c r="Z28" s="648"/>
      <c r="AA28" s="653"/>
      <c r="AB28" s="648"/>
      <c r="AC28" s="653"/>
      <c r="AD28" s="648"/>
    </row>
    <row r="29" spans="4:34" s="4" customFormat="1" ht="39" thickBot="1" x14ac:dyDescent="0.25">
      <c r="D29" s="37"/>
      <c r="E29" s="98"/>
      <c r="F29" s="1660" t="s">
        <v>9</v>
      </c>
      <c r="G29" s="1661" t="str">
        <f>'TRAD-Saisie données stocks'!B64</f>
        <v>Cp</v>
      </c>
      <c r="H29" s="1661" t="s">
        <v>130</v>
      </c>
      <c r="I29" s="89" t="s">
        <v>1763</v>
      </c>
      <c r="J29" s="38" t="s">
        <v>123</v>
      </c>
      <c r="K29" s="40"/>
      <c r="L29" s="115">
        <v>30</v>
      </c>
      <c r="M29" s="331"/>
      <c r="N29" s="270"/>
      <c r="O29"/>
      <c r="P29" s="779" t="str">
        <f>IF('Calculs Péremption FA'!P17='TRAD-Saisie données stocks'!$B$70, 'TRAD-Saisie données stocks'!$B$69, "")</f>
        <v/>
      </c>
      <c r="Q29" s="3197"/>
      <c r="R29" s="648"/>
      <c r="S29" s="3197"/>
      <c r="T29" s="648"/>
      <c r="U29" s="3197"/>
      <c r="V29" s="648"/>
      <c r="W29" s="3197"/>
      <c r="X29" s="648"/>
      <c r="Y29" s="3197"/>
      <c r="Z29" s="648"/>
      <c r="AA29" s="3197"/>
      <c r="AB29" s="648"/>
      <c r="AC29" s="3197"/>
      <c r="AD29" s="648"/>
    </row>
    <row r="30" spans="4:34" s="4" customFormat="1" ht="26.25" thickBot="1" x14ac:dyDescent="0.25">
      <c r="D30" s="37"/>
      <c r="E30" s="98"/>
      <c r="F30" s="1660" t="s">
        <v>121</v>
      </c>
      <c r="G30" s="1661" t="str">
        <f>'TRAD-Saisie données stocks'!B64</f>
        <v>Cp</v>
      </c>
      <c r="H30" s="1661" t="s">
        <v>25</v>
      </c>
      <c r="I30" s="89" t="s">
        <v>1764</v>
      </c>
      <c r="J30" s="38" t="s">
        <v>24</v>
      </c>
      <c r="K30" s="40"/>
      <c r="L30" s="115">
        <v>30</v>
      </c>
      <c r="M30" s="331"/>
      <c r="N30" s="270"/>
      <c r="O30"/>
      <c r="P30" s="779" t="str">
        <f>IF('Calculs Péremption FA'!P18='TRAD-Saisie données stocks'!$B$70, 'TRAD-Saisie données stocks'!$B$69, "")</f>
        <v/>
      </c>
      <c r="Q30" s="3197"/>
      <c r="R30" s="648"/>
      <c r="S30" s="3197"/>
      <c r="T30" s="648"/>
      <c r="U30" s="3197"/>
      <c r="V30" s="648"/>
      <c r="W30" s="3197"/>
      <c r="X30" s="648"/>
      <c r="Y30" s="3197"/>
      <c r="Z30" s="648"/>
      <c r="AA30" s="3197"/>
      <c r="AB30" s="648"/>
      <c r="AC30" s="3197"/>
      <c r="AD30" s="648"/>
    </row>
    <row r="31" spans="4:34" s="4" customFormat="1" ht="39" thickBot="1" x14ac:dyDescent="0.25">
      <c r="D31" s="37"/>
      <c r="E31" s="123"/>
      <c r="F31" s="1660" t="s">
        <v>4</v>
      </c>
      <c r="G31" s="1661" t="str">
        <f>'TRAD-Saisie données stocks'!B64</f>
        <v>Cp</v>
      </c>
      <c r="H31" s="1661" t="s">
        <v>130</v>
      </c>
      <c r="I31" s="89" t="s">
        <v>1765</v>
      </c>
      <c r="J31" s="38" t="s">
        <v>123</v>
      </c>
      <c r="K31" s="40"/>
      <c r="L31" s="115">
        <v>30</v>
      </c>
      <c r="M31" s="331"/>
      <c r="N31" s="270">
        <f>(153720+202920+346140+378240)/L31</f>
        <v>36034</v>
      </c>
      <c r="O31"/>
      <c r="P31" s="779" t="str">
        <f>IF('Calculs Péremption FA'!P19='TRAD-Saisie données stocks'!$B$70, 'TRAD-Saisie données stocks'!$B$69, "")</f>
        <v/>
      </c>
      <c r="Q31" s="653">
        <v>42339</v>
      </c>
      <c r="R31" s="648">
        <v>36034</v>
      </c>
      <c r="S31" s="653"/>
      <c r="T31" s="648"/>
      <c r="U31" s="653"/>
      <c r="V31" s="648"/>
      <c r="W31" s="653"/>
      <c r="X31" s="648"/>
      <c r="Y31" s="653"/>
      <c r="Z31" s="648"/>
      <c r="AA31" s="653"/>
      <c r="AB31" s="648"/>
      <c r="AC31" s="653"/>
      <c r="AD31" s="648"/>
    </row>
    <row r="32" spans="4:34" s="4" customFormat="1" ht="26.25" thickBot="1" x14ac:dyDescent="0.25">
      <c r="D32" s="37"/>
      <c r="E32" s="123"/>
      <c r="F32" s="1660" t="s">
        <v>228</v>
      </c>
      <c r="G32" s="1661" t="str">
        <f>'TRAD-Saisie données stocks'!B64</f>
        <v>Cp</v>
      </c>
      <c r="H32" s="1661" t="s">
        <v>25</v>
      </c>
      <c r="I32" s="89" t="s">
        <v>1766</v>
      </c>
      <c r="J32" s="38"/>
      <c r="K32" s="40"/>
      <c r="L32" s="115">
        <v>30</v>
      </c>
      <c r="M32" s="331"/>
      <c r="N32" s="270">
        <f>15150/L32</f>
        <v>505</v>
      </c>
      <c r="O32"/>
      <c r="P32" s="779" t="str">
        <f>IF('Calculs Péremption FA'!P20='TRAD-Saisie données stocks'!$B$70, 'TRAD-Saisie données stocks'!$B$69, "")</f>
        <v/>
      </c>
      <c r="Q32" s="653">
        <v>42064</v>
      </c>
      <c r="R32" s="648">
        <v>505</v>
      </c>
      <c r="S32" s="653"/>
      <c r="T32" s="648"/>
      <c r="U32" s="653"/>
      <c r="V32" s="648"/>
      <c r="W32" s="653"/>
      <c r="X32" s="648"/>
      <c r="Y32" s="653"/>
      <c r="Z32" s="648"/>
      <c r="AA32" s="653"/>
      <c r="AB32" s="648"/>
      <c r="AC32" s="653"/>
      <c r="AD32" s="648"/>
    </row>
    <row r="33" spans="4:30" s="4" customFormat="1" ht="51.75" thickBot="1" x14ac:dyDescent="0.25">
      <c r="D33" s="100"/>
      <c r="E33" s="101"/>
      <c r="F33" s="1663" t="s">
        <v>612</v>
      </c>
      <c r="G33" s="1664" t="str">
        <f>'TRAD-Saisie données stocks'!B65</f>
        <v>Cp coblister</v>
      </c>
      <c r="H33" s="1664" t="s">
        <v>613</v>
      </c>
      <c r="I33" s="1640" t="s">
        <v>1767</v>
      </c>
      <c r="J33" s="104"/>
      <c r="K33" s="105"/>
      <c r="L33" s="116">
        <v>30</v>
      </c>
      <c r="M33" s="333"/>
      <c r="N33" s="270"/>
      <c r="O33"/>
      <c r="P33" s="779" t="str">
        <f>IF('Calculs Péremption FA'!P21='TRAD-Saisie données stocks'!$B$70, 'TRAD-Saisie données stocks'!$B$69, "")</f>
        <v/>
      </c>
      <c r="Q33" s="3197"/>
      <c r="R33" s="648"/>
      <c r="S33" s="3197"/>
      <c r="T33" s="648"/>
      <c r="U33" s="3197"/>
      <c r="V33" s="648"/>
      <c r="W33" s="3197"/>
      <c r="X33" s="648"/>
      <c r="Y33" s="3197"/>
      <c r="Z33" s="648"/>
      <c r="AA33" s="3197"/>
      <c r="AB33" s="648"/>
      <c r="AC33" s="3197"/>
      <c r="AD33" s="648"/>
    </row>
    <row r="34" spans="4:30" s="4" customFormat="1" ht="13.5" thickBot="1" x14ac:dyDescent="0.25">
      <c r="D34" s="37"/>
      <c r="E34" s="98" t="str">
        <f>'TRAD-Saisie données stocks'!B40</f>
        <v>INNTI</v>
      </c>
      <c r="F34" s="1658" t="s">
        <v>27</v>
      </c>
      <c r="G34" s="1659" t="s">
        <v>104</v>
      </c>
      <c r="H34" s="1659" t="s">
        <v>105</v>
      </c>
      <c r="I34" s="89" t="s">
        <v>621</v>
      </c>
      <c r="J34" s="38" t="s">
        <v>87</v>
      </c>
      <c r="K34" s="38"/>
      <c r="L34" s="114">
        <v>30</v>
      </c>
      <c r="M34" s="506"/>
      <c r="N34" s="270"/>
      <c r="O34"/>
      <c r="P34" s="779" t="str">
        <f>IF('Calculs Péremption FA'!P22='TRAD-Saisie données stocks'!$B$70, 'TRAD-Saisie données stocks'!$B$69, "")</f>
        <v/>
      </c>
      <c r="Q34" s="3197"/>
      <c r="R34" s="648"/>
      <c r="S34" s="3197"/>
      <c r="T34" s="648"/>
      <c r="U34" s="3197"/>
      <c r="V34" s="648"/>
      <c r="W34" s="3197"/>
      <c r="X34" s="648"/>
      <c r="Y34" s="3197"/>
      <c r="Z34" s="648"/>
      <c r="AA34" s="3197"/>
      <c r="AB34" s="648"/>
      <c r="AC34" s="3197"/>
      <c r="AD34" s="648"/>
    </row>
    <row r="35" spans="4:30" s="4" customFormat="1" ht="13.5" thickBot="1" x14ac:dyDescent="0.25">
      <c r="D35" s="37"/>
      <c r="E35" s="98"/>
      <c r="F35" s="1660" t="s">
        <v>27</v>
      </c>
      <c r="G35" s="1661" t="s">
        <v>104</v>
      </c>
      <c r="H35" s="1661" t="s">
        <v>30</v>
      </c>
      <c r="I35" s="89" t="s">
        <v>621</v>
      </c>
      <c r="J35" s="38" t="s">
        <v>87</v>
      </c>
      <c r="K35" s="40"/>
      <c r="L35" s="115">
        <v>90</v>
      </c>
      <c r="M35" s="331"/>
      <c r="N35" s="270">
        <f>180/L35</f>
        <v>2</v>
      </c>
      <c r="O35"/>
      <c r="P35" s="779" t="str">
        <f>IF('Calculs Péremption FA'!P23='TRAD-Saisie données stocks'!$B$70, 'TRAD-Saisie données stocks'!$B$69, "")</f>
        <v/>
      </c>
      <c r="Q35" s="653">
        <v>42095</v>
      </c>
      <c r="R35" s="648">
        <v>2</v>
      </c>
      <c r="S35" s="653"/>
      <c r="T35" s="648"/>
      <c r="U35" s="653"/>
      <c r="V35" s="648"/>
      <c r="W35" s="653"/>
      <c r="X35" s="648"/>
      <c r="Y35" s="653"/>
      <c r="Z35" s="648"/>
      <c r="AA35" s="653"/>
      <c r="AB35" s="648"/>
      <c r="AC35" s="653"/>
      <c r="AD35" s="648"/>
    </row>
    <row r="36" spans="4:30" s="4" customFormat="1" ht="13.5" thickBot="1" x14ac:dyDescent="0.25">
      <c r="D36" s="37"/>
      <c r="E36" s="98"/>
      <c r="F36" s="1665" t="s">
        <v>27</v>
      </c>
      <c r="G36" s="1666" t="str">
        <f>'TRAD-Saisie données stocks'!B64</f>
        <v>Cp</v>
      </c>
      <c r="H36" s="1661" t="s">
        <v>28</v>
      </c>
      <c r="I36" s="89" t="s">
        <v>621</v>
      </c>
      <c r="J36" s="39" t="s">
        <v>87</v>
      </c>
      <c r="K36" s="96"/>
      <c r="L36" s="117">
        <v>30</v>
      </c>
      <c r="M36" s="331"/>
      <c r="N36" s="270">
        <f>(51120+225540+4020)/L36</f>
        <v>9356</v>
      </c>
      <c r="O36"/>
      <c r="P36" s="779" t="str">
        <f>IF('Calculs Péremption FA'!P24='TRAD-Saisie données stocks'!$B$70, 'TRAD-Saisie données stocks'!$B$69, "")</f>
        <v/>
      </c>
      <c r="Q36" s="653">
        <v>42370</v>
      </c>
      <c r="R36" s="648">
        <v>1704</v>
      </c>
      <c r="S36" s="653">
        <v>42461</v>
      </c>
      <c r="T36" s="648">
        <f>N36-R36</f>
        <v>7652</v>
      </c>
      <c r="U36" s="653">
        <v>42552</v>
      </c>
      <c r="V36" s="648">
        <f>N36-R36-T36</f>
        <v>0</v>
      </c>
      <c r="W36" s="653"/>
      <c r="X36" s="648"/>
      <c r="Y36" s="653"/>
      <c r="Z36" s="648"/>
      <c r="AA36" s="653"/>
      <c r="AB36" s="648"/>
      <c r="AC36" s="653"/>
      <c r="AD36" s="648"/>
    </row>
    <row r="37" spans="4:30" s="4" customFormat="1" ht="13.5" thickBot="1" x14ac:dyDescent="0.25">
      <c r="D37" s="37"/>
      <c r="E37" s="98"/>
      <c r="F37" s="1667" t="s">
        <v>354</v>
      </c>
      <c r="G37" s="1668" t="str">
        <f>'TRAD-Saisie données stocks'!B64</f>
        <v>Cp</v>
      </c>
      <c r="H37" s="2498" t="s">
        <v>30</v>
      </c>
      <c r="I37" s="89" t="s">
        <v>622</v>
      </c>
      <c r="J37" s="39" t="s">
        <v>618</v>
      </c>
      <c r="K37" s="1638"/>
      <c r="L37" s="1386">
        <v>60</v>
      </c>
      <c r="M37" s="331"/>
      <c r="N37" s="270"/>
      <c r="O37"/>
      <c r="P37" s="779" t="str">
        <f>IF('Calculs Péremption FA'!P25='TRAD-Saisie données stocks'!$B$70, 'TRAD-Saisie données stocks'!$B$69, "")</f>
        <v/>
      </c>
      <c r="Q37" s="3197"/>
      <c r="R37" s="648"/>
      <c r="S37" s="3197"/>
      <c r="T37" s="648"/>
      <c r="U37" s="3197"/>
      <c r="V37" s="648"/>
      <c r="W37" s="3197"/>
      <c r="X37" s="648"/>
      <c r="Y37" s="3197"/>
      <c r="Z37" s="648"/>
      <c r="AA37" s="3197"/>
      <c r="AB37" s="648"/>
      <c r="AC37" s="3197"/>
      <c r="AD37" s="648"/>
    </row>
    <row r="38" spans="4:30" s="4" customFormat="1" ht="13.5" thickBot="1" x14ac:dyDescent="0.25">
      <c r="D38" s="37"/>
      <c r="E38" s="123"/>
      <c r="F38" s="1660" t="s">
        <v>29</v>
      </c>
      <c r="G38" s="1661" t="str">
        <f>'TRAD-Saisie données stocks'!B64</f>
        <v>Cp</v>
      </c>
      <c r="H38" s="1662" t="s">
        <v>30</v>
      </c>
      <c r="I38" s="89" t="s">
        <v>1768</v>
      </c>
      <c r="J38" s="39" t="s">
        <v>85</v>
      </c>
      <c r="K38" s="40"/>
      <c r="L38" s="115">
        <v>60</v>
      </c>
      <c r="M38" s="331"/>
      <c r="N38" s="270"/>
      <c r="O38"/>
      <c r="P38" s="779" t="str">
        <f>IF('Calculs Péremption FA'!P26='TRAD-Saisie données stocks'!$B$70, 'TRAD-Saisie données stocks'!$B$69, "")</f>
        <v/>
      </c>
      <c r="Q38" s="3197"/>
      <c r="R38" s="648"/>
      <c r="S38" s="3197"/>
      <c r="T38" s="648"/>
      <c r="U38" s="3197"/>
      <c r="V38" s="648"/>
      <c r="W38" s="3197"/>
      <c r="X38" s="648"/>
      <c r="Y38" s="3197"/>
      <c r="Z38" s="648"/>
      <c r="AA38" s="3197"/>
      <c r="AB38" s="648"/>
      <c r="AC38" s="3197"/>
      <c r="AD38" s="648"/>
    </row>
    <row r="39" spans="4:30" s="4" customFormat="1" ht="13.5" thickBot="1" x14ac:dyDescent="0.25">
      <c r="D39" s="100"/>
      <c r="E39" s="101"/>
      <c r="F39" s="1663" t="s">
        <v>619</v>
      </c>
      <c r="G39" s="1664" t="str">
        <f>'TRAD-Saisie données stocks'!B64</f>
        <v>Cp</v>
      </c>
      <c r="H39" s="1664" t="s">
        <v>620</v>
      </c>
      <c r="I39" s="1640" t="s">
        <v>624</v>
      </c>
      <c r="J39" s="104" t="s">
        <v>835</v>
      </c>
      <c r="K39" s="105"/>
      <c r="L39" s="116">
        <v>30</v>
      </c>
      <c r="M39" s="333"/>
      <c r="N39" s="270"/>
      <c r="O39"/>
      <c r="P39" s="779" t="str">
        <f>IF('Calculs Péremption FA'!P27='TRAD-Saisie données stocks'!$B$70, 'TRAD-Saisie données stocks'!$B$69, "")</f>
        <v/>
      </c>
      <c r="Q39" s="3197"/>
      <c r="R39" s="648"/>
      <c r="S39" s="3197"/>
      <c r="T39" s="648"/>
      <c r="U39" s="3197"/>
      <c r="V39" s="648"/>
      <c r="W39" s="3197"/>
      <c r="X39" s="648"/>
      <c r="Y39" s="3197"/>
      <c r="Z39" s="648"/>
      <c r="AA39" s="3197"/>
      <c r="AB39" s="648"/>
      <c r="AC39" s="3197"/>
      <c r="AD39" s="648"/>
    </row>
    <row r="40" spans="4:30" s="4" customFormat="1" ht="13.5" thickBot="1" x14ac:dyDescent="0.25">
      <c r="D40" s="37"/>
      <c r="E40" s="123" t="str">
        <f>'TRAD-Saisie données stocks'!B39</f>
        <v>INTI</v>
      </c>
      <c r="F40" s="1660" t="s">
        <v>36</v>
      </c>
      <c r="G40" s="1661" t="str">
        <f>'TRAD-Saisie données stocks'!B64</f>
        <v>Cp</v>
      </c>
      <c r="H40" s="1661" t="s">
        <v>33</v>
      </c>
      <c r="I40" s="89" t="s">
        <v>625</v>
      </c>
      <c r="J40" s="38" t="s">
        <v>89</v>
      </c>
      <c r="K40" s="40" t="s">
        <v>106</v>
      </c>
      <c r="L40" s="115">
        <v>60</v>
      </c>
      <c r="M40" s="506"/>
      <c r="N40" s="270">
        <f>65580/L40</f>
        <v>1093</v>
      </c>
      <c r="O40"/>
      <c r="P40" s="779" t="str">
        <f>IF('Calculs Péremption FA'!P28='TRAD-Saisie données stocks'!$B$70, 'TRAD-Saisie données stocks'!$B$69, "")</f>
        <v/>
      </c>
      <c r="Q40" s="653">
        <v>42036</v>
      </c>
      <c r="R40" s="648">
        <v>1093</v>
      </c>
      <c r="S40" s="653"/>
      <c r="T40" s="648"/>
      <c r="U40" s="653"/>
      <c r="V40" s="648"/>
      <c r="W40" s="653"/>
      <c r="X40" s="648"/>
      <c r="Y40" s="653"/>
      <c r="Z40" s="648"/>
      <c r="AA40" s="653"/>
      <c r="AB40" s="648"/>
      <c r="AC40" s="653"/>
      <c r="AD40" s="648"/>
    </row>
    <row r="41" spans="4:30" s="4" customFormat="1" ht="13.5" thickBot="1" x14ac:dyDescent="0.25">
      <c r="D41" s="37"/>
      <c r="E41" s="98"/>
      <c r="F41" s="1658" t="s">
        <v>36</v>
      </c>
      <c r="G41" s="1659" t="str">
        <f>'TRAD-Saisie données stocks'!B64</f>
        <v>Cp</v>
      </c>
      <c r="H41" s="1659" t="s">
        <v>611</v>
      </c>
      <c r="I41" s="89" t="s">
        <v>625</v>
      </c>
      <c r="J41" s="39"/>
      <c r="K41" s="38"/>
      <c r="L41" s="114">
        <v>60</v>
      </c>
      <c r="M41" s="331"/>
      <c r="N41" s="270"/>
      <c r="O41"/>
      <c r="P41" s="779" t="str">
        <f>IF('Calculs Péremption FA'!P29='TRAD-Saisie données stocks'!$B$70, 'TRAD-Saisie données stocks'!$B$69, "")</f>
        <v/>
      </c>
      <c r="Q41" s="3197"/>
      <c r="R41" s="648"/>
      <c r="S41" s="3197"/>
      <c r="T41" s="648"/>
      <c r="U41" s="3197"/>
      <c r="V41" s="648"/>
      <c r="W41" s="3197"/>
      <c r="X41" s="648"/>
      <c r="Y41" s="3197"/>
      <c r="Z41" s="648"/>
      <c r="AA41" s="3197"/>
      <c r="AB41" s="648"/>
      <c r="AC41" s="3197"/>
      <c r="AD41" s="648"/>
    </row>
    <row r="42" spans="4:30" s="4" customFormat="1" ht="13.5" thickBot="1" x14ac:dyDescent="0.25">
      <c r="D42" s="37"/>
      <c r="E42" s="98"/>
      <c r="F42" s="1658" t="s">
        <v>32</v>
      </c>
      <c r="G42" s="1659" t="str">
        <f>'TRAD-Saisie données stocks'!B64</f>
        <v>Cp</v>
      </c>
      <c r="H42" s="1661" t="s">
        <v>33</v>
      </c>
      <c r="I42" s="89" t="s">
        <v>626</v>
      </c>
      <c r="J42" s="39" t="s">
        <v>81</v>
      </c>
      <c r="K42" s="38"/>
      <c r="L42" s="114">
        <v>60</v>
      </c>
      <c r="M42" s="330"/>
      <c r="N42" s="270"/>
      <c r="O42"/>
      <c r="P42" s="779" t="str">
        <f>IF('Calculs Péremption FA'!P30='TRAD-Saisie données stocks'!$B$70, 'TRAD-Saisie données stocks'!$B$69, "")</f>
        <v/>
      </c>
      <c r="Q42" s="653">
        <v>41944</v>
      </c>
      <c r="R42" s="648"/>
      <c r="S42" s="653"/>
      <c r="T42" s="648"/>
      <c r="U42" s="653"/>
      <c r="V42" s="648"/>
      <c r="W42" s="653"/>
      <c r="X42" s="648"/>
      <c r="Y42" s="653"/>
      <c r="Z42" s="648"/>
      <c r="AA42" s="653"/>
      <c r="AB42" s="648"/>
      <c r="AC42" s="653"/>
      <c r="AD42" s="648"/>
    </row>
    <row r="43" spans="4:30" s="4" customFormat="1" ht="13.5" thickBot="1" x14ac:dyDescent="0.25">
      <c r="D43" s="37"/>
      <c r="E43" s="98"/>
      <c r="F43" s="1658" t="s">
        <v>32</v>
      </c>
      <c r="G43" s="1659" t="str">
        <f>'TRAD-Saisie données stocks'!B64</f>
        <v>Cp</v>
      </c>
      <c r="H43" s="1662" t="s">
        <v>46</v>
      </c>
      <c r="I43" s="89" t="s">
        <v>626</v>
      </c>
      <c r="J43" s="39" t="s">
        <v>81</v>
      </c>
      <c r="K43" s="38"/>
      <c r="L43" s="114">
        <v>100</v>
      </c>
      <c r="M43" s="330"/>
      <c r="N43" s="270"/>
      <c r="O43"/>
      <c r="P43" s="779" t="str">
        <f>IF('Calculs Péremption FA'!P31='TRAD-Saisie données stocks'!$B$70, 'TRAD-Saisie données stocks'!$B$69, "")</f>
        <v/>
      </c>
      <c r="Q43" s="3197"/>
      <c r="R43" s="648"/>
      <c r="S43" s="3197"/>
      <c r="T43" s="648"/>
      <c r="U43" s="3197"/>
      <c r="V43" s="648"/>
      <c r="W43" s="3197"/>
      <c r="X43" s="648"/>
      <c r="Y43" s="3197"/>
      <c r="Z43" s="648"/>
      <c r="AA43" s="3197"/>
      <c r="AB43" s="648"/>
      <c r="AC43" s="3197"/>
      <c r="AD43" s="648"/>
    </row>
    <row r="44" spans="4:30" s="4" customFormat="1" ht="13.5" thickBot="1" x14ac:dyDescent="0.25">
      <c r="D44" s="37"/>
      <c r="E44" s="98"/>
      <c r="F44" s="1658" t="s">
        <v>32</v>
      </c>
      <c r="G44" s="1659" t="str">
        <f>'TRAD-Saisie données stocks'!B64</f>
        <v>Cp</v>
      </c>
      <c r="H44" s="1662" t="s">
        <v>611</v>
      </c>
      <c r="I44" s="89" t="s">
        <v>626</v>
      </c>
      <c r="J44" s="39"/>
      <c r="K44" s="38"/>
      <c r="L44" s="114">
        <v>60</v>
      </c>
      <c r="M44" s="330"/>
      <c r="N44" s="270"/>
      <c r="O44"/>
      <c r="P44" s="779" t="str">
        <f>IF('Calculs Péremption FA'!P32='TRAD-Saisie données stocks'!$B$70, 'TRAD-Saisie données stocks'!$B$69, "")</f>
        <v/>
      </c>
      <c r="Q44" s="3197"/>
      <c r="R44" s="648"/>
      <c r="S44" s="3197"/>
      <c r="T44" s="648"/>
      <c r="U44" s="3197"/>
      <c r="V44" s="648"/>
      <c r="W44" s="3197"/>
      <c r="X44" s="648"/>
      <c r="Y44" s="3197"/>
      <c r="Z44" s="648"/>
      <c r="AA44" s="3197"/>
      <c r="AB44" s="648"/>
      <c r="AC44" s="3197"/>
      <c r="AD44" s="648"/>
    </row>
    <row r="45" spans="4:30" s="4" customFormat="1" ht="13.5" thickBot="1" x14ac:dyDescent="0.25">
      <c r="D45" s="37"/>
      <c r="E45" s="98"/>
      <c r="F45" s="1669" t="s">
        <v>82</v>
      </c>
      <c r="G45" s="1670" t="str">
        <f>'TRAD-Saisie données stocks'!B64</f>
        <v>Cp</v>
      </c>
      <c r="H45" s="1671" t="s">
        <v>222</v>
      </c>
      <c r="I45" s="377" t="s">
        <v>627</v>
      </c>
      <c r="J45" s="378" t="s">
        <v>83</v>
      </c>
      <c r="K45" s="379" t="s">
        <v>223</v>
      </c>
      <c r="L45" s="114">
        <v>60</v>
      </c>
      <c r="M45" s="330"/>
      <c r="N45" s="270"/>
      <c r="O45"/>
      <c r="P45" s="779" t="str">
        <f>IF('Calculs Péremption FA'!P33='TRAD-Saisie données stocks'!$B$70, 'TRAD-Saisie données stocks'!$B$69, "")</f>
        <v/>
      </c>
      <c r="Q45" s="3197"/>
      <c r="R45" s="648"/>
      <c r="S45" s="3197"/>
      <c r="T45" s="648"/>
      <c r="U45" s="3197"/>
      <c r="V45" s="648"/>
      <c r="W45" s="3197"/>
      <c r="X45" s="648"/>
      <c r="Y45" s="3197"/>
      <c r="Z45" s="648"/>
      <c r="AA45" s="3197"/>
      <c r="AB45" s="648"/>
      <c r="AC45" s="3197"/>
      <c r="AD45" s="648"/>
    </row>
    <row r="46" spans="4:30" s="4" customFormat="1" ht="13.5" thickBot="1" x14ac:dyDescent="0.25">
      <c r="D46" s="37"/>
      <c r="E46" s="98"/>
      <c r="F46" s="1658" t="s">
        <v>34</v>
      </c>
      <c r="G46" s="1659" t="str">
        <f>'TRAD-Saisie données stocks'!B64</f>
        <v>Cp</v>
      </c>
      <c r="H46" s="1661" t="s">
        <v>35</v>
      </c>
      <c r="I46" s="89" t="s">
        <v>628</v>
      </c>
      <c r="J46" s="39" t="s">
        <v>132</v>
      </c>
      <c r="K46" s="38" t="s">
        <v>131</v>
      </c>
      <c r="L46" s="114">
        <v>60</v>
      </c>
      <c r="M46" s="330"/>
      <c r="N46" s="270"/>
      <c r="O46"/>
      <c r="P46" s="779" t="str">
        <f>IF('Calculs Péremption FA'!P34='TRAD-Saisie données stocks'!$B$70, 'TRAD-Saisie données stocks'!$B$69, "")</f>
        <v/>
      </c>
      <c r="Q46" s="3197"/>
      <c r="R46" s="648"/>
      <c r="S46" s="3197"/>
      <c r="T46" s="648"/>
      <c r="U46" s="3197"/>
      <c r="V46" s="648"/>
      <c r="W46" s="3197"/>
      <c r="X46" s="648"/>
      <c r="Y46" s="3197"/>
      <c r="Z46" s="648"/>
      <c r="AA46" s="3197"/>
      <c r="AB46" s="648"/>
      <c r="AC46" s="3197"/>
      <c r="AD46" s="648"/>
    </row>
    <row r="47" spans="4:30" s="4" customFormat="1" ht="13.5" thickBot="1" x14ac:dyDescent="0.25">
      <c r="D47" s="37"/>
      <c r="E47" s="98"/>
      <c r="F47" s="1658" t="s">
        <v>34</v>
      </c>
      <c r="G47" s="1659" t="str">
        <f>'TRAD-Saisie données stocks'!B64</f>
        <v>Cp</v>
      </c>
      <c r="H47" s="1662" t="s">
        <v>222</v>
      </c>
      <c r="I47" s="89" t="s">
        <v>628</v>
      </c>
      <c r="J47" s="39"/>
      <c r="K47" s="38"/>
      <c r="L47" s="114">
        <v>60</v>
      </c>
      <c r="M47" s="330"/>
      <c r="N47" s="270"/>
      <c r="O47"/>
      <c r="P47" s="779" t="str">
        <f>IF('Calculs Péremption FA'!P35='TRAD-Saisie données stocks'!$B$70, 'TRAD-Saisie données stocks'!$B$69, "")</f>
        <v/>
      </c>
      <c r="Q47" s="3197"/>
      <c r="R47" s="648"/>
      <c r="S47" s="3197"/>
      <c r="T47" s="648"/>
      <c r="U47" s="3197"/>
      <c r="V47" s="648"/>
      <c r="W47" s="3197"/>
      <c r="X47" s="648"/>
      <c r="Y47" s="3197"/>
      <c r="Z47" s="648"/>
      <c r="AA47" s="3197"/>
      <c r="AB47" s="648"/>
      <c r="AC47" s="3197"/>
      <c r="AD47" s="648"/>
    </row>
    <row r="48" spans="4:30" s="4" customFormat="1" ht="26.25" thickBot="1" x14ac:dyDescent="0.25">
      <c r="D48" s="37"/>
      <c r="E48" s="98"/>
      <c r="F48" s="1660" t="s">
        <v>37</v>
      </c>
      <c r="G48" s="1661" t="str">
        <f>'TRAD-Saisie données stocks'!B64</f>
        <v>Cp</v>
      </c>
      <c r="H48" s="1661" t="s">
        <v>38</v>
      </c>
      <c r="I48" s="1207" t="s">
        <v>629</v>
      </c>
      <c r="J48" s="41" t="s">
        <v>92</v>
      </c>
      <c r="K48" s="40" t="s">
        <v>107</v>
      </c>
      <c r="L48" s="115">
        <v>30</v>
      </c>
      <c r="M48" s="331"/>
      <c r="N48" s="270"/>
      <c r="O48"/>
      <c r="P48" s="779" t="str">
        <f>IF('Calculs Péremption FA'!P36='TRAD-Saisie données stocks'!$B$70, 'TRAD-Saisie données stocks'!$B$69, "")</f>
        <v/>
      </c>
      <c r="Q48" s="3197"/>
      <c r="R48" s="648"/>
      <c r="S48" s="3197"/>
      <c r="T48" s="648"/>
      <c r="U48" s="3197"/>
      <c r="V48" s="648"/>
      <c r="W48" s="3197"/>
      <c r="X48" s="648"/>
      <c r="Y48" s="3197"/>
      <c r="Z48" s="648"/>
      <c r="AA48" s="3197"/>
      <c r="AB48" s="648"/>
      <c r="AC48" s="3197"/>
      <c r="AD48" s="648"/>
    </row>
    <row r="49" spans="4:37" s="4" customFormat="1" ht="26.25" thickBot="1" x14ac:dyDescent="0.25">
      <c r="D49" s="37"/>
      <c r="E49" s="98"/>
      <c r="F49" s="1660" t="s">
        <v>37</v>
      </c>
      <c r="G49" s="1661" t="str">
        <f>'TRAD-Saisie données stocks'!B64</f>
        <v>Cp</v>
      </c>
      <c r="H49" s="1666" t="s">
        <v>39</v>
      </c>
      <c r="I49" s="1637" t="s">
        <v>629</v>
      </c>
      <c r="J49" s="41" t="s">
        <v>92</v>
      </c>
      <c r="K49" s="40" t="s">
        <v>107</v>
      </c>
      <c r="L49" s="117">
        <v>30</v>
      </c>
      <c r="M49" s="334"/>
      <c r="N49" s="270">
        <f>(23400/L49)+(3780/30)+(1500/30)</f>
        <v>956</v>
      </c>
      <c r="O49"/>
      <c r="P49" s="779" t="str">
        <f>IF('Calculs Péremption FA'!P37='TRAD-Saisie données stocks'!$B$70, 'TRAD-Saisie données stocks'!$B$69, "")</f>
        <v/>
      </c>
      <c r="Q49" s="653">
        <v>41974</v>
      </c>
      <c r="R49" s="648">
        <v>780</v>
      </c>
      <c r="S49" s="653">
        <v>42095</v>
      </c>
      <c r="T49" s="648">
        <f>906-R49</f>
        <v>126</v>
      </c>
      <c r="U49" s="653">
        <v>42217</v>
      </c>
      <c r="V49" s="648">
        <f>N49-R49-T49</f>
        <v>50</v>
      </c>
      <c r="W49" s="653"/>
      <c r="X49" s="648"/>
      <c r="Y49" s="653"/>
      <c r="Z49" s="648"/>
      <c r="AA49" s="653"/>
      <c r="AB49" s="648"/>
      <c r="AC49" s="653"/>
      <c r="AD49" s="648"/>
    </row>
    <row r="50" spans="4:37" s="4" customFormat="1" ht="13.5" thickBot="1" x14ac:dyDescent="0.25">
      <c r="D50" s="100"/>
      <c r="E50" s="101"/>
      <c r="F50" s="1663" t="s">
        <v>40</v>
      </c>
      <c r="G50" s="1664" t="str">
        <f>'TRAD-Saisie données stocks'!B64</f>
        <v>Cp</v>
      </c>
      <c r="H50" s="1664" t="s">
        <v>33</v>
      </c>
      <c r="I50" s="1643" t="s">
        <v>1769</v>
      </c>
      <c r="J50" s="109" t="s">
        <v>125</v>
      </c>
      <c r="K50" s="105"/>
      <c r="L50" s="116">
        <v>30</v>
      </c>
      <c r="M50" s="333"/>
      <c r="N50" s="270"/>
      <c r="O50"/>
      <c r="P50" s="779" t="str">
        <f>IF('Calculs Péremption FA'!P38='TRAD-Saisie données stocks'!$B$70, 'TRAD-Saisie données stocks'!$B$69, "")</f>
        <v/>
      </c>
      <c r="Q50" s="3197"/>
      <c r="R50" s="648"/>
      <c r="S50" s="3197"/>
      <c r="T50" s="648"/>
      <c r="U50" s="3197"/>
      <c r="V50" s="648"/>
      <c r="W50" s="3197"/>
      <c r="X50" s="648"/>
      <c r="Y50" s="3197"/>
      <c r="Z50" s="648"/>
      <c r="AA50" s="3197"/>
      <c r="AB50" s="648"/>
      <c r="AC50" s="3197"/>
      <c r="AD50" s="648"/>
    </row>
    <row r="51" spans="4:37" s="4" customFormat="1" ht="27" customHeight="1" thickBot="1" x14ac:dyDescent="0.25">
      <c r="D51" s="37"/>
      <c r="E51" s="98" t="str">
        <f>'TRAD-Saisie données stocks'!B41</f>
        <v>IP</v>
      </c>
      <c r="F51" s="1658" t="s">
        <v>42</v>
      </c>
      <c r="G51" s="1659" t="str">
        <f>'TRAD-Saisie données stocks'!B64</f>
        <v>Cp</v>
      </c>
      <c r="H51" s="1659" t="s">
        <v>43</v>
      </c>
      <c r="I51" s="89" t="s">
        <v>1988</v>
      </c>
      <c r="J51" s="39" t="s">
        <v>108</v>
      </c>
      <c r="K51" s="38" t="s">
        <v>109</v>
      </c>
      <c r="L51" s="114">
        <v>120</v>
      </c>
      <c r="M51" s="330"/>
      <c r="N51" s="270">
        <f>90000/L51</f>
        <v>750</v>
      </c>
      <c r="O51"/>
      <c r="P51" s="779" t="str">
        <f>IF('Calculs Péremption FA'!P39='TRAD-Saisie données stocks'!$B$70, 'TRAD-Saisie données stocks'!$B$69, "")</f>
        <v/>
      </c>
      <c r="Q51" s="653">
        <v>42278</v>
      </c>
      <c r="R51" s="648">
        <v>750</v>
      </c>
      <c r="S51" s="653"/>
      <c r="T51" s="648"/>
      <c r="U51" s="653"/>
      <c r="V51" s="648"/>
      <c r="W51" s="653"/>
      <c r="X51" s="648"/>
      <c r="Y51" s="653"/>
      <c r="Z51" s="648"/>
      <c r="AA51" s="653"/>
      <c r="AB51" s="648"/>
      <c r="AC51" s="653"/>
      <c r="AD51" s="648"/>
    </row>
    <row r="52" spans="4:37" s="4" customFormat="1" ht="28.5" customHeight="1" thickBot="1" x14ac:dyDescent="0.25">
      <c r="D52" s="37"/>
      <c r="E52" s="98"/>
      <c r="F52" s="1672" t="s">
        <v>42</v>
      </c>
      <c r="G52" s="1673" t="str">
        <f>'TRAD-Saisie données stocks'!B65</f>
        <v>Cp coblister</v>
      </c>
      <c r="H52" s="1673" t="s">
        <v>496</v>
      </c>
      <c r="I52" s="1210" t="s">
        <v>1988</v>
      </c>
      <c r="J52" s="1211" t="s">
        <v>108</v>
      </c>
      <c r="K52" s="1212"/>
      <c r="L52" s="537">
        <v>60</v>
      </c>
      <c r="M52" s="506"/>
      <c r="N52" s="270">
        <f>41220/L52</f>
        <v>687</v>
      </c>
      <c r="O52"/>
      <c r="P52" s="779" t="str">
        <f>IF('Calculs Péremption FA'!P40='TRAD-Saisie données stocks'!$B$70, 'TRAD-Saisie données stocks'!$B$69, "")</f>
        <v/>
      </c>
      <c r="Q52" s="653">
        <v>42095</v>
      </c>
      <c r="R52" s="648">
        <v>687</v>
      </c>
      <c r="S52" s="653"/>
      <c r="T52" s="648"/>
      <c r="U52" s="653"/>
      <c r="V52" s="648"/>
      <c r="W52" s="653"/>
      <c r="X52" s="648"/>
      <c r="Y52" s="653"/>
      <c r="Z52" s="648"/>
      <c r="AA52" s="653"/>
      <c r="AB52" s="648"/>
      <c r="AC52" s="653"/>
      <c r="AD52" s="648"/>
    </row>
    <row r="53" spans="4:37" s="4" customFormat="1" ht="26.25" thickBot="1" x14ac:dyDescent="0.25">
      <c r="D53" s="37"/>
      <c r="E53" s="92"/>
      <c r="F53" s="1674" t="s">
        <v>601</v>
      </c>
      <c r="G53" s="1675" t="str">
        <f>'TRAD-Saisie données stocks'!B64</f>
        <v>Cp</v>
      </c>
      <c r="H53" s="1676" t="s">
        <v>607</v>
      </c>
      <c r="I53" s="1625" t="s">
        <v>1989</v>
      </c>
      <c r="J53" s="510"/>
      <c r="K53" s="511"/>
      <c r="L53" s="512">
        <v>30</v>
      </c>
      <c r="M53" s="334"/>
      <c r="N53" s="270">
        <f>51150/L53</f>
        <v>1705</v>
      </c>
      <c r="O53"/>
      <c r="P53" s="779" t="str">
        <f>IF('Calculs Péremption FA'!P41='TRAD-Saisie données stocks'!$B$70, 'TRAD-Saisie données stocks'!$B$69, "")</f>
        <v/>
      </c>
      <c r="Q53" s="653">
        <v>42095</v>
      </c>
      <c r="R53" s="648">
        <v>1705</v>
      </c>
      <c r="S53" s="653"/>
      <c r="T53" s="648"/>
      <c r="U53" s="653"/>
      <c r="V53" s="648"/>
      <c r="W53" s="653"/>
      <c r="X53" s="648"/>
      <c r="Y53" s="653"/>
      <c r="Z53" s="648"/>
      <c r="AA53" s="653"/>
      <c r="AB53" s="648"/>
      <c r="AC53" s="653"/>
      <c r="AD53" s="648"/>
    </row>
    <row r="54" spans="4:37" s="4" customFormat="1" ht="13.5" thickBot="1" x14ac:dyDescent="0.25">
      <c r="D54" s="37"/>
      <c r="E54" s="92"/>
      <c r="F54" s="1677" t="s">
        <v>598</v>
      </c>
      <c r="G54" s="1678" t="str">
        <f>'TRAD-Saisie données stocks'!B64</f>
        <v>Cp</v>
      </c>
      <c r="H54" s="1678" t="s">
        <v>616</v>
      </c>
      <c r="I54" s="1625" t="s">
        <v>1770</v>
      </c>
      <c r="J54" s="1626" t="s">
        <v>617</v>
      </c>
      <c r="K54" s="1627"/>
      <c r="L54" s="1388">
        <v>60</v>
      </c>
      <c r="M54" s="334"/>
      <c r="N54" s="270"/>
      <c r="O54"/>
      <c r="P54" s="779" t="str">
        <f>IF('Calculs Péremption FA'!P42='TRAD-Saisie données stocks'!$B$70, 'TRAD-Saisie données stocks'!$B$69, "")</f>
        <v/>
      </c>
      <c r="Q54" s="3197"/>
      <c r="R54" s="648"/>
      <c r="S54" s="3197"/>
      <c r="T54" s="648"/>
      <c r="U54" s="3197"/>
      <c r="V54" s="648"/>
      <c r="W54" s="3197"/>
      <c r="X54" s="648"/>
      <c r="Y54" s="3197"/>
      <c r="Z54" s="648"/>
      <c r="AA54" s="3197"/>
      <c r="AB54" s="648"/>
      <c r="AC54" s="3197"/>
      <c r="AD54" s="648"/>
    </row>
    <row r="55" spans="4:37" s="4" customFormat="1" ht="13.5" thickBot="1" x14ac:dyDescent="0.25">
      <c r="D55" s="37"/>
      <c r="E55" s="92"/>
      <c r="F55" s="1665" t="s">
        <v>44</v>
      </c>
      <c r="G55" s="1666" t="str">
        <f>'TRAD-Saisie données stocks'!B66</f>
        <v>Gel</v>
      </c>
      <c r="H55" s="1666" t="s">
        <v>39</v>
      </c>
      <c r="I55" s="1637" t="s">
        <v>634</v>
      </c>
      <c r="J55" s="95" t="s">
        <v>127</v>
      </c>
      <c r="K55" s="96"/>
      <c r="L55" s="117">
        <v>180</v>
      </c>
      <c r="M55" s="334"/>
      <c r="N55" s="270"/>
      <c r="O55"/>
      <c r="P55" s="779" t="str">
        <f>IF('Calculs Péremption FA'!P43='TRAD-Saisie données stocks'!$B$70, 'TRAD-Saisie données stocks'!$B$69, "")</f>
        <v/>
      </c>
      <c r="Q55" s="3197"/>
      <c r="R55" s="648"/>
      <c r="S55" s="3197"/>
      <c r="T55" s="648"/>
      <c r="U55" s="3197"/>
      <c r="V55" s="648"/>
      <c r="W55" s="3197"/>
      <c r="X55" s="648"/>
      <c r="Y55" s="3197"/>
      <c r="Z55" s="648"/>
      <c r="AA55" s="3197"/>
      <c r="AB55" s="648"/>
      <c r="AC55" s="3197"/>
      <c r="AD55" s="648"/>
    </row>
    <row r="56" spans="4:37" s="4" customFormat="1" ht="13.5" thickBot="1" x14ac:dyDescent="0.25">
      <c r="D56" s="37"/>
      <c r="E56" s="92"/>
      <c r="F56" s="1665" t="s">
        <v>264</v>
      </c>
      <c r="G56" s="1666" t="str">
        <f>'TRAD-Saisie données stocks'!B64</f>
        <v>Cp</v>
      </c>
      <c r="H56" s="1679" t="s">
        <v>33</v>
      </c>
      <c r="I56" s="1637" t="s">
        <v>635</v>
      </c>
      <c r="J56" s="95" t="s">
        <v>265</v>
      </c>
      <c r="K56" s="96"/>
      <c r="L56" s="117">
        <v>60</v>
      </c>
      <c r="M56" s="334"/>
      <c r="N56" s="270"/>
      <c r="O56"/>
      <c r="P56" s="779" t="str">
        <f>IF('Calculs Péremption FA'!P44='TRAD-Saisie données stocks'!$B$70, 'TRAD-Saisie données stocks'!$B$69, "")</f>
        <v/>
      </c>
      <c r="Q56" s="3197"/>
      <c r="R56" s="648"/>
      <c r="S56" s="3197"/>
      <c r="T56" s="648"/>
      <c r="U56" s="3197"/>
      <c r="V56" s="648"/>
      <c r="W56" s="3197"/>
      <c r="X56" s="648"/>
      <c r="Y56" s="3197"/>
      <c r="Z56" s="648"/>
      <c r="AA56" s="3197"/>
      <c r="AB56" s="648"/>
      <c r="AC56" s="3197"/>
      <c r="AD56" s="648"/>
    </row>
    <row r="57" spans="4:37" s="4" customFormat="1" ht="13.5" thickBot="1" x14ac:dyDescent="0.25">
      <c r="D57" s="37"/>
      <c r="E57" s="92"/>
      <c r="F57" s="1665" t="s">
        <v>126</v>
      </c>
      <c r="G57" s="1666" t="str">
        <f>'TRAD-Saisie données stocks'!B64</f>
        <v>Cp</v>
      </c>
      <c r="H57" s="1666" t="s">
        <v>134</v>
      </c>
      <c r="I57" s="1637" t="s">
        <v>636</v>
      </c>
      <c r="J57" s="95" t="s">
        <v>129</v>
      </c>
      <c r="K57" s="96"/>
      <c r="L57" s="117">
        <v>120</v>
      </c>
      <c r="M57" s="334"/>
      <c r="N57" s="270"/>
      <c r="O57"/>
      <c r="P57" s="779" t="str">
        <f>IF('Calculs Péremption FA'!P45='TRAD-Saisie données stocks'!$B$70, 'TRAD-Saisie données stocks'!$B$69, "")</f>
        <v/>
      </c>
      <c r="Q57" s="3197"/>
      <c r="R57" s="648"/>
      <c r="S57" s="3197"/>
      <c r="T57" s="648"/>
      <c r="U57" s="3197"/>
      <c r="V57" s="648"/>
      <c r="W57" s="3197"/>
      <c r="X57" s="648"/>
      <c r="Y57" s="3197"/>
      <c r="Z57" s="648"/>
      <c r="AA57" s="3197"/>
      <c r="AB57" s="648"/>
      <c r="AC57" s="3197"/>
      <c r="AD57" s="648"/>
    </row>
    <row r="58" spans="4:37" s="4" customFormat="1" ht="13.5" thickBot="1" x14ac:dyDescent="0.25">
      <c r="D58" s="100"/>
      <c r="E58" s="101"/>
      <c r="F58" s="1663" t="s">
        <v>45</v>
      </c>
      <c r="G58" s="1664" t="s">
        <v>133</v>
      </c>
      <c r="H58" s="1664" t="s">
        <v>46</v>
      </c>
      <c r="I58" s="1643" t="s">
        <v>637</v>
      </c>
      <c r="J58" s="109" t="s">
        <v>128</v>
      </c>
      <c r="K58" s="105"/>
      <c r="L58" s="116">
        <v>84</v>
      </c>
      <c r="M58" s="333"/>
      <c r="N58" s="270"/>
      <c r="O58"/>
      <c r="P58" s="779" t="str">
        <f>IF('Calculs Péremption FA'!P46='TRAD-Saisie données stocks'!$B$70, 'TRAD-Saisie données stocks'!$B$69, "")</f>
        <v/>
      </c>
      <c r="Q58" s="3197"/>
      <c r="R58" s="648"/>
      <c r="S58" s="3197"/>
      <c r="T58" s="648"/>
      <c r="U58" s="3197"/>
      <c r="V58" s="648"/>
      <c r="W58" s="3197"/>
      <c r="X58" s="648"/>
      <c r="Y58" s="3197"/>
      <c r="Z58" s="648"/>
      <c r="AA58" s="3197"/>
      <c r="AB58" s="648"/>
      <c r="AC58" s="3197"/>
      <c r="AD58" s="648"/>
    </row>
    <row r="59" spans="4:37" s="518" customFormat="1" ht="13.5" thickBot="1" x14ac:dyDescent="0.25">
      <c r="D59" s="519"/>
      <c r="E59" s="520" t="str">
        <f>'TRAD-Saisie données stocks'!B42</f>
        <v>Inh Integrase</v>
      </c>
      <c r="F59" s="513" t="s">
        <v>267</v>
      </c>
      <c r="G59" s="514" t="str">
        <f>'TRAD-Saisie données stocks'!B64</f>
        <v>Cp</v>
      </c>
      <c r="H59" s="514" t="s">
        <v>39</v>
      </c>
      <c r="I59" s="1644" t="s">
        <v>1771</v>
      </c>
      <c r="J59" s="515" t="s">
        <v>268</v>
      </c>
      <c r="K59" s="516"/>
      <c r="L59" s="517">
        <v>60</v>
      </c>
      <c r="M59" s="521"/>
      <c r="N59" s="522"/>
      <c r="O59"/>
      <c r="P59" s="779" t="str">
        <f>IF('Calculs Péremption FA'!P47='TRAD-Saisie données stocks'!$B$70, 'TRAD-Saisie données stocks'!$B$69, "")</f>
        <v/>
      </c>
      <c r="Q59" s="3198"/>
      <c r="R59" s="649"/>
      <c r="S59" s="3198"/>
      <c r="T59" s="649"/>
      <c r="U59" s="3198"/>
      <c r="V59" s="649"/>
      <c r="W59" s="3198"/>
      <c r="X59" s="649"/>
      <c r="Y59" s="3198"/>
      <c r="Z59" s="649"/>
      <c r="AA59" s="3198"/>
      <c r="AB59" s="649"/>
      <c r="AC59" s="3198"/>
      <c r="AD59" s="649"/>
      <c r="AK59" s="4"/>
    </row>
    <row r="60" spans="4:37" s="4" customFormat="1" ht="64.5" thickBot="1" x14ac:dyDescent="0.25">
      <c r="D60" s="530"/>
      <c r="E60" s="531"/>
      <c r="F60" s="32" t="str">
        <f>'TRAD-Saisie données stocks'!B13</f>
        <v>Composition</v>
      </c>
      <c r="G60" s="33" t="str">
        <f>'TRAD-Saisie données stocks'!B14</f>
        <v>Forme galénique</v>
      </c>
      <c r="H60" s="33" t="str">
        <f>'TRAD-Saisie données stocks'!B15</f>
        <v>Dosage</v>
      </c>
      <c r="I60" s="33"/>
      <c r="J60" s="33" t="str">
        <f>'TRAD-Saisie données stocks'!B17</f>
        <v>Nom de spécialité</v>
      </c>
      <c r="K60" s="33"/>
      <c r="L60" s="33" t="str">
        <f>'TRAD-Saisie données stocks'!B43</f>
        <v>Volume conditionnement primaire (mL)</v>
      </c>
      <c r="M60" s="34" t="str">
        <f>'TRAD-Saisie données stocks'!B44</f>
        <v>Conditionement secondaire</v>
      </c>
      <c r="N60" s="128"/>
      <c r="O60"/>
      <c r="P60" s="347"/>
      <c r="Q60" s="32" t="str">
        <f>'TRAD-Saisie données stocks'!$B$23</f>
        <v>Date de péremption 
1</v>
      </c>
      <c r="R60" s="34" t="str">
        <f>'TRAD-Saisie données stocks'!$B$24</f>
        <v>Quantités (nb de boites) 1
1</v>
      </c>
      <c r="S60" s="32" t="str">
        <f>'TRAD-Saisie données stocks'!$B$25</f>
        <v xml:space="preserve">Date de péremption 2
</v>
      </c>
      <c r="T60" s="34" t="str">
        <f>'TRAD-Saisie données stocks'!$B$26</f>
        <v>Quantités (nb de boites) 2</v>
      </c>
      <c r="U60" s="32" t="str">
        <f>'TRAD-Saisie données stocks'!$B$27</f>
        <v>Date de péremption 3
3</v>
      </c>
      <c r="V60" s="34" t="str">
        <f>'TRAD-Saisie données stocks'!$B$28</f>
        <v>Quantités (nb de boites) 3</v>
      </c>
      <c r="W60" s="32" t="str">
        <f>'TRAD-Saisie données stocks'!$B$29</f>
        <v xml:space="preserve">Date de péremption 4
</v>
      </c>
      <c r="X60" s="34" t="str">
        <f>'TRAD-Saisie données stocks'!$B$30</f>
        <v>Quantités (nb de boites) 4</v>
      </c>
      <c r="Y60" s="32" t="str">
        <f>'TRAD-Saisie données stocks'!$B$31</f>
        <v xml:space="preserve">Date de péremption 5
</v>
      </c>
      <c r="Z60" s="34" t="str">
        <f>'TRAD-Saisie données stocks'!$B$32</f>
        <v>Quantités (nb de boites) 5</v>
      </c>
      <c r="AA60" s="32" t="str">
        <f>'TRAD-Saisie données stocks'!$B$33</f>
        <v>Date de péremption 6</v>
      </c>
      <c r="AB60" s="34" t="str">
        <f>'TRAD-Saisie données stocks'!$B$34</f>
        <v>Quantités (nb de boites) 6</v>
      </c>
      <c r="AC60" s="32" t="str">
        <f>'TRAD-Saisie données stocks'!$B$35</f>
        <v>Date de péremption 7</v>
      </c>
      <c r="AD60" s="34" t="str">
        <f>'TRAD-Saisie données stocks'!$B$36</f>
        <v>Quantités (nb de boites) 7</v>
      </c>
    </row>
    <row r="61" spans="4:37" s="4" customFormat="1" ht="13.5" thickBot="1" x14ac:dyDescent="0.25">
      <c r="D61" s="31" t="str">
        <f>'TRAD-Saisie données stocks'!B60</f>
        <v>Solutions buvables</v>
      </c>
      <c r="E61" s="97" t="str">
        <f>'TRAD-Saisie données stocks'!B39</f>
        <v>INTI</v>
      </c>
      <c r="F61" s="86" t="s">
        <v>32</v>
      </c>
      <c r="G61" s="87" t="str">
        <f>'TRAD-Saisie données stocks'!B67</f>
        <v>Sol buv</v>
      </c>
      <c r="H61" s="87" t="s">
        <v>80</v>
      </c>
      <c r="I61" s="87" t="s">
        <v>626</v>
      </c>
      <c r="J61" s="36" t="s">
        <v>81</v>
      </c>
      <c r="K61" s="36"/>
      <c r="L61" s="272">
        <v>240</v>
      </c>
      <c r="M61" s="110">
        <v>1</v>
      </c>
      <c r="N61" s="270"/>
      <c r="O61"/>
      <c r="P61" s="779" t="str">
        <f>IF('Calculs Péremption FA'!P49='TRAD-Saisie données stocks'!$B$70, 'TRAD-Saisie données stocks'!$B$69, "")</f>
        <v/>
      </c>
      <c r="Q61" s="3196"/>
      <c r="R61" s="648"/>
      <c r="S61" s="3196"/>
      <c r="T61" s="648"/>
      <c r="U61" s="3196"/>
      <c r="V61" s="648"/>
      <c r="W61" s="3196"/>
      <c r="X61" s="648"/>
      <c r="Y61" s="3196"/>
      <c r="Z61" s="648"/>
      <c r="AA61" s="3196"/>
      <c r="AB61" s="648"/>
      <c r="AC61" s="3196"/>
      <c r="AD61" s="648"/>
    </row>
    <row r="62" spans="4:37" s="4" customFormat="1" ht="13.5" thickBot="1" x14ac:dyDescent="0.25">
      <c r="D62" s="37"/>
      <c r="E62" s="98"/>
      <c r="F62" s="88" t="s">
        <v>82</v>
      </c>
      <c r="G62" s="89" t="str">
        <f>'TRAD-Saisie données stocks'!B67</f>
        <v>Sol buv</v>
      </c>
      <c r="H62" s="89" t="s">
        <v>80</v>
      </c>
      <c r="I62" s="89" t="s">
        <v>627</v>
      </c>
      <c r="J62" s="39" t="s">
        <v>83</v>
      </c>
      <c r="K62" s="39"/>
      <c r="L62" s="273">
        <v>240</v>
      </c>
      <c r="M62" s="111">
        <v>1</v>
      </c>
      <c r="N62" s="270"/>
      <c r="O62"/>
      <c r="P62" s="779" t="str">
        <f>IF('Calculs Péremption FA'!P50='TRAD-Saisie données stocks'!$B$70, 'TRAD-Saisie données stocks'!$B$69, "")</f>
        <v/>
      </c>
      <c r="Q62" s="3196"/>
      <c r="R62" s="648"/>
      <c r="S62" s="3196"/>
      <c r="T62" s="648"/>
      <c r="U62" s="3196"/>
      <c r="V62" s="648"/>
      <c r="W62" s="3196"/>
      <c r="X62" s="648"/>
      <c r="Y62" s="3196"/>
      <c r="Z62" s="648"/>
      <c r="AA62" s="3196"/>
      <c r="AB62" s="648"/>
      <c r="AC62" s="3196"/>
      <c r="AD62" s="648"/>
    </row>
    <row r="63" spans="4:37" s="4" customFormat="1" ht="13.5" thickBot="1" x14ac:dyDescent="0.25">
      <c r="D63" s="37"/>
      <c r="E63" s="98"/>
      <c r="F63" s="90" t="s">
        <v>34</v>
      </c>
      <c r="G63" s="91" t="str">
        <f>'TRAD-Saisie données stocks'!B67</f>
        <v>Sol buv</v>
      </c>
      <c r="H63" s="91" t="s">
        <v>80</v>
      </c>
      <c r="I63" s="1207" t="s">
        <v>628</v>
      </c>
      <c r="J63" s="41" t="s">
        <v>84</v>
      </c>
      <c r="K63" s="41"/>
      <c r="L63" s="1682">
        <v>240</v>
      </c>
      <c r="M63" s="112">
        <v>1</v>
      </c>
      <c r="N63" s="270"/>
      <c r="O63"/>
      <c r="P63" s="779" t="str">
        <f>IF('Calculs Péremption FA'!P51='TRAD-Saisie données stocks'!$B$70, 'TRAD-Saisie données stocks'!$B$69, "")</f>
        <v/>
      </c>
      <c r="Q63" s="3196"/>
      <c r="R63" s="648"/>
      <c r="S63" s="3196"/>
      <c r="T63" s="648"/>
      <c r="U63" s="3196"/>
      <c r="V63" s="648"/>
      <c r="W63" s="3196"/>
      <c r="X63" s="648"/>
      <c r="Y63" s="3196"/>
      <c r="Z63" s="648"/>
      <c r="AA63" s="3196"/>
      <c r="AB63" s="648"/>
      <c r="AC63" s="3196"/>
      <c r="AD63" s="648"/>
    </row>
    <row r="64" spans="4:37" s="4" customFormat="1" ht="13.5" thickBot="1" x14ac:dyDescent="0.25">
      <c r="D64" s="37"/>
      <c r="E64" s="123"/>
      <c r="F64" s="88" t="s">
        <v>36</v>
      </c>
      <c r="G64" s="89" t="str">
        <f>'TRAD-Saisie données stocks'!B67</f>
        <v>Sol buv</v>
      </c>
      <c r="H64" s="89" t="s">
        <v>88</v>
      </c>
      <c r="I64" s="89" t="s">
        <v>625</v>
      </c>
      <c r="J64" s="39" t="s">
        <v>89</v>
      </c>
      <c r="K64" s="39"/>
      <c r="L64" s="273">
        <v>240</v>
      </c>
      <c r="M64" s="111">
        <v>1</v>
      </c>
      <c r="N64" s="270"/>
      <c r="O64"/>
      <c r="P64" s="779" t="str">
        <f>IF('Calculs Péremption FA'!P52='TRAD-Saisie données stocks'!$B$70, 'TRAD-Saisie données stocks'!$B$69, "")</f>
        <v/>
      </c>
      <c r="Q64" s="3196"/>
      <c r="R64" s="648"/>
      <c r="S64" s="3196"/>
      <c r="T64" s="648"/>
      <c r="U64" s="3196"/>
      <c r="V64" s="648"/>
      <c r="W64" s="3196"/>
      <c r="X64" s="648"/>
      <c r="Y64" s="3196"/>
      <c r="Z64" s="648"/>
      <c r="AA64" s="3196"/>
      <c r="AB64" s="648"/>
      <c r="AC64" s="3196"/>
      <c r="AD64" s="648"/>
    </row>
    <row r="65" spans="3:34" s="4" customFormat="1" ht="13.5" thickBot="1" x14ac:dyDescent="0.25">
      <c r="D65" s="37"/>
      <c r="E65" s="101"/>
      <c r="F65" s="102" t="s">
        <v>37</v>
      </c>
      <c r="G65" s="103" t="str">
        <f>'TRAD-Saisie données stocks'!B68</f>
        <v>Poudre buvable</v>
      </c>
      <c r="H65" s="103" t="s">
        <v>91</v>
      </c>
      <c r="I65" s="1643" t="s">
        <v>629</v>
      </c>
      <c r="J65" s="109" t="s">
        <v>92</v>
      </c>
      <c r="K65" s="109"/>
      <c r="L65" s="1683">
        <v>200</v>
      </c>
      <c r="M65" s="121">
        <v>1</v>
      </c>
      <c r="N65" s="270"/>
      <c r="O65"/>
      <c r="P65" s="779" t="str">
        <f>IF('Calculs Péremption FA'!P53='TRAD-Saisie données stocks'!$B$70, 'TRAD-Saisie données stocks'!$B$69, "")</f>
        <v/>
      </c>
      <c r="Q65" s="3196"/>
      <c r="R65" s="648"/>
      <c r="S65" s="3196"/>
      <c r="T65" s="648"/>
      <c r="U65" s="3196"/>
      <c r="V65" s="648"/>
      <c r="W65" s="3196"/>
      <c r="X65" s="648"/>
      <c r="Y65" s="3196"/>
      <c r="Z65" s="648"/>
      <c r="AA65" s="3196"/>
      <c r="AB65" s="648"/>
      <c r="AC65" s="3196"/>
      <c r="AD65" s="648"/>
    </row>
    <row r="66" spans="3:34" s="4" customFormat="1" ht="13.5" thickBot="1" x14ac:dyDescent="0.25">
      <c r="D66" s="37"/>
      <c r="E66" s="98" t="str">
        <f>'TRAD-Saisie données stocks'!B40</f>
        <v>INNTI</v>
      </c>
      <c r="F66" s="88" t="s">
        <v>29</v>
      </c>
      <c r="G66" s="89" t="str">
        <f>'TRAD-Saisie données stocks'!B67</f>
        <v>Sol buv</v>
      </c>
      <c r="H66" s="89" t="s">
        <v>80</v>
      </c>
      <c r="I66" s="89" t="s">
        <v>1768</v>
      </c>
      <c r="J66" s="39" t="s">
        <v>85</v>
      </c>
      <c r="K66" s="39"/>
      <c r="L66" s="273">
        <v>240</v>
      </c>
      <c r="M66" s="111">
        <v>1</v>
      </c>
      <c r="N66" s="270">
        <f>383+1376+2231</f>
        <v>3990</v>
      </c>
      <c r="O66"/>
      <c r="P66" s="779" t="str">
        <f>IF('Calculs Péremption FA'!P54='TRAD-Saisie données stocks'!$B$70, 'TRAD-Saisie données stocks'!$B$69, "")</f>
        <v/>
      </c>
      <c r="Q66" s="3196">
        <v>42278</v>
      </c>
      <c r="R66" s="648">
        <v>383</v>
      </c>
      <c r="S66" s="3196">
        <v>42309</v>
      </c>
      <c r="T66" s="648">
        <f>1376</f>
        <v>1376</v>
      </c>
      <c r="U66" s="3196">
        <v>42795</v>
      </c>
      <c r="V66" s="648">
        <v>2231</v>
      </c>
      <c r="W66" s="3196"/>
      <c r="X66" s="648"/>
      <c r="Y66" s="3196"/>
      <c r="Z66" s="648"/>
      <c r="AA66" s="3196"/>
      <c r="AB66" s="648"/>
      <c r="AC66" s="3196"/>
      <c r="AD66" s="648"/>
    </row>
    <row r="67" spans="3:34" s="4" customFormat="1" ht="13.5" thickBot="1" x14ac:dyDescent="0.25">
      <c r="D67" s="37"/>
      <c r="E67" s="101"/>
      <c r="F67" s="102" t="s">
        <v>27</v>
      </c>
      <c r="G67" s="103" t="str">
        <f>'TRAD-Saisie données stocks'!B67</f>
        <v>Sol buv</v>
      </c>
      <c r="H67" s="103" t="s">
        <v>86</v>
      </c>
      <c r="I67" s="1643" t="s">
        <v>621</v>
      </c>
      <c r="J67" s="109" t="s">
        <v>87</v>
      </c>
      <c r="K67" s="109"/>
      <c r="L67" s="1683">
        <v>180</v>
      </c>
      <c r="M67" s="121">
        <v>1</v>
      </c>
      <c r="N67" s="270"/>
      <c r="O67"/>
      <c r="P67" s="779" t="str">
        <f>IF('Calculs Péremption FA'!P55='TRAD-Saisie données stocks'!$B$70, 'TRAD-Saisie données stocks'!$B$69, "")</f>
        <v/>
      </c>
      <c r="Q67" s="3196"/>
      <c r="R67" s="648"/>
      <c r="S67" s="3196"/>
      <c r="T67" s="648"/>
      <c r="U67" s="3196"/>
      <c r="V67" s="648"/>
      <c r="W67" s="3196"/>
      <c r="X67" s="648"/>
      <c r="Y67" s="3196"/>
      <c r="Z67" s="648"/>
      <c r="AA67" s="3196"/>
      <c r="AB67" s="648"/>
      <c r="AC67" s="3196"/>
      <c r="AD67" s="648"/>
    </row>
    <row r="68" spans="3:34" s="4" customFormat="1" ht="13.5" thickBot="1" x14ac:dyDescent="0.25">
      <c r="D68" s="42"/>
      <c r="E68" s="99" t="str">
        <f>'TRAD-Saisie données stocks'!B41</f>
        <v>IP</v>
      </c>
      <c r="F68" s="106" t="s">
        <v>42</v>
      </c>
      <c r="G68" s="107" t="str">
        <f>'TRAD-Saisie données stocks'!B67</f>
        <v>Sol buv</v>
      </c>
      <c r="H68" s="107" t="s">
        <v>93</v>
      </c>
      <c r="I68" s="107" t="s">
        <v>631</v>
      </c>
      <c r="J68" s="108" t="s">
        <v>94</v>
      </c>
      <c r="K68" s="108"/>
      <c r="L68" s="274">
        <v>60</v>
      </c>
      <c r="M68" s="122">
        <v>4</v>
      </c>
      <c r="N68" s="270">
        <v>0</v>
      </c>
      <c r="O68"/>
      <c r="P68" s="779" t="str">
        <f>IF('Calculs Péremption FA'!P56='TRAD-Saisie données stocks'!$B$70, 'TRAD-Saisie données stocks'!$B$69, "")</f>
        <v/>
      </c>
      <c r="Q68" s="3196"/>
      <c r="R68" s="648"/>
      <c r="S68" s="3196"/>
      <c r="T68" s="648"/>
      <c r="U68" s="3196"/>
      <c r="V68" s="648"/>
      <c r="W68" s="3196"/>
      <c r="X68" s="648"/>
      <c r="Y68" s="3196"/>
      <c r="Z68" s="648"/>
      <c r="AA68" s="3196"/>
      <c r="AB68" s="648"/>
      <c r="AC68" s="3196"/>
      <c r="AD68" s="648"/>
    </row>
    <row r="69" spans="3:34" s="4" customFormat="1" x14ac:dyDescent="0.2">
      <c r="AD69" s="835"/>
      <c r="AE69" s="835"/>
      <c r="AF69" s="835"/>
      <c r="AG69" s="835"/>
      <c r="AH69" s="835"/>
    </row>
    <row r="70" spans="3:34" s="4" customFormat="1" x14ac:dyDescent="0.2">
      <c r="D70" s="20" t="str">
        <f>'TRAD-Saisie données stocks'!B61</f>
        <v>Remarque</v>
      </c>
      <c r="E70" s="22" t="str">
        <f>'TRAD-Saisie données stocks'!B46</f>
        <v>Attention pour les comprimés adultes, il faut tenir compte des stocks pour l'ensemble des besoins (= Adultes + Enfants + PTME + AES)</v>
      </c>
      <c r="AD70" s="835"/>
      <c r="AE70" s="835"/>
      <c r="AF70" s="835"/>
      <c r="AG70" s="835"/>
      <c r="AH70" s="835"/>
    </row>
    <row r="71" spans="3:34" s="4" customFormat="1" x14ac:dyDescent="0.2">
      <c r="D71" s="20"/>
      <c r="E71" s="22" t="str">
        <f>'TRAD-Saisie données stocks'!B47</f>
        <v>Pour faciliter les calculs et la gestion de stocks, seule la Triomune baby a été prise en compte</v>
      </c>
      <c r="AD71" s="835"/>
      <c r="AE71" s="835"/>
      <c r="AF71" s="835"/>
      <c r="AG71" s="835"/>
      <c r="AH71" s="835"/>
    </row>
    <row r="72" spans="3:34" s="4" customFormat="1" x14ac:dyDescent="0.2">
      <c r="D72" s="20"/>
      <c r="E72" s="2526" t="str">
        <f>'TRAD-Saisie données stocks'!B48</f>
        <v>Attention, pour le Kaletra, tenir compte du conditionnement primaire (nombre de flacons ≠ nombre de boites)</v>
      </c>
      <c r="F72" s="2527"/>
      <c r="G72" s="2527"/>
      <c r="H72" s="2527"/>
      <c r="I72" s="2527"/>
      <c r="J72" s="2527"/>
      <c r="AD72" s="835"/>
      <c r="AE72" s="835"/>
      <c r="AF72" s="835"/>
      <c r="AG72" s="835"/>
      <c r="AH72" s="835"/>
    </row>
    <row r="73" spans="3:34" s="4" customFormat="1" x14ac:dyDescent="0.2">
      <c r="AD73" s="835"/>
      <c r="AE73" s="835"/>
      <c r="AF73" s="835"/>
      <c r="AG73" s="835"/>
      <c r="AH73" s="835"/>
    </row>
    <row r="74" spans="3:34" s="4" customFormat="1" ht="14.25" x14ac:dyDescent="0.2">
      <c r="C74" s="25" t="str">
        <f>'TRAD-Saisie données stocks'!B63</f>
        <v>B. Renseignez les stocks disponibles en périphérie (dépôts intermédiaires et sites de PEC)</v>
      </c>
      <c r="D74" s="25"/>
      <c r="E74" s="25"/>
      <c r="F74" s="25"/>
      <c r="G74" s="25"/>
      <c r="H74" s="25"/>
      <c r="I74" s="25"/>
      <c r="J74" s="25"/>
      <c r="K74" s="25"/>
      <c r="AD74" s="835"/>
      <c r="AE74" s="835"/>
      <c r="AF74" s="835"/>
      <c r="AG74" s="835"/>
      <c r="AH74" s="835"/>
    </row>
    <row r="75" spans="3:34" s="4" customFormat="1" ht="13.5" thickBot="1" x14ac:dyDescent="0.25">
      <c r="AD75" s="835"/>
      <c r="AE75" s="835"/>
      <c r="AF75" s="835"/>
      <c r="AG75" s="835"/>
      <c r="AH75" s="835"/>
    </row>
    <row r="76" spans="3:34" s="4" customFormat="1" ht="13.5" thickBot="1" x14ac:dyDescent="0.25">
      <c r="D76" s="1550" t="str">
        <f>'TRAD-Saisie données stocks'!B49</f>
        <v>Pour la visualisation des disponibilités, souhaitez vous prendre en compte des stocks en périphérie ? (OUI ou NON)</v>
      </c>
      <c r="L76" s="270" t="s">
        <v>1016</v>
      </c>
      <c r="M76" s="2983" t="str">
        <f>IF(Présentation!$E$2="Français",IF($L$76="OUI","OUI",IF($L$76="YES","OUI",IF($L$76="NON","NON",IF($L$76="NO","NON","")))), IF(Présentation!$E$2="Anglais",IF($L$76="YES","YES",IF($L$76="OUI","YES",IF($L$76="NO","NO",IF($L$76="NON","NO",""))))))</f>
        <v>OUI</v>
      </c>
      <c r="AD76" s="835"/>
      <c r="AE76" s="835"/>
      <c r="AF76" s="835"/>
      <c r="AG76" s="835"/>
      <c r="AH76" s="835"/>
    </row>
    <row r="77" spans="3:34" x14ac:dyDescent="0.2">
      <c r="D77" s="1549"/>
      <c r="E77" s="1547"/>
      <c r="F77" s="1547"/>
      <c r="G77" s="1547"/>
      <c r="H77" s="1547"/>
      <c r="I77" s="1547"/>
      <c r="J77" s="1547"/>
      <c r="K77" s="1547"/>
      <c r="L77" s="1547"/>
      <c r="M77" s="1547"/>
      <c r="N77" s="1547"/>
      <c r="O77" s="1547"/>
      <c r="AD77" s="836"/>
      <c r="AE77" s="836"/>
      <c r="AF77" s="836"/>
      <c r="AG77" s="836"/>
      <c r="AH77" s="836"/>
    </row>
    <row r="78" spans="3:34" x14ac:dyDescent="0.2">
      <c r="D78" s="826" t="str">
        <f>'TRAD-Saisie données stocks'!B52</f>
        <v>Remarque</v>
      </c>
      <c r="E78" s="1537"/>
      <c r="F78" s="1537"/>
      <c r="G78" s="1537"/>
      <c r="H78" s="1537"/>
      <c r="I78" s="1537"/>
      <c r="J78" s="1537"/>
      <c r="K78" s="1537"/>
      <c r="L78" s="1537"/>
      <c r="M78" s="1537"/>
      <c r="N78" s="1537"/>
      <c r="O78" s="1537"/>
      <c r="AD78" s="836"/>
      <c r="AE78" s="836"/>
      <c r="AF78" s="836"/>
      <c r="AG78" s="836"/>
      <c r="AH78" s="836"/>
    </row>
    <row r="79" spans="3:34" ht="12.75" customHeight="1" x14ac:dyDescent="0.2">
      <c r="D79" s="61"/>
      <c r="E79" s="1813" t="str">
        <f>'TRAD-Saisie données stocks'!B53</f>
        <v>Le système ne tient pas compte des DLU des stocks de régions car l'interprétation des données compilées n'est pas possible.</v>
      </c>
      <c r="F79" s="1538"/>
      <c r="G79" s="1538"/>
      <c r="H79" s="1538"/>
      <c r="I79" s="1538"/>
      <c r="J79" s="1538"/>
      <c r="K79" s="1538"/>
      <c r="L79" s="1538"/>
      <c r="M79" s="1538"/>
      <c r="N79" s="1538"/>
      <c r="O79" s="1538"/>
      <c r="AD79" s="836"/>
      <c r="AE79" s="836"/>
      <c r="AF79" s="836"/>
      <c r="AG79" s="836"/>
      <c r="AH79" s="836"/>
    </row>
    <row r="80" spans="3:34" ht="12.75" customHeight="1" x14ac:dyDescent="0.2">
      <c r="D80" s="61"/>
      <c r="E80" s="1813" t="str">
        <f>'TRAD-Saisie données stocks'!B54</f>
        <v>Pour le module de quantification, le paramétrage se fait spécifiquement dans la feuille quantification</v>
      </c>
      <c r="F80" s="1547"/>
      <c r="G80" s="1547"/>
      <c r="H80" s="1547"/>
      <c r="I80" s="1547"/>
      <c r="J80" s="1547"/>
      <c r="K80" s="1547"/>
      <c r="L80" s="2547"/>
      <c r="M80" s="1547"/>
      <c r="N80" s="1547"/>
      <c r="O80" s="1547"/>
      <c r="AD80" s="836"/>
      <c r="AE80" s="836"/>
      <c r="AF80" s="836"/>
      <c r="AG80" s="836"/>
      <c r="AH80" s="836"/>
    </row>
    <row r="81" spans="4:35" s="4" customFormat="1" ht="13.5" thickBot="1" x14ac:dyDescent="0.25">
      <c r="AD81" s="835"/>
      <c r="AE81" s="835"/>
      <c r="AF81" s="835"/>
      <c r="AG81" s="835"/>
      <c r="AH81" s="835"/>
    </row>
    <row r="82" spans="4:35" s="4" customFormat="1" ht="39" thickBot="1" x14ac:dyDescent="0.25">
      <c r="D82" s="85"/>
      <c r="E82" s="120"/>
      <c r="F82" s="32" t="str">
        <f>'TRAD-Saisie données stocks'!B13</f>
        <v>Composition</v>
      </c>
      <c r="G82" s="33" t="str">
        <f>'TRAD-Saisie données stocks'!B14</f>
        <v>Forme galénique</v>
      </c>
      <c r="H82" s="33" t="str">
        <f>'TRAD-Saisie données stocks'!B15</f>
        <v>Dosage</v>
      </c>
      <c r="I82" s="33" t="str">
        <f>'TRAD-Saisie données stocks'!B16</f>
        <v>DCI</v>
      </c>
      <c r="J82" s="33" t="str">
        <f>'TRAD-Saisie données stocks'!B17</f>
        <v>Nom de spécialité</v>
      </c>
      <c r="K82" s="33" t="str">
        <f>'TRAD-Saisie données stocks'!B18</f>
        <v>Nom de générique possible</v>
      </c>
      <c r="L82" s="33" t="str">
        <f>'TRAD-Saisie données stocks'!B19</f>
        <v>Conditionnement</v>
      </c>
      <c r="M82" s="34"/>
      <c r="N82" s="127" t="str">
        <f>'TRAD-Saisie données stocks'!B20</f>
        <v>Quantités en stock en nombre de boites</v>
      </c>
      <c r="AE82" s="835"/>
      <c r="AF82" s="835"/>
      <c r="AG82" s="835"/>
      <c r="AH82" s="835"/>
      <c r="AI82" s="835"/>
    </row>
    <row r="83" spans="4:35" s="4" customFormat="1" ht="39" thickBot="1" x14ac:dyDescent="0.25">
      <c r="D83" s="31" t="str">
        <f>'TRAD-Saisie données stocks'!B37</f>
        <v>Comprimés</v>
      </c>
      <c r="E83" s="97" t="str">
        <f>E19</f>
        <v>CDF</v>
      </c>
      <c r="F83" s="86" t="str">
        <f>F19</f>
        <v>AZT+3TC+NVP</v>
      </c>
      <c r="G83" s="87" t="str">
        <f t="shared" ref="G83:L83" si="0">G19</f>
        <v>Cp</v>
      </c>
      <c r="H83" s="87" t="str">
        <f t="shared" si="0"/>
        <v>300/150/200 mg</v>
      </c>
      <c r="I83" s="87" t="str">
        <f t="shared" si="0"/>
        <v>Zidovudine+ Lamivudine+ Nevirapine</v>
      </c>
      <c r="J83" s="36">
        <f t="shared" si="0"/>
        <v>0</v>
      </c>
      <c r="K83" s="35" t="str">
        <f t="shared" si="0"/>
        <v>DUOVIR-N, ZIDOLAM-N</v>
      </c>
      <c r="L83" s="113">
        <f t="shared" si="0"/>
        <v>60</v>
      </c>
      <c r="M83" s="328"/>
      <c r="N83" s="270">
        <f>(52500+24000+69600+360+3720+22500+9000+88620+103140+164700)/60</f>
        <v>8969</v>
      </c>
      <c r="AE83" s="835"/>
      <c r="AF83" s="835"/>
      <c r="AG83" s="835"/>
      <c r="AH83" s="835"/>
      <c r="AI83" s="835"/>
    </row>
    <row r="84" spans="4:35" s="4" customFormat="1" ht="39" thickBot="1" x14ac:dyDescent="0.25">
      <c r="D84" s="37"/>
      <c r="E84" s="98"/>
      <c r="F84" s="501" t="str">
        <f t="shared" ref="F84:L84" si="1">F20</f>
        <v>AZT+3TC+NVP</v>
      </c>
      <c r="G84" s="502" t="str">
        <f t="shared" si="1"/>
        <v>Cp</v>
      </c>
      <c r="H84" s="502" t="str">
        <f t="shared" si="1"/>
        <v>60/30/50 mg</v>
      </c>
      <c r="I84" s="502" t="str">
        <f t="shared" si="1"/>
        <v>Zidovudine+ Lamivudine+ Nevirapine</v>
      </c>
      <c r="J84" s="503">
        <f t="shared" si="1"/>
        <v>0</v>
      </c>
      <c r="K84" s="504" t="str">
        <f t="shared" si="1"/>
        <v>DUOVIR-N baby, ZIDOLAM-N baby</v>
      </c>
      <c r="L84" s="505">
        <f t="shared" si="1"/>
        <v>60</v>
      </c>
      <c r="M84" s="330"/>
      <c r="N84" s="270">
        <f>(2700+1800+10500+13560+840)/60</f>
        <v>490</v>
      </c>
      <c r="AE84" s="835"/>
      <c r="AF84" s="835"/>
      <c r="AG84" s="835"/>
      <c r="AH84" s="835"/>
      <c r="AI84" s="835"/>
    </row>
    <row r="85" spans="4:35" s="4" customFormat="1" ht="39" thickBot="1" x14ac:dyDescent="0.25">
      <c r="D85" s="37"/>
      <c r="E85" s="98"/>
      <c r="F85" s="88" t="str">
        <f t="shared" ref="F85:L85" si="2">F21</f>
        <v>AZT+3TC+ABC</v>
      </c>
      <c r="G85" s="89" t="str">
        <f t="shared" si="2"/>
        <v>Cp</v>
      </c>
      <c r="H85" s="89" t="str">
        <f t="shared" si="2"/>
        <v>300/150/300 mg</v>
      </c>
      <c r="I85" s="89" t="str">
        <f t="shared" si="2"/>
        <v>Zidovudine+ Lamivudine+ Abacavir</v>
      </c>
      <c r="J85" s="39" t="str">
        <f t="shared" si="2"/>
        <v>TRIZIVIR</v>
      </c>
      <c r="K85" s="38">
        <f t="shared" si="2"/>
        <v>0</v>
      </c>
      <c r="L85" s="114">
        <f t="shared" si="2"/>
        <v>60</v>
      </c>
      <c r="M85" s="330"/>
      <c r="N85" s="270"/>
      <c r="AE85" s="835"/>
      <c r="AF85" s="835"/>
      <c r="AG85" s="835"/>
      <c r="AH85" s="835"/>
      <c r="AI85" s="835"/>
    </row>
    <row r="86" spans="4:35" s="4" customFormat="1" ht="26.25" thickBot="1" x14ac:dyDescent="0.25">
      <c r="D86" s="37"/>
      <c r="E86" s="98"/>
      <c r="F86" s="88" t="str">
        <f t="shared" ref="F86:L86" si="3">F22</f>
        <v>AZT+3TC</v>
      </c>
      <c r="G86" s="89" t="str">
        <f t="shared" si="3"/>
        <v>Cp</v>
      </c>
      <c r="H86" s="89" t="str">
        <f t="shared" si="3"/>
        <v>300/150 mg</v>
      </c>
      <c r="I86" s="89" t="str">
        <f t="shared" si="3"/>
        <v>Zidovudine+ Lamivudine</v>
      </c>
      <c r="J86" s="39" t="str">
        <f t="shared" si="3"/>
        <v>COMBIVIR</v>
      </c>
      <c r="K86" s="38" t="str">
        <f t="shared" si="3"/>
        <v>LAMZID, DUOVIR, ZIDOLAM, VIRACOMB</v>
      </c>
      <c r="L86" s="114">
        <f t="shared" si="3"/>
        <v>60</v>
      </c>
      <c r="M86" s="330"/>
      <c r="N86" s="270">
        <f>(5400+5400+8520+16800+16200+10800)/60</f>
        <v>1052</v>
      </c>
      <c r="AE86" s="835"/>
      <c r="AF86" s="835"/>
      <c r="AG86" s="835"/>
      <c r="AH86" s="835"/>
      <c r="AI86" s="835"/>
    </row>
    <row r="87" spans="4:35" s="4" customFormat="1" ht="26.25" thickBot="1" x14ac:dyDescent="0.25">
      <c r="D87" s="37"/>
      <c r="E87" s="98"/>
      <c r="F87" s="1656" t="str">
        <f t="shared" ref="F87:L87" si="4">F23</f>
        <v>AZT+3TC</v>
      </c>
      <c r="G87" s="1657" t="str">
        <f t="shared" si="4"/>
        <v>Cp</v>
      </c>
      <c r="H87" s="1657" t="str">
        <f t="shared" si="4"/>
        <v>60/30 mg</v>
      </c>
      <c r="I87" s="502" t="str">
        <f t="shared" si="4"/>
        <v>Zidovudine+ Lamivudine</v>
      </c>
      <c r="J87" s="503">
        <f t="shared" si="4"/>
        <v>0</v>
      </c>
      <c r="K87" s="504" t="str">
        <f t="shared" si="4"/>
        <v>DUOVIR baby, ZIDOLAM baby</v>
      </c>
      <c r="L87" s="505">
        <f t="shared" si="4"/>
        <v>60</v>
      </c>
      <c r="M87" s="330"/>
      <c r="N87" s="270">
        <f>(900+600+4800+3000+180+120)/60</f>
        <v>160</v>
      </c>
      <c r="AE87" s="835"/>
      <c r="AF87" s="835"/>
      <c r="AG87" s="835"/>
      <c r="AH87" s="835"/>
      <c r="AI87" s="835"/>
    </row>
    <row r="88" spans="4:35" s="4" customFormat="1" ht="26.25" thickBot="1" x14ac:dyDescent="0.25">
      <c r="D88" s="37"/>
      <c r="E88" s="98"/>
      <c r="F88" s="1656" t="str">
        <f t="shared" ref="F88:L88" si="5">F24</f>
        <v>3TC+ABC</v>
      </c>
      <c r="G88" s="1657" t="str">
        <f t="shared" si="5"/>
        <v>Cp</v>
      </c>
      <c r="H88" s="1657" t="str">
        <f t="shared" si="5"/>
        <v>300/600 mg</v>
      </c>
      <c r="I88" s="502" t="str">
        <f t="shared" si="5"/>
        <v>Lamivudine+ Abacavir</v>
      </c>
      <c r="J88" s="503">
        <f t="shared" si="5"/>
        <v>0</v>
      </c>
      <c r="K88" s="504" t="str">
        <f t="shared" si="5"/>
        <v>KIVEXA</v>
      </c>
      <c r="L88" s="505">
        <f t="shared" si="5"/>
        <v>30</v>
      </c>
      <c r="M88" s="330"/>
      <c r="N88" s="270">
        <f>(300+600+300)/30</f>
        <v>40</v>
      </c>
      <c r="AE88" s="835"/>
      <c r="AF88" s="835"/>
      <c r="AG88" s="835"/>
      <c r="AH88" s="835"/>
      <c r="AI88" s="835"/>
    </row>
    <row r="89" spans="4:35" s="4" customFormat="1" ht="26.25" thickBot="1" x14ac:dyDescent="0.25">
      <c r="D89" s="37"/>
      <c r="E89" s="98"/>
      <c r="F89" s="1656" t="str">
        <f t="shared" ref="F89:L89" si="6">F25</f>
        <v>3TC+ABC</v>
      </c>
      <c r="G89" s="1657" t="str">
        <f t="shared" si="6"/>
        <v>Cp</v>
      </c>
      <c r="H89" s="1657" t="str">
        <f t="shared" si="6"/>
        <v>30/60 mg</v>
      </c>
      <c r="I89" s="502" t="str">
        <f t="shared" si="6"/>
        <v>Lamivudine+ Abacavir</v>
      </c>
      <c r="J89" s="503">
        <f t="shared" si="6"/>
        <v>0</v>
      </c>
      <c r="K89" s="504">
        <f t="shared" si="6"/>
        <v>0</v>
      </c>
      <c r="L89" s="505">
        <f t="shared" si="6"/>
        <v>60</v>
      </c>
      <c r="M89" s="330"/>
      <c r="N89" s="270"/>
      <c r="AE89" s="835"/>
      <c r="AF89" s="835"/>
      <c r="AG89" s="835"/>
      <c r="AH89" s="835"/>
      <c r="AI89" s="835"/>
    </row>
    <row r="90" spans="4:35" s="4" customFormat="1" ht="39" thickBot="1" x14ac:dyDescent="0.25">
      <c r="D90" s="37"/>
      <c r="E90" s="98"/>
      <c r="F90" s="1660" t="str">
        <f t="shared" ref="F90:L90" si="7">F26</f>
        <v>D4T+3TC+NVP</v>
      </c>
      <c r="G90" s="1661" t="str">
        <f t="shared" si="7"/>
        <v>Cp</v>
      </c>
      <c r="H90" s="1661" t="str">
        <f t="shared" si="7"/>
        <v>30/150/200 mg</v>
      </c>
      <c r="I90" s="1207" t="str">
        <f t="shared" si="7"/>
        <v>Stavudine+ Lamivudine+ Nevirapine</v>
      </c>
      <c r="J90" s="41">
        <f t="shared" si="7"/>
        <v>0</v>
      </c>
      <c r="K90" s="40" t="str">
        <f t="shared" si="7"/>
        <v>TRIOMUNE</v>
      </c>
      <c r="L90" s="115">
        <f t="shared" si="7"/>
        <v>60</v>
      </c>
      <c r="M90" s="331"/>
      <c r="N90" s="270"/>
      <c r="AE90" s="835"/>
      <c r="AF90" s="835"/>
      <c r="AG90" s="835"/>
      <c r="AH90" s="835"/>
      <c r="AI90" s="835"/>
    </row>
    <row r="91" spans="4:35" s="4" customFormat="1" ht="39" thickBot="1" x14ac:dyDescent="0.25">
      <c r="D91" s="37"/>
      <c r="E91" s="98"/>
      <c r="F91" s="1660" t="str">
        <f t="shared" ref="F91:L91" si="8">F27</f>
        <v>D4T+3TC+NVP</v>
      </c>
      <c r="G91" s="1661" t="str">
        <f t="shared" si="8"/>
        <v>Cp</v>
      </c>
      <c r="H91" s="1661" t="str">
        <f t="shared" si="8"/>
        <v>6/30/50 mg</v>
      </c>
      <c r="I91" s="1207" t="str">
        <f t="shared" si="8"/>
        <v>Stavudine+ Lamivudine+ Nevirapine</v>
      </c>
      <c r="J91" s="40">
        <f t="shared" si="8"/>
        <v>0</v>
      </c>
      <c r="K91" s="40" t="str">
        <f t="shared" si="8"/>
        <v>TRIOMUNE baby</v>
      </c>
      <c r="L91" s="115">
        <f t="shared" si="8"/>
        <v>60</v>
      </c>
      <c r="M91" s="331"/>
      <c r="N91" s="270">
        <f>(300+300+600+600)/60</f>
        <v>30</v>
      </c>
      <c r="AE91" s="835"/>
      <c r="AF91" s="835"/>
      <c r="AG91" s="835"/>
      <c r="AH91" s="835"/>
      <c r="AI91" s="835"/>
    </row>
    <row r="92" spans="4:35" s="4" customFormat="1" ht="26.25" thickBot="1" x14ac:dyDescent="0.25">
      <c r="D92" s="37"/>
      <c r="E92" s="98"/>
      <c r="F92" s="1660" t="str">
        <f t="shared" ref="F92:L92" si="9">F28</f>
        <v>D4T+3TC</v>
      </c>
      <c r="G92" s="1661" t="str">
        <f t="shared" si="9"/>
        <v>Cp</v>
      </c>
      <c r="H92" s="1661" t="str">
        <f t="shared" si="9"/>
        <v>30/150 mg</v>
      </c>
      <c r="I92" s="89" t="str">
        <f t="shared" si="9"/>
        <v>Stavudine+ Lamivudine</v>
      </c>
      <c r="J92" s="38">
        <f t="shared" si="9"/>
        <v>0</v>
      </c>
      <c r="K92" s="40" t="str">
        <f t="shared" si="9"/>
        <v>COVIRO, LAMIVIR-S</v>
      </c>
      <c r="L92" s="115">
        <f t="shared" si="9"/>
        <v>60</v>
      </c>
      <c r="M92" s="331"/>
      <c r="N92" s="270">
        <f>(120+120+300+300)/60</f>
        <v>14</v>
      </c>
      <c r="AE92" s="835"/>
      <c r="AF92" s="835"/>
      <c r="AG92" s="835"/>
      <c r="AH92" s="835"/>
      <c r="AI92" s="835"/>
    </row>
    <row r="93" spans="4:35" s="4" customFormat="1" ht="39" thickBot="1" x14ac:dyDescent="0.25">
      <c r="D93" s="37"/>
      <c r="E93" s="98"/>
      <c r="F93" s="1660" t="str">
        <f t="shared" ref="F93:L93" si="10">F29</f>
        <v>TDF+FTC+EFV</v>
      </c>
      <c r="G93" s="1661" t="str">
        <f t="shared" si="10"/>
        <v>Cp</v>
      </c>
      <c r="H93" s="1661" t="str">
        <f t="shared" si="10"/>
        <v>300/200/600 mg</v>
      </c>
      <c r="I93" s="89" t="str">
        <f t="shared" si="10"/>
        <v>Tenofovir+ Emtricitabine+ Efavirenz</v>
      </c>
      <c r="J93" s="38" t="str">
        <f t="shared" si="10"/>
        <v>ATRIPLA</v>
      </c>
      <c r="K93" s="40">
        <f t="shared" si="10"/>
        <v>0</v>
      </c>
      <c r="L93" s="115">
        <f t="shared" si="10"/>
        <v>30</v>
      </c>
      <c r="M93" s="331"/>
      <c r="N93" s="270"/>
      <c r="AE93" s="835"/>
      <c r="AF93" s="835"/>
      <c r="AG93" s="835"/>
      <c r="AH93" s="835"/>
      <c r="AI93" s="835"/>
    </row>
    <row r="94" spans="4:35" s="4" customFormat="1" ht="26.25" thickBot="1" x14ac:dyDescent="0.25">
      <c r="D94" s="37"/>
      <c r="E94" s="98"/>
      <c r="F94" s="1660" t="str">
        <f t="shared" ref="F94:L94" si="11">F30</f>
        <v>TDF+FTC</v>
      </c>
      <c r="G94" s="1661" t="str">
        <f t="shared" si="11"/>
        <v>Cp</v>
      </c>
      <c r="H94" s="1661" t="str">
        <f t="shared" si="11"/>
        <v>300/200 mg</v>
      </c>
      <c r="I94" s="89" t="str">
        <f t="shared" si="11"/>
        <v>Tenofovir+ Emtricitabine</v>
      </c>
      <c r="J94" s="38" t="str">
        <f t="shared" si="11"/>
        <v>TRUVADA</v>
      </c>
      <c r="K94" s="40">
        <f t="shared" si="11"/>
        <v>0</v>
      </c>
      <c r="L94" s="115">
        <f t="shared" si="11"/>
        <v>30</v>
      </c>
      <c r="M94" s="331"/>
      <c r="N94" s="270"/>
      <c r="AE94" s="835"/>
      <c r="AF94" s="835"/>
      <c r="AG94" s="835"/>
      <c r="AH94" s="835"/>
      <c r="AI94" s="835"/>
    </row>
    <row r="95" spans="4:35" s="4" customFormat="1" ht="39" thickBot="1" x14ac:dyDescent="0.25">
      <c r="D95" s="37"/>
      <c r="E95" s="123"/>
      <c r="F95" s="1660" t="str">
        <f t="shared" ref="F95:L95" si="12">F31</f>
        <v>TDF+3TC+EFV</v>
      </c>
      <c r="G95" s="1661" t="str">
        <f t="shared" si="12"/>
        <v>Cp</v>
      </c>
      <c r="H95" s="1661" t="str">
        <f t="shared" si="12"/>
        <v>300/200/600 mg</v>
      </c>
      <c r="I95" s="89" t="str">
        <f t="shared" si="12"/>
        <v>Tenofovir+ Lamivudine+ Efavirenz</v>
      </c>
      <c r="J95" s="38" t="str">
        <f t="shared" si="12"/>
        <v>ATRIPLA</v>
      </c>
      <c r="K95" s="40">
        <f t="shared" si="12"/>
        <v>0</v>
      </c>
      <c r="L95" s="115">
        <f t="shared" si="12"/>
        <v>30</v>
      </c>
      <c r="M95" s="331"/>
      <c r="N95" s="270">
        <f>(720+6840+12600+5040+12600+12600+7560+10800+12600)/30</f>
        <v>2712</v>
      </c>
      <c r="AE95" s="835"/>
      <c r="AF95" s="835"/>
      <c r="AG95" s="835"/>
      <c r="AH95" s="835"/>
      <c r="AI95" s="835"/>
    </row>
    <row r="96" spans="4:35" s="4" customFormat="1" ht="26.25" thickBot="1" x14ac:dyDescent="0.25">
      <c r="D96" s="37"/>
      <c r="E96" s="123"/>
      <c r="F96" s="1660" t="str">
        <f t="shared" ref="F96:L96" si="13">F32</f>
        <v>TDF+3TC</v>
      </c>
      <c r="G96" s="1661" t="str">
        <f t="shared" si="13"/>
        <v>Cp</v>
      </c>
      <c r="H96" s="1661" t="str">
        <f t="shared" si="13"/>
        <v>300/200 mg</v>
      </c>
      <c r="I96" s="89" t="str">
        <f t="shared" si="13"/>
        <v>Tenofovir+ Lamivudine</v>
      </c>
      <c r="J96" s="38">
        <f t="shared" si="13"/>
        <v>0</v>
      </c>
      <c r="K96" s="40">
        <f t="shared" si="13"/>
        <v>0</v>
      </c>
      <c r="L96" s="115">
        <f t="shared" si="13"/>
        <v>30</v>
      </c>
      <c r="M96" s="331"/>
      <c r="N96" s="270"/>
      <c r="AE96" s="835"/>
      <c r="AF96" s="835"/>
      <c r="AG96" s="835"/>
      <c r="AH96" s="835"/>
      <c r="AI96" s="835"/>
    </row>
    <row r="97" spans="4:35" s="4" customFormat="1" ht="51.75" thickBot="1" x14ac:dyDescent="0.25">
      <c r="D97" s="100"/>
      <c r="E97" s="101"/>
      <c r="F97" s="1663" t="str">
        <f t="shared" ref="F97:L97" si="14">F33</f>
        <v>[TDF+3TC]+ATV/r</v>
      </c>
      <c r="G97" s="1664" t="str">
        <f t="shared" si="14"/>
        <v>Cp coblister</v>
      </c>
      <c r="H97" s="1664" t="str">
        <f t="shared" si="14"/>
        <v>[300/300]+300/100 mg</v>
      </c>
      <c r="I97" s="1640" t="str">
        <f t="shared" si="14"/>
        <v>[Tenofovir+ Lamivudine]+ Atazanavir/Ritonavir</v>
      </c>
      <c r="J97" s="104">
        <f t="shared" si="14"/>
        <v>0</v>
      </c>
      <c r="K97" s="105">
        <f t="shared" si="14"/>
        <v>0</v>
      </c>
      <c r="L97" s="116">
        <f t="shared" si="14"/>
        <v>30</v>
      </c>
      <c r="M97" s="333"/>
      <c r="N97" s="270"/>
      <c r="AE97" s="835"/>
      <c r="AF97" s="835"/>
      <c r="AG97" s="835"/>
      <c r="AH97" s="835"/>
      <c r="AI97" s="835"/>
    </row>
    <row r="98" spans="4:35" s="4" customFormat="1" ht="13.5" thickBot="1" x14ac:dyDescent="0.25">
      <c r="D98" s="37"/>
      <c r="E98" s="98" t="str">
        <f t="shared" ref="E98:L98" si="15">E34</f>
        <v>INNTI</v>
      </c>
      <c r="F98" s="1658" t="str">
        <f t="shared" si="15"/>
        <v>EFV</v>
      </c>
      <c r="G98" s="1659" t="str">
        <f t="shared" si="15"/>
        <v>Gél</v>
      </c>
      <c r="H98" s="1659" t="str">
        <f t="shared" si="15"/>
        <v>50 mg</v>
      </c>
      <c r="I98" s="89" t="str">
        <f t="shared" si="15"/>
        <v>Efavirenz</v>
      </c>
      <c r="J98" s="38" t="str">
        <f t="shared" si="15"/>
        <v>SUSTIVA, STOCRIN</v>
      </c>
      <c r="K98" s="38">
        <f t="shared" si="15"/>
        <v>0</v>
      </c>
      <c r="L98" s="114">
        <f t="shared" si="15"/>
        <v>30</v>
      </c>
      <c r="M98" s="330"/>
      <c r="N98" s="270"/>
      <c r="AE98" s="835"/>
      <c r="AF98" s="835"/>
      <c r="AG98" s="835"/>
      <c r="AH98" s="835"/>
      <c r="AI98" s="835"/>
    </row>
    <row r="99" spans="4:35" s="4" customFormat="1" ht="13.5" thickBot="1" x14ac:dyDescent="0.25">
      <c r="D99" s="37"/>
      <c r="E99" s="98"/>
      <c r="F99" s="1660" t="str">
        <f t="shared" ref="F99:L99" si="16">F35</f>
        <v>EFV</v>
      </c>
      <c r="G99" s="1661" t="str">
        <f t="shared" si="16"/>
        <v>Gél</v>
      </c>
      <c r="H99" s="1661" t="str">
        <f t="shared" si="16"/>
        <v>200 mg</v>
      </c>
      <c r="I99" s="89" t="str">
        <f t="shared" si="16"/>
        <v>Efavirenz</v>
      </c>
      <c r="J99" s="38" t="str">
        <f t="shared" si="16"/>
        <v>SUSTIVA, STOCRIN</v>
      </c>
      <c r="K99" s="40">
        <f t="shared" si="16"/>
        <v>0</v>
      </c>
      <c r="L99" s="115">
        <f t="shared" si="16"/>
        <v>90</v>
      </c>
      <c r="M99" s="331"/>
      <c r="N99" s="270"/>
      <c r="AE99" s="835"/>
      <c r="AF99" s="835"/>
      <c r="AG99" s="835"/>
      <c r="AH99" s="835"/>
      <c r="AI99" s="835"/>
    </row>
    <row r="100" spans="4:35" s="4" customFormat="1" ht="13.5" thickBot="1" x14ac:dyDescent="0.25">
      <c r="D100" s="37"/>
      <c r="E100" s="98"/>
      <c r="F100" s="1665" t="str">
        <f t="shared" ref="F100:L100" si="17">F36</f>
        <v>EFV</v>
      </c>
      <c r="G100" s="1666" t="str">
        <f t="shared" si="17"/>
        <v>Cp</v>
      </c>
      <c r="H100" s="1661" t="str">
        <f t="shared" si="17"/>
        <v>600 mg</v>
      </c>
      <c r="I100" s="89" t="str">
        <f t="shared" si="17"/>
        <v>Efavirenz</v>
      </c>
      <c r="J100" s="39" t="str">
        <f t="shared" si="17"/>
        <v>SUSTIVA, STOCRIN</v>
      </c>
      <c r="K100" s="96">
        <f t="shared" si="17"/>
        <v>0</v>
      </c>
      <c r="L100" s="117">
        <f t="shared" si="17"/>
        <v>30</v>
      </c>
      <c r="M100" s="334"/>
      <c r="N100" s="270">
        <f>(2700+18120+4380+4500+9600+18900+8100)/30</f>
        <v>2210</v>
      </c>
      <c r="AE100" s="835"/>
      <c r="AF100" s="835"/>
      <c r="AG100" s="835"/>
      <c r="AH100" s="835"/>
      <c r="AI100" s="835"/>
    </row>
    <row r="101" spans="4:35" s="4" customFormat="1" ht="13.5" thickBot="1" x14ac:dyDescent="0.25">
      <c r="D101" s="37"/>
      <c r="E101" s="98"/>
      <c r="F101" s="1667" t="str">
        <f t="shared" ref="F101:L101" si="18">F37</f>
        <v>ETV</v>
      </c>
      <c r="G101" s="1668" t="str">
        <f t="shared" si="18"/>
        <v>Cp</v>
      </c>
      <c r="H101" s="1662" t="str">
        <f t="shared" si="18"/>
        <v>200 mg</v>
      </c>
      <c r="I101" s="89" t="str">
        <f t="shared" si="18"/>
        <v>Etravirine</v>
      </c>
      <c r="J101" s="39" t="str">
        <f t="shared" si="18"/>
        <v>INTELENCE</v>
      </c>
      <c r="K101" s="1638">
        <f t="shared" si="18"/>
        <v>0</v>
      </c>
      <c r="L101" s="1386">
        <f t="shared" si="18"/>
        <v>60</v>
      </c>
      <c r="M101" s="1387"/>
      <c r="N101" s="270"/>
      <c r="AE101" s="835"/>
      <c r="AF101" s="835"/>
      <c r="AG101" s="835"/>
      <c r="AH101" s="835"/>
      <c r="AI101" s="835"/>
    </row>
    <row r="102" spans="4:35" s="4" customFormat="1" ht="13.5" thickBot="1" x14ac:dyDescent="0.25">
      <c r="D102" s="37"/>
      <c r="E102" s="123"/>
      <c r="F102" s="1660" t="str">
        <f t="shared" ref="F102:L102" si="19">F38</f>
        <v>NVP</v>
      </c>
      <c r="G102" s="1661" t="str">
        <f t="shared" si="19"/>
        <v>Cp</v>
      </c>
      <c r="H102" s="1662" t="str">
        <f t="shared" si="19"/>
        <v>200 mg</v>
      </c>
      <c r="I102" s="89" t="str">
        <f t="shared" si="19"/>
        <v>Nevirapine</v>
      </c>
      <c r="J102" s="39" t="str">
        <f t="shared" si="19"/>
        <v>VIRAMUNE</v>
      </c>
      <c r="K102" s="40">
        <f t="shared" si="19"/>
        <v>0</v>
      </c>
      <c r="L102" s="115">
        <f t="shared" si="19"/>
        <v>60</v>
      </c>
      <c r="M102" s="331"/>
      <c r="N102" s="270"/>
      <c r="AE102" s="835"/>
      <c r="AF102" s="835"/>
      <c r="AG102" s="835"/>
      <c r="AH102" s="835"/>
      <c r="AI102" s="835"/>
    </row>
    <row r="103" spans="4:35" s="4" customFormat="1" ht="13.5" thickBot="1" x14ac:dyDescent="0.25">
      <c r="D103" s="100"/>
      <c r="E103" s="101"/>
      <c r="F103" s="1663" t="str">
        <f t="shared" ref="F103:L103" si="20">F39</f>
        <v>RPV</v>
      </c>
      <c r="G103" s="1664" t="str">
        <f t="shared" si="20"/>
        <v>Cp</v>
      </c>
      <c r="H103" s="1664" t="str">
        <f t="shared" si="20"/>
        <v>25 mg</v>
      </c>
      <c r="I103" s="1640" t="str">
        <f t="shared" si="20"/>
        <v>Rilpivirine</v>
      </c>
      <c r="J103" s="104" t="str">
        <f t="shared" si="20"/>
        <v>EDURANT</v>
      </c>
      <c r="K103" s="105">
        <f t="shared" si="20"/>
        <v>0</v>
      </c>
      <c r="L103" s="116">
        <f t="shared" si="20"/>
        <v>30</v>
      </c>
      <c r="M103" s="333"/>
      <c r="N103" s="270"/>
      <c r="AE103" s="835"/>
      <c r="AF103" s="835"/>
      <c r="AG103" s="835"/>
      <c r="AH103" s="835"/>
      <c r="AI103" s="835"/>
    </row>
    <row r="104" spans="4:35" s="4" customFormat="1" ht="13.5" thickBot="1" x14ac:dyDescent="0.25">
      <c r="D104" s="37"/>
      <c r="E104" s="123" t="str">
        <f t="shared" ref="E104:L104" si="21">E40</f>
        <v>INTI</v>
      </c>
      <c r="F104" s="1660" t="str">
        <f t="shared" si="21"/>
        <v>ABC</v>
      </c>
      <c r="G104" s="1661" t="str">
        <f t="shared" si="21"/>
        <v>Cp</v>
      </c>
      <c r="H104" s="1661" t="str">
        <f t="shared" si="21"/>
        <v>300 mg</v>
      </c>
      <c r="I104" s="89" t="str">
        <f t="shared" si="21"/>
        <v>Abacavir</v>
      </c>
      <c r="J104" s="38" t="str">
        <f t="shared" si="21"/>
        <v>ZIAGEN</v>
      </c>
      <c r="K104" s="40" t="str">
        <f t="shared" si="21"/>
        <v>ABAVIR, VIROL</v>
      </c>
      <c r="L104" s="115">
        <f t="shared" si="21"/>
        <v>60</v>
      </c>
      <c r="M104" s="331"/>
      <c r="N104" s="270"/>
      <c r="AE104" s="835"/>
      <c r="AF104" s="835"/>
      <c r="AG104" s="835"/>
      <c r="AH104" s="835"/>
      <c r="AI104" s="835"/>
    </row>
    <row r="105" spans="4:35" s="4" customFormat="1" ht="13.5" thickBot="1" x14ac:dyDescent="0.25">
      <c r="D105" s="37"/>
      <c r="E105" s="98"/>
      <c r="F105" s="1658" t="str">
        <f t="shared" ref="F105:L105" si="22">F41</f>
        <v>ABC</v>
      </c>
      <c r="G105" s="1659" t="str">
        <f t="shared" si="22"/>
        <v>Cp</v>
      </c>
      <c r="H105" s="1659" t="str">
        <f t="shared" si="22"/>
        <v>60 mg</v>
      </c>
      <c r="I105" s="89" t="str">
        <f t="shared" si="22"/>
        <v>Abacavir</v>
      </c>
      <c r="J105" s="39">
        <f t="shared" si="22"/>
        <v>0</v>
      </c>
      <c r="K105" s="38">
        <f t="shared" si="22"/>
        <v>0</v>
      </c>
      <c r="L105" s="114">
        <f t="shared" si="22"/>
        <v>60</v>
      </c>
      <c r="M105" s="330"/>
      <c r="N105" s="270"/>
      <c r="AE105" s="835"/>
      <c r="AF105" s="835"/>
      <c r="AG105" s="835"/>
      <c r="AH105" s="835"/>
      <c r="AI105" s="835"/>
    </row>
    <row r="106" spans="4:35" s="4" customFormat="1" ht="13.5" thickBot="1" x14ac:dyDescent="0.25">
      <c r="D106" s="37"/>
      <c r="E106" s="98"/>
      <c r="F106" s="1658" t="str">
        <f t="shared" ref="F106:L106" si="23">F42</f>
        <v>AZT</v>
      </c>
      <c r="G106" s="1659" t="str">
        <f t="shared" si="23"/>
        <v>Cp</v>
      </c>
      <c r="H106" s="1661" t="str">
        <f t="shared" si="23"/>
        <v>300 mg</v>
      </c>
      <c r="I106" s="89" t="str">
        <f t="shared" si="23"/>
        <v>Zidovudine</v>
      </c>
      <c r="J106" s="39" t="str">
        <f t="shared" si="23"/>
        <v>RETROVIR</v>
      </c>
      <c r="K106" s="38">
        <f t="shared" si="23"/>
        <v>0</v>
      </c>
      <c r="L106" s="114">
        <f t="shared" si="23"/>
        <v>60</v>
      </c>
      <c r="M106" s="330"/>
      <c r="N106" s="270"/>
      <c r="AE106" s="835"/>
      <c r="AF106" s="835"/>
      <c r="AG106" s="835"/>
      <c r="AH106" s="835"/>
      <c r="AI106" s="835"/>
    </row>
    <row r="107" spans="4:35" s="4" customFormat="1" ht="13.5" thickBot="1" x14ac:dyDescent="0.25">
      <c r="D107" s="37"/>
      <c r="E107" s="98"/>
      <c r="F107" s="1658" t="str">
        <f t="shared" ref="F107:L107" si="24">F43</f>
        <v>AZT</v>
      </c>
      <c r="G107" s="1659" t="str">
        <f t="shared" si="24"/>
        <v>Cp</v>
      </c>
      <c r="H107" s="1662" t="str">
        <f t="shared" si="24"/>
        <v>100 mg</v>
      </c>
      <c r="I107" s="89" t="str">
        <f t="shared" si="24"/>
        <v>Zidovudine</v>
      </c>
      <c r="J107" s="39" t="str">
        <f t="shared" si="24"/>
        <v>RETROVIR</v>
      </c>
      <c r="K107" s="38">
        <f t="shared" si="24"/>
        <v>0</v>
      </c>
      <c r="L107" s="114">
        <f t="shared" si="24"/>
        <v>100</v>
      </c>
      <c r="M107" s="330"/>
      <c r="N107" s="270"/>
      <c r="AE107" s="835"/>
      <c r="AF107" s="835"/>
      <c r="AG107" s="835"/>
      <c r="AH107" s="835"/>
      <c r="AI107" s="835"/>
    </row>
    <row r="108" spans="4:35" s="4" customFormat="1" ht="13.5" thickBot="1" x14ac:dyDescent="0.25">
      <c r="D108" s="37"/>
      <c r="E108" s="98"/>
      <c r="F108" s="1658" t="str">
        <f t="shared" ref="F108:L108" si="25">F44</f>
        <v>AZT</v>
      </c>
      <c r="G108" s="1659" t="str">
        <f t="shared" si="25"/>
        <v>Cp</v>
      </c>
      <c r="H108" s="1662" t="str">
        <f t="shared" si="25"/>
        <v>60 mg</v>
      </c>
      <c r="I108" s="89" t="str">
        <f t="shared" si="25"/>
        <v>Zidovudine</v>
      </c>
      <c r="J108" s="39">
        <f t="shared" si="25"/>
        <v>0</v>
      </c>
      <c r="K108" s="38">
        <f t="shared" si="25"/>
        <v>0</v>
      </c>
      <c r="L108" s="114">
        <f t="shared" si="25"/>
        <v>60</v>
      </c>
      <c r="M108" s="330"/>
      <c r="N108" s="270"/>
      <c r="AE108" s="835"/>
      <c r="AF108" s="835"/>
      <c r="AG108" s="835"/>
      <c r="AH108" s="835"/>
      <c r="AI108" s="835"/>
    </row>
    <row r="109" spans="4:35" s="4" customFormat="1" ht="13.5" thickBot="1" x14ac:dyDescent="0.25">
      <c r="D109" s="37"/>
      <c r="E109" s="98"/>
      <c r="F109" s="1669" t="str">
        <f t="shared" ref="F109:L109" si="26">F45</f>
        <v>D4T</v>
      </c>
      <c r="G109" s="1670" t="str">
        <f t="shared" si="26"/>
        <v>Cp</v>
      </c>
      <c r="H109" s="1671" t="str">
        <f t="shared" si="26"/>
        <v>30 mg</v>
      </c>
      <c r="I109" s="377" t="str">
        <f t="shared" si="26"/>
        <v>Stavudine</v>
      </c>
      <c r="J109" s="378" t="str">
        <f t="shared" si="26"/>
        <v>ZERIT</v>
      </c>
      <c r="K109" s="379" t="str">
        <f t="shared" si="26"/>
        <v>STAVIR</v>
      </c>
      <c r="L109" s="114">
        <f t="shared" si="26"/>
        <v>60</v>
      </c>
      <c r="M109" s="330"/>
      <c r="N109" s="270"/>
      <c r="AE109" s="835"/>
      <c r="AF109" s="835"/>
      <c r="AG109" s="835"/>
      <c r="AH109" s="835"/>
      <c r="AI109" s="835"/>
    </row>
    <row r="110" spans="4:35" s="4" customFormat="1" ht="13.5" thickBot="1" x14ac:dyDescent="0.25">
      <c r="D110" s="37"/>
      <c r="E110" s="98"/>
      <c r="F110" s="1658" t="str">
        <f t="shared" ref="F110:L110" si="27">F46</f>
        <v>3TC</v>
      </c>
      <c r="G110" s="1659" t="str">
        <f t="shared" si="27"/>
        <v>Cp</v>
      </c>
      <c r="H110" s="1661" t="str">
        <f t="shared" si="27"/>
        <v>150 mg</v>
      </c>
      <c r="I110" s="89" t="str">
        <f t="shared" si="27"/>
        <v>Lamivudine</v>
      </c>
      <c r="J110" s="39" t="str">
        <f t="shared" si="27"/>
        <v>EPIVIR</v>
      </c>
      <c r="K110" s="38" t="str">
        <f t="shared" si="27"/>
        <v>LAMIVIR</v>
      </c>
      <c r="L110" s="114">
        <f t="shared" si="27"/>
        <v>60</v>
      </c>
      <c r="M110" s="330"/>
      <c r="N110" s="270"/>
      <c r="AE110" s="835"/>
      <c r="AF110" s="835"/>
      <c r="AG110" s="835"/>
      <c r="AH110" s="835"/>
      <c r="AI110" s="835"/>
    </row>
    <row r="111" spans="4:35" s="4" customFormat="1" ht="13.5" thickBot="1" x14ac:dyDescent="0.25">
      <c r="D111" s="37"/>
      <c r="E111" s="98"/>
      <c r="F111" s="1658" t="str">
        <f t="shared" ref="F111:L111" si="28">F47</f>
        <v>3TC</v>
      </c>
      <c r="G111" s="1659" t="str">
        <f t="shared" si="28"/>
        <v>Cp</v>
      </c>
      <c r="H111" s="1662" t="str">
        <f t="shared" si="28"/>
        <v>30 mg</v>
      </c>
      <c r="I111" s="89" t="str">
        <f t="shared" si="28"/>
        <v>Lamivudine</v>
      </c>
      <c r="J111" s="39">
        <f t="shared" si="28"/>
        <v>0</v>
      </c>
      <c r="K111" s="38">
        <f t="shared" si="28"/>
        <v>0</v>
      </c>
      <c r="L111" s="114">
        <f t="shared" si="28"/>
        <v>60</v>
      </c>
      <c r="M111" s="330"/>
      <c r="N111" s="270"/>
      <c r="AE111" s="835"/>
      <c r="AF111" s="835"/>
      <c r="AG111" s="835"/>
      <c r="AH111" s="835"/>
      <c r="AI111" s="835"/>
    </row>
    <row r="112" spans="4:35" s="4" customFormat="1" ht="26.25" thickBot="1" x14ac:dyDescent="0.25">
      <c r="D112" s="37"/>
      <c r="E112" s="98"/>
      <c r="F112" s="1660" t="str">
        <f t="shared" ref="F112:L112" si="29">F48</f>
        <v>DDI</v>
      </c>
      <c r="G112" s="1661" t="str">
        <f t="shared" si="29"/>
        <v>Cp</v>
      </c>
      <c r="H112" s="1661" t="str">
        <f t="shared" si="29"/>
        <v>250 mg</v>
      </c>
      <c r="I112" s="1207" t="str">
        <f t="shared" si="29"/>
        <v>Didanosine</v>
      </c>
      <c r="J112" s="41" t="str">
        <f t="shared" si="29"/>
        <v>VIDEX</v>
      </c>
      <c r="K112" s="40" t="str">
        <f t="shared" si="29"/>
        <v>DINEX, DIVIR, DINOSIN, VIROSINE</v>
      </c>
      <c r="L112" s="115">
        <f t="shared" si="29"/>
        <v>30</v>
      </c>
      <c r="M112" s="331"/>
      <c r="N112" s="270"/>
      <c r="AE112" s="835"/>
      <c r="AF112" s="835"/>
      <c r="AG112" s="835"/>
      <c r="AH112" s="835"/>
      <c r="AI112" s="835"/>
    </row>
    <row r="113" spans="4:35" s="4" customFormat="1" ht="26.25" thickBot="1" x14ac:dyDescent="0.25">
      <c r="D113" s="37"/>
      <c r="E113" s="98"/>
      <c r="F113" s="1660" t="str">
        <f t="shared" ref="F113:L113" si="30">F49</f>
        <v>DDI</v>
      </c>
      <c r="G113" s="1661" t="str">
        <f t="shared" si="30"/>
        <v>Cp</v>
      </c>
      <c r="H113" s="1666" t="str">
        <f t="shared" si="30"/>
        <v>400 mg</v>
      </c>
      <c r="I113" s="1637" t="str">
        <f t="shared" si="30"/>
        <v>Didanosine</v>
      </c>
      <c r="J113" s="41" t="str">
        <f t="shared" si="30"/>
        <v>VIDEX</v>
      </c>
      <c r="K113" s="40" t="str">
        <f t="shared" si="30"/>
        <v>DINEX, DIVIR, DINOSIN, VIROSINE</v>
      </c>
      <c r="L113" s="117">
        <f t="shared" si="30"/>
        <v>30</v>
      </c>
      <c r="M113" s="334"/>
      <c r="N113" s="270"/>
      <c r="AE113" s="835"/>
      <c r="AF113" s="835"/>
      <c r="AG113" s="835"/>
      <c r="AH113" s="835"/>
      <c r="AI113" s="835"/>
    </row>
    <row r="114" spans="4:35" s="4" customFormat="1" ht="13.5" thickBot="1" x14ac:dyDescent="0.25">
      <c r="D114" s="100"/>
      <c r="E114" s="101"/>
      <c r="F114" s="1663" t="str">
        <f t="shared" ref="F114:L114" si="31">F50</f>
        <v>TDF</v>
      </c>
      <c r="G114" s="1664" t="str">
        <f t="shared" si="31"/>
        <v>Cp</v>
      </c>
      <c r="H114" s="1664" t="str">
        <f t="shared" si="31"/>
        <v>300 mg</v>
      </c>
      <c r="I114" s="1643" t="str">
        <f t="shared" si="31"/>
        <v>Tenofovir</v>
      </c>
      <c r="J114" s="109" t="str">
        <f t="shared" si="31"/>
        <v>VIREAD</v>
      </c>
      <c r="K114" s="105">
        <f t="shared" si="31"/>
        <v>0</v>
      </c>
      <c r="L114" s="116">
        <f t="shared" si="31"/>
        <v>30</v>
      </c>
      <c r="M114" s="333"/>
      <c r="N114" s="270"/>
      <c r="AE114" s="835"/>
      <c r="AF114" s="835"/>
      <c r="AG114" s="835"/>
      <c r="AH114" s="835"/>
      <c r="AI114" s="835"/>
    </row>
    <row r="115" spans="4:35" s="4" customFormat="1" ht="13.5" thickBot="1" x14ac:dyDescent="0.25">
      <c r="D115" s="37"/>
      <c r="E115" s="98" t="str">
        <f t="shared" ref="E115:L115" si="32">E51</f>
        <v>IP</v>
      </c>
      <c r="F115" s="1658" t="str">
        <f t="shared" si="32"/>
        <v>LPV/r</v>
      </c>
      <c r="G115" s="1659" t="str">
        <f t="shared" si="32"/>
        <v>Cp</v>
      </c>
      <c r="H115" s="1659" t="str">
        <f t="shared" si="32"/>
        <v>200/50 mg</v>
      </c>
      <c r="I115" s="89" t="str">
        <f t="shared" si="32"/>
        <v>Lopinavir/ Ritonavir</v>
      </c>
      <c r="J115" s="39" t="str">
        <f t="shared" si="32"/>
        <v>KALETRA, ALUVIA</v>
      </c>
      <c r="K115" s="38" t="str">
        <f t="shared" si="32"/>
        <v>RITOCOM</v>
      </c>
      <c r="L115" s="114">
        <f t="shared" si="32"/>
        <v>120</v>
      </c>
      <c r="M115" s="330"/>
      <c r="N115" s="270"/>
      <c r="AE115" s="835"/>
      <c r="AF115" s="835"/>
      <c r="AG115" s="835"/>
      <c r="AH115" s="835"/>
      <c r="AI115" s="835"/>
    </row>
    <row r="116" spans="4:35" s="4" customFormat="1" ht="13.5" thickBot="1" x14ac:dyDescent="0.25">
      <c r="D116" s="37"/>
      <c r="E116" s="98"/>
      <c r="F116" s="1672" t="str">
        <f t="shared" ref="F116:L116" si="33">F52</f>
        <v>LPV/r</v>
      </c>
      <c r="G116" s="1673" t="str">
        <f t="shared" si="33"/>
        <v>Cp coblister</v>
      </c>
      <c r="H116" s="1673" t="str">
        <f t="shared" si="33"/>
        <v>100/25 mg</v>
      </c>
      <c r="I116" s="1210" t="str">
        <f t="shared" si="33"/>
        <v>Lopinavir/ Ritonavir</v>
      </c>
      <c r="J116" s="1211" t="str">
        <f t="shared" si="33"/>
        <v>KALETRA, ALUVIA</v>
      </c>
      <c r="K116" s="1212">
        <f t="shared" si="33"/>
        <v>0</v>
      </c>
      <c r="L116" s="537">
        <f t="shared" si="33"/>
        <v>60</v>
      </c>
      <c r="M116" s="506"/>
      <c r="N116" s="270">
        <f>(600+1200+1500+780+900)/60</f>
        <v>83</v>
      </c>
      <c r="AE116" s="835"/>
      <c r="AF116" s="835"/>
      <c r="AG116" s="835"/>
      <c r="AH116" s="835"/>
      <c r="AI116" s="835"/>
    </row>
    <row r="117" spans="4:35" s="4" customFormat="1" ht="26.25" thickBot="1" x14ac:dyDescent="0.25">
      <c r="D117" s="37"/>
      <c r="E117" s="92"/>
      <c r="F117" s="1674" t="str">
        <f t="shared" ref="F117:L117" si="34">F53</f>
        <v>ATV/r</v>
      </c>
      <c r="G117" s="1675" t="str">
        <f t="shared" si="34"/>
        <v>Cp</v>
      </c>
      <c r="H117" s="1676" t="str">
        <f t="shared" si="34"/>
        <v>300/100 mg</v>
      </c>
      <c r="I117" s="1625" t="str">
        <f t="shared" si="34"/>
        <v>Atazanavir/ Ritonavir</v>
      </c>
      <c r="J117" s="510">
        <f t="shared" si="34"/>
        <v>0</v>
      </c>
      <c r="K117" s="511">
        <f t="shared" si="34"/>
        <v>0</v>
      </c>
      <c r="L117" s="512">
        <f t="shared" si="34"/>
        <v>30</v>
      </c>
      <c r="M117" s="334"/>
      <c r="N117" s="270"/>
      <c r="AE117" s="835"/>
      <c r="AF117" s="835"/>
      <c r="AG117" s="835"/>
      <c r="AH117" s="835"/>
      <c r="AI117" s="835"/>
    </row>
    <row r="118" spans="4:35" s="4" customFormat="1" ht="13.5" thickBot="1" x14ac:dyDescent="0.25">
      <c r="D118" s="37"/>
      <c r="E118" s="92"/>
      <c r="F118" s="1677" t="str">
        <f t="shared" ref="F118:L118" si="35">F54</f>
        <v>FPV</v>
      </c>
      <c r="G118" s="1678" t="str">
        <f t="shared" si="35"/>
        <v>Cp</v>
      </c>
      <c r="H118" s="1678" t="str">
        <f t="shared" si="35"/>
        <v>700 mg</v>
      </c>
      <c r="I118" s="1625" t="str">
        <f t="shared" si="35"/>
        <v>Fosamprenavir</v>
      </c>
      <c r="J118" s="1626" t="str">
        <f t="shared" si="35"/>
        <v>TELZIR</v>
      </c>
      <c r="K118" s="1627">
        <f t="shared" si="35"/>
        <v>0</v>
      </c>
      <c r="L118" s="1388">
        <f t="shared" si="35"/>
        <v>60</v>
      </c>
      <c r="M118" s="1387"/>
      <c r="N118" s="270"/>
      <c r="AE118" s="835"/>
      <c r="AF118" s="835"/>
      <c r="AG118" s="835"/>
      <c r="AH118" s="835"/>
      <c r="AI118" s="835"/>
    </row>
    <row r="119" spans="4:35" s="4" customFormat="1" ht="13.5" thickBot="1" x14ac:dyDescent="0.25">
      <c r="D119" s="37"/>
      <c r="E119" s="92"/>
      <c r="F119" s="1665" t="str">
        <f t="shared" ref="F119:L119" si="36">F55</f>
        <v>IDV</v>
      </c>
      <c r="G119" s="1666" t="str">
        <f t="shared" si="36"/>
        <v>Gel</v>
      </c>
      <c r="H119" s="1666" t="str">
        <f t="shared" si="36"/>
        <v>400 mg</v>
      </c>
      <c r="I119" s="1637" t="str">
        <f t="shared" si="36"/>
        <v>Indinavir</v>
      </c>
      <c r="J119" s="95" t="str">
        <f t="shared" si="36"/>
        <v>CRIXIVAN</v>
      </c>
      <c r="K119" s="96">
        <f t="shared" si="36"/>
        <v>0</v>
      </c>
      <c r="L119" s="117">
        <f t="shared" si="36"/>
        <v>180</v>
      </c>
      <c r="M119" s="334"/>
      <c r="N119" s="270"/>
      <c r="AE119" s="835"/>
      <c r="AF119" s="835"/>
      <c r="AG119" s="835"/>
      <c r="AH119" s="835"/>
      <c r="AI119" s="835"/>
    </row>
    <row r="120" spans="4:35" s="4" customFormat="1" ht="13.5" thickBot="1" x14ac:dyDescent="0.25">
      <c r="D120" s="37"/>
      <c r="E120" s="92"/>
      <c r="F120" s="1665" t="str">
        <f t="shared" ref="F120:L120" si="37">F56</f>
        <v>DRV</v>
      </c>
      <c r="G120" s="1666" t="str">
        <f t="shared" si="37"/>
        <v>Cp</v>
      </c>
      <c r="H120" s="1679" t="str">
        <f t="shared" si="37"/>
        <v>300 mg</v>
      </c>
      <c r="I120" s="1637" t="str">
        <f t="shared" si="37"/>
        <v>Darunavir</v>
      </c>
      <c r="J120" s="95" t="str">
        <f t="shared" si="37"/>
        <v>PREZISTA</v>
      </c>
      <c r="K120" s="96">
        <f t="shared" si="37"/>
        <v>0</v>
      </c>
      <c r="L120" s="117">
        <f t="shared" si="37"/>
        <v>60</v>
      </c>
      <c r="M120" s="334"/>
      <c r="N120" s="270"/>
      <c r="AE120" s="835"/>
      <c r="AF120" s="835"/>
      <c r="AG120" s="835"/>
      <c r="AH120" s="835"/>
      <c r="AI120" s="835"/>
    </row>
    <row r="121" spans="4:35" s="4" customFormat="1" ht="13.5" thickBot="1" x14ac:dyDescent="0.25">
      <c r="D121" s="37"/>
      <c r="E121" s="92"/>
      <c r="F121" s="1665" t="str">
        <f t="shared" ref="F121:L121" si="38">F57</f>
        <v>SQV</v>
      </c>
      <c r="G121" s="1666" t="str">
        <f t="shared" si="38"/>
        <v>Cp</v>
      </c>
      <c r="H121" s="1666" t="str">
        <f t="shared" si="38"/>
        <v>500 mg</v>
      </c>
      <c r="I121" s="1637" t="str">
        <f t="shared" si="38"/>
        <v>Saquinavir</v>
      </c>
      <c r="J121" s="95" t="str">
        <f t="shared" si="38"/>
        <v>INVIRASE</v>
      </c>
      <c r="K121" s="96">
        <f t="shared" si="38"/>
        <v>0</v>
      </c>
      <c r="L121" s="117">
        <f t="shared" si="38"/>
        <v>120</v>
      </c>
      <c r="M121" s="334"/>
      <c r="N121" s="270"/>
      <c r="AE121" s="835"/>
      <c r="AF121" s="835"/>
      <c r="AG121" s="835"/>
      <c r="AH121" s="835"/>
      <c r="AI121" s="835"/>
    </row>
    <row r="122" spans="4:35" s="4" customFormat="1" ht="13.5" thickBot="1" x14ac:dyDescent="0.25">
      <c r="D122" s="100"/>
      <c r="E122" s="101"/>
      <c r="F122" s="1663" t="str">
        <f t="shared" ref="F122:L122" si="39">F58</f>
        <v>RTV</v>
      </c>
      <c r="G122" s="1664" t="str">
        <f t="shared" si="39"/>
        <v>Caps</v>
      </c>
      <c r="H122" s="1664" t="str">
        <f t="shared" si="39"/>
        <v>100 mg</v>
      </c>
      <c r="I122" s="1643" t="str">
        <f t="shared" si="39"/>
        <v>Ritonavir</v>
      </c>
      <c r="J122" s="109" t="str">
        <f t="shared" si="39"/>
        <v>NORVIR</v>
      </c>
      <c r="K122" s="105">
        <f t="shared" si="39"/>
        <v>0</v>
      </c>
      <c r="L122" s="116">
        <f t="shared" si="39"/>
        <v>84</v>
      </c>
      <c r="M122" s="333"/>
      <c r="N122" s="270"/>
      <c r="AE122" s="835"/>
      <c r="AF122" s="835"/>
      <c r="AG122" s="835"/>
      <c r="AH122" s="835"/>
      <c r="AI122" s="835"/>
    </row>
    <row r="123" spans="4:35" s="518" customFormat="1" ht="13.5" thickBot="1" x14ac:dyDescent="0.25">
      <c r="D123" s="519"/>
      <c r="E123" s="520" t="str">
        <f t="shared" ref="E123:L123" si="40">E59</f>
        <v>Inh Integrase</v>
      </c>
      <c r="F123" s="513" t="str">
        <f t="shared" si="40"/>
        <v>RLT = RAL</v>
      </c>
      <c r="G123" s="514" t="str">
        <f t="shared" si="40"/>
        <v>Cp</v>
      </c>
      <c r="H123" s="514" t="str">
        <f t="shared" si="40"/>
        <v>400 mg</v>
      </c>
      <c r="I123" s="1644" t="str">
        <f t="shared" si="40"/>
        <v>Raltegravir</v>
      </c>
      <c r="J123" s="515" t="str">
        <f t="shared" si="40"/>
        <v>ISENTRESS</v>
      </c>
      <c r="K123" s="516">
        <f t="shared" si="40"/>
        <v>0</v>
      </c>
      <c r="L123" s="517">
        <f t="shared" si="40"/>
        <v>60</v>
      </c>
      <c r="M123" s="521"/>
      <c r="N123" s="522"/>
      <c r="AE123" s="838"/>
      <c r="AF123" s="838"/>
      <c r="AG123" s="838"/>
      <c r="AH123" s="838"/>
      <c r="AI123" s="838"/>
    </row>
    <row r="124" spans="4:35" s="4" customFormat="1" ht="64.5" customHeight="1" thickBot="1" x14ac:dyDescent="0.25">
      <c r="D124" s="530"/>
      <c r="E124" s="531"/>
      <c r="F124" s="32" t="str">
        <f>'TRAD-Saisie données stocks'!B13</f>
        <v>Composition</v>
      </c>
      <c r="G124" s="33" t="str">
        <f>'TRAD-Saisie données stocks'!B14</f>
        <v>Forme galénique</v>
      </c>
      <c r="H124" s="33" t="str">
        <f>'TRAD-Saisie données stocks'!B15</f>
        <v>Dosage</v>
      </c>
      <c r="I124" s="33" t="str">
        <f>'TRAD-Saisie données stocks'!B16</f>
        <v>DCI</v>
      </c>
      <c r="J124" s="33" t="str">
        <f>'TRAD-Saisie données stocks'!B17</f>
        <v>Nom de spécialité</v>
      </c>
      <c r="K124" s="33"/>
      <c r="L124" s="33" t="str">
        <f>'TRAD-Saisie données stocks'!B43</f>
        <v>Volume conditionnement primaire (mL)</v>
      </c>
      <c r="M124" s="34" t="str">
        <f>'TRAD-Saisie données stocks'!B44</f>
        <v>Conditionement secondaire</v>
      </c>
      <c r="N124" s="128" t="str">
        <f>'TRAD-Saisie données stocks'!B45</f>
        <v>Quantités en stock en nombre de conditionnement primaire</v>
      </c>
      <c r="AE124" s="835"/>
      <c r="AF124" s="835"/>
      <c r="AG124" s="835"/>
      <c r="AH124" s="835"/>
      <c r="AI124" s="835"/>
    </row>
    <row r="125" spans="4:35" s="4" customFormat="1" ht="13.5" thickBot="1" x14ac:dyDescent="0.25">
      <c r="D125" s="31" t="str">
        <f>'TRAD-Saisie données stocks'!B60</f>
        <v>Solutions buvables</v>
      </c>
      <c r="E125" s="97" t="str">
        <f t="shared" ref="E125:L125" si="41">E61</f>
        <v>INTI</v>
      </c>
      <c r="F125" s="86" t="str">
        <f t="shared" si="41"/>
        <v>AZT</v>
      </c>
      <c r="G125" s="87" t="str">
        <f t="shared" si="41"/>
        <v>Sol buv</v>
      </c>
      <c r="H125" s="87" t="str">
        <f t="shared" si="41"/>
        <v>10 mg/mL</v>
      </c>
      <c r="I125" s="87" t="str">
        <f t="shared" si="41"/>
        <v>Zidovudine</v>
      </c>
      <c r="J125" s="36" t="str">
        <f t="shared" si="41"/>
        <v>RETROVIR</v>
      </c>
      <c r="K125" s="36">
        <f t="shared" si="41"/>
        <v>0</v>
      </c>
      <c r="L125" s="299">
        <f t="shared" si="41"/>
        <v>240</v>
      </c>
      <c r="M125" s="300">
        <f t="shared" ref="M125" si="42">M61</f>
        <v>1</v>
      </c>
      <c r="N125" s="270"/>
      <c r="AE125" s="835"/>
      <c r="AF125" s="835"/>
      <c r="AG125" s="835"/>
      <c r="AH125" s="835"/>
      <c r="AI125" s="835"/>
    </row>
    <row r="126" spans="4:35" s="4" customFormat="1" ht="13.5" thickBot="1" x14ac:dyDescent="0.25">
      <c r="D126" s="37"/>
      <c r="E126" s="98"/>
      <c r="F126" s="88" t="str">
        <f t="shared" ref="F126:L126" si="43">F62</f>
        <v>D4T</v>
      </c>
      <c r="G126" s="89" t="str">
        <f t="shared" si="43"/>
        <v>Sol buv</v>
      </c>
      <c r="H126" s="89" t="str">
        <f t="shared" si="43"/>
        <v>10 mg/mL</v>
      </c>
      <c r="I126" s="89" t="str">
        <f t="shared" si="43"/>
        <v>Stavudine</v>
      </c>
      <c r="J126" s="39" t="str">
        <f t="shared" si="43"/>
        <v>ZERIT</v>
      </c>
      <c r="K126" s="39">
        <f t="shared" si="43"/>
        <v>0</v>
      </c>
      <c r="L126" s="307">
        <f t="shared" si="43"/>
        <v>240</v>
      </c>
      <c r="M126" s="308">
        <f t="shared" ref="M126" si="44">M62</f>
        <v>1</v>
      </c>
      <c r="N126" s="270"/>
      <c r="AE126" s="835"/>
      <c r="AF126" s="835"/>
      <c r="AG126" s="835"/>
      <c r="AH126" s="835"/>
      <c r="AI126" s="835"/>
    </row>
    <row r="127" spans="4:35" s="4" customFormat="1" ht="13.5" thickBot="1" x14ac:dyDescent="0.25">
      <c r="D127" s="37"/>
      <c r="E127" s="98"/>
      <c r="F127" s="90" t="str">
        <f t="shared" ref="F127:L127" si="45">F63</f>
        <v>3TC</v>
      </c>
      <c r="G127" s="91" t="str">
        <f t="shared" si="45"/>
        <v>Sol buv</v>
      </c>
      <c r="H127" s="91" t="str">
        <f t="shared" si="45"/>
        <v>10 mg/mL</v>
      </c>
      <c r="I127" s="1207" t="str">
        <f t="shared" si="45"/>
        <v>Lamivudine</v>
      </c>
      <c r="J127" s="41" t="str">
        <f t="shared" si="45"/>
        <v>LAMIVIR, EPIVIR</v>
      </c>
      <c r="K127" s="41">
        <f t="shared" si="45"/>
        <v>0</v>
      </c>
      <c r="L127" s="303">
        <f t="shared" si="45"/>
        <v>240</v>
      </c>
      <c r="M127" s="304">
        <f t="shared" ref="M127" si="46">M63</f>
        <v>1</v>
      </c>
      <c r="N127" s="270"/>
      <c r="AE127" s="835"/>
      <c r="AF127" s="835"/>
      <c r="AG127" s="835"/>
      <c r="AH127" s="835"/>
      <c r="AI127" s="835"/>
    </row>
    <row r="128" spans="4:35" s="4" customFormat="1" ht="13.5" thickBot="1" x14ac:dyDescent="0.25">
      <c r="D128" s="37"/>
      <c r="E128" s="123"/>
      <c r="F128" s="88" t="str">
        <f t="shared" ref="F128:L128" si="47">F64</f>
        <v>ABC</v>
      </c>
      <c r="G128" s="89" t="str">
        <f t="shared" si="47"/>
        <v>Sol buv</v>
      </c>
      <c r="H128" s="89" t="str">
        <f t="shared" si="47"/>
        <v>20 mg/mL</v>
      </c>
      <c r="I128" s="89" t="str">
        <f t="shared" si="47"/>
        <v>Abacavir</v>
      </c>
      <c r="J128" s="39" t="str">
        <f t="shared" si="47"/>
        <v>ZIAGEN</v>
      </c>
      <c r="K128" s="39">
        <f t="shared" si="47"/>
        <v>0</v>
      </c>
      <c r="L128" s="307">
        <f t="shared" si="47"/>
        <v>240</v>
      </c>
      <c r="M128" s="308">
        <f t="shared" ref="M128" si="48">M64</f>
        <v>1</v>
      </c>
      <c r="N128" s="270"/>
      <c r="AE128" s="835"/>
      <c r="AF128" s="835"/>
      <c r="AG128" s="835"/>
      <c r="AH128" s="835"/>
      <c r="AI128" s="835"/>
    </row>
    <row r="129" spans="2:35" s="4" customFormat="1" ht="13.5" thickBot="1" x14ac:dyDescent="0.25">
      <c r="D129" s="37"/>
      <c r="E129" s="101"/>
      <c r="F129" s="102" t="str">
        <f t="shared" ref="F129:L129" si="49">F65</f>
        <v>DDI</v>
      </c>
      <c r="G129" s="103" t="str">
        <f t="shared" si="49"/>
        <v>Poudre buvable</v>
      </c>
      <c r="H129" s="103" t="str">
        <f t="shared" si="49"/>
        <v>2 g</v>
      </c>
      <c r="I129" s="1643" t="str">
        <f t="shared" si="49"/>
        <v>Didanosine</v>
      </c>
      <c r="J129" s="109" t="str">
        <f t="shared" si="49"/>
        <v>VIDEX</v>
      </c>
      <c r="K129" s="109">
        <f t="shared" si="49"/>
        <v>0</v>
      </c>
      <c r="L129" s="864">
        <f t="shared" si="49"/>
        <v>200</v>
      </c>
      <c r="M129" s="311">
        <f t="shared" ref="M129" si="50">M65</f>
        <v>1</v>
      </c>
      <c r="N129" s="270"/>
      <c r="AE129" s="835"/>
      <c r="AF129" s="835"/>
      <c r="AG129" s="835"/>
      <c r="AH129" s="835"/>
      <c r="AI129" s="835"/>
    </row>
    <row r="130" spans="2:35" s="4" customFormat="1" ht="13.5" thickBot="1" x14ac:dyDescent="0.25">
      <c r="D130" s="37"/>
      <c r="E130" s="98" t="str">
        <f t="shared" ref="E130:L130" si="51">E66</f>
        <v>INNTI</v>
      </c>
      <c r="F130" s="88" t="str">
        <f t="shared" si="51"/>
        <v>NVP</v>
      </c>
      <c r="G130" s="89" t="str">
        <f t="shared" si="51"/>
        <v>Sol buv</v>
      </c>
      <c r="H130" s="89" t="str">
        <f t="shared" si="51"/>
        <v>10 mg/mL</v>
      </c>
      <c r="I130" s="89" t="str">
        <f t="shared" si="51"/>
        <v>Nevirapine</v>
      </c>
      <c r="J130" s="39" t="str">
        <f t="shared" si="51"/>
        <v>VIRAMUNE</v>
      </c>
      <c r="K130" s="39">
        <f t="shared" si="51"/>
        <v>0</v>
      </c>
      <c r="L130" s="307">
        <f t="shared" si="51"/>
        <v>240</v>
      </c>
      <c r="M130" s="308">
        <f t="shared" ref="M130" si="52">M66</f>
        <v>1</v>
      </c>
      <c r="N130" s="270"/>
      <c r="AE130" s="835"/>
      <c r="AF130" s="835"/>
      <c r="AG130" s="835"/>
      <c r="AH130" s="835"/>
      <c r="AI130" s="835"/>
    </row>
    <row r="131" spans="2:35" s="4" customFormat="1" ht="13.5" thickBot="1" x14ac:dyDescent="0.25">
      <c r="D131" s="37"/>
      <c r="E131" s="101"/>
      <c r="F131" s="102" t="str">
        <f t="shared" ref="F131:L131" si="53">F67</f>
        <v>EFV</v>
      </c>
      <c r="G131" s="103" t="str">
        <f t="shared" si="53"/>
        <v>Sol buv</v>
      </c>
      <c r="H131" s="103" t="str">
        <f t="shared" si="53"/>
        <v>30 mg/mL</v>
      </c>
      <c r="I131" s="1643" t="str">
        <f t="shared" si="53"/>
        <v>Efavirenz</v>
      </c>
      <c r="J131" s="109" t="str">
        <f t="shared" si="53"/>
        <v>SUSTIVA, STOCRIN</v>
      </c>
      <c r="K131" s="109">
        <f t="shared" si="53"/>
        <v>0</v>
      </c>
      <c r="L131" s="864">
        <f t="shared" si="53"/>
        <v>180</v>
      </c>
      <c r="M131" s="311">
        <f t="shared" ref="M131" si="54">M67</f>
        <v>1</v>
      </c>
      <c r="N131" s="270"/>
      <c r="AE131" s="835"/>
      <c r="AF131" s="835"/>
      <c r="AG131" s="835"/>
      <c r="AH131" s="835"/>
      <c r="AI131" s="835"/>
    </row>
    <row r="132" spans="2:35" s="4" customFormat="1" ht="13.5" thickBot="1" x14ac:dyDescent="0.25">
      <c r="D132" s="42"/>
      <c r="E132" s="99" t="str">
        <f t="shared" ref="E132:L132" si="55">E68</f>
        <v>IP</v>
      </c>
      <c r="F132" s="106" t="str">
        <f t="shared" si="55"/>
        <v>LPV/r</v>
      </c>
      <c r="G132" s="107" t="str">
        <f t="shared" si="55"/>
        <v>Sol buv</v>
      </c>
      <c r="H132" s="107" t="str">
        <f t="shared" si="55"/>
        <v>80/20 mg/mL</v>
      </c>
      <c r="I132" s="107" t="str">
        <f t="shared" si="55"/>
        <v>Lopinavir/Ritonavir</v>
      </c>
      <c r="J132" s="108" t="str">
        <f t="shared" si="55"/>
        <v>KALETRA ALUVIA</v>
      </c>
      <c r="K132" s="108">
        <f t="shared" si="55"/>
        <v>0</v>
      </c>
      <c r="L132" s="865">
        <f t="shared" si="55"/>
        <v>60</v>
      </c>
      <c r="M132" s="313">
        <f t="shared" ref="M132" si="56">M68</f>
        <v>4</v>
      </c>
      <c r="N132" s="270"/>
      <c r="AE132" s="835"/>
      <c r="AF132" s="835"/>
      <c r="AG132" s="835"/>
      <c r="AH132" s="835"/>
      <c r="AI132" s="835"/>
    </row>
    <row r="133" spans="2:35" s="4" customFormat="1" x14ac:dyDescent="0.2">
      <c r="AD133" s="835"/>
      <c r="AE133" s="835"/>
      <c r="AF133" s="835"/>
      <c r="AG133" s="835"/>
      <c r="AH133" s="835"/>
    </row>
    <row r="134" spans="2:35" s="4" customFormat="1" x14ac:dyDescent="0.2">
      <c r="AD134" s="835"/>
      <c r="AE134" s="835"/>
      <c r="AF134" s="835"/>
      <c r="AG134" s="835"/>
      <c r="AH134" s="835"/>
    </row>
    <row r="135" spans="2:35" s="1713" customFormat="1" ht="19.5" thickBot="1" x14ac:dyDescent="0.35">
      <c r="B135" s="1715" t="str">
        <f>'TRAD-Saisie données stocks'!B55</f>
        <v>Etape 2 : Quantités attendues dans les commandes</v>
      </c>
      <c r="C135" s="1715"/>
      <c r="D135" s="1715"/>
      <c r="E135" s="1715"/>
      <c r="F135" s="1715"/>
      <c r="G135" s="1715"/>
      <c r="H135" s="1715"/>
      <c r="I135" s="1715"/>
      <c r="J135" s="1715"/>
      <c r="K135" s="1715"/>
      <c r="L135" s="1715"/>
      <c r="M135" s="1715"/>
      <c r="N135" s="1715"/>
      <c r="O135" s="1715"/>
      <c r="AD135" s="1714"/>
      <c r="AE135" s="1714"/>
      <c r="AF135" s="1714"/>
      <c r="AG135" s="1714"/>
      <c r="AH135" s="1714"/>
    </row>
    <row r="136" spans="2:35" s="4" customFormat="1" x14ac:dyDescent="0.2">
      <c r="AD136" s="835"/>
      <c r="AE136" s="835"/>
      <c r="AF136" s="835"/>
      <c r="AG136" s="835"/>
      <c r="AH136" s="835"/>
    </row>
    <row r="137" spans="2:35" s="4" customFormat="1" ht="14.25" x14ac:dyDescent="0.2">
      <c r="C137" s="25" t="str">
        <f>'TRAD-Saisie données stocks'!B56</f>
        <v>A. Renseignez les commandes en cours attendues et les dates de réception</v>
      </c>
      <c r="D137" s="25"/>
      <c r="E137" s="25"/>
      <c r="F137" s="25"/>
      <c r="G137" s="25"/>
      <c r="H137" s="25"/>
      <c r="I137" s="25"/>
      <c r="J137" s="25"/>
      <c r="K137" s="25"/>
      <c r="AD137" s="835"/>
      <c r="AE137" s="835"/>
      <c r="AF137" s="835"/>
      <c r="AG137" s="835"/>
      <c r="AH137" s="835"/>
    </row>
    <row r="138" spans="2:35" s="4" customFormat="1" ht="13.5" thickBot="1" x14ac:dyDescent="0.25">
      <c r="AD138" s="835"/>
      <c r="AE138" s="835"/>
      <c r="AF138" s="835"/>
      <c r="AG138" s="835"/>
      <c r="AH138" s="835"/>
    </row>
    <row r="139" spans="2:35" s="4" customFormat="1" ht="39" thickBot="1" x14ac:dyDescent="0.25">
      <c r="D139" s="85"/>
      <c r="E139" s="120"/>
      <c r="F139" s="32" t="str">
        <f>'TRAD-Saisie données stocks'!B13</f>
        <v>Composition</v>
      </c>
      <c r="G139" s="33" t="str">
        <f>'TRAD-Saisie données stocks'!B14</f>
        <v>Forme galénique</v>
      </c>
      <c r="H139" s="33" t="str">
        <f>'TRAD-Saisie données stocks'!B15</f>
        <v>Dosage</v>
      </c>
      <c r="I139" s="33" t="str">
        <f>'TRAD-Saisie données stocks'!B16</f>
        <v>DCI</v>
      </c>
      <c r="J139" s="33" t="str">
        <f>'TRAD-Saisie données stocks'!B17</f>
        <v>Nom de spécialité</v>
      </c>
      <c r="K139" s="33" t="str">
        <f>'TRAD-Saisie données stocks'!B18</f>
        <v>Nom de générique possible</v>
      </c>
      <c r="L139" s="33" t="str">
        <f>'TRAD-Saisie données stocks'!B19</f>
        <v>Conditionnement</v>
      </c>
      <c r="M139" s="34"/>
      <c r="N139" s="342" t="str">
        <f>'TRAD-Saisie données stocks'!B57</f>
        <v>Quantités en nb de boites livraison à court terme</v>
      </c>
      <c r="O139" s="1716" t="str">
        <f>'TRAD-Saisie données stocks'!B58</f>
        <v>Préciser les dates de réceptions attendues</v>
      </c>
      <c r="AE139" s="835"/>
      <c r="AF139" s="835"/>
      <c r="AG139" s="835"/>
      <c r="AH139" s="835"/>
      <c r="AI139" s="835"/>
    </row>
    <row r="140" spans="2:35" s="4" customFormat="1" ht="39" thickBot="1" x14ac:dyDescent="0.25">
      <c r="D140" s="31" t="str">
        <f>'TRAD-Saisie données stocks'!B37</f>
        <v>Comprimés</v>
      </c>
      <c r="E140" s="97" t="str">
        <f>E19</f>
        <v>CDF</v>
      </c>
      <c r="F140" s="86" t="str">
        <f>F19</f>
        <v>AZT+3TC+NVP</v>
      </c>
      <c r="G140" s="87" t="str">
        <f t="shared" ref="G140:L140" si="57">G19</f>
        <v>Cp</v>
      </c>
      <c r="H140" s="87" t="str">
        <f t="shared" si="57"/>
        <v>300/150/200 mg</v>
      </c>
      <c r="I140" s="87" t="str">
        <f t="shared" si="57"/>
        <v>Zidovudine+ Lamivudine+ Nevirapine</v>
      </c>
      <c r="J140" s="36">
        <f t="shared" si="57"/>
        <v>0</v>
      </c>
      <c r="K140" s="35" t="str">
        <f t="shared" si="57"/>
        <v>DUOVIR-N, ZIDOLAM-N</v>
      </c>
      <c r="L140" s="113">
        <f t="shared" si="57"/>
        <v>60</v>
      </c>
      <c r="M140" s="328"/>
      <c r="N140" s="270"/>
      <c r="O140" s="652"/>
      <c r="AE140" s="835"/>
      <c r="AF140" s="835"/>
      <c r="AG140" s="835"/>
      <c r="AH140" s="835"/>
      <c r="AI140" s="835"/>
    </row>
    <row r="141" spans="2:35" s="4" customFormat="1" ht="39" thickBot="1" x14ac:dyDescent="0.25">
      <c r="D141" s="37"/>
      <c r="E141" s="98"/>
      <c r="F141" s="501" t="str">
        <f t="shared" ref="F141:L141" si="58">F20</f>
        <v>AZT+3TC+NVP</v>
      </c>
      <c r="G141" s="502" t="str">
        <f t="shared" si="58"/>
        <v>Cp</v>
      </c>
      <c r="H141" s="502" t="str">
        <f t="shared" si="58"/>
        <v>60/30/50 mg</v>
      </c>
      <c r="I141" s="502" t="str">
        <f t="shared" si="58"/>
        <v>Zidovudine+ Lamivudine+ Nevirapine</v>
      </c>
      <c r="J141" s="503">
        <f t="shared" si="58"/>
        <v>0</v>
      </c>
      <c r="K141" s="504" t="str">
        <f t="shared" si="58"/>
        <v>DUOVIR-N baby, ZIDOLAM-N baby</v>
      </c>
      <c r="L141" s="505">
        <f t="shared" si="58"/>
        <v>60</v>
      </c>
      <c r="M141" s="330"/>
      <c r="N141" s="270"/>
      <c r="O141" s="653"/>
      <c r="AE141" s="835"/>
      <c r="AF141" s="835"/>
      <c r="AG141" s="835"/>
      <c r="AH141" s="835"/>
      <c r="AI141" s="835"/>
    </row>
    <row r="142" spans="2:35" s="4" customFormat="1" ht="39" thickBot="1" x14ac:dyDescent="0.25">
      <c r="D142" s="37"/>
      <c r="E142" s="98"/>
      <c r="F142" s="1658" t="str">
        <f t="shared" ref="F142:L142" si="59">F21</f>
        <v>AZT+3TC+ABC</v>
      </c>
      <c r="G142" s="1659" t="str">
        <f t="shared" si="59"/>
        <v>Cp</v>
      </c>
      <c r="H142" s="1659" t="str">
        <f t="shared" si="59"/>
        <v>300/150/300 mg</v>
      </c>
      <c r="I142" s="89" t="str">
        <f t="shared" si="59"/>
        <v>Zidovudine+ Lamivudine+ Abacavir</v>
      </c>
      <c r="J142" s="39" t="str">
        <f t="shared" si="59"/>
        <v>TRIZIVIR</v>
      </c>
      <c r="K142" s="38">
        <f t="shared" si="59"/>
        <v>0</v>
      </c>
      <c r="L142" s="114">
        <f t="shared" si="59"/>
        <v>60</v>
      </c>
      <c r="M142" s="330"/>
      <c r="N142" s="270"/>
      <c r="O142" s="653"/>
      <c r="AE142" s="835"/>
      <c r="AF142" s="835"/>
      <c r="AG142" s="835"/>
      <c r="AH142" s="835"/>
      <c r="AI142" s="835"/>
    </row>
    <row r="143" spans="2:35" s="4" customFormat="1" ht="26.25" thickBot="1" x14ac:dyDescent="0.25">
      <c r="D143" s="37"/>
      <c r="E143" s="98"/>
      <c r="F143" s="1658" t="str">
        <f t="shared" ref="F143:L143" si="60">F22</f>
        <v>AZT+3TC</v>
      </c>
      <c r="G143" s="1659" t="str">
        <f t="shared" si="60"/>
        <v>Cp</v>
      </c>
      <c r="H143" s="1659" t="str">
        <f t="shared" si="60"/>
        <v>300/150 mg</v>
      </c>
      <c r="I143" s="89" t="str">
        <f t="shared" si="60"/>
        <v>Zidovudine+ Lamivudine</v>
      </c>
      <c r="J143" s="39" t="str">
        <f t="shared" si="60"/>
        <v>COMBIVIR</v>
      </c>
      <c r="K143" s="38" t="str">
        <f t="shared" si="60"/>
        <v>LAMZID, DUOVIR, ZIDOLAM, VIRACOMB</v>
      </c>
      <c r="L143" s="114">
        <f t="shared" si="60"/>
        <v>60</v>
      </c>
      <c r="M143" s="330"/>
      <c r="N143" s="270"/>
      <c r="O143" s="653"/>
      <c r="AE143" s="835"/>
      <c r="AF143" s="835"/>
      <c r="AG143" s="835"/>
      <c r="AH143" s="835"/>
      <c r="AI143" s="835"/>
    </row>
    <row r="144" spans="2:35" s="4" customFormat="1" ht="26.25" thickBot="1" x14ac:dyDescent="0.25">
      <c r="D144" s="37"/>
      <c r="E144" s="98"/>
      <c r="F144" s="1656" t="str">
        <f t="shared" ref="F144:L144" si="61">F23</f>
        <v>AZT+3TC</v>
      </c>
      <c r="G144" s="1657" t="str">
        <f t="shared" si="61"/>
        <v>Cp</v>
      </c>
      <c r="H144" s="1657" t="str">
        <f t="shared" si="61"/>
        <v>60/30 mg</v>
      </c>
      <c r="I144" s="502" t="str">
        <f t="shared" si="61"/>
        <v>Zidovudine+ Lamivudine</v>
      </c>
      <c r="J144" s="503">
        <f t="shared" si="61"/>
        <v>0</v>
      </c>
      <c r="K144" s="504" t="str">
        <f t="shared" si="61"/>
        <v>DUOVIR baby, ZIDOLAM baby</v>
      </c>
      <c r="L144" s="505">
        <f t="shared" si="61"/>
        <v>60</v>
      </c>
      <c r="M144" s="330"/>
      <c r="N144" s="270"/>
      <c r="O144" s="653"/>
      <c r="AE144" s="835"/>
      <c r="AF144" s="835"/>
      <c r="AG144" s="835"/>
      <c r="AH144" s="835"/>
      <c r="AI144" s="835"/>
    </row>
    <row r="145" spans="4:35" s="4" customFormat="1" ht="26.25" thickBot="1" x14ac:dyDescent="0.25">
      <c r="D145" s="37"/>
      <c r="E145" s="98"/>
      <c r="F145" s="1656" t="str">
        <f t="shared" ref="F145:L145" si="62">F24</f>
        <v>3TC+ABC</v>
      </c>
      <c r="G145" s="1657" t="str">
        <f t="shared" si="62"/>
        <v>Cp</v>
      </c>
      <c r="H145" s="1657" t="str">
        <f t="shared" si="62"/>
        <v>300/600 mg</v>
      </c>
      <c r="I145" s="502" t="str">
        <f t="shared" si="62"/>
        <v>Lamivudine+ Abacavir</v>
      </c>
      <c r="J145" s="503">
        <f t="shared" si="62"/>
        <v>0</v>
      </c>
      <c r="K145" s="504" t="str">
        <f t="shared" si="62"/>
        <v>KIVEXA</v>
      </c>
      <c r="L145" s="505">
        <f t="shared" si="62"/>
        <v>30</v>
      </c>
      <c r="M145" s="330"/>
      <c r="N145" s="270">
        <v>305</v>
      </c>
      <c r="O145" s="653">
        <v>41944</v>
      </c>
      <c r="AE145" s="835"/>
      <c r="AF145" s="835"/>
      <c r="AG145" s="835"/>
      <c r="AH145" s="835"/>
      <c r="AI145" s="835"/>
    </row>
    <row r="146" spans="4:35" s="4" customFormat="1" ht="26.25" thickBot="1" x14ac:dyDescent="0.25">
      <c r="D146" s="37"/>
      <c r="E146" s="98"/>
      <c r="F146" s="1656" t="str">
        <f t="shared" ref="F146:L146" si="63">F25</f>
        <v>3TC+ABC</v>
      </c>
      <c r="G146" s="1657" t="str">
        <f t="shared" si="63"/>
        <v>Cp</v>
      </c>
      <c r="H146" s="1657" t="str">
        <f t="shared" si="63"/>
        <v>30/60 mg</v>
      </c>
      <c r="I146" s="502" t="str">
        <f t="shared" si="63"/>
        <v>Lamivudine+ Abacavir</v>
      </c>
      <c r="J146" s="503">
        <f t="shared" si="63"/>
        <v>0</v>
      </c>
      <c r="K146" s="504">
        <f t="shared" si="63"/>
        <v>0</v>
      </c>
      <c r="L146" s="505">
        <f t="shared" si="63"/>
        <v>60</v>
      </c>
      <c r="M146" s="330"/>
      <c r="N146" s="270"/>
      <c r="O146" s="653"/>
      <c r="AE146" s="835"/>
      <c r="AF146" s="835"/>
      <c r="AG146" s="835"/>
      <c r="AH146" s="835"/>
      <c r="AI146" s="835"/>
    </row>
    <row r="147" spans="4:35" s="4" customFormat="1" ht="39" thickBot="1" x14ac:dyDescent="0.25">
      <c r="D147" s="37"/>
      <c r="E147" s="98"/>
      <c r="F147" s="1660" t="str">
        <f t="shared" ref="F147:L147" si="64">F26</f>
        <v>D4T+3TC+NVP</v>
      </c>
      <c r="G147" s="1661" t="str">
        <f t="shared" si="64"/>
        <v>Cp</v>
      </c>
      <c r="H147" s="1661" t="str">
        <f t="shared" si="64"/>
        <v>30/150/200 mg</v>
      </c>
      <c r="I147" s="1207" t="str">
        <f t="shared" si="64"/>
        <v>Stavudine+ Lamivudine+ Nevirapine</v>
      </c>
      <c r="J147" s="41">
        <f t="shared" si="64"/>
        <v>0</v>
      </c>
      <c r="K147" s="40" t="str">
        <f t="shared" si="64"/>
        <v>TRIOMUNE</v>
      </c>
      <c r="L147" s="115">
        <f t="shared" si="64"/>
        <v>60</v>
      </c>
      <c r="M147" s="331"/>
      <c r="N147" s="270"/>
      <c r="O147" s="3197"/>
      <c r="AE147" s="835"/>
      <c r="AF147" s="835"/>
      <c r="AG147" s="835"/>
      <c r="AH147" s="835"/>
      <c r="AI147" s="835"/>
    </row>
    <row r="148" spans="4:35" s="4" customFormat="1" ht="39" thickBot="1" x14ac:dyDescent="0.25">
      <c r="D148" s="37"/>
      <c r="E148" s="98"/>
      <c r="F148" s="1660" t="str">
        <f t="shared" ref="F148:L148" si="65">F27</f>
        <v>D4T+3TC+NVP</v>
      </c>
      <c r="G148" s="1661" t="str">
        <f t="shared" si="65"/>
        <v>Cp</v>
      </c>
      <c r="H148" s="1661" t="str">
        <f t="shared" si="65"/>
        <v>6/30/50 mg</v>
      </c>
      <c r="I148" s="1207" t="str">
        <f t="shared" si="65"/>
        <v>Stavudine+ Lamivudine+ Nevirapine</v>
      </c>
      <c r="J148" s="40">
        <f t="shared" si="65"/>
        <v>0</v>
      </c>
      <c r="K148" s="40" t="str">
        <f t="shared" si="65"/>
        <v>TRIOMUNE baby</v>
      </c>
      <c r="L148" s="115">
        <f t="shared" si="65"/>
        <v>60</v>
      </c>
      <c r="M148" s="331"/>
      <c r="N148" s="270"/>
      <c r="O148" s="653"/>
      <c r="AE148" s="835"/>
      <c r="AF148" s="835"/>
      <c r="AG148" s="835"/>
      <c r="AH148" s="835"/>
      <c r="AI148" s="835"/>
    </row>
    <row r="149" spans="4:35" s="4" customFormat="1" ht="26.25" thickBot="1" x14ac:dyDescent="0.25">
      <c r="D149" s="37"/>
      <c r="E149" s="98"/>
      <c r="F149" s="1660" t="str">
        <f t="shared" ref="F149:L149" si="66">F28</f>
        <v>D4T+3TC</v>
      </c>
      <c r="G149" s="1661" t="str">
        <f t="shared" si="66"/>
        <v>Cp</v>
      </c>
      <c r="H149" s="1661" t="str">
        <f t="shared" si="66"/>
        <v>30/150 mg</v>
      </c>
      <c r="I149" s="89" t="str">
        <f t="shared" si="66"/>
        <v>Stavudine+ Lamivudine</v>
      </c>
      <c r="J149" s="38">
        <f t="shared" si="66"/>
        <v>0</v>
      </c>
      <c r="K149" s="40" t="str">
        <f t="shared" si="66"/>
        <v>COVIRO, LAMIVIR-S</v>
      </c>
      <c r="L149" s="115">
        <f t="shared" si="66"/>
        <v>60</v>
      </c>
      <c r="M149" s="331"/>
      <c r="N149" s="270"/>
      <c r="O149" s="653"/>
      <c r="AE149" s="835"/>
      <c r="AF149" s="835"/>
      <c r="AG149" s="835"/>
      <c r="AH149" s="835"/>
      <c r="AI149" s="835"/>
    </row>
    <row r="150" spans="4:35" s="4" customFormat="1" ht="39" thickBot="1" x14ac:dyDescent="0.25">
      <c r="D150" s="37"/>
      <c r="E150" s="98"/>
      <c r="F150" s="1660" t="str">
        <f t="shared" ref="F150:L150" si="67">F29</f>
        <v>TDF+FTC+EFV</v>
      </c>
      <c r="G150" s="1661" t="str">
        <f t="shared" si="67"/>
        <v>Cp</v>
      </c>
      <c r="H150" s="1661" t="str">
        <f t="shared" si="67"/>
        <v>300/200/600 mg</v>
      </c>
      <c r="I150" s="89" t="str">
        <f t="shared" si="67"/>
        <v>Tenofovir+ Emtricitabine+ Efavirenz</v>
      </c>
      <c r="J150" s="38" t="str">
        <f t="shared" si="67"/>
        <v>ATRIPLA</v>
      </c>
      <c r="K150" s="40">
        <f t="shared" si="67"/>
        <v>0</v>
      </c>
      <c r="L150" s="115">
        <f t="shared" si="67"/>
        <v>30</v>
      </c>
      <c r="M150" s="331"/>
      <c r="N150" s="270"/>
      <c r="O150" s="3197"/>
      <c r="AE150" s="835"/>
      <c r="AF150" s="835"/>
      <c r="AG150" s="835"/>
      <c r="AH150" s="835"/>
      <c r="AI150" s="835"/>
    </row>
    <row r="151" spans="4:35" s="4" customFormat="1" ht="26.25" thickBot="1" x14ac:dyDescent="0.25">
      <c r="D151" s="37"/>
      <c r="E151" s="98"/>
      <c r="F151" s="1660" t="str">
        <f t="shared" ref="F151:L151" si="68">F30</f>
        <v>TDF+FTC</v>
      </c>
      <c r="G151" s="1661" t="str">
        <f t="shared" si="68"/>
        <v>Cp</v>
      </c>
      <c r="H151" s="1661" t="str">
        <f t="shared" si="68"/>
        <v>300/200 mg</v>
      </c>
      <c r="I151" s="89" t="str">
        <f t="shared" si="68"/>
        <v>Tenofovir+ Emtricitabine</v>
      </c>
      <c r="J151" s="38" t="str">
        <f t="shared" si="68"/>
        <v>TRUVADA</v>
      </c>
      <c r="K151" s="40">
        <f t="shared" si="68"/>
        <v>0</v>
      </c>
      <c r="L151" s="115">
        <f t="shared" si="68"/>
        <v>30</v>
      </c>
      <c r="M151" s="331"/>
      <c r="N151" s="270"/>
      <c r="O151" s="3197"/>
      <c r="AE151" s="835"/>
      <c r="AF151" s="835"/>
      <c r="AG151" s="835"/>
      <c r="AH151" s="835"/>
      <c r="AI151" s="835"/>
    </row>
    <row r="152" spans="4:35" s="4" customFormat="1" ht="39" thickBot="1" x14ac:dyDescent="0.25">
      <c r="D152" s="37"/>
      <c r="E152" s="123"/>
      <c r="F152" s="1660" t="str">
        <f t="shared" ref="F152:L152" si="69">F31</f>
        <v>TDF+3TC+EFV</v>
      </c>
      <c r="G152" s="1661" t="str">
        <f t="shared" si="69"/>
        <v>Cp</v>
      </c>
      <c r="H152" s="1661" t="str">
        <f t="shared" si="69"/>
        <v>300/200/600 mg</v>
      </c>
      <c r="I152" s="89" t="str">
        <f t="shared" si="69"/>
        <v>Tenofovir+ Lamivudine+ Efavirenz</v>
      </c>
      <c r="J152" s="38" t="str">
        <f t="shared" si="69"/>
        <v>ATRIPLA</v>
      </c>
      <c r="K152" s="40">
        <f t="shared" si="69"/>
        <v>0</v>
      </c>
      <c r="L152" s="115">
        <f t="shared" si="69"/>
        <v>30</v>
      </c>
      <c r="M152" s="331"/>
      <c r="N152" s="270"/>
      <c r="O152" s="653"/>
      <c r="AE152" s="835"/>
      <c r="AF152" s="835"/>
      <c r="AG152" s="835"/>
      <c r="AH152" s="835"/>
      <c r="AI152" s="835"/>
    </row>
    <row r="153" spans="4:35" s="4" customFormat="1" ht="26.25" thickBot="1" x14ac:dyDescent="0.25">
      <c r="D153" s="37"/>
      <c r="E153" s="123"/>
      <c r="F153" s="1660" t="str">
        <f t="shared" ref="F153:L153" si="70">F32</f>
        <v>TDF+3TC</v>
      </c>
      <c r="G153" s="1661" t="str">
        <f t="shared" si="70"/>
        <v>Cp</v>
      </c>
      <c r="H153" s="1661" t="str">
        <f t="shared" si="70"/>
        <v>300/200 mg</v>
      </c>
      <c r="I153" s="89" t="str">
        <f t="shared" si="70"/>
        <v>Tenofovir+ Lamivudine</v>
      </c>
      <c r="J153" s="38">
        <f t="shared" si="70"/>
        <v>0</v>
      </c>
      <c r="K153" s="40">
        <f t="shared" si="70"/>
        <v>0</v>
      </c>
      <c r="L153" s="115">
        <f t="shared" si="70"/>
        <v>30</v>
      </c>
      <c r="M153" s="331"/>
      <c r="N153" s="270"/>
      <c r="O153" s="653"/>
      <c r="AE153" s="835"/>
      <c r="AF153" s="835"/>
      <c r="AG153" s="835"/>
      <c r="AH153" s="835"/>
      <c r="AI153" s="835"/>
    </row>
    <row r="154" spans="4:35" s="4" customFormat="1" ht="51.75" thickBot="1" x14ac:dyDescent="0.25">
      <c r="D154" s="100"/>
      <c r="E154" s="101"/>
      <c r="F154" s="1663" t="str">
        <f t="shared" ref="F154:L154" si="71">F33</f>
        <v>[TDF+3TC]+ATV/r</v>
      </c>
      <c r="G154" s="1664" t="str">
        <f t="shared" si="71"/>
        <v>Cp coblister</v>
      </c>
      <c r="H154" s="1664" t="str">
        <f t="shared" si="71"/>
        <v>[300/300]+300/100 mg</v>
      </c>
      <c r="I154" s="1640" t="str">
        <f t="shared" si="71"/>
        <v>[Tenofovir+ Lamivudine]+ Atazanavir/Ritonavir</v>
      </c>
      <c r="J154" s="104">
        <f t="shared" si="71"/>
        <v>0</v>
      </c>
      <c r="K154" s="105">
        <f t="shared" si="71"/>
        <v>0</v>
      </c>
      <c r="L154" s="116">
        <f t="shared" si="71"/>
        <v>30</v>
      </c>
      <c r="M154" s="333"/>
      <c r="N154" s="270"/>
      <c r="O154" s="3197"/>
      <c r="AE154" s="835"/>
      <c r="AF154" s="835"/>
      <c r="AG154" s="835"/>
      <c r="AH154" s="835"/>
      <c r="AI154" s="835"/>
    </row>
    <row r="155" spans="4:35" s="4" customFormat="1" ht="13.5" thickBot="1" x14ac:dyDescent="0.25">
      <c r="D155" s="37"/>
      <c r="E155" s="98" t="str">
        <f t="shared" ref="E155:L155" si="72">E34</f>
        <v>INNTI</v>
      </c>
      <c r="F155" s="1658" t="str">
        <f t="shared" si="72"/>
        <v>EFV</v>
      </c>
      <c r="G155" s="1659" t="str">
        <f t="shared" si="72"/>
        <v>Gél</v>
      </c>
      <c r="H155" s="1659" t="str">
        <f t="shared" si="72"/>
        <v>50 mg</v>
      </c>
      <c r="I155" s="89" t="str">
        <f t="shared" si="72"/>
        <v>Efavirenz</v>
      </c>
      <c r="J155" s="38" t="str">
        <f t="shared" si="72"/>
        <v>SUSTIVA, STOCRIN</v>
      </c>
      <c r="K155" s="38">
        <f t="shared" si="72"/>
        <v>0</v>
      </c>
      <c r="L155" s="114">
        <f t="shared" si="72"/>
        <v>30</v>
      </c>
      <c r="M155" s="330"/>
      <c r="N155" s="270"/>
      <c r="O155" s="3197"/>
      <c r="AE155" s="835"/>
      <c r="AF155" s="835"/>
      <c r="AG155" s="835"/>
      <c r="AH155" s="835"/>
      <c r="AI155" s="835"/>
    </row>
    <row r="156" spans="4:35" s="4" customFormat="1" ht="13.5" thickBot="1" x14ac:dyDescent="0.25">
      <c r="D156" s="37"/>
      <c r="E156" s="98"/>
      <c r="F156" s="1660" t="str">
        <f t="shared" ref="F156:L156" si="73">F35</f>
        <v>EFV</v>
      </c>
      <c r="G156" s="1661" t="str">
        <f t="shared" si="73"/>
        <v>Gél</v>
      </c>
      <c r="H156" s="1661" t="str">
        <f t="shared" si="73"/>
        <v>200 mg</v>
      </c>
      <c r="I156" s="89" t="str">
        <f t="shared" si="73"/>
        <v>Efavirenz</v>
      </c>
      <c r="J156" s="38" t="str">
        <f t="shared" si="73"/>
        <v>SUSTIVA, STOCRIN</v>
      </c>
      <c r="K156" s="40">
        <f t="shared" si="73"/>
        <v>0</v>
      </c>
      <c r="L156" s="115">
        <f t="shared" si="73"/>
        <v>90</v>
      </c>
      <c r="M156" s="331"/>
      <c r="N156" s="270">
        <v>108</v>
      </c>
      <c r="O156" s="653">
        <v>41944</v>
      </c>
      <c r="AE156" s="835"/>
      <c r="AF156" s="835"/>
      <c r="AG156" s="835"/>
      <c r="AH156" s="835"/>
      <c r="AI156" s="835"/>
    </row>
    <row r="157" spans="4:35" s="4" customFormat="1" ht="13.5" thickBot="1" x14ac:dyDescent="0.25">
      <c r="D157" s="37"/>
      <c r="E157" s="98"/>
      <c r="F157" s="1665" t="str">
        <f t="shared" ref="F157:L157" si="74">F36</f>
        <v>EFV</v>
      </c>
      <c r="G157" s="1666" t="str">
        <f t="shared" si="74"/>
        <v>Cp</v>
      </c>
      <c r="H157" s="1666" t="str">
        <f t="shared" si="74"/>
        <v>600 mg</v>
      </c>
      <c r="I157" s="1210" t="str">
        <f t="shared" si="74"/>
        <v>Efavirenz</v>
      </c>
      <c r="J157" s="38" t="str">
        <f t="shared" si="74"/>
        <v>SUSTIVA, STOCRIN</v>
      </c>
      <c r="K157" s="96">
        <f t="shared" si="74"/>
        <v>0</v>
      </c>
      <c r="L157" s="117">
        <f t="shared" si="74"/>
        <v>30</v>
      </c>
      <c r="M157" s="334"/>
      <c r="N157" s="270"/>
      <c r="O157" s="653"/>
      <c r="AE157" s="835"/>
      <c r="AF157" s="835"/>
      <c r="AG157" s="835"/>
      <c r="AH157" s="835"/>
      <c r="AI157" s="835"/>
    </row>
    <row r="158" spans="4:35" s="4" customFormat="1" ht="13.5" thickBot="1" x14ac:dyDescent="0.25">
      <c r="D158" s="37"/>
      <c r="E158" s="98"/>
      <c r="F158" s="1667" t="str">
        <f t="shared" ref="F158:L158" si="75">F37</f>
        <v>ETV</v>
      </c>
      <c r="G158" s="1668" t="str">
        <f t="shared" si="75"/>
        <v>Cp</v>
      </c>
      <c r="H158" s="1668" t="str">
        <f t="shared" si="75"/>
        <v>200 mg</v>
      </c>
      <c r="I158" s="1210" t="str">
        <f t="shared" si="75"/>
        <v>Etravirine</v>
      </c>
      <c r="J158" s="1212" t="str">
        <f t="shared" si="75"/>
        <v>INTELENCE</v>
      </c>
      <c r="K158" s="1638">
        <f t="shared" si="75"/>
        <v>0</v>
      </c>
      <c r="L158" s="1386">
        <f t="shared" si="75"/>
        <v>60</v>
      </c>
      <c r="M158" s="1387"/>
      <c r="N158" s="270"/>
      <c r="O158" s="3197"/>
      <c r="AE158" s="835"/>
      <c r="AF158" s="835"/>
      <c r="AG158" s="835"/>
      <c r="AH158" s="835"/>
      <c r="AI158" s="835"/>
    </row>
    <row r="159" spans="4:35" s="4" customFormat="1" ht="13.5" thickBot="1" x14ac:dyDescent="0.25">
      <c r="D159" s="37"/>
      <c r="E159" s="123"/>
      <c r="F159" s="1660" t="str">
        <f t="shared" ref="F159:L159" si="76">F38</f>
        <v>NVP</v>
      </c>
      <c r="G159" s="1661" t="str">
        <f t="shared" si="76"/>
        <v>Cp</v>
      </c>
      <c r="H159" s="1661" t="str">
        <f t="shared" si="76"/>
        <v>200 mg</v>
      </c>
      <c r="I159" s="89" t="str">
        <f t="shared" si="76"/>
        <v>Nevirapine</v>
      </c>
      <c r="J159" s="38" t="str">
        <f t="shared" si="76"/>
        <v>VIRAMUNE</v>
      </c>
      <c r="K159" s="40">
        <f t="shared" si="76"/>
        <v>0</v>
      </c>
      <c r="L159" s="115">
        <f t="shared" si="76"/>
        <v>60</v>
      </c>
      <c r="M159" s="331"/>
      <c r="N159" s="270"/>
      <c r="O159" s="3197"/>
      <c r="AE159" s="835"/>
      <c r="AF159" s="835"/>
      <c r="AG159" s="835"/>
      <c r="AH159" s="835"/>
      <c r="AI159" s="835"/>
    </row>
    <row r="160" spans="4:35" s="4" customFormat="1" ht="13.5" thickBot="1" x14ac:dyDescent="0.25">
      <c r="D160" s="100"/>
      <c r="E160" s="101"/>
      <c r="F160" s="1663" t="str">
        <f t="shared" ref="F160:L160" si="77">F39</f>
        <v>RPV</v>
      </c>
      <c r="G160" s="1664" t="str">
        <f t="shared" si="77"/>
        <v>Cp</v>
      </c>
      <c r="H160" s="1664" t="str">
        <f t="shared" si="77"/>
        <v>25 mg</v>
      </c>
      <c r="I160" s="1640" t="str">
        <f t="shared" si="77"/>
        <v>Rilpivirine</v>
      </c>
      <c r="J160" s="104" t="str">
        <f t="shared" si="77"/>
        <v>EDURANT</v>
      </c>
      <c r="K160" s="105">
        <f t="shared" si="77"/>
        <v>0</v>
      </c>
      <c r="L160" s="116">
        <f t="shared" si="77"/>
        <v>30</v>
      </c>
      <c r="M160" s="333"/>
      <c r="N160" s="270"/>
      <c r="O160" s="3197"/>
      <c r="AE160" s="835"/>
      <c r="AF160" s="835"/>
      <c r="AG160" s="835"/>
      <c r="AH160" s="835"/>
      <c r="AI160" s="835"/>
    </row>
    <row r="161" spans="4:35" s="4" customFormat="1" ht="13.5" thickBot="1" x14ac:dyDescent="0.25">
      <c r="D161" s="37"/>
      <c r="E161" s="123" t="str">
        <f t="shared" ref="E161:L161" si="78">E40</f>
        <v>INTI</v>
      </c>
      <c r="F161" s="1660" t="str">
        <f t="shared" si="78"/>
        <v>ABC</v>
      </c>
      <c r="G161" s="1661" t="str">
        <f t="shared" si="78"/>
        <v>Cp</v>
      </c>
      <c r="H161" s="1661" t="str">
        <f t="shared" si="78"/>
        <v>300 mg</v>
      </c>
      <c r="I161" s="89" t="str">
        <f t="shared" si="78"/>
        <v>Abacavir</v>
      </c>
      <c r="J161" s="38" t="str">
        <f t="shared" si="78"/>
        <v>ZIAGEN</v>
      </c>
      <c r="K161" s="40" t="str">
        <f t="shared" si="78"/>
        <v>ABAVIR, VIROL</v>
      </c>
      <c r="L161" s="115">
        <f t="shared" si="78"/>
        <v>60</v>
      </c>
      <c r="M161" s="331"/>
      <c r="N161" s="270"/>
      <c r="O161" s="653"/>
      <c r="AE161" s="835"/>
      <c r="AF161" s="835"/>
      <c r="AG161" s="835"/>
      <c r="AH161" s="835"/>
      <c r="AI161" s="835"/>
    </row>
    <row r="162" spans="4:35" s="4" customFormat="1" ht="13.5" thickBot="1" x14ac:dyDescent="0.25">
      <c r="D162" s="37"/>
      <c r="E162" s="98"/>
      <c r="F162" s="1658" t="str">
        <f t="shared" ref="F162:L162" si="79">F41</f>
        <v>ABC</v>
      </c>
      <c r="G162" s="1659" t="str">
        <f t="shared" si="79"/>
        <v>Cp</v>
      </c>
      <c r="H162" s="1659" t="str">
        <f t="shared" si="79"/>
        <v>60 mg</v>
      </c>
      <c r="I162" s="89" t="str">
        <f t="shared" si="79"/>
        <v>Abacavir</v>
      </c>
      <c r="J162" s="39">
        <f t="shared" si="79"/>
        <v>0</v>
      </c>
      <c r="K162" s="38">
        <f t="shared" si="79"/>
        <v>0</v>
      </c>
      <c r="L162" s="114">
        <f t="shared" si="79"/>
        <v>60</v>
      </c>
      <c r="M162" s="330"/>
      <c r="N162" s="270"/>
      <c r="O162" s="3197"/>
      <c r="AE162" s="835"/>
      <c r="AF162" s="835"/>
      <c r="AG162" s="835"/>
      <c r="AH162" s="835"/>
      <c r="AI162" s="835"/>
    </row>
    <row r="163" spans="4:35" s="4" customFormat="1" ht="13.5" thickBot="1" x14ac:dyDescent="0.25">
      <c r="D163" s="37"/>
      <c r="E163" s="98"/>
      <c r="F163" s="1658" t="str">
        <f t="shared" ref="F163:L163" si="80">F42</f>
        <v>AZT</v>
      </c>
      <c r="G163" s="1659" t="str">
        <f t="shared" si="80"/>
        <v>Cp</v>
      </c>
      <c r="H163" s="1661" t="str">
        <f t="shared" si="80"/>
        <v>300 mg</v>
      </c>
      <c r="I163" s="89" t="str">
        <f t="shared" si="80"/>
        <v>Zidovudine</v>
      </c>
      <c r="J163" s="39" t="str">
        <f t="shared" si="80"/>
        <v>RETROVIR</v>
      </c>
      <c r="K163" s="38">
        <f t="shared" si="80"/>
        <v>0</v>
      </c>
      <c r="L163" s="114">
        <f t="shared" si="80"/>
        <v>60</v>
      </c>
      <c r="M163" s="330"/>
      <c r="N163" s="270"/>
      <c r="O163" s="653"/>
      <c r="AE163" s="835"/>
      <c r="AF163" s="835"/>
      <c r="AG163" s="835"/>
      <c r="AH163" s="835"/>
      <c r="AI163" s="835"/>
    </row>
    <row r="164" spans="4:35" s="4" customFormat="1" ht="13.5" thickBot="1" x14ac:dyDescent="0.25">
      <c r="D164" s="37"/>
      <c r="E164" s="98"/>
      <c r="F164" s="1658" t="str">
        <f t="shared" ref="F164:L164" si="81">F43</f>
        <v>AZT</v>
      </c>
      <c r="G164" s="1659" t="str">
        <f t="shared" si="81"/>
        <v>Cp</v>
      </c>
      <c r="H164" s="1662" t="str">
        <f t="shared" si="81"/>
        <v>100 mg</v>
      </c>
      <c r="I164" s="89" t="str">
        <f t="shared" si="81"/>
        <v>Zidovudine</v>
      </c>
      <c r="J164" s="39" t="str">
        <f t="shared" si="81"/>
        <v>RETROVIR</v>
      </c>
      <c r="K164" s="38">
        <f t="shared" si="81"/>
        <v>0</v>
      </c>
      <c r="L164" s="114">
        <f t="shared" si="81"/>
        <v>100</v>
      </c>
      <c r="M164" s="330"/>
      <c r="N164" s="270"/>
      <c r="O164" s="3197"/>
      <c r="AE164" s="835"/>
      <c r="AF164" s="835"/>
      <c r="AG164" s="835"/>
      <c r="AH164" s="835"/>
      <c r="AI164" s="835"/>
    </row>
    <row r="165" spans="4:35" s="4" customFormat="1" ht="13.5" thickBot="1" x14ac:dyDescent="0.25">
      <c r="D165" s="37"/>
      <c r="E165" s="98"/>
      <c r="F165" s="1658" t="str">
        <f t="shared" ref="F165:L165" si="82">F44</f>
        <v>AZT</v>
      </c>
      <c r="G165" s="1659" t="str">
        <f t="shared" si="82"/>
        <v>Cp</v>
      </c>
      <c r="H165" s="1662" t="str">
        <f t="shared" si="82"/>
        <v>60 mg</v>
      </c>
      <c r="I165" s="89" t="str">
        <f t="shared" si="82"/>
        <v>Zidovudine</v>
      </c>
      <c r="J165" s="39">
        <f t="shared" si="82"/>
        <v>0</v>
      </c>
      <c r="K165" s="38">
        <f t="shared" si="82"/>
        <v>0</v>
      </c>
      <c r="L165" s="114">
        <f t="shared" si="82"/>
        <v>60</v>
      </c>
      <c r="M165" s="330"/>
      <c r="N165" s="270"/>
      <c r="O165" s="3197"/>
      <c r="AE165" s="835"/>
      <c r="AF165" s="835"/>
      <c r="AG165" s="835"/>
      <c r="AH165" s="835"/>
      <c r="AI165" s="835"/>
    </row>
    <row r="166" spans="4:35" s="4" customFormat="1" ht="13.5" thickBot="1" x14ac:dyDescent="0.25">
      <c r="D166" s="37"/>
      <c r="E166" s="98"/>
      <c r="F166" s="1669" t="str">
        <f t="shared" ref="F166:L166" si="83">F45</f>
        <v>D4T</v>
      </c>
      <c r="G166" s="1670" t="str">
        <f t="shared" si="83"/>
        <v>Cp</v>
      </c>
      <c r="H166" s="1671" t="str">
        <f t="shared" si="83"/>
        <v>30 mg</v>
      </c>
      <c r="I166" s="377" t="str">
        <f t="shared" si="83"/>
        <v>Stavudine</v>
      </c>
      <c r="J166" s="378" t="str">
        <f t="shared" si="83"/>
        <v>ZERIT</v>
      </c>
      <c r="K166" s="379" t="str">
        <f t="shared" si="83"/>
        <v>STAVIR</v>
      </c>
      <c r="L166" s="114">
        <f t="shared" si="83"/>
        <v>60</v>
      </c>
      <c r="M166" s="330"/>
      <c r="N166" s="270"/>
      <c r="O166" s="3197"/>
      <c r="AE166" s="835"/>
      <c r="AF166" s="835"/>
      <c r="AG166" s="835"/>
      <c r="AH166" s="835"/>
      <c r="AI166" s="835"/>
    </row>
    <row r="167" spans="4:35" s="4" customFormat="1" ht="13.5" thickBot="1" x14ac:dyDescent="0.25">
      <c r="D167" s="37"/>
      <c r="E167" s="98"/>
      <c r="F167" s="1658" t="str">
        <f t="shared" ref="F167:L167" si="84">F46</f>
        <v>3TC</v>
      </c>
      <c r="G167" s="1659" t="str">
        <f t="shared" si="84"/>
        <v>Cp</v>
      </c>
      <c r="H167" s="1661" t="str">
        <f t="shared" si="84"/>
        <v>150 mg</v>
      </c>
      <c r="I167" s="89" t="str">
        <f t="shared" si="84"/>
        <v>Lamivudine</v>
      </c>
      <c r="J167" s="39" t="str">
        <f t="shared" si="84"/>
        <v>EPIVIR</v>
      </c>
      <c r="K167" s="38" t="str">
        <f t="shared" si="84"/>
        <v>LAMIVIR</v>
      </c>
      <c r="L167" s="114">
        <f t="shared" si="84"/>
        <v>60</v>
      </c>
      <c r="M167" s="330"/>
      <c r="N167" s="270"/>
      <c r="O167" s="3197"/>
      <c r="AE167" s="835"/>
      <c r="AF167" s="835"/>
      <c r="AG167" s="835"/>
      <c r="AH167" s="835"/>
      <c r="AI167" s="835"/>
    </row>
    <row r="168" spans="4:35" s="4" customFormat="1" ht="13.5" thickBot="1" x14ac:dyDescent="0.25">
      <c r="D168" s="37"/>
      <c r="E168" s="98"/>
      <c r="F168" s="1658" t="str">
        <f t="shared" ref="F168:L168" si="85">F47</f>
        <v>3TC</v>
      </c>
      <c r="G168" s="1659" t="str">
        <f t="shared" si="85"/>
        <v>Cp</v>
      </c>
      <c r="H168" s="1662" t="str">
        <f t="shared" si="85"/>
        <v>30 mg</v>
      </c>
      <c r="I168" s="89" t="str">
        <f t="shared" si="85"/>
        <v>Lamivudine</v>
      </c>
      <c r="J168" s="39">
        <f t="shared" si="85"/>
        <v>0</v>
      </c>
      <c r="K168" s="38">
        <f t="shared" si="85"/>
        <v>0</v>
      </c>
      <c r="L168" s="114">
        <f t="shared" si="85"/>
        <v>60</v>
      </c>
      <c r="M168" s="330"/>
      <c r="N168" s="270"/>
      <c r="O168" s="3197"/>
      <c r="AE168" s="835"/>
      <c r="AF168" s="835"/>
      <c r="AG168" s="835"/>
      <c r="AH168" s="835"/>
      <c r="AI168" s="835"/>
    </row>
    <row r="169" spans="4:35" s="4" customFormat="1" ht="26.25" thickBot="1" x14ac:dyDescent="0.25">
      <c r="D169" s="37"/>
      <c r="E169" s="98"/>
      <c r="F169" s="1660" t="str">
        <f t="shared" ref="F169:L169" si="86">F48</f>
        <v>DDI</v>
      </c>
      <c r="G169" s="1661" t="str">
        <f t="shared" si="86"/>
        <v>Cp</v>
      </c>
      <c r="H169" s="1661" t="str">
        <f t="shared" si="86"/>
        <v>250 mg</v>
      </c>
      <c r="I169" s="1207" t="str">
        <f t="shared" si="86"/>
        <v>Didanosine</v>
      </c>
      <c r="J169" s="41" t="str">
        <f t="shared" si="86"/>
        <v>VIDEX</v>
      </c>
      <c r="K169" s="40" t="str">
        <f t="shared" si="86"/>
        <v>DINEX, DIVIR, DINOSIN, VIROSINE</v>
      </c>
      <c r="L169" s="115">
        <f t="shared" si="86"/>
        <v>30</v>
      </c>
      <c r="M169" s="331"/>
      <c r="N169" s="270"/>
      <c r="O169" s="3197"/>
      <c r="AE169" s="835"/>
      <c r="AF169" s="835"/>
      <c r="AG169" s="835"/>
      <c r="AH169" s="835"/>
      <c r="AI169" s="835"/>
    </row>
    <row r="170" spans="4:35" s="4" customFormat="1" ht="26.25" thickBot="1" x14ac:dyDescent="0.25">
      <c r="D170" s="37"/>
      <c r="E170" s="98"/>
      <c r="F170" s="1660" t="str">
        <f t="shared" ref="F170:L170" si="87">F49</f>
        <v>DDI</v>
      </c>
      <c r="G170" s="1661" t="str">
        <f t="shared" si="87"/>
        <v>Cp</v>
      </c>
      <c r="H170" s="1666" t="str">
        <f t="shared" si="87"/>
        <v>400 mg</v>
      </c>
      <c r="I170" s="1637" t="str">
        <f t="shared" si="87"/>
        <v>Didanosine</v>
      </c>
      <c r="J170" s="41" t="str">
        <f t="shared" si="87"/>
        <v>VIDEX</v>
      </c>
      <c r="K170" s="40" t="str">
        <f t="shared" si="87"/>
        <v>DINEX, DIVIR, DINOSIN, VIROSINE</v>
      </c>
      <c r="L170" s="117">
        <f t="shared" si="87"/>
        <v>30</v>
      </c>
      <c r="M170" s="334"/>
      <c r="N170" s="270"/>
      <c r="O170" s="653"/>
      <c r="AE170" s="835"/>
      <c r="AF170" s="835"/>
      <c r="AG170" s="835"/>
      <c r="AH170" s="835"/>
      <c r="AI170" s="835"/>
    </row>
    <row r="171" spans="4:35" s="4" customFormat="1" ht="13.5" thickBot="1" x14ac:dyDescent="0.25">
      <c r="D171" s="100"/>
      <c r="E171" s="101"/>
      <c r="F171" s="1663" t="str">
        <f t="shared" ref="F171:L171" si="88">F50</f>
        <v>TDF</v>
      </c>
      <c r="G171" s="1664" t="str">
        <f t="shared" si="88"/>
        <v>Cp</v>
      </c>
      <c r="H171" s="1664" t="str">
        <f t="shared" si="88"/>
        <v>300 mg</v>
      </c>
      <c r="I171" s="1643" t="str">
        <f t="shared" si="88"/>
        <v>Tenofovir</v>
      </c>
      <c r="J171" s="109" t="str">
        <f t="shared" si="88"/>
        <v>VIREAD</v>
      </c>
      <c r="K171" s="105">
        <f t="shared" si="88"/>
        <v>0</v>
      </c>
      <c r="L171" s="116">
        <f t="shared" si="88"/>
        <v>30</v>
      </c>
      <c r="M171" s="333"/>
      <c r="N171" s="270"/>
      <c r="O171" s="3197"/>
      <c r="AE171" s="835"/>
      <c r="AF171" s="835"/>
      <c r="AG171" s="835"/>
      <c r="AH171" s="835"/>
      <c r="AI171" s="835"/>
    </row>
    <row r="172" spans="4:35" s="4" customFormat="1" ht="13.5" thickBot="1" x14ac:dyDescent="0.25">
      <c r="D172" s="37"/>
      <c r="E172" s="98" t="str">
        <f t="shared" ref="E172:L172" si="89">E51</f>
        <v>IP</v>
      </c>
      <c r="F172" s="1658" t="str">
        <f t="shared" si="89"/>
        <v>LPV/r</v>
      </c>
      <c r="G172" s="1659" t="str">
        <f t="shared" si="89"/>
        <v>Cp</v>
      </c>
      <c r="H172" s="1659" t="str">
        <f t="shared" si="89"/>
        <v>200/50 mg</v>
      </c>
      <c r="I172" s="89" t="str">
        <f t="shared" si="89"/>
        <v>Lopinavir/ Ritonavir</v>
      </c>
      <c r="J172" s="39" t="str">
        <f t="shared" si="89"/>
        <v>KALETRA, ALUVIA</v>
      </c>
      <c r="K172" s="38" t="str">
        <f t="shared" si="89"/>
        <v>RITOCOM</v>
      </c>
      <c r="L172" s="114">
        <f t="shared" si="89"/>
        <v>120</v>
      </c>
      <c r="M172" s="330"/>
      <c r="N172" s="270"/>
      <c r="O172" s="653"/>
      <c r="AE172" s="835"/>
      <c r="AF172" s="835"/>
      <c r="AG172" s="835"/>
      <c r="AH172" s="835"/>
      <c r="AI172" s="835"/>
    </row>
    <row r="173" spans="4:35" s="4" customFormat="1" ht="13.5" thickBot="1" x14ac:dyDescent="0.25">
      <c r="D173" s="37"/>
      <c r="E173" s="98"/>
      <c r="F173" s="1672" t="str">
        <f t="shared" ref="F173:L173" si="90">F52</f>
        <v>LPV/r</v>
      </c>
      <c r="G173" s="1673" t="str">
        <f t="shared" si="90"/>
        <v>Cp coblister</v>
      </c>
      <c r="H173" s="1673" t="str">
        <f t="shared" si="90"/>
        <v>100/25 mg</v>
      </c>
      <c r="I173" s="1210" t="str">
        <f t="shared" si="90"/>
        <v>Lopinavir/ Ritonavir</v>
      </c>
      <c r="J173" s="1211" t="str">
        <f t="shared" si="90"/>
        <v>KALETRA, ALUVIA</v>
      </c>
      <c r="K173" s="1212">
        <f t="shared" si="90"/>
        <v>0</v>
      </c>
      <c r="L173" s="537">
        <f t="shared" si="90"/>
        <v>60</v>
      </c>
      <c r="M173" s="506"/>
      <c r="N173" s="270"/>
      <c r="O173" s="653"/>
      <c r="AE173" s="835"/>
      <c r="AF173" s="835"/>
      <c r="AG173" s="835"/>
      <c r="AH173" s="835"/>
      <c r="AI173" s="835"/>
    </row>
    <row r="174" spans="4:35" s="4" customFormat="1" ht="26.25" thickBot="1" x14ac:dyDescent="0.25">
      <c r="D174" s="37"/>
      <c r="E174" s="92"/>
      <c r="F174" s="1674" t="str">
        <f t="shared" ref="F174:L174" si="91">F53</f>
        <v>ATV/r</v>
      </c>
      <c r="G174" s="1675" t="str">
        <f t="shared" si="91"/>
        <v>Cp</v>
      </c>
      <c r="H174" s="1676" t="str">
        <f t="shared" si="91"/>
        <v>300/100 mg</v>
      </c>
      <c r="I174" s="1625" t="str">
        <f t="shared" si="91"/>
        <v>Atazanavir/ Ritonavir</v>
      </c>
      <c r="J174" s="510">
        <f t="shared" si="91"/>
        <v>0</v>
      </c>
      <c r="K174" s="511">
        <f t="shared" si="91"/>
        <v>0</v>
      </c>
      <c r="L174" s="512">
        <f t="shared" si="91"/>
        <v>30</v>
      </c>
      <c r="M174" s="334"/>
      <c r="N174" s="270"/>
      <c r="O174" s="653"/>
      <c r="AE174" s="835"/>
      <c r="AF174" s="835"/>
      <c r="AG174" s="835"/>
      <c r="AH174" s="835"/>
      <c r="AI174" s="835"/>
    </row>
    <row r="175" spans="4:35" s="4" customFormat="1" ht="13.5" thickBot="1" x14ac:dyDescent="0.25">
      <c r="D175" s="37"/>
      <c r="E175" s="92"/>
      <c r="F175" s="1677" t="str">
        <f t="shared" ref="F175:L175" si="92">F54</f>
        <v>FPV</v>
      </c>
      <c r="G175" s="1678" t="str">
        <f t="shared" si="92"/>
        <v>Cp</v>
      </c>
      <c r="H175" s="1678" t="str">
        <f t="shared" si="92"/>
        <v>700 mg</v>
      </c>
      <c r="I175" s="1625" t="str">
        <f t="shared" si="92"/>
        <v>Fosamprenavir</v>
      </c>
      <c r="J175" s="1626" t="str">
        <f t="shared" si="92"/>
        <v>TELZIR</v>
      </c>
      <c r="K175" s="1627">
        <f t="shared" si="92"/>
        <v>0</v>
      </c>
      <c r="L175" s="1388">
        <f t="shared" si="92"/>
        <v>60</v>
      </c>
      <c r="M175" s="1387"/>
      <c r="N175" s="270"/>
      <c r="O175" s="3197"/>
      <c r="AE175" s="835"/>
      <c r="AF175" s="835"/>
      <c r="AG175" s="835"/>
      <c r="AH175" s="835"/>
      <c r="AI175" s="835"/>
    </row>
    <row r="176" spans="4:35" s="4" customFormat="1" ht="13.5" thickBot="1" x14ac:dyDescent="0.25">
      <c r="D176" s="37"/>
      <c r="E176" s="92"/>
      <c r="F176" s="1665" t="str">
        <f t="shared" ref="F176:L176" si="93">F55</f>
        <v>IDV</v>
      </c>
      <c r="G176" s="1666" t="str">
        <f t="shared" si="93"/>
        <v>Gel</v>
      </c>
      <c r="H176" s="1666" t="str">
        <f t="shared" si="93"/>
        <v>400 mg</v>
      </c>
      <c r="I176" s="1637" t="str">
        <f t="shared" si="93"/>
        <v>Indinavir</v>
      </c>
      <c r="J176" s="95" t="str">
        <f t="shared" si="93"/>
        <v>CRIXIVAN</v>
      </c>
      <c r="K176" s="96">
        <f t="shared" si="93"/>
        <v>0</v>
      </c>
      <c r="L176" s="117">
        <f t="shared" si="93"/>
        <v>180</v>
      </c>
      <c r="M176" s="334"/>
      <c r="N176" s="270"/>
      <c r="O176" s="3197"/>
      <c r="AE176" s="835"/>
      <c r="AF176" s="835"/>
      <c r="AG176" s="835"/>
      <c r="AH176" s="835"/>
      <c r="AI176" s="835"/>
    </row>
    <row r="177" spans="4:35" s="4" customFormat="1" ht="13.5" thickBot="1" x14ac:dyDescent="0.25">
      <c r="D177" s="37"/>
      <c r="E177" s="92"/>
      <c r="F177" s="1665" t="str">
        <f t="shared" ref="F177:L177" si="94">F56</f>
        <v>DRV</v>
      </c>
      <c r="G177" s="1666" t="str">
        <f t="shared" si="94"/>
        <v>Cp</v>
      </c>
      <c r="H177" s="1679" t="str">
        <f t="shared" si="94"/>
        <v>300 mg</v>
      </c>
      <c r="I177" s="1637" t="str">
        <f t="shared" si="94"/>
        <v>Darunavir</v>
      </c>
      <c r="J177" s="95" t="str">
        <f t="shared" si="94"/>
        <v>PREZISTA</v>
      </c>
      <c r="K177" s="96">
        <f t="shared" si="94"/>
        <v>0</v>
      </c>
      <c r="L177" s="117">
        <f t="shared" si="94"/>
        <v>60</v>
      </c>
      <c r="M177" s="334"/>
      <c r="N177" s="270"/>
      <c r="O177" s="3197"/>
      <c r="AE177" s="835"/>
      <c r="AF177" s="835"/>
      <c r="AG177" s="835"/>
      <c r="AH177" s="835"/>
      <c r="AI177" s="835"/>
    </row>
    <row r="178" spans="4:35" s="4" customFormat="1" ht="13.5" thickBot="1" x14ac:dyDescent="0.25">
      <c r="D178" s="37"/>
      <c r="E178" s="92"/>
      <c r="F178" s="1665" t="str">
        <f t="shared" ref="F178:L178" si="95">F57</f>
        <v>SQV</v>
      </c>
      <c r="G178" s="1666" t="str">
        <f t="shared" si="95"/>
        <v>Cp</v>
      </c>
      <c r="H178" s="1666" t="str">
        <f t="shared" si="95"/>
        <v>500 mg</v>
      </c>
      <c r="I178" s="1637" t="str">
        <f t="shared" si="95"/>
        <v>Saquinavir</v>
      </c>
      <c r="J178" s="95" t="str">
        <f t="shared" si="95"/>
        <v>INVIRASE</v>
      </c>
      <c r="K178" s="96">
        <f t="shared" si="95"/>
        <v>0</v>
      </c>
      <c r="L178" s="117">
        <f t="shared" si="95"/>
        <v>120</v>
      </c>
      <c r="M178" s="334"/>
      <c r="N178" s="270"/>
      <c r="O178" s="3197"/>
      <c r="AE178" s="835"/>
      <c r="AF178" s="835"/>
      <c r="AG178" s="835"/>
      <c r="AH178" s="835"/>
      <c r="AI178" s="835"/>
    </row>
    <row r="179" spans="4:35" s="4" customFormat="1" ht="13.5" thickBot="1" x14ac:dyDescent="0.25">
      <c r="D179" s="100"/>
      <c r="E179" s="101"/>
      <c r="F179" s="1663" t="str">
        <f t="shared" ref="F179:L179" si="96">F58</f>
        <v>RTV</v>
      </c>
      <c r="G179" s="1664" t="str">
        <f t="shared" si="96"/>
        <v>Caps</v>
      </c>
      <c r="H179" s="1664" t="str">
        <f t="shared" si="96"/>
        <v>100 mg</v>
      </c>
      <c r="I179" s="1643" t="str">
        <f t="shared" si="96"/>
        <v>Ritonavir</v>
      </c>
      <c r="J179" s="109" t="str">
        <f t="shared" si="96"/>
        <v>NORVIR</v>
      </c>
      <c r="K179" s="105">
        <f t="shared" si="96"/>
        <v>0</v>
      </c>
      <c r="L179" s="116">
        <f t="shared" si="96"/>
        <v>84</v>
      </c>
      <c r="M179" s="333"/>
      <c r="N179" s="270"/>
      <c r="O179" s="3197"/>
      <c r="AE179" s="835"/>
      <c r="AF179" s="835"/>
      <c r="AG179" s="835"/>
      <c r="AH179" s="835"/>
      <c r="AI179" s="835"/>
    </row>
    <row r="180" spans="4:35" s="518" customFormat="1" ht="13.5" thickBot="1" x14ac:dyDescent="0.25">
      <c r="D180" s="519"/>
      <c r="E180" s="520" t="str">
        <f t="shared" ref="E180:L180" si="97">E59</f>
        <v>Inh Integrase</v>
      </c>
      <c r="F180" s="513" t="str">
        <f t="shared" si="97"/>
        <v>RLT = RAL</v>
      </c>
      <c r="G180" s="514" t="str">
        <f t="shared" si="97"/>
        <v>Cp</v>
      </c>
      <c r="H180" s="514" t="str">
        <f t="shared" si="97"/>
        <v>400 mg</v>
      </c>
      <c r="I180" s="1644" t="str">
        <f t="shared" si="97"/>
        <v>Raltegravir</v>
      </c>
      <c r="J180" s="515" t="str">
        <f t="shared" si="97"/>
        <v>ISENTRESS</v>
      </c>
      <c r="K180" s="516">
        <f t="shared" si="97"/>
        <v>0</v>
      </c>
      <c r="L180" s="517">
        <f t="shared" si="97"/>
        <v>60</v>
      </c>
      <c r="M180" s="521"/>
      <c r="N180" s="522"/>
      <c r="O180" s="3198"/>
      <c r="AE180" s="838"/>
      <c r="AF180" s="838"/>
      <c r="AG180" s="838"/>
      <c r="AH180" s="838"/>
      <c r="AI180" s="838"/>
    </row>
    <row r="181" spans="4:35" s="4" customFormat="1" ht="64.5" customHeight="1" thickBot="1" x14ac:dyDescent="0.25">
      <c r="D181" s="530"/>
      <c r="E181" s="531"/>
      <c r="F181" s="32" t="str">
        <f>'TRAD-Saisie données stocks'!B13</f>
        <v>Composition</v>
      </c>
      <c r="G181" s="33" t="str">
        <f>'TRAD-Saisie données stocks'!B14</f>
        <v>Forme galénique</v>
      </c>
      <c r="H181" s="33" t="str">
        <f>'TRAD-Saisie données stocks'!B15</f>
        <v>Dosage</v>
      </c>
      <c r="I181" s="33" t="str">
        <f>'TRAD-Saisie données stocks'!B16</f>
        <v>DCI</v>
      </c>
      <c r="J181" s="33" t="str">
        <f>'TRAD-Saisie données stocks'!B17</f>
        <v>Nom de spécialité</v>
      </c>
      <c r="K181" s="33"/>
      <c r="L181" s="33" t="str">
        <f>'TRAD-Saisie données stocks'!B43</f>
        <v>Volume conditionnement primaire (mL)</v>
      </c>
      <c r="M181" s="34" t="str">
        <f>'TRAD-Saisie données stocks'!B44</f>
        <v>Conditionement secondaire</v>
      </c>
      <c r="N181" s="128" t="str">
        <f>'TRAD-Saisie données stocks'!B59</f>
        <v>Quantités attendues en nombre de conditionnement primaire</v>
      </c>
      <c r="O181" s="32" t="str">
        <f>'TRAD-Saisie données stocks'!B58</f>
        <v>Préciser les dates de réceptions attendues</v>
      </c>
      <c r="AE181" s="835"/>
      <c r="AF181" s="835"/>
      <c r="AG181" s="835"/>
      <c r="AH181" s="835"/>
      <c r="AI181" s="835"/>
    </row>
    <row r="182" spans="4:35" s="4" customFormat="1" ht="13.5" thickBot="1" x14ac:dyDescent="0.25">
      <c r="D182" s="31" t="str">
        <f>'TRAD-Saisie données stocks'!B60</f>
        <v>Solutions buvables</v>
      </c>
      <c r="E182" s="97" t="str">
        <f t="shared" ref="E182:L182" si="98">E61</f>
        <v>INTI</v>
      </c>
      <c r="F182" s="86" t="str">
        <f t="shared" si="98"/>
        <v>AZT</v>
      </c>
      <c r="G182" s="87" t="str">
        <f t="shared" si="98"/>
        <v>Sol buv</v>
      </c>
      <c r="H182" s="87" t="str">
        <f t="shared" si="98"/>
        <v>10 mg/mL</v>
      </c>
      <c r="I182" s="87" t="str">
        <f t="shared" si="98"/>
        <v>Zidovudine</v>
      </c>
      <c r="J182" s="36" t="str">
        <f t="shared" si="98"/>
        <v>RETROVIR</v>
      </c>
      <c r="K182" s="36">
        <f t="shared" si="98"/>
        <v>0</v>
      </c>
      <c r="L182" s="299">
        <f t="shared" si="98"/>
        <v>240</v>
      </c>
      <c r="M182" s="300">
        <f t="shared" ref="M182" si="99">M61</f>
        <v>1</v>
      </c>
      <c r="N182" s="270"/>
      <c r="O182" s="3196"/>
      <c r="AE182" s="835"/>
      <c r="AF182" s="835"/>
      <c r="AG182" s="835"/>
      <c r="AH182" s="835"/>
      <c r="AI182" s="835"/>
    </row>
    <row r="183" spans="4:35" s="4" customFormat="1" ht="13.5" thickBot="1" x14ac:dyDescent="0.25">
      <c r="D183" s="37"/>
      <c r="E183" s="98"/>
      <c r="F183" s="88" t="str">
        <f t="shared" ref="F183:L183" si="100">F62</f>
        <v>D4T</v>
      </c>
      <c r="G183" s="89" t="str">
        <f t="shared" si="100"/>
        <v>Sol buv</v>
      </c>
      <c r="H183" s="89" t="str">
        <f t="shared" si="100"/>
        <v>10 mg/mL</v>
      </c>
      <c r="I183" s="89" t="str">
        <f t="shared" si="100"/>
        <v>Stavudine</v>
      </c>
      <c r="J183" s="39" t="str">
        <f t="shared" si="100"/>
        <v>ZERIT</v>
      </c>
      <c r="K183" s="39">
        <f t="shared" si="100"/>
        <v>0</v>
      </c>
      <c r="L183" s="307">
        <f t="shared" si="100"/>
        <v>240</v>
      </c>
      <c r="M183" s="308">
        <f t="shared" ref="M183" si="101">M62</f>
        <v>1</v>
      </c>
      <c r="N183" s="270"/>
      <c r="O183" s="3196"/>
      <c r="AE183" s="835"/>
      <c r="AF183" s="835"/>
      <c r="AG183" s="835"/>
      <c r="AH183" s="835"/>
      <c r="AI183" s="835"/>
    </row>
    <row r="184" spans="4:35" s="4" customFormat="1" ht="13.5" thickBot="1" x14ac:dyDescent="0.25">
      <c r="D184" s="37"/>
      <c r="E184" s="98"/>
      <c r="F184" s="90" t="str">
        <f t="shared" ref="F184:L184" si="102">F63</f>
        <v>3TC</v>
      </c>
      <c r="G184" s="91" t="str">
        <f t="shared" si="102"/>
        <v>Sol buv</v>
      </c>
      <c r="H184" s="91" t="str">
        <f t="shared" si="102"/>
        <v>10 mg/mL</v>
      </c>
      <c r="I184" s="1207" t="str">
        <f t="shared" si="102"/>
        <v>Lamivudine</v>
      </c>
      <c r="J184" s="41" t="str">
        <f t="shared" si="102"/>
        <v>LAMIVIR, EPIVIR</v>
      </c>
      <c r="K184" s="41">
        <f t="shared" si="102"/>
        <v>0</v>
      </c>
      <c r="L184" s="303">
        <f t="shared" si="102"/>
        <v>240</v>
      </c>
      <c r="M184" s="304">
        <f t="shared" ref="M184" si="103">M63</f>
        <v>1</v>
      </c>
      <c r="N184" s="270"/>
      <c r="O184" s="3196"/>
      <c r="AE184" s="835"/>
      <c r="AF184" s="835"/>
      <c r="AG184" s="835"/>
      <c r="AH184" s="835"/>
      <c r="AI184" s="835"/>
    </row>
    <row r="185" spans="4:35" s="4" customFormat="1" ht="13.5" thickBot="1" x14ac:dyDescent="0.25">
      <c r="D185" s="37"/>
      <c r="E185" s="123"/>
      <c r="F185" s="88" t="str">
        <f t="shared" ref="F185:L185" si="104">F64</f>
        <v>ABC</v>
      </c>
      <c r="G185" s="89" t="str">
        <f t="shared" si="104"/>
        <v>Sol buv</v>
      </c>
      <c r="H185" s="89" t="str">
        <f t="shared" si="104"/>
        <v>20 mg/mL</v>
      </c>
      <c r="I185" s="89" t="str">
        <f t="shared" si="104"/>
        <v>Abacavir</v>
      </c>
      <c r="J185" s="39" t="str">
        <f t="shared" si="104"/>
        <v>ZIAGEN</v>
      </c>
      <c r="K185" s="39">
        <f t="shared" si="104"/>
        <v>0</v>
      </c>
      <c r="L185" s="307">
        <f t="shared" si="104"/>
        <v>240</v>
      </c>
      <c r="M185" s="308">
        <f t="shared" ref="M185" si="105">M64</f>
        <v>1</v>
      </c>
      <c r="N185" s="270"/>
      <c r="O185" s="3196"/>
      <c r="AE185" s="835"/>
      <c r="AF185" s="835"/>
      <c r="AG185" s="835"/>
      <c r="AH185" s="835"/>
      <c r="AI185" s="835"/>
    </row>
    <row r="186" spans="4:35" s="4" customFormat="1" ht="13.5" thickBot="1" x14ac:dyDescent="0.25">
      <c r="D186" s="37"/>
      <c r="E186" s="101"/>
      <c r="F186" s="102" t="str">
        <f t="shared" ref="F186:L186" si="106">F65</f>
        <v>DDI</v>
      </c>
      <c r="G186" s="103" t="str">
        <f t="shared" si="106"/>
        <v>Poudre buvable</v>
      </c>
      <c r="H186" s="103" t="str">
        <f t="shared" si="106"/>
        <v>2 g</v>
      </c>
      <c r="I186" s="1643" t="str">
        <f t="shared" si="106"/>
        <v>Didanosine</v>
      </c>
      <c r="J186" s="109" t="str">
        <f t="shared" si="106"/>
        <v>VIDEX</v>
      </c>
      <c r="K186" s="109">
        <f t="shared" si="106"/>
        <v>0</v>
      </c>
      <c r="L186" s="864">
        <f t="shared" si="106"/>
        <v>200</v>
      </c>
      <c r="M186" s="311">
        <f t="shared" ref="M186" si="107">M65</f>
        <v>1</v>
      </c>
      <c r="N186" s="270"/>
      <c r="O186" s="3196"/>
      <c r="AE186" s="835"/>
      <c r="AF186" s="835"/>
      <c r="AG186" s="835"/>
      <c r="AH186" s="835"/>
      <c r="AI186" s="835"/>
    </row>
    <row r="187" spans="4:35" s="4" customFormat="1" ht="13.5" thickBot="1" x14ac:dyDescent="0.25">
      <c r="D187" s="37"/>
      <c r="E187" s="98" t="str">
        <f t="shared" ref="E187:L187" si="108">E66</f>
        <v>INNTI</v>
      </c>
      <c r="F187" s="88" t="str">
        <f t="shared" si="108"/>
        <v>NVP</v>
      </c>
      <c r="G187" s="89" t="str">
        <f t="shared" si="108"/>
        <v>Sol buv</v>
      </c>
      <c r="H187" s="89" t="str">
        <f t="shared" si="108"/>
        <v>10 mg/mL</v>
      </c>
      <c r="I187" s="89" t="str">
        <f t="shared" si="108"/>
        <v>Nevirapine</v>
      </c>
      <c r="J187" s="39" t="str">
        <f t="shared" si="108"/>
        <v>VIRAMUNE</v>
      </c>
      <c r="K187" s="39">
        <f t="shared" si="108"/>
        <v>0</v>
      </c>
      <c r="L187" s="307">
        <f t="shared" si="108"/>
        <v>240</v>
      </c>
      <c r="M187" s="308">
        <f t="shared" ref="M187" si="109">M66</f>
        <v>1</v>
      </c>
      <c r="N187" s="270"/>
      <c r="O187" s="3196"/>
      <c r="AE187" s="835"/>
      <c r="AF187" s="835"/>
      <c r="AG187" s="835"/>
      <c r="AH187" s="835"/>
      <c r="AI187" s="835"/>
    </row>
    <row r="188" spans="4:35" s="4" customFormat="1" ht="13.5" thickBot="1" x14ac:dyDescent="0.25">
      <c r="D188" s="37"/>
      <c r="E188" s="101"/>
      <c r="F188" s="102" t="str">
        <f t="shared" ref="F188:L188" si="110">F67</f>
        <v>EFV</v>
      </c>
      <c r="G188" s="103" t="str">
        <f t="shared" si="110"/>
        <v>Sol buv</v>
      </c>
      <c r="H188" s="103" t="str">
        <f t="shared" si="110"/>
        <v>30 mg/mL</v>
      </c>
      <c r="I188" s="1643" t="str">
        <f t="shared" si="110"/>
        <v>Efavirenz</v>
      </c>
      <c r="J188" s="109" t="str">
        <f t="shared" si="110"/>
        <v>SUSTIVA, STOCRIN</v>
      </c>
      <c r="K188" s="109">
        <f t="shared" si="110"/>
        <v>0</v>
      </c>
      <c r="L188" s="864">
        <f t="shared" si="110"/>
        <v>180</v>
      </c>
      <c r="M188" s="311">
        <f t="shared" ref="M188" si="111">M67</f>
        <v>1</v>
      </c>
      <c r="N188" s="270"/>
      <c r="O188" s="3196"/>
      <c r="AE188" s="835"/>
      <c r="AF188" s="835"/>
      <c r="AG188" s="835"/>
      <c r="AH188" s="835"/>
      <c r="AI188" s="835"/>
    </row>
    <row r="189" spans="4:35" s="4" customFormat="1" ht="13.5" thickBot="1" x14ac:dyDescent="0.25">
      <c r="D189" s="42"/>
      <c r="E189" s="99" t="str">
        <f t="shared" ref="E189:L189" si="112">E68</f>
        <v>IP</v>
      </c>
      <c r="F189" s="106" t="str">
        <f t="shared" si="112"/>
        <v>LPV/r</v>
      </c>
      <c r="G189" s="107" t="str">
        <f t="shared" si="112"/>
        <v>Sol buv</v>
      </c>
      <c r="H189" s="107" t="str">
        <f t="shared" si="112"/>
        <v>80/20 mg/mL</v>
      </c>
      <c r="I189" s="107" t="str">
        <f t="shared" si="112"/>
        <v>Lopinavir/Ritonavir</v>
      </c>
      <c r="J189" s="108" t="str">
        <f t="shared" si="112"/>
        <v>KALETRA ALUVIA</v>
      </c>
      <c r="K189" s="108">
        <f t="shared" si="112"/>
        <v>0</v>
      </c>
      <c r="L189" s="865">
        <f t="shared" si="112"/>
        <v>60</v>
      </c>
      <c r="M189" s="313">
        <f t="shared" ref="M189" si="113">M68</f>
        <v>4</v>
      </c>
      <c r="N189" s="270">
        <f>1168+1000</f>
        <v>2168</v>
      </c>
      <c r="O189" s="3196">
        <v>41944</v>
      </c>
      <c r="AE189" s="835"/>
      <c r="AF189" s="835"/>
      <c r="AG189" s="835"/>
      <c r="AH189" s="835"/>
      <c r="AI189" s="835"/>
    </row>
    <row r="190" spans="4:35" s="229" customFormat="1" x14ac:dyDescent="0.2">
      <c r="D190" s="256"/>
      <c r="E190" s="257"/>
      <c r="F190" s="258"/>
      <c r="G190" s="259"/>
      <c r="H190" s="259"/>
      <c r="I190" s="260"/>
      <c r="J190" s="260"/>
      <c r="K190" s="227"/>
      <c r="L190" s="228"/>
      <c r="M190" s="261"/>
      <c r="AD190" s="839"/>
      <c r="AE190" s="839"/>
      <c r="AF190" s="839"/>
      <c r="AG190" s="839"/>
      <c r="AH190" s="839"/>
    </row>
    <row r="191" spans="4:35" s="4" customFormat="1" x14ac:dyDescent="0.2">
      <c r="D191" s="20" t="str">
        <f>'TRAD-Saisie données stocks'!B52</f>
        <v>Remarque</v>
      </c>
      <c r="E191" s="255" t="str">
        <f>'TRAD-Saisie données stocks'!B62</f>
        <v>Attention, pour le Kaletra, tenir compte du conditionnement primaire (nombre de flacons)</v>
      </c>
      <c r="AD191" s="835"/>
      <c r="AE191" s="835"/>
      <c r="AF191" s="835"/>
      <c r="AG191" s="835"/>
      <c r="AH191" s="835"/>
    </row>
    <row r="192" spans="4:35" s="4" customFormat="1" x14ac:dyDescent="0.2">
      <c r="D192" s="20"/>
      <c r="E192" s="255"/>
      <c r="AD192" s="835"/>
      <c r="AE192" s="835"/>
      <c r="AF192" s="835"/>
      <c r="AG192" s="835"/>
      <c r="AH192" s="835"/>
    </row>
    <row r="193" spans="30:34" s="4" customFormat="1" x14ac:dyDescent="0.2">
      <c r="AD193" s="835"/>
      <c r="AE193" s="835"/>
      <c r="AF193" s="835"/>
      <c r="AG193" s="835"/>
      <c r="AH193" s="835"/>
    </row>
  </sheetData>
  <sheetProtection password="D0E7" sheet="1" objects="1" scenarios="1"/>
  <dataConsolidate link="1">
    <dataRefs count="1">
      <dataRef name="'TRAD-Saisie données stocks'!$B$44"/>
    </dataRefs>
  </dataConsolidate>
  <mergeCells count="1">
    <mergeCell ref="P17:AC17"/>
  </mergeCells>
  <conditionalFormatting sqref="O14 J1:K10 H14:I15 J16:K75 J77:K1048576">
    <cfRule type="cellIs" dxfId="151" priority="13" operator="equal">
      <formula>0</formula>
    </cfRule>
  </conditionalFormatting>
  <conditionalFormatting sqref="Q19:Q59 S19:S59 U19:U59 W19:W59 AA19:AA59 AC19:AC59 Q61:Q68 S61:S68 U61:U68 W61:W68 Y19:Y68 AA61:AA68 AC61:AC68 O140:O180 O182:O189">
    <cfRule type="expression" dxfId="150" priority="3" stopIfTrue="1">
      <formula>$E$4="Anglais"</formula>
    </cfRule>
  </conditionalFormatting>
  <conditionalFormatting sqref="Q19:Q59 S19:S59 U19:U59 W19:W59 AA19:AA59 AC19:AC59 Q61:Q68 S61:S68 U61:U68 W61:W68 Y19:Y68 AA61:AA68 AC61:AC68 O140:O180 O182:O189">
    <cfRule type="expression" dxfId="149" priority="4" stopIfTrue="1">
      <formula>$E$4="Français"</formula>
    </cfRule>
  </conditionalFormatting>
  <conditionalFormatting sqref="P14">
    <cfRule type="expression" dxfId="148" priority="1" stopIfTrue="1">
      <formula>$E$4="Français"</formula>
    </cfRule>
    <cfRule type="expression" dxfId="147" priority="2" stopIfTrue="1">
      <formula>$E$4="Anglais"</formula>
    </cfRule>
  </conditionalFormatting>
  <dataValidations count="7">
    <dataValidation type="date" allowBlank="1" showInputMessage="1" showErrorMessage="1" sqref="O141:O144">
      <formula1>O16</formula1>
      <formula2>O16+10*365</formula2>
    </dataValidation>
    <dataValidation type="date" allowBlank="1" showInputMessage="1" showErrorMessage="1" sqref="O183:O186 O189">
      <formula1>O16</formula1>
      <formula2>O16+10*365</formula2>
    </dataValidation>
    <dataValidation type="date" allowBlank="1" showInputMessage="1" showErrorMessage="1" sqref="O148:O180">
      <formula1>O17</formula1>
      <formula2>O17+10*365</formula2>
    </dataValidation>
    <dataValidation type="date" allowBlank="1" showInputMessage="1" showErrorMessage="1" sqref="O145">
      <formula1>P10</formula1>
      <formula2>P10+10*365</formula2>
    </dataValidation>
    <dataValidation type="date" allowBlank="1" showInputMessage="1" showErrorMessage="1" sqref="O187">
      <formula1>P10</formula1>
      <formula2>P10+10*365</formula2>
    </dataValidation>
    <dataValidation type="list" allowBlank="1" showInputMessage="1" showErrorMessage="1" sqref="N13">
      <formula1>"OUI, NON"</formula1>
    </dataValidation>
    <dataValidation type="date" allowBlank="1" showInputMessage="1" showErrorMessage="1" sqref="O146:O147 O182 O140 O188">
      <formula1>#REF!</formula1>
      <formula2>#REF!+10*365</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'TRAD-Saisie données stocks'!$B$45:$B$46</xm:f>
          </x14:formula1>
          <xm:sqref>N10 N12 L76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sheetPr>
  <dimension ref="B1:U70"/>
  <sheetViews>
    <sheetView workbookViewId="0">
      <selection activeCell="B2" sqref="B2"/>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21" s="2586" customFormat="1" x14ac:dyDescent="0.2">
      <c r="B1" s="2586" t="s">
        <v>865</v>
      </c>
      <c r="D1" s="2586" t="s">
        <v>866</v>
      </c>
      <c r="F1" s="2586" t="s">
        <v>867</v>
      </c>
    </row>
    <row r="2" spans="2:21" s="2586" customFormat="1" x14ac:dyDescent="0.2">
      <c r="B2" s="2586" t="str">
        <f>IF(Présentation!$E$2="Français",'TRAD-Saisie données stocks'!D2,IF(Présentation!$E$2="Anglais",'TRAD-Saisie données stocks'!F2,""))</f>
        <v>Rappel de la langue choisie</v>
      </c>
      <c r="D2" s="2558" t="s">
        <v>2060</v>
      </c>
      <c r="F2" s="2558" t="s">
        <v>2061</v>
      </c>
    </row>
    <row r="3" spans="2:21" ht="38.25" x14ac:dyDescent="0.2">
      <c r="B3" s="2586" t="str">
        <f>IF(Présentation!$E$2="Français",'TRAD-Saisie données stocks'!D3,IF(Présentation!$E$2="Anglais",'TRAD-Saisie données stocks'!F3,""))</f>
        <v>Feuille SAISIE 2 - Saisie des données de stocks (centraux, périphériques ou commandes en cours)</v>
      </c>
      <c r="D3" s="2563" t="s">
        <v>670</v>
      </c>
      <c r="E3" s="2562"/>
      <c r="F3" s="2562" t="s">
        <v>1024</v>
      </c>
      <c r="G3" s="2562"/>
      <c r="H3" s="2562"/>
      <c r="I3" s="2553"/>
      <c r="J3" s="2553"/>
      <c r="K3" s="2553"/>
      <c r="L3" s="2553"/>
      <c r="M3" s="2553"/>
      <c r="N3" s="2553"/>
      <c r="O3" s="2553"/>
      <c r="P3" s="2553"/>
      <c r="Q3" s="2553"/>
      <c r="R3" s="2553"/>
      <c r="S3" s="2553"/>
      <c r="T3" s="2553"/>
      <c r="U3" s="2553"/>
    </row>
    <row r="4" spans="2:21" x14ac:dyDescent="0.2">
      <c r="B4" s="2586" t="str">
        <f>IF(Présentation!$E$2="Français",'TRAD-Saisie données stocks'!D4,IF(Présentation!$E$2="Anglais",'TRAD-Saisie données stocks'!F4,""))</f>
        <v>Etape 1 : Stocks disponibles</v>
      </c>
      <c r="D4" s="2562" t="s">
        <v>970</v>
      </c>
      <c r="F4" s="2553" t="s">
        <v>975</v>
      </c>
      <c r="G4" s="2553"/>
      <c r="H4" s="2553"/>
      <c r="I4" s="2553"/>
      <c r="J4" s="2553"/>
      <c r="K4" s="2553"/>
      <c r="L4" s="2553"/>
      <c r="M4" s="2553"/>
      <c r="N4" s="2553"/>
      <c r="O4" s="2553"/>
      <c r="P4" s="2553"/>
      <c r="Q4" s="2553"/>
      <c r="R4" s="2553"/>
      <c r="S4" s="2553"/>
      <c r="T4" s="2553"/>
      <c r="U4" s="2553"/>
    </row>
    <row r="5" spans="2:21" ht="38.25" x14ac:dyDescent="0.2">
      <c r="B5" s="2586" t="str">
        <f>IF(Présentation!$E$2="Français",'TRAD-Saisie données stocks'!D5,IF(Présentation!$E$2="Anglais",'TRAD-Saisie données stocks'!F5,""))</f>
        <v>A. Renseignez les stocks disponibles au niveau central et vérifier le volume des flacons de solutions buvables</v>
      </c>
      <c r="D5" s="2562" t="s">
        <v>971</v>
      </c>
      <c r="F5" s="2563" t="s">
        <v>978</v>
      </c>
      <c r="G5" s="2562"/>
      <c r="H5" s="2562"/>
      <c r="I5" s="2553"/>
      <c r="J5" s="2553"/>
      <c r="K5" s="2553"/>
      <c r="L5" s="2553"/>
      <c r="M5" s="2553"/>
      <c r="N5" s="2553"/>
      <c r="O5" s="2553"/>
      <c r="P5" s="2553"/>
      <c r="Q5" s="2553"/>
      <c r="R5" s="2553"/>
      <c r="S5" s="2553"/>
      <c r="T5" s="2553"/>
      <c r="U5" s="2553"/>
    </row>
    <row r="6" spans="2:21" ht="51" x14ac:dyDescent="0.2">
      <c r="B6" s="2586" t="str">
        <f>IF(Présentation!$E$2="Français",'TRAD-Saisie données stocks'!D6,IF(Présentation!$E$2="Anglais",'TRAD-Saisie données stocks'!F6,""))</f>
        <v>Souhaitez vous tenir compte des stocks disponibles UTILISABLES (quantités consommées avant la péremption) ? (Précisez OUI ou NON)</v>
      </c>
      <c r="D6" s="2553" t="s">
        <v>703</v>
      </c>
      <c r="F6" s="2562" t="s">
        <v>979</v>
      </c>
      <c r="G6" s="2562"/>
      <c r="H6" s="2562"/>
      <c r="I6" s="2553"/>
      <c r="J6" s="2553"/>
      <c r="K6" s="2553"/>
      <c r="L6" s="2553"/>
      <c r="M6" s="2553"/>
      <c r="N6" s="2553"/>
      <c r="O6" s="2553"/>
      <c r="P6" s="2553"/>
      <c r="Q6" s="2553"/>
      <c r="R6" s="2553"/>
      <c r="S6" s="2553"/>
      <c r="T6" s="2553"/>
      <c r="U6" s="2553"/>
    </row>
    <row r="7" spans="2:21" ht="63.75" x14ac:dyDescent="0.2">
      <c r="B7" s="2586" t="str">
        <f>IF(Présentation!$E$2="Français",'TRAD-Saisie données stocks'!D7,IF(Présentation!$E$2="Anglais",'TRAD-Saisie données stocks'!F7,""))</f>
        <v>Attention, l'estimation des stocks disponibles UTILISABLES ne sera pas effectuée si le détail des dates de péremption pour chaque produit n'est pas renseigné.</v>
      </c>
      <c r="D7" s="2553" t="s">
        <v>841</v>
      </c>
      <c r="F7" s="2553" t="s">
        <v>1684</v>
      </c>
      <c r="G7" s="2562"/>
      <c r="H7" s="2562"/>
      <c r="I7" s="2553"/>
      <c r="J7" s="2553"/>
      <c r="K7" s="2553"/>
      <c r="L7" s="2553"/>
      <c r="M7" s="2553"/>
      <c r="N7" s="2553"/>
      <c r="O7" s="2553"/>
      <c r="P7" s="2553"/>
      <c r="Q7" s="2553"/>
      <c r="R7" s="2553"/>
      <c r="S7" s="2553"/>
      <c r="T7" s="2553"/>
      <c r="U7" s="2553"/>
    </row>
    <row r="8" spans="2:21" ht="51" x14ac:dyDescent="0.2">
      <c r="B8" s="2586" t="str">
        <f>IF(Présentation!$E$2="Français",'TRAD-Saisie données stocks'!D8,IF(Présentation!$E$2="Anglais",'TRAD-Saisie données stocks'!F8,""))</f>
        <v>Si le détail de la répartition des quantités / DLU n'est pas complet, la mention "ATTENTION" apparait dans le tableau de droite.</v>
      </c>
      <c r="D8" s="2553" t="s">
        <v>702</v>
      </c>
      <c r="F8" s="2562" t="s">
        <v>1840</v>
      </c>
      <c r="G8" s="2562"/>
      <c r="H8" s="2562"/>
      <c r="I8" s="2553"/>
      <c r="J8" s="2553"/>
      <c r="K8" s="2553"/>
      <c r="L8" s="2553"/>
      <c r="M8" s="2553"/>
      <c r="N8" s="2553"/>
      <c r="O8" s="2553"/>
      <c r="P8" s="2553"/>
      <c r="Q8" s="2553"/>
      <c r="R8" s="2553"/>
      <c r="S8" s="2553"/>
      <c r="T8" s="2553"/>
      <c r="U8" s="2553"/>
    </row>
    <row r="9" spans="2:21" ht="63.75" x14ac:dyDescent="0.2">
      <c r="B9" s="2586" t="str">
        <f>IF(Présentation!$E$2="Français",'TRAD-Saisie données stocks'!D9,IF(Présentation!$E$2="Anglais",'TRAD-Saisie données stocks'!F9,""))</f>
        <v>En l'absence de renseignement d'informations précises sur les DLU, merci de préciser ci-dessous la durée maximale d'utilisation avant péremption que vous voulez prendre en compte.</v>
      </c>
      <c r="D9" s="2553" t="s">
        <v>460</v>
      </c>
      <c r="F9" s="2553" t="s">
        <v>1698</v>
      </c>
      <c r="G9" s="2553"/>
      <c r="H9" s="2553"/>
      <c r="I9" s="2553"/>
      <c r="J9" s="2553"/>
      <c r="K9" s="2553"/>
      <c r="L9" s="2553"/>
      <c r="M9" s="2553"/>
      <c r="N9" s="2553"/>
      <c r="O9" s="2553"/>
      <c r="P9" s="2553"/>
      <c r="Q9" s="2553"/>
      <c r="R9" s="2553"/>
      <c r="S9" s="2553"/>
      <c r="T9" s="2553"/>
      <c r="U9" s="2553"/>
    </row>
    <row r="10" spans="2:21" x14ac:dyDescent="0.2">
      <c r="B10" s="2586" t="str">
        <f>IF(Présentation!$E$2="Français",'TRAD-Saisie données stocks'!D10,IF(Présentation!$E$2="Anglais",'TRAD-Saisie données stocks'!F10,""))</f>
        <v>Lexique</v>
      </c>
      <c r="D10" s="2553" t="s">
        <v>842</v>
      </c>
      <c r="F10" s="2553" t="s">
        <v>976</v>
      </c>
      <c r="G10" s="2553"/>
      <c r="H10" s="2553"/>
      <c r="I10" s="2553"/>
      <c r="J10" s="2553"/>
      <c r="K10" s="2553"/>
      <c r="L10" s="2553"/>
      <c r="M10" s="2553"/>
      <c r="N10" s="2553"/>
      <c r="O10" s="2553"/>
      <c r="P10" s="2553"/>
      <c r="Q10" s="2553"/>
      <c r="R10" s="2553"/>
      <c r="S10" s="2553"/>
      <c r="T10" s="2553"/>
      <c r="U10" s="2553"/>
    </row>
    <row r="11" spans="2:21" x14ac:dyDescent="0.2">
      <c r="B11" s="2586" t="str">
        <f>IF(Présentation!$E$2="Français",'TRAD-Saisie données stocks'!D11,IF(Présentation!$E$2="Anglais",'TRAD-Saisie données stocks'!F11,""))</f>
        <v>DLU = Date limite d'Utilisation</v>
      </c>
      <c r="D11" s="2553" t="s">
        <v>415</v>
      </c>
      <c r="F11" s="2553" t="s">
        <v>1699</v>
      </c>
      <c r="G11" s="2553"/>
      <c r="H11" s="2553"/>
      <c r="I11" s="2553"/>
      <c r="J11" s="2553"/>
      <c r="K11" s="2553"/>
      <c r="L11" s="2553"/>
      <c r="M11" s="2553"/>
      <c r="N11" s="2553"/>
      <c r="O11" s="2553"/>
      <c r="P11" s="2553"/>
      <c r="Q11" s="2553"/>
      <c r="R11" s="2553"/>
      <c r="S11" s="2553"/>
      <c r="T11" s="2553"/>
      <c r="U11" s="2553"/>
    </row>
    <row r="12" spans="2:21" x14ac:dyDescent="0.2">
      <c r="B12" s="2586" t="str">
        <f>IF(Présentation!$E$2="Français",'TRAD-Saisie données stocks'!D12,IF(Présentation!$E$2="Anglais",'TRAD-Saisie données stocks'!F12,""))</f>
        <v>MOIS</v>
      </c>
      <c r="D12" s="2553" t="s">
        <v>451</v>
      </c>
      <c r="F12" s="2553" t="s">
        <v>977</v>
      </c>
      <c r="G12" s="2553"/>
      <c r="H12" s="2553"/>
      <c r="I12" s="2553"/>
      <c r="J12" s="2553"/>
      <c r="K12" s="2553"/>
      <c r="L12" s="2553"/>
      <c r="M12" s="2553"/>
      <c r="N12" s="2553"/>
      <c r="O12" s="2553"/>
      <c r="P12" s="2553"/>
      <c r="Q12" s="2553"/>
      <c r="R12" s="2553"/>
      <c r="S12" s="2553"/>
      <c r="T12" s="2553"/>
      <c r="U12" s="2553"/>
    </row>
    <row r="13" spans="2:21" x14ac:dyDescent="0.2">
      <c r="B13" s="2586" t="str">
        <f>IF(Présentation!$E$2="Français",'TRAD-Saisie données stocks'!D13,IF(Présentation!$E$2="Anglais",'TRAD-Saisie données stocks'!F13,""))</f>
        <v>Composition</v>
      </c>
      <c r="D13" s="2562" t="s">
        <v>12</v>
      </c>
      <c r="F13" s="2553" t="s">
        <v>12</v>
      </c>
      <c r="G13" s="2553"/>
      <c r="H13" s="2553"/>
      <c r="I13" s="2553"/>
      <c r="J13" s="2553"/>
      <c r="K13" s="2562"/>
      <c r="L13" s="2553"/>
      <c r="M13" s="2553"/>
      <c r="N13" s="2553"/>
      <c r="O13" s="2553"/>
      <c r="P13" s="2553"/>
      <c r="Q13" s="2553"/>
      <c r="R13" s="2553"/>
      <c r="S13" s="2553"/>
      <c r="T13" s="2553"/>
      <c r="U13" s="2553"/>
    </row>
    <row r="14" spans="2:21" x14ac:dyDescent="0.2">
      <c r="B14" s="2586" t="str">
        <f>IF(Présentation!$E$2="Français",'TRAD-Saisie données stocks'!D14,IF(Présentation!$E$2="Anglais",'TRAD-Saisie données stocks'!F14,""))</f>
        <v>Forme galénique</v>
      </c>
      <c r="D14" s="2562" t="s">
        <v>13</v>
      </c>
      <c r="F14" s="2553" t="s">
        <v>980</v>
      </c>
      <c r="G14" s="2553"/>
      <c r="H14" s="2553"/>
      <c r="I14" s="2553"/>
      <c r="J14" s="2553"/>
      <c r="K14" s="2553"/>
      <c r="L14" s="2553"/>
      <c r="M14" s="2553"/>
      <c r="N14" s="2553"/>
      <c r="O14" s="2553"/>
      <c r="P14" s="2553"/>
      <c r="Q14" s="2553"/>
      <c r="R14" s="2553"/>
      <c r="S14" s="2553"/>
      <c r="T14" s="2553"/>
      <c r="U14" s="2553"/>
    </row>
    <row r="15" spans="2:21" x14ac:dyDescent="0.2">
      <c r="B15" s="2586" t="str">
        <f>IF(Présentation!$E$2="Français",'TRAD-Saisie données stocks'!D15,IF(Présentation!$E$2="Anglais",'TRAD-Saisie données stocks'!F15,""))</f>
        <v>Dosage</v>
      </c>
      <c r="D15" s="2562" t="s">
        <v>14</v>
      </c>
      <c r="F15" s="2553" t="s">
        <v>981</v>
      </c>
      <c r="G15" s="2553"/>
      <c r="H15" s="2553"/>
      <c r="I15" s="2553"/>
      <c r="J15" s="2553"/>
      <c r="K15" s="2553"/>
      <c r="L15" s="2553"/>
      <c r="M15" s="2553"/>
      <c r="N15" s="2553"/>
      <c r="O15" s="2553"/>
      <c r="P15" s="2553"/>
      <c r="Q15" s="2553"/>
      <c r="R15" s="2553"/>
      <c r="S15" s="2553"/>
      <c r="T15" s="2553"/>
      <c r="U15" s="2553"/>
    </row>
    <row r="16" spans="2:21" x14ac:dyDescent="0.2">
      <c r="B16" s="2586" t="str">
        <f>IF(Présentation!$E$2="Français",'TRAD-Saisie données stocks'!D16,IF(Présentation!$E$2="Anglais",'TRAD-Saisie données stocks'!F16,""))</f>
        <v>DCI</v>
      </c>
      <c r="D16" s="2562" t="s">
        <v>318</v>
      </c>
      <c r="F16" s="2553" t="s">
        <v>982</v>
      </c>
      <c r="G16" s="2553"/>
      <c r="H16" s="2553"/>
      <c r="I16" s="2553"/>
      <c r="J16" s="2553"/>
      <c r="K16" s="2553"/>
      <c r="L16" s="2553"/>
      <c r="M16" s="2553"/>
      <c r="N16" s="2553"/>
      <c r="O16" s="2553"/>
      <c r="P16" s="2553"/>
      <c r="Q16" s="2553"/>
      <c r="R16" s="2553"/>
      <c r="S16" s="2553"/>
      <c r="T16" s="2553"/>
      <c r="U16" s="2553"/>
    </row>
    <row r="17" spans="2:21" x14ac:dyDescent="0.2">
      <c r="B17" s="2586" t="str">
        <f>IF(Présentation!$E$2="Français",'TRAD-Saisie données stocks'!D17,IF(Présentation!$E$2="Anglais",'TRAD-Saisie données stocks'!F17,""))</f>
        <v>Nom de spécialité</v>
      </c>
      <c r="D17" s="2562" t="s">
        <v>75</v>
      </c>
      <c r="F17" s="2553" t="s">
        <v>983</v>
      </c>
      <c r="G17" s="2553"/>
      <c r="H17" s="2553"/>
      <c r="I17" s="2553"/>
      <c r="J17" s="2553"/>
      <c r="K17" s="2553"/>
      <c r="L17" s="2553"/>
      <c r="M17" s="2553"/>
      <c r="N17" s="2553"/>
      <c r="O17" s="2553"/>
      <c r="P17" s="2553"/>
      <c r="Q17" s="2553"/>
      <c r="R17" s="2553"/>
      <c r="S17" s="2553"/>
      <c r="T17" s="2553"/>
      <c r="U17" s="2553"/>
    </row>
    <row r="18" spans="2:21" x14ac:dyDescent="0.2">
      <c r="B18" s="2586" t="str">
        <f>IF(Présentation!$E$2="Français",'TRAD-Saisie données stocks'!D18,IF(Présentation!$E$2="Anglais",'TRAD-Saisie données stocks'!F18,""))</f>
        <v>Nom de générique possible</v>
      </c>
      <c r="D18" s="2562" t="s">
        <v>95</v>
      </c>
      <c r="F18" s="2553" t="s">
        <v>984</v>
      </c>
      <c r="G18" s="2553"/>
      <c r="H18" s="2553"/>
      <c r="I18" s="2553"/>
      <c r="J18" s="2553"/>
      <c r="K18" s="2553"/>
      <c r="L18" s="2553"/>
      <c r="M18" s="2553"/>
      <c r="N18" s="2553"/>
      <c r="O18" s="2553"/>
      <c r="P18" s="2553"/>
      <c r="Q18" s="2553"/>
      <c r="R18" s="2553"/>
      <c r="S18" s="2553"/>
      <c r="T18" s="2553"/>
      <c r="U18" s="2553"/>
    </row>
    <row r="19" spans="2:21" x14ac:dyDescent="0.2">
      <c r="B19" s="2586" t="str">
        <f>IF(Présentation!$E$2="Français",'TRAD-Saisie données stocks'!D19,IF(Présentation!$E$2="Anglais",'TRAD-Saisie données stocks'!F19,""))</f>
        <v>Conditionnement</v>
      </c>
      <c r="D19" s="2562" t="s">
        <v>96</v>
      </c>
      <c r="F19" s="2553" t="s">
        <v>986</v>
      </c>
      <c r="G19" s="2553"/>
      <c r="H19" s="2553"/>
      <c r="I19" s="2553"/>
      <c r="J19" s="2553"/>
      <c r="K19" s="2553"/>
      <c r="L19" s="2553"/>
      <c r="M19" s="2553"/>
      <c r="N19" s="2553"/>
      <c r="O19" s="2553"/>
      <c r="P19" s="2553"/>
      <c r="Q19" s="2553"/>
      <c r="R19" s="2553"/>
      <c r="S19" s="2553"/>
      <c r="T19" s="2553"/>
      <c r="U19" s="2553"/>
    </row>
    <row r="20" spans="2:21" x14ac:dyDescent="0.2">
      <c r="B20" s="2586" t="str">
        <f>IF(Présentation!$E$2="Français",'TRAD-Saisie données stocks'!D20,IF(Présentation!$E$2="Anglais",'TRAD-Saisie données stocks'!F20,""))</f>
        <v>Quantités en stock en nombre de boites</v>
      </c>
      <c r="D20" s="2553" t="s">
        <v>120</v>
      </c>
      <c r="F20" s="2553" t="s">
        <v>985</v>
      </c>
      <c r="G20" s="2553"/>
      <c r="H20" s="2553"/>
      <c r="I20" s="2553"/>
      <c r="J20" s="2553"/>
      <c r="K20" s="2553"/>
      <c r="L20" s="2553"/>
      <c r="M20" s="2553"/>
      <c r="N20" s="2553"/>
      <c r="O20" s="2553"/>
      <c r="P20" s="2553"/>
      <c r="Q20" s="2553"/>
      <c r="R20" s="2553"/>
      <c r="S20" s="2553"/>
      <c r="T20" s="2553"/>
      <c r="U20" s="2553"/>
    </row>
    <row r="21" spans="2:21" ht="25.5" x14ac:dyDescent="0.2">
      <c r="B21" s="2586" t="str">
        <f>IF(Présentation!$E$2="Français",'TRAD-Saisie données stocks'!D21,IF(Présentation!$E$2="Anglais",'TRAD-Saisie données stocks'!F21,""))</f>
        <v>Détail des dates de péremption et des quantités</v>
      </c>
      <c r="D21" s="2562" t="s">
        <v>301</v>
      </c>
      <c r="F21" s="2562" t="s">
        <v>987</v>
      </c>
      <c r="G21" s="2562"/>
      <c r="H21" s="2562"/>
      <c r="I21" s="2562"/>
      <c r="J21" s="2562"/>
      <c r="K21" s="2562"/>
      <c r="L21" s="2562"/>
      <c r="M21" s="2562"/>
      <c r="N21" s="2562"/>
      <c r="O21" s="2562"/>
      <c r="P21" s="2562"/>
      <c r="Q21" s="2562"/>
      <c r="R21" s="2562"/>
      <c r="S21" s="2553"/>
      <c r="T21" s="2553"/>
      <c r="U21" s="2553"/>
    </row>
    <row r="22" spans="2:21" x14ac:dyDescent="0.2">
      <c r="B22" s="2586" t="str">
        <f>IF(Présentation!$E$2="Français",'TRAD-Saisie données stocks'!D22,IF(Présentation!$E$2="Anglais",'TRAD-Saisie données stocks'!F22,""))</f>
        <v>Alerte Le détail / DLU est incomplet</v>
      </c>
      <c r="D22" s="2562" t="s">
        <v>414</v>
      </c>
      <c r="F22" s="2553" t="s">
        <v>1700</v>
      </c>
      <c r="G22" s="2553"/>
      <c r="H22" s="2553"/>
      <c r="I22" s="2553"/>
      <c r="J22" s="2553"/>
      <c r="K22" s="2553"/>
      <c r="L22" s="2553"/>
      <c r="M22" s="2553"/>
      <c r="N22" s="2553"/>
      <c r="O22" s="2553"/>
      <c r="P22" s="2553"/>
      <c r="Q22" s="2553"/>
      <c r="R22" s="2553"/>
      <c r="S22" s="2553"/>
      <c r="T22" s="2553"/>
      <c r="U22" s="2553"/>
    </row>
    <row r="23" spans="2:21" ht="25.5" x14ac:dyDescent="0.2">
      <c r="B23" s="2586" t="str">
        <f>IF(Présentation!$E$2="Français",'TRAD-Saisie données stocks'!D23,IF(Présentation!$E$2="Anglais",'TRAD-Saisie données stocks'!F23,""))</f>
        <v>Date de péremption 
1</v>
      </c>
      <c r="D23" s="2562" t="s">
        <v>302</v>
      </c>
      <c r="F23" s="2553" t="s">
        <v>1025</v>
      </c>
      <c r="G23" s="2553"/>
      <c r="H23" s="2553"/>
      <c r="I23" s="2553"/>
      <c r="J23" s="2553"/>
      <c r="K23" s="2553"/>
      <c r="L23" s="2553"/>
      <c r="M23" s="2553"/>
      <c r="N23" s="2553"/>
      <c r="O23" s="2553"/>
      <c r="P23" s="2553"/>
      <c r="Q23" s="2553"/>
      <c r="R23" s="2553"/>
      <c r="S23" s="2553"/>
      <c r="T23" s="2553"/>
      <c r="U23" s="2553"/>
    </row>
    <row r="24" spans="2:21" ht="38.25" x14ac:dyDescent="0.2">
      <c r="B24" s="2586" t="str">
        <f>IF(Présentation!$E$2="Français",'TRAD-Saisie données stocks'!D24,IF(Présentation!$E$2="Anglais",'TRAD-Saisie données stocks'!F24,""))</f>
        <v>Quantités (nb de boites) 1
1</v>
      </c>
      <c r="D24" s="2562" t="s">
        <v>990</v>
      </c>
      <c r="F24" s="2553" t="s">
        <v>1688</v>
      </c>
      <c r="G24" s="2553"/>
      <c r="H24" s="2553"/>
      <c r="I24" s="2553"/>
      <c r="J24" s="2553"/>
      <c r="K24" s="2553"/>
      <c r="L24" s="2553"/>
      <c r="M24" s="2553"/>
      <c r="N24" s="2553"/>
      <c r="O24" s="2553"/>
      <c r="P24" s="2553"/>
      <c r="Q24" s="2553"/>
      <c r="R24" s="2553"/>
      <c r="S24" s="2553"/>
      <c r="T24" s="2553"/>
      <c r="U24" s="2553"/>
    </row>
    <row r="25" spans="2:21" ht="25.5" x14ac:dyDescent="0.2">
      <c r="B25" s="2586" t="str">
        <f>IF(Présentation!$E$2="Français",'TRAD-Saisie données stocks'!D25,IF(Présentation!$E$2="Anglais",'TRAD-Saisie données stocks'!F25,""))</f>
        <v xml:space="preserve">Date de péremption 2
</v>
      </c>
      <c r="D25" s="2562" t="s">
        <v>988</v>
      </c>
      <c r="F25" s="2553" t="s">
        <v>989</v>
      </c>
      <c r="G25" s="2553"/>
      <c r="H25" s="2553"/>
      <c r="I25" s="2553"/>
      <c r="J25" s="2553"/>
      <c r="K25" s="2553"/>
      <c r="L25" s="2553"/>
      <c r="M25" s="2553"/>
      <c r="N25" s="2553"/>
      <c r="O25" s="2553"/>
      <c r="P25" s="2553"/>
      <c r="Q25" s="2553"/>
      <c r="R25" s="2553"/>
      <c r="S25" s="2553"/>
      <c r="T25" s="2553"/>
      <c r="U25" s="2553"/>
    </row>
    <row r="26" spans="2:21" ht="25.5" x14ac:dyDescent="0.2">
      <c r="B26" s="2586" t="str">
        <f>IF(Présentation!$E$2="Français",'TRAD-Saisie données stocks'!D26,IF(Présentation!$E$2="Anglais",'TRAD-Saisie données stocks'!F26,""))</f>
        <v>Quantités (nb de boites) 2</v>
      </c>
      <c r="D26" s="2562" t="s">
        <v>991</v>
      </c>
      <c r="F26" s="2553" t="s">
        <v>1689</v>
      </c>
      <c r="G26" s="2553"/>
      <c r="H26" s="2553"/>
      <c r="I26" s="2553"/>
      <c r="J26" s="2553"/>
      <c r="K26" s="2553"/>
      <c r="L26" s="2553"/>
      <c r="M26" s="2553"/>
      <c r="N26" s="2553"/>
      <c r="O26" s="2553"/>
      <c r="P26" s="2553"/>
      <c r="Q26" s="2553"/>
      <c r="R26" s="2553"/>
      <c r="S26" s="2553"/>
      <c r="T26" s="2553"/>
      <c r="U26" s="2553"/>
    </row>
    <row r="27" spans="2:21" ht="25.5" x14ac:dyDescent="0.2">
      <c r="B27" s="2586" t="str">
        <f>IF(Présentation!$E$2="Français",'TRAD-Saisie données stocks'!D27,IF(Présentation!$E$2="Anglais",'TRAD-Saisie données stocks'!F27,""))</f>
        <v>Date de péremption 3
3</v>
      </c>
      <c r="D27" s="2562" t="s">
        <v>992</v>
      </c>
      <c r="F27" s="2553" t="s">
        <v>993</v>
      </c>
      <c r="G27" s="2553"/>
      <c r="H27" s="2553"/>
      <c r="I27" s="2553"/>
      <c r="J27" s="2553"/>
      <c r="K27" s="2553"/>
      <c r="L27" s="2553"/>
      <c r="M27" s="2553"/>
      <c r="N27" s="2553"/>
      <c r="O27" s="2553"/>
      <c r="P27" s="2553"/>
      <c r="Q27" s="2553"/>
      <c r="R27" s="2553"/>
      <c r="S27" s="2553"/>
      <c r="T27" s="2553"/>
      <c r="U27" s="2553"/>
    </row>
    <row r="28" spans="2:21" x14ac:dyDescent="0.2">
      <c r="B28" s="2586" t="str">
        <f>IF(Présentation!$E$2="Français",'TRAD-Saisie données stocks'!D28,IF(Présentation!$E$2="Anglais",'TRAD-Saisie données stocks'!F28,""))</f>
        <v>Quantités (nb de boites) 3</v>
      </c>
      <c r="D28" s="2562" t="s">
        <v>994</v>
      </c>
      <c r="F28" s="2553" t="s">
        <v>1686</v>
      </c>
      <c r="G28" s="2553"/>
      <c r="H28" s="2553"/>
      <c r="I28" s="2553"/>
      <c r="J28" s="2553"/>
      <c r="K28" s="2553"/>
      <c r="L28" s="2553"/>
      <c r="M28" s="2553"/>
      <c r="N28" s="2553"/>
      <c r="O28" s="2553"/>
      <c r="P28" s="2553"/>
      <c r="Q28" s="2553"/>
      <c r="R28" s="2553"/>
      <c r="S28" s="2553"/>
      <c r="T28" s="2553"/>
      <c r="U28" s="2553"/>
    </row>
    <row r="29" spans="2:21" ht="25.5" x14ac:dyDescent="0.2">
      <c r="B29" s="2586" t="str">
        <f>IF(Présentation!$E$2="Français",'TRAD-Saisie données stocks'!D29,IF(Présentation!$E$2="Anglais",'TRAD-Saisie données stocks'!F29,""))</f>
        <v xml:space="preserve">Date de péremption 4
</v>
      </c>
      <c r="D29" s="2562" t="s">
        <v>996</v>
      </c>
      <c r="F29" s="2553" t="s">
        <v>995</v>
      </c>
      <c r="G29" s="2553"/>
      <c r="H29" s="2553"/>
      <c r="I29" s="2553"/>
      <c r="J29" s="2553"/>
      <c r="K29" s="2553"/>
      <c r="L29" s="2553"/>
      <c r="M29" s="2553"/>
      <c r="N29" s="2553"/>
      <c r="O29" s="2553"/>
      <c r="P29" s="2553"/>
      <c r="Q29" s="2553"/>
      <c r="R29" s="2553"/>
      <c r="S29" s="2553"/>
      <c r="T29" s="2553"/>
      <c r="U29" s="2553"/>
    </row>
    <row r="30" spans="2:21" ht="25.5" x14ac:dyDescent="0.2">
      <c r="B30" s="2586" t="str">
        <f>IF(Présentation!$E$2="Français",'TRAD-Saisie données stocks'!D30,IF(Présentation!$E$2="Anglais",'TRAD-Saisie données stocks'!F30,""))</f>
        <v>Quantités (nb de boites) 4</v>
      </c>
      <c r="D30" s="2562" t="s">
        <v>998</v>
      </c>
      <c r="F30" s="2553" t="s">
        <v>1690</v>
      </c>
      <c r="G30" s="2553"/>
      <c r="H30" s="2553"/>
      <c r="I30" s="2553"/>
      <c r="J30" s="2553"/>
      <c r="K30" s="2553"/>
      <c r="L30" s="2553"/>
      <c r="M30" s="2553"/>
      <c r="N30" s="2553"/>
      <c r="O30" s="2553"/>
      <c r="P30" s="2553"/>
      <c r="Q30" s="2553"/>
      <c r="R30" s="2553"/>
      <c r="S30" s="2553"/>
      <c r="T30" s="2553"/>
      <c r="U30" s="2553"/>
    </row>
    <row r="31" spans="2:21" ht="25.5" x14ac:dyDescent="0.2">
      <c r="B31" s="2586" t="str">
        <f>IF(Présentation!$E$2="Français",'TRAD-Saisie données stocks'!D31,IF(Présentation!$E$2="Anglais",'TRAD-Saisie données stocks'!F31,""))</f>
        <v xml:space="preserve">Date de péremption 5
</v>
      </c>
      <c r="D31" s="2562" t="s">
        <v>1002</v>
      </c>
      <c r="F31" s="2553" t="s">
        <v>999</v>
      </c>
      <c r="G31" s="2553"/>
      <c r="H31" s="2553"/>
      <c r="I31" s="2553"/>
      <c r="J31" s="2553"/>
      <c r="K31" s="2553"/>
      <c r="L31" s="2553"/>
      <c r="M31" s="2553"/>
      <c r="N31" s="2553"/>
      <c r="O31" s="2553"/>
      <c r="P31" s="2553"/>
      <c r="Q31" s="2553"/>
      <c r="R31" s="2553"/>
      <c r="S31" s="2553"/>
      <c r="T31" s="2553"/>
      <c r="U31" s="2553"/>
    </row>
    <row r="32" spans="2:21" ht="25.5" x14ac:dyDescent="0.2">
      <c r="B32" s="2586" t="str">
        <f>IF(Présentation!$E$2="Français",'TRAD-Saisie données stocks'!D32,IF(Présentation!$E$2="Anglais",'TRAD-Saisie données stocks'!F32,""))</f>
        <v>Quantités (nb de boites) 5</v>
      </c>
      <c r="D32" s="2562" t="s">
        <v>997</v>
      </c>
      <c r="F32" s="2553" t="s">
        <v>1687</v>
      </c>
      <c r="G32" s="2553"/>
      <c r="H32" s="2553"/>
      <c r="I32" s="2553"/>
      <c r="J32" s="2553"/>
      <c r="K32" s="2553"/>
      <c r="L32" s="2553"/>
      <c r="M32" s="2553"/>
      <c r="N32" s="2553"/>
      <c r="O32" s="2553"/>
      <c r="P32" s="2553"/>
      <c r="Q32" s="2553"/>
      <c r="R32" s="2553"/>
      <c r="S32" s="2553"/>
      <c r="T32" s="2553"/>
      <c r="U32" s="2553"/>
    </row>
    <row r="33" spans="2:21" ht="25.5" x14ac:dyDescent="0.2">
      <c r="B33" s="2586" t="str">
        <f>IF(Présentation!$E$2="Français",'TRAD-Saisie données stocks'!D33,IF(Présentation!$E$2="Anglais",'TRAD-Saisie données stocks'!F33,""))</f>
        <v>Date de péremption 6</v>
      </c>
      <c r="D33" s="2562" t="s">
        <v>1000</v>
      </c>
      <c r="F33" s="2553" t="s">
        <v>1001</v>
      </c>
      <c r="G33" s="2553"/>
      <c r="H33" s="2553"/>
      <c r="I33" s="2553"/>
      <c r="J33" s="2553"/>
      <c r="K33" s="2553"/>
      <c r="L33" s="2553"/>
      <c r="M33" s="2553"/>
      <c r="N33" s="2553"/>
      <c r="O33" s="2553"/>
      <c r="P33" s="2553"/>
      <c r="Q33" s="2553"/>
      <c r="R33" s="2553"/>
      <c r="S33" s="2553"/>
      <c r="T33" s="2553"/>
      <c r="U33" s="2553"/>
    </row>
    <row r="34" spans="2:21" x14ac:dyDescent="0.2">
      <c r="B34" s="2586" t="str">
        <f>IF(Présentation!$E$2="Français",'TRAD-Saisie données stocks'!D34,IF(Présentation!$E$2="Anglais",'TRAD-Saisie données stocks'!F34,""))</f>
        <v>Quantités (nb de boites) 6</v>
      </c>
      <c r="D34" s="2562" t="s">
        <v>1004</v>
      </c>
      <c r="F34" s="2553" t="s">
        <v>1691</v>
      </c>
      <c r="G34" s="2553"/>
      <c r="H34" s="2553"/>
      <c r="I34" s="2553"/>
      <c r="J34" s="2553"/>
      <c r="K34" s="2553"/>
      <c r="L34" s="2553"/>
      <c r="M34" s="2553"/>
      <c r="N34" s="2553"/>
      <c r="O34" s="2553"/>
      <c r="P34" s="2553"/>
      <c r="Q34" s="2553"/>
      <c r="R34" s="2553"/>
      <c r="S34" s="2553"/>
      <c r="T34" s="2553"/>
      <c r="U34" s="2553"/>
    </row>
    <row r="35" spans="2:21" ht="25.5" x14ac:dyDescent="0.2">
      <c r="B35" s="2586" t="str">
        <f>IF(Présentation!$E$2="Français",'TRAD-Saisie données stocks'!D35,IF(Présentation!$E$2="Anglais",'TRAD-Saisie données stocks'!F35,""))</f>
        <v>Date de péremption 7</v>
      </c>
      <c r="D35" s="2562" t="s">
        <v>1005</v>
      </c>
      <c r="F35" s="2553" t="s">
        <v>1006</v>
      </c>
      <c r="G35" s="2553"/>
      <c r="H35" s="2553"/>
      <c r="I35" s="2553"/>
      <c r="J35" s="2553"/>
      <c r="K35" s="2553"/>
      <c r="L35" s="2553"/>
      <c r="M35" s="2553"/>
      <c r="N35" s="2553"/>
      <c r="O35" s="2553"/>
      <c r="P35" s="2553"/>
      <c r="Q35" s="2553"/>
      <c r="R35" s="2553"/>
      <c r="S35" s="2553"/>
      <c r="T35" s="2553"/>
      <c r="U35" s="2553"/>
    </row>
    <row r="36" spans="2:21" ht="25.5" x14ac:dyDescent="0.2">
      <c r="B36" s="2586" t="str">
        <f>IF(Présentation!$E$2="Français",'TRAD-Saisie données stocks'!D36,IF(Présentation!$E$2="Anglais",'TRAD-Saisie données stocks'!F36,""))</f>
        <v>Quantités (nb de boites) 7</v>
      </c>
      <c r="D36" s="2562" t="s">
        <v>1003</v>
      </c>
      <c r="F36" s="2553" t="s">
        <v>1692</v>
      </c>
      <c r="G36" s="2553"/>
      <c r="H36" s="2553"/>
      <c r="I36" s="2553"/>
      <c r="J36" s="2553"/>
      <c r="K36" s="2553"/>
      <c r="L36" s="2553"/>
      <c r="M36" s="2553"/>
      <c r="N36" s="2553"/>
      <c r="O36" s="2553"/>
      <c r="P36" s="2553"/>
      <c r="Q36" s="2553"/>
      <c r="R36" s="2553"/>
      <c r="S36" s="2553"/>
      <c r="T36" s="2553"/>
      <c r="U36" s="2553"/>
    </row>
    <row r="37" spans="2:21" x14ac:dyDescent="0.2">
      <c r="B37" s="2586" t="str">
        <f>IF(Présentation!$E$2="Français",'TRAD-Saisie données stocks'!D37,IF(Présentation!$E$2="Anglais",'TRAD-Saisie données stocks'!F37,""))</f>
        <v>Comprimés</v>
      </c>
      <c r="D37" s="2562" t="s">
        <v>97</v>
      </c>
      <c r="F37" s="2553" t="s">
        <v>1007</v>
      </c>
      <c r="G37" s="2553"/>
      <c r="H37" s="2553"/>
      <c r="I37" s="2553"/>
      <c r="J37" s="2553"/>
      <c r="K37" s="2553"/>
      <c r="L37" s="2553"/>
      <c r="M37" s="2553"/>
      <c r="N37" s="2553"/>
      <c r="O37" s="2553"/>
      <c r="P37" s="2553"/>
      <c r="Q37" s="2553"/>
      <c r="R37" s="2553"/>
      <c r="S37" s="2553"/>
      <c r="T37" s="2553"/>
      <c r="U37" s="2553"/>
    </row>
    <row r="38" spans="2:21" x14ac:dyDescent="0.2">
      <c r="B38" s="2586" t="str">
        <f>IF(Présentation!$E$2="Français",'TRAD-Saisie données stocks'!D38,IF(Présentation!$E$2="Anglais",'TRAD-Saisie données stocks'!F38,""))</f>
        <v>CDF</v>
      </c>
      <c r="D38" s="2562" t="s">
        <v>15</v>
      </c>
      <c r="F38" s="2553" t="s">
        <v>326</v>
      </c>
      <c r="G38" s="2553"/>
      <c r="H38" s="2553"/>
      <c r="I38" s="2553"/>
      <c r="J38" s="2553"/>
      <c r="K38" s="2553"/>
      <c r="L38" s="2553"/>
      <c r="M38" s="2553"/>
      <c r="N38" s="2553"/>
      <c r="O38" s="2553"/>
      <c r="P38" s="2553"/>
      <c r="Q38" s="2553"/>
      <c r="R38" s="2553"/>
      <c r="S38" s="2553"/>
      <c r="T38" s="2553"/>
      <c r="U38" s="2553"/>
    </row>
    <row r="39" spans="2:21" x14ac:dyDescent="0.2">
      <c r="B39" s="2586" t="str">
        <f>IF(Présentation!$E$2="Français",'TRAD-Saisie données stocks'!D39,IF(Présentation!$E$2="Anglais",'TRAD-Saisie données stocks'!F39,""))</f>
        <v>INTI</v>
      </c>
      <c r="D39" s="2562" t="s">
        <v>1973</v>
      </c>
      <c r="F39" s="2553" t="s">
        <v>31</v>
      </c>
      <c r="G39" s="2553"/>
      <c r="H39" s="2553"/>
      <c r="I39" s="2553"/>
      <c r="J39" s="2553"/>
      <c r="K39" s="2553"/>
      <c r="L39" s="2553"/>
      <c r="M39" s="2553"/>
      <c r="N39" s="2553"/>
      <c r="O39" s="2553"/>
      <c r="P39" s="2553"/>
      <c r="Q39" s="2553"/>
      <c r="R39" s="2553"/>
      <c r="S39" s="2553"/>
      <c r="T39" s="2553"/>
      <c r="U39" s="2553"/>
    </row>
    <row r="40" spans="2:21" x14ac:dyDescent="0.2">
      <c r="B40" s="2586" t="str">
        <f>IF(Présentation!$E$2="Français",'TRAD-Saisie données stocks'!D40,IF(Présentation!$E$2="Anglais",'TRAD-Saisie données stocks'!F40,""))</f>
        <v>INNTI</v>
      </c>
      <c r="D40" s="2562" t="s">
        <v>1974</v>
      </c>
      <c r="F40" s="2553" t="s">
        <v>26</v>
      </c>
      <c r="G40" s="2553"/>
      <c r="H40" s="2553"/>
      <c r="I40" s="2553"/>
      <c r="J40" s="2553"/>
      <c r="K40" s="2553"/>
      <c r="L40" s="2553"/>
      <c r="M40" s="2553"/>
      <c r="N40" s="2553"/>
      <c r="O40" s="2553"/>
      <c r="P40" s="2553"/>
      <c r="Q40" s="2553"/>
      <c r="R40" s="2553"/>
      <c r="S40" s="2553"/>
      <c r="T40" s="2553"/>
      <c r="U40" s="2553"/>
    </row>
    <row r="41" spans="2:21" x14ac:dyDescent="0.2">
      <c r="B41" s="2586" t="str">
        <f>IF(Présentation!$E$2="Français",'TRAD-Saisie données stocks'!D41,IF(Présentation!$E$2="Anglais",'TRAD-Saisie données stocks'!F41,""))</f>
        <v>IP</v>
      </c>
      <c r="D41" s="2562" t="s">
        <v>41</v>
      </c>
      <c r="F41" s="2553" t="s">
        <v>1975</v>
      </c>
      <c r="G41" s="2553"/>
      <c r="H41" s="2553"/>
      <c r="I41" s="2553"/>
      <c r="J41" s="2553"/>
      <c r="K41" s="2553"/>
      <c r="L41" s="2553"/>
      <c r="M41" s="2553"/>
      <c r="N41" s="2553"/>
      <c r="O41" s="2553"/>
      <c r="P41" s="2553"/>
      <c r="Q41" s="2553"/>
      <c r="R41" s="2553"/>
      <c r="S41" s="2553"/>
      <c r="T41" s="2553"/>
      <c r="U41" s="2553"/>
    </row>
    <row r="42" spans="2:21" x14ac:dyDescent="0.2">
      <c r="B42" s="2586" t="str">
        <f>IF(Présentation!$E$2="Français",'TRAD-Saisie données stocks'!D42,IF(Présentation!$E$2="Anglais",'TRAD-Saisie données stocks'!F42,""))</f>
        <v>Inh Integrase</v>
      </c>
      <c r="D42" s="2562" t="s">
        <v>1976</v>
      </c>
      <c r="F42" s="2553" t="s">
        <v>1977</v>
      </c>
      <c r="G42" s="2553"/>
      <c r="H42" s="2553"/>
      <c r="I42" s="2553"/>
      <c r="J42" s="2553"/>
      <c r="K42" s="2553"/>
      <c r="L42" s="2553"/>
      <c r="M42" s="2553"/>
      <c r="N42" s="2553"/>
      <c r="O42" s="2553"/>
      <c r="P42" s="2553"/>
      <c r="Q42" s="2553"/>
      <c r="R42" s="2553"/>
      <c r="S42" s="2553"/>
      <c r="T42" s="2553"/>
      <c r="U42" s="2553"/>
    </row>
    <row r="43" spans="2:21" x14ac:dyDescent="0.2">
      <c r="B43" s="2586" t="str">
        <f>IF(Présentation!$E$2="Français",'TRAD-Saisie données stocks'!D43,IF(Présentation!$E$2="Anglais",'TRAD-Saisie données stocks'!F43,""))</f>
        <v>Volume conditionnement primaire (mL)</v>
      </c>
      <c r="D43" s="2562" t="s">
        <v>76</v>
      </c>
      <c r="F43" s="2553" t="s">
        <v>1009</v>
      </c>
      <c r="G43" s="2553"/>
      <c r="H43" s="2553"/>
      <c r="I43" s="2553"/>
      <c r="J43" s="2553"/>
      <c r="K43" s="2553"/>
      <c r="L43" s="2553"/>
      <c r="M43" s="2553"/>
      <c r="N43" s="2553"/>
      <c r="O43" s="2553"/>
      <c r="P43" s="2553"/>
      <c r="Q43" s="2553"/>
      <c r="R43" s="2553"/>
      <c r="S43" s="2553"/>
      <c r="T43" s="2553"/>
      <c r="U43" s="2553"/>
    </row>
    <row r="44" spans="2:21" x14ac:dyDescent="0.2">
      <c r="B44" s="2586" t="str">
        <f>IF(Présentation!$E$2="Français",'TRAD-Saisie données stocks'!D44,IF(Présentation!$E$2="Anglais",'TRAD-Saisie données stocks'!F44,""))</f>
        <v>Conditionement secondaire</v>
      </c>
      <c r="D44" s="2562" t="s">
        <v>77</v>
      </c>
      <c r="F44" s="2553" t="s">
        <v>1010</v>
      </c>
      <c r="G44" s="2553"/>
      <c r="H44" s="2553"/>
      <c r="I44" s="2553"/>
      <c r="J44" s="2553"/>
      <c r="K44" s="2553"/>
      <c r="L44" s="2553"/>
      <c r="M44" s="2553"/>
      <c r="N44" s="2553"/>
      <c r="O44" s="2553"/>
      <c r="P44" s="2553"/>
      <c r="Q44" s="2553"/>
      <c r="R44" s="2553"/>
      <c r="S44" s="2553"/>
      <c r="T44" s="2553"/>
      <c r="U44" s="2553"/>
    </row>
    <row r="45" spans="2:21" ht="25.5" x14ac:dyDescent="0.2">
      <c r="B45" s="2586" t="str">
        <f>IF(Présentation!$E$2="Français",'TRAD-Saisie données stocks'!D45,IF(Présentation!$E$2="Anglais",'TRAD-Saisie données stocks'!F45,""))</f>
        <v>Quantités en stock en nombre de conditionnement primaire</v>
      </c>
      <c r="D45" s="2553" t="s">
        <v>432</v>
      </c>
      <c r="F45" s="2553" t="s">
        <v>1011</v>
      </c>
      <c r="G45" s="2553"/>
      <c r="H45" s="2553"/>
      <c r="I45" s="2553"/>
      <c r="J45" s="2553"/>
      <c r="K45" s="2553"/>
      <c r="L45" s="2553"/>
      <c r="M45" s="2553"/>
      <c r="N45" s="2553"/>
      <c r="O45" s="2553"/>
      <c r="P45" s="2553"/>
      <c r="Q45" s="2553"/>
      <c r="R45" s="2553"/>
      <c r="S45" s="2553"/>
      <c r="T45" s="2553"/>
      <c r="U45" s="2553"/>
    </row>
    <row r="46" spans="2:21" ht="51" x14ac:dyDescent="0.2">
      <c r="B46" s="2586" t="str">
        <f>IF(Présentation!$E$2="Français",'TRAD-Saisie données stocks'!D46,IF(Présentation!$E$2="Anglais",'TRAD-Saisie données stocks'!F46,""))</f>
        <v>Attention pour les comprimés adultes, il faut tenir compte des stocks pour l'ensemble des besoins (= Adultes + Enfants + PTME + AES)</v>
      </c>
      <c r="D46" s="2562" t="s">
        <v>110</v>
      </c>
      <c r="F46" s="2553" t="s">
        <v>1685</v>
      </c>
      <c r="G46" s="2562"/>
      <c r="H46" s="2562"/>
      <c r="I46" s="2562"/>
      <c r="J46" s="2562"/>
      <c r="K46" s="2562"/>
      <c r="L46" s="2562"/>
      <c r="M46" s="2553"/>
      <c r="N46" s="2553"/>
      <c r="O46" s="2553"/>
      <c r="P46" s="2553"/>
      <c r="Q46" s="2553"/>
      <c r="R46" s="2553"/>
      <c r="S46" s="2553"/>
      <c r="T46" s="2553"/>
      <c r="U46" s="2553"/>
    </row>
    <row r="47" spans="2:21" ht="38.25" x14ac:dyDescent="0.2">
      <c r="B47" s="2586" t="str">
        <f>IF(Présentation!$E$2="Français",'TRAD-Saisie données stocks'!D47,IF(Présentation!$E$2="Anglais",'TRAD-Saisie données stocks'!F47,""))</f>
        <v>Pour faciliter les calculs et la gestion de stocks, seule la Triomune baby a été prise en compte</v>
      </c>
      <c r="D47" s="2562" t="s">
        <v>122</v>
      </c>
      <c r="F47" s="2553" t="s">
        <v>1697</v>
      </c>
      <c r="G47" s="2562"/>
      <c r="H47" s="2562"/>
      <c r="I47" s="2562"/>
      <c r="J47" s="2562"/>
      <c r="K47" s="2562"/>
      <c r="L47" s="2562"/>
      <c r="M47" s="2553"/>
      <c r="N47" s="2553"/>
      <c r="O47" s="2553"/>
      <c r="P47" s="2553"/>
      <c r="Q47" s="2553"/>
      <c r="R47" s="2553"/>
      <c r="S47" s="2553"/>
      <c r="T47" s="2553"/>
      <c r="U47" s="2553"/>
    </row>
    <row r="48" spans="2:21" ht="38.25" x14ac:dyDescent="0.2">
      <c r="B48" s="2586" t="str">
        <f>IF(Présentation!$E$2="Français",'TRAD-Saisie données stocks'!D48,IF(Présentation!$E$2="Anglais",'TRAD-Saisie données stocks'!F48,""))</f>
        <v>Attention, pour le Kaletra, tenir compte du conditionnement primaire (nombre de flacons ≠ nombre de boites)</v>
      </c>
      <c r="D48" s="2562" t="s">
        <v>974</v>
      </c>
      <c r="F48" s="2562" t="s">
        <v>1811</v>
      </c>
      <c r="G48" s="2562"/>
      <c r="H48" s="2562"/>
      <c r="I48" s="2562"/>
      <c r="J48" s="2562"/>
      <c r="K48" s="2562"/>
      <c r="L48" s="2562"/>
      <c r="M48" s="2553"/>
      <c r="N48" s="2553"/>
      <c r="O48" s="2553"/>
      <c r="P48" s="2553"/>
      <c r="Q48" s="2553"/>
      <c r="R48" s="2553"/>
      <c r="S48" s="2553"/>
      <c r="T48" s="2553"/>
      <c r="U48" s="2553"/>
    </row>
    <row r="49" spans="2:21" ht="38.25" x14ac:dyDescent="0.2">
      <c r="B49" s="2586" t="str">
        <f>IF(Présentation!$E$2="Français",'TRAD-Saisie données stocks'!D49,IF(Présentation!$E$2="Anglais",'TRAD-Saisie données stocks'!F49,""))</f>
        <v>Pour la visualisation des disponibilités, souhaitez vous prendre en compte des stocks en périphérie ? (OUI ou NON)</v>
      </c>
      <c r="D49" s="2562" t="s">
        <v>846</v>
      </c>
      <c r="F49" s="2562" t="s">
        <v>1693</v>
      </c>
      <c r="G49" s="2562"/>
      <c r="H49" s="2562"/>
      <c r="I49" s="2562"/>
      <c r="J49" s="2562"/>
      <c r="K49" s="2562"/>
      <c r="L49" s="2562"/>
      <c r="M49" s="2553"/>
      <c r="N49" s="2553"/>
      <c r="O49" s="2553"/>
      <c r="P49" s="2553"/>
      <c r="Q49" s="2553"/>
      <c r="R49" s="2553"/>
      <c r="S49" s="2553"/>
      <c r="T49" s="2553"/>
      <c r="U49" s="2553"/>
    </row>
    <row r="50" spans="2:21" x14ac:dyDescent="0.2">
      <c r="B50" s="2586" t="str">
        <f>IF(Présentation!$E$2="Français",'TRAD-Saisie données stocks'!D50,IF(Présentation!$E$2="Anglais",'TRAD-Saisie données stocks'!F50,""))</f>
        <v>NON</v>
      </c>
      <c r="D50" s="2660" t="s">
        <v>547</v>
      </c>
      <c r="F50" s="2661" t="s">
        <v>1017</v>
      </c>
      <c r="G50" s="2562"/>
      <c r="H50" s="2562"/>
      <c r="I50" s="2562"/>
      <c r="J50" s="2562"/>
      <c r="K50" s="2562"/>
      <c r="L50" s="2562"/>
      <c r="M50" s="2553"/>
      <c r="N50" s="2553"/>
      <c r="O50" s="2553"/>
      <c r="P50" s="2553"/>
      <c r="Q50" s="2553"/>
      <c r="R50" s="2553"/>
      <c r="S50" s="2553"/>
      <c r="T50" s="2553"/>
      <c r="U50" s="2553"/>
    </row>
    <row r="51" spans="2:21" x14ac:dyDescent="0.2">
      <c r="B51" s="2586" t="str">
        <f>IF(Présentation!$E$2="Français",'TRAD-Saisie données stocks'!D51,IF(Présentation!$E$2="Anglais",'TRAD-Saisie données stocks'!F51,""))</f>
        <v>OUI</v>
      </c>
      <c r="D51" s="2660" t="s">
        <v>769</v>
      </c>
      <c r="F51" s="2562" t="s">
        <v>1016</v>
      </c>
      <c r="G51" s="2562"/>
      <c r="H51" s="2562"/>
      <c r="I51" s="2562"/>
      <c r="J51" s="2562"/>
      <c r="K51" s="2562"/>
      <c r="L51" s="2562"/>
      <c r="M51" s="2553"/>
      <c r="N51" s="2553"/>
      <c r="O51" s="2553"/>
      <c r="P51" s="2553"/>
      <c r="Q51" s="2553"/>
      <c r="R51" s="2553"/>
      <c r="S51" s="2553"/>
      <c r="T51" s="2553"/>
      <c r="U51" s="2553"/>
    </row>
    <row r="52" spans="2:21" x14ac:dyDescent="0.2">
      <c r="B52" s="2586" t="str">
        <f>IF(Présentation!$E$2="Français",'TRAD-Saisie données stocks'!D52,IF(Présentation!$E$2="Anglais",'TRAD-Saisie données stocks'!F52,""))</f>
        <v>Remarque</v>
      </c>
      <c r="D52" s="2553" t="s">
        <v>67</v>
      </c>
      <c r="F52" s="2562" t="s">
        <v>1008</v>
      </c>
      <c r="G52" s="2562"/>
      <c r="H52" s="2562"/>
      <c r="I52" s="2562"/>
      <c r="J52" s="2562"/>
      <c r="K52" s="2562"/>
      <c r="L52" s="2553"/>
      <c r="M52" s="2553"/>
      <c r="N52" s="2553"/>
      <c r="O52" s="2553"/>
      <c r="P52" s="2553"/>
      <c r="Q52" s="2553"/>
      <c r="R52" s="2553"/>
      <c r="S52" s="2553"/>
      <c r="T52" s="2553"/>
      <c r="U52" s="2553"/>
    </row>
    <row r="53" spans="2:21" ht="38.25" x14ac:dyDescent="0.2">
      <c r="B53" s="2586" t="str">
        <f>IF(Présentation!$E$2="Français",'TRAD-Saisie données stocks'!D53,IF(Présentation!$E$2="Anglais",'TRAD-Saisie données stocks'!F53,""))</f>
        <v>Le système ne tient pas compte des DLU des stocks de régions car l'interprétation des données compilées n'est pas possible.</v>
      </c>
      <c r="D53" s="2553" t="s">
        <v>471</v>
      </c>
      <c r="F53" s="2553" t="s">
        <v>1701</v>
      </c>
      <c r="G53" s="2553"/>
      <c r="H53" s="2553"/>
      <c r="I53" s="2553"/>
      <c r="J53" s="2553"/>
      <c r="K53" s="2553"/>
      <c r="L53" s="2553"/>
      <c r="M53" s="2553"/>
      <c r="N53" s="2553"/>
      <c r="O53" s="2553"/>
      <c r="P53" s="2553"/>
      <c r="Q53" s="2553"/>
      <c r="R53" s="2553"/>
      <c r="S53" s="2553"/>
      <c r="T53" s="2553"/>
      <c r="U53" s="2553"/>
    </row>
    <row r="54" spans="2:21" ht="38.25" x14ac:dyDescent="0.2">
      <c r="B54" s="2586" t="str">
        <f>IF(Présentation!$E$2="Français",'TRAD-Saisie données stocks'!D54,IF(Présentation!$E$2="Anglais",'TRAD-Saisie données stocks'!F54,""))</f>
        <v>Pour le module de quantification, le paramétrage se fait spécifiquement dans la feuille quantification</v>
      </c>
      <c r="D54" s="2553" t="s">
        <v>847</v>
      </c>
      <c r="F54" s="2553" t="s">
        <v>1694</v>
      </c>
      <c r="G54" s="2553"/>
      <c r="H54" s="2553"/>
      <c r="I54" s="2553"/>
      <c r="J54" s="2553"/>
      <c r="K54" s="2553"/>
      <c r="L54" s="2553"/>
      <c r="M54" s="2553"/>
      <c r="N54" s="2553"/>
      <c r="O54" s="2553"/>
      <c r="P54" s="2553"/>
      <c r="Q54" s="2553"/>
      <c r="R54" s="2553"/>
      <c r="S54" s="2553"/>
      <c r="T54" s="2553"/>
      <c r="U54" s="2553"/>
    </row>
    <row r="55" spans="2:21" ht="25.5" x14ac:dyDescent="0.2">
      <c r="B55" s="2586" t="str">
        <f>IF(Présentation!$E$2="Français",'TRAD-Saisie données stocks'!D55,IF(Présentation!$E$2="Anglais",'TRAD-Saisie données stocks'!F55,""))</f>
        <v>Etape 2 : Quantités attendues dans les commandes</v>
      </c>
      <c r="D55" s="2562" t="s">
        <v>973</v>
      </c>
      <c r="F55" s="2562" t="s">
        <v>1695</v>
      </c>
      <c r="G55" s="2562"/>
      <c r="H55" s="2562"/>
      <c r="I55" s="2553"/>
      <c r="J55" s="2553"/>
      <c r="K55" s="2553"/>
      <c r="L55" s="2553"/>
      <c r="M55" s="2553"/>
      <c r="N55" s="2553"/>
      <c r="O55" s="2553"/>
      <c r="P55" s="2553"/>
      <c r="Q55" s="2553"/>
      <c r="R55" s="2553"/>
      <c r="S55" s="2553"/>
      <c r="T55" s="2553"/>
      <c r="U55" s="2553"/>
    </row>
    <row r="56" spans="2:21" ht="25.5" x14ac:dyDescent="0.2">
      <c r="B56" s="2586" t="str">
        <f>IF(Présentation!$E$2="Français",'TRAD-Saisie données stocks'!D56,IF(Présentation!$E$2="Anglais",'TRAD-Saisie données stocks'!F56,""))</f>
        <v>A. Renseignez les commandes en cours attendues et les dates de réception</v>
      </c>
      <c r="D56" s="2562" t="s">
        <v>972</v>
      </c>
      <c r="F56" s="2562" t="s">
        <v>1019</v>
      </c>
      <c r="G56" s="2562"/>
      <c r="H56" s="2562"/>
      <c r="I56" s="2553"/>
      <c r="J56" s="2553"/>
      <c r="K56" s="2553"/>
      <c r="L56" s="2553"/>
      <c r="M56" s="2553"/>
      <c r="N56" s="2553"/>
      <c r="O56" s="2553"/>
      <c r="P56" s="2553"/>
      <c r="Q56" s="2553"/>
      <c r="R56" s="2553"/>
      <c r="S56" s="2553"/>
      <c r="T56" s="2553"/>
      <c r="U56" s="2553"/>
    </row>
    <row r="57" spans="2:21" ht="25.5" x14ac:dyDescent="0.2">
      <c r="B57" s="2586" t="str">
        <f>IF(Présentation!$E$2="Français",'TRAD-Saisie données stocks'!D57,IF(Présentation!$E$2="Anglais",'TRAD-Saisie données stocks'!F57,""))</f>
        <v>Quantités en nb de boites livraison à court terme</v>
      </c>
      <c r="D57" s="2564" t="s">
        <v>135</v>
      </c>
      <c r="F57" s="2553" t="s">
        <v>1018</v>
      </c>
      <c r="G57" s="2562"/>
      <c r="H57" s="2562"/>
      <c r="I57" s="2553"/>
      <c r="J57" s="2553"/>
      <c r="K57" s="2553"/>
      <c r="L57" s="2553"/>
      <c r="M57" s="2553"/>
      <c r="N57" s="2553"/>
      <c r="O57" s="2553"/>
      <c r="P57" s="2553"/>
      <c r="Q57" s="2553"/>
      <c r="R57" s="2553"/>
      <c r="S57" s="2553"/>
      <c r="T57" s="2553"/>
      <c r="U57" s="2553"/>
    </row>
    <row r="58" spans="2:21" ht="25.5" x14ac:dyDescent="0.2">
      <c r="B58" s="2586" t="str">
        <f>IF(Présentation!$E$2="Français",'TRAD-Saisie données stocks'!D58,IF(Présentation!$E$2="Anglais",'TRAD-Saisie données stocks'!F58,""))</f>
        <v>Préciser les dates de réceptions attendues</v>
      </c>
      <c r="D58" s="2564" t="s">
        <v>569</v>
      </c>
      <c r="F58" s="2553" t="s">
        <v>1020</v>
      </c>
      <c r="G58" s="2553"/>
      <c r="H58" s="2553"/>
      <c r="I58" s="2553"/>
      <c r="J58" s="2553"/>
      <c r="K58" s="2553"/>
      <c r="L58" s="2553"/>
      <c r="M58" s="2553"/>
      <c r="N58" s="2553"/>
      <c r="O58" s="2553"/>
      <c r="P58" s="2553"/>
      <c r="Q58" s="2553"/>
      <c r="R58" s="2553"/>
      <c r="S58" s="2553"/>
      <c r="T58" s="2553"/>
      <c r="U58" s="2553"/>
    </row>
    <row r="59" spans="2:21" ht="25.5" x14ac:dyDescent="0.2">
      <c r="B59" s="2586" t="str">
        <f>IF(Présentation!$E$2="Français",'TRAD-Saisie données stocks'!D59,IF(Présentation!$E$2="Anglais",'TRAD-Saisie données stocks'!F59,""))</f>
        <v>Quantités attendues en nombre de conditionnement primaire</v>
      </c>
      <c r="D59" s="2553" t="s">
        <v>433</v>
      </c>
      <c r="F59" s="2553" t="s">
        <v>1021</v>
      </c>
      <c r="G59" s="2553"/>
      <c r="H59" s="2553"/>
      <c r="I59" s="2553"/>
      <c r="J59" s="2553"/>
      <c r="K59" s="2553"/>
      <c r="L59" s="2553"/>
      <c r="M59" s="2553"/>
      <c r="N59" s="2553"/>
      <c r="O59" s="2553"/>
      <c r="P59" s="2553"/>
      <c r="Q59" s="2553"/>
      <c r="R59" s="2553"/>
      <c r="S59" s="2553"/>
      <c r="T59" s="2553"/>
      <c r="U59" s="2553"/>
    </row>
    <row r="60" spans="2:21" x14ac:dyDescent="0.2">
      <c r="B60" s="2586" t="str">
        <f>IF(Présentation!$E$2="Français",'TRAD-Saisie données stocks'!D60,IF(Présentation!$E$2="Anglais",'TRAD-Saisie données stocks'!F60,""))</f>
        <v>Solutions buvables</v>
      </c>
      <c r="D60" s="2562" t="s">
        <v>78</v>
      </c>
      <c r="F60" s="2553" t="s">
        <v>1022</v>
      </c>
      <c r="G60" s="2553"/>
      <c r="H60" s="2553"/>
      <c r="I60" s="2553"/>
      <c r="J60" s="2553"/>
      <c r="K60" s="2553"/>
      <c r="L60" s="2553"/>
      <c r="M60" s="2553"/>
      <c r="N60" s="2553"/>
      <c r="O60" s="2553"/>
      <c r="P60" s="2553"/>
      <c r="Q60" s="2553"/>
      <c r="R60" s="2553"/>
      <c r="S60" s="2553"/>
      <c r="T60" s="2553"/>
      <c r="U60" s="2553"/>
    </row>
    <row r="61" spans="2:21" x14ac:dyDescent="0.2">
      <c r="B61" s="2586" t="str">
        <f>IF(Présentation!$E$2="Français",'TRAD-Saisie données stocks'!D61,IF(Présentation!$E$2="Anglais",'TRAD-Saisie données stocks'!F61,""))</f>
        <v>Remarque</v>
      </c>
      <c r="D61" s="2562" t="s">
        <v>67</v>
      </c>
      <c r="F61" s="2553" t="s">
        <v>1008</v>
      </c>
      <c r="G61" s="2553"/>
      <c r="H61" s="2553"/>
      <c r="I61" s="2553"/>
      <c r="J61" s="2553"/>
      <c r="K61" s="2553"/>
      <c r="L61" s="2553"/>
      <c r="M61" s="2553"/>
      <c r="N61" s="2553"/>
      <c r="O61" s="2553"/>
      <c r="P61" s="2553"/>
      <c r="Q61" s="2553"/>
      <c r="R61" s="2553"/>
      <c r="S61" s="2553"/>
      <c r="T61" s="2553"/>
      <c r="U61" s="2553"/>
    </row>
    <row r="62" spans="2:21" ht="38.25" x14ac:dyDescent="0.2">
      <c r="B62" s="2586" t="str">
        <f>IF(Présentation!$E$2="Français",'TRAD-Saisie données stocks'!D62,IF(Présentation!$E$2="Anglais",'TRAD-Saisie données stocks'!F62,""))</f>
        <v>Attention, pour le Kaletra, tenir compte du conditionnement primaire (nombre de flacons)</v>
      </c>
      <c r="D62" s="2562" t="s">
        <v>190</v>
      </c>
      <c r="F62" s="2553" t="s">
        <v>1023</v>
      </c>
      <c r="G62" s="2553"/>
      <c r="H62" s="2553"/>
      <c r="I62" s="2553"/>
      <c r="J62" s="2553"/>
      <c r="K62" s="2553"/>
      <c r="L62" s="2553"/>
      <c r="M62" s="2553"/>
      <c r="N62" s="2553"/>
      <c r="O62" s="2553"/>
      <c r="P62" s="2553"/>
      <c r="Q62" s="2553"/>
      <c r="R62" s="2553"/>
      <c r="S62" s="2553"/>
      <c r="T62" s="2553"/>
      <c r="U62" s="2553"/>
    </row>
    <row r="63" spans="2:21" ht="38.25" x14ac:dyDescent="0.2">
      <c r="B63" s="2586" t="str">
        <f>IF(Présentation!$E$2="Français",'TRAD-Saisie données stocks'!D63,IF(Présentation!$E$2="Anglais",'TRAD-Saisie données stocks'!F63,""))</f>
        <v>B. Renseignez les stocks disponibles en périphérie (dépôts intermédiaires et sites de PEC)</v>
      </c>
      <c r="D63" s="2562" t="s">
        <v>1026</v>
      </c>
      <c r="E63" s="2553"/>
      <c r="F63" s="2553" t="s">
        <v>1696</v>
      </c>
      <c r="G63" s="2553"/>
      <c r="H63" s="2553"/>
      <c r="I63" s="2553"/>
      <c r="J63" s="2553"/>
      <c r="K63" s="2553"/>
      <c r="L63" s="2553"/>
      <c r="M63" s="2553"/>
      <c r="N63" s="2553"/>
      <c r="O63" s="2553"/>
      <c r="P63" s="2553"/>
      <c r="Q63" s="2553"/>
      <c r="R63" s="2553"/>
      <c r="S63" s="2553"/>
      <c r="T63" s="2553"/>
      <c r="U63" s="2553"/>
    </row>
    <row r="64" spans="2:21" x14ac:dyDescent="0.2">
      <c r="B64" s="2586" t="str">
        <f>IF(Présentation!$E$2="Français",'TRAD-Saisie données stocks'!D64,IF(Présentation!$E$2="Anglais",'TRAD-Saisie données stocks'!F64,""))</f>
        <v>Cp</v>
      </c>
      <c r="D64" s="2553" t="s">
        <v>98</v>
      </c>
      <c r="E64" s="2553"/>
      <c r="F64" s="2553" t="s">
        <v>752</v>
      </c>
      <c r="G64" s="2553"/>
      <c r="H64" s="2553"/>
      <c r="I64" s="2553"/>
      <c r="J64" s="2553"/>
      <c r="K64" s="2553"/>
      <c r="L64" s="2553"/>
      <c r="M64" s="2553"/>
      <c r="N64" s="2553"/>
      <c r="O64" s="2553"/>
      <c r="P64" s="2553"/>
      <c r="Q64" s="2553"/>
      <c r="R64" s="2553"/>
      <c r="S64" s="2553"/>
      <c r="T64" s="2553"/>
      <c r="U64" s="2553"/>
    </row>
    <row r="65" spans="2:21" x14ac:dyDescent="0.2">
      <c r="B65" s="2586" t="str">
        <f>IF(Présentation!$E$2="Français",'TRAD-Saisie données stocks'!D65,IF(Présentation!$E$2="Anglais",'TRAD-Saisie données stocks'!F65,""))</f>
        <v>Cp coblister</v>
      </c>
      <c r="D65" s="2553" t="s">
        <v>1439</v>
      </c>
      <c r="E65" s="2553"/>
      <c r="F65" s="2553" t="s">
        <v>1440</v>
      </c>
      <c r="G65" s="2553"/>
      <c r="H65" s="2553"/>
      <c r="I65" s="2553"/>
      <c r="J65" s="2553"/>
      <c r="K65" s="2553"/>
      <c r="L65" s="2553"/>
      <c r="M65" s="2553"/>
      <c r="N65" s="2553"/>
      <c r="O65" s="2553"/>
      <c r="P65" s="2553"/>
      <c r="Q65" s="2553"/>
      <c r="R65" s="2553"/>
      <c r="S65" s="2553"/>
      <c r="T65" s="2553"/>
      <c r="U65" s="2553"/>
    </row>
    <row r="66" spans="2:21" x14ac:dyDescent="0.2">
      <c r="B66" s="2586" t="str">
        <f>IF(Présentation!$E$2="Français",'TRAD-Saisie données stocks'!D66,IF(Présentation!$E$2="Anglais",'TRAD-Saisie données stocks'!F66,""))</f>
        <v>Gel</v>
      </c>
      <c r="D66" s="2553" t="s">
        <v>1669</v>
      </c>
      <c r="E66" s="2553"/>
      <c r="F66" s="2553" t="s">
        <v>133</v>
      </c>
      <c r="G66" s="2553"/>
      <c r="H66" s="2553"/>
      <c r="I66" s="2553"/>
      <c r="J66" s="2553"/>
      <c r="K66" s="2553"/>
      <c r="L66" s="2553"/>
      <c r="M66" s="2553"/>
      <c r="N66" s="2553"/>
      <c r="O66" s="2553"/>
      <c r="P66" s="2553"/>
      <c r="Q66" s="2553"/>
      <c r="R66" s="2553"/>
      <c r="S66" s="2553"/>
      <c r="T66" s="2553"/>
      <c r="U66" s="2553"/>
    </row>
    <row r="67" spans="2:21" x14ac:dyDescent="0.2">
      <c r="B67" s="2586" t="str">
        <f>IF(Présentation!$E$2="Français",'TRAD-Saisie données stocks'!D67,IF(Présentation!$E$2="Anglais",'TRAD-Saisie données stocks'!F67,""))</f>
        <v>Sol buv</v>
      </c>
      <c r="D67" s="2553" t="s">
        <v>1670</v>
      </c>
      <c r="E67" s="2553"/>
      <c r="F67" s="2553" t="s">
        <v>1671</v>
      </c>
      <c r="G67" s="2553"/>
      <c r="H67" s="2553"/>
      <c r="I67" s="2553"/>
      <c r="J67" s="2553"/>
      <c r="K67" s="2553"/>
      <c r="L67" s="2553"/>
      <c r="M67" s="2553"/>
      <c r="N67" s="2553"/>
      <c r="O67" s="2553"/>
      <c r="P67" s="2553"/>
      <c r="Q67" s="2553"/>
      <c r="R67" s="2553"/>
      <c r="S67" s="2553"/>
      <c r="T67" s="2553"/>
      <c r="U67" s="2553"/>
    </row>
    <row r="68" spans="2:21" x14ac:dyDescent="0.2">
      <c r="B68" s="2586" t="str">
        <f>IF(Présentation!$E$2="Français",'TRAD-Saisie données stocks'!D68,IF(Présentation!$E$2="Anglais",'TRAD-Saisie données stocks'!F68,""))</f>
        <v>Poudre buvable</v>
      </c>
      <c r="D68" s="2553" t="s">
        <v>1441</v>
      </c>
      <c r="E68" s="2553"/>
      <c r="F68" s="2553" t="s">
        <v>1554</v>
      </c>
      <c r="G68" s="2553"/>
      <c r="H68" s="2553"/>
      <c r="I68" s="2553"/>
      <c r="J68" s="2553"/>
      <c r="K68" s="2553"/>
      <c r="L68" s="2553"/>
      <c r="M68" s="2553"/>
      <c r="N68" s="2553"/>
      <c r="O68" s="2553"/>
      <c r="P68" s="2553"/>
      <c r="Q68" s="2553"/>
      <c r="R68" s="2553"/>
      <c r="S68" s="2553"/>
      <c r="T68" s="2553"/>
      <c r="U68" s="2553"/>
    </row>
    <row r="69" spans="2:21" x14ac:dyDescent="0.2">
      <c r="B69" s="2586" t="str">
        <f>IF(Présentation!$E$2="Français",'TRAD-Saisie données stocks'!D69,IF(Présentation!$E$2="Anglais",'TRAD-Saisie données stocks'!F69,""))</f>
        <v>ATTENTION</v>
      </c>
      <c r="D69" s="2553" t="s">
        <v>1790</v>
      </c>
      <c r="F69" s="2553" t="s">
        <v>1789</v>
      </c>
    </row>
    <row r="70" spans="2:21" ht="25.5" x14ac:dyDescent="0.2">
      <c r="B70" s="2586" t="str">
        <f>IF(Présentation!$E$2="Français",'TRAD-Saisie données stocks'!D70,IF(Présentation!$E$2="Anglais",'TRAD-Saisie données stocks'!F70,""))</f>
        <v>Attention, le détail ne correspond pas à votre stock total</v>
      </c>
      <c r="D70" s="2553" t="s">
        <v>1792</v>
      </c>
      <c r="F70" s="2553" t="s">
        <v>1791</v>
      </c>
    </row>
  </sheetData>
  <sheetProtection sheet="1" objects="1" scenarios="1"/>
  <conditionalFormatting sqref="D50:D51 J53:K56 J46:K51 D12 D17:D18">
    <cfRule type="cellIs" dxfId="146" priority="4" operator="equal">
      <formula>0</formula>
    </cfRule>
  </conditionalFormatting>
  <dataValidations count="1">
    <dataValidation allowBlank="1" showInputMessage="1" showErrorMessage="1" sqref="D50:D51"/>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6"/>
  </sheetPr>
  <dimension ref="A2:AV1028"/>
  <sheetViews>
    <sheetView showGridLines="0" zoomScale="110" zoomScaleNormal="110" workbookViewId="0">
      <selection activeCell="E598" sqref="E598:AG616"/>
    </sheetView>
  </sheetViews>
  <sheetFormatPr defaultColWidth="11.42578125" defaultRowHeight="12.75" x14ac:dyDescent="0.2"/>
  <cols>
    <col min="1" max="1" width="3.140625" style="4" customWidth="1"/>
    <col min="2" max="3" width="4.5703125" style="4" customWidth="1"/>
    <col min="4" max="4" width="24.85546875" style="4" customWidth="1"/>
    <col min="5" max="5" width="13.85546875" style="4" customWidth="1"/>
    <col min="6" max="6" width="15.7109375" style="4" customWidth="1"/>
    <col min="7" max="7" width="17.140625" style="4" customWidth="1"/>
    <col min="8" max="8" width="21.7109375" style="4" bestFit="1" customWidth="1"/>
    <col min="9" max="9" width="17.42578125" style="4" customWidth="1"/>
    <col min="10" max="10" width="11.42578125" style="4"/>
    <col min="11" max="11" width="15.85546875" style="4" bestFit="1" customWidth="1"/>
    <col min="12" max="12" width="12.42578125" style="4" customWidth="1"/>
    <col min="13" max="13" width="12.5703125" style="4" customWidth="1"/>
    <col min="14" max="14" width="17.42578125" style="4" bestFit="1" customWidth="1"/>
    <col min="15" max="15" width="12.5703125" style="4" bestFit="1" customWidth="1"/>
    <col min="16" max="16" width="14.28515625" style="4" customWidth="1"/>
    <col min="17" max="17" width="11.85546875" style="4" bestFit="1" customWidth="1"/>
    <col min="18" max="18" width="12.5703125" style="4" bestFit="1" customWidth="1"/>
    <col min="19" max="19" width="11.85546875" style="4" bestFit="1" customWidth="1"/>
    <col min="20" max="20" width="12.5703125" style="4" bestFit="1" customWidth="1"/>
    <col min="21" max="21" width="11.85546875" style="4" bestFit="1" customWidth="1"/>
    <col min="22" max="22" width="12.5703125" style="4" bestFit="1" customWidth="1"/>
    <col min="23" max="23" width="11.85546875" style="4" bestFit="1" customWidth="1"/>
    <col min="24" max="24" width="12.5703125" style="4" bestFit="1" customWidth="1"/>
    <col min="25" max="25" width="11.85546875" style="4" bestFit="1" customWidth="1"/>
    <col min="26" max="26" width="12.5703125" style="4" bestFit="1" customWidth="1"/>
    <col min="27" max="27" width="11.85546875" style="4" bestFit="1" customWidth="1"/>
    <col min="28" max="28" width="12.5703125" style="4" bestFit="1" customWidth="1"/>
    <col min="29" max="29" width="11.7109375" style="4" bestFit="1" customWidth="1"/>
    <col min="30" max="34" width="11.42578125" style="835"/>
    <col min="35" max="35" width="20.140625" style="4" bestFit="1" customWidth="1"/>
    <col min="36" max="16384" width="11.42578125" style="4"/>
  </cols>
  <sheetData>
    <row r="2" spans="1:35" s="9" customFormat="1" ht="22.5" x14ac:dyDescent="0.3">
      <c r="A2" s="1814" t="str">
        <f>'TRAD-Saisie données file act.'!B3</f>
        <v>Feuille SAISIE 3 - Saisie des données de files actives et informations associées (sélection des options thérapeutiques)</v>
      </c>
      <c r="B2" s="1814"/>
      <c r="C2" s="1814"/>
      <c r="D2" s="1814"/>
      <c r="E2" s="1814"/>
      <c r="F2" s="1814"/>
      <c r="G2" s="1814"/>
      <c r="H2" s="1814"/>
      <c r="I2" s="1814"/>
      <c r="J2" s="1814"/>
      <c r="K2" s="1814"/>
      <c r="L2" s="1814"/>
      <c r="M2" s="1814"/>
      <c r="N2" s="1814"/>
      <c r="AE2" s="835"/>
      <c r="AF2" s="835"/>
      <c r="AG2" s="835"/>
      <c r="AH2" s="835"/>
      <c r="AI2" s="835"/>
    </row>
    <row r="4" spans="1:35" s="1713" customFormat="1" ht="19.5" thickBot="1" x14ac:dyDescent="0.35">
      <c r="B4" s="3212" t="str">
        <f>'TRAD-Saisie données file act.'!B4</f>
        <v>Etape 1 : Données de prise en charge des adultes</v>
      </c>
      <c r="C4" s="3212"/>
      <c r="D4" s="3212"/>
      <c r="E4" s="3212"/>
      <c r="F4" s="3212"/>
      <c r="G4" s="3212"/>
      <c r="H4" s="3212"/>
      <c r="I4" s="3212"/>
      <c r="J4" s="3212"/>
      <c r="K4" s="3212"/>
      <c r="L4" s="3212"/>
      <c r="M4" s="3212"/>
      <c r="N4" s="3212"/>
      <c r="O4" s="3212"/>
      <c r="AD4" s="1714"/>
      <c r="AE4" s="1714"/>
      <c r="AF4" s="1714"/>
      <c r="AG4" s="1714"/>
      <c r="AH4" s="1714"/>
    </row>
    <row r="6" spans="1:35" ht="14.25" x14ac:dyDescent="0.2">
      <c r="C6" s="25" t="str">
        <f>'TRAD-Saisie données file act.'!B5</f>
        <v>A. SELECTION - Quels médicaments souhaitez vous pour chaque schéma thérapeutique Adulte ?</v>
      </c>
      <c r="D6" s="25"/>
      <c r="E6" s="25"/>
      <c r="F6" s="25"/>
      <c r="G6" s="25"/>
      <c r="H6" s="25"/>
      <c r="I6" s="25"/>
      <c r="J6" s="25"/>
      <c r="K6" s="25"/>
      <c r="L6" s="25"/>
      <c r="M6" s="25"/>
      <c r="N6" s="25"/>
    </row>
    <row r="7" spans="1:35" customFormat="1" x14ac:dyDescent="0.2">
      <c r="AD7" s="836"/>
      <c r="AE7" s="836"/>
      <c r="AF7" s="836"/>
      <c r="AG7" s="836"/>
      <c r="AH7" s="836"/>
    </row>
    <row r="8" spans="1:35" customFormat="1" x14ac:dyDescent="0.2">
      <c r="D8" s="61" t="str">
        <f>'TRAD-Saisie données file act.'!B99</f>
        <v>Consigne d'utilisation</v>
      </c>
      <c r="E8" s="3234" t="str">
        <f>'TRAD-Saisie données file act.'!B8</f>
        <v>Ce tableau permet de définir les médicaments voulus pour chaque schéma thérapeutique.</v>
      </c>
      <c r="F8" s="3234"/>
      <c r="G8" s="3234"/>
      <c r="H8" s="3234"/>
      <c r="I8" s="3234"/>
      <c r="J8" s="3234"/>
      <c r="K8" s="3234"/>
      <c r="L8" s="3234"/>
      <c r="M8" s="3234"/>
      <c r="N8" s="3234"/>
      <c r="O8" s="3234"/>
      <c r="AD8" s="836"/>
      <c r="AE8" s="836"/>
      <c r="AF8" s="836"/>
      <c r="AG8" s="836"/>
      <c r="AH8" s="836"/>
    </row>
    <row r="9" spans="1:35" customFormat="1" ht="12.75" customHeight="1" x14ac:dyDescent="0.2">
      <c r="D9" s="61"/>
      <c r="E9" s="3234" t="str">
        <f>'TRAD-Saisie données file act.'!B9</f>
        <v>Pour cela, pour chaque schéma thérapeutique, mettre un X majuscule dans la case correspondant au médicament voulu</v>
      </c>
      <c r="F9" s="3234"/>
      <c r="G9" s="3234"/>
      <c r="H9" s="3234"/>
      <c r="I9" s="3234"/>
      <c r="J9" s="3234"/>
      <c r="K9" s="3234"/>
      <c r="L9" s="3234"/>
      <c r="M9" s="3234"/>
      <c r="N9" s="3234"/>
      <c r="O9" s="3234"/>
      <c r="AD9" s="836"/>
      <c r="AE9" s="836"/>
      <c r="AF9" s="836"/>
      <c r="AG9" s="836"/>
      <c r="AH9" s="836"/>
    </row>
    <row r="10" spans="1:35" customFormat="1" ht="12.75" customHeight="1" x14ac:dyDescent="0.2">
      <c r="D10" s="61"/>
      <c r="E10" s="3234" t="str">
        <f>'TRAD-Saisie données file act.'!B10</f>
        <v>Ces données seront prises en compte pour les patients sous traitement, pour les inclusions et pour les changements de ligne</v>
      </c>
      <c r="F10" s="3234"/>
      <c r="G10" s="3234"/>
      <c r="H10" s="3234"/>
      <c r="I10" s="3234"/>
      <c r="J10" s="3234"/>
      <c r="K10" s="3234"/>
      <c r="L10" s="3234"/>
      <c r="M10" s="3234"/>
      <c r="N10" s="3234"/>
      <c r="O10" s="3234"/>
      <c r="AD10" s="836"/>
      <c r="AE10" s="836"/>
      <c r="AF10" s="836"/>
      <c r="AG10" s="836"/>
      <c r="AH10" s="836"/>
    </row>
    <row r="11" spans="1:35" customFormat="1" x14ac:dyDescent="0.2">
      <c r="D11" s="325" t="str">
        <f>'TRAD-Saisie données file act.'!B7</f>
        <v>Attention</v>
      </c>
      <c r="E11" s="3225" t="str">
        <f>'TRAD-Saisie données file act.'!B11</f>
        <v>Si aucune case n'est remplie, aucun médicament ne sera pris en compte</v>
      </c>
      <c r="F11" s="3225"/>
      <c r="G11" s="3225"/>
      <c r="H11" s="3225"/>
      <c r="I11" s="3225"/>
      <c r="J11" s="3225"/>
      <c r="K11" s="3225"/>
      <c r="L11" s="3225"/>
      <c r="M11" s="3225"/>
      <c r="N11" s="3225"/>
      <c r="O11" s="3225"/>
      <c r="AD11" s="836"/>
      <c r="AE11" s="836"/>
      <c r="AF11" s="836"/>
      <c r="AG11" s="836"/>
      <c r="AH11" s="836"/>
    </row>
    <row r="12" spans="1:35" customFormat="1" ht="12.75" customHeight="1" x14ac:dyDescent="0.2">
      <c r="D12" s="61"/>
      <c r="E12" s="3225" t="str">
        <f>'TRAD-Saisie données file act.'!B12</f>
        <v>Si plusieurs cases sont remplies, l'ensemble des médicaments sera pris en compte</v>
      </c>
      <c r="F12" s="3225"/>
      <c r="G12" s="3225"/>
      <c r="H12" s="3225"/>
      <c r="I12" s="3225"/>
      <c r="J12" s="3225"/>
      <c r="K12" s="3225"/>
      <c r="L12" s="3225"/>
      <c r="M12" s="3225"/>
      <c r="N12" s="3225"/>
      <c r="O12" s="3225"/>
      <c r="AD12" s="836"/>
      <c r="AE12" s="836"/>
      <c r="AF12" s="836"/>
      <c r="AG12" s="836"/>
      <c r="AH12" s="836"/>
    </row>
    <row r="13" spans="1:35" customFormat="1" ht="25.5" customHeight="1" x14ac:dyDescent="0.2">
      <c r="D13" s="61"/>
      <c r="E13" s="3225" t="str">
        <f>'TRAD-Saisie données file act.'!B13</f>
        <v>Les paramètres renseignés ci-dessous ne modifient pas la répartition par ligne. Par exemple, si vous souhaitez que tous vos patients sous TDF+FTC reçoivent du TDF+3TC, il faut le renseigner dans les tableaux des parties B. &amp; C.</v>
      </c>
      <c r="F13" s="3225"/>
      <c r="G13" s="3225"/>
      <c r="H13" s="3225"/>
      <c r="I13" s="3225"/>
      <c r="J13" s="3225"/>
      <c r="K13" s="3225"/>
      <c r="L13" s="326"/>
      <c r="M13" s="326"/>
      <c r="N13" s="326"/>
      <c r="O13" s="326"/>
      <c r="AD13" s="836"/>
      <c r="AE13" s="836"/>
      <c r="AF13" s="836"/>
      <c r="AG13" s="836"/>
      <c r="AH13" s="836"/>
    </row>
    <row r="15" spans="1:35" ht="26.25" customHeight="1" thickBot="1" x14ac:dyDescent="0.25">
      <c r="C15" s="320"/>
      <c r="D15" s="58" t="str">
        <f>'TRAD-Saisie données file act.'!B15</f>
        <v>Schéma thérapeutique</v>
      </c>
      <c r="E15" s="1384" t="str">
        <f>'TRAD-Saisie données file act.'!B16</f>
        <v>Option choisie</v>
      </c>
      <c r="F15" s="58" t="str">
        <f>'TRAD-Saisie données file act.'!B17</f>
        <v>Médicament 1</v>
      </c>
      <c r="G15" s="58" t="str">
        <f>'TRAD-Saisie données file act.'!B18</f>
        <v>Médicament 2</v>
      </c>
      <c r="H15" s="58" t="str">
        <f>'TRAD-Saisie données file act.'!B19</f>
        <v>Médicament 3</v>
      </c>
      <c r="I15" s="3242" t="str">
        <f>'TRAD-Saisie données file act.'!B20</f>
        <v>Commentaires</v>
      </c>
      <c r="J15" s="3243"/>
      <c r="K15" s="3243"/>
      <c r="L15" s="3244"/>
    </row>
    <row r="16" spans="1:35" ht="26.25" customHeight="1" thickBot="1" x14ac:dyDescent="0.25">
      <c r="B16" s="4" t="s">
        <v>472</v>
      </c>
      <c r="C16" s="17"/>
      <c r="D16" s="324" t="s">
        <v>235</v>
      </c>
      <c r="E16" s="3020"/>
      <c r="F16" s="318" t="s">
        <v>236</v>
      </c>
      <c r="G16" s="319" t="s">
        <v>389</v>
      </c>
      <c r="H16" s="319"/>
      <c r="I16" s="3239" t="str">
        <f>'TRAD-Saisie données file act.'!B21</f>
        <v>Dans ce cas on considère 1 boite et 15 cp de AZT+3TC+NVP le premier mois</v>
      </c>
      <c r="J16" s="3240"/>
      <c r="K16" s="3240"/>
      <c r="L16" s="3241"/>
    </row>
    <row r="17" spans="2:48" ht="25.5" customHeight="1" thickBot="1" x14ac:dyDescent="0.25">
      <c r="C17" s="17"/>
      <c r="D17" s="321"/>
      <c r="E17" s="3021"/>
      <c r="F17" s="322" t="s">
        <v>237</v>
      </c>
      <c r="G17" s="323" t="s">
        <v>390</v>
      </c>
      <c r="H17" s="323"/>
      <c r="I17" s="3245" t="str">
        <f>'TRAD-Saisie données file act.'!B22</f>
        <v>Dans ce cas, on considère pour le premier mois 30 cp d'AZT+3TC et 15 cp de NVP puis 1 boite d'AZT+3TC+NVP</v>
      </c>
      <c r="J17" s="3246"/>
      <c r="K17" s="3246"/>
      <c r="L17" s="3247"/>
    </row>
    <row r="18" spans="2:48" ht="30" customHeight="1" thickBot="1" x14ac:dyDescent="0.25">
      <c r="C18" s="17"/>
      <c r="D18" s="324" t="s">
        <v>238</v>
      </c>
      <c r="E18" s="3020"/>
      <c r="F18" s="318" t="s">
        <v>239</v>
      </c>
      <c r="G18" s="319" t="s">
        <v>391</v>
      </c>
      <c r="H18" s="319"/>
      <c r="I18" s="3239" t="str">
        <f>'TRAD-Saisie données file act.'!B23</f>
        <v>Dans ce cas on considère 1 boite et 15 cp de D4T+3TC+NVP le premier mois</v>
      </c>
      <c r="J18" s="3240"/>
      <c r="K18" s="3240"/>
      <c r="L18" s="3241"/>
    </row>
    <row r="19" spans="2:48" ht="30" customHeight="1" thickBot="1" x14ac:dyDescent="0.25">
      <c r="C19" s="17"/>
      <c r="D19" s="321"/>
      <c r="E19" s="3021"/>
      <c r="F19" s="322" t="s">
        <v>240</v>
      </c>
      <c r="G19" s="323" t="s">
        <v>390</v>
      </c>
      <c r="H19" s="323"/>
      <c r="I19" s="3245" t="str">
        <f>'TRAD-Saisie données file act.'!B24</f>
        <v>Dans ce cas, on considère pour le premier mois 30 cp d'D4T+3TC et 15 cp de NVP puis 1 boite de D4T+3TC+NVP</v>
      </c>
      <c r="J19" s="3246"/>
      <c r="K19" s="3246"/>
      <c r="L19" s="3247"/>
    </row>
    <row r="20" spans="2:48" customFormat="1" ht="30" customHeight="1" thickBot="1" x14ac:dyDescent="0.25"/>
    <row r="21" spans="2:48" s="356" customFormat="1" ht="13.5" thickBot="1" x14ac:dyDescent="0.25">
      <c r="C21" s="881"/>
      <c r="D21" s="882"/>
      <c r="E21" s="1686" t="str">
        <f>'TRAD-Saisie données file act.'!B25</f>
        <v>Formes solides (cp/gél/caps)</v>
      </c>
      <c r="F21" s="1687"/>
      <c r="G21" s="1687"/>
      <c r="H21" s="1687"/>
      <c r="I21" s="1687"/>
      <c r="J21" s="1687"/>
      <c r="K21" s="1687"/>
      <c r="L21" s="1687"/>
      <c r="M21" s="1687"/>
      <c r="N21" s="1687"/>
      <c r="O21" s="1687"/>
      <c r="P21" s="1687"/>
      <c r="Q21" s="1687"/>
      <c r="R21" s="1687"/>
      <c r="S21" s="1687"/>
      <c r="T21" s="1687"/>
      <c r="U21" s="1687"/>
      <c r="V21" s="1687"/>
      <c r="W21" s="1687"/>
      <c r="X21" s="1687"/>
      <c r="Y21" s="1687"/>
      <c r="Z21" s="1687"/>
      <c r="AA21" s="1687"/>
      <c r="AB21" s="1687"/>
      <c r="AC21" s="1687"/>
      <c r="AD21" s="1687"/>
      <c r="AE21" s="1687"/>
      <c r="AF21" s="1687"/>
      <c r="AG21" s="1687"/>
      <c r="AH21" s="1687"/>
      <c r="AI21" s="1687"/>
      <c r="AJ21" s="1687"/>
      <c r="AK21" s="1687"/>
      <c r="AL21" s="1687"/>
      <c r="AM21" s="1687"/>
      <c r="AN21" s="1687"/>
      <c r="AO21" s="1687"/>
      <c r="AP21" s="1687"/>
      <c r="AQ21" s="1687"/>
      <c r="AR21" s="1687"/>
      <c r="AS21" s="1687"/>
      <c r="AT21" s="1687"/>
      <c r="AU21" s="1688"/>
      <c r="AV21" s="881"/>
    </row>
    <row r="22" spans="2:48" s="356" customFormat="1" ht="13.5" thickBot="1" x14ac:dyDescent="0.25">
      <c r="C22" s="883"/>
      <c r="D22" s="1003"/>
      <c r="E22" s="1686" t="s">
        <v>15</v>
      </c>
      <c r="F22" s="1687"/>
      <c r="G22" s="1687"/>
      <c r="H22" s="1687"/>
      <c r="I22" s="1687"/>
      <c r="J22" s="1687"/>
      <c r="K22" s="1687"/>
      <c r="L22" s="1687"/>
      <c r="M22" s="1687"/>
      <c r="N22" s="1687"/>
      <c r="O22" s="1687"/>
      <c r="P22" s="1687"/>
      <c r="Q22" s="1687"/>
      <c r="R22" s="1687"/>
      <c r="S22" s="1688"/>
      <c r="T22" s="1686" t="s">
        <v>26</v>
      </c>
      <c r="U22" s="1687"/>
      <c r="V22" s="1687"/>
      <c r="W22" s="1687"/>
      <c r="X22" s="1687"/>
      <c r="Y22" s="1688"/>
      <c r="Z22" s="1686" t="s">
        <v>31</v>
      </c>
      <c r="AA22" s="1687"/>
      <c r="AB22" s="1687"/>
      <c r="AC22" s="1687"/>
      <c r="AD22" s="1687"/>
      <c r="AE22" s="1687"/>
      <c r="AF22" s="1687"/>
      <c r="AG22" s="1687"/>
      <c r="AH22" s="1687"/>
      <c r="AI22" s="1687"/>
      <c r="AJ22" s="1688"/>
      <c r="AK22" s="1686" t="s">
        <v>41</v>
      </c>
      <c r="AL22" s="1687"/>
      <c r="AM22" s="1687"/>
      <c r="AN22" s="1687"/>
      <c r="AO22" s="1687"/>
      <c r="AP22" s="1687"/>
      <c r="AQ22" s="1687"/>
      <c r="AR22" s="1687"/>
      <c r="AS22" s="1687"/>
      <c r="AT22" s="1688"/>
      <c r="AU22" s="885" t="s">
        <v>266</v>
      </c>
      <c r="AV22" s="1004"/>
    </row>
    <row r="23" spans="2:48" s="358" customFormat="1" ht="26.25" thickBot="1" x14ac:dyDescent="0.25">
      <c r="C23" s="883"/>
      <c r="D23" s="886" t="str">
        <f>'TRAD-Saisie données file act.'!B26</f>
        <v>Composition</v>
      </c>
      <c r="E23" s="887" t="s">
        <v>1</v>
      </c>
      <c r="F23" s="874" t="s">
        <v>1</v>
      </c>
      <c r="G23" s="874" t="s">
        <v>3</v>
      </c>
      <c r="H23" s="874" t="s">
        <v>18</v>
      </c>
      <c r="I23" s="874" t="s">
        <v>18</v>
      </c>
      <c r="J23" s="874" t="s">
        <v>474</v>
      </c>
      <c r="K23" s="1689" t="s">
        <v>474</v>
      </c>
      <c r="L23" s="874" t="s">
        <v>2</v>
      </c>
      <c r="M23" s="874" t="s">
        <v>2</v>
      </c>
      <c r="N23" s="874" t="s">
        <v>22</v>
      </c>
      <c r="O23" s="874" t="s">
        <v>9</v>
      </c>
      <c r="P23" s="874" t="s">
        <v>121</v>
      </c>
      <c r="Q23" s="874" t="s">
        <v>4</v>
      </c>
      <c r="R23" s="874" t="s">
        <v>228</v>
      </c>
      <c r="S23" s="888" t="s">
        <v>612</v>
      </c>
      <c r="T23" s="887" t="s">
        <v>27</v>
      </c>
      <c r="U23" s="874" t="s">
        <v>27</v>
      </c>
      <c r="V23" s="874" t="s">
        <v>27</v>
      </c>
      <c r="W23" s="1694" t="s">
        <v>354</v>
      </c>
      <c r="X23" s="1694" t="s">
        <v>29</v>
      </c>
      <c r="Y23" s="888" t="s">
        <v>619</v>
      </c>
      <c r="Z23" s="887" t="s">
        <v>36</v>
      </c>
      <c r="AA23" s="1697" t="s">
        <v>36</v>
      </c>
      <c r="AB23" s="874" t="s">
        <v>32</v>
      </c>
      <c r="AC23" s="1689" t="s">
        <v>32</v>
      </c>
      <c r="AD23" s="1689" t="s">
        <v>32</v>
      </c>
      <c r="AE23" s="874" t="s">
        <v>82</v>
      </c>
      <c r="AF23" s="874" t="s">
        <v>34</v>
      </c>
      <c r="AG23" s="1689" t="s">
        <v>34</v>
      </c>
      <c r="AH23" s="874" t="s">
        <v>37</v>
      </c>
      <c r="AI23" s="874" t="s">
        <v>37</v>
      </c>
      <c r="AJ23" s="888" t="s">
        <v>40</v>
      </c>
      <c r="AK23" s="887" t="s">
        <v>42</v>
      </c>
      <c r="AL23" s="1697" t="s">
        <v>42</v>
      </c>
      <c r="AM23" s="874" t="s">
        <v>601</v>
      </c>
      <c r="AN23" s="1689" t="s">
        <v>598</v>
      </c>
      <c r="AO23" s="874" t="s">
        <v>475</v>
      </c>
      <c r="AP23" s="874" t="s">
        <v>139</v>
      </c>
      <c r="AQ23" s="874" t="s">
        <v>477</v>
      </c>
      <c r="AR23" s="874" t="s">
        <v>476</v>
      </c>
      <c r="AS23" s="874" t="s">
        <v>45</v>
      </c>
      <c r="AT23" s="888" t="s">
        <v>45</v>
      </c>
      <c r="AU23" s="889" t="s">
        <v>267</v>
      </c>
      <c r="AV23" s="1005"/>
    </row>
    <row r="24" spans="2:48" s="1008" customFormat="1" ht="26.25" thickBot="1" x14ac:dyDescent="0.3">
      <c r="B24" s="1006"/>
      <c r="C24" s="883"/>
      <c r="D24" s="886" t="str">
        <f>'TRAD-Saisie données file act.'!B27</f>
        <v>Dosage</v>
      </c>
      <c r="E24" s="890" t="s">
        <v>17</v>
      </c>
      <c r="F24" s="875" t="s">
        <v>258</v>
      </c>
      <c r="G24" s="875" t="s">
        <v>137</v>
      </c>
      <c r="H24" s="875" t="s">
        <v>19</v>
      </c>
      <c r="I24" s="875" t="s">
        <v>260</v>
      </c>
      <c r="J24" s="875" t="s">
        <v>478</v>
      </c>
      <c r="K24" s="875" t="s">
        <v>610</v>
      </c>
      <c r="L24" s="875" t="s">
        <v>21</v>
      </c>
      <c r="M24" s="875" t="s">
        <v>102</v>
      </c>
      <c r="N24" s="875" t="s">
        <v>23</v>
      </c>
      <c r="O24" s="875" t="s">
        <v>130</v>
      </c>
      <c r="P24" s="875" t="s">
        <v>25</v>
      </c>
      <c r="Q24" s="875" t="s">
        <v>130</v>
      </c>
      <c r="R24" s="875" t="s">
        <v>25</v>
      </c>
      <c r="S24" s="891" t="s">
        <v>613</v>
      </c>
      <c r="T24" s="890" t="s">
        <v>105</v>
      </c>
      <c r="U24" s="875" t="s">
        <v>30</v>
      </c>
      <c r="V24" s="875" t="s">
        <v>28</v>
      </c>
      <c r="W24" s="1695" t="s">
        <v>30</v>
      </c>
      <c r="X24" s="1695" t="s">
        <v>30</v>
      </c>
      <c r="Y24" s="891" t="s">
        <v>620</v>
      </c>
      <c r="Z24" s="890" t="s">
        <v>33</v>
      </c>
      <c r="AA24" s="1698" t="s">
        <v>611</v>
      </c>
      <c r="AB24" s="875" t="s">
        <v>33</v>
      </c>
      <c r="AC24" s="875" t="s">
        <v>46</v>
      </c>
      <c r="AD24" s="875" t="s">
        <v>611</v>
      </c>
      <c r="AE24" s="875" t="s">
        <v>222</v>
      </c>
      <c r="AF24" s="875" t="s">
        <v>35</v>
      </c>
      <c r="AG24" s="875" t="s">
        <v>222</v>
      </c>
      <c r="AH24" s="875" t="s">
        <v>38</v>
      </c>
      <c r="AI24" s="875" t="s">
        <v>39</v>
      </c>
      <c r="AJ24" s="891" t="s">
        <v>33</v>
      </c>
      <c r="AK24" s="890" t="s">
        <v>43</v>
      </c>
      <c r="AL24" s="1698" t="s">
        <v>496</v>
      </c>
      <c r="AM24" s="875" t="s">
        <v>607</v>
      </c>
      <c r="AN24" s="875" t="s">
        <v>616</v>
      </c>
      <c r="AO24" s="875" t="s">
        <v>39</v>
      </c>
      <c r="AP24" s="875" t="s">
        <v>39</v>
      </c>
      <c r="AQ24" s="875" t="s">
        <v>33</v>
      </c>
      <c r="AR24" s="875" t="s">
        <v>134</v>
      </c>
      <c r="AS24" s="875" t="s">
        <v>46</v>
      </c>
      <c r="AT24" s="891" t="s">
        <v>46</v>
      </c>
      <c r="AU24" s="892" t="s">
        <v>39</v>
      </c>
      <c r="AV24" s="1007"/>
    </row>
    <row r="25" spans="2:48" s="1008" customFormat="1" ht="14.25" thickBot="1" x14ac:dyDescent="0.3">
      <c r="B25" s="1006"/>
      <c r="C25" s="883"/>
      <c r="D25" s="886" t="str">
        <f>'TRAD-Saisie données file act.'!B28</f>
        <v>Posologies (nb de cp / jour)</v>
      </c>
      <c r="E25" s="890">
        <v>2</v>
      </c>
      <c r="F25" s="875">
        <v>2</v>
      </c>
      <c r="G25" s="875">
        <v>2</v>
      </c>
      <c r="H25" s="875">
        <v>2</v>
      </c>
      <c r="I25" s="875">
        <v>2</v>
      </c>
      <c r="J25" s="875">
        <v>1</v>
      </c>
      <c r="K25" s="875">
        <v>2</v>
      </c>
      <c r="L25" s="875">
        <v>2</v>
      </c>
      <c r="M25" s="875">
        <v>2</v>
      </c>
      <c r="N25" s="875">
        <v>2</v>
      </c>
      <c r="O25" s="875">
        <v>1</v>
      </c>
      <c r="P25" s="875">
        <v>1</v>
      </c>
      <c r="Q25" s="875">
        <v>1</v>
      </c>
      <c r="R25" s="875">
        <v>1</v>
      </c>
      <c r="S25" s="891">
        <v>1</v>
      </c>
      <c r="T25" s="890"/>
      <c r="U25" s="875"/>
      <c r="V25" s="875">
        <v>1</v>
      </c>
      <c r="W25" s="1695">
        <v>2</v>
      </c>
      <c r="X25" s="1695">
        <v>2</v>
      </c>
      <c r="Y25" s="891">
        <v>1</v>
      </c>
      <c r="Z25" s="890">
        <v>2</v>
      </c>
      <c r="AA25" s="1698">
        <v>2</v>
      </c>
      <c r="AB25" s="875">
        <v>2</v>
      </c>
      <c r="AC25" s="875"/>
      <c r="AD25" s="875">
        <v>2</v>
      </c>
      <c r="AE25" s="875">
        <v>2</v>
      </c>
      <c r="AF25" s="875">
        <v>2</v>
      </c>
      <c r="AG25" s="875">
        <v>2</v>
      </c>
      <c r="AH25" s="875">
        <v>1</v>
      </c>
      <c r="AI25" s="875">
        <v>1</v>
      </c>
      <c r="AJ25" s="891">
        <v>1</v>
      </c>
      <c r="AK25" s="890">
        <v>4</v>
      </c>
      <c r="AL25" s="1698">
        <v>2</v>
      </c>
      <c r="AM25" s="875">
        <v>2</v>
      </c>
      <c r="AN25" s="875">
        <v>2</v>
      </c>
      <c r="AO25" s="875">
        <v>6</v>
      </c>
      <c r="AP25" s="875">
        <v>4</v>
      </c>
      <c r="AQ25" s="875">
        <v>4</v>
      </c>
      <c r="AR25" s="875">
        <v>4</v>
      </c>
      <c r="AS25" s="875">
        <v>1</v>
      </c>
      <c r="AT25" s="891">
        <v>2</v>
      </c>
      <c r="AU25" s="892">
        <v>2</v>
      </c>
      <c r="AV25" s="1007"/>
    </row>
    <row r="26" spans="2:48" s="1008" customFormat="1" ht="39" thickBot="1" x14ac:dyDescent="0.3">
      <c r="B26" s="1006"/>
      <c r="C26" s="3251" t="str">
        <f>'TRAD-Saisie données file act.'!B15</f>
        <v>Schéma thérapeutique</v>
      </c>
      <c r="D26" s="886" t="str">
        <f>'TRAD-Saisie données file act.'!B29</f>
        <v>Conditionnement</v>
      </c>
      <c r="E26" s="876">
        <v>60</v>
      </c>
      <c r="F26" s="877">
        <v>60</v>
      </c>
      <c r="G26" s="877">
        <v>60</v>
      </c>
      <c r="H26" s="877">
        <v>60</v>
      </c>
      <c r="I26" s="877">
        <v>60</v>
      </c>
      <c r="J26" s="877">
        <v>30</v>
      </c>
      <c r="K26" s="877">
        <v>60</v>
      </c>
      <c r="L26" s="877">
        <v>60</v>
      </c>
      <c r="M26" s="877">
        <v>60</v>
      </c>
      <c r="N26" s="877">
        <v>60</v>
      </c>
      <c r="O26" s="877">
        <v>30</v>
      </c>
      <c r="P26" s="877">
        <v>30</v>
      </c>
      <c r="Q26" s="877">
        <v>30</v>
      </c>
      <c r="R26" s="877">
        <v>30</v>
      </c>
      <c r="S26" s="878">
        <v>30</v>
      </c>
      <c r="T26" s="876">
        <v>30</v>
      </c>
      <c r="U26" s="877">
        <v>90</v>
      </c>
      <c r="V26" s="877">
        <v>30</v>
      </c>
      <c r="W26" s="1696">
        <v>60</v>
      </c>
      <c r="X26" s="1696">
        <v>60</v>
      </c>
      <c r="Y26" s="878">
        <v>30</v>
      </c>
      <c r="Z26" s="876">
        <v>60</v>
      </c>
      <c r="AA26" s="1699">
        <v>60</v>
      </c>
      <c r="AB26" s="877">
        <v>60</v>
      </c>
      <c r="AC26" s="877">
        <v>100</v>
      </c>
      <c r="AD26" s="877">
        <v>60</v>
      </c>
      <c r="AE26" s="877">
        <v>60</v>
      </c>
      <c r="AF26" s="877">
        <v>60</v>
      </c>
      <c r="AG26" s="877">
        <v>60</v>
      </c>
      <c r="AH26" s="877">
        <v>30</v>
      </c>
      <c r="AI26" s="877">
        <v>30</v>
      </c>
      <c r="AJ26" s="878">
        <v>30</v>
      </c>
      <c r="AK26" s="876">
        <v>120</v>
      </c>
      <c r="AL26" s="1699">
        <v>60</v>
      </c>
      <c r="AM26" s="877">
        <v>60</v>
      </c>
      <c r="AN26" s="877">
        <v>60</v>
      </c>
      <c r="AO26" s="877">
        <v>180</v>
      </c>
      <c r="AP26" s="877">
        <v>180</v>
      </c>
      <c r="AQ26" s="877">
        <v>120</v>
      </c>
      <c r="AR26" s="877">
        <v>120</v>
      </c>
      <c r="AS26" s="877">
        <v>84</v>
      </c>
      <c r="AT26" s="878">
        <v>84</v>
      </c>
      <c r="AU26" s="879">
        <v>60</v>
      </c>
      <c r="AV26" s="880" t="str">
        <f>'TRAD-Saisie données file act.'!B33</f>
        <v>Nb de médicaments cochés</v>
      </c>
    </row>
    <row r="27" spans="2:48" s="1008" customFormat="1" ht="14.25" thickBot="1" x14ac:dyDescent="0.3">
      <c r="B27" s="1006"/>
      <c r="C27" s="3252"/>
      <c r="D27" s="886" t="str">
        <f>'TRAD-Saisie données file act.'!B30</f>
        <v>Premières lignes</v>
      </c>
      <c r="E27" s="1009"/>
      <c r="F27" s="1009"/>
      <c r="G27" s="1009"/>
      <c r="H27" s="1009"/>
      <c r="I27" s="1009"/>
      <c r="J27" s="1009"/>
      <c r="K27" s="1009"/>
      <c r="L27" s="1009"/>
      <c r="M27" s="1009"/>
      <c r="N27" s="1009"/>
      <c r="O27" s="1009"/>
      <c r="P27" s="1009"/>
      <c r="Q27" s="1009"/>
      <c r="R27" s="1009"/>
      <c r="S27" s="1009"/>
      <c r="T27" s="1009"/>
      <c r="U27" s="1009"/>
      <c r="V27" s="1009"/>
      <c r="W27" s="1009"/>
      <c r="X27" s="1009"/>
      <c r="Y27" s="1009"/>
      <c r="Z27" s="1009"/>
      <c r="AA27" s="1009"/>
      <c r="AB27" s="1009"/>
      <c r="AC27" s="1009"/>
      <c r="AD27" s="1009"/>
      <c r="AE27" s="1009"/>
      <c r="AF27" s="1009"/>
      <c r="AG27" s="1009"/>
      <c r="AH27" s="1009"/>
      <c r="AI27" s="1009"/>
      <c r="AJ27" s="1009"/>
      <c r="AK27" s="1010"/>
      <c r="AL27" s="1010"/>
      <c r="AM27" s="1010"/>
      <c r="AN27" s="1010"/>
      <c r="AO27" s="1010"/>
      <c r="AP27" s="1010"/>
      <c r="AQ27" s="1010"/>
      <c r="AR27" s="1010"/>
      <c r="AS27" s="1009"/>
      <c r="AT27" s="1009"/>
      <c r="AU27" s="1011"/>
      <c r="AV27" s="1012"/>
    </row>
    <row r="28" spans="2:48" s="1008" customFormat="1" ht="13.5" x14ac:dyDescent="0.25">
      <c r="B28" s="1006"/>
      <c r="C28" s="3252"/>
      <c r="D28" s="3015" t="s">
        <v>9</v>
      </c>
      <c r="E28" s="1018"/>
      <c r="F28" s="1019"/>
      <c r="G28" s="1019"/>
      <c r="H28" s="1019"/>
      <c r="I28" s="1019"/>
      <c r="J28" s="1019"/>
      <c r="K28" s="1019"/>
      <c r="L28" s="1019"/>
      <c r="M28" s="1019"/>
      <c r="N28" s="1019"/>
      <c r="O28" s="1019"/>
      <c r="P28" s="1019"/>
      <c r="Q28" s="1019"/>
      <c r="R28" s="1019"/>
      <c r="S28" s="1019"/>
      <c r="T28" s="1019"/>
      <c r="U28" s="1019"/>
      <c r="V28" s="1019"/>
      <c r="W28" s="1019"/>
      <c r="X28" s="1019"/>
      <c r="Y28" s="1019"/>
      <c r="Z28" s="1019"/>
      <c r="AA28" s="1019"/>
      <c r="AB28" s="1019"/>
      <c r="AC28" s="1019"/>
      <c r="AD28" s="1019"/>
      <c r="AE28" s="1019"/>
      <c r="AF28" s="1019"/>
      <c r="AG28" s="1019"/>
      <c r="AH28" s="1019"/>
      <c r="AI28" s="1019"/>
      <c r="AJ28" s="1019"/>
      <c r="AK28" s="1020"/>
      <c r="AL28" s="1020"/>
      <c r="AM28" s="1020"/>
      <c r="AN28" s="1020"/>
      <c r="AO28" s="1020"/>
      <c r="AP28" s="1020"/>
      <c r="AQ28" s="1020"/>
      <c r="AR28" s="1020"/>
      <c r="AS28" s="1019"/>
      <c r="AT28" s="1019"/>
      <c r="AU28" s="1021"/>
      <c r="AV28" s="1013">
        <f t="shared" ref="AV28:AV38" si="0">COUNTA(E28:AU28)</f>
        <v>0</v>
      </c>
    </row>
    <row r="29" spans="2:48" s="1008" customFormat="1" ht="13.5" x14ac:dyDescent="0.25">
      <c r="B29" s="1006"/>
      <c r="C29" s="3252"/>
      <c r="D29" s="3016" t="s">
        <v>1966</v>
      </c>
      <c r="E29" s="1372"/>
      <c r="F29" s="1373"/>
      <c r="G29" s="1373"/>
      <c r="H29" s="1373"/>
      <c r="I29" s="1373"/>
      <c r="J29" s="1373"/>
      <c r="K29" s="1373"/>
      <c r="L29" s="1373"/>
      <c r="M29" s="1373"/>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4"/>
      <c r="AL29" s="1374"/>
      <c r="AM29" s="1374"/>
      <c r="AN29" s="1374"/>
      <c r="AO29" s="1374"/>
      <c r="AP29" s="1374"/>
      <c r="AQ29" s="1374"/>
      <c r="AR29" s="1374"/>
      <c r="AS29" s="1373"/>
      <c r="AT29" s="1373"/>
      <c r="AU29" s="1375"/>
      <c r="AV29" s="1014">
        <f t="shared" si="0"/>
        <v>0</v>
      </c>
    </row>
    <row r="30" spans="2:48" s="1008" customFormat="1" ht="13.5" x14ac:dyDescent="0.25">
      <c r="B30" s="1006"/>
      <c r="C30" s="3252"/>
      <c r="D30" s="3016" t="s">
        <v>1967</v>
      </c>
      <c r="E30" s="1372"/>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1373"/>
      <c r="AI30" s="1373"/>
      <c r="AJ30" s="1373"/>
      <c r="AK30" s="1374"/>
      <c r="AL30" s="1374"/>
      <c r="AM30" s="1374"/>
      <c r="AN30" s="1374"/>
      <c r="AO30" s="1374"/>
      <c r="AP30" s="1374"/>
      <c r="AQ30" s="1374"/>
      <c r="AR30" s="1374"/>
      <c r="AS30" s="1373"/>
      <c r="AT30" s="1373"/>
      <c r="AU30" s="1375"/>
      <c r="AV30" s="1014">
        <f t="shared" si="0"/>
        <v>0</v>
      </c>
    </row>
    <row r="31" spans="2:48" s="1008" customFormat="1" ht="13.5" x14ac:dyDescent="0.25">
      <c r="B31" s="1006"/>
      <c r="C31" s="3252"/>
      <c r="D31" s="3016"/>
      <c r="E31" s="1372"/>
      <c r="F31" s="1373"/>
      <c r="G31" s="1373"/>
      <c r="H31" s="1373"/>
      <c r="I31" s="1373"/>
      <c r="J31" s="1373"/>
      <c r="K31" s="1373"/>
      <c r="L31" s="1373"/>
      <c r="M31" s="1373"/>
      <c r="N31" s="1373"/>
      <c r="O31" s="1373"/>
      <c r="P31" s="1373"/>
      <c r="Q31" s="1373"/>
      <c r="R31" s="1373"/>
      <c r="S31" s="1373"/>
      <c r="T31" s="1373"/>
      <c r="U31" s="1373"/>
      <c r="V31" s="1373"/>
      <c r="W31" s="1373"/>
      <c r="X31" s="1373"/>
      <c r="Y31" s="1373"/>
      <c r="Z31" s="1373"/>
      <c r="AA31" s="1373"/>
      <c r="AB31" s="1373"/>
      <c r="AC31" s="1373"/>
      <c r="AD31" s="1373"/>
      <c r="AE31" s="1373"/>
      <c r="AF31" s="1373"/>
      <c r="AG31" s="1373"/>
      <c r="AH31" s="1373"/>
      <c r="AI31" s="1373"/>
      <c r="AJ31" s="1373"/>
      <c r="AK31" s="1374"/>
      <c r="AL31" s="1374"/>
      <c r="AM31" s="1374"/>
      <c r="AN31" s="1374"/>
      <c r="AO31" s="1374"/>
      <c r="AP31" s="1374"/>
      <c r="AQ31" s="1374"/>
      <c r="AR31" s="1374"/>
      <c r="AS31" s="1373"/>
      <c r="AT31" s="1373"/>
      <c r="AU31" s="1375"/>
      <c r="AV31" s="1014">
        <f t="shared" si="0"/>
        <v>0</v>
      </c>
    </row>
    <row r="32" spans="2:48" s="1008" customFormat="1" ht="13.5" x14ac:dyDescent="0.25">
      <c r="B32" s="1006"/>
      <c r="C32" s="3252"/>
      <c r="D32" s="3016"/>
      <c r="E32" s="1372"/>
      <c r="F32" s="1373"/>
      <c r="G32" s="1373"/>
      <c r="H32" s="1373"/>
      <c r="I32" s="1373"/>
      <c r="J32" s="1373"/>
      <c r="K32" s="1373"/>
      <c r="L32" s="1373"/>
      <c r="M32" s="1373"/>
      <c r="N32" s="1373"/>
      <c r="O32" s="1373"/>
      <c r="P32" s="1373"/>
      <c r="Q32" s="1373"/>
      <c r="R32" s="1373"/>
      <c r="S32" s="1373"/>
      <c r="T32" s="1373"/>
      <c r="U32" s="1373"/>
      <c r="V32" s="1373"/>
      <c r="W32" s="1373"/>
      <c r="X32" s="1373"/>
      <c r="Y32" s="1373"/>
      <c r="Z32" s="1373"/>
      <c r="AA32" s="1373"/>
      <c r="AB32" s="1373"/>
      <c r="AC32" s="1373"/>
      <c r="AD32" s="1373"/>
      <c r="AE32" s="1373"/>
      <c r="AF32" s="1373"/>
      <c r="AG32" s="1373"/>
      <c r="AH32" s="1373"/>
      <c r="AI32" s="1373"/>
      <c r="AJ32" s="1373"/>
      <c r="AK32" s="1374"/>
      <c r="AL32" s="1374"/>
      <c r="AM32" s="1374"/>
      <c r="AN32" s="1374"/>
      <c r="AO32" s="1374"/>
      <c r="AP32" s="1374"/>
      <c r="AQ32" s="1374"/>
      <c r="AR32" s="1374"/>
      <c r="AS32" s="1373"/>
      <c r="AT32" s="1373"/>
      <c r="AU32" s="1375"/>
      <c r="AV32" s="1014">
        <f t="shared" si="0"/>
        <v>0</v>
      </c>
    </row>
    <row r="33" spans="2:48" s="1008" customFormat="1" ht="13.5" x14ac:dyDescent="0.25">
      <c r="B33" s="1006"/>
      <c r="C33" s="3252"/>
      <c r="D33" s="3016"/>
      <c r="E33" s="1372"/>
      <c r="F33" s="1373"/>
      <c r="G33" s="1373"/>
      <c r="H33" s="1373"/>
      <c r="I33" s="1373"/>
      <c r="J33" s="1373"/>
      <c r="K33" s="1373"/>
      <c r="L33" s="1373"/>
      <c r="M33" s="1373"/>
      <c r="N33" s="1373"/>
      <c r="O33" s="1373"/>
      <c r="P33" s="1373"/>
      <c r="Q33" s="1373"/>
      <c r="R33" s="1373"/>
      <c r="S33" s="1373"/>
      <c r="T33" s="1373"/>
      <c r="U33" s="1373"/>
      <c r="V33" s="1373"/>
      <c r="W33" s="1373"/>
      <c r="X33" s="1373"/>
      <c r="Y33" s="1373"/>
      <c r="Z33" s="1373"/>
      <c r="AA33" s="1373"/>
      <c r="AB33" s="1373"/>
      <c r="AC33" s="1373"/>
      <c r="AD33" s="1373"/>
      <c r="AE33" s="1373"/>
      <c r="AF33" s="1373"/>
      <c r="AG33" s="1373"/>
      <c r="AH33" s="1373"/>
      <c r="AI33" s="1373"/>
      <c r="AJ33" s="1373"/>
      <c r="AK33" s="1374"/>
      <c r="AL33" s="1374"/>
      <c r="AM33" s="1374"/>
      <c r="AN33" s="1374"/>
      <c r="AO33" s="1374"/>
      <c r="AP33" s="1374"/>
      <c r="AQ33" s="1374"/>
      <c r="AR33" s="1374"/>
      <c r="AS33" s="1373"/>
      <c r="AT33" s="1373"/>
      <c r="AU33" s="1375"/>
      <c r="AV33" s="1014">
        <f t="shared" si="0"/>
        <v>0</v>
      </c>
    </row>
    <row r="34" spans="2:48" s="1008" customFormat="1" ht="13.5" x14ac:dyDescent="0.25">
      <c r="B34" s="1006"/>
      <c r="C34" s="3252"/>
      <c r="D34" s="3016"/>
      <c r="E34" s="1372"/>
      <c r="F34" s="1373"/>
      <c r="G34" s="1373"/>
      <c r="H34" s="1373"/>
      <c r="I34" s="1373"/>
      <c r="J34" s="1373"/>
      <c r="K34" s="1373"/>
      <c r="L34" s="1373"/>
      <c r="M34" s="1373"/>
      <c r="N34" s="1373"/>
      <c r="O34" s="1373"/>
      <c r="P34" s="1373"/>
      <c r="Q34" s="1373"/>
      <c r="R34" s="1373"/>
      <c r="S34" s="1373"/>
      <c r="T34" s="1373"/>
      <c r="U34" s="1373"/>
      <c r="V34" s="1373"/>
      <c r="W34" s="1373"/>
      <c r="X34" s="1373"/>
      <c r="Y34" s="1373"/>
      <c r="Z34" s="1373"/>
      <c r="AA34" s="1373"/>
      <c r="AB34" s="1373"/>
      <c r="AC34" s="1373"/>
      <c r="AD34" s="1373"/>
      <c r="AE34" s="1373"/>
      <c r="AF34" s="1373"/>
      <c r="AG34" s="1373"/>
      <c r="AH34" s="1373"/>
      <c r="AI34" s="1373"/>
      <c r="AJ34" s="1373"/>
      <c r="AK34" s="1374"/>
      <c r="AL34" s="1374"/>
      <c r="AM34" s="1374"/>
      <c r="AN34" s="1374"/>
      <c r="AO34" s="1374"/>
      <c r="AP34" s="1374"/>
      <c r="AQ34" s="1374"/>
      <c r="AR34" s="1374"/>
      <c r="AS34" s="1373"/>
      <c r="AT34" s="1373"/>
      <c r="AU34" s="1375"/>
      <c r="AV34" s="1014">
        <f t="shared" si="0"/>
        <v>0</v>
      </c>
    </row>
    <row r="35" spans="2:48" s="1008" customFormat="1" ht="13.5" x14ac:dyDescent="0.25">
      <c r="B35" s="1006"/>
      <c r="C35" s="3252"/>
      <c r="D35" s="3016"/>
      <c r="E35" s="1372"/>
      <c r="F35" s="1373"/>
      <c r="G35" s="1373"/>
      <c r="H35" s="1373"/>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1373"/>
      <c r="AG35" s="1373"/>
      <c r="AH35" s="1373"/>
      <c r="AI35" s="1373"/>
      <c r="AJ35" s="1373"/>
      <c r="AK35" s="1374"/>
      <c r="AL35" s="1374"/>
      <c r="AM35" s="1374"/>
      <c r="AN35" s="1374"/>
      <c r="AO35" s="1374"/>
      <c r="AP35" s="1374"/>
      <c r="AQ35" s="1374"/>
      <c r="AR35" s="1374"/>
      <c r="AS35" s="1373"/>
      <c r="AT35" s="1373"/>
      <c r="AU35" s="1375"/>
      <c r="AV35" s="1014">
        <f t="shared" si="0"/>
        <v>0</v>
      </c>
    </row>
    <row r="36" spans="2:48" s="1008" customFormat="1" ht="13.5" x14ac:dyDescent="0.25">
      <c r="B36" s="1006"/>
      <c r="C36" s="3252"/>
      <c r="D36" s="3016"/>
      <c r="E36" s="1372"/>
      <c r="F36" s="1373"/>
      <c r="G36" s="1373"/>
      <c r="H36" s="1373"/>
      <c r="I36" s="1373"/>
      <c r="J36" s="1373"/>
      <c r="K36" s="1373"/>
      <c r="L36" s="1373"/>
      <c r="M36" s="1373"/>
      <c r="N36" s="1373"/>
      <c r="O36" s="1373"/>
      <c r="P36" s="1373"/>
      <c r="Q36" s="1373"/>
      <c r="R36" s="1373"/>
      <c r="S36" s="1373"/>
      <c r="T36" s="1373"/>
      <c r="U36" s="1373"/>
      <c r="V36" s="1373"/>
      <c r="W36" s="1373"/>
      <c r="X36" s="1373"/>
      <c r="Y36" s="1373"/>
      <c r="Z36" s="1373"/>
      <c r="AA36" s="1373"/>
      <c r="AB36" s="1373"/>
      <c r="AC36" s="1373"/>
      <c r="AD36" s="1373"/>
      <c r="AE36" s="1373"/>
      <c r="AF36" s="1373"/>
      <c r="AG36" s="1373"/>
      <c r="AH36" s="1373"/>
      <c r="AI36" s="1373"/>
      <c r="AJ36" s="1373"/>
      <c r="AK36" s="1374"/>
      <c r="AL36" s="1374"/>
      <c r="AM36" s="1374"/>
      <c r="AN36" s="1374"/>
      <c r="AO36" s="1374"/>
      <c r="AP36" s="1374"/>
      <c r="AQ36" s="1374"/>
      <c r="AR36" s="1374"/>
      <c r="AS36" s="1373"/>
      <c r="AT36" s="1373"/>
      <c r="AU36" s="1375"/>
      <c r="AV36" s="1014">
        <f t="shared" si="0"/>
        <v>0</v>
      </c>
    </row>
    <row r="37" spans="2:48" s="1008" customFormat="1" ht="13.5" x14ac:dyDescent="0.25">
      <c r="B37" s="1006"/>
      <c r="C37" s="3252"/>
      <c r="D37" s="3016"/>
      <c r="E37" s="1372"/>
      <c r="F37" s="1373"/>
      <c r="G37" s="1373"/>
      <c r="H37" s="1373"/>
      <c r="I37" s="1373"/>
      <c r="J37" s="1373"/>
      <c r="K37" s="1373"/>
      <c r="L37" s="1373"/>
      <c r="M37" s="1373"/>
      <c r="N37" s="1373"/>
      <c r="O37" s="1373"/>
      <c r="P37" s="1373"/>
      <c r="Q37" s="1373"/>
      <c r="R37" s="1373"/>
      <c r="S37" s="1373"/>
      <c r="T37" s="1373"/>
      <c r="U37" s="1373"/>
      <c r="V37" s="1373"/>
      <c r="W37" s="1373"/>
      <c r="X37" s="1373"/>
      <c r="Y37" s="1373"/>
      <c r="Z37" s="1373"/>
      <c r="AA37" s="1373"/>
      <c r="AB37" s="1373"/>
      <c r="AC37" s="1373"/>
      <c r="AD37" s="1373"/>
      <c r="AE37" s="1373"/>
      <c r="AF37" s="1373"/>
      <c r="AG37" s="1373"/>
      <c r="AH37" s="1373"/>
      <c r="AI37" s="1373"/>
      <c r="AJ37" s="1373"/>
      <c r="AK37" s="1374"/>
      <c r="AL37" s="1374"/>
      <c r="AM37" s="1374"/>
      <c r="AN37" s="1374"/>
      <c r="AO37" s="1374"/>
      <c r="AP37" s="1374"/>
      <c r="AQ37" s="1374"/>
      <c r="AR37" s="1374"/>
      <c r="AS37" s="1373"/>
      <c r="AT37" s="1373"/>
      <c r="AU37" s="1375"/>
      <c r="AV37" s="1014">
        <f t="shared" si="0"/>
        <v>0</v>
      </c>
    </row>
    <row r="38" spans="2:48" s="1008" customFormat="1" ht="14.25" thickBot="1" x14ac:dyDescent="0.3">
      <c r="B38" s="1006"/>
      <c r="C38" s="3252"/>
      <c r="D38" s="3017"/>
      <c r="E38" s="1376"/>
      <c r="F38" s="1377"/>
      <c r="G38" s="1377"/>
      <c r="H38" s="1377"/>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8"/>
      <c r="AL38" s="1378"/>
      <c r="AM38" s="1378"/>
      <c r="AN38" s="1378"/>
      <c r="AO38" s="1378"/>
      <c r="AP38" s="1378"/>
      <c r="AQ38" s="1378"/>
      <c r="AR38" s="1378"/>
      <c r="AS38" s="1377"/>
      <c r="AT38" s="1377"/>
      <c r="AU38" s="1379"/>
      <c r="AV38" s="1015">
        <f t="shared" si="0"/>
        <v>0</v>
      </c>
    </row>
    <row r="39" spans="2:48" s="1008" customFormat="1" ht="14.25" thickBot="1" x14ac:dyDescent="0.3">
      <c r="B39" s="1006"/>
      <c r="C39" s="3252"/>
      <c r="D39" s="886" t="str">
        <f>'TRAD-Saisie données file act.'!B31</f>
        <v>Deuxièmes lignes</v>
      </c>
      <c r="E39" s="1009"/>
      <c r="F39" s="1009"/>
      <c r="G39" s="1009"/>
      <c r="H39" s="1009"/>
      <c r="I39" s="1009"/>
      <c r="J39" s="1009"/>
      <c r="K39" s="1009"/>
      <c r="L39" s="1009"/>
      <c r="M39" s="1009"/>
      <c r="N39" s="1009"/>
      <c r="O39" s="1009"/>
      <c r="P39" s="1009"/>
      <c r="Q39" s="1009"/>
      <c r="R39" s="1009"/>
      <c r="S39" s="1009"/>
      <c r="T39" s="1009"/>
      <c r="U39" s="1009"/>
      <c r="V39" s="1009"/>
      <c r="W39" s="1009"/>
      <c r="X39" s="1009"/>
      <c r="Y39" s="1009"/>
      <c r="Z39" s="1009"/>
      <c r="AA39" s="1009"/>
      <c r="AB39" s="1009"/>
      <c r="AC39" s="1009"/>
      <c r="AD39" s="1009"/>
      <c r="AE39" s="1009"/>
      <c r="AF39" s="1009"/>
      <c r="AG39" s="1009"/>
      <c r="AH39" s="1009"/>
      <c r="AI39" s="1009"/>
      <c r="AJ39" s="1009"/>
      <c r="AK39" s="1010"/>
      <c r="AL39" s="1010"/>
      <c r="AM39" s="1010"/>
      <c r="AN39" s="1010"/>
      <c r="AO39" s="1010"/>
      <c r="AP39" s="1010"/>
      <c r="AQ39" s="1010"/>
      <c r="AR39" s="1010"/>
      <c r="AS39" s="1009"/>
      <c r="AT39" s="1009"/>
      <c r="AU39" s="1011"/>
      <c r="AV39" s="1012"/>
    </row>
    <row r="40" spans="2:48" s="1008" customFormat="1" ht="13.5" x14ac:dyDescent="0.25">
      <c r="B40" s="1006"/>
      <c r="C40" s="3252"/>
      <c r="D40" s="3015" t="s">
        <v>1968</v>
      </c>
      <c r="E40" s="1018"/>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22"/>
      <c r="AL40" s="1022"/>
      <c r="AM40" s="1020"/>
      <c r="AN40" s="1020"/>
      <c r="AO40" s="1022"/>
      <c r="AP40" s="1022"/>
      <c r="AQ40" s="1020"/>
      <c r="AR40" s="1020"/>
      <c r="AS40" s="1019"/>
      <c r="AT40" s="1019"/>
      <c r="AU40" s="1021"/>
      <c r="AV40" s="1013">
        <f>COUNTA(E40:AU40)</f>
        <v>0</v>
      </c>
    </row>
    <row r="41" spans="2:48" s="1008" customFormat="1" ht="13.5" x14ac:dyDescent="0.25">
      <c r="B41" s="1006"/>
      <c r="C41" s="3252"/>
      <c r="D41" s="3016" t="s">
        <v>1969</v>
      </c>
      <c r="E41" s="1700"/>
      <c r="F41" s="1701"/>
      <c r="G41" s="1701"/>
      <c r="H41" s="1701"/>
      <c r="I41" s="1701"/>
      <c r="J41" s="1701"/>
      <c r="K41" s="1701"/>
      <c r="L41" s="1701"/>
      <c r="M41" s="1701"/>
      <c r="N41" s="1701"/>
      <c r="O41" s="1701"/>
      <c r="P41" s="1701"/>
      <c r="Q41" s="1701"/>
      <c r="R41" s="1701"/>
      <c r="S41" s="1701"/>
      <c r="T41" s="1701"/>
      <c r="U41" s="1701"/>
      <c r="V41" s="1701"/>
      <c r="W41" s="1701"/>
      <c r="X41" s="1701"/>
      <c r="Y41" s="1701"/>
      <c r="Z41" s="1701"/>
      <c r="AA41" s="1701"/>
      <c r="AB41" s="1701"/>
      <c r="AC41" s="1701"/>
      <c r="AD41" s="1701"/>
      <c r="AE41" s="1701"/>
      <c r="AF41" s="1701"/>
      <c r="AG41" s="1701"/>
      <c r="AH41" s="1701"/>
      <c r="AI41" s="1701"/>
      <c r="AJ41" s="1701"/>
      <c r="AK41" s="1703"/>
      <c r="AL41" s="1703"/>
      <c r="AM41" s="1703"/>
      <c r="AN41" s="1702"/>
      <c r="AO41" s="1703"/>
      <c r="AP41" s="1703"/>
      <c r="AQ41" s="1702"/>
      <c r="AR41" s="1702"/>
      <c r="AS41" s="1701"/>
      <c r="AT41" s="1701"/>
      <c r="AU41" s="1704"/>
      <c r="AV41" s="1013">
        <f>COUNTA(E41:AU41)</f>
        <v>0</v>
      </c>
    </row>
    <row r="42" spans="2:48" s="1008" customFormat="1" ht="13.5" x14ac:dyDescent="0.25">
      <c r="B42" s="1006"/>
      <c r="C42" s="3252"/>
      <c r="D42" s="3016" t="s">
        <v>1970</v>
      </c>
      <c r="E42" s="1372"/>
      <c r="F42" s="1373"/>
      <c r="G42" s="1373"/>
      <c r="H42" s="1373"/>
      <c r="I42" s="1373"/>
      <c r="J42" s="1373"/>
      <c r="K42" s="1373"/>
      <c r="L42" s="1373"/>
      <c r="M42" s="1373"/>
      <c r="N42" s="1373"/>
      <c r="O42" s="1373"/>
      <c r="P42" s="1373"/>
      <c r="Q42" s="1373"/>
      <c r="R42" s="1373"/>
      <c r="S42" s="1373"/>
      <c r="T42" s="1373"/>
      <c r="U42" s="1373"/>
      <c r="V42" s="1373"/>
      <c r="W42" s="1373"/>
      <c r="X42" s="1373"/>
      <c r="Y42" s="1373"/>
      <c r="Z42" s="1373"/>
      <c r="AA42" s="1373"/>
      <c r="AB42" s="1373"/>
      <c r="AC42" s="1373"/>
      <c r="AD42" s="1373"/>
      <c r="AE42" s="1373"/>
      <c r="AF42" s="1373"/>
      <c r="AG42" s="1373"/>
      <c r="AH42" s="1373"/>
      <c r="AI42" s="1373"/>
      <c r="AJ42" s="1373"/>
      <c r="AK42" s="1380"/>
      <c r="AL42" s="1380"/>
      <c r="AM42" s="1374"/>
      <c r="AN42" s="1374"/>
      <c r="AO42" s="1380"/>
      <c r="AP42" s="1380"/>
      <c r="AQ42" s="1374"/>
      <c r="AR42" s="1374"/>
      <c r="AS42" s="1373"/>
      <c r="AT42" s="1373"/>
      <c r="AU42" s="1375"/>
      <c r="AV42" s="1016">
        <f t="shared" ref="AV42:AV49" si="1">COUNTA(E42:AU42)</f>
        <v>0</v>
      </c>
    </row>
    <row r="43" spans="2:48" s="1008" customFormat="1" ht="13.5" x14ac:dyDescent="0.25">
      <c r="B43" s="1006"/>
      <c r="C43" s="3252"/>
      <c r="D43" s="3016"/>
      <c r="E43" s="1372"/>
      <c r="F43" s="1373"/>
      <c r="G43" s="1373"/>
      <c r="H43" s="1373"/>
      <c r="I43" s="1373"/>
      <c r="J43" s="1373"/>
      <c r="K43" s="1373"/>
      <c r="L43" s="1373"/>
      <c r="M43" s="1373"/>
      <c r="N43" s="1373"/>
      <c r="O43" s="1373"/>
      <c r="P43" s="1373"/>
      <c r="Q43" s="1373"/>
      <c r="R43" s="1373"/>
      <c r="S43" s="1373"/>
      <c r="T43" s="1373"/>
      <c r="U43" s="1373"/>
      <c r="V43" s="1373"/>
      <c r="W43" s="1373"/>
      <c r="X43" s="1373"/>
      <c r="Y43" s="1373"/>
      <c r="Z43" s="1373"/>
      <c r="AA43" s="1373"/>
      <c r="AB43" s="1373"/>
      <c r="AC43" s="1373"/>
      <c r="AD43" s="1373"/>
      <c r="AE43" s="1373"/>
      <c r="AF43" s="1373"/>
      <c r="AG43" s="1373"/>
      <c r="AH43" s="1373"/>
      <c r="AI43" s="1373"/>
      <c r="AJ43" s="1373"/>
      <c r="AK43" s="1380"/>
      <c r="AL43" s="1380"/>
      <c r="AM43" s="1374"/>
      <c r="AN43" s="1374"/>
      <c r="AO43" s="1380"/>
      <c r="AP43" s="1380"/>
      <c r="AQ43" s="1374"/>
      <c r="AR43" s="1374"/>
      <c r="AS43" s="1373"/>
      <c r="AT43" s="1373"/>
      <c r="AU43" s="1375"/>
      <c r="AV43" s="1016">
        <f t="shared" si="1"/>
        <v>0</v>
      </c>
    </row>
    <row r="44" spans="2:48" s="1008" customFormat="1" ht="13.5" x14ac:dyDescent="0.25">
      <c r="B44" s="1006"/>
      <c r="C44" s="3252"/>
      <c r="D44" s="3016"/>
      <c r="E44" s="1372"/>
      <c r="F44" s="1373"/>
      <c r="G44" s="1373"/>
      <c r="H44" s="1373"/>
      <c r="I44" s="1373"/>
      <c r="J44" s="1373"/>
      <c r="K44" s="1373"/>
      <c r="L44" s="1373"/>
      <c r="M44" s="1373"/>
      <c r="N44" s="1373"/>
      <c r="O44" s="1373"/>
      <c r="P44" s="1373"/>
      <c r="Q44" s="1373"/>
      <c r="R44" s="1373"/>
      <c r="S44" s="1373"/>
      <c r="T44" s="1373"/>
      <c r="U44" s="1373"/>
      <c r="V44" s="1373"/>
      <c r="W44" s="1373"/>
      <c r="X44" s="1373"/>
      <c r="Y44" s="1373"/>
      <c r="Z44" s="1373"/>
      <c r="AA44" s="1373"/>
      <c r="AB44" s="1373"/>
      <c r="AC44" s="1373"/>
      <c r="AD44" s="1373"/>
      <c r="AE44" s="1373"/>
      <c r="AF44" s="1373"/>
      <c r="AG44" s="1373"/>
      <c r="AH44" s="1373"/>
      <c r="AI44" s="1373"/>
      <c r="AJ44" s="1373"/>
      <c r="AK44" s="1380"/>
      <c r="AL44" s="1380"/>
      <c r="AM44" s="1374"/>
      <c r="AN44" s="1374"/>
      <c r="AO44" s="1380"/>
      <c r="AP44" s="1380"/>
      <c r="AQ44" s="1374"/>
      <c r="AR44" s="1374"/>
      <c r="AS44" s="1373"/>
      <c r="AT44" s="1373"/>
      <c r="AU44" s="1375"/>
      <c r="AV44" s="1016">
        <f t="shared" si="1"/>
        <v>0</v>
      </c>
    </row>
    <row r="45" spans="2:48" s="1008" customFormat="1" ht="13.5" x14ac:dyDescent="0.25">
      <c r="B45" s="1006"/>
      <c r="C45" s="3252"/>
      <c r="D45" s="3016"/>
      <c r="E45" s="1372"/>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80"/>
      <c r="AL45" s="1380"/>
      <c r="AM45" s="1374"/>
      <c r="AN45" s="1374"/>
      <c r="AO45" s="1380"/>
      <c r="AP45" s="1380"/>
      <c r="AQ45" s="1374"/>
      <c r="AR45" s="1374"/>
      <c r="AS45" s="1373"/>
      <c r="AT45" s="1373"/>
      <c r="AU45" s="1375"/>
      <c r="AV45" s="1016">
        <f t="shared" si="1"/>
        <v>0</v>
      </c>
    </row>
    <row r="46" spans="2:48" s="1008" customFormat="1" ht="13.5" x14ac:dyDescent="0.25">
      <c r="B46" s="1006"/>
      <c r="C46" s="3252"/>
      <c r="D46" s="3016"/>
      <c r="E46" s="1372"/>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1373"/>
      <c r="AD46" s="1373"/>
      <c r="AE46" s="1373"/>
      <c r="AF46" s="1373"/>
      <c r="AG46" s="1373"/>
      <c r="AH46" s="1373"/>
      <c r="AI46" s="1373"/>
      <c r="AJ46" s="1373"/>
      <c r="AK46" s="1380"/>
      <c r="AL46" s="1380"/>
      <c r="AM46" s="1374"/>
      <c r="AN46" s="1374"/>
      <c r="AO46" s="1380"/>
      <c r="AP46" s="1380"/>
      <c r="AQ46" s="1374"/>
      <c r="AR46" s="1374"/>
      <c r="AS46" s="1373"/>
      <c r="AT46" s="1373"/>
      <c r="AU46" s="1375"/>
      <c r="AV46" s="1016">
        <f t="shared" si="1"/>
        <v>0</v>
      </c>
    </row>
    <row r="47" spans="2:48" s="1008" customFormat="1" ht="13.5" x14ac:dyDescent="0.25">
      <c r="B47" s="1006"/>
      <c r="C47" s="3252"/>
      <c r="D47" s="3016"/>
      <c r="E47" s="1372"/>
      <c r="F47" s="1373"/>
      <c r="G47" s="1373"/>
      <c r="H47" s="1373"/>
      <c r="I47" s="1373"/>
      <c r="J47" s="1373"/>
      <c r="K47" s="1373"/>
      <c r="L47" s="1373"/>
      <c r="M47" s="1373"/>
      <c r="N47" s="1373"/>
      <c r="O47" s="1373"/>
      <c r="P47" s="1373"/>
      <c r="Q47" s="1373"/>
      <c r="R47" s="1373"/>
      <c r="S47" s="1373"/>
      <c r="T47" s="1373"/>
      <c r="U47" s="1373"/>
      <c r="V47" s="1373"/>
      <c r="W47" s="1373"/>
      <c r="X47" s="1373"/>
      <c r="Y47" s="1373"/>
      <c r="Z47" s="1373"/>
      <c r="AA47" s="1373"/>
      <c r="AB47" s="1373"/>
      <c r="AC47" s="1373"/>
      <c r="AD47" s="1373"/>
      <c r="AE47" s="1373"/>
      <c r="AF47" s="1373"/>
      <c r="AG47" s="1373"/>
      <c r="AH47" s="1373"/>
      <c r="AI47" s="1373"/>
      <c r="AJ47" s="1373"/>
      <c r="AK47" s="1380"/>
      <c r="AL47" s="1380"/>
      <c r="AM47" s="1374"/>
      <c r="AN47" s="1374"/>
      <c r="AO47" s="1380"/>
      <c r="AP47" s="1380"/>
      <c r="AQ47" s="1374"/>
      <c r="AR47" s="1374"/>
      <c r="AS47" s="1373"/>
      <c r="AT47" s="1373"/>
      <c r="AU47" s="1375"/>
      <c r="AV47" s="1016">
        <f t="shared" si="1"/>
        <v>0</v>
      </c>
    </row>
    <row r="48" spans="2:48" s="1008" customFormat="1" ht="13.5" x14ac:dyDescent="0.25">
      <c r="B48" s="1006"/>
      <c r="C48" s="3252"/>
      <c r="D48" s="3016"/>
      <c r="E48" s="1372"/>
      <c r="F48" s="1373"/>
      <c r="G48" s="1373"/>
      <c r="H48" s="1373"/>
      <c r="I48" s="1373"/>
      <c r="J48" s="1373"/>
      <c r="K48" s="1373"/>
      <c r="L48" s="1373"/>
      <c r="M48" s="1373"/>
      <c r="N48" s="1373"/>
      <c r="O48" s="1373"/>
      <c r="P48" s="1373"/>
      <c r="Q48" s="1373"/>
      <c r="R48" s="1373"/>
      <c r="S48" s="1373"/>
      <c r="T48" s="1373"/>
      <c r="U48" s="1373"/>
      <c r="V48" s="1373"/>
      <c r="W48" s="1373"/>
      <c r="X48" s="1373"/>
      <c r="Y48" s="1373"/>
      <c r="Z48" s="1373"/>
      <c r="AA48" s="1373"/>
      <c r="AB48" s="1373"/>
      <c r="AC48" s="1373"/>
      <c r="AD48" s="1373"/>
      <c r="AE48" s="1373"/>
      <c r="AF48" s="1373"/>
      <c r="AG48" s="1373"/>
      <c r="AH48" s="1373"/>
      <c r="AI48" s="1373"/>
      <c r="AJ48" s="1373"/>
      <c r="AK48" s="1380"/>
      <c r="AL48" s="1380"/>
      <c r="AM48" s="1374"/>
      <c r="AN48" s="1374"/>
      <c r="AO48" s="1380"/>
      <c r="AP48" s="1380"/>
      <c r="AQ48" s="1374"/>
      <c r="AR48" s="1374"/>
      <c r="AS48" s="1373"/>
      <c r="AT48" s="1373"/>
      <c r="AU48" s="1375"/>
      <c r="AV48" s="1016">
        <f t="shared" si="1"/>
        <v>0</v>
      </c>
    </row>
    <row r="49" spans="1:48" s="1008" customFormat="1" ht="14.25" thickBot="1" x14ac:dyDescent="0.3">
      <c r="B49" s="1006"/>
      <c r="C49" s="3252"/>
      <c r="D49" s="3017"/>
      <c r="E49" s="1376"/>
      <c r="F49" s="1377"/>
      <c r="G49" s="1377"/>
      <c r="H49" s="1377"/>
      <c r="I49" s="1377"/>
      <c r="J49" s="1377"/>
      <c r="K49" s="1377"/>
      <c r="L49" s="1377"/>
      <c r="M49" s="1377"/>
      <c r="N49" s="1377"/>
      <c r="O49" s="1377"/>
      <c r="P49" s="1377"/>
      <c r="Q49" s="1377"/>
      <c r="R49" s="1377"/>
      <c r="S49" s="1377"/>
      <c r="T49" s="1377"/>
      <c r="U49" s="1377"/>
      <c r="V49" s="1377"/>
      <c r="W49" s="1377"/>
      <c r="X49" s="1377"/>
      <c r="Y49" s="1377"/>
      <c r="Z49" s="1377"/>
      <c r="AA49" s="1377"/>
      <c r="AB49" s="1377"/>
      <c r="AC49" s="1377"/>
      <c r="AD49" s="1377"/>
      <c r="AE49" s="1377"/>
      <c r="AF49" s="1377"/>
      <c r="AG49" s="1377"/>
      <c r="AH49" s="1377"/>
      <c r="AI49" s="1377"/>
      <c r="AJ49" s="1377"/>
      <c r="AK49" s="1381"/>
      <c r="AL49" s="1381"/>
      <c r="AM49" s="1378"/>
      <c r="AN49" s="1378"/>
      <c r="AO49" s="1381"/>
      <c r="AP49" s="1381"/>
      <c r="AQ49" s="1378"/>
      <c r="AR49" s="1378"/>
      <c r="AS49" s="1377"/>
      <c r="AT49" s="1377"/>
      <c r="AU49" s="1379"/>
      <c r="AV49" s="1015">
        <f t="shared" si="1"/>
        <v>0</v>
      </c>
    </row>
    <row r="50" spans="1:48" s="1008" customFormat="1" ht="14.25" thickBot="1" x14ac:dyDescent="0.3">
      <c r="B50" s="1006"/>
      <c r="C50" s="3252"/>
      <c r="D50" s="886" t="str">
        <f>'TRAD-Saisie données file act.'!B32</f>
        <v>Lignes alternatives</v>
      </c>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09"/>
      <c r="AG50" s="1009"/>
      <c r="AH50" s="1009"/>
      <c r="AI50" s="1009"/>
      <c r="AJ50" s="1009"/>
      <c r="AK50" s="1010"/>
      <c r="AL50" s="1010"/>
      <c r="AM50" s="1010"/>
      <c r="AN50" s="1010"/>
      <c r="AO50" s="1010"/>
      <c r="AP50" s="1010"/>
      <c r="AQ50" s="1010"/>
      <c r="AR50" s="1010"/>
      <c r="AS50" s="1009"/>
      <c r="AT50" s="1009"/>
      <c r="AU50" s="1011"/>
      <c r="AV50" s="1012"/>
    </row>
    <row r="51" spans="1:48" s="1008" customFormat="1" ht="13.5" x14ac:dyDescent="0.25">
      <c r="B51" s="1006"/>
      <c r="C51" s="3252"/>
      <c r="D51" s="3015"/>
      <c r="E51" s="1018"/>
      <c r="F51" s="1019"/>
      <c r="G51" s="1019"/>
      <c r="H51" s="1019"/>
      <c r="I51" s="1019"/>
      <c r="J51" s="1019"/>
      <c r="K51" s="1019"/>
      <c r="L51" s="1019"/>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22"/>
      <c r="AL51" s="1022"/>
      <c r="AM51" s="1022"/>
      <c r="AN51" s="1022"/>
      <c r="AO51" s="1022"/>
      <c r="AP51" s="1022"/>
      <c r="AQ51" s="1022"/>
      <c r="AR51" s="1022"/>
      <c r="AS51" s="1019"/>
      <c r="AT51" s="1019"/>
      <c r="AU51" s="1021"/>
      <c r="AV51" s="1013">
        <f t="shared" ref="AV51:AV98" si="2">COUNTA(E51:AU51)</f>
        <v>0</v>
      </c>
    </row>
    <row r="52" spans="1:48" s="1008" customFormat="1" ht="13.5" x14ac:dyDescent="0.25">
      <c r="B52" s="1006"/>
      <c r="C52" s="3252"/>
      <c r="D52" s="3016"/>
      <c r="E52" s="1372"/>
      <c r="F52" s="1373"/>
      <c r="G52" s="1373"/>
      <c r="H52" s="1373"/>
      <c r="I52" s="1373"/>
      <c r="J52" s="1373"/>
      <c r="K52" s="1373"/>
      <c r="L52" s="1373"/>
      <c r="M52" s="1373"/>
      <c r="N52" s="1373"/>
      <c r="O52" s="1373"/>
      <c r="P52" s="1373"/>
      <c r="Q52" s="1373"/>
      <c r="R52" s="1373"/>
      <c r="S52" s="1373"/>
      <c r="T52" s="1373"/>
      <c r="U52" s="1373"/>
      <c r="V52" s="1373"/>
      <c r="W52" s="1373"/>
      <c r="X52" s="1373"/>
      <c r="Y52" s="1373"/>
      <c r="Z52" s="1373"/>
      <c r="AA52" s="1373"/>
      <c r="AB52" s="1373"/>
      <c r="AC52" s="1373"/>
      <c r="AD52" s="1373"/>
      <c r="AE52" s="1373"/>
      <c r="AF52" s="1373"/>
      <c r="AG52" s="1373"/>
      <c r="AH52" s="1373"/>
      <c r="AI52" s="1373"/>
      <c r="AJ52" s="1373"/>
      <c r="AK52" s="1380"/>
      <c r="AL52" s="1380"/>
      <c r="AM52" s="1380"/>
      <c r="AN52" s="1380"/>
      <c r="AO52" s="1380"/>
      <c r="AP52" s="1380"/>
      <c r="AQ52" s="1380"/>
      <c r="AR52" s="1380"/>
      <c r="AS52" s="1373"/>
      <c r="AT52" s="1373"/>
      <c r="AU52" s="1375"/>
      <c r="AV52" s="1016">
        <f t="shared" si="2"/>
        <v>0</v>
      </c>
    </row>
    <row r="53" spans="1:48" s="1008" customFormat="1" ht="13.5" x14ac:dyDescent="0.25">
      <c r="A53" s="3087" t="s">
        <v>1964</v>
      </c>
      <c r="B53" s="1006"/>
      <c r="C53" s="3252"/>
      <c r="D53" s="3016"/>
      <c r="E53" s="1372"/>
      <c r="F53" s="1373"/>
      <c r="G53" s="1373"/>
      <c r="H53" s="1373"/>
      <c r="I53" s="1373"/>
      <c r="J53" s="1373"/>
      <c r="K53" s="1373"/>
      <c r="L53" s="1373"/>
      <c r="M53" s="1373"/>
      <c r="N53" s="1373"/>
      <c r="O53" s="1373"/>
      <c r="P53" s="1373"/>
      <c r="Q53" s="1373"/>
      <c r="R53" s="1373"/>
      <c r="S53" s="1373"/>
      <c r="T53" s="1373"/>
      <c r="U53" s="1373"/>
      <c r="V53" s="1373"/>
      <c r="W53" s="1373"/>
      <c r="X53" s="1373"/>
      <c r="Y53" s="1373"/>
      <c r="Z53" s="1373"/>
      <c r="AA53" s="1373"/>
      <c r="AB53" s="1373"/>
      <c r="AC53" s="1373"/>
      <c r="AD53" s="1373"/>
      <c r="AE53" s="1373"/>
      <c r="AF53" s="1373"/>
      <c r="AG53" s="1373"/>
      <c r="AH53" s="1373"/>
      <c r="AI53" s="1373"/>
      <c r="AJ53" s="1373"/>
      <c r="AK53" s="1380"/>
      <c r="AL53" s="1380"/>
      <c r="AM53" s="1380"/>
      <c r="AN53" s="1380"/>
      <c r="AO53" s="1380"/>
      <c r="AP53" s="1380"/>
      <c r="AQ53" s="1380"/>
      <c r="AR53" s="1380"/>
      <c r="AS53" s="1373"/>
      <c r="AT53" s="1373"/>
      <c r="AU53" s="1375"/>
      <c r="AV53" s="1016">
        <f t="shared" si="2"/>
        <v>0</v>
      </c>
    </row>
    <row r="54" spans="1:48" s="1008" customFormat="1" ht="13.5" hidden="1" x14ac:dyDescent="0.25">
      <c r="B54" s="1006"/>
      <c r="C54" s="3252"/>
      <c r="D54" s="3018"/>
      <c r="E54" s="1372"/>
      <c r="F54" s="1373"/>
      <c r="G54" s="1373"/>
      <c r="H54" s="1373"/>
      <c r="I54" s="1373"/>
      <c r="J54" s="1373"/>
      <c r="K54" s="1373"/>
      <c r="L54" s="1373"/>
      <c r="M54" s="1373"/>
      <c r="N54" s="1373"/>
      <c r="O54" s="1373"/>
      <c r="P54" s="1373"/>
      <c r="Q54" s="1373"/>
      <c r="R54" s="1373"/>
      <c r="S54" s="1373"/>
      <c r="T54" s="1373"/>
      <c r="U54" s="1373"/>
      <c r="V54" s="1373"/>
      <c r="W54" s="1373"/>
      <c r="X54" s="1373"/>
      <c r="Y54" s="1373"/>
      <c r="Z54" s="1373"/>
      <c r="AA54" s="1373"/>
      <c r="AB54" s="1373"/>
      <c r="AC54" s="1373"/>
      <c r="AD54" s="1373"/>
      <c r="AE54" s="1373"/>
      <c r="AF54" s="1373"/>
      <c r="AG54" s="1373"/>
      <c r="AH54" s="1373"/>
      <c r="AI54" s="1373"/>
      <c r="AJ54" s="1373"/>
      <c r="AK54" s="1380"/>
      <c r="AL54" s="1380"/>
      <c r="AM54" s="1380"/>
      <c r="AN54" s="1380"/>
      <c r="AO54" s="1380"/>
      <c r="AP54" s="1380"/>
      <c r="AQ54" s="1380"/>
      <c r="AR54" s="1380"/>
      <c r="AS54" s="1373"/>
      <c r="AT54" s="1373"/>
      <c r="AU54" s="1375"/>
      <c r="AV54" s="1016">
        <f t="shared" si="2"/>
        <v>0</v>
      </c>
    </row>
    <row r="55" spans="1:48" s="1008" customFormat="1" ht="13.5" hidden="1" x14ac:dyDescent="0.25">
      <c r="B55" s="1006"/>
      <c r="C55" s="3252"/>
      <c r="D55" s="3018"/>
      <c r="E55" s="1372"/>
      <c r="F55" s="1373"/>
      <c r="G55" s="1373"/>
      <c r="H55" s="1373"/>
      <c r="I55" s="1373"/>
      <c r="J55" s="1373"/>
      <c r="K55" s="1373"/>
      <c r="L55" s="1373"/>
      <c r="M55" s="1373"/>
      <c r="N55" s="1373"/>
      <c r="O55" s="1373"/>
      <c r="P55" s="1373"/>
      <c r="Q55" s="1373"/>
      <c r="R55" s="1373"/>
      <c r="S55" s="1373"/>
      <c r="T55" s="1373"/>
      <c r="U55" s="1373"/>
      <c r="V55" s="1373"/>
      <c r="W55" s="1373"/>
      <c r="X55" s="1373"/>
      <c r="Y55" s="1373"/>
      <c r="Z55" s="1373"/>
      <c r="AA55" s="1373"/>
      <c r="AB55" s="1373"/>
      <c r="AC55" s="1373"/>
      <c r="AD55" s="1373"/>
      <c r="AE55" s="1373"/>
      <c r="AF55" s="1373"/>
      <c r="AG55" s="1373"/>
      <c r="AH55" s="1373"/>
      <c r="AI55" s="1373"/>
      <c r="AJ55" s="1373"/>
      <c r="AK55" s="1380"/>
      <c r="AL55" s="1380"/>
      <c r="AM55" s="1380"/>
      <c r="AN55" s="1380"/>
      <c r="AO55" s="1380"/>
      <c r="AP55" s="1380"/>
      <c r="AQ55" s="1380"/>
      <c r="AR55" s="1380"/>
      <c r="AS55" s="1373"/>
      <c r="AT55" s="1373"/>
      <c r="AU55" s="1375"/>
      <c r="AV55" s="1016">
        <f t="shared" si="2"/>
        <v>0</v>
      </c>
    </row>
    <row r="56" spans="1:48" s="1008" customFormat="1" ht="13.5" hidden="1" x14ac:dyDescent="0.25">
      <c r="B56" s="1006"/>
      <c r="C56" s="3252"/>
      <c r="D56" s="3018"/>
      <c r="E56" s="1372"/>
      <c r="F56" s="1373"/>
      <c r="G56" s="1373"/>
      <c r="H56" s="1373"/>
      <c r="I56" s="1373"/>
      <c r="J56" s="1373"/>
      <c r="K56" s="1373"/>
      <c r="L56" s="1373"/>
      <c r="M56" s="1373"/>
      <c r="N56" s="1373"/>
      <c r="O56" s="1373"/>
      <c r="P56" s="1373"/>
      <c r="Q56" s="1373"/>
      <c r="R56" s="1373"/>
      <c r="S56" s="1373"/>
      <c r="T56" s="1373"/>
      <c r="U56" s="1373"/>
      <c r="V56" s="1373"/>
      <c r="W56" s="1373"/>
      <c r="X56" s="1373"/>
      <c r="Y56" s="1373"/>
      <c r="Z56" s="1373"/>
      <c r="AA56" s="1373"/>
      <c r="AB56" s="1373"/>
      <c r="AC56" s="1373"/>
      <c r="AD56" s="1373"/>
      <c r="AE56" s="1373"/>
      <c r="AF56" s="1373"/>
      <c r="AG56" s="1373"/>
      <c r="AH56" s="1373"/>
      <c r="AI56" s="1373"/>
      <c r="AJ56" s="1373"/>
      <c r="AK56" s="1380"/>
      <c r="AL56" s="1380"/>
      <c r="AM56" s="1380"/>
      <c r="AN56" s="1380"/>
      <c r="AO56" s="1380"/>
      <c r="AP56" s="1380"/>
      <c r="AQ56" s="1380"/>
      <c r="AR56" s="1380"/>
      <c r="AS56" s="1373"/>
      <c r="AT56" s="1373"/>
      <c r="AU56" s="1375"/>
      <c r="AV56" s="1016">
        <f t="shared" si="2"/>
        <v>0</v>
      </c>
    </row>
    <row r="57" spans="1:48" s="1008" customFormat="1" ht="13.5" hidden="1" x14ac:dyDescent="0.25">
      <c r="B57" s="1006"/>
      <c r="C57" s="3252"/>
      <c r="D57" s="3018"/>
      <c r="E57" s="1372"/>
      <c r="F57" s="1373"/>
      <c r="G57" s="1373"/>
      <c r="H57" s="1373"/>
      <c r="I57" s="1373"/>
      <c r="J57" s="1373"/>
      <c r="K57" s="1373"/>
      <c r="L57" s="1373"/>
      <c r="M57" s="1373"/>
      <c r="N57" s="1373"/>
      <c r="O57" s="1373"/>
      <c r="P57" s="1373"/>
      <c r="Q57" s="1373"/>
      <c r="R57" s="1373"/>
      <c r="S57" s="1373"/>
      <c r="T57" s="1373"/>
      <c r="U57" s="1373"/>
      <c r="V57" s="1373"/>
      <c r="W57" s="1373"/>
      <c r="X57" s="1373"/>
      <c r="Y57" s="1373"/>
      <c r="Z57" s="1373"/>
      <c r="AA57" s="1373"/>
      <c r="AB57" s="1373"/>
      <c r="AC57" s="1373"/>
      <c r="AD57" s="1373"/>
      <c r="AE57" s="1373"/>
      <c r="AF57" s="1373"/>
      <c r="AG57" s="1373"/>
      <c r="AH57" s="1373"/>
      <c r="AI57" s="1373"/>
      <c r="AJ57" s="1373"/>
      <c r="AK57" s="1380"/>
      <c r="AL57" s="1380"/>
      <c r="AM57" s="1380"/>
      <c r="AN57" s="1380"/>
      <c r="AO57" s="1380"/>
      <c r="AP57" s="1380"/>
      <c r="AQ57" s="1380"/>
      <c r="AR57" s="1380"/>
      <c r="AS57" s="1373"/>
      <c r="AT57" s="1373"/>
      <c r="AU57" s="1375"/>
      <c r="AV57" s="1016">
        <f t="shared" si="2"/>
        <v>0</v>
      </c>
    </row>
    <row r="58" spans="1:48" s="1008" customFormat="1" ht="13.5" hidden="1" x14ac:dyDescent="0.25">
      <c r="B58" s="1006"/>
      <c r="C58" s="3252"/>
      <c r="D58" s="3018"/>
      <c r="E58" s="1372"/>
      <c r="F58" s="1373"/>
      <c r="G58" s="1373"/>
      <c r="H58" s="1373"/>
      <c r="I58" s="1373"/>
      <c r="J58" s="1373"/>
      <c r="K58" s="1373"/>
      <c r="L58" s="1373"/>
      <c r="M58" s="1373"/>
      <c r="N58" s="1373"/>
      <c r="O58" s="1373"/>
      <c r="P58" s="1373"/>
      <c r="Q58" s="1373"/>
      <c r="R58" s="1373"/>
      <c r="S58" s="1373"/>
      <c r="T58" s="1373"/>
      <c r="U58" s="1373"/>
      <c r="V58" s="1373"/>
      <c r="W58" s="1373"/>
      <c r="X58" s="1373"/>
      <c r="Y58" s="1373"/>
      <c r="Z58" s="1373"/>
      <c r="AA58" s="1373"/>
      <c r="AB58" s="1373"/>
      <c r="AC58" s="1373"/>
      <c r="AD58" s="1373"/>
      <c r="AE58" s="1373"/>
      <c r="AF58" s="1373"/>
      <c r="AG58" s="1373"/>
      <c r="AH58" s="1373"/>
      <c r="AI58" s="1373"/>
      <c r="AJ58" s="1373"/>
      <c r="AK58" s="1380"/>
      <c r="AL58" s="1380"/>
      <c r="AM58" s="1380"/>
      <c r="AN58" s="1380"/>
      <c r="AO58" s="1380"/>
      <c r="AP58" s="1380"/>
      <c r="AQ58" s="1380"/>
      <c r="AR58" s="1380"/>
      <c r="AS58" s="1373"/>
      <c r="AT58" s="1373"/>
      <c r="AU58" s="1375"/>
      <c r="AV58" s="1016">
        <f t="shared" si="2"/>
        <v>0</v>
      </c>
    </row>
    <row r="59" spans="1:48" s="1008" customFormat="1" ht="13.5" hidden="1" x14ac:dyDescent="0.25">
      <c r="B59" s="1006"/>
      <c r="C59" s="3252"/>
      <c r="D59" s="3018"/>
      <c r="E59" s="1372"/>
      <c r="F59" s="1373"/>
      <c r="G59" s="1373"/>
      <c r="H59" s="1373"/>
      <c r="I59" s="1373"/>
      <c r="J59" s="1373"/>
      <c r="K59" s="1373"/>
      <c r="L59" s="1373"/>
      <c r="M59" s="1373"/>
      <c r="N59" s="1373"/>
      <c r="O59" s="1373"/>
      <c r="P59" s="1373"/>
      <c r="Q59" s="1373"/>
      <c r="R59" s="1373"/>
      <c r="S59" s="1373"/>
      <c r="T59" s="1373"/>
      <c r="U59" s="1373"/>
      <c r="V59" s="1373"/>
      <c r="W59" s="1373"/>
      <c r="X59" s="1373"/>
      <c r="Y59" s="1373"/>
      <c r="Z59" s="1373"/>
      <c r="AA59" s="1373"/>
      <c r="AB59" s="1373"/>
      <c r="AC59" s="1373"/>
      <c r="AD59" s="1373"/>
      <c r="AE59" s="1373"/>
      <c r="AF59" s="1373"/>
      <c r="AG59" s="1373"/>
      <c r="AH59" s="1373"/>
      <c r="AI59" s="1373"/>
      <c r="AJ59" s="1373"/>
      <c r="AK59" s="1380"/>
      <c r="AL59" s="1380"/>
      <c r="AM59" s="1380"/>
      <c r="AN59" s="1380"/>
      <c r="AO59" s="1380"/>
      <c r="AP59" s="1380"/>
      <c r="AQ59" s="1380"/>
      <c r="AR59" s="1380"/>
      <c r="AS59" s="1373"/>
      <c r="AT59" s="1373"/>
      <c r="AU59" s="1375"/>
      <c r="AV59" s="1016">
        <f t="shared" si="2"/>
        <v>0</v>
      </c>
    </row>
    <row r="60" spans="1:48" s="1008" customFormat="1" ht="13.5" hidden="1" x14ac:dyDescent="0.25">
      <c r="B60" s="1006"/>
      <c r="C60" s="3252"/>
      <c r="D60" s="3018"/>
      <c r="E60" s="1372"/>
      <c r="F60" s="1373"/>
      <c r="G60" s="1373"/>
      <c r="H60" s="1373"/>
      <c r="I60" s="1373"/>
      <c r="J60" s="1373"/>
      <c r="K60" s="1373"/>
      <c r="L60" s="1373"/>
      <c r="M60" s="1373"/>
      <c r="N60" s="1373"/>
      <c r="O60" s="1373"/>
      <c r="P60" s="1373"/>
      <c r="Q60" s="1373"/>
      <c r="R60" s="1373"/>
      <c r="S60" s="1373"/>
      <c r="T60" s="1373"/>
      <c r="U60" s="1373"/>
      <c r="V60" s="1373"/>
      <c r="W60" s="1373"/>
      <c r="X60" s="1373"/>
      <c r="Y60" s="1373"/>
      <c r="Z60" s="1373"/>
      <c r="AA60" s="1373"/>
      <c r="AB60" s="1373"/>
      <c r="AC60" s="1373"/>
      <c r="AD60" s="1373"/>
      <c r="AE60" s="1373"/>
      <c r="AF60" s="1373"/>
      <c r="AG60" s="1373"/>
      <c r="AH60" s="1373"/>
      <c r="AI60" s="1373"/>
      <c r="AJ60" s="1373"/>
      <c r="AK60" s="1380"/>
      <c r="AL60" s="1380"/>
      <c r="AM60" s="1380"/>
      <c r="AN60" s="1380"/>
      <c r="AO60" s="1380"/>
      <c r="AP60" s="1380"/>
      <c r="AQ60" s="1380"/>
      <c r="AR60" s="1380"/>
      <c r="AS60" s="1373"/>
      <c r="AT60" s="1373"/>
      <c r="AU60" s="1375"/>
      <c r="AV60" s="1016">
        <f t="shared" si="2"/>
        <v>0</v>
      </c>
    </row>
    <row r="61" spans="1:48" s="1008" customFormat="1" ht="13.5" hidden="1" x14ac:dyDescent="0.25">
      <c r="B61" s="1006"/>
      <c r="C61" s="3252"/>
      <c r="D61" s="3018"/>
      <c r="E61" s="1372"/>
      <c r="F61" s="1373"/>
      <c r="G61" s="1373"/>
      <c r="H61" s="1373"/>
      <c r="I61" s="1373"/>
      <c r="J61" s="1373"/>
      <c r="K61" s="1373"/>
      <c r="L61" s="1373"/>
      <c r="M61" s="1373"/>
      <c r="N61" s="1373"/>
      <c r="O61" s="1373"/>
      <c r="P61" s="1373"/>
      <c r="Q61" s="1373"/>
      <c r="R61" s="1373"/>
      <c r="S61" s="1373"/>
      <c r="T61" s="1373"/>
      <c r="U61" s="1373"/>
      <c r="V61" s="1373"/>
      <c r="W61" s="1373"/>
      <c r="X61" s="1373"/>
      <c r="Y61" s="1373"/>
      <c r="Z61" s="1373"/>
      <c r="AA61" s="1373"/>
      <c r="AB61" s="1373"/>
      <c r="AC61" s="1373"/>
      <c r="AD61" s="1373"/>
      <c r="AE61" s="1373"/>
      <c r="AF61" s="1373"/>
      <c r="AG61" s="1373"/>
      <c r="AH61" s="1373"/>
      <c r="AI61" s="1373"/>
      <c r="AJ61" s="1373"/>
      <c r="AK61" s="1380"/>
      <c r="AL61" s="1380"/>
      <c r="AM61" s="1380"/>
      <c r="AN61" s="1380"/>
      <c r="AO61" s="1380"/>
      <c r="AP61" s="1380"/>
      <c r="AQ61" s="1380"/>
      <c r="AR61" s="1380"/>
      <c r="AS61" s="1373"/>
      <c r="AT61" s="1373"/>
      <c r="AU61" s="1375"/>
      <c r="AV61" s="1016">
        <f t="shared" si="2"/>
        <v>0</v>
      </c>
    </row>
    <row r="62" spans="1:48" s="1008" customFormat="1" ht="13.5" hidden="1" x14ac:dyDescent="0.25">
      <c r="B62" s="1006"/>
      <c r="C62" s="3252"/>
      <c r="D62" s="3018"/>
      <c r="E62" s="1372"/>
      <c r="F62" s="1373"/>
      <c r="G62" s="1373"/>
      <c r="H62" s="1373"/>
      <c r="I62" s="1373"/>
      <c r="J62" s="1373"/>
      <c r="K62" s="1373"/>
      <c r="L62" s="1373"/>
      <c r="M62" s="1373"/>
      <c r="N62" s="1373"/>
      <c r="O62" s="1373"/>
      <c r="P62" s="1373"/>
      <c r="Q62" s="1373"/>
      <c r="R62" s="1373"/>
      <c r="S62" s="1373"/>
      <c r="T62" s="1373"/>
      <c r="U62" s="1373"/>
      <c r="V62" s="1373"/>
      <c r="W62" s="1373"/>
      <c r="X62" s="1373"/>
      <c r="Y62" s="1373"/>
      <c r="Z62" s="1373"/>
      <c r="AA62" s="1373"/>
      <c r="AB62" s="1373"/>
      <c r="AC62" s="1373"/>
      <c r="AD62" s="1373"/>
      <c r="AE62" s="1373"/>
      <c r="AF62" s="1373"/>
      <c r="AG62" s="1373"/>
      <c r="AH62" s="1373"/>
      <c r="AI62" s="1373"/>
      <c r="AJ62" s="1373"/>
      <c r="AK62" s="1380"/>
      <c r="AL62" s="1380"/>
      <c r="AM62" s="1380"/>
      <c r="AN62" s="1380"/>
      <c r="AO62" s="1380"/>
      <c r="AP62" s="1380"/>
      <c r="AQ62" s="1380"/>
      <c r="AR62" s="1380"/>
      <c r="AS62" s="1373"/>
      <c r="AT62" s="1373"/>
      <c r="AU62" s="1375"/>
      <c r="AV62" s="1016">
        <f t="shared" si="2"/>
        <v>0</v>
      </c>
    </row>
    <row r="63" spans="1:48" s="1008" customFormat="1" ht="13.5" hidden="1" x14ac:dyDescent="0.25">
      <c r="B63" s="1006"/>
      <c r="C63" s="3252"/>
      <c r="D63" s="3018"/>
      <c r="E63" s="1372"/>
      <c r="F63" s="1373"/>
      <c r="G63" s="1373"/>
      <c r="H63" s="1373"/>
      <c r="I63" s="1373"/>
      <c r="J63" s="1373"/>
      <c r="K63" s="1373"/>
      <c r="L63" s="1373"/>
      <c r="M63" s="1373"/>
      <c r="N63" s="1373"/>
      <c r="O63" s="1373"/>
      <c r="P63" s="1373"/>
      <c r="Q63" s="1373"/>
      <c r="R63" s="1373"/>
      <c r="S63" s="1373"/>
      <c r="T63" s="1373"/>
      <c r="U63" s="1373"/>
      <c r="V63" s="1373"/>
      <c r="W63" s="1373"/>
      <c r="X63" s="1373"/>
      <c r="Y63" s="1373"/>
      <c r="Z63" s="1373"/>
      <c r="AA63" s="1373"/>
      <c r="AB63" s="1373"/>
      <c r="AC63" s="1373"/>
      <c r="AD63" s="1373"/>
      <c r="AE63" s="1373"/>
      <c r="AF63" s="1373"/>
      <c r="AG63" s="1373"/>
      <c r="AH63" s="1373"/>
      <c r="AI63" s="1373"/>
      <c r="AJ63" s="1373"/>
      <c r="AK63" s="1380"/>
      <c r="AL63" s="1380"/>
      <c r="AM63" s="1380"/>
      <c r="AN63" s="1380"/>
      <c r="AO63" s="1380"/>
      <c r="AP63" s="1380"/>
      <c r="AQ63" s="1380"/>
      <c r="AR63" s="1380"/>
      <c r="AS63" s="1373"/>
      <c r="AT63" s="1373"/>
      <c r="AU63" s="1375"/>
      <c r="AV63" s="1016">
        <f t="shared" si="2"/>
        <v>0</v>
      </c>
    </row>
    <row r="64" spans="1:48" s="1008" customFormat="1" ht="13.5" hidden="1" x14ac:dyDescent="0.25">
      <c r="B64" s="1006"/>
      <c r="C64" s="3252"/>
      <c r="D64" s="3018"/>
      <c r="E64" s="1372"/>
      <c r="F64" s="1373"/>
      <c r="G64" s="1373"/>
      <c r="H64" s="1373"/>
      <c r="I64" s="1373"/>
      <c r="J64" s="1373"/>
      <c r="K64" s="1373"/>
      <c r="L64" s="1373"/>
      <c r="M64" s="1373"/>
      <c r="N64" s="1373"/>
      <c r="O64" s="1373"/>
      <c r="P64" s="1373"/>
      <c r="Q64" s="1373"/>
      <c r="R64" s="1373"/>
      <c r="S64" s="1373"/>
      <c r="T64" s="1373"/>
      <c r="U64" s="1373"/>
      <c r="V64" s="1373"/>
      <c r="W64" s="1373"/>
      <c r="X64" s="1373"/>
      <c r="Y64" s="1373"/>
      <c r="Z64" s="1373"/>
      <c r="AA64" s="1373"/>
      <c r="AB64" s="1373"/>
      <c r="AC64" s="1373"/>
      <c r="AD64" s="1373"/>
      <c r="AE64" s="1373"/>
      <c r="AF64" s="1373"/>
      <c r="AG64" s="1373"/>
      <c r="AH64" s="1373"/>
      <c r="AI64" s="1373"/>
      <c r="AJ64" s="1373"/>
      <c r="AK64" s="1380"/>
      <c r="AL64" s="1380"/>
      <c r="AM64" s="1380"/>
      <c r="AN64" s="1380"/>
      <c r="AO64" s="1380"/>
      <c r="AP64" s="1380"/>
      <c r="AQ64" s="1380"/>
      <c r="AR64" s="1380"/>
      <c r="AS64" s="1373"/>
      <c r="AT64" s="1373"/>
      <c r="AU64" s="1375"/>
      <c r="AV64" s="1016">
        <f t="shared" si="2"/>
        <v>0</v>
      </c>
    </row>
    <row r="65" spans="2:48" s="1008" customFormat="1" ht="13.5" hidden="1" x14ac:dyDescent="0.25">
      <c r="B65" s="1006"/>
      <c r="C65" s="3252"/>
      <c r="D65" s="3018"/>
      <c r="E65" s="1372"/>
      <c r="F65" s="1373"/>
      <c r="G65" s="1373"/>
      <c r="H65" s="1373"/>
      <c r="I65" s="1373"/>
      <c r="J65" s="1373"/>
      <c r="K65" s="1373"/>
      <c r="L65" s="1373"/>
      <c r="M65" s="1373"/>
      <c r="N65" s="1373"/>
      <c r="O65" s="1373"/>
      <c r="P65" s="1373"/>
      <c r="Q65" s="1373"/>
      <c r="R65" s="1373"/>
      <c r="S65" s="1373"/>
      <c r="T65" s="1373"/>
      <c r="U65" s="1373"/>
      <c r="V65" s="1373"/>
      <c r="W65" s="1373"/>
      <c r="X65" s="1373"/>
      <c r="Y65" s="1373"/>
      <c r="Z65" s="1373"/>
      <c r="AA65" s="1373"/>
      <c r="AB65" s="1373"/>
      <c r="AC65" s="1373"/>
      <c r="AD65" s="1373"/>
      <c r="AE65" s="1373"/>
      <c r="AF65" s="1373"/>
      <c r="AG65" s="1373"/>
      <c r="AH65" s="1373"/>
      <c r="AI65" s="1373"/>
      <c r="AJ65" s="1373"/>
      <c r="AK65" s="1380"/>
      <c r="AL65" s="1380"/>
      <c r="AM65" s="1380"/>
      <c r="AN65" s="1380"/>
      <c r="AO65" s="1380"/>
      <c r="AP65" s="1380"/>
      <c r="AQ65" s="1380"/>
      <c r="AR65" s="1380"/>
      <c r="AS65" s="1373"/>
      <c r="AT65" s="1373"/>
      <c r="AU65" s="1375"/>
      <c r="AV65" s="1016">
        <f t="shared" si="2"/>
        <v>0</v>
      </c>
    </row>
    <row r="66" spans="2:48" s="1008" customFormat="1" ht="13.5" hidden="1" x14ac:dyDescent="0.25">
      <c r="B66" s="1006"/>
      <c r="C66" s="3252"/>
      <c r="D66" s="3018"/>
      <c r="E66" s="1372"/>
      <c r="F66" s="1373"/>
      <c r="G66" s="1373"/>
      <c r="H66" s="1373"/>
      <c r="I66" s="1373"/>
      <c r="J66" s="1373"/>
      <c r="K66" s="1373"/>
      <c r="L66" s="1373"/>
      <c r="M66" s="1373"/>
      <c r="N66" s="1373"/>
      <c r="O66" s="1373"/>
      <c r="P66" s="1373"/>
      <c r="Q66" s="1373"/>
      <c r="R66" s="1373"/>
      <c r="S66" s="1373"/>
      <c r="T66" s="1373"/>
      <c r="U66" s="1373"/>
      <c r="V66" s="1373"/>
      <c r="W66" s="1373"/>
      <c r="X66" s="1373"/>
      <c r="Y66" s="1373"/>
      <c r="Z66" s="1373"/>
      <c r="AA66" s="1373"/>
      <c r="AB66" s="1373"/>
      <c r="AC66" s="1373"/>
      <c r="AD66" s="1373"/>
      <c r="AE66" s="1373"/>
      <c r="AF66" s="1373"/>
      <c r="AG66" s="1373"/>
      <c r="AH66" s="1373"/>
      <c r="AI66" s="1373"/>
      <c r="AJ66" s="1373"/>
      <c r="AK66" s="1380"/>
      <c r="AL66" s="1380"/>
      <c r="AM66" s="1380"/>
      <c r="AN66" s="1380"/>
      <c r="AO66" s="1380"/>
      <c r="AP66" s="1380"/>
      <c r="AQ66" s="1380"/>
      <c r="AR66" s="1380"/>
      <c r="AS66" s="1373"/>
      <c r="AT66" s="1373"/>
      <c r="AU66" s="1375"/>
      <c r="AV66" s="1016">
        <f t="shared" si="2"/>
        <v>0</v>
      </c>
    </row>
    <row r="67" spans="2:48" s="1008" customFormat="1" ht="13.5" hidden="1" x14ac:dyDescent="0.25">
      <c r="B67" s="1006"/>
      <c r="C67" s="3252"/>
      <c r="D67" s="3018"/>
      <c r="E67" s="1372"/>
      <c r="F67" s="1373"/>
      <c r="G67" s="1373"/>
      <c r="H67" s="1373"/>
      <c r="I67" s="1373"/>
      <c r="J67" s="1373"/>
      <c r="K67" s="1373"/>
      <c r="L67" s="1373"/>
      <c r="M67" s="1373"/>
      <c r="N67" s="1373"/>
      <c r="O67" s="1373"/>
      <c r="P67" s="1373"/>
      <c r="Q67" s="1373"/>
      <c r="R67" s="1373"/>
      <c r="S67" s="1373"/>
      <c r="T67" s="1373"/>
      <c r="U67" s="1373"/>
      <c r="V67" s="1373"/>
      <c r="W67" s="1373"/>
      <c r="X67" s="1373"/>
      <c r="Y67" s="1373"/>
      <c r="Z67" s="1373"/>
      <c r="AA67" s="1373"/>
      <c r="AB67" s="1373"/>
      <c r="AC67" s="1373"/>
      <c r="AD67" s="1373"/>
      <c r="AE67" s="1373"/>
      <c r="AF67" s="1373"/>
      <c r="AG67" s="1373"/>
      <c r="AH67" s="1373"/>
      <c r="AI67" s="1373"/>
      <c r="AJ67" s="1373"/>
      <c r="AK67" s="1380"/>
      <c r="AL67" s="1380"/>
      <c r="AM67" s="1380"/>
      <c r="AN67" s="1380"/>
      <c r="AO67" s="1380"/>
      <c r="AP67" s="1380"/>
      <c r="AQ67" s="1380"/>
      <c r="AR67" s="1380"/>
      <c r="AS67" s="1373"/>
      <c r="AT67" s="1373"/>
      <c r="AU67" s="1375"/>
      <c r="AV67" s="1016">
        <f t="shared" si="2"/>
        <v>0</v>
      </c>
    </row>
    <row r="68" spans="2:48" s="1008" customFormat="1" ht="13.5" hidden="1" x14ac:dyDescent="0.25">
      <c r="B68" s="1006"/>
      <c r="C68" s="3252"/>
      <c r="D68" s="3018"/>
      <c r="E68" s="1372"/>
      <c r="F68" s="1373"/>
      <c r="G68" s="1373"/>
      <c r="H68" s="1373"/>
      <c r="I68" s="1373"/>
      <c r="J68" s="1373"/>
      <c r="K68" s="1373"/>
      <c r="L68" s="1373"/>
      <c r="M68" s="1373"/>
      <c r="N68" s="1373"/>
      <c r="O68" s="1373"/>
      <c r="P68" s="1373"/>
      <c r="Q68" s="1373"/>
      <c r="R68" s="1373"/>
      <c r="S68" s="1373"/>
      <c r="T68" s="1373"/>
      <c r="U68" s="1373"/>
      <c r="V68" s="1373"/>
      <c r="W68" s="1373"/>
      <c r="X68" s="1373"/>
      <c r="Y68" s="1373"/>
      <c r="Z68" s="1373"/>
      <c r="AA68" s="1373"/>
      <c r="AB68" s="1373"/>
      <c r="AC68" s="1373"/>
      <c r="AD68" s="1373"/>
      <c r="AE68" s="1373"/>
      <c r="AF68" s="1373"/>
      <c r="AG68" s="1373"/>
      <c r="AH68" s="1373"/>
      <c r="AI68" s="1373"/>
      <c r="AJ68" s="1373"/>
      <c r="AK68" s="1380"/>
      <c r="AL68" s="1380"/>
      <c r="AM68" s="1380"/>
      <c r="AN68" s="1380"/>
      <c r="AO68" s="1380"/>
      <c r="AP68" s="1380"/>
      <c r="AQ68" s="1380"/>
      <c r="AR68" s="1380"/>
      <c r="AS68" s="1373"/>
      <c r="AT68" s="1373"/>
      <c r="AU68" s="1375"/>
      <c r="AV68" s="1016">
        <f t="shared" si="2"/>
        <v>0</v>
      </c>
    </row>
    <row r="69" spans="2:48" s="1008" customFormat="1" ht="13.5" hidden="1" x14ac:dyDescent="0.25">
      <c r="B69" s="1006"/>
      <c r="C69" s="3252"/>
      <c r="D69" s="3018"/>
      <c r="E69" s="1372"/>
      <c r="F69" s="1373"/>
      <c r="G69" s="1373"/>
      <c r="H69" s="1373"/>
      <c r="I69" s="1373"/>
      <c r="J69" s="1373"/>
      <c r="K69" s="1373"/>
      <c r="L69" s="1373"/>
      <c r="M69" s="1373"/>
      <c r="N69" s="1373"/>
      <c r="O69" s="1373"/>
      <c r="P69" s="1373"/>
      <c r="Q69" s="1373"/>
      <c r="R69" s="1373"/>
      <c r="S69" s="1373"/>
      <c r="T69" s="1373"/>
      <c r="U69" s="1373"/>
      <c r="V69" s="1373"/>
      <c r="W69" s="1373"/>
      <c r="X69" s="1373"/>
      <c r="Y69" s="1373"/>
      <c r="Z69" s="1373"/>
      <c r="AA69" s="1373"/>
      <c r="AB69" s="1373"/>
      <c r="AC69" s="1373"/>
      <c r="AD69" s="1373"/>
      <c r="AE69" s="1373"/>
      <c r="AF69" s="1373"/>
      <c r="AG69" s="1373"/>
      <c r="AH69" s="1373"/>
      <c r="AI69" s="1373"/>
      <c r="AJ69" s="1373"/>
      <c r="AK69" s="1380"/>
      <c r="AL69" s="1380"/>
      <c r="AM69" s="1380"/>
      <c r="AN69" s="1380"/>
      <c r="AO69" s="1380"/>
      <c r="AP69" s="1380"/>
      <c r="AQ69" s="1380"/>
      <c r="AR69" s="1380"/>
      <c r="AS69" s="1373"/>
      <c r="AT69" s="1373"/>
      <c r="AU69" s="1375"/>
      <c r="AV69" s="1016">
        <f t="shared" si="2"/>
        <v>0</v>
      </c>
    </row>
    <row r="70" spans="2:48" s="1008" customFormat="1" ht="13.5" hidden="1" x14ac:dyDescent="0.25">
      <c r="B70" s="1006"/>
      <c r="C70" s="3252"/>
      <c r="D70" s="3018"/>
      <c r="E70" s="1372"/>
      <c r="F70" s="1373"/>
      <c r="G70" s="1373"/>
      <c r="H70" s="1373"/>
      <c r="I70" s="1373"/>
      <c r="J70" s="1373"/>
      <c r="K70" s="1373"/>
      <c r="L70" s="1373"/>
      <c r="M70" s="1373"/>
      <c r="N70" s="1373"/>
      <c r="O70" s="1373"/>
      <c r="P70" s="1373"/>
      <c r="Q70" s="1373"/>
      <c r="R70" s="1373"/>
      <c r="S70" s="1373"/>
      <c r="T70" s="1373"/>
      <c r="U70" s="1373"/>
      <c r="V70" s="1373"/>
      <c r="W70" s="1373"/>
      <c r="X70" s="1373"/>
      <c r="Y70" s="1373"/>
      <c r="Z70" s="1373"/>
      <c r="AA70" s="1373"/>
      <c r="AB70" s="1373"/>
      <c r="AC70" s="1373"/>
      <c r="AD70" s="1373"/>
      <c r="AE70" s="1373"/>
      <c r="AF70" s="1373"/>
      <c r="AG70" s="1373"/>
      <c r="AH70" s="1373"/>
      <c r="AI70" s="1373"/>
      <c r="AJ70" s="1373"/>
      <c r="AK70" s="1380"/>
      <c r="AL70" s="1380"/>
      <c r="AM70" s="1380"/>
      <c r="AN70" s="1380"/>
      <c r="AO70" s="1380"/>
      <c r="AP70" s="1380"/>
      <c r="AQ70" s="1380"/>
      <c r="AR70" s="1380"/>
      <c r="AS70" s="1373"/>
      <c r="AT70" s="1373"/>
      <c r="AU70" s="1375"/>
      <c r="AV70" s="1016">
        <f t="shared" si="2"/>
        <v>0</v>
      </c>
    </row>
    <row r="71" spans="2:48" s="1008" customFormat="1" ht="13.5" hidden="1" x14ac:dyDescent="0.25">
      <c r="B71" s="1006"/>
      <c r="C71" s="3252"/>
      <c r="D71" s="3018"/>
      <c r="E71" s="1372"/>
      <c r="F71" s="1373"/>
      <c r="G71" s="1373"/>
      <c r="H71" s="1373"/>
      <c r="I71" s="1373"/>
      <c r="J71" s="1373"/>
      <c r="K71" s="1373"/>
      <c r="L71" s="1373"/>
      <c r="M71" s="1373"/>
      <c r="N71" s="1373"/>
      <c r="O71" s="1373"/>
      <c r="P71" s="1373"/>
      <c r="Q71" s="1373"/>
      <c r="R71" s="1373"/>
      <c r="S71" s="1373"/>
      <c r="T71" s="1373"/>
      <c r="U71" s="1373"/>
      <c r="V71" s="1373"/>
      <c r="W71" s="1373"/>
      <c r="X71" s="1373"/>
      <c r="Y71" s="1373"/>
      <c r="Z71" s="1373"/>
      <c r="AA71" s="1373"/>
      <c r="AB71" s="1373"/>
      <c r="AC71" s="1373"/>
      <c r="AD71" s="1373"/>
      <c r="AE71" s="1373"/>
      <c r="AF71" s="1373"/>
      <c r="AG71" s="1373"/>
      <c r="AH71" s="1373"/>
      <c r="AI71" s="1373"/>
      <c r="AJ71" s="1373"/>
      <c r="AK71" s="1380"/>
      <c r="AL71" s="1380"/>
      <c r="AM71" s="1380"/>
      <c r="AN71" s="1380"/>
      <c r="AO71" s="1380"/>
      <c r="AP71" s="1380"/>
      <c r="AQ71" s="1380"/>
      <c r="AR71" s="1380"/>
      <c r="AS71" s="1373"/>
      <c r="AT71" s="1373"/>
      <c r="AU71" s="1375"/>
      <c r="AV71" s="1016">
        <f t="shared" si="2"/>
        <v>0</v>
      </c>
    </row>
    <row r="72" spans="2:48" s="1008" customFormat="1" ht="13.5" hidden="1" x14ac:dyDescent="0.25">
      <c r="B72" s="1006"/>
      <c r="C72" s="3252"/>
      <c r="D72" s="3018"/>
      <c r="E72" s="1372"/>
      <c r="F72" s="1373"/>
      <c r="G72" s="1373"/>
      <c r="H72" s="1373"/>
      <c r="I72" s="1373"/>
      <c r="J72" s="1373"/>
      <c r="K72" s="1373"/>
      <c r="L72" s="1373"/>
      <c r="M72" s="1373"/>
      <c r="N72" s="1373"/>
      <c r="O72" s="1373"/>
      <c r="P72" s="1373"/>
      <c r="Q72" s="1373"/>
      <c r="R72" s="1373"/>
      <c r="S72" s="1373"/>
      <c r="T72" s="1373"/>
      <c r="U72" s="1373"/>
      <c r="V72" s="1373"/>
      <c r="W72" s="1373"/>
      <c r="X72" s="1373"/>
      <c r="Y72" s="1373"/>
      <c r="Z72" s="1373"/>
      <c r="AA72" s="1373"/>
      <c r="AB72" s="1373"/>
      <c r="AC72" s="1373"/>
      <c r="AD72" s="1373"/>
      <c r="AE72" s="1373"/>
      <c r="AF72" s="1373"/>
      <c r="AG72" s="1373"/>
      <c r="AH72" s="1373"/>
      <c r="AI72" s="1373"/>
      <c r="AJ72" s="1373"/>
      <c r="AK72" s="1380"/>
      <c r="AL72" s="1380"/>
      <c r="AM72" s="1380"/>
      <c r="AN72" s="1380"/>
      <c r="AO72" s="1380"/>
      <c r="AP72" s="1380"/>
      <c r="AQ72" s="1380"/>
      <c r="AR72" s="1380"/>
      <c r="AS72" s="1373"/>
      <c r="AT72" s="1373"/>
      <c r="AU72" s="1375"/>
      <c r="AV72" s="1016">
        <f t="shared" si="2"/>
        <v>0</v>
      </c>
    </row>
    <row r="73" spans="2:48" s="1008" customFormat="1" ht="13.5" hidden="1" x14ac:dyDescent="0.25">
      <c r="B73" s="1006"/>
      <c r="C73" s="3252"/>
      <c r="D73" s="3018"/>
      <c r="E73" s="1372"/>
      <c r="F73" s="1373"/>
      <c r="G73" s="1373"/>
      <c r="H73" s="1373"/>
      <c r="I73" s="1373"/>
      <c r="J73" s="1373"/>
      <c r="K73" s="1373"/>
      <c r="L73" s="1373"/>
      <c r="M73" s="1373"/>
      <c r="N73" s="1373"/>
      <c r="O73" s="1373"/>
      <c r="P73" s="1373"/>
      <c r="Q73" s="1373"/>
      <c r="R73" s="1373"/>
      <c r="S73" s="1373"/>
      <c r="T73" s="1373"/>
      <c r="U73" s="1373"/>
      <c r="V73" s="1373"/>
      <c r="W73" s="1373"/>
      <c r="X73" s="1373"/>
      <c r="Y73" s="1373"/>
      <c r="Z73" s="1373"/>
      <c r="AA73" s="1373"/>
      <c r="AB73" s="1373"/>
      <c r="AC73" s="1373"/>
      <c r="AD73" s="1373"/>
      <c r="AE73" s="1373"/>
      <c r="AF73" s="1373"/>
      <c r="AG73" s="1373"/>
      <c r="AH73" s="1373"/>
      <c r="AI73" s="1373"/>
      <c r="AJ73" s="1373"/>
      <c r="AK73" s="1380"/>
      <c r="AL73" s="1380"/>
      <c r="AM73" s="1380"/>
      <c r="AN73" s="1380"/>
      <c r="AO73" s="1380"/>
      <c r="AP73" s="1380"/>
      <c r="AQ73" s="1380"/>
      <c r="AR73" s="1380"/>
      <c r="AS73" s="1373"/>
      <c r="AT73" s="1373"/>
      <c r="AU73" s="1375"/>
      <c r="AV73" s="1016">
        <f t="shared" si="2"/>
        <v>0</v>
      </c>
    </row>
    <row r="74" spans="2:48" s="1008" customFormat="1" ht="13.5" hidden="1" x14ac:dyDescent="0.25">
      <c r="B74" s="1006"/>
      <c r="C74" s="3252"/>
      <c r="D74" s="3018"/>
      <c r="E74" s="1372"/>
      <c r="F74" s="1373"/>
      <c r="G74" s="1373"/>
      <c r="H74" s="1373"/>
      <c r="I74" s="1373"/>
      <c r="J74" s="1373"/>
      <c r="K74" s="1373"/>
      <c r="L74" s="1373"/>
      <c r="M74" s="1373"/>
      <c r="N74" s="1373"/>
      <c r="O74" s="1373"/>
      <c r="P74" s="1373"/>
      <c r="Q74" s="1373"/>
      <c r="R74" s="1373"/>
      <c r="S74" s="1373"/>
      <c r="T74" s="1373"/>
      <c r="U74" s="1373"/>
      <c r="V74" s="1373"/>
      <c r="W74" s="1373"/>
      <c r="X74" s="1373"/>
      <c r="Y74" s="1373"/>
      <c r="Z74" s="1373"/>
      <c r="AA74" s="1373"/>
      <c r="AB74" s="1373"/>
      <c r="AC74" s="1373"/>
      <c r="AD74" s="1373"/>
      <c r="AE74" s="1373"/>
      <c r="AF74" s="1373"/>
      <c r="AG74" s="1373"/>
      <c r="AH74" s="1373"/>
      <c r="AI74" s="1373"/>
      <c r="AJ74" s="1373"/>
      <c r="AK74" s="1380"/>
      <c r="AL74" s="1380"/>
      <c r="AM74" s="1380"/>
      <c r="AN74" s="1380"/>
      <c r="AO74" s="1380"/>
      <c r="AP74" s="1380"/>
      <c r="AQ74" s="1380"/>
      <c r="AR74" s="1380"/>
      <c r="AS74" s="1373"/>
      <c r="AT74" s="1373"/>
      <c r="AU74" s="1375"/>
      <c r="AV74" s="1016">
        <f t="shared" si="2"/>
        <v>0</v>
      </c>
    </row>
    <row r="75" spans="2:48" s="1008" customFormat="1" ht="13.5" hidden="1" x14ac:dyDescent="0.25">
      <c r="B75" s="1006"/>
      <c r="C75" s="3252"/>
      <c r="D75" s="3018"/>
      <c r="E75" s="1372"/>
      <c r="F75" s="1373"/>
      <c r="G75" s="1373"/>
      <c r="H75" s="1373"/>
      <c r="I75" s="1373"/>
      <c r="J75" s="1373"/>
      <c r="K75" s="1373"/>
      <c r="L75" s="1373"/>
      <c r="M75" s="1373"/>
      <c r="N75" s="1373"/>
      <c r="O75" s="1373"/>
      <c r="P75" s="1373"/>
      <c r="Q75" s="1373"/>
      <c r="R75" s="1373"/>
      <c r="S75" s="1373"/>
      <c r="T75" s="1373"/>
      <c r="U75" s="1373"/>
      <c r="V75" s="1373"/>
      <c r="W75" s="1373"/>
      <c r="X75" s="1373"/>
      <c r="Y75" s="1373"/>
      <c r="Z75" s="1373"/>
      <c r="AA75" s="1373"/>
      <c r="AB75" s="1373"/>
      <c r="AC75" s="1373"/>
      <c r="AD75" s="1373"/>
      <c r="AE75" s="1373"/>
      <c r="AF75" s="1373"/>
      <c r="AG75" s="1373"/>
      <c r="AH75" s="1373"/>
      <c r="AI75" s="1373"/>
      <c r="AJ75" s="1373"/>
      <c r="AK75" s="1380"/>
      <c r="AL75" s="1380"/>
      <c r="AM75" s="1380"/>
      <c r="AN75" s="1380"/>
      <c r="AO75" s="1380"/>
      <c r="AP75" s="1380"/>
      <c r="AQ75" s="1380"/>
      <c r="AR75" s="1380"/>
      <c r="AS75" s="1373"/>
      <c r="AT75" s="1373"/>
      <c r="AU75" s="1375"/>
      <c r="AV75" s="1016">
        <f t="shared" si="2"/>
        <v>0</v>
      </c>
    </row>
    <row r="76" spans="2:48" s="1008" customFormat="1" ht="13.5" hidden="1" x14ac:dyDescent="0.25">
      <c r="B76" s="1006"/>
      <c r="C76" s="3252"/>
      <c r="D76" s="3018"/>
      <c r="E76" s="1372"/>
      <c r="F76" s="1373"/>
      <c r="G76" s="1373"/>
      <c r="H76" s="1373"/>
      <c r="I76" s="1373"/>
      <c r="J76" s="1373"/>
      <c r="K76" s="1373"/>
      <c r="L76" s="1373"/>
      <c r="M76" s="1373"/>
      <c r="N76" s="1373"/>
      <c r="O76" s="1373"/>
      <c r="P76" s="1373"/>
      <c r="Q76" s="1373"/>
      <c r="R76" s="1373"/>
      <c r="S76" s="1373"/>
      <c r="T76" s="1373"/>
      <c r="U76" s="1373"/>
      <c r="V76" s="1373"/>
      <c r="W76" s="1373"/>
      <c r="X76" s="1373"/>
      <c r="Y76" s="1373"/>
      <c r="Z76" s="1373"/>
      <c r="AA76" s="1373"/>
      <c r="AB76" s="1373"/>
      <c r="AC76" s="1373"/>
      <c r="AD76" s="1373"/>
      <c r="AE76" s="1373"/>
      <c r="AF76" s="1373"/>
      <c r="AG76" s="1373"/>
      <c r="AH76" s="1373"/>
      <c r="AI76" s="1373"/>
      <c r="AJ76" s="1373"/>
      <c r="AK76" s="1380"/>
      <c r="AL76" s="1380"/>
      <c r="AM76" s="1380"/>
      <c r="AN76" s="1380"/>
      <c r="AO76" s="1380"/>
      <c r="AP76" s="1380"/>
      <c r="AQ76" s="1380"/>
      <c r="AR76" s="1380"/>
      <c r="AS76" s="1373"/>
      <c r="AT76" s="1373"/>
      <c r="AU76" s="1375"/>
      <c r="AV76" s="1016">
        <f t="shared" si="2"/>
        <v>0</v>
      </c>
    </row>
    <row r="77" spans="2:48" s="1008" customFormat="1" ht="13.5" hidden="1" x14ac:dyDescent="0.25">
      <c r="B77" s="1006"/>
      <c r="C77" s="3252"/>
      <c r="D77" s="3018"/>
      <c r="E77" s="1372"/>
      <c r="F77" s="1373"/>
      <c r="G77" s="1373"/>
      <c r="H77" s="1373"/>
      <c r="I77" s="1373"/>
      <c r="J77" s="1373"/>
      <c r="K77" s="1373"/>
      <c r="L77" s="1373"/>
      <c r="M77" s="1373"/>
      <c r="N77" s="1373"/>
      <c r="O77" s="1373"/>
      <c r="P77" s="1373"/>
      <c r="Q77" s="1373"/>
      <c r="R77" s="1373"/>
      <c r="S77" s="1373"/>
      <c r="T77" s="1373"/>
      <c r="U77" s="1373"/>
      <c r="V77" s="1373"/>
      <c r="W77" s="1373"/>
      <c r="X77" s="1373"/>
      <c r="Y77" s="1373"/>
      <c r="Z77" s="1373"/>
      <c r="AA77" s="1373"/>
      <c r="AB77" s="1373"/>
      <c r="AC77" s="1373"/>
      <c r="AD77" s="1373"/>
      <c r="AE77" s="1373"/>
      <c r="AF77" s="1373"/>
      <c r="AG77" s="1373"/>
      <c r="AH77" s="1373"/>
      <c r="AI77" s="1373"/>
      <c r="AJ77" s="1373"/>
      <c r="AK77" s="1380"/>
      <c r="AL77" s="1380"/>
      <c r="AM77" s="1380"/>
      <c r="AN77" s="1380"/>
      <c r="AO77" s="1380"/>
      <c r="AP77" s="1380"/>
      <c r="AQ77" s="1380"/>
      <c r="AR77" s="1380"/>
      <c r="AS77" s="1373"/>
      <c r="AT77" s="1373"/>
      <c r="AU77" s="1375"/>
      <c r="AV77" s="1016">
        <f t="shared" si="2"/>
        <v>0</v>
      </c>
    </row>
    <row r="78" spans="2:48" s="1008" customFormat="1" ht="13.5" hidden="1" x14ac:dyDescent="0.25">
      <c r="B78" s="1006"/>
      <c r="C78" s="3252"/>
      <c r="D78" s="3018"/>
      <c r="E78" s="1372"/>
      <c r="F78" s="1373"/>
      <c r="G78" s="1373"/>
      <c r="H78" s="1373"/>
      <c r="I78" s="1373"/>
      <c r="J78" s="1373"/>
      <c r="K78" s="1373"/>
      <c r="L78" s="1373"/>
      <c r="M78" s="1373"/>
      <c r="N78" s="1373"/>
      <c r="O78" s="1373"/>
      <c r="P78" s="1373"/>
      <c r="Q78" s="1373"/>
      <c r="R78" s="1373"/>
      <c r="S78" s="1373"/>
      <c r="T78" s="1373"/>
      <c r="U78" s="1373"/>
      <c r="V78" s="1373"/>
      <c r="W78" s="1373"/>
      <c r="X78" s="1373"/>
      <c r="Y78" s="1373"/>
      <c r="Z78" s="1373"/>
      <c r="AA78" s="1373"/>
      <c r="AB78" s="1373"/>
      <c r="AC78" s="1373"/>
      <c r="AD78" s="1373"/>
      <c r="AE78" s="1373"/>
      <c r="AF78" s="1373"/>
      <c r="AG78" s="1373"/>
      <c r="AH78" s="1373"/>
      <c r="AI78" s="1373"/>
      <c r="AJ78" s="1373"/>
      <c r="AK78" s="1380"/>
      <c r="AL78" s="1380"/>
      <c r="AM78" s="1380"/>
      <c r="AN78" s="1380"/>
      <c r="AO78" s="1380"/>
      <c r="AP78" s="1380"/>
      <c r="AQ78" s="1380"/>
      <c r="AR78" s="1380"/>
      <c r="AS78" s="1373"/>
      <c r="AT78" s="1373"/>
      <c r="AU78" s="1375"/>
      <c r="AV78" s="1016">
        <f t="shared" si="2"/>
        <v>0</v>
      </c>
    </row>
    <row r="79" spans="2:48" s="1008" customFormat="1" ht="13.5" hidden="1" x14ac:dyDescent="0.25">
      <c r="B79" s="1006"/>
      <c r="C79" s="3252"/>
      <c r="D79" s="3018"/>
      <c r="E79" s="1372"/>
      <c r="F79" s="1373"/>
      <c r="G79" s="1373"/>
      <c r="H79" s="1373"/>
      <c r="I79" s="1373"/>
      <c r="J79" s="1373"/>
      <c r="K79" s="1373"/>
      <c r="L79" s="1373"/>
      <c r="M79" s="1373"/>
      <c r="N79" s="1373"/>
      <c r="O79" s="1373"/>
      <c r="P79" s="1373"/>
      <c r="Q79" s="1373"/>
      <c r="R79" s="1373"/>
      <c r="S79" s="1373"/>
      <c r="T79" s="1373"/>
      <c r="U79" s="1373"/>
      <c r="V79" s="1373"/>
      <c r="W79" s="1373"/>
      <c r="X79" s="1373"/>
      <c r="Y79" s="1373"/>
      <c r="Z79" s="1373"/>
      <c r="AA79" s="1373"/>
      <c r="AB79" s="1373"/>
      <c r="AC79" s="1373"/>
      <c r="AD79" s="1373"/>
      <c r="AE79" s="1373"/>
      <c r="AF79" s="1373"/>
      <c r="AG79" s="1373"/>
      <c r="AH79" s="1373"/>
      <c r="AI79" s="1373"/>
      <c r="AJ79" s="1373"/>
      <c r="AK79" s="1380"/>
      <c r="AL79" s="1380"/>
      <c r="AM79" s="1380"/>
      <c r="AN79" s="1380"/>
      <c r="AO79" s="1380"/>
      <c r="AP79" s="1380"/>
      <c r="AQ79" s="1380"/>
      <c r="AR79" s="1380"/>
      <c r="AS79" s="1373"/>
      <c r="AT79" s="1373"/>
      <c r="AU79" s="1375"/>
      <c r="AV79" s="1016">
        <f t="shared" si="2"/>
        <v>0</v>
      </c>
    </row>
    <row r="80" spans="2:48" s="1008" customFormat="1" ht="13.5" hidden="1" x14ac:dyDescent="0.25">
      <c r="B80" s="1006"/>
      <c r="C80" s="3252"/>
      <c r="D80" s="3018"/>
      <c r="E80" s="1372"/>
      <c r="F80" s="1373"/>
      <c r="G80" s="1373"/>
      <c r="H80" s="1373"/>
      <c r="I80" s="1373"/>
      <c r="J80" s="1373"/>
      <c r="K80" s="1373"/>
      <c r="L80" s="1373"/>
      <c r="M80" s="1373"/>
      <c r="N80" s="1373"/>
      <c r="O80" s="1373"/>
      <c r="P80" s="1373"/>
      <c r="Q80" s="1373"/>
      <c r="R80" s="1373"/>
      <c r="S80" s="1373"/>
      <c r="T80" s="1373"/>
      <c r="U80" s="1373"/>
      <c r="V80" s="1373"/>
      <c r="W80" s="1373"/>
      <c r="X80" s="1373"/>
      <c r="Y80" s="1373"/>
      <c r="Z80" s="1373"/>
      <c r="AA80" s="1373"/>
      <c r="AB80" s="1373"/>
      <c r="AC80" s="1373"/>
      <c r="AD80" s="1373"/>
      <c r="AE80" s="1373"/>
      <c r="AF80" s="1373"/>
      <c r="AG80" s="1373"/>
      <c r="AH80" s="1373"/>
      <c r="AI80" s="1373"/>
      <c r="AJ80" s="1373"/>
      <c r="AK80" s="1380"/>
      <c r="AL80" s="1380"/>
      <c r="AM80" s="1380"/>
      <c r="AN80" s="1380"/>
      <c r="AO80" s="1380"/>
      <c r="AP80" s="1380"/>
      <c r="AQ80" s="1380"/>
      <c r="AR80" s="1380"/>
      <c r="AS80" s="1373"/>
      <c r="AT80" s="1373"/>
      <c r="AU80" s="1375"/>
      <c r="AV80" s="1016">
        <f t="shared" si="2"/>
        <v>0</v>
      </c>
    </row>
    <row r="81" spans="2:48" s="1008" customFormat="1" ht="13.5" hidden="1" x14ac:dyDescent="0.25">
      <c r="B81" s="1006"/>
      <c r="C81" s="3252"/>
      <c r="D81" s="3018"/>
      <c r="E81" s="1372"/>
      <c r="F81" s="1373"/>
      <c r="G81" s="1373"/>
      <c r="H81" s="1373"/>
      <c r="I81" s="1373"/>
      <c r="J81" s="1373"/>
      <c r="K81" s="1373"/>
      <c r="L81" s="1373"/>
      <c r="M81" s="1373"/>
      <c r="N81" s="1373"/>
      <c r="O81" s="1373"/>
      <c r="P81" s="1373"/>
      <c r="Q81" s="1373"/>
      <c r="R81" s="1373"/>
      <c r="S81" s="1373"/>
      <c r="T81" s="1373"/>
      <c r="U81" s="1373"/>
      <c r="V81" s="1373"/>
      <c r="W81" s="1373"/>
      <c r="X81" s="1373"/>
      <c r="Y81" s="1373"/>
      <c r="Z81" s="1373"/>
      <c r="AA81" s="1373"/>
      <c r="AB81" s="1373"/>
      <c r="AC81" s="1373"/>
      <c r="AD81" s="1373"/>
      <c r="AE81" s="1373"/>
      <c r="AF81" s="1373"/>
      <c r="AG81" s="1373"/>
      <c r="AH81" s="1373"/>
      <c r="AI81" s="1373"/>
      <c r="AJ81" s="1373"/>
      <c r="AK81" s="1380"/>
      <c r="AL81" s="1380"/>
      <c r="AM81" s="1380"/>
      <c r="AN81" s="1380"/>
      <c r="AO81" s="1380"/>
      <c r="AP81" s="1380"/>
      <c r="AQ81" s="1380"/>
      <c r="AR81" s="1380"/>
      <c r="AS81" s="1373"/>
      <c r="AT81" s="1373"/>
      <c r="AU81" s="1375"/>
      <c r="AV81" s="1016">
        <f t="shared" si="2"/>
        <v>0</v>
      </c>
    </row>
    <row r="82" spans="2:48" s="1008" customFormat="1" ht="13.5" hidden="1" x14ac:dyDescent="0.25">
      <c r="B82" s="1006"/>
      <c r="C82" s="3252"/>
      <c r="D82" s="3018"/>
      <c r="E82" s="1372"/>
      <c r="F82" s="1373"/>
      <c r="G82" s="1373"/>
      <c r="H82" s="1373"/>
      <c r="I82" s="1373"/>
      <c r="J82" s="1373"/>
      <c r="K82" s="1373"/>
      <c r="L82" s="1373"/>
      <c r="M82" s="1373"/>
      <c r="N82" s="1373"/>
      <c r="O82" s="1373"/>
      <c r="P82" s="1373"/>
      <c r="Q82" s="1373"/>
      <c r="R82" s="1373"/>
      <c r="S82" s="1373"/>
      <c r="T82" s="1373"/>
      <c r="U82" s="1373"/>
      <c r="V82" s="1373"/>
      <c r="W82" s="1373"/>
      <c r="X82" s="1373"/>
      <c r="Y82" s="1373"/>
      <c r="Z82" s="1373"/>
      <c r="AA82" s="1373"/>
      <c r="AB82" s="1373"/>
      <c r="AC82" s="1373"/>
      <c r="AD82" s="1373"/>
      <c r="AE82" s="1373"/>
      <c r="AF82" s="1373"/>
      <c r="AG82" s="1373"/>
      <c r="AH82" s="1373"/>
      <c r="AI82" s="1373"/>
      <c r="AJ82" s="1373"/>
      <c r="AK82" s="1380"/>
      <c r="AL82" s="1380"/>
      <c r="AM82" s="1380"/>
      <c r="AN82" s="1380"/>
      <c r="AO82" s="1380"/>
      <c r="AP82" s="1380"/>
      <c r="AQ82" s="1380"/>
      <c r="AR82" s="1380"/>
      <c r="AS82" s="1373"/>
      <c r="AT82" s="1373"/>
      <c r="AU82" s="1375"/>
      <c r="AV82" s="1016">
        <f t="shared" si="2"/>
        <v>0</v>
      </c>
    </row>
    <row r="83" spans="2:48" s="1008" customFormat="1" ht="13.5" hidden="1" x14ac:dyDescent="0.25">
      <c r="B83" s="1006"/>
      <c r="C83" s="3252"/>
      <c r="D83" s="3018"/>
      <c r="E83" s="1372"/>
      <c r="F83" s="1373"/>
      <c r="G83" s="1373"/>
      <c r="H83" s="1373"/>
      <c r="I83" s="1373"/>
      <c r="J83" s="1373"/>
      <c r="K83" s="1373"/>
      <c r="L83" s="1373"/>
      <c r="M83" s="1373"/>
      <c r="N83" s="1373"/>
      <c r="O83" s="1373"/>
      <c r="P83" s="1373"/>
      <c r="Q83" s="1373"/>
      <c r="R83" s="1373"/>
      <c r="S83" s="1373"/>
      <c r="T83" s="1373"/>
      <c r="U83" s="1373"/>
      <c r="V83" s="1373"/>
      <c r="W83" s="1373"/>
      <c r="X83" s="1373"/>
      <c r="Y83" s="1373"/>
      <c r="Z83" s="1373"/>
      <c r="AA83" s="1373"/>
      <c r="AB83" s="1373"/>
      <c r="AC83" s="1373"/>
      <c r="AD83" s="1373"/>
      <c r="AE83" s="1373"/>
      <c r="AF83" s="1373"/>
      <c r="AG83" s="1373"/>
      <c r="AH83" s="1373"/>
      <c r="AI83" s="1373"/>
      <c r="AJ83" s="1373"/>
      <c r="AK83" s="1380"/>
      <c r="AL83" s="1380"/>
      <c r="AM83" s="1380"/>
      <c r="AN83" s="1380"/>
      <c r="AO83" s="1380"/>
      <c r="AP83" s="1380"/>
      <c r="AQ83" s="1380"/>
      <c r="AR83" s="1380"/>
      <c r="AS83" s="1373"/>
      <c r="AT83" s="1373"/>
      <c r="AU83" s="1375"/>
      <c r="AV83" s="1016">
        <f t="shared" si="2"/>
        <v>0</v>
      </c>
    </row>
    <row r="84" spans="2:48" s="1008" customFormat="1" ht="13.5" hidden="1" x14ac:dyDescent="0.25">
      <c r="B84" s="1006"/>
      <c r="C84" s="3252"/>
      <c r="D84" s="3018"/>
      <c r="E84" s="1372"/>
      <c r="F84" s="1373"/>
      <c r="G84" s="1373"/>
      <c r="H84" s="1373"/>
      <c r="I84" s="1373"/>
      <c r="J84" s="1373"/>
      <c r="K84" s="1373"/>
      <c r="L84" s="1373"/>
      <c r="M84" s="1373"/>
      <c r="N84" s="1373"/>
      <c r="O84" s="1373"/>
      <c r="P84" s="1373"/>
      <c r="Q84" s="1373"/>
      <c r="R84" s="1373"/>
      <c r="S84" s="1373"/>
      <c r="T84" s="1373"/>
      <c r="U84" s="1373"/>
      <c r="V84" s="1373"/>
      <c r="W84" s="1373"/>
      <c r="X84" s="1373"/>
      <c r="Y84" s="1373"/>
      <c r="Z84" s="1373"/>
      <c r="AA84" s="1373"/>
      <c r="AB84" s="1373"/>
      <c r="AC84" s="1373"/>
      <c r="AD84" s="1373"/>
      <c r="AE84" s="1373"/>
      <c r="AF84" s="1373"/>
      <c r="AG84" s="1373"/>
      <c r="AH84" s="1373"/>
      <c r="AI84" s="1373"/>
      <c r="AJ84" s="1373"/>
      <c r="AK84" s="1380"/>
      <c r="AL84" s="1380"/>
      <c r="AM84" s="1380"/>
      <c r="AN84" s="1380"/>
      <c r="AO84" s="1380"/>
      <c r="AP84" s="1380"/>
      <c r="AQ84" s="1380"/>
      <c r="AR84" s="1380"/>
      <c r="AS84" s="1373"/>
      <c r="AT84" s="1373"/>
      <c r="AU84" s="1375"/>
      <c r="AV84" s="1016">
        <f t="shared" si="2"/>
        <v>0</v>
      </c>
    </row>
    <row r="85" spans="2:48" s="1008" customFormat="1" ht="13.5" hidden="1" x14ac:dyDescent="0.25">
      <c r="B85" s="1006"/>
      <c r="C85" s="3252"/>
      <c r="D85" s="3018"/>
      <c r="E85" s="1372"/>
      <c r="F85" s="1373"/>
      <c r="G85" s="1373"/>
      <c r="H85" s="1373"/>
      <c r="I85" s="1373"/>
      <c r="J85" s="1373"/>
      <c r="K85" s="1373"/>
      <c r="L85" s="1373"/>
      <c r="M85" s="1373"/>
      <c r="N85" s="1373"/>
      <c r="O85" s="1373"/>
      <c r="P85" s="1373"/>
      <c r="Q85" s="1373"/>
      <c r="R85" s="1373"/>
      <c r="S85" s="1373"/>
      <c r="T85" s="1373"/>
      <c r="U85" s="1373"/>
      <c r="V85" s="1373"/>
      <c r="W85" s="1373"/>
      <c r="X85" s="1373"/>
      <c r="Y85" s="1373"/>
      <c r="Z85" s="1373"/>
      <c r="AA85" s="1373"/>
      <c r="AB85" s="1373"/>
      <c r="AC85" s="1373"/>
      <c r="AD85" s="1373"/>
      <c r="AE85" s="1373"/>
      <c r="AF85" s="1373"/>
      <c r="AG85" s="1373"/>
      <c r="AH85" s="1373"/>
      <c r="AI85" s="1373"/>
      <c r="AJ85" s="1373"/>
      <c r="AK85" s="1380"/>
      <c r="AL85" s="1380"/>
      <c r="AM85" s="1380"/>
      <c r="AN85" s="1380"/>
      <c r="AO85" s="1380"/>
      <c r="AP85" s="1380"/>
      <c r="AQ85" s="1380"/>
      <c r="AR85" s="1380"/>
      <c r="AS85" s="1373"/>
      <c r="AT85" s="1373"/>
      <c r="AU85" s="1375"/>
      <c r="AV85" s="1016">
        <f t="shared" si="2"/>
        <v>0</v>
      </c>
    </row>
    <row r="86" spans="2:48" s="1008" customFormat="1" ht="13.5" hidden="1" x14ac:dyDescent="0.25">
      <c r="B86" s="1006"/>
      <c r="C86" s="3252"/>
      <c r="D86" s="3018"/>
      <c r="E86" s="1372"/>
      <c r="F86" s="1373"/>
      <c r="G86" s="1373"/>
      <c r="H86" s="1373"/>
      <c r="I86" s="1373"/>
      <c r="J86" s="1373"/>
      <c r="K86" s="1373"/>
      <c r="L86" s="1373"/>
      <c r="M86" s="1373"/>
      <c r="N86" s="1373"/>
      <c r="O86" s="1373"/>
      <c r="P86" s="1373"/>
      <c r="Q86" s="1373"/>
      <c r="R86" s="1373"/>
      <c r="S86" s="1373"/>
      <c r="T86" s="1373"/>
      <c r="U86" s="1373"/>
      <c r="V86" s="1373"/>
      <c r="W86" s="1373"/>
      <c r="X86" s="1373"/>
      <c r="Y86" s="1373"/>
      <c r="Z86" s="1373"/>
      <c r="AA86" s="1373"/>
      <c r="AB86" s="1373"/>
      <c r="AC86" s="1373"/>
      <c r="AD86" s="1373"/>
      <c r="AE86" s="1373"/>
      <c r="AF86" s="1373"/>
      <c r="AG86" s="1373"/>
      <c r="AH86" s="1373"/>
      <c r="AI86" s="1373"/>
      <c r="AJ86" s="1373"/>
      <c r="AK86" s="1380"/>
      <c r="AL86" s="1380"/>
      <c r="AM86" s="1380"/>
      <c r="AN86" s="1380"/>
      <c r="AO86" s="1380"/>
      <c r="AP86" s="1380"/>
      <c r="AQ86" s="1380"/>
      <c r="AR86" s="1380"/>
      <c r="AS86" s="1373"/>
      <c r="AT86" s="1373"/>
      <c r="AU86" s="1375"/>
      <c r="AV86" s="1016">
        <f t="shared" si="2"/>
        <v>0</v>
      </c>
    </row>
    <row r="87" spans="2:48" s="1008" customFormat="1" ht="13.5" hidden="1" x14ac:dyDescent="0.25">
      <c r="B87" s="1006"/>
      <c r="C87" s="3252"/>
      <c r="D87" s="3018"/>
      <c r="E87" s="1372"/>
      <c r="F87" s="1373"/>
      <c r="G87" s="1373"/>
      <c r="H87" s="1373"/>
      <c r="I87" s="1373"/>
      <c r="J87" s="1373"/>
      <c r="K87" s="1373"/>
      <c r="L87" s="1373"/>
      <c r="M87" s="1373"/>
      <c r="N87" s="1373"/>
      <c r="O87" s="1373"/>
      <c r="P87" s="1373"/>
      <c r="Q87" s="1373"/>
      <c r="R87" s="1373"/>
      <c r="S87" s="1373"/>
      <c r="T87" s="1373"/>
      <c r="U87" s="1373"/>
      <c r="V87" s="1373"/>
      <c r="W87" s="1373"/>
      <c r="X87" s="1373"/>
      <c r="Y87" s="1373"/>
      <c r="Z87" s="1373"/>
      <c r="AA87" s="1373"/>
      <c r="AB87" s="1373"/>
      <c r="AC87" s="1373"/>
      <c r="AD87" s="1373"/>
      <c r="AE87" s="1373"/>
      <c r="AF87" s="1373"/>
      <c r="AG87" s="1373"/>
      <c r="AH87" s="1373"/>
      <c r="AI87" s="1373"/>
      <c r="AJ87" s="1373"/>
      <c r="AK87" s="1380"/>
      <c r="AL87" s="1380"/>
      <c r="AM87" s="1380"/>
      <c r="AN87" s="1380"/>
      <c r="AO87" s="1380"/>
      <c r="AP87" s="1380"/>
      <c r="AQ87" s="1380"/>
      <c r="AR87" s="1380"/>
      <c r="AS87" s="1373"/>
      <c r="AT87" s="1373"/>
      <c r="AU87" s="1375"/>
      <c r="AV87" s="1016">
        <f t="shared" si="2"/>
        <v>0</v>
      </c>
    </row>
    <row r="88" spans="2:48" s="1008" customFormat="1" ht="13.5" hidden="1" x14ac:dyDescent="0.25">
      <c r="B88" s="1006"/>
      <c r="C88" s="3252"/>
      <c r="D88" s="3018"/>
      <c r="E88" s="1372"/>
      <c r="F88" s="1373"/>
      <c r="G88" s="1373"/>
      <c r="H88" s="1373"/>
      <c r="I88" s="1373"/>
      <c r="J88" s="1373"/>
      <c r="K88" s="1373"/>
      <c r="L88" s="1373"/>
      <c r="M88" s="1373"/>
      <c r="N88" s="1373"/>
      <c r="O88" s="1373"/>
      <c r="P88" s="1373"/>
      <c r="Q88" s="1373"/>
      <c r="R88" s="1373"/>
      <c r="S88" s="1373"/>
      <c r="T88" s="1373"/>
      <c r="U88" s="1373"/>
      <c r="V88" s="1373"/>
      <c r="W88" s="1373"/>
      <c r="X88" s="1373"/>
      <c r="Y88" s="1373"/>
      <c r="Z88" s="1373"/>
      <c r="AA88" s="1373"/>
      <c r="AB88" s="1373"/>
      <c r="AC88" s="1373"/>
      <c r="AD88" s="1373"/>
      <c r="AE88" s="1373"/>
      <c r="AF88" s="1373"/>
      <c r="AG88" s="1373"/>
      <c r="AH88" s="1373"/>
      <c r="AI88" s="1373"/>
      <c r="AJ88" s="1373"/>
      <c r="AK88" s="1380"/>
      <c r="AL88" s="1380"/>
      <c r="AM88" s="1380"/>
      <c r="AN88" s="1380"/>
      <c r="AO88" s="1380"/>
      <c r="AP88" s="1380"/>
      <c r="AQ88" s="1380"/>
      <c r="AR88" s="1380"/>
      <c r="AS88" s="1373"/>
      <c r="AT88" s="1373"/>
      <c r="AU88" s="1375"/>
      <c r="AV88" s="1016">
        <f t="shared" si="2"/>
        <v>0</v>
      </c>
    </row>
    <row r="89" spans="2:48" s="1008" customFormat="1" ht="13.5" hidden="1" x14ac:dyDescent="0.25">
      <c r="B89" s="1006"/>
      <c r="C89" s="3252"/>
      <c r="D89" s="3018"/>
      <c r="E89" s="1372"/>
      <c r="F89" s="1373"/>
      <c r="G89" s="1373"/>
      <c r="H89" s="1373"/>
      <c r="I89" s="1373"/>
      <c r="J89" s="1373"/>
      <c r="K89" s="1373"/>
      <c r="L89" s="1373"/>
      <c r="M89" s="1373"/>
      <c r="N89" s="1373"/>
      <c r="O89" s="1373"/>
      <c r="P89" s="1373"/>
      <c r="Q89" s="1373"/>
      <c r="R89" s="1373"/>
      <c r="S89" s="1373"/>
      <c r="T89" s="1373"/>
      <c r="U89" s="1373"/>
      <c r="V89" s="1373"/>
      <c r="W89" s="1373"/>
      <c r="X89" s="1373"/>
      <c r="Y89" s="1373"/>
      <c r="Z89" s="1373"/>
      <c r="AA89" s="1373"/>
      <c r="AB89" s="1373"/>
      <c r="AC89" s="1373"/>
      <c r="AD89" s="1373"/>
      <c r="AE89" s="1373"/>
      <c r="AF89" s="1373"/>
      <c r="AG89" s="1373"/>
      <c r="AH89" s="1373"/>
      <c r="AI89" s="1373"/>
      <c r="AJ89" s="1373"/>
      <c r="AK89" s="1380"/>
      <c r="AL89" s="1380"/>
      <c r="AM89" s="1380"/>
      <c r="AN89" s="1380"/>
      <c r="AO89" s="1380"/>
      <c r="AP89" s="1380"/>
      <c r="AQ89" s="1380"/>
      <c r="AR89" s="1380"/>
      <c r="AS89" s="1373"/>
      <c r="AT89" s="1373"/>
      <c r="AU89" s="1375"/>
      <c r="AV89" s="1016">
        <f t="shared" si="2"/>
        <v>0</v>
      </c>
    </row>
    <row r="90" spans="2:48" s="1008" customFormat="1" ht="13.5" hidden="1" x14ac:dyDescent="0.25">
      <c r="B90" s="1006"/>
      <c r="C90" s="3252"/>
      <c r="D90" s="3018"/>
      <c r="E90" s="1372"/>
      <c r="F90" s="1373"/>
      <c r="G90" s="1373"/>
      <c r="H90" s="1373"/>
      <c r="I90" s="1373"/>
      <c r="J90" s="1373"/>
      <c r="K90" s="1373"/>
      <c r="L90" s="1373"/>
      <c r="M90" s="1373"/>
      <c r="N90" s="1373"/>
      <c r="O90" s="1373"/>
      <c r="P90" s="1373"/>
      <c r="Q90" s="1373"/>
      <c r="R90" s="1373"/>
      <c r="S90" s="1373"/>
      <c r="T90" s="1373"/>
      <c r="U90" s="1373"/>
      <c r="V90" s="1373"/>
      <c r="W90" s="1373"/>
      <c r="X90" s="1373"/>
      <c r="Y90" s="1373"/>
      <c r="Z90" s="1373"/>
      <c r="AA90" s="1373"/>
      <c r="AB90" s="1373"/>
      <c r="AC90" s="1373"/>
      <c r="AD90" s="1373"/>
      <c r="AE90" s="1373"/>
      <c r="AF90" s="1373"/>
      <c r="AG90" s="1373"/>
      <c r="AH90" s="1373"/>
      <c r="AI90" s="1373"/>
      <c r="AJ90" s="1373"/>
      <c r="AK90" s="1380"/>
      <c r="AL90" s="1380"/>
      <c r="AM90" s="1380"/>
      <c r="AN90" s="1380"/>
      <c r="AO90" s="1380"/>
      <c r="AP90" s="1380"/>
      <c r="AQ90" s="1380"/>
      <c r="AR90" s="1380"/>
      <c r="AS90" s="1373"/>
      <c r="AT90" s="1373"/>
      <c r="AU90" s="1375"/>
      <c r="AV90" s="1016">
        <f t="shared" si="2"/>
        <v>0</v>
      </c>
    </row>
    <row r="91" spans="2:48" s="1008" customFormat="1" ht="13.5" hidden="1" x14ac:dyDescent="0.25">
      <c r="B91" s="1006"/>
      <c r="C91" s="3252"/>
      <c r="D91" s="3018"/>
      <c r="E91" s="1372"/>
      <c r="F91" s="1373"/>
      <c r="G91" s="1373"/>
      <c r="H91" s="1373"/>
      <c r="I91" s="1373"/>
      <c r="J91" s="1373"/>
      <c r="K91" s="1373"/>
      <c r="L91" s="1373"/>
      <c r="M91" s="1373"/>
      <c r="N91" s="1373"/>
      <c r="O91" s="1373"/>
      <c r="P91" s="1373"/>
      <c r="Q91" s="1373"/>
      <c r="R91" s="1373"/>
      <c r="S91" s="1373"/>
      <c r="T91" s="1373"/>
      <c r="U91" s="1373"/>
      <c r="V91" s="1373"/>
      <c r="W91" s="1373"/>
      <c r="X91" s="1373"/>
      <c r="Y91" s="1373"/>
      <c r="Z91" s="1373"/>
      <c r="AA91" s="1373"/>
      <c r="AB91" s="1373"/>
      <c r="AC91" s="1373"/>
      <c r="AD91" s="1373"/>
      <c r="AE91" s="1373"/>
      <c r="AF91" s="1373"/>
      <c r="AG91" s="1373"/>
      <c r="AH91" s="1373"/>
      <c r="AI91" s="1373"/>
      <c r="AJ91" s="1373"/>
      <c r="AK91" s="1380"/>
      <c r="AL91" s="1380"/>
      <c r="AM91" s="1380"/>
      <c r="AN91" s="1380"/>
      <c r="AO91" s="1380"/>
      <c r="AP91" s="1380"/>
      <c r="AQ91" s="1380"/>
      <c r="AR91" s="1380"/>
      <c r="AS91" s="1373"/>
      <c r="AT91" s="1373"/>
      <c r="AU91" s="1375"/>
      <c r="AV91" s="1016">
        <f t="shared" si="2"/>
        <v>0</v>
      </c>
    </row>
    <row r="92" spans="2:48" s="1008" customFormat="1" ht="13.5" hidden="1" x14ac:dyDescent="0.25">
      <c r="B92" s="1006"/>
      <c r="C92" s="3252"/>
      <c r="D92" s="3018"/>
      <c r="E92" s="1372"/>
      <c r="F92" s="1373"/>
      <c r="G92" s="1373"/>
      <c r="H92" s="1373"/>
      <c r="I92" s="1373"/>
      <c r="J92" s="1373"/>
      <c r="K92" s="1373"/>
      <c r="L92" s="1373"/>
      <c r="M92" s="1373"/>
      <c r="N92" s="1373"/>
      <c r="O92" s="1373"/>
      <c r="P92" s="1373"/>
      <c r="Q92" s="1373"/>
      <c r="R92" s="1373"/>
      <c r="S92" s="1373"/>
      <c r="T92" s="1373"/>
      <c r="U92" s="1373"/>
      <c r="V92" s="1373"/>
      <c r="W92" s="1373"/>
      <c r="X92" s="1373"/>
      <c r="Y92" s="1373"/>
      <c r="Z92" s="1373"/>
      <c r="AA92" s="1373"/>
      <c r="AB92" s="1373"/>
      <c r="AC92" s="1373"/>
      <c r="AD92" s="1373"/>
      <c r="AE92" s="1373"/>
      <c r="AF92" s="1373"/>
      <c r="AG92" s="1373"/>
      <c r="AH92" s="1373"/>
      <c r="AI92" s="1373"/>
      <c r="AJ92" s="1373"/>
      <c r="AK92" s="1380"/>
      <c r="AL92" s="1380"/>
      <c r="AM92" s="1380"/>
      <c r="AN92" s="1380"/>
      <c r="AO92" s="1380"/>
      <c r="AP92" s="1380"/>
      <c r="AQ92" s="1380"/>
      <c r="AR92" s="1380"/>
      <c r="AS92" s="1373"/>
      <c r="AT92" s="1373"/>
      <c r="AU92" s="1375"/>
      <c r="AV92" s="1016">
        <f t="shared" si="2"/>
        <v>0</v>
      </c>
    </row>
    <row r="93" spans="2:48" s="1008" customFormat="1" ht="13.5" hidden="1" x14ac:dyDescent="0.25">
      <c r="B93" s="1006"/>
      <c r="C93" s="3252"/>
      <c r="D93" s="3018"/>
      <c r="E93" s="1372"/>
      <c r="F93" s="1373"/>
      <c r="G93" s="1373"/>
      <c r="H93" s="1373"/>
      <c r="I93" s="1373"/>
      <c r="J93" s="1373"/>
      <c r="K93" s="1373"/>
      <c r="L93" s="1373"/>
      <c r="M93" s="1373"/>
      <c r="N93" s="1373"/>
      <c r="O93" s="1373"/>
      <c r="P93" s="1373"/>
      <c r="Q93" s="1373"/>
      <c r="R93" s="1373"/>
      <c r="S93" s="1373"/>
      <c r="T93" s="1373"/>
      <c r="U93" s="1373"/>
      <c r="V93" s="1373"/>
      <c r="W93" s="1373"/>
      <c r="X93" s="1373"/>
      <c r="Y93" s="1373"/>
      <c r="Z93" s="1373"/>
      <c r="AA93" s="1373"/>
      <c r="AB93" s="1373"/>
      <c r="AC93" s="1373"/>
      <c r="AD93" s="1373"/>
      <c r="AE93" s="1373"/>
      <c r="AF93" s="1373"/>
      <c r="AG93" s="1373"/>
      <c r="AH93" s="1373"/>
      <c r="AI93" s="1373"/>
      <c r="AJ93" s="1373"/>
      <c r="AK93" s="1380"/>
      <c r="AL93" s="1380"/>
      <c r="AM93" s="1380"/>
      <c r="AN93" s="1380"/>
      <c r="AO93" s="1380"/>
      <c r="AP93" s="1380"/>
      <c r="AQ93" s="1380"/>
      <c r="AR93" s="1380"/>
      <c r="AS93" s="1373"/>
      <c r="AT93" s="1373"/>
      <c r="AU93" s="1375"/>
      <c r="AV93" s="1016">
        <f t="shared" si="2"/>
        <v>0</v>
      </c>
    </row>
    <row r="94" spans="2:48" s="1008" customFormat="1" ht="13.5" hidden="1" x14ac:dyDescent="0.25">
      <c r="B94" s="1006"/>
      <c r="C94" s="3252"/>
      <c r="D94" s="3018"/>
      <c r="E94" s="1372"/>
      <c r="F94" s="1373"/>
      <c r="G94" s="1373"/>
      <c r="H94" s="1373"/>
      <c r="I94" s="1373"/>
      <c r="J94" s="1373"/>
      <c r="K94" s="1373"/>
      <c r="L94" s="1373"/>
      <c r="M94" s="1373"/>
      <c r="N94" s="1373"/>
      <c r="O94" s="1373"/>
      <c r="P94" s="1373"/>
      <c r="Q94" s="1373"/>
      <c r="R94" s="1373"/>
      <c r="S94" s="1373"/>
      <c r="T94" s="1373"/>
      <c r="U94" s="1373"/>
      <c r="V94" s="1373"/>
      <c r="W94" s="1373"/>
      <c r="X94" s="1373"/>
      <c r="Y94" s="1373"/>
      <c r="Z94" s="1373"/>
      <c r="AA94" s="1373"/>
      <c r="AB94" s="1373"/>
      <c r="AC94" s="1373"/>
      <c r="AD94" s="1373"/>
      <c r="AE94" s="1373"/>
      <c r="AF94" s="1373"/>
      <c r="AG94" s="1373"/>
      <c r="AH94" s="1373"/>
      <c r="AI94" s="1373"/>
      <c r="AJ94" s="1373"/>
      <c r="AK94" s="1380"/>
      <c r="AL94" s="1380"/>
      <c r="AM94" s="1380"/>
      <c r="AN94" s="1380"/>
      <c r="AO94" s="1380"/>
      <c r="AP94" s="1380"/>
      <c r="AQ94" s="1380"/>
      <c r="AR94" s="1380"/>
      <c r="AS94" s="1373"/>
      <c r="AT94" s="1373"/>
      <c r="AU94" s="1375"/>
      <c r="AV94" s="1016">
        <f t="shared" si="2"/>
        <v>0</v>
      </c>
    </row>
    <row r="95" spans="2:48" s="1008" customFormat="1" ht="13.5" hidden="1" x14ac:dyDescent="0.25">
      <c r="B95" s="1006"/>
      <c r="C95" s="3252"/>
      <c r="D95" s="3018"/>
      <c r="E95" s="1372"/>
      <c r="F95" s="1373"/>
      <c r="G95" s="1373"/>
      <c r="H95" s="1373"/>
      <c r="I95" s="1373"/>
      <c r="J95" s="1373"/>
      <c r="K95" s="1373"/>
      <c r="L95" s="1373"/>
      <c r="M95" s="1373"/>
      <c r="N95" s="1373"/>
      <c r="O95" s="1373"/>
      <c r="P95" s="1373"/>
      <c r="Q95" s="1373"/>
      <c r="R95" s="1373"/>
      <c r="S95" s="1373"/>
      <c r="T95" s="1373"/>
      <c r="U95" s="1373"/>
      <c r="V95" s="1373"/>
      <c r="W95" s="1373"/>
      <c r="X95" s="1373"/>
      <c r="Y95" s="1373"/>
      <c r="Z95" s="1373"/>
      <c r="AA95" s="1373"/>
      <c r="AB95" s="1373"/>
      <c r="AC95" s="1373"/>
      <c r="AD95" s="1373"/>
      <c r="AE95" s="1373"/>
      <c r="AF95" s="1373"/>
      <c r="AG95" s="1373"/>
      <c r="AH95" s="1373"/>
      <c r="AI95" s="1373"/>
      <c r="AJ95" s="1373"/>
      <c r="AK95" s="1380"/>
      <c r="AL95" s="1380"/>
      <c r="AM95" s="1380"/>
      <c r="AN95" s="1380"/>
      <c r="AO95" s="1380"/>
      <c r="AP95" s="1380"/>
      <c r="AQ95" s="1380"/>
      <c r="AR95" s="1380"/>
      <c r="AS95" s="1373"/>
      <c r="AT95" s="1373"/>
      <c r="AU95" s="1375"/>
      <c r="AV95" s="1016">
        <f t="shared" si="2"/>
        <v>0</v>
      </c>
    </row>
    <row r="96" spans="2:48" s="1008" customFormat="1" ht="13.5" hidden="1" x14ac:dyDescent="0.25">
      <c r="B96" s="1006"/>
      <c r="C96" s="3252"/>
      <c r="D96" s="3018"/>
      <c r="E96" s="1372"/>
      <c r="F96" s="1373"/>
      <c r="G96" s="1373"/>
      <c r="H96" s="1373"/>
      <c r="I96" s="1373"/>
      <c r="J96" s="1373"/>
      <c r="K96" s="1373"/>
      <c r="L96" s="1373"/>
      <c r="M96" s="1373"/>
      <c r="N96" s="1373"/>
      <c r="O96" s="1373"/>
      <c r="P96" s="1373"/>
      <c r="Q96" s="1373"/>
      <c r="R96" s="1373"/>
      <c r="S96" s="1373"/>
      <c r="T96" s="1373"/>
      <c r="U96" s="1373"/>
      <c r="V96" s="1373"/>
      <c r="W96" s="1373"/>
      <c r="X96" s="1373"/>
      <c r="Y96" s="1373"/>
      <c r="Z96" s="1373"/>
      <c r="AA96" s="1373"/>
      <c r="AB96" s="1373"/>
      <c r="AC96" s="1373"/>
      <c r="AD96" s="1373"/>
      <c r="AE96" s="1373"/>
      <c r="AF96" s="1373"/>
      <c r="AG96" s="1373"/>
      <c r="AH96" s="1373"/>
      <c r="AI96" s="1373"/>
      <c r="AJ96" s="1373"/>
      <c r="AK96" s="1380"/>
      <c r="AL96" s="1380"/>
      <c r="AM96" s="1380"/>
      <c r="AN96" s="1380"/>
      <c r="AO96" s="1380"/>
      <c r="AP96" s="1380"/>
      <c r="AQ96" s="1380"/>
      <c r="AR96" s="1380"/>
      <c r="AS96" s="1373"/>
      <c r="AT96" s="1373"/>
      <c r="AU96" s="1375"/>
      <c r="AV96" s="1016">
        <f t="shared" si="2"/>
        <v>0</v>
      </c>
    </row>
    <row r="97" spans="1:48" s="1008" customFormat="1" ht="13.5" hidden="1" x14ac:dyDescent="0.25">
      <c r="B97" s="1006"/>
      <c r="C97" s="3252"/>
      <c r="D97" s="3018"/>
      <c r="E97" s="1372"/>
      <c r="F97" s="1373"/>
      <c r="G97" s="1373"/>
      <c r="H97" s="1373"/>
      <c r="I97" s="1373"/>
      <c r="J97" s="1373"/>
      <c r="K97" s="1373"/>
      <c r="L97" s="1373"/>
      <c r="M97" s="1373"/>
      <c r="N97" s="1373"/>
      <c r="O97" s="1373"/>
      <c r="P97" s="1373"/>
      <c r="Q97" s="1373"/>
      <c r="R97" s="1373"/>
      <c r="S97" s="1373"/>
      <c r="T97" s="1373"/>
      <c r="U97" s="1373"/>
      <c r="V97" s="1373"/>
      <c r="W97" s="1373"/>
      <c r="X97" s="1373"/>
      <c r="Y97" s="1373"/>
      <c r="Z97" s="1373"/>
      <c r="AA97" s="1373"/>
      <c r="AB97" s="1373"/>
      <c r="AC97" s="1373"/>
      <c r="AD97" s="1373"/>
      <c r="AE97" s="1373"/>
      <c r="AF97" s="1373"/>
      <c r="AG97" s="1373"/>
      <c r="AH97" s="1373"/>
      <c r="AI97" s="1373"/>
      <c r="AJ97" s="1373"/>
      <c r="AK97" s="1380"/>
      <c r="AL97" s="1380"/>
      <c r="AM97" s="1380"/>
      <c r="AN97" s="1380"/>
      <c r="AO97" s="1380"/>
      <c r="AP97" s="1380"/>
      <c r="AQ97" s="1380"/>
      <c r="AR97" s="1380"/>
      <c r="AS97" s="1373"/>
      <c r="AT97" s="1373"/>
      <c r="AU97" s="1375"/>
      <c r="AV97" s="1016">
        <f t="shared" si="2"/>
        <v>0</v>
      </c>
    </row>
    <row r="98" spans="1:48" s="1008" customFormat="1" ht="14.25" thickBot="1" x14ac:dyDescent="0.3">
      <c r="B98" s="1006"/>
      <c r="C98" s="3252"/>
      <c r="D98" s="3019"/>
      <c r="E98" s="1376"/>
      <c r="F98" s="1377"/>
      <c r="G98" s="1377"/>
      <c r="H98" s="1377"/>
      <c r="I98" s="1377"/>
      <c r="J98" s="1377"/>
      <c r="K98" s="1377"/>
      <c r="L98" s="1377"/>
      <c r="M98" s="1377"/>
      <c r="N98" s="1377"/>
      <c r="O98" s="1377"/>
      <c r="P98" s="1377"/>
      <c r="Q98" s="1377"/>
      <c r="R98" s="1377"/>
      <c r="S98" s="1377"/>
      <c r="T98" s="1377"/>
      <c r="U98" s="1377"/>
      <c r="V98" s="1377"/>
      <c r="W98" s="1377"/>
      <c r="X98" s="1377"/>
      <c r="Y98" s="1377"/>
      <c r="Z98" s="1377"/>
      <c r="AA98" s="1377"/>
      <c r="AB98" s="1377"/>
      <c r="AC98" s="1377"/>
      <c r="AD98" s="1377"/>
      <c r="AE98" s="1377"/>
      <c r="AF98" s="1377"/>
      <c r="AG98" s="1377"/>
      <c r="AH98" s="1377"/>
      <c r="AI98" s="1377"/>
      <c r="AJ98" s="1377"/>
      <c r="AK98" s="1381"/>
      <c r="AL98" s="1381"/>
      <c r="AM98" s="1381"/>
      <c r="AN98" s="1381"/>
      <c r="AO98" s="1381"/>
      <c r="AP98" s="1381"/>
      <c r="AQ98" s="1381"/>
      <c r="AR98" s="1381"/>
      <c r="AS98" s="1377"/>
      <c r="AT98" s="1377"/>
      <c r="AU98" s="1379"/>
      <c r="AV98" s="1015">
        <f t="shared" si="2"/>
        <v>0</v>
      </c>
    </row>
    <row r="99" spans="1:48" s="1008" customFormat="1" ht="64.5" thickBot="1" x14ac:dyDescent="0.3">
      <c r="A99" s="3087" t="s">
        <v>1964</v>
      </c>
      <c r="B99" s="1006"/>
      <c r="C99" s="3252"/>
      <c r="D99" s="912" t="str">
        <f>'TRAD-Saisie données file act.'!B34</f>
        <v>Troisièmes lignes (contrairement aux parties du dessus, un même patient peut être comptabilisé ici dans plusieurs lignes)</v>
      </c>
      <c r="E99" s="921"/>
      <c r="F99" s="921"/>
      <c r="G99" s="921"/>
      <c r="H99" s="921"/>
      <c r="I99" s="921"/>
      <c r="J99" s="921"/>
      <c r="K99" s="921"/>
      <c r="L99" s="921"/>
      <c r="M99" s="921"/>
      <c r="N99" s="921"/>
      <c r="O99" s="921"/>
      <c r="P99" s="921"/>
      <c r="Q99" s="921"/>
      <c r="R99" s="921"/>
      <c r="S99" s="921"/>
      <c r="T99" s="921"/>
      <c r="U99" s="921"/>
      <c r="V99" s="921"/>
      <c r="W99" s="921"/>
      <c r="X99" s="921"/>
      <c r="Y99" s="921"/>
      <c r="Z99" s="921"/>
      <c r="AA99" s="921"/>
      <c r="AB99" s="921"/>
      <c r="AC99" s="921"/>
      <c r="AD99" s="921"/>
      <c r="AE99" s="921"/>
      <c r="AF99" s="921"/>
      <c r="AG99" s="921"/>
      <c r="AH99" s="921"/>
      <c r="AI99" s="921"/>
      <c r="AJ99" s="921"/>
      <c r="AK99" s="922"/>
      <c r="AL99" s="922"/>
      <c r="AM99" s="922"/>
      <c r="AN99" s="922"/>
      <c r="AO99" s="922"/>
      <c r="AP99" s="922"/>
      <c r="AQ99" s="922"/>
      <c r="AR99" s="922"/>
      <c r="AS99" s="921"/>
      <c r="AT99" s="921"/>
      <c r="AU99" s="923"/>
      <c r="AV99" s="1012"/>
    </row>
    <row r="100" spans="1:48" s="1008" customFormat="1" ht="25.5" hidden="1" customHeight="1" x14ac:dyDescent="0.25">
      <c r="B100" s="1006"/>
      <c r="C100" s="3252"/>
      <c r="D100" s="2664" t="str">
        <f>'TRAD-Saisie données file act.'!B35</f>
        <v>Patients recevant TDF</v>
      </c>
      <c r="E100" s="1700"/>
      <c r="F100" s="1701"/>
      <c r="G100" s="1701"/>
      <c r="H100" s="1701"/>
      <c r="I100" s="1701"/>
      <c r="J100" s="1701"/>
      <c r="K100" s="1701"/>
      <c r="L100" s="1701"/>
      <c r="M100" s="1701"/>
      <c r="N100" s="1701"/>
      <c r="O100" s="1701"/>
      <c r="P100" s="1701"/>
      <c r="Q100" s="1701"/>
      <c r="R100" s="1701"/>
      <c r="S100" s="1701"/>
      <c r="T100" s="1701"/>
      <c r="U100" s="1701"/>
      <c r="V100" s="1701"/>
      <c r="W100" s="1701"/>
      <c r="X100" s="1701"/>
      <c r="Y100" s="1701"/>
      <c r="Z100" s="1701"/>
      <c r="AA100" s="1701"/>
      <c r="AB100" s="1701"/>
      <c r="AC100" s="1701"/>
      <c r="AD100" s="1701"/>
      <c r="AE100" s="1701"/>
      <c r="AF100" s="1701"/>
      <c r="AG100" s="1701"/>
      <c r="AH100" s="1701"/>
      <c r="AI100" s="1701"/>
      <c r="AJ100" s="1701" t="s">
        <v>224</v>
      </c>
      <c r="AK100" s="1702"/>
      <c r="AL100" s="1702"/>
      <c r="AM100" s="1703"/>
      <c r="AN100" s="1703"/>
      <c r="AO100" s="1702"/>
      <c r="AP100" s="1702"/>
      <c r="AQ100" s="1702"/>
      <c r="AR100" s="1702"/>
      <c r="AS100" s="1701"/>
      <c r="AT100" s="1701"/>
      <c r="AU100" s="1704"/>
      <c r="AV100" s="1013">
        <f t="shared" ref="AV100:AV111" si="3">COUNTA(E100:AU100)</f>
        <v>1</v>
      </c>
    </row>
    <row r="101" spans="1:48" s="1008" customFormat="1" ht="27" hidden="1" customHeight="1" x14ac:dyDescent="0.25">
      <c r="B101" s="1006"/>
      <c r="C101" s="3252"/>
      <c r="D101" s="2665" t="str">
        <f>'TRAD-Saisie données file act.'!B36</f>
        <v>Patients recevant AZT</v>
      </c>
      <c r="E101" s="1700"/>
      <c r="F101" s="1701"/>
      <c r="G101" s="1701"/>
      <c r="H101" s="1701"/>
      <c r="I101" s="1701"/>
      <c r="J101" s="1701"/>
      <c r="K101" s="1701"/>
      <c r="L101" s="1701"/>
      <c r="M101" s="1701"/>
      <c r="N101" s="1701"/>
      <c r="O101" s="1701"/>
      <c r="P101" s="1701"/>
      <c r="Q101" s="1701"/>
      <c r="R101" s="1701"/>
      <c r="S101" s="1701"/>
      <c r="T101" s="1701"/>
      <c r="U101" s="1701"/>
      <c r="V101" s="1701"/>
      <c r="W101" s="1701"/>
      <c r="X101" s="1701"/>
      <c r="Y101" s="1701"/>
      <c r="Z101" s="1701"/>
      <c r="AA101" s="1701"/>
      <c r="AB101" s="1701" t="s">
        <v>224</v>
      </c>
      <c r="AC101" s="1701"/>
      <c r="AD101" s="1701"/>
      <c r="AE101" s="1701"/>
      <c r="AF101" s="1701"/>
      <c r="AG101" s="1701"/>
      <c r="AH101" s="1701"/>
      <c r="AI101" s="1701"/>
      <c r="AJ101" s="1701"/>
      <c r="AK101" s="1702"/>
      <c r="AL101" s="1702"/>
      <c r="AM101" s="1703"/>
      <c r="AN101" s="1703"/>
      <c r="AO101" s="1702"/>
      <c r="AP101" s="1702"/>
      <c r="AQ101" s="1702"/>
      <c r="AR101" s="1702"/>
      <c r="AS101" s="1701"/>
      <c r="AT101" s="1701"/>
      <c r="AU101" s="1704"/>
      <c r="AV101" s="1013">
        <f t="shared" si="3"/>
        <v>1</v>
      </c>
    </row>
    <row r="102" spans="1:48" s="1008" customFormat="1" ht="29.25" hidden="1" customHeight="1" x14ac:dyDescent="0.25">
      <c r="B102" s="1006"/>
      <c r="C102" s="3252"/>
      <c r="D102" s="2665" t="str">
        <f>'TRAD-Saisie données file act.'!B37</f>
        <v>Patients recevant 3TC</v>
      </c>
      <c r="E102" s="1700"/>
      <c r="F102" s="1701"/>
      <c r="G102" s="1701"/>
      <c r="H102" s="1701"/>
      <c r="I102" s="1701"/>
      <c r="J102" s="1701"/>
      <c r="K102" s="1701"/>
      <c r="L102" s="1701"/>
      <c r="M102" s="1701"/>
      <c r="N102" s="1701"/>
      <c r="O102" s="1701"/>
      <c r="P102" s="1701"/>
      <c r="Q102" s="1701"/>
      <c r="R102" s="1701"/>
      <c r="S102" s="1701"/>
      <c r="T102" s="1701"/>
      <c r="U102" s="1701"/>
      <c r="V102" s="1701"/>
      <c r="W102" s="1701"/>
      <c r="X102" s="1701"/>
      <c r="Y102" s="1701"/>
      <c r="Z102" s="1701"/>
      <c r="AA102" s="1701"/>
      <c r="AB102" s="1701"/>
      <c r="AC102" s="1701"/>
      <c r="AD102" s="1701"/>
      <c r="AE102" s="1701"/>
      <c r="AF102" s="1701" t="s">
        <v>224</v>
      </c>
      <c r="AG102" s="1701"/>
      <c r="AH102" s="1701"/>
      <c r="AI102" s="1701"/>
      <c r="AJ102" s="1701"/>
      <c r="AK102" s="1702"/>
      <c r="AL102" s="1702"/>
      <c r="AM102" s="1703"/>
      <c r="AN102" s="1703"/>
      <c r="AO102" s="1702"/>
      <c r="AP102" s="1702"/>
      <c r="AQ102" s="1702"/>
      <c r="AR102" s="1702"/>
      <c r="AS102" s="1701"/>
      <c r="AT102" s="1701"/>
      <c r="AU102" s="1704"/>
      <c r="AV102" s="1013">
        <f t="shared" si="3"/>
        <v>1</v>
      </c>
    </row>
    <row r="103" spans="1:48" s="1008" customFormat="1" ht="25.5" hidden="1" customHeight="1" x14ac:dyDescent="0.25">
      <c r="B103" s="1006"/>
      <c r="C103" s="3252"/>
      <c r="D103" s="2665" t="str">
        <f>'TRAD-Saisie données file act.'!B38</f>
        <v>Patients recevant ABC</v>
      </c>
      <c r="E103" s="1700"/>
      <c r="F103" s="1701"/>
      <c r="G103" s="1701"/>
      <c r="H103" s="1701"/>
      <c r="I103" s="1701"/>
      <c r="J103" s="1701"/>
      <c r="K103" s="1701"/>
      <c r="L103" s="1701"/>
      <c r="M103" s="1701"/>
      <c r="N103" s="1701"/>
      <c r="O103" s="1701"/>
      <c r="P103" s="1701"/>
      <c r="Q103" s="1701"/>
      <c r="R103" s="1701"/>
      <c r="S103" s="1701"/>
      <c r="T103" s="1701"/>
      <c r="U103" s="1701"/>
      <c r="V103" s="1701"/>
      <c r="W103" s="1701"/>
      <c r="X103" s="1701"/>
      <c r="Y103" s="1701"/>
      <c r="Z103" s="1701" t="s">
        <v>224</v>
      </c>
      <c r="AA103" s="1701"/>
      <c r="AB103" s="1701"/>
      <c r="AC103" s="1701"/>
      <c r="AD103" s="1701"/>
      <c r="AE103" s="1701"/>
      <c r="AF103" s="1701"/>
      <c r="AG103" s="1701"/>
      <c r="AH103" s="1701"/>
      <c r="AI103" s="1701"/>
      <c r="AJ103" s="1701"/>
      <c r="AK103" s="1702"/>
      <c r="AL103" s="1702"/>
      <c r="AM103" s="1703"/>
      <c r="AN103" s="1703"/>
      <c r="AO103" s="1702"/>
      <c r="AP103" s="1702"/>
      <c r="AQ103" s="1702"/>
      <c r="AR103" s="1702"/>
      <c r="AS103" s="1701"/>
      <c r="AT103" s="1701"/>
      <c r="AU103" s="1704"/>
      <c r="AV103" s="1013">
        <f t="shared" si="3"/>
        <v>1</v>
      </c>
    </row>
    <row r="104" spans="1:48" s="1008" customFormat="1" ht="27.75" hidden="1" customHeight="1" x14ac:dyDescent="0.25">
      <c r="B104" s="1006"/>
      <c r="C104" s="3252"/>
      <c r="D104" s="2665" t="str">
        <f>'TRAD-Saisie données file act.'!B39</f>
        <v>Patients recevant DDI 250</v>
      </c>
      <c r="E104" s="1700"/>
      <c r="F104" s="1701"/>
      <c r="G104" s="1701"/>
      <c r="H104" s="1701"/>
      <c r="I104" s="1701"/>
      <c r="J104" s="1701"/>
      <c r="K104" s="1701"/>
      <c r="L104" s="1701"/>
      <c r="M104" s="1701"/>
      <c r="N104" s="1701"/>
      <c r="O104" s="1701"/>
      <c r="P104" s="1701"/>
      <c r="Q104" s="1701"/>
      <c r="R104" s="1701"/>
      <c r="S104" s="1701"/>
      <c r="T104" s="1701"/>
      <c r="U104" s="1701"/>
      <c r="V104" s="1701"/>
      <c r="W104" s="1701"/>
      <c r="X104" s="1701"/>
      <c r="Y104" s="1701"/>
      <c r="Z104" s="1701"/>
      <c r="AA104" s="1701"/>
      <c r="AB104" s="1701"/>
      <c r="AC104" s="1701"/>
      <c r="AD104" s="1701"/>
      <c r="AE104" s="1701"/>
      <c r="AF104" s="1701"/>
      <c r="AG104" s="1701"/>
      <c r="AH104" s="1701" t="s">
        <v>224</v>
      </c>
      <c r="AI104" s="1701"/>
      <c r="AJ104" s="1701"/>
      <c r="AK104" s="1702"/>
      <c r="AL104" s="1702"/>
      <c r="AM104" s="1703"/>
      <c r="AN104" s="1703"/>
      <c r="AO104" s="1702"/>
      <c r="AP104" s="1702"/>
      <c r="AQ104" s="1702"/>
      <c r="AR104" s="1702"/>
      <c r="AS104" s="1701"/>
      <c r="AT104" s="1701"/>
      <c r="AU104" s="1704"/>
      <c r="AV104" s="1013">
        <f t="shared" si="3"/>
        <v>1</v>
      </c>
    </row>
    <row r="105" spans="1:48" s="1008" customFormat="1" ht="27.75" hidden="1" customHeight="1" x14ac:dyDescent="0.25">
      <c r="B105" s="1006"/>
      <c r="C105" s="3252"/>
      <c r="D105" s="2665" t="str">
        <f>'TRAD-Saisie données file act.'!B40</f>
        <v>Patients recevant DDI 400</v>
      </c>
      <c r="E105" s="1700"/>
      <c r="F105" s="1701"/>
      <c r="G105" s="1701"/>
      <c r="H105" s="1701"/>
      <c r="I105" s="1701"/>
      <c r="J105" s="1701"/>
      <c r="K105" s="1701"/>
      <c r="L105" s="1701"/>
      <c r="M105" s="1701"/>
      <c r="N105" s="1701"/>
      <c r="O105" s="1701"/>
      <c r="P105" s="1701"/>
      <c r="Q105" s="1701"/>
      <c r="R105" s="1701"/>
      <c r="S105" s="1701"/>
      <c r="T105" s="1701"/>
      <c r="U105" s="1701"/>
      <c r="V105" s="1701"/>
      <c r="W105" s="1701"/>
      <c r="X105" s="1701"/>
      <c r="Y105" s="1701"/>
      <c r="Z105" s="1701"/>
      <c r="AA105" s="1701"/>
      <c r="AB105" s="1701"/>
      <c r="AC105" s="1701"/>
      <c r="AD105" s="1701"/>
      <c r="AE105" s="1701"/>
      <c r="AF105" s="1701"/>
      <c r="AG105" s="1701"/>
      <c r="AH105" s="1701"/>
      <c r="AI105" s="1701" t="s">
        <v>224</v>
      </c>
      <c r="AJ105" s="1701"/>
      <c r="AK105" s="1702"/>
      <c r="AL105" s="1702"/>
      <c r="AM105" s="1703"/>
      <c r="AN105" s="1703"/>
      <c r="AO105" s="1702"/>
      <c r="AP105" s="1702"/>
      <c r="AQ105" s="1702"/>
      <c r="AR105" s="1702"/>
      <c r="AS105" s="1701"/>
      <c r="AT105" s="1701"/>
      <c r="AU105" s="1704"/>
      <c r="AV105" s="1013">
        <f t="shared" si="3"/>
        <v>1</v>
      </c>
    </row>
    <row r="106" spans="1:48" s="1008" customFormat="1" ht="25.5" hidden="1" customHeight="1" x14ac:dyDescent="0.25">
      <c r="B106" s="1006"/>
      <c r="C106" s="3252"/>
      <c r="D106" s="2665" t="str">
        <f>'TRAD-Saisie données file act.'!B41</f>
        <v>Patients recevant ATV+RTV</v>
      </c>
      <c r="E106" s="1700"/>
      <c r="F106" s="1701"/>
      <c r="G106" s="1701"/>
      <c r="H106" s="1701"/>
      <c r="I106" s="1701"/>
      <c r="J106" s="1701"/>
      <c r="K106" s="1701"/>
      <c r="L106" s="1701"/>
      <c r="M106" s="1701"/>
      <c r="N106" s="1701"/>
      <c r="O106" s="1701"/>
      <c r="P106" s="1701"/>
      <c r="Q106" s="1701"/>
      <c r="R106" s="1701"/>
      <c r="S106" s="1701"/>
      <c r="T106" s="1701"/>
      <c r="U106" s="1701"/>
      <c r="V106" s="1701"/>
      <c r="W106" s="1701"/>
      <c r="X106" s="1701"/>
      <c r="Y106" s="1701"/>
      <c r="Z106" s="1701"/>
      <c r="AA106" s="1701"/>
      <c r="AB106" s="1701"/>
      <c r="AC106" s="1701"/>
      <c r="AD106" s="1701"/>
      <c r="AE106" s="1701"/>
      <c r="AF106" s="1701"/>
      <c r="AG106" s="1701"/>
      <c r="AH106" s="1701"/>
      <c r="AI106" s="1701"/>
      <c r="AJ106" s="1701"/>
      <c r="AK106" s="1702"/>
      <c r="AL106" s="1702"/>
      <c r="AM106" s="1703" t="s">
        <v>224</v>
      </c>
      <c r="AN106" s="1703"/>
      <c r="AO106" s="1702"/>
      <c r="AP106" s="1702"/>
      <c r="AQ106" s="1702"/>
      <c r="AR106" s="1702"/>
      <c r="AS106" s="1701"/>
      <c r="AT106" s="1701"/>
      <c r="AU106" s="1704"/>
      <c r="AV106" s="1013">
        <f t="shared" si="3"/>
        <v>1</v>
      </c>
    </row>
    <row r="107" spans="1:48" s="1008" customFormat="1" ht="23.25" hidden="1" customHeight="1" x14ac:dyDescent="0.25">
      <c r="B107" s="1006"/>
      <c r="C107" s="3252"/>
      <c r="D107" s="2665" t="str">
        <f>'TRAD-Saisie données file act.'!B42</f>
        <v>Patients recevant FPV+RTV</v>
      </c>
      <c r="E107" s="1700"/>
      <c r="F107" s="1701"/>
      <c r="G107" s="1701"/>
      <c r="H107" s="1701"/>
      <c r="I107" s="1701"/>
      <c r="J107" s="1701"/>
      <c r="K107" s="1701"/>
      <c r="L107" s="1701"/>
      <c r="M107" s="1701"/>
      <c r="N107" s="1701"/>
      <c r="O107" s="1701"/>
      <c r="P107" s="1701"/>
      <c r="Q107" s="1701"/>
      <c r="R107" s="1701"/>
      <c r="S107" s="1701"/>
      <c r="T107" s="1701"/>
      <c r="U107" s="1701"/>
      <c r="V107" s="1701"/>
      <c r="W107" s="1701"/>
      <c r="X107" s="1701"/>
      <c r="Y107" s="1701"/>
      <c r="Z107" s="1701"/>
      <c r="AA107" s="1701"/>
      <c r="AB107" s="1701"/>
      <c r="AC107" s="1701"/>
      <c r="AD107" s="1701"/>
      <c r="AE107" s="1701"/>
      <c r="AF107" s="1701"/>
      <c r="AG107" s="1701"/>
      <c r="AH107" s="1701"/>
      <c r="AI107" s="1701"/>
      <c r="AJ107" s="1701"/>
      <c r="AK107" s="1702"/>
      <c r="AL107" s="1702"/>
      <c r="AM107" s="1703"/>
      <c r="AN107" s="1703" t="s">
        <v>224</v>
      </c>
      <c r="AO107" s="1702"/>
      <c r="AP107" s="1702"/>
      <c r="AQ107" s="1702"/>
      <c r="AR107" s="1702"/>
      <c r="AS107" s="1701"/>
      <c r="AT107" s="1701" t="s">
        <v>224</v>
      </c>
      <c r="AU107" s="1704"/>
      <c r="AV107" s="1013">
        <f t="shared" si="3"/>
        <v>2</v>
      </c>
    </row>
    <row r="108" spans="1:48" s="1008" customFormat="1" ht="24" hidden="1" customHeight="1" x14ac:dyDescent="0.25">
      <c r="B108" s="1006"/>
      <c r="C108" s="3252"/>
      <c r="D108" s="2665" t="str">
        <f>'TRAD-Saisie données file act.'!B43</f>
        <v>Patients recevant DRV+RTV</v>
      </c>
      <c r="E108" s="1372"/>
      <c r="F108" s="1373"/>
      <c r="G108" s="1373"/>
      <c r="H108" s="1373"/>
      <c r="I108" s="1373"/>
      <c r="J108" s="1373"/>
      <c r="K108" s="1373"/>
      <c r="L108" s="1373"/>
      <c r="M108" s="1373"/>
      <c r="N108" s="1373"/>
      <c r="O108" s="1373"/>
      <c r="P108" s="1373"/>
      <c r="Q108" s="1373"/>
      <c r="R108" s="1373"/>
      <c r="S108" s="1373"/>
      <c r="T108" s="1373"/>
      <c r="U108" s="1373"/>
      <c r="V108" s="1373"/>
      <c r="W108" s="1373"/>
      <c r="X108" s="1373"/>
      <c r="Y108" s="1373"/>
      <c r="Z108" s="1373"/>
      <c r="AA108" s="1373"/>
      <c r="AB108" s="1373"/>
      <c r="AC108" s="1373"/>
      <c r="AD108" s="1373"/>
      <c r="AE108" s="1373"/>
      <c r="AF108" s="1373"/>
      <c r="AG108" s="1373"/>
      <c r="AH108" s="1373"/>
      <c r="AI108" s="1373"/>
      <c r="AJ108" s="1373"/>
      <c r="AK108" s="1374"/>
      <c r="AL108" s="1374"/>
      <c r="AM108" s="1374"/>
      <c r="AN108" s="1374"/>
      <c r="AO108" s="1374"/>
      <c r="AP108" s="1374"/>
      <c r="AQ108" s="1380" t="s">
        <v>224</v>
      </c>
      <c r="AR108" s="1374"/>
      <c r="AS108" s="1373"/>
      <c r="AT108" s="1373" t="s">
        <v>224</v>
      </c>
      <c r="AU108" s="1375"/>
      <c r="AV108" s="1016">
        <f t="shared" si="3"/>
        <v>2</v>
      </c>
    </row>
    <row r="109" spans="1:48" s="1008" customFormat="1" ht="29.25" hidden="1" customHeight="1" x14ac:dyDescent="0.25">
      <c r="B109" s="1006"/>
      <c r="C109" s="3252"/>
      <c r="D109" s="2665" t="str">
        <f>'TRAD-Saisie données file act.'!B44</f>
        <v>Patients recevant ETV</v>
      </c>
      <c r="E109" s="1705"/>
      <c r="F109" s="1706"/>
      <c r="G109" s="1706"/>
      <c r="H109" s="1706"/>
      <c r="I109" s="1706"/>
      <c r="J109" s="1706"/>
      <c r="K109" s="1706"/>
      <c r="L109" s="1706"/>
      <c r="M109" s="1706"/>
      <c r="N109" s="1706"/>
      <c r="O109" s="1706"/>
      <c r="P109" s="1706"/>
      <c r="Q109" s="1706"/>
      <c r="R109" s="1706"/>
      <c r="S109" s="1706"/>
      <c r="T109" s="1706"/>
      <c r="U109" s="1706"/>
      <c r="V109" s="1706"/>
      <c r="W109" s="1706" t="s">
        <v>224</v>
      </c>
      <c r="X109" s="1706"/>
      <c r="Y109" s="1706"/>
      <c r="Z109" s="1706"/>
      <c r="AA109" s="1706"/>
      <c r="AB109" s="1706"/>
      <c r="AC109" s="1706"/>
      <c r="AD109" s="1706"/>
      <c r="AE109" s="1706"/>
      <c r="AF109" s="1706"/>
      <c r="AG109" s="1706"/>
      <c r="AH109" s="1706"/>
      <c r="AI109" s="1706"/>
      <c r="AJ109" s="1706"/>
      <c r="AK109" s="1707"/>
      <c r="AL109" s="1707"/>
      <c r="AM109" s="1707"/>
      <c r="AN109" s="1707"/>
      <c r="AO109" s="1707"/>
      <c r="AP109" s="1707"/>
      <c r="AQ109" s="1708"/>
      <c r="AR109" s="1707"/>
      <c r="AS109" s="1706"/>
      <c r="AT109" s="1706"/>
      <c r="AU109" s="1709"/>
      <c r="AV109" s="1710">
        <f t="shared" si="3"/>
        <v>1</v>
      </c>
    </row>
    <row r="110" spans="1:48" s="1008" customFormat="1" ht="31.5" hidden="1" customHeight="1" x14ac:dyDescent="0.25">
      <c r="B110" s="1006"/>
      <c r="C110" s="3252"/>
      <c r="D110" s="2665" t="str">
        <f>'TRAD-Saisie données file act.'!B45</f>
        <v>Patients recevant RPV</v>
      </c>
      <c r="E110" s="1705"/>
      <c r="F110" s="1706"/>
      <c r="G110" s="1706"/>
      <c r="H110" s="1706"/>
      <c r="I110" s="1706"/>
      <c r="J110" s="1706"/>
      <c r="K110" s="1706"/>
      <c r="L110" s="1706"/>
      <c r="M110" s="1706"/>
      <c r="N110" s="1706"/>
      <c r="O110" s="1706"/>
      <c r="P110" s="1706"/>
      <c r="Q110" s="1706"/>
      <c r="R110" s="1706"/>
      <c r="S110" s="1706"/>
      <c r="T110" s="1706"/>
      <c r="U110" s="1706"/>
      <c r="V110" s="1706"/>
      <c r="W110" s="1706"/>
      <c r="X110" s="1706"/>
      <c r="Y110" s="1706" t="s">
        <v>224</v>
      </c>
      <c r="Z110" s="1706"/>
      <c r="AA110" s="1706"/>
      <c r="AB110" s="1706"/>
      <c r="AC110" s="1706"/>
      <c r="AD110" s="1706"/>
      <c r="AE110" s="1706"/>
      <c r="AF110" s="1706"/>
      <c r="AG110" s="1706"/>
      <c r="AH110" s="1706"/>
      <c r="AI110" s="1706"/>
      <c r="AJ110" s="1706"/>
      <c r="AK110" s="1707"/>
      <c r="AL110" s="1707"/>
      <c r="AM110" s="1707"/>
      <c r="AN110" s="1707"/>
      <c r="AO110" s="1707"/>
      <c r="AP110" s="1707"/>
      <c r="AQ110" s="1708"/>
      <c r="AR110" s="1707"/>
      <c r="AS110" s="1706"/>
      <c r="AT110" s="1706"/>
      <c r="AU110" s="1709"/>
      <c r="AV110" s="1710">
        <f t="shared" si="3"/>
        <v>1</v>
      </c>
    </row>
    <row r="111" spans="1:48" s="358" customFormat="1" ht="30.75" hidden="1" customHeight="1" thickBot="1" x14ac:dyDescent="0.25">
      <c r="C111" s="3253"/>
      <c r="D111" s="2666" t="str">
        <f>'TRAD-Saisie données file act.'!B46</f>
        <v>Patients recevant RLT</v>
      </c>
      <c r="E111" s="1376"/>
      <c r="F111" s="1377"/>
      <c r="G111" s="1377"/>
      <c r="H111" s="1377"/>
      <c r="I111" s="1377"/>
      <c r="J111" s="1377"/>
      <c r="K111" s="1377"/>
      <c r="L111" s="1377"/>
      <c r="M111" s="1377"/>
      <c r="N111" s="1377"/>
      <c r="O111" s="1377"/>
      <c r="P111" s="1377"/>
      <c r="Q111" s="1377"/>
      <c r="R111" s="1377"/>
      <c r="S111" s="1377"/>
      <c r="T111" s="1377"/>
      <c r="U111" s="1377"/>
      <c r="V111" s="1377"/>
      <c r="W111" s="1377"/>
      <c r="X111" s="1377"/>
      <c r="Y111" s="1377"/>
      <c r="Z111" s="1377"/>
      <c r="AA111" s="1377"/>
      <c r="AB111" s="1377"/>
      <c r="AC111" s="1377"/>
      <c r="AD111" s="1377"/>
      <c r="AE111" s="1377"/>
      <c r="AF111" s="1377"/>
      <c r="AG111" s="1377"/>
      <c r="AH111" s="1377"/>
      <c r="AI111" s="1377"/>
      <c r="AJ111" s="1377"/>
      <c r="AK111" s="1378"/>
      <c r="AL111" s="1378"/>
      <c r="AM111" s="1378"/>
      <c r="AN111" s="1378"/>
      <c r="AO111" s="1378"/>
      <c r="AP111" s="1378"/>
      <c r="AQ111" s="1378"/>
      <c r="AR111" s="1378"/>
      <c r="AS111" s="1377"/>
      <c r="AT111" s="1377"/>
      <c r="AU111" s="1379" t="s">
        <v>224</v>
      </c>
      <c r="AV111" s="1017">
        <f t="shared" si="3"/>
        <v>1</v>
      </c>
    </row>
    <row r="112" spans="1:48" customFormat="1" x14ac:dyDescent="0.2"/>
    <row r="113" spans="2:34" customFormat="1" x14ac:dyDescent="0.2"/>
    <row r="114" spans="2:34" ht="14.25" x14ac:dyDescent="0.2">
      <c r="C114" s="25" t="str">
        <f>'TRAD-Saisie données file act.'!B47</f>
        <v>B. Quelle est la répartition actuelle par schémas thérapeutiques pour les adultes déjà pris en charge ?</v>
      </c>
      <c r="D114" s="25"/>
      <c r="E114" s="25"/>
      <c r="F114" s="25"/>
      <c r="G114" s="25"/>
      <c r="H114" s="25"/>
      <c r="I114" s="25"/>
      <c r="J114" s="25"/>
      <c r="K114" s="25"/>
      <c r="L114" s="25"/>
      <c r="M114" s="25"/>
      <c r="N114" s="25"/>
    </row>
    <row r="116" spans="2:34" s="1" customFormat="1" ht="26.25" thickBot="1" x14ac:dyDescent="0.3">
      <c r="B116" s="2"/>
      <c r="C116" s="3"/>
      <c r="D116" s="432" t="str">
        <f>'TRAD-Saisie données file act.'!B15</f>
        <v>Schéma thérapeutique</v>
      </c>
      <c r="E116" s="45" t="str">
        <f>'TRAD-Saisie données file act.'!B48</f>
        <v xml:space="preserve">Nombre de patients </v>
      </c>
      <c r="F116" s="2"/>
      <c r="AD116" s="836"/>
      <c r="AE116" s="836"/>
      <c r="AF116" s="836"/>
      <c r="AG116" s="836"/>
      <c r="AH116" s="836"/>
    </row>
    <row r="117" spans="2:34" s="1" customFormat="1" ht="14.25" thickBot="1" x14ac:dyDescent="0.3">
      <c r="B117" s="2"/>
      <c r="C117" s="3"/>
      <c r="D117" s="3218" t="str">
        <f>'TRAD-Saisie données file act.'!B30</f>
        <v>Premières lignes</v>
      </c>
      <c r="E117" s="3219"/>
      <c r="F117" s="2"/>
      <c r="AD117" s="836"/>
      <c r="AE117" s="836"/>
      <c r="AF117" s="836"/>
      <c r="AG117" s="836"/>
      <c r="AH117" s="836"/>
    </row>
    <row r="118" spans="2:34" s="1" customFormat="1" ht="14.25" thickBot="1" x14ac:dyDescent="0.3">
      <c r="B118" s="2"/>
      <c r="C118" s="3"/>
      <c r="D118" s="46" t="str">
        <f>D28</f>
        <v>TDF+FTC+EFV</v>
      </c>
      <c r="E118" s="3022"/>
      <c r="F118" s="2"/>
      <c r="AD118" s="836"/>
      <c r="AE118" s="836"/>
      <c r="AF118" s="836"/>
      <c r="AG118" s="836"/>
      <c r="AH118" s="836"/>
    </row>
    <row r="119" spans="2:34" s="1" customFormat="1" ht="14.25" thickBot="1" x14ac:dyDescent="0.3">
      <c r="B119" s="2"/>
      <c r="C119" s="3"/>
      <c r="D119" s="47" t="str">
        <f t="shared" ref="D119:D128" si="4">D29</f>
        <v>ABC+3TC+ATV/r</v>
      </c>
      <c r="E119" s="3022"/>
      <c r="F119" s="2"/>
      <c r="AD119" s="836"/>
      <c r="AE119" s="836"/>
      <c r="AF119" s="836"/>
      <c r="AG119" s="836"/>
      <c r="AH119" s="836"/>
    </row>
    <row r="120" spans="2:34" s="1" customFormat="1" ht="14.25" thickBot="1" x14ac:dyDescent="0.3">
      <c r="B120" s="2"/>
      <c r="C120" s="3"/>
      <c r="D120" s="48" t="str">
        <f t="shared" si="4"/>
        <v>TDF+FTC+ATV/r</v>
      </c>
      <c r="E120" s="3022"/>
      <c r="F120" s="2"/>
      <c r="AD120" s="836"/>
      <c r="AE120" s="836"/>
      <c r="AF120" s="836"/>
      <c r="AG120" s="836"/>
      <c r="AH120" s="836"/>
    </row>
    <row r="121" spans="2:34" s="1" customFormat="1" ht="14.25" thickBot="1" x14ac:dyDescent="0.3">
      <c r="B121" s="2"/>
      <c r="C121" s="3"/>
      <c r="D121" s="49">
        <f t="shared" si="4"/>
        <v>0</v>
      </c>
      <c r="E121" s="3022"/>
      <c r="F121" s="2"/>
      <c r="AD121" s="836"/>
      <c r="AE121" s="836"/>
      <c r="AF121" s="836"/>
      <c r="AG121" s="836"/>
      <c r="AH121" s="836"/>
    </row>
    <row r="122" spans="2:34" s="1" customFormat="1" ht="14.25" thickBot="1" x14ac:dyDescent="0.3">
      <c r="B122" s="2"/>
      <c r="C122" s="3"/>
      <c r="D122" s="49">
        <f t="shared" si="4"/>
        <v>0</v>
      </c>
      <c r="E122" s="3022"/>
      <c r="F122" s="2"/>
      <c r="AD122" s="836"/>
      <c r="AE122" s="836"/>
      <c r="AF122" s="836"/>
      <c r="AG122" s="836"/>
      <c r="AH122" s="836"/>
    </row>
    <row r="123" spans="2:34" s="1" customFormat="1" ht="14.25" thickBot="1" x14ac:dyDescent="0.3">
      <c r="B123" s="2"/>
      <c r="C123" s="3"/>
      <c r="D123" s="48">
        <f t="shared" si="4"/>
        <v>0</v>
      </c>
      <c r="E123" s="3022"/>
      <c r="F123" s="2"/>
      <c r="AD123" s="836"/>
      <c r="AE123" s="836"/>
      <c r="AF123" s="836"/>
      <c r="AG123" s="836"/>
      <c r="AH123" s="836"/>
    </row>
    <row r="124" spans="2:34" s="1" customFormat="1" ht="14.25" thickBot="1" x14ac:dyDescent="0.3">
      <c r="B124" s="2"/>
      <c r="C124" s="3"/>
      <c r="D124" s="49">
        <f t="shared" si="4"/>
        <v>0</v>
      </c>
      <c r="E124" s="3022"/>
      <c r="AD124" s="836"/>
      <c r="AE124" s="836"/>
      <c r="AF124" s="836"/>
      <c r="AG124" s="836"/>
      <c r="AH124" s="836"/>
    </row>
    <row r="125" spans="2:34" s="1" customFormat="1" ht="14.25" thickBot="1" x14ac:dyDescent="0.3">
      <c r="B125" s="2"/>
      <c r="C125" s="3"/>
      <c r="D125" s="49">
        <f t="shared" si="4"/>
        <v>0</v>
      </c>
      <c r="E125" s="3022"/>
      <c r="AD125" s="836"/>
      <c r="AE125" s="836"/>
      <c r="AF125" s="836"/>
      <c r="AG125" s="836"/>
      <c r="AH125" s="836"/>
    </row>
    <row r="126" spans="2:34" s="1" customFormat="1" ht="14.25" thickBot="1" x14ac:dyDescent="0.3">
      <c r="B126" s="2"/>
      <c r="C126" s="3"/>
      <c r="D126" s="268">
        <f t="shared" si="4"/>
        <v>0</v>
      </c>
      <c r="E126" s="3022"/>
      <c r="F126" s="2"/>
      <c r="AD126" s="836"/>
      <c r="AE126" s="836"/>
      <c r="AF126" s="836"/>
      <c r="AG126" s="836"/>
      <c r="AH126" s="836"/>
    </row>
    <row r="127" spans="2:34" s="1" customFormat="1" ht="14.25" thickBot="1" x14ac:dyDescent="0.3">
      <c r="B127" s="2"/>
      <c r="C127" s="3"/>
      <c r="D127" s="50">
        <f t="shared" si="4"/>
        <v>0</v>
      </c>
      <c r="E127" s="3022"/>
      <c r="F127" s="2"/>
      <c r="AD127" s="836"/>
      <c r="AE127" s="836"/>
      <c r="AF127" s="836"/>
      <c r="AG127" s="836"/>
      <c r="AH127" s="836"/>
    </row>
    <row r="128" spans="2:34" s="1" customFormat="1" ht="14.25" thickBot="1" x14ac:dyDescent="0.3">
      <c r="B128" s="2"/>
      <c r="C128" s="3"/>
      <c r="D128" s="51">
        <f t="shared" si="4"/>
        <v>0</v>
      </c>
      <c r="E128" s="3022"/>
      <c r="AD128" s="836"/>
      <c r="AE128" s="836"/>
      <c r="AF128" s="836"/>
      <c r="AG128" s="836"/>
      <c r="AH128" s="836"/>
    </row>
    <row r="129" spans="1:34" s="1" customFormat="1" ht="14.25" thickBot="1" x14ac:dyDescent="0.3">
      <c r="B129" s="2"/>
      <c r="C129" s="3"/>
      <c r="D129" s="3220" t="str">
        <f>'TRAD-Saisie données file act.'!B31</f>
        <v>Deuxièmes lignes</v>
      </c>
      <c r="E129" s="3221"/>
      <c r="F129" s="44"/>
      <c r="AD129" s="836"/>
      <c r="AE129" s="836"/>
      <c r="AF129" s="836"/>
      <c r="AG129" s="836"/>
      <c r="AH129" s="836"/>
    </row>
    <row r="130" spans="1:34" s="1" customFormat="1" ht="14.25" thickBot="1" x14ac:dyDescent="0.3">
      <c r="B130" s="2"/>
      <c r="C130" s="3"/>
      <c r="D130" s="52" t="str">
        <f>D40</f>
        <v>ABC+3TC+AZT+ATV/r</v>
      </c>
      <c r="E130" s="3022"/>
      <c r="AD130" s="836"/>
      <c r="AE130" s="836"/>
      <c r="AF130" s="836"/>
      <c r="AG130" s="836"/>
      <c r="AH130" s="836"/>
    </row>
    <row r="131" spans="1:34" s="1" customFormat="1" ht="14.25" thickBot="1" x14ac:dyDescent="0.3">
      <c r="B131" s="2"/>
      <c r="C131" s="3"/>
      <c r="D131" s="49" t="str">
        <f t="shared" ref="D131:D139" si="5">D41</f>
        <v>ABC+3TC+AZT+LPV/r</v>
      </c>
      <c r="E131" s="3022"/>
      <c r="AD131" s="836"/>
      <c r="AE131" s="836"/>
      <c r="AF131" s="836"/>
      <c r="AG131" s="836"/>
      <c r="AH131" s="836"/>
    </row>
    <row r="132" spans="1:34" s="1" customFormat="1" ht="14.25" thickBot="1" x14ac:dyDescent="0.3">
      <c r="B132" s="2"/>
      <c r="C132" s="3"/>
      <c r="D132" s="49" t="str">
        <f t="shared" si="5"/>
        <v>TDF+FTC+AZT+ATV/r</v>
      </c>
      <c r="E132" s="3022"/>
      <c r="AD132" s="836"/>
      <c r="AE132" s="836"/>
      <c r="AF132" s="836"/>
      <c r="AG132" s="836"/>
      <c r="AH132" s="836"/>
    </row>
    <row r="133" spans="1:34" s="1" customFormat="1" ht="14.25" thickBot="1" x14ac:dyDescent="0.3">
      <c r="B133" s="2"/>
      <c r="C133" s="3"/>
      <c r="D133" s="49">
        <f t="shared" si="5"/>
        <v>0</v>
      </c>
      <c r="E133" s="3023"/>
      <c r="AD133" s="836"/>
      <c r="AE133" s="836"/>
      <c r="AF133" s="836"/>
      <c r="AG133" s="836"/>
      <c r="AH133" s="836"/>
    </row>
    <row r="134" spans="1:34" s="1" customFormat="1" ht="14.25" thickBot="1" x14ac:dyDescent="0.3">
      <c r="B134" s="2"/>
      <c r="C134" s="3"/>
      <c r="D134" s="48">
        <f t="shared" si="5"/>
        <v>0</v>
      </c>
      <c r="E134" s="3024"/>
      <c r="AD134" s="836"/>
      <c r="AE134" s="836"/>
      <c r="AF134" s="836"/>
      <c r="AG134" s="836"/>
      <c r="AH134" s="836"/>
    </row>
    <row r="135" spans="1:34" s="1" customFormat="1" ht="14.25" thickBot="1" x14ac:dyDescent="0.3">
      <c r="B135" s="2"/>
      <c r="C135" s="3"/>
      <c r="D135" s="49">
        <f t="shared" si="5"/>
        <v>0</v>
      </c>
      <c r="E135" s="3023"/>
      <c r="AD135" s="836"/>
      <c r="AE135" s="836"/>
      <c r="AF135" s="836"/>
      <c r="AG135" s="836"/>
      <c r="AH135" s="836"/>
    </row>
    <row r="136" spans="1:34" s="1" customFormat="1" ht="14.25" thickBot="1" x14ac:dyDescent="0.3">
      <c r="B136" s="2"/>
      <c r="C136" s="3"/>
      <c r="D136" s="48">
        <f t="shared" si="5"/>
        <v>0</v>
      </c>
      <c r="E136" s="3025"/>
      <c r="AD136" s="836"/>
      <c r="AE136" s="836"/>
      <c r="AF136" s="836"/>
      <c r="AG136" s="836"/>
      <c r="AH136" s="836"/>
    </row>
    <row r="137" spans="1:34" s="1" customFormat="1" ht="14.25" thickBot="1" x14ac:dyDescent="0.3">
      <c r="B137" s="2"/>
      <c r="C137" s="3"/>
      <c r="D137" s="49">
        <f t="shared" si="5"/>
        <v>0</v>
      </c>
      <c r="E137" s="3024"/>
      <c r="J137"/>
      <c r="AD137" s="836"/>
      <c r="AE137" s="836"/>
      <c r="AF137" s="836"/>
      <c r="AG137" s="836"/>
      <c r="AH137" s="836"/>
    </row>
    <row r="138" spans="1:34" s="1" customFormat="1" ht="14.25" thickBot="1" x14ac:dyDescent="0.3">
      <c r="B138" s="2"/>
      <c r="C138" s="3"/>
      <c r="D138" s="48">
        <f t="shared" si="5"/>
        <v>0</v>
      </c>
      <c r="E138" s="3024"/>
      <c r="AD138" s="836"/>
      <c r="AE138" s="836"/>
      <c r="AF138" s="836"/>
      <c r="AG138" s="836"/>
      <c r="AH138" s="836"/>
    </row>
    <row r="139" spans="1:34" s="1" customFormat="1" ht="13.5" x14ac:dyDescent="0.25">
      <c r="B139" s="2"/>
      <c r="C139" s="3"/>
      <c r="D139" s="48">
        <f t="shared" si="5"/>
        <v>0</v>
      </c>
      <c r="E139" s="3024"/>
      <c r="AD139" s="836"/>
      <c r="AE139" s="836"/>
      <c r="AF139" s="836"/>
      <c r="AG139" s="836"/>
      <c r="AH139" s="836"/>
    </row>
    <row r="140" spans="1:34" s="1" customFormat="1" ht="14.25" thickBot="1" x14ac:dyDescent="0.3">
      <c r="B140" s="2"/>
      <c r="C140" s="3"/>
      <c r="D140" s="3220" t="str">
        <f>'TRAD-Saisie données file act.'!B32</f>
        <v>Lignes alternatives</v>
      </c>
      <c r="E140" s="3221"/>
      <c r="F140" s="44"/>
      <c r="AD140" s="836"/>
      <c r="AE140" s="836"/>
      <c r="AF140" s="836"/>
      <c r="AG140" s="836"/>
      <c r="AH140" s="836"/>
    </row>
    <row r="141" spans="1:34" s="1" customFormat="1" ht="14.25" thickBot="1" x14ac:dyDescent="0.3">
      <c r="B141" s="2"/>
      <c r="C141" s="3"/>
      <c r="D141" s="53">
        <f t="shared" ref="D141:D188" si="6">D51</f>
        <v>0</v>
      </c>
      <c r="E141" s="3023"/>
      <c r="AD141" s="836"/>
      <c r="AE141" s="836"/>
      <c r="AF141" s="836"/>
      <c r="AG141" s="836"/>
      <c r="AH141" s="836"/>
    </row>
    <row r="142" spans="1:34" s="1" customFormat="1" ht="14.25" thickBot="1" x14ac:dyDescent="0.3">
      <c r="B142" s="2"/>
      <c r="C142" s="3"/>
      <c r="D142" s="48">
        <f t="shared" si="6"/>
        <v>0</v>
      </c>
      <c r="E142" s="3023"/>
      <c r="AD142" s="836"/>
      <c r="AE142" s="836"/>
      <c r="AF142" s="836"/>
      <c r="AG142" s="836"/>
      <c r="AH142" s="836"/>
    </row>
    <row r="143" spans="1:34" s="1" customFormat="1" ht="14.25" thickBot="1" x14ac:dyDescent="0.3">
      <c r="B143" s="2"/>
      <c r="C143" s="3"/>
      <c r="D143" s="48">
        <f t="shared" si="6"/>
        <v>0</v>
      </c>
      <c r="E143" s="3023"/>
      <c r="AD143" s="836"/>
      <c r="AE143" s="836"/>
      <c r="AF143" s="836"/>
      <c r="AG143" s="836"/>
      <c r="AH143" s="836"/>
    </row>
    <row r="144" spans="1:34" s="1" customFormat="1" ht="14.25" thickBot="1" x14ac:dyDescent="0.3">
      <c r="A144" s="3087" t="s">
        <v>1964</v>
      </c>
      <c r="B144" s="2"/>
      <c r="C144" s="3"/>
      <c r="D144" s="48">
        <f t="shared" si="6"/>
        <v>0</v>
      </c>
      <c r="E144" s="3023"/>
      <c r="AD144" s="836"/>
      <c r="AE144" s="836"/>
      <c r="AF144" s="836"/>
      <c r="AG144" s="836"/>
      <c r="AH144" s="836"/>
    </row>
    <row r="145" spans="2:34" s="1" customFormat="1" ht="14.25" hidden="1" thickBot="1" x14ac:dyDescent="0.3">
      <c r="B145" s="2"/>
      <c r="C145" s="3"/>
      <c r="D145" s="48">
        <f t="shared" si="6"/>
        <v>0</v>
      </c>
      <c r="E145" s="1382"/>
      <c r="AD145" s="836"/>
      <c r="AE145" s="836"/>
      <c r="AF145" s="836"/>
      <c r="AG145" s="836"/>
      <c r="AH145" s="836"/>
    </row>
    <row r="146" spans="2:34" s="1" customFormat="1" ht="14.25" hidden="1" thickBot="1" x14ac:dyDescent="0.3">
      <c r="B146" s="2"/>
      <c r="C146" s="3"/>
      <c r="D146" s="48">
        <f t="shared" si="6"/>
        <v>0</v>
      </c>
      <c r="E146" s="1382"/>
      <c r="AD146" s="836"/>
      <c r="AE146" s="836"/>
      <c r="AF146" s="836"/>
      <c r="AG146" s="836"/>
      <c r="AH146" s="836"/>
    </row>
    <row r="147" spans="2:34" s="1" customFormat="1" ht="14.25" hidden="1" thickBot="1" x14ac:dyDescent="0.3">
      <c r="B147" s="2"/>
      <c r="C147" s="3"/>
      <c r="D147" s="48">
        <f t="shared" si="6"/>
        <v>0</v>
      </c>
      <c r="E147" s="1382"/>
      <c r="AD147" s="836"/>
      <c r="AE147" s="836"/>
      <c r="AF147" s="836"/>
      <c r="AG147" s="836"/>
      <c r="AH147" s="836"/>
    </row>
    <row r="148" spans="2:34" s="1" customFormat="1" ht="14.25" hidden="1" thickBot="1" x14ac:dyDescent="0.3">
      <c r="B148" s="2"/>
      <c r="C148" s="3"/>
      <c r="D148" s="48">
        <f t="shared" si="6"/>
        <v>0</v>
      </c>
      <c r="E148" s="1382"/>
      <c r="AD148" s="836"/>
      <c r="AE148" s="836"/>
      <c r="AF148" s="836"/>
      <c r="AG148" s="836"/>
      <c r="AH148" s="836"/>
    </row>
    <row r="149" spans="2:34" s="1" customFormat="1" ht="14.25" hidden="1" thickBot="1" x14ac:dyDescent="0.3">
      <c r="B149" s="2"/>
      <c r="C149" s="3"/>
      <c r="D149" s="48">
        <f t="shared" si="6"/>
        <v>0</v>
      </c>
      <c r="E149" s="1382"/>
      <c r="AD149" s="836"/>
      <c r="AE149" s="836"/>
      <c r="AF149" s="836"/>
      <c r="AG149" s="836"/>
      <c r="AH149" s="836"/>
    </row>
    <row r="150" spans="2:34" s="1" customFormat="1" ht="14.25" hidden="1" thickBot="1" x14ac:dyDescent="0.3">
      <c r="B150" s="2"/>
      <c r="C150" s="3"/>
      <c r="D150" s="48">
        <f t="shared" si="6"/>
        <v>0</v>
      </c>
      <c r="E150" s="1382"/>
      <c r="AD150" s="836"/>
      <c r="AE150" s="836"/>
      <c r="AF150" s="836"/>
      <c r="AG150" s="836"/>
      <c r="AH150" s="836"/>
    </row>
    <row r="151" spans="2:34" s="1" customFormat="1" ht="14.25" hidden="1" thickBot="1" x14ac:dyDescent="0.3">
      <c r="B151" s="2"/>
      <c r="C151" s="3"/>
      <c r="D151" s="48">
        <f t="shared" si="6"/>
        <v>0</v>
      </c>
      <c r="E151" s="1382"/>
      <c r="AD151" s="836"/>
      <c r="AE151" s="836"/>
      <c r="AF151" s="836"/>
      <c r="AG151" s="836"/>
      <c r="AH151" s="836"/>
    </row>
    <row r="152" spans="2:34" s="1" customFormat="1" ht="14.25" hidden="1" thickBot="1" x14ac:dyDescent="0.3">
      <c r="B152" s="2"/>
      <c r="C152" s="3"/>
      <c r="D152" s="48">
        <f t="shared" si="6"/>
        <v>0</v>
      </c>
      <c r="E152" s="1382"/>
      <c r="AD152" s="836"/>
      <c r="AE152" s="836"/>
      <c r="AF152" s="836"/>
      <c r="AG152" s="836"/>
      <c r="AH152" s="836"/>
    </row>
    <row r="153" spans="2:34" s="1" customFormat="1" ht="14.25" hidden="1" thickBot="1" x14ac:dyDescent="0.3">
      <c r="B153" s="2"/>
      <c r="C153" s="3"/>
      <c r="D153" s="48">
        <f t="shared" si="6"/>
        <v>0</v>
      </c>
      <c r="E153" s="1382"/>
      <c r="AD153" s="836"/>
      <c r="AE153" s="836"/>
      <c r="AF153" s="836"/>
      <c r="AG153" s="836"/>
      <c r="AH153" s="836"/>
    </row>
    <row r="154" spans="2:34" s="1" customFormat="1" ht="14.25" hidden="1" thickBot="1" x14ac:dyDescent="0.3">
      <c r="B154" s="2"/>
      <c r="C154" s="3"/>
      <c r="D154" s="48">
        <f t="shared" si="6"/>
        <v>0</v>
      </c>
      <c r="E154" s="1382"/>
      <c r="AD154" s="836"/>
      <c r="AE154" s="836"/>
      <c r="AF154" s="836"/>
      <c r="AG154" s="836"/>
      <c r="AH154" s="836"/>
    </row>
    <row r="155" spans="2:34" s="1" customFormat="1" ht="14.25" hidden="1" thickBot="1" x14ac:dyDescent="0.3">
      <c r="B155" s="2"/>
      <c r="C155" s="3"/>
      <c r="D155" s="48">
        <f t="shared" si="6"/>
        <v>0</v>
      </c>
      <c r="E155" s="1382"/>
      <c r="AD155" s="836"/>
      <c r="AE155" s="836"/>
      <c r="AF155" s="836"/>
      <c r="AG155" s="836"/>
      <c r="AH155" s="836"/>
    </row>
    <row r="156" spans="2:34" s="1" customFormat="1" ht="14.25" hidden="1" thickBot="1" x14ac:dyDescent="0.3">
      <c r="B156" s="2"/>
      <c r="C156" s="3"/>
      <c r="D156" s="48">
        <f t="shared" si="6"/>
        <v>0</v>
      </c>
      <c r="E156" s="1382"/>
      <c r="AD156" s="836"/>
      <c r="AE156" s="836"/>
      <c r="AF156" s="836"/>
      <c r="AG156" s="836"/>
      <c r="AH156" s="836"/>
    </row>
    <row r="157" spans="2:34" s="1" customFormat="1" ht="14.25" hidden="1" thickBot="1" x14ac:dyDescent="0.3">
      <c r="B157" s="2"/>
      <c r="C157" s="3"/>
      <c r="D157" s="48">
        <f t="shared" si="6"/>
        <v>0</v>
      </c>
      <c r="E157" s="1382"/>
      <c r="AD157" s="836"/>
      <c r="AE157" s="836"/>
      <c r="AF157" s="836"/>
      <c r="AG157" s="836"/>
      <c r="AH157" s="836"/>
    </row>
    <row r="158" spans="2:34" s="1" customFormat="1" ht="14.25" hidden="1" thickBot="1" x14ac:dyDescent="0.3">
      <c r="B158" s="2"/>
      <c r="C158" s="3"/>
      <c r="D158" s="48">
        <f t="shared" si="6"/>
        <v>0</v>
      </c>
      <c r="E158" s="1382"/>
      <c r="AD158" s="836"/>
      <c r="AE158" s="836"/>
      <c r="AF158" s="836"/>
      <c r="AG158" s="836"/>
      <c r="AH158" s="836"/>
    </row>
    <row r="159" spans="2:34" s="1" customFormat="1" ht="14.25" hidden="1" thickBot="1" x14ac:dyDescent="0.3">
      <c r="B159" s="2"/>
      <c r="C159" s="3"/>
      <c r="D159" s="48">
        <f t="shared" si="6"/>
        <v>0</v>
      </c>
      <c r="E159" s="1382"/>
      <c r="AD159" s="836"/>
      <c r="AE159" s="836"/>
      <c r="AF159" s="836"/>
      <c r="AG159" s="836"/>
      <c r="AH159" s="836"/>
    </row>
    <row r="160" spans="2:34" s="1" customFormat="1" ht="14.25" hidden="1" thickBot="1" x14ac:dyDescent="0.3">
      <c r="B160" s="2"/>
      <c r="C160" s="3"/>
      <c r="D160" s="48">
        <f t="shared" si="6"/>
        <v>0</v>
      </c>
      <c r="E160" s="1382"/>
      <c r="AD160" s="836"/>
      <c r="AE160" s="836"/>
      <c r="AF160" s="836"/>
      <c r="AG160" s="836"/>
      <c r="AH160" s="836"/>
    </row>
    <row r="161" spans="2:34" s="1" customFormat="1" ht="14.25" hidden="1" thickBot="1" x14ac:dyDescent="0.3">
      <c r="B161" s="2"/>
      <c r="C161" s="3"/>
      <c r="D161" s="268">
        <f t="shared" si="6"/>
        <v>0</v>
      </c>
      <c r="E161" s="1382"/>
      <c r="AD161" s="836"/>
      <c r="AE161" s="836"/>
      <c r="AF161" s="836"/>
      <c r="AG161" s="836"/>
      <c r="AH161" s="836"/>
    </row>
    <row r="162" spans="2:34" s="1" customFormat="1" ht="14.25" hidden="1" thickBot="1" x14ac:dyDescent="0.3">
      <c r="B162" s="2"/>
      <c r="C162" s="3"/>
      <c r="D162" s="268">
        <f t="shared" si="6"/>
        <v>0</v>
      </c>
      <c r="E162" s="1382"/>
      <c r="AD162" s="836"/>
      <c r="AE162" s="836"/>
      <c r="AF162" s="836"/>
      <c r="AG162" s="836"/>
      <c r="AH162" s="836"/>
    </row>
    <row r="163" spans="2:34" s="1" customFormat="1" ht="14.25" hidden="1" thickBot="1" x14ac:dyDescent="0.3">
      <c r="B163" s="2"/>
      <c r="C163" s="3"/>
      <c r="D163" s="268">
        <f t="shared" si="6"/>
        <v>0</v>
      </c>
      <c r="E163" s="1382"/>
      <c r="AD163" s="836"/>
      <c r="AE163" s="836"/>
      <c r="AF163" s="836"/>
      <c r="AG163" s="836"/>
      <c r="AH163" s="836"/>
    </row>
    <row r="164" spans="2:34" s="1" customFormat="1" ht="14.25" hidden="1" thickBot="1" x14ac:dyDescent="0.3">
      <c r="B164" s="2"/>
      <c r="C164" s="3"/>
      <c r="D164" s="268">
        <f t="shared" si="6"/>
        <v>0</v>
      </c>
      <c r="E164" s="1382"/>
      <c r="AD164" s="836"/>
      <c r="AE164" s="836"/>
      <c r="AF164" s="836"/>
      <c r="AG164" s="836"/>
      <c r="AH164" s="836"/>
    </row>
    <row r="165" spans="2:34" s="1" customFormat="1" ht="14.25" hidden="1" thickBot="1" x14ac:dyDescent="0.3">
      <c r="B165" s="2"/>
      <c r="C165" s="3"/>
      <c r="D165" s="268">
        <f t="shared" si="6"/>
        <v>0</v>
      </c>
      <c r="E165" s="1382"/>
      <c r="AD165" s="836"/>
      <c r="AE165" s="836"/>
      <c r="AF165" s="836"/>
      <c r="AG165" s="836"/>
      <c r="AH165" s="836"/>
    </row>
    <row r="166" spans="2:34" s="1" customFormat="1" ht="14.25" hidden="1" thickBot="1" x14ac:dyDescent="0.3">
      <c r="B166" s="2"/>
      <c r="C166" s="3"/>
      <c r="D166" s="268">
        <f t="shared" si="6"/>
        <v>0</v>
      </c>
      <c r="E166" s="1382"/>
      <c r="AD166" s="836"/>
      <c r="AE166" s="836"/>
      <c r="AF166" s="836"/>
      <c r="AG166" s="836"/>
      <c r="AH166" s="836"/>
    </row>
    <row r="167" spans="2:34" s="1" customFormat="1" ht="14.25" hidden="1" thickBot="1" x14ac:dyDescent="0.3">
      <c r="B167" s="2"/>
      <c r="C167" s="3"/>
      <c r="D167" s="268">
        <f t="shared" si="6"/>
        <v>0</v>
      </c>
      <c r="E167" s="1382"/>
      <c r="AD167" s="836"/>
      <c r="AE167" s="836"/>
      <c r="AF167" s="836"/>
      <c r="AG167" s="836"/>
      <c r="AH167" s="836"/>
    </row>
    <row r="168" spans="2:34" s="1" customFormat="1" ht="14.25" hidden="1" thickBot="1" x14ac:dyDescent="0.3">
      <c r="B168" s="2"/>
      <c r="C168" s="3"/>
      <c r="D168" s="268">
        <f t="shared" si="6"/>
        <v>0</v>
      </c>
      <c r="E168" s="1382"/>
      <c r="AD168" s="836"/>
      <c r="AE168" s="836"/>
      <c r="AF168" s="836"/>
      <c r="AG168" s="836"/>
      <c r="AH168" s="836"/>
    </row>
    <row r="169" spans="2:34" s="1" customFormat="1" ht="14.25" hidden="1" thickBot="1" x14ac:dyDescent="0.3">
      <c r="B169" s="2"/>
      <c r="C169" s="3"/>
      <c r="D169" s="268">
        <f t="shared" si="6"/>
        <v>0</v>
      </c>
      <c r="E169" s="1382"/>
      <c r="AD169" s="836"/>
      <c r="AE169" s="836"/>
      <c r="AF169" s="836"/>
      <c r="AG169" s="836"/>
      <c r="AH169" s="836"/>
    </row>
    <row r="170" spans="2:34" s="1" customFormat="1" ht="14.25" hidden="1" thickBot="1" x14ac:dyDescent="0.3">
      <c r="B170" s="2"/>
      <c r="C170" s="3"/>
      <c r="D170" s="268">
        <f t="shared" si="6"/>
        <v>0</v>
      </c>
      <c r="E170" s="1382"/>
      <c r="AD170" s="836"/>
      <c r="AE170" s="836"/>
      <c r="AF170" s="836"/>
      <c r="AG170" s="836"/>
      <c r="AH170" s="836"/>
    </row>
    <row r="171" spans="2:34" s="1" customFormat="1" ht="14.25" hidden="1" thickBot="1" x14ac:dyDescent="0.3">
      <c r="B171" s="2"/>
      <c r="C171" s="3"/>
      <c r="D171" s="268">
        <f t="shared" si="6"/>
        <v>0</v>
      </c>
      <c r="E171" s="1382"/>
      <c r="AD171" s="836"/>
      <c r="AE171" s="836"/>
      <c r="AF171" s="836"/>
      <c r="AG171" s="836"/>
      <c r="AH171" s="836"/>
    </row>
    <row r="172" spans="2:34" s="1" customFormat="1" ht="14.25" hidden="1" thickBot="1" x14ac:dyDescent="0.3">
      <c r="B172" s="2"/>
      <c r="C172" s="3"/>
      <c r="D172" s="268">
        <f t="shared" si="6"/>
        <v>0</v>
      </c>
      <c r="E172" s="1382"/>
      <c r="AD172" s="836"/>
      <c r="AE172" s="836"/>
      <c r="AF172" s="836"/>
      <c r="AG172" s="836"/>
      <c r="AH172" s="836"/>
    </row>
    <row r="173" spans="2:34" s="1" customFormat="1" ht="14.25" hidden="1" thickBot="1" x14ac:dyDescent="0.3">
      <c r="B173" s="2"/>
      <c r="C173" s="3"/>
      <c r="D173" s="268">
        <f t="shared" si="6"/>
        <v>0</v>
      </c>
      <c r="E173" s="1382"/>
      <c r="AD173" s="836"/>
      <c r="AE173" s="836"/>
      <c r="AF173" s="836"/>
      <c r="AG173" s="836"/>
      <c r="AH173" s="836"/>
    </row>
    <row r="174" spans="2:34" s="1" customFormat="1" ht="14.25" hidden="1" thickBot="1" x14ac:dyDescent="0.3">
      <c r="B174" s="2"/>
      <c r="C174" s="3"/>
      <c r="D174" s="268">
        <f t="shared" si="6"/>
        <v>0</v>
      </c>
      <c r="E174" s="1382"/>
      <c r="AD174" s="836"/>
      <c r="AE174" s="836"/>
      <c r="AF174" s="836"/>
      <c r="AG174" s="836"/>
      <c r="AH174" s="836"/>
    </row>
    <row r="175" spans="2:34" s="1" customFormat="1" ht="14.25" hidden="1" thickBot="1" x14ac:dyDescent="0.3">
      <c r="B175" s="2"/>
      <c r="C175" s="3"/>
      <c r="D175" s="268">
        <f t="shared" si="6"/>
        <v>0</v>
      </c>
      <c r="E175" s="1382"/>
      <c r="AD175" s="836"/>
      <c r="AE175" s="836"/>
      <c r="AF175" s="836"/>
      <c r="AG175" s="836"/>
      <c r="AH175" s="836"/>
    </row>
    <row r="176" spans="2:34" s="1" customFormat="1" ht="14.25" hidden="1" thickBot="1" x14ac:dyDescent="0.3">
      <c r="B176" s="2"/>
      <c r="C176" s="3"/>
      <c r="D176" s="268">
        <f t="shared" si="6"/>
        <v>0</v>
      </c>
      <c r="E176" s="1382"/>
      <c r="AD176" s="836"/>
      <c r="AE176" s="836"/>
      <c r="AF176" s="836"/>
      <c r="AG176" s="836"/>
      <c r="AH176" s="836"/>
    </row>
    <row r="177" spans="2:34" s="1" customFormat="1" ht="14.25" hidden="1" thickBot="1" x14ac:dyDescent="0.3">
      <c r="B177" s="2"/>
      <c r="C177" s="3"/>
      <c r="D177" s="268">
        <f t="shared" si="6"/>
        <v>0</v>
      </c>
      <c r="E177" s="1382"/>
      <c r="AD177" s="836"/>
      <c r="AE177" s="836"/>
      <c r="AF177" s="836"/>
      <c r="AG177" s="836"/>
      <c r="AH177" s="836"/>
    </row>
    <row r="178" spans="2:34" s="1" customFormat="1" ht="14.25" hidden="1" thickBot="1" x14ac:dyDescent="0.3">
      <c r="B178" s="2"/>
      <c r="C178" s="3"/>
      <c r="D178" s="268">
        <f t="shared" si="6"/>
        <v>0</v>
      </c>
      <c r="E178" s="1382"/>
      <c r="AD178" s="836"/>
      <c r="AE178" s="836"/>
      <c r="AF178" s="836"/>
      <c r="AG178" s="836"/>
      <c r="AH178" s="836"/>
    </row>
    <row r="179" spans="2:34" s="1" customFormat="1" ht="14.25" hidden="1" thickBot="1" x14ac:dyDescent="0.3">
      <c r="B179" s="2"/>
      <c r="C179" s="3"/>
      <c r="D179" s="268">
        <f t="shared" si="6"/>
        <v>0</v>
      </c>
      <c r="E179" s="1382"/>
      <c r="AD179" s="836"/>
      <c r="AE179" s="836"/>
      <c r="AF179" s="836"/>
      <c r="AG179" s="836"/>
      <c r="AH179" s="836"/>
    </row>
    <row r="180" spans="2:34" s="1" customFormat="1" ht="14.25" hidden="1" thickBot="1" x14ac:dyDescent="0.3">
      <c r="B180" s="2"/>
      <c r="C180" s="3"/>
      <c r="D180" s="268">
        <f t="shared" si="6"/>
        <v>0</v>
      </c>
      <c r="E180" s="1382"/>
      <c r="AD180" s="836"/>
      <c r="AE180" s="836"/>
      <c r="AF180" s="836"/>
      <c r="AG180" s="836"/>
      <c r="AH180" s="836"/>
    </row>
    <row r="181" spans="2:34" s="1" customFormat="1" ht="14.25" hidden="1" thickBot="1" x14ac:dyDescent="0.3">
      <c r="B181" s="2"/>
      <c r="C181" s="3"/>
      <c r="D181" s="268">
        <f t="shared" si="6"/>
        <v>0</v>
      </c>
      <c r="E181" s="1382"/>
      <c r="AD181" s="836"/>
      <c r="AE181" s="836"/>
      <c r="AF181" s="836"/>
      <c r="AG181" s="836"/>
      <c r="AH181" s="836"/>
    </row>
    <row r="182" spans="2:34" s="1" customFormat="1" ht="14.25" hidden="1" thickBot="1" x14ac:dyDescent="0.3">
      <c r="B182" s="2"/>
      <c r="C182" s="3"/>
      <c r="D182" s="268">
        <f t="shared" si="6"/>
        <v>0</v>
      </c>
      <c r="E182" s="1382"/>
      <c r="AD182" s="836"/>
      <c r="AE182" s="836"/>
      <c r="AF182" s="836"/>
      <c r="AG182" s="836"/>
      <c r="AH182" s="836"/>
    </row>
    <row r="183" spans="2:34" s="1" customFormat="1" ht="14.25" hidden="1" thickBot="1" x14ac:dyDescent="0.3">
      <c r="B183" s="2"/>
      <c r="C183" s="3"/>
      <c r="D183" s="268">
        <f t="shared" si="6"/>
        <v>0</v>
      </c>
      <c r="E183" s="1382"/>
      <c r="AD183" s="836"/>
      <c r="AE183" s="836"/>
      <c r="AF183" s="836"/>
      <c r="AG183" s="836"/>
      <c r="AH183" s="836"/>
    </row>
    <row r="184" spans="2:34" s="1" customFormat="1" ht="14.25" hidden="1" thickBot="1" x14ac:dyDescent="0.3">
      <c r="B184" s="2"/>
      <c r="C184" s="3"/>
      <c r="D184" s="268">
        <f t="shared" si="6"/>
        <v>0</v>
      </c>
      <c r="E184" s="1382"/>
      <c r="AD184" s="836"/>
      <c r="AE184" s="836"/>
      <c r="AF184" s="836"/>
      <c r="AG184" s="836"/>
      <c r="AH184" s="836"/>
    </row>
    <row r="185" spans="2:34" s="1" customFormat="1" ht="14.25" hidden="1" thickBot="1" x14ac:dyDescent="0.3">
      <c r="B185" s="2"/>
      <c r="C185" s="3"/>
      <c r="D185" s="268">
        <f t="shared" si="6"/>
        <v>0</v>
      </c>
      <c r="E185" s="1382"/>
      <c r="AD185" s="836"/>
      <c r="AE185" s="836"/>
      <c r="AF185" s="836"/>
      <c r="AG185" s="836"/>
      <c r="AH185" s="836"/>
    </row>
    <row r="186" spans="2:34" s="1" customFormat="1" ht="14.25" hidden="1" thickBot="1" x14ac:dyDescent="0.3">
      <c r="B186" s="2"/>
      <c r="C186" s="3"/>
      <c r="D186" s="268">
        <f t="shared" si="6"/>
        <v>0</v>
      </c>
      <c r="E186" s="1382"/>
      <c r="AD186" s="836"/>
      <c r="AE186" s="836"/>
      <c r="AF186" s="836"/>
      <c r="AG186" s="836"/>
      <c r="AH186" s="836"/>
    </row>
    <row r="187" spans="2:34" s="1" customFormat="1" ht="14.25" hidden="1" thickBot="1" x14ac:dyDescent="0.3">
      <c r="B187" s="2"/>
      <c r="C187" s="3"/>
      <c r="D187" s="268">
        <f t="shared" si="6"/>
        <v>0</v>
      </c>
      <c r="E187" s="1382"/>
      <c r="AD187" s="836"/>
      <c r="AE187" s="836"/>
      <c r="AF187" s="836"/>
      <c r="AG187" s="836"/>
      <c r="AH187" s="836"/>
    </row>
    <row r="188" spans="2:34" s="1" customFormat="1" ht="13.5" hidden="1" x14ac:dyDescent="0.25">
      <c r="B188" s="2"/>
      <c r="C188" s="3"/>
      <c r="D188" s="124">
        <f t="shared" si="6"/>
        <v>0</v>
      </c>
      <c r="E188" s="1383"/>
      <c r="AD188" s="836"/>
      <c r="AE188" s="836"/>
      <c r="AF188" s="836"/>
      <c r="AG188" s="836"/>
      <c r="AH188" s="836"/>
    </row>
    <row r="189" spans="2:34" s="1" customFormat="1" ht="14.25" thickBot="1" x14ac:dyDescent="0.3">
      <c r="B189" s="2"/>
      <c r="C189" s="3"/>
      <c r="D189" s="3220" t="str">
        <f>'TRAD-Saisie données file act.'!B52</f>
        <v>Troisièmes lignes</v>
      </c>
      <c r="E189" s="3221"/>
      <c r="AD189" s="836"/>
      <c r="AE189" s="836"/>
      <c r="AF189" s="836"/>
      <c r="AG189" s="836"/>
      <c r="AH189" s="836"/>
    </row>
    <row r="190" spans="2:34" s="1" customFormat="1" ht="14.25" thickBot="1" x14ac:dyDescent="0.3">
      <c r="B190" s="2"/>
      <c r="C190" s="3"/>
      <c r="D190" s="268" t="str">
        <f>'TRAD-Saisie données file act.'!B35</f>
        <v>Patients recevant TDF</v>
      </c>
      <c r="E190" s="3023"/>
      <c r="AD190" s="836"/>
      <c r="AE190" s="836"/>
      <c r="AF190" s="836"/>
      <c r="AG190" s="836"/>
      <c r="AH190" s="836"/>
    </row>
    <row r="191" spans="2:34" s="1" customFormat="1" ht="14.25" thickBot="1" x14ac:dyDescent="0.3">
      <c r="B191" s="2"/>
      <c r="C191" s="3"/>
      <c r="D191" s="268" t="str">
        <f>'TRAD-Saisie données file act.'!B36</f>
        <v>Patients recevant AZT</v>
      </c>
      <c r="E191" s="3023"/>
      <c r="AD191" s="836"/>
      <c r="AE191" s="836"/>
      <c r="AF191" s="836"/>
      <c r="AG191" s="836"/>
      <c r="AH191" s="836"/>
    </row>
    <row r="192" spans="2:34" s="1" customFormat="1" ht="14.25" thickBot="1" x14ac:dyDescent="0.3">
      <c r="B192" s="2"/>
      <c r="C192" s="3"/>
      <c r="D192" s="268" t="str">
        <f>'TRAD-Saisie données file act.'!B37</f>
        <v>Patients recevant 3TC</v>
      </c>
      <c r="E192" s="3023"/>
      <c r="AD192" s="836"/>
      <c r="AE192" s="836"/>
      <c r="AF192" s="836"/>
      <c r="AG192" s="836"/>
      <c r="AH192" s="836"/>
    </row>
    <row r="193" spans="2:34" s="1" customFormat="1" ht="14.25" thickBot="1" x14ac:dyDescent="0.3">
      <c r="B193" s="2"/>
      <c r="C193" s="3"/>
      <c r="D193" s="268" t="str">
        <f>'TRAD-Saisie données file act.'!B38</f>
        <v>Patients recevant ABC</v>
      </c>
      <c r="E193" s="3023"/>
      <c r="AD193" s="836"/>
      <c r="AE193" s="836"/>
      <c r="AF193" s="836"/>
      <c r="AG193" s="836"/>
      <c r="AH193" s="836"/>
    </row>
    <row r="194" spans="2:34" s="1" customFormat="1" ht="14.25" thickBot="1" x14ac:dyDescent="0.3">
      <c r="B194" s="2"/>
      <c r="C194" s="3"/>
      <c r="D194" s="268" t="str">
        <f>'TRAD-Saisie données file act.'!B39</f>
        <v>Patients recevant DDI 250</v>
      </c>
      <c r="E194" s="3023"/>
      <c r="AD194" s="836"/>
      <c r="AE194" s="836"/>
      <c r="AF194" s="836"/>
      <c r="AG194" s="836"/>
      <c r="AH194" s="836"/>
    </row>
    <row r="195" spans="2:34" s="1" customFormat="1" ht="14.25" thickBot="1" x14ac:dyDescent="0.3">
      <c r="B195" s="2"/>
      <c r="C195" s="3"/>
      <c r="D195" s="268" t="str">
        <f>'TRAD-Saisie données file act.'!B40</f>
        <v>Patients recevant DDI 400</v>
      </c>
      <c r="E195" s="3023"/>
      <c r="AD195" s="836"/>
      <c r="AE195" s="836"/>
      <c r="AF195" s="836"/>
      <c r="AG195" s="836"/>
      <c r="AH195" s="836"/>
    </row>
    <row r="196" spans="2:34" s="1" customFormat="1" ht="14.25" thickBot="1" x14ac:dyDescent="0.3">
      <c r="B196" s="2"/>
      <c r="C196" s="3"/>
      <c r="D196" s="268" t="str">
        <f>'TRAD-Saisie données file act.'!B41</f>
        <v>Patients recevant ATV+RTV</v>
      </c>
      <c r="E196" s="3023"/>
      <c r="AD196" s="836"/>
      <c r="AE196" s="836"/>
      <c r="AF196" s="836"/>
      <c r="AG196" s="836"/>
      <c r="AH196" s="836"/>
    </row>
    <row r="197" spans="2:34" s="1" customFormat="1" ht="14.25" thickBot="1" x14ac:dyDescent="0.3">
      <c r="B197" s="2"/>
      <c r="C197" s="3"/>
      <c r="D197" s="268" t="str">
        <f>'TRAD-Saisie données file act.'!B42</f>
        <v>Patients recevant FPV+RTV</v>
      </c>
      <c r="E197" s="3023"/>
      <c r="AD197" s="836"/>
      <c r="AE197" s="836"/>
      <c r="AF197" s="836"/>
      <c r="AG197" s="836"/>
      <c r="AH197" s="836"/>
    </row>
    <row r="198" spans="2:34" s="1" customFormat="1" ht="14.25" thickBot="1" x14ac:dyDescent="0.3">
      <c r="B198" s="2"/>
      <c r="C198" s="3"/>
      <c r="D198" s="268" t="str">
        <f>'TRAD-Saisie données file act.'!B43</f>
        <v>Patients recevant DRV+RTV</v>
      </c>
      <c r="E198" s="3023"/>
      <c r="AD198" s="836"/>
      <c r="AE198" s="836"/>
      <c r="AF198" s="836"/>
      <c r="AG198" s="836"/>
      <c r="AH198" s="836"/>
    </row>
    <row r="199" spans="2:34" s="1" customFormat="1" ht="14.25" thickBot="1" x14ac:dyDescent="0.3">
      <c r="B199" s="2"/>
      <c r="C199" s="3"/>
      <c r="D199" s="268" t="str">
        <f>'TRAD-Saisie données file act.'!B44</f>
        <v>Patients recevant ETV</v>
      </c>
      <c r="E199" s="3023"/>
      <c r="AD199" s="836"/>
      <c r="AE199" s="836"/>
      <c r="AF199" s="836"/>
      <c r="AG199" s="836"/>
      <c r="AH199" s="836"/>
    </row>
    <row r="200" spans="2:34" s="1" customFormat="1" ht="14.25" thickBot="1" x14ac:dyDescent="0.3">
      <c r="B200" s="2"/>
      <c r="C200" s="3"/>
      <c r="D200" s="268" t="str">
        <f>'TRAD-Saisie données file act.'!B45</f>
        <v>Patients recevant RPV</v>
      </c>
      <c r="E200" s="3023"/>
      <c r="AD200" s="836"/>
      <c r="AE200" s="836"/>
      <c r="AF200" s="836"/>
      <c r="AG200" s="836"/>
      <c r="AH200" s="836"/>
    </row>
    <row r="201" spans="2:34" s="1" customFormat="1" ht="14.25" thickBot="1" x14ac:dyDescent="0.3">
      <c r="B201" s="2"/>
      <c r="C201" s="3"/>
      <c r="D201" s="268" t="str">
        <f>'TRAD-Saisie données file act.'!B46</f>
        <v>Patients recevant RLT</v>
      </c>
      <c r="E201" s="3023"/>
      <c r="AD201" s="836"/>
      <c r="AE201" s="836"/>
      <c r="AF201" s="836"/>
      <c r="AG201" s="836"/>
      <c r="AH201" s="836"/>
    </row>
    <row r="202" spans="2:34" s="1" customFormat="1" ht="14.25" thickTop="1" x14ac:dyDescent="0.25">
      <c r="B202" s="2"/>
      <c r="C202" s="3"/>
      <c r="D202" s="54" t="s">
        <v>5</v>
      </c>
      <c r="E202" s="271">
        <f>SUM(E118:E201)</f>
        <v>0</v>
      </c>
      <c r="F202" s="44"/>
      <c r="AD202" s="836"/>
      <c r="AE202" s="836"/>
      <c r="AF202" s="836"/>
      <c r="AG202" s="836"/>
      <c r="AH202" s="836"/>
    </row>
    <row r="203" spans="2:34" s="1" customFormat="1" ht="13.5" x14ac:dyDescent="0.25">
      <c r="AD203" s="836"/>
      <c r="AE203" s="836"/>
      <c r="AF203" s="836"/>
      <c r="AG203" s="836"/>
      <c r="AH203" s="836"/>
    </row>
    <row r="205" spans="2:34" ht="14.25" x14ac:dyDescent="0.2">
      <c r="C205" s="25" t="str">
        <f>'TRAD-Saisie données file act.'!B56</f>
        <v>C. Quelles sont les évolutions attendues dans la prise en charge des adultes ?</v>
      </c>
      <c r="D205" s="25"/>
      <c r="E205" s="25"/>
      <c r="F205" s="25"/>
      <c r="G205" s="25"/>
      <c r="H205" s="25"/>
      <c r="I205" s="25"/>
      <c r="J205" s="25"/>
      <c r="K205" s="25"/>
      <c r="L205" s="25"/>
      <c r="M205" s="25"/>
      <c r="N205" s="25"/>
    </row>
    <row r="206" spans="2:34" s="9" customFormat="1" ht="13.5" thickBot="1" x14ac:dyDescent="0.25">
      <c r="AD206" s="835"/>
      <c r="AE206" s="835"/>
      <c r="AF206" s="835"/>
      <c r="AG206" s="835"/>
      <c r="AH206" s="835"/>
    </row>
    <row r="207" spans="2:34" s="9" customFormat="1" ht="13.5" thickBot="1" x14ac:dyDescent="0.25">
      <c r="D207" s="55" t="str">
        <f>'TRAD-Saisie données file act.'!B57</f>
        <v>B.1. Initiations TARV</v>
      </c>
      <c r="E207" s="56"/>
      <c r="F207" s="56"/>
      <c r="G207" s="56"/>
      <c r="H207" s="56"/>
      <c r="I207" s="56"/>
      <c r="J207" s="57"/>
      <c r="AD207" s="835"/>
      <c r="AE207" s="835"/>
      <c r="AF207" s="835"/>
      <c r="AG207" s="835"/>
      <c r="AH207" s="835"/>
    </row>
    <row r="208" spans="2:34" s="9" customFormat="1" ht="13.5" thickBot="1" x14ac:dyDescent="0.25">
      <c r="AD208" s="835"/>
      <c r="AE208" s="835"/>
      <c r="AF208" s="835"/>
      <c r="AG208" s="835"/>
      <c r="AH208" s="835"/>
    </row>
    <row r="209" spans="2:34" s="9" customFormat="1" ht="13.5" thickBot="1" x14ac:dyDescent="0.25">
      <c r="D209" s="5" t="str">
        <f>'TRAD-Saisie données file act.'!B59</f>
        <v>Augmentation mensuelle du nombre de patients réellement suivi (= Nombre d'iniations mensuelles - attrition mensuelle) :</v>
      </c>
      <c r="K209" s="3026"/>
      <c r="AD209" s="835"/>
      <c r="AE209" s="835"/>
      <c r="AF209" s="835"/>
      <c r="AG209" s="835"/>
      <c r="AH209" s="835"/>
    </row>
    <row r="210" spans="2:34" s="9" customFormat="1" x14ac:dyDescent="0.2">
      <c r="AD210" s="835"/>
      <c r="AE210" s="835"/>
      <c r="AF210" s="835"/>
      <c r="AG210" s="835"/>
      <c r="AH210" s="835"/>
    </row>
    <row r="211" spans="2:34" s="9" customFormat="1" x14ac:dyDescent="0.2">
      <c r="E211" s="1349" t="str">
        <f>'TRAD-Saisie données file act.'!B60</f>
        <v>Attention, il s'agit de l'augmentation mensuelle du nombre de patients suivis et non du nombre d'initiations mensuelles !</v>
      </c>
      <c r="AD211" s="835"/>
      <c r="AE211" s="835"/>
      <c r="AF211" s="835"/>
      <c r="AG211" s="835"/>
      <c r="AH211" s="835"/>
    </row>
    <row r="212" spans="2:34" s="9" customFormat="1" x14ac:dyDescent="0.2">
      <c r="AD212" s="835"/>
      <c r="AE212" s="835"/>
      <c r="AF212" s="835"/>
      <c r="AG212" s="835"/>
      <c r="AH212" s="835"/>
    </row>
    <row r="213" spans="2:34" s="1" customFormat="1" ht="39" thickBot="1" x14ac:dyDescent="0.3">
      <c r="C213" s="3"/>
      <c r="D213" s="45" t="str">
        <f>'TRAD-Saisie données file act.'!B15</f>
        <v>Schéma thérapeutique</v>
      </c>
      <c r="E213" s="2986" t="str">
        <f>'TRAD-Saisie données file act.'!$B$58</f>
        <v>Proportion %</v>
      </c>
      <c r="F213" s="58" t="str">
        <f>'TRAD-Saisie données file act.'!B61</f>
        <v>Nombre théorique de patients  attendus</v>
      </c>
      <c r="AD213" s="836"/>
      <c r="AE213" s="836"/>
      <c r="AF213" s="836"/>
      <c r="AG213" s="836"/>
      <c r="AH213" s="836"/>
    </row>
    <row r="214" spans="2:34" s="1" customFormat="1" ht="13.5" x14ac:dyDescent="0.25">
      <c r="C214" s="3"/>
      <c r="D214" s="3248" t="str">
        <f>'TRAD-Saisie données file act.'!B30</f>
        <v>Premières lignes</v>
      </c>
      <c r="E214" s="3249"/>
      <c r="F214" s="3250"/>
      <c r="AD214" s="836"/>
      <c r="AE214" s="836"/>
      <c r="AF214" s="836"/>
      <c r="AG214" s="836"/>
      <c r="AH214" s="836"/>
    </row>
    <row r="215" spans="2:34" s="1" customFormat="1" ht="14.25" thickBot="1" x14ac:dyDescent="0.3">
      <c r="C215" s="3"/>
      <c r="D215" s="50" t="str">
        <f>D28</f>
        <v>TDF+FTC+EFV</v>
      </c>
      <c r="E215" s="3027"/>
      <c r="F215" s="869">
        <f t="shared" ref="F215:F225" si="7">K$209*E215</f>
        <v>0</v>
      </c>
      <c r="AD215" s="836"/>
      <c r="AE215" s="836"/>
      <c r="AF215" s="836"/>
      <c r="AG215" s="836"/>
      <c r="AH215" s="836"/>
    </row>
    <row r="216" spans="2:34" s="1" customFormat="1" ht="14.25" thickBot="1" x14ac:dyDescent="0.3">
      <c r="C216" s="3"/>
      <c r="D216" s="47" t="str">
        <f t="shared" ref="D216:D225" si="8">D29</f>
        <v>ABC+3TC+ATV/r</v>
      </c>
      <c r="E216" s="3027"/>
      <c r="F216" s="870">
        <f t="shared" si="7"/>
        <v>0</v>
      </c>
      <c r="AD216" s="836"/>
      <c r="AE216" s="836"/>
      <c r="AF216" s="836"/>
      <c r="AG216" s="836"/>
      <c r="AH216" s="836"/>
    </row>
    <row r="217" spans="2:34" s="1" customFormat="1" ht="14.25" thickBot="1" x14ac:dyDescent="0.3">
      <c r="C217" s="3"/>
      <c r="D217" s="48" t="str">
        <f t="shared" si="8"/>
        <v>TDF+FTC+ATV/r</v>
      </c>
      <c r="E217" s="3027"/>
      <c r="F217" s="871">
        <f t="shared" si="7"/>
        <v>0</v>
      </c>
      <c r="AD217" s="836"/>
      <c r="AE217" s="836"/>
      <c r="AF217" s="836"/>
      <c r="AG217" s="836"/>
      <c r="AH217" s="836"/>
    </row>
    <row r="218" spans="2:34" s="1" customFormat="1" ht="14.25" thickBot="1" x14ac:dyDescent="0.3">
      <c r="C218" s="3"/>
      <c r="D218" s="49">
        <f t="shared" si="8"/>
        <v>0</v>
      </c>
      <c r="E218" s="3028"/>
      <c r="F218" s="872">
        <f t="shared" si="7"/>
        <v>0</v>
      </c>
      <c r="AD218" s="836"/>
      <c r="AE218" s="836"/>
      <c r="AF218" s="836"/>
      <c r="AG218" s="836"/>
      <c r="AH218" s="836"/>
    </row>
    <row r="219" spans="2:34" s="1" customFormat="1" ht="14.25" thickBot="1" x14ac:dyDescent="0.3">
      <c r="C219" s="3"/>
      <c r="D219" s="49">
        <f t="shared" si="8"/>
        <v>0</v>
      </c>
      <c r="E219" s="3028"/>
      <c r="F219" s="872">
        <f t="shared" si="7"/>
        <v>0</v>
      </c>
      <c r="AD219" s="836"/>
      <c r="AE219" s="836"/>
      <c r="AF219" s="836"/>
      <c r="AG219" s="836"/>
      <c r="AH219" s="836"/>
    </row>
    <row r="220" spans="2:34" s="1" customFormat="1" ht="14.25" thickBot="1" x14ac:dyDescent="0.3">
      <c r="B220" s="2"/>
      <c r="C220" s="3"/>
      <c r="D220" s="48">
        <f t="shared" si="8"/>
        <v>0</v>
      </c>
      <c r="E220" s="3028"/>
      <c r="F220" s="872">
        <f t="shared" si="7"/>
        <v>0</v>
      </c>
      <c r="AD220" s="836"/>
      <c r="AE220" s="836"/>
      <c r="AF220" s="836"/>
      <c r="AG220" s="836"/>
      <c r="AH220" s="836"/>
    </row>
    <row r="221" spans="2:34" s="1" customFormat="1" ht="14.25" thickBot="1" x14ac:dyDescent="0.3">
      <c r="B221" s="2"/>
      <c r="C221" s="3"/>
      <c r="D221" s="268">
        <f t="shared" si="8"/>
        <v>0</v>
      </c>
      <c r="E221" s="3028"/>
      <c r="F221" s="872">
        <f t="shared" si="7"/>
        <v>0</v>
      </c>
      <c r="AD221" s="836"/>
      <c r="AE221" s="836"/>
      <c r="AF221" s="836"/>
      <c r="AG221" s="836"/>
      <c r="AH221" s="836"/>
    </row>
    <row r="222" spans="2:34" s="1" customFormat="1" ht="14.25" thickBot="1" x14ac:dyDescent="0.3">
      <c r="B222" s="2"/>
      <c r="C222" s="3"/>
      <c r="D222" s="268">
        <f t="shared" si="8"/>
        <v>0</v>
      </c>
      <c r="E222" s="3028"/>
      <c r="F222" s="872">
        <f t="shared" si="7"/>
        <v>0</v>
      </c>
      <c r="AD222" s="836"/>
      <c r="AE222" s="836"/>
      <c r="AF222" s="836"/>
      <c r="AG222" s="836"/>
      <c r="AH222" s="836"/>
    </row>
    <row r="223" spans="2:34" s="1" customFormat="1" ht="14.25" thickBot="1" x14ac:dyDescent="0.3">
      <c r="B223" s="2"/>
      <c r="C223" s="3"/>
      <c r="D223" s="48">
        <f t="shared" si="8"/>
        <v>0</v>
      </c>
      <c r="E223" s="3028"/>
      <c r="F223" s="872">
        <f t="shared" si="7"/>
        <v>0</v>
      </c>
      <c r="AD223" s="836"/>
      <c r="AE223" s="836"/>
      <c r="AF223" s="836"/>
      <c r="AG223" s="836"/>
      <c r="AH223" s="836"/>
    </row>
    <row r="224" spans="2:34" s="1" customFormat="1" ht="14.25" thickBot="1" x14ac:dyDescent="0.3">
      <c r="C224" s="3"/>
      <c r="D224" s="50">
        <f t="shared" si="8"/>
        <v>0</v>
      </c>
      <c r="E224" s="3028"/>
      <c r="F224" s="869">
        <f t="shared" si="7"/>
        <v>0</v>
      </c>
      <c r="AD224" s="836"/>
      <c r="AE224" s="836"/>
      <c r="AF224" s="836"/>
      <c r="AG224" s="836"/>
      <c r="AH224" s="836"/>
    </row>
    <row r="225" spans="2:34" s="1" customFormat="1" ht="14.25" thickBot="1" x14ac:dyDescent="0.3">
      <c r="C225" s="3"/>
      <c r="D225" s="59">
        <f t="shared" si="8"/>
        <v>0</v>
      </c>
      <c r="E225" s="3028"/>
      <c r="F225" s="873">
        <f t="shared" si="7"/>
        <v>0</v>
      </c>
      <c r="AD225" s="836"/>
      <c r="AE225" s="836"/>
      <c r="AF225" s="836"/>
      <c r="AG225" s="836"/>
      <c r="AH225" s="836"/>
    </row>
    <row r="226" spans="2:34" s="1" customFormat="1" ht="14.25" thickBot="1" x14ac:dyDescent="0.3">
      <c r="C226" s="3"/>
      <c r="D226" s="3248" t="str">
        <f>'TRAD-Saisie données file act.'!B32</f>
        <v>Lignes alternatives</v>
      </c>
      <c r="E226" s="3249"/>
      <c r="F226" s="3250"/>
      <c r="AD226" s="836"/>
      <c r="AE226" s="836"/>
      <c r="AF226" s="836"/>
      <c r="AG226" s="836"/>
      <c r="AH226" s="836"/>
    </row>
    <row r="227" spans="2:34" s="1" customFormat="1" ht="14.25" thickBot="1" x14ac:dyDescent="0.3">
      <c r="C227" s="3"/>
      <c r="D227" s="60">
        <f>D51</f>
        <v>0</v>
      </c>
      <c r="E227" s="3028"/>
      <c r="F227" s="869">
        <f t="shared" ref="F227:F234" si="9">K$209*E227</f>
        <v>0</v>
      </c>
      <c r="AD227" s="836"/>
      <c r="AE227" s="836"/>
      <c r="AF227" s="836"/>
      <c r="AG227" s="836"/>
      <c r="AH227" s="836"/>
    </row>
    <row r="228" spans="2:34" s="1" customFormat="1" ht="14.25" thickBot="1" x14ac:dyDescent="0.3">
      <c r="C228" s="3"/>
      <c r="D228" s="268">
        <f t="shared" ref="D228:D234" si="10">D52</f>
        <v>0</v>
      </c>
      <c r="E228" s="3028"/>
      <c r="F228" s="870">
        <f t="shared" si="9"/>
        <v>0</v>
      </c>
      <c r="AD228" s="836"/>
      <c r="AE228" s="836"/>
      <c r="AF228" s="836"/>
      <c r="AG228" s="836"/>
      <c r="AH228" s="836"/>
    </row>
    <row r="229" spans="2:34" s="1" customFormat="1" ht="14.25" thickBot="1" x14ac:dyDescent="0.3">
      <c r="C229" s="3"/>
      <c r="D229" s="268">
        <f t="shared" si="10"/>
        <v>0</v>
      </c>
      <c r="E229" s="3028"/>
      <c r="F229" s="871">
        <f t="shared" si="9"/>
        <v>0</v>
      </c>
      <c r="AD229" s="836"/>
      <c r="AE229" s="836"/>
      <c r="AF229" s="836"/>
      <c r="AG229" s="836"/>
      <c r="AH229" s="836"/>
    </row>
    <row r="230" spans="2:34" s="1" customFormat="1" ht="14.25" thickBot="1" x14ac:dyDescent="0.3">
      <c r="B230" s="2"/>
      <c r="C230" s="3"/>
      <c r="D230" s="48">
        <f t="shared" si="10"/>
        <v>0</v>
      </c>
      <c r="E230" s="3028"/>
      <c r="F230" s="871">
        <f t="shared" si="9"/>
        <v>0</v>
      </c>
      <c r="AD230" s="836"/>
      <c r="AE230" s="836"/>
      <c r="AF230" s="836"/>
      <c r="AG230" s="836"/>
      <c r="AH230" s="836"/>
    </row>
    <row r="231" spans="2:34" s="1" customFormat="1" ht="14.25" thickBot="1" x14ac:dyDescent="0.3">
      <c r="B231" s="2"/>
      <c r="C231" s="3"/>
      <c r="D231" s="48">
        <f t="shared" si="10"/>
        <v>0</v>
      </c>
      <c r="E231" s="3028"/>
      <c r="F231" s="871">
        <f t="shared" si="9"/>
        <v>0</v>
      </c>
      <c r="AD231" s="836"/>
      <c r="AE231" s="836"/>
      <c r="AF231" s="836"/>
      <c r="AG231" s="836"/>
      <c r="AH231" s="836"/>
    </row>
    <row r="232" spans="2:34" s="1" customFormat="1" ht="14.25" thickBot="1" x14ac:dyDescent="0.3">
      <c r="C232" s="3"/>
      <c r="D232" s="268">
        <f t="shared" si="10"/>
        <v>0</v>
      </c>
      <c r="E232" s="3028"/>
      <c r="F232" s="871">
        <f t="shared" si="9"/>
        <v>0</v>
      </c>
      <c r="AD232" s="836"/>
      <c r="AE232" s="836"/>
      <c r="AF232" s="836"/>
      <c r="AG232" s="836"/>
      <c r="AH232" s="836"/>
    </row>
    <row r="233" spans="2:34" s="1" customFormat="1" ht="14.25" thickBot="1" x14ac:dyDescent="0.3">
      <c r="C233" s="3"/>
      <c r="D233" s="268">
        <f t="shared" si="10"/>
        <v>0</v>
      </c>
      <c r="E233" s="3028"/>
      <c r="F233" s="872">
        <f t="shared" si="9"/>
        <v>0</v>
      </c>
      <c r="AD233" s="836"/>
      <c r="AE233" s="836"/>
      <c r="AF233" s="836"/>
      <c r="AG233" s="836"/>
      <c r="AH233" s="836"/>
    </row>
    <row r="234" spans="2:34" s="1" customFormat="1" ht="14.25" thickBot="1" x14ac:dyDescent="0.3">
      <c r="C234" s="3"/>
      <c r="D234" s="60">
        <f t="shared" si="10"/>
        <v>0</v>
      </c>
      <c r="E234" s="3028"/>
      <c r="F234" s="872">
        <f t="shared" si="9"/>
        <v>0</v>
      </c>
      <c r="AD234" s="836"/>
      <c r="AE234" s="836"/>
      <c r="AF234" s="836"/>
      <c r="AG234" s="836"/>
      <c r="AH234" s="836"/>
    </row>
    <row r="235" spans="2:34" s="1" customFormat="1" ht="14.25" thickTop="1" x14ac:dyDescent="0.25">
      <c r="C235" s="3"/>
      <c r="D235" s="54" t="s">
        <v>5</v>
      </c>
      <c r="E235" s="2985">
        <f>SUM(E215:E234)</f>
        <v>0</v>
      </c>
      <c r="F235" s="67">
        <f>SUM(F215:F225)+SUM(F227:F234)</f>
        <v>0</v>
      </c>
      <c r="AD235" s="836"/>
      <c r="AE235" s="836"/>
      <c r="AF235" s="836"/>
      <c r="AG235" s="836"/>
      <c r="AH235" s="836"/>
    </row>
    <row r="236" spans="2:34" s="1" customFormat="1" ht="13.5" x14ac:dyDescent="0.25">
      <c r="AD236" s="836"/>
      <c r="AE236" s="836"/>
      <c r="AF236" s="836"/>
      <c r="AG236" s="836"/>
      <c r="AH236" s="836"/>
    </row>
    <row r="237" spans="2:34" s="1" customFormat="1" ht="27" customHeight="1" x14ac:dyDescent="0.25">
      <c r="D237" s="61" t="str">
        <f>'TRAD-Saisie données file act.'!B62</f>
        <v>Remarque</v>
      </c>
      <c r="E237" s="3234" t="str">
        <f>'TRAD-Saisie données file act.'!B63</f>
        <v>En cas d'incertitude sur la répartition attendue, il est possible de prendre des marges (X-Y %) et de ne considérer dans ce tableau que les marges hautes. Le total peut donc faire plus de 100%. Toutefois, le stock de sécurité doit être prévu pour permettre de tels imprevus</v>
      </c>
      <c r="F237" s="3234"/>
      <c r="G237" s="3234"/>
      <c r="H237" s="3234"/>
      <c r="I237" s="3234"/>
      <c r="J237" s="3234"/>
      <c r="K237" s="3234"/>
      <c r="L237" s="3234"/>
      <c r="M237" s="3234"/>
      <c r="N237" s="3234"/>
      <c r="O237" s="3234"/>
      <c r="AD237" s="836"/>
      <c r="AE237" s="836"/>
      <c r="AF237" s="836"/>
      <c r="AG237" s="836"/>
      <c r="AH237" s="836"/>
    </row>
    <row r="238" spans="2:34" s="9" customFormat="1" ht="13.5" thickBot="1" x14ac:dyDescent="0.25">
      <c r="AD238" s="835"/>
      <c r="AE238" s="835"/>
      <c r="AF238" s="835"/>
      <c r="AG238" s="835"/>
      <c r="AH238" s="835"/>
    </row>
    <row r="239" spans="2:34" s="9" customFormat="1" ht="13.5" thickBot="1" x14ac:dyDescent="0.25">
      <c r="D239" s="55" t="str">
        <f>'TRAD-Saisie données file act.'!B64</f>
        <v>B.2. Passage en 2ème ligne</v>
      </c>
      <c r="E239" s="56"/>
      <c r="F239" s="56"/>
      <c r="G239" s="56"/>
      <c r="H239" s="56"/>
      <c r="I239" s="56"/>
      <c r="J239" s="57"/>
      <c r="AD239" s="835"/>
      <c r="AE239" s="835"/>
      <c r="AF239" s="835"/>
      <c r="AG239" s="835"/>
      <c r="AH239" s="835"/>
    </row>
    <row r="240" spans="2:34" s="9" customFormat="1" ht="13.5" thickBot="1" x14ac:dyDescent="0.25">
      <c r="AD240" s="835"/>
      <c r="AE240" s="835"/>
      <c r="AF240" s="835"/>
      <c r="AG240" s="835"/>
      <c r="AH240" s="835"/>
    </row>
    <row r="241" spans="3:34" s="9" customFormat="1" ht="13.5" thickBot="1" x14ac:dyDescent="0.25">
      <c r="D241" s="5" t="str">
        <f>'TRAD-Saisie données file act.'!B75</f>
        <v>Proportion de passage mensuel envisagé (/2ème ligne)</v>
      </c>
      <c r="G241" s="269"/>
      <c r="AD241" s="835"/>
      <c r="AE241" s="835"/>
      <c r="AF241" s="835"/>
      <c r="AG241" s="835"/>
      <c r="AH241" s="835"/>
    </row>
    <row r="242" spans="3:34" customFormat="1" x14ac:dyDescent="0.2">
      <c r="AD242" s="836"/>
      <c r="AE242" s="836"/>
      <c r="AF242" s="836"/>
      <c r="AG242" s="836"/>
      <c r="AH242" s="836"/>
    </row>
    <row r="243" spans="3:34" customFormat="1" ht="12.75" customHeight="1" x14ac:dyDescent="0.2">
      <c r="D243" s="61" t="s">
        <v>67</v>
      </c>
      <c r="E243" s="62" t="str">
        <f>'TRAD-Saisie données file act.'!B76</f>
        <v>On peut estimer que 3 % des patients passent de 2ème ligne en 3ème ligne / an. Cela fait donc un passage mensuel de 0,25%</v>
      </c>
      <c r="F243" s="62"/>
      <c r="G243" s="62"/>
      <c r="H243" s="62"/>
      <c r="I243" s="62"/>
      <c r="J243" s="62"/>
      <c r="K243" s="62"/>
      <c r="L243" s="62"/>
      <c r="M243" s="62"/>
      <c r="N243" s="62"/>
      <c r="O243" s="62"/>
      <c r="AD243" s="836"/>
      <c r="AE243" s="836"/>
      <c r="AF243" s="836"/>
      <c r="AG243" s="836"/>
      <c r="AH243" s="836"/>
    </row>
    <row r="244" spans="3:34" customFormat="1" ht="12.75" customHeight="1" thickBot="1" x14ac:dyDescent="0.25">
      <c r="D244" s="61"/>
      <c r="E244" s="62"/>
      <c r="F244" s="62"/>
      <c r="G244" s="62"/>
      <c r="H244" s="62"/>
      <c r="I244" s="62"/>
      <c r="J244" s="62"/>
      <c r="K244" s="62"/>
      <c r="L244" s="62"/>
      <c r="M244" s="62"/>
      <c r="N244" s="62"/>
      <c r="O244" s="62"/>
      <c r="AD244" s="836"/>
      <c r="AE244" s="836"/>
      <c r="AF244" s="836"/>
      <c r="AG244" s="836"/>
      <c r="AH244" s="836"/>
    </row>
    <row r="245" spans="3:34" customFormat="1" ht="12.75" customHeight="1" thickBot="1" x14ac:dyDescent="0.25">
      <c r="D245" s="63" t="str">
        <f>'TRAD-Saisie données file act.'!B67</f>
        <v>Cela représente donc :</v>
      </c>
      <c r="E245" s="263">
        <f>G241*(SUM(E118:E128)+SUM(F215:F225))</f>
        <v>0</v>
      </c>
      <c r="F245" s="1027" t="str">
        <f>'TRAD-Saisie données file act.'!B68</f>
        <v>patients / mois</v>
      </c>
      <c r="G245" s="62"/>
      <c r="H245" s="62"/>
      <c r="I245" s="62"/>
      <c r="J245" s="62"/>
      <c r="K245" s="62"/>
      <c r="L245" s="62"/>
      <c r="M245" s="62"/>
      <c r="N245" s="62"/>
      <c r="O245" s="62"/>
      <c r="AD245" s="836"/>
      <c r="AE245" s="836"/>
      <c r="AF245" s="836"/>
      <c r="AG245" s="836"/>
      <c r="AH245" s="836"/>
    </row>
    <row r="246" spans="3:34" s="9" customFormat="1" x14ac:dyDescent="0.2">
      <c r="AD246" s="835"/>
      <c r="AE246" s="835"/>
      <c r="AF246" s="835"/>
      <c r="AG246" s="835"/>
      <c r="AH246" s="835"/>
    </row>
    <row r="247" spans="3:34" s="9" customFormat="1" ht="13.5" thickBot="1" x14ac:dyDescent="0.25">
      <c r="D247" s="5" t="str">
        <f>'TRAD-Saisie données file act.'!B69</f>
        <v>Souhaitez vous faire sortir les patients de première ligne ?</v>
      </c>
      <c r="AD247" s="835"/>
      <c r="AE247" s="835"/>
      <c r="AF247" s="835"/>
      <c r="AG247" s="835"/>
      <c r="AH247" s="835"/>
    </row>
    <row r="248" spans="3:34" s="9" customFormat="1" ht="13.5" thickBot="1" x14ac:dyDescent="0.25">
      <c r="E248" s="9" t="str">
        <f>'TRAD-Saisie données file act.'!B70</f>
        <v>Si oui, précisez la proportion (100% = l'ensemble des patients passés en 2ème ligne sont sortis de première ligne)</v>
      </c>
      <c r="K248" s="269"/>
      <c r="AD248" s="835"/>
      <c r="AE248" s="835"/>
      <c r="AF248" s="835"/>
      <c r="AG248" s="835"/>
      <c r="AH248" s="835"/>
    </row>
    <row r="249" spans="3:34" s="9" customFormat="1" x14ac:dyDescent="0.2">
      <c r="AD249" s="835"/>
      <c r="AE249" s="835"/>
      <c r="AF249" s="835"/>
      <c r="AG249" s="835"/>
      <c r="AH249" s="835"/>
    </row>
    <row r="250" spans="3:34" s="9" customFormat="1" x14ac:dyDescent="0.2">
      <c r="D250" s="61" t="str">
        <f>'TRAD-Saisie données file act.'!$B$99</f>
        <v>Consigne d'utilisation</v>
      </c>
      <c r="E250" s="28" t="str">
        <f>'TRAD-Saisie données file act.'!$B$71</f>
        <v>Pour chaque schéma de première ligne, précisez le(s) schéma(s) de 2ème ligne souhaité(s) à l'aide des menus déroulants</v>
      </c>
      <c r="AD250" s="835"/>
      <c r="AE250" s="835"/>
      <c r="AF250" s="835"/>
      <c r="AG250" s="835"/>
      <c r="AH250" s="835"/>
    </row>
    <row r="251" spans="3:34" s="9" customFormat="1" x14ac:dyDescent="0.2">
      <c r="E251" s="28" t="str">
        <f>'TRAD-Saisie données file act.'!$B$72</f>
        <v>Ensuite, pour chacun des schémas sélectionnés, précisez ensuite les proportions attendues</v>
      </c>
      <c r="AD251" s="835"/>
      <c r="AE251" s="835"/>
      <c r="AF251" s="835"/>
      <c r="AG251" s="835"/>
      <c r="AH251" s="835"/>
    </row>
    <row r="252" spans="3:34" s="9" customFormat="1" x14ac:dyDescent="0.2">
      <c r="D252" s="325" t="str">
        <f>'TRAD-Saisie données file act.'!$B$7</f>
        <v>Attention</v>
      </c>
      <c r="E252" s="3084" t="str">
        <f>'TRAD-Saisie données file act.'!$B$73</f>
        <v>Si vous changez le détail des schémas dans le tableau 1 tout en haut de cette feuille, vous devez actualiser la sélection des schémas dans ce tableau</v>
      </c>
      <c r="AD252" s="835"/>
      <c r="AE252" s="835"/>
      <c r="AF252" s="835"/>
      <c r="AG252" s="835"/>
      <c r="AH252" s="835"/>
    </row>
    <row r="253" spans="3:34" s="9" customFormat="1" ht="13.5" thickBot="1" x14ac:dyDescent="0.25">
      <c r="AD253" s="835"/>
      <c r="AE253" s="835"/>
      <c r="AF253" s="835"/>
      <c r="AG253" s="835"/>
      <c r="AH253" s="835"/>
    </row>
    <row r="254" spans="3:34" s="1617" customFormat="1" ht="13.5" thickBot="1" x14ac:dyDescent="0.25">
      <c r="D254" s="3008" t="str">
        <f>'TRAD-Saisie données file act.'!B15</f>
        <v>Schéma thérapeutique</v>
      </c>
      <c r="H254" s="3072" t="str">
        <f>'TRAD-Saisie données file act.'!$B$53</f>
        <v>Option 1</v>
      </c>
      <c r="I254" s="3073"/>
      <c r="J254" s="3074"/>
      <c r="K254" s="3072" t="str">
        <f>'TRAD-Saisie données file act.'!$B$54</f>
        <v>Option 2</v>
      </c>
      <c r="L254" s="3073"/>
      <c r="M254" s="3074"/>
      <c r="N254" s="3072" t="str">
        <f>'TRAD-Saisie données file act.'!$B$55</f>
        <v>Option 3</v>
      </c>
      <c r="O254" s="3073"/>
      <c r="P254" s="3074"/>
      <c r="AD254" s="1506"/>
      <c r="AE254" s="1506"/>
      <c r="AF254" s="1506"/>
      <c r="AG254" s="1506"/>
      <c r="AH254" s="1506"/>
    </row>
    <row r="255" spans="3:34" s="1617" customFormat="1" ht="77.25" thickBot="1" x14ac:dyDescent="0.25">
      <c r="D255" s="3009" t="str">
        <f>'TRAD-Saisie données file act.'!B30</f>
        <v>Premières lignes</v>
      </c>
      <c r="E255" s="3071" t="str">
        <f>'TRAD-Saisie données file act.'!$B$50</f>
        <v>Nombre total de patients en première ligne (actuel + initiation du mois)</v>
      </c>
      <c r="F255" s="1058" t="str">
        <f>'TRAD-Saisie données file act.'!$B$51</f>
        <v>Nombre de nouveaux patients attendus en 2ème ligne par mois</v>
      </c>
      <c r="H255" s="3075" t="str">
        <f>'TRAD-Saisie données file act.'!$B$15</f>
        <v>Schéma thérapeutique</v>
      </c>
      <c r="I255" s="3076" t="str">
        <f>'TRAD-Saisie données file act.'!$B$58</f>
        <v>Proportion %</v>
      </c>
      <c r="J255" s="3077" t="str">
        <f>'TRAD-Saisie données file act.'!$B$48</f>
        <v xml:space="preserve">Nombre de patients </v>
      </c>
      <c r="K255" s="3075" t="str">
        <f>'TRAD-Saisie données file act.'!$B$15</f>
        <v>Schéma thérapeutique</v>
      </c>
      <c r="L255" s="3076" t="str">
        <f>'TRAD-Saisie données file act.'!$B$58</f>
        <v>Proportion %</v>
      </c>
      <c r="M255" s="3077" t="str">
        <f>'TRAD-Saisie données file act.'!$B$48</f>
        <v xml:space="preserve">Nombre de patients </v>
      </c>
      <c r="N255" s="3075" t="str">
        <f>'TRAD-Saisie données file act.'!$B$15</f>
        <v>Schéma thérapeutique</v>
      </c>
      <c r="O255" s="3076" t="str">
        <f>'TRAD-Saisie données file act.'!$B$58</f>
        <v>Proportion %</v>
      </c>
      <c r="P255" s="3077" t="str">
        <f>'TRAD-Saisie données file act.'!$B$48</f>
        <v xml:space="preserve">Nombre de patients </v>
      </c>
      <c r="AD255" s="1506"/>
      <c r="AE255" s="1506"/>
      <c r="AF255" s="1506"/>
      <c r="AG255" s="1506"/>
      <c r="AH255" s="1506"/>
    </row>
    <row r="256" spans="3:34" s="1617" customFormat="1" ht="14.25" thickBot="1" x14ac:dyDescent="0.3">
      <c r="C256" s="3010"/>
      <c r="D256" s="3011" t="str">
        <f>D28</f>
        <v>TDF+FTC+EFV</v>
      </c>
      <c r="E256" s="3078">
        <f t="shared" ref="E256:E266" si="11">E118+F215</f>
        <v>0</v>
      </c>
      <c r="F256" s="3079">
        <f t="shared" ref="F256:F266" si="12">E256*$G$241</f>
        <v>0</v>
      </c>
      <c r="H256" s="3002"/>
      <c r="I256" s="3001"/>
      <c r="J256" s="3051">
        <f t="shared" ref="J256:J266" si="13">I256*$F256</f>
        <v>0</v>
      </c>
      <c r="K256" s="3002"/>
      <c r="L256" s="3001"/>
      <c r="M256" s="3051">
        <f t="shared" ref="M256:M266" si="14">L256*$F256</f>
        <v>0</v>
      </c>
      <c r="N256" s="3002"/>
      <c r="O256" s="3001"/>
      <c r="P256" s="3051">
        <f t="shared" ref="P256:P266" si="15">O256*$F256</f>
        <v>0</v>
      </c>
      <c r="AD256" s="1506"/>
      <c r="AE256" s="1506"/>
      <c r="AF256" s="1506"/>
      <c r="AG256" s="1506"/>
      <c r="AH256" s="1506"/>
    </row>
    <row r="257" spans="3:34" s="1617" customFormat="1" ht="14.25" thickBot="1" x14ac:dyDescent="0.3">
      <c r="C257" s="3010"/>
      <c r="D257" s="3012" t="str">
        <f t="shared" ref="D257:D266" si="16">D29</f>
        <v>ABC+3TC+ATV/r</v>
      </c>
      <c r="E257" s="3080">
        <f t="shared" si="11"/>
        <v>0</v>
      </c>
      <c r="F257" s="3081">
        <f t="shared" si="12"/>
        <v>0</v>
      </c>
      <c r="H257" s="3002"/>
      <c r="I257" s="3001"/>
      <c r="J257" s="3052">
        <f t="shared" si="13"/>
        <v>0</v>
      </c>
      <c r="K257" s="3002"/>
      <c r="L257" s="3001"/>
      <c r="M257" s="3052">
        <f t="shared" si="14"/>
        <v>0</v>
      </c>
      <c r="N257" s="3002"/>
      <c r="O257" s="3001"/>
      <c r="P257" s="3052">
        <f t="shared" si="15"/>
        <v>0</v>
      </c>
      <c r="AD257" s="1506"/>
      <c r="AE257" s="1506"/>
      <c r="AF257" s="1506"/>
      <c r="AG257" s="1506"/>
      <c r="AH257" s="1506"/>
    </row>
    <row r="258" spans="3:34" s="1617" customFormat="1" ht="14.25" thickBot="1" x14ac:dyDescent="0.3">
      <c r="C258" s="3010"/>
      <c r="D258" s="3013" t="str">
        <f t="shared" si="16"/>
        <v>TDF+FTC+ATV/r</v>
      </c>
      <c r="E258" s="3080">
        <f t="shared" si="11"/>
        <v>0</v>
      </c>
      <c r="F258" s="3081">
        <f t="shared" si="12"/>
        <v>0</v>
      </c>
      <c r="H258" s="3002"/>
      <c r="I258" s="3001"/>
      <c r="J258" s="3052">
        <f t="shared" si="13"/>
        <v>0</v>
      </c>
      <c r="K258" s="3002"/>
      <c r="L258" s="3001"/>
      <c r="M258" s="3052">
        <f t="shared" si="14"/>
        <v>0</v>
      </c>
      <c r="N258" s="3002"/>
      <c r="O258" s="3001"/>
      <c r="P258" s="3052">
        <f t="shared" si="15"/>
        <v>0</v>
      </c>
      <c r="AD258" s="1506"/>
      <c r="AE258" s="1506"/>
      <c r="AF258" s="1506"/>
      <c r="AG258" s="1506"/>
      <c r="AH258" s="1506"/>
    </row>
    <row r="259" spans="3:34" s="1617" customFormat="1" ht="14.25" thickBot="1" x14ac:dyDescent="0.3">
      <c r="C259" s="3010"/>
      <c r="D259" s="3012">
        <f t="shared" si="16"/>
        <v>0</v>
      </c>
      <c r="E259" s="3080">
        <f t="shared" si="11"/>
        <v>0</v>
      </c>
      <c r="F259" s="3081">
        <f t="shared" si="12"/>
        <v>0</v>
      </c>
      <c r="H259" s="3002"/>
      <c r="I259" s="3001"/>
      <c r="J259" s="3052">
        <f t="shared" si="13"/>
        <v>0</v>
      </c>
      <c r="K259" s="3002"/>
      <c r="L259" s="3001"/>
      <c r="M259" s="3052">
        <f t="shared" si="14"/>
        <v>0</v>
      </c>
      <c r="N259" s="3002"/>
      <c r="O259" s="3001"/>
      <c r="P259" s="3052">
        <f t="shared" si="15"/>
        <v>0</v>
      </c>
      <c r="AD259" s="1506"/>
      <c r="AE259" s="1506"/>
      <c r="AF259" s="1506"/>
      <c r="AG259" s="1506"/>
      <c r="AH259" s="1506"/>
    </row>
    <row r="260" spans="3:34" s="1617" customFormat="1" ht="14.25" thickBot="1" x14ac:dyDescent="0.3">
      <c r="C260" s="3010"/>
      <c r="D260" s="3012">
        <f t="shared" si="16"/>
        <v>0</v>
      </c>
      <c r="E260" s="3080">
        <f t="shared" si="11"/>
        <v>0</v>
      </c>
      <c r="F260" s="3081">
        <f t="shared" si="12"/>
        <v>0</v>
      </c>
      <c r="H260" s="3002"/>
      <c r="I260" s="3001"/>
      <c r="J260" s="3052">
        <f t="shared" si="13"/>
        <v>0</v>
      </c>
      <c r="K260" s="3002"/>
      <c r="L260" s="3001"/>
      <c r="M260" s="3052">
        <f t="shared" si="14"/>
        <v>0</v>
      </c>
      <c r="N260" s="3002"/>
      <c r="O260" s="3001"/>
      <c r="P260" s="3052">
        <f t="shared" si="15"/>
        <v>0</v>
      </c>
      <c r="AD260" s="1506"/>
      <c r="AE260" s="1506"/>
      <c r="AF260" s="1506"/>
      <c r="AG260" s="1506"/>
      <c r="AH260" s="1506"/>
    </row>
    <row r="261" spans="3:34" s="1617" customFormat="1" ht="14.25" thickBot="1" x14ac:dyDescent="0.3">
      <c r="C261" s="3010"/>
      <c r="D261" s="3013">
        <f t="shared" si="16"/>
        <v>0</v>
      </c>
      <c r="E261" s="3080">
        <f t="shared" si="11"/>
        <v>0</v>
      </c>
      <c r="F261" s="3081">
        <f t="shared" si="12"/>
        <v>0</v>
      </c>
      <c r="H261" s="3002"/>
      <c r="I261" s="3001"/>
      <c r="J261" s="3052">
        <f t="shared" si="13"/>
        <v>0</v>
      </c>
      <c r="K261" s="3002"/>
      <c r="L261" s="3001"/>
      <c r="M261" s="3052">
        <f t="shared" si="14"/>
        <v>0</v>
      </c>
      <c r="N261" s="3002"/>
      <c r="O261" s="3001"/>
      <c r="P261" s="3052">
        <f t="shared" si="15"/>
        <v>0</v>
      </c>
      <c r="AD261" s="1506"/>
      <c r="AE261" s="1506"/>
      <c r="AF261" s="1506"/>
      <c r="AG261" s="1506"/>
      <c r="AH261" s="1506"/>
    </row>
    <row r="262" spans="3:34" s="1617" customFormat="1" ht="14.25" thickBot="1" x14ac:dyDescent="0.3">
      <c r="C262" s="3010"/>
      <c r="D262" s="3012">
        <f t="shared" si="16"/>
        <v>0</v>
      </c>
      <c r="E262" s="3080">
        <f t="shared" si="11"/>
        <v>0</v>
      </c>
      <c r="F262" s="3081">
        <f t="shared" si="12"/>
        <v>0</v>
      </c>
      <c r="H262" s="3002"/>
      <c r="I262" s="3001"/>
      <c r="J262" s="3052">
        <f t="shared" si="13"/>
        <v>0</v>
      </c>
      <c r="K262" s="3002"/>
      <c r="L262" s="3001"/>
      <c r="M262" s="3052">
        <f t="shared" si="14"/>
        <v>0</v>
      </c>
      <c r="N262" s="3002"/>
      <c r="O262" s="3001"/>
      <c r="P262" s="3052">
        <f t="shared" si="15"/>
        <v>0</v>
      </c>
      <c r="AD262" s="1506"/>
      <c r="AE262" s="1506"/>
      <c r="AF262" s="1506"/>
      <c r="AG262" s="1506"/>
      <c r="AH262" s="1506"/>
    </row>
    <row r="263" spans="3:34" s="1617" customFormat="1" ht="14.25" thickBot="1" x14ac:dyDescent="0.3">
      <c r="C263" s="3010"/>
      <c r="D263" s="3012">
        <f t="shared" si="16"/>
        <v>0</v>
      </c>
      <c r="E263" s="3080">
        <f t="shared" si="11"/>
        <v>0</v>
      </c>
      <c r="F263" s="3081">
        <f t="shared" si="12"/>
        <v>0</v>
      </c>
      <c r="H263" s="3002"/>
      <c r="I263" s="3001"/>
      <c r="J263" s="3052">
        <f t="shared" si="13"/>
        <v>0</v>
      </c>
      <c r="K263" s="3002"/>
      <c r="L263" s="3001"/>
      <c r="M263" s="3052">
        <f t="shared" si="14"/>
        <v>0</v>
      </c>
      <c r="N263" s="3002"/>
      <c r="O263" s="3001"/>
      <c r="P263" s="3052">
        <f t="shared" si="15"/>
        <v>0</v>
      </c>
      <c r="AD263" s="1506"/>
      <c r="AE263" s="1506"/>
      <c r="AF263" s="1506"/>
      <c r="AG263" s="1506"/>
      <c r="AH263" s="1506"/>
    </row>
    <row r="264" spans="3:34" s="1617" customFormat="1" ht="14.25" thickBot="1" x14ac:dyDescent="0.3">
      <c r="C264" s="3010"/>
      <c r="D264" s="3013">
        <f t="shared" si="16"/>
        <v>0</v>
      </c>
      <c r="E264" s="3080">
        <f t="shared" si="11"/>
        <v>0</v>
      </c>
      <c r="F264" s="3081">
        <f t="shared" si="12"/>
        <v>0</v>
      </c>
      <c r="H264" s="3002"/>
      <c r="I264" s="3001"/>
      <c r="J264" s="3052">
        <f t="shared" si="13"/>
        <v>0</v>
      </c>
      <c r="K264" s="3002"/>
      <c r="L264" s="3001"/>
      <c r="M264" s="3052">
        <f t="shared" si="14"/>
        <v>0</v>
      </c>
      <c r="N264" s="3002"/>
      <c r="O264" s="3001"/>
      <c r="P264" s="3052">
        <f t="shared" si="15"/>
        <v>0</v>
      </c>
      <c r="AD264" s="1506"/>
      <c r="AE264" s="1506"/>
      <c r="AF264" s="1506"/>
      <c r="AG264" s="1506"/>
      <c r="AH264" s="1506"/>
    </row>
    <row r="265" spans="3:34" s="1617" customFormat="1" ht="14.25" thickBot="1" x14ac:dyDescent="0.3">
      <c r="C265" s="3010"/>
      <c r="D265" s="3012">
        <f t="shared" si="16"/>
        <v>0</v>
      </c>
      <c r="E265" s="3080">
        <f t="shared" si="11"/>
        <v>0</v>
      </c>
      <c r="F265" s="3081">
        <f t="shared" si="12"/>
        <v>0</v>
      </c>
      <c r="H265" s="3002"/>
      <c r="I265" s="3001"/>
      <c r="J265" s="3052">
        <f t="shared" si="13"/>
        <v>0</v>
      </c>
      <c r="K265" s="3002"/>
      <c r="L265" s="3001"/>
      <c r="M265" s="3052">
        <f t="shared" si="14"/>
        <v>0</v>
      </c>
      <c r="N265" s="3002"/>
      <c r="O265" s="3001"/>
      <c r="P265" s="3052">
        <f t="shared" si="15"/>
        <v>0</v>
      </c>
      <c r="AD265" s="1506"/>
      <c r="AE265" s="1506"/>
      <c r="AF265" s="1506"/>
      <c r="AG265" s="1506"/>
      <c r="AH265" s="1506"/>
    </row>
    <row r="266" spans="3:34" s="1617" customFormat="1" ht="14.25" thickBot="1" x14ac:dyDescent="0.3">
      <c r="C266" s="3010"/>
      <c r="D266" s="3014">
        <f t="shared" si="16"/>
        <v>0</v>
      </c>
      <c r="E266" s="3082">
        <f t="shared" si="11"/>
        <v>0</v>
      </c>
      <c r="F266" s="3083">
        <f t="shared" si="12"/>
        <v>0</v>
      </c>
      <c r="H266" s="3003"/>
      <c r="I266" s="3004"/>
      <c r="J266" s="3070">
        <f t="shared" si="13"/>
        <v>0</v>
      </c>
      <c r="K266" s="3003"/>
      <c r="L266" s="3004"/>
      <c r="M266" s="3070">
        <f t="shared" si="14"/>
        <v>0</v>
      </c>
      <c r="N266" s="3003"/>
      <c r="O266" s="3004"/>
      <c r="P266" s="3070">
        <f t="shared" si="15"/>
        <v>0</v>
      </c>
      <c r="AD266" s="1506"/>
      <c r="AE266" s="1506"/>
      <c r="AF266" s="1506"/>
      <c r="AG266" s="1506"/>
      <c r="AH266" s="1506"/>
    </row>
    <row r="267" spans="3:34" s="9" customFormat="1" x14ac:dyDescent="0.2">
      <c r="AD267" s="835"/>
      <c r="AE267" s="835"/>
      <c r="AF267" s="835"/>
      <c r="AG267" s="835"/>
      <c r="AH267" s="835"/>
    </row>
    <row r="268" spans="3:34" s="9" customFormat="1" x14ac:dyDescent="0.2">
      <c r="AD268" s="835"/>
      <c r="AE268" s="835"/>
      <c r="AF268" s="835"/>
      <c r="AG268" s="835"/>
      <c r="AH268" s="835"/>
    </row>
    <row r="269" spans="3:34" s="9" customFormat="1" x14ac:dyDescent="0.2">
      <c r="AD269" s="835"/>
      <c r="AE269" s="835"/>
      <c r="AF269" s="835"/>
      <c r="AG269" s="835"/>
      <c r="AH269" s="835"/>
    </row>
    <row r="270" spans="3:34" s="1" customFormat="1" ht="51.75" thickBot="1" x14ac:dyDescent="0.3">
      <c r="C270" s="3"/>
      <c r="D270" s="45" t="str">
        <f>'TRAD-Saisie données file act.'!B15</f>
        <v>Schéma thérapeutique</v>
      </c>
      <c r="E270" s="58" t="str">
        <f>'TRAD-Saisie données file act.'!B61</f>
        <v>Nombre théorique de patients  attendus</v>
      </c>
      <c r="F270" s="2986" t="str">
        <f>'TRAD-Saisie données file act.'!$B$58</f>
        <v>Proportion %</v>
      </c>
      <c r="AD270" s="836"/>
      <c r="AE270" s="836"/>
      <c r="AF270" s="836"/>
      <c r="AG270" s="836"/>
      <c r="AH270" s="836"/>
    </row>
    <row r="271" spans="3:34" s="1" customFormat="1" ht="13.5" x14ac:dyDescent="0.25">
      <c r="C271" s="3"/>
      <c r="D271" s="2987" t="str">
        <f>'TRAD-Saisie données file act.'!B31</f>
        <v>Deuxièmes lignes</v>
      </c>
      <c r="E271" s="2988"/>
      <c r="F271" s="2989"/>
      <c r="AD271" s="836"/>
      <c r="AE271" s="836"/>
      <c r="AF271" s="836"/>
      <c r="AG271" s="836"/>
      <c r="AH271" s="836"/>
    </row>
    <row r="272" spans="3:34" s="1" customFormat="1" ht="13.5" x14ac:dyDescent="0.25">
      <c r="C272" s="3"/>
      <c r="D272" s="2993" t="str">
        <f>D40</f>
        <v>ABC+3TC+AZT+ATV/r</v>
      </c>
      <c r="E272" s="2994">
        <f t="shared" ref="E272:E281" si="17">SUMIF(H$256:H$266, D272, J$256:J$266)+SUMIF(K$256:K$266, D272, M$256:M$266)+SUMIF(N$256:N$266, D272, P$256:P$266)</f>
        <v>0</v>
      </c>
      <c r="F272" s="3005" t="e">
        <f t="shared" ref="F272:F281" si="18">E272/$E$331</f>
        <v>#DIV/0!</v>
      </c>
      <c r="AD272" s="836"/>
      <c r="AE272" s="836"/>
      <c r="AF272" s="836"/>
      <c r="AG272" s="836"/>
      <c r="AH272" s="836"/>
    </row>
    <row r="273" spans="1:34" s="1" customFormat="1" ht="13.5" x14ac:dyDescent="0.25">
      <c r="C273" s="3"/>
      <c r="D273" s="2995" t="str">
        <f t="shared" ref="D273:D281" si="19">D41</f>
        <v>ABC+3TC+AZT+LPV/r</v>
      </c>
      <c r="E273" s="2996">
        <f t="shared" si="17"/>
        <v>0</v>
      </c>
      <c r="F273" s="3006" t="e">
        <f t="shared" si="18"/>
        <v>#DIV/0!</v>
      </c>
      <c r="AD273" s="836"/>
      <c r="AE273" s="836"/>
      <c r="AF273" s="836"/>
      <c r="AG273" s="836"/>
      <c r="AH273" s="836"/>
    </row>
    <row r="274" spans="1:34" s="1" customFormat="1" ht="13.5" x14ac:dyDescent="0.25">
      <c r="C274" s="3"/>
      <c r="D274" s="2995" t="str">
        <f t="shared" si="19"/>
        <v>TDF+FTC+AZT+ATV/r</v>
      </c>
      <c r="E274" s="2997">
        <f t="shared" si="17"/>
        <v>0</v>
      </c>
      <c r="F274" s="3006" t="e">
        <f t="shared" si="18"/>
        <v>#DIV/0!</v>
      </c>
      <c r="AD274" s="836"/>
      <c r="AE274" s="836"/>
      <c r="AF274" s="836"/>
      <c r="AG274" s="836"/>
      <c r="AH274" s="836"/>
    </row>
    <row r="275" spans="1:34" s="1" customFormat="1" ht="13.5" x14ac:dyDescent="0.25">
      <c r="C275" s="3"/>
      <c r="D275" s="2995">
        <f t="shared" si="19"/>
        <v>0</v>
      </c>
      <c r="E275" s="2996">
        <f t="shared" si="17"/>
        <v>0</v>
      </c>
      <c r="F275" s="3006" t="e">
        <f t="shared" si="18"/>
        <v>#DIV/0!</v>
      </c>
      <c r="AD275" s="836"/>
      <c r="AE275" s="836"/>
      <c r="AF275" s="836"/>
      <c r="AG275" s="836"/>
      <c r="AH275" s="836"/>
    </row>
    <row r="276" spans="1:34" s="1" customFormat="1" ht="13.5" x14ac:dyDescent="0.25">
      <c r="C276" s="3"/>
      <c r="D276" s="2998">
        <f t="shared" si="19"/>
        <v>0</v>
      </c>
      <c r="E276" s="2997">
        <f t="shared" si="17"/>
        <v>0</v>
      </c>
      <c r="F276" s="3006" t="e">
        <f t="shared" si="18"/>
        <v>#DIV/0!</v>
      </c>
      <c r="AD276" s="836"/>
      <c r="AE276" s="836"/>
      <c r="AF276" s="836"/>
      <c r="AG276" s="836"/>
      <c r="AH276" s="836"/>
    </row>
    <row r="277" spans="1:34" s="1" customFormat="1" ht="13.5" x14ac:dyDescent="0.25">
      <c r="C277" s="3"/>
      <c r="D277" s="2995">
        <f t="shared" si="19"/>
        <v>0</v>
      </c>
      <c r="E277" s="2997">
        <f t="shared" si="17"/>
        <v>0</v>
      </c>
      <c r="F277" s="3006" t="e">
        <f t="shared" si="18"/>
        <v>#DIV/0!</v>
      </c>
      <c r="AD277" s="836"/>
      <c r="AE277" s="836"/>
      <c r="AF277" s="836"/>
      <c r="AG277" s="836"/>
      <c r="AH277" s="836"/>
    </row>
    <row r="278" spans="1:34" s="1" customFormat="1" ht="13.5" x14ac:dyDescent="0.25">
      <c r="C278" s="3"/>
      <c r="D278" s="2998">
        <f t="shared" si="19"/>
        <v>0</v>
      </c>
      <c r="E278" s="2997">
        <f t="shared" si="17"/>
        <v>0</v>
      </c>
      <c r="F278" s="3006" t="e">
        <f t="shared" si="18"/>
        <v>#DIV/0!</v>
      </c>
      <c r="AD278" s="836"/>
      <c r="AE278" s="836"/>
      <c r="AF278" s="836"/>
      <c r="AG278" s="836"/>
      <c r="AH278" s="836"/>
    </row>
    <row r="279" spans="1:34" s="1" customFormat="1" ht="13.5" x14ac:dyDescent="0.25">
      <c r="C279" s="3"/>
      <c r="D279" s="2995">
        <f t="shared" si="19"/>
        <v>0</v>
      </c>
      <c r="E279" s="2997">
        <f t="shared" si="17"/>
        <v>0</v>
      </c>
      <c r="F279" s="3006" t="e">
        <f t="shared" si="18"/>
        <v>#DIV/0!</v>
      </c>
      <c r="AD279" s="836"/>
      <c r="AE279" s="836"/>
      <c r="AF279" s="836"/>
      <c r="AG279" s="836"/>
      <c r="AH279" s="836"/>
    </row>
    <row r="280" spans="1:34" s="1" customFormat="1" ht="13.5" x14ac:dyDescent="0.25">
      <c r="C280" s="3"/>
      <c r="D280" s="2998">
        <f t="shared" si="19"/>
        <v>0</v>
      </c>
      <c r="E280" s="2997">
        <f t="shared" si="17"/>
        <v>0</v>
      </c>
      <c r="F280" s="3006" t="e">
        <f t="shared" si="18"/>
        <v>#DIV/0!</v>
      </c>
      <c r="AD280" s="836"/>
      <c r="AE280" s="836"/>
      <c r="AF280" s="836"/>
      <c r="AG280" s="836"/>
      <c r="AH280" s="836"/>
    </row>
    <row r="281" spans="1:34" s="1" customFormat="1" ht="13.5" x14ac:dyDescent="0.25">
      <c r="C281" s="3"/>
      <c r="D281" s="2999">
        <f t="shared" si="19"/>
        <v>0</v>
      </c>
      <c r="E281" s="3000">
        <f t="shared" si="17"/>
        <v>0</v>
      </c>
      <c r="F281" s="3007" t="e">
        <f t="shared" si="18"/>
        <v>#DIV/0!</v>
      </c>
      <c r="AD281" s="836"/>
      <c r="AE281" s="836"/>
      <c r="AF281" s="836"/>
      <c r="AG281" s="836"/>
      <c r="AH281" s="836"/>
    </row>
    <row r="282" spans="1:34" s="1" customFormat="1" ht="13.5" x14ac:dyDescent="0.25">
      <c r="C282" s="3"/>
      <c r="D282" s="2990" t="str">
        <f>'TRAD-Saisie données file act.'!B32</f>
        <v>Lignes alternatives</v>
      </c>
      <c r="E282" s="2992"/>
      <c r="F282" s="2991"/>
      <c r="AD282" s="836"/>
      <c r="AE282" s="836"/>
      <c r="AF282" s="836"/>
      <c r="AG282" s="836"/>
      <c r="AH282" s="836"/>
    </row>
    <row r="283" spans="1:34" s="1" customFormat="1" ht="14.25" thickBot="1" x14ac:dyDescent="0.3">
      <c r="A283" s="3087" t="s">
        <v>1964</v>
      </c>
      <c r="C283" s="3"/>
      <c r="D283" s="2993">
        <f t="shared" ref="D283:D330" si="20">D51</f>
        <v>0</v>
      </c>
      <c r="E283" s="2994">
        <f>E$245*F283</f>
        <v>0</v>
      </c>
      <c r="F283" s="3005"/>
      <c r="AD283" s="836"/>
      <c r="AE283" s="836"/>
      <c r="AF283" s="836"/>
      <c r="AG283" s="836"/>
      <c r="AH283" s="836"/>
    </row>
    <row r="284" spans="1:34" s="1" customFormat="1" ht="13.5" hidden="1" x14ac:dyDescent="0.25">
      <c r="C284" s="3"/>
      <c r="D284" s="2995">
        <f t="shared" si="20"/>
        <v>0</v>
      </c>
      <c r="E284" s="2996">
        <f>E$245*F284</f>
        <v>0</v>
      </c>
      <c r="F284" s="3006"/>
      <c r="AD284" s="836"/>
      <c r="AE284" s="836"/>
      <c r="AF284" s="836"/>
      <c r="AG284" s="836"/>
      <c r="AH284" s="836"/>
    </row>
    <row r="285" spans="1:34" s="1" customFormat="1" ht="13.5" hidden="1" x14ac:dyDescent="0.25">
      <c r="C285" s="3"/>
      <c r="D285" s="2995">
        <f t="shared" si="20"/>
        <v>0</v>
      </c>
      <c r="E285" s="2997">
        <f>E$245*F285</f>
        <v>0</v>
      </c>
      <c r="F285" s="3006"/>
      <c r="AD285" s="836"/>
      <c r="AE285" s="836"/>
      <c r="AF285" s="836"/>
      <c r="AG285" s="836"/>
      <c r="AH285" s="836"/>
    </row>
    <row r="286" spans="1:34" s="1" customFormat="1" ht="13.5" hidden="1" x14ac:dyDescent="0.25">
      <c r="C286" s="3"/>
      <c r="D286" s="2995">
        <f t="shared" si="20"/>
        <v>0</v>
      </c>
      <c r="E286" s="2997">
        <f>K$209*F286</f>
        <v>0</v>
      </c>
      <c r="F286" s="3006"/>
      <c r="AD286" s="836"/>
      <c r="AE286" s="836"/>
      <c r="AF286" s="836"/>
      <c r="AG286" s="836"/>
      <c r="AH286" s="836"/>
    </row>
    <row r="287" spans="1:34" s="1" customFormat="1" ht="13.5" hidden="1" x14ac:dyDescent="0.25">
      <c r="C287" s="3"/>
      <c r="D287" s="2995">
        <f t="shared" si="20"/>
        <v>0</v>
      </c>
      <c r="E287" s="2996">
        <f>K$209*F287</f>
        <v>0</v>
      </c>
      <c r="F287" s="3006"/>
      <c r="AD287" s="836"/>
      <c r="AE287" s="836"/>
      <c r="AF287" s="836"/>
      <c r="AG287" s="836"/>
      <c r="AH287" s="836"/>
    </row>
    <row r="288" spans="1:34" s="1" customFormat="1" ht="13.5" hidden="1" x14ac:dyDescent="0.25">
      <c r="C288" s="3"/>
      <c r="D288" s="2998">
        <f t="shared" si="20"/>
        <v>0</v>
      </c>
      <c r="E288" s="2997">
        <f t="shared" ref="E288:E330" si="21">E$245*F288</f>
        <v>0</v>
      </c>
      <c r="F288" s="3006"/>
      <c r="AD288" s="836"/>
      <c r="AE288" s="836"/>
      <c r="AF288" s="836"/>
      <c r="AG288" s="836"/>
      <c r="AH288" s="836"/>
    </row>
    <row r="289" spans="2:34" s="1" customFormat="1" ht="13.5" hidden="1" x14ac:dyDescent="0.25">
      <c r="C289" s="3"/>
      <c r="D289" s="2995">
        <f t="shared" si="20"/>
        <v>0</v>
      </c>
      <c r="E289" s="2997">
        <f t="shared" si="21"/>
        <v>0</v>
      </c>
      <c r="F289" s="3006"/>
      <c r="AD289" s="836"/>
      <c r="AE289" s="836"/>
      <c r="AF289" s="836"/>
      <c r="AG289" s="836"/>
      <c r="AH289" s="836"/>
    </row>
    <row r="290" spans="2:34" s="1" customFormat="1" ht="13.5" hidden="1" x14ac:dyDescent="0.25">
      <c r="C290" s="3"/>
      <c r="D290" s="2995">
        <f t="shared" si="20"/>
        <v>0</v>
      </c>
      <c r="E290" s="2996">
        <f t="shared" si="21"/>
        <v>0</v>
      </c>
      <c r="F290" s="3006"/>
      <c r="AD290" s="836"/>
      <c r="AE290" s="836"/>
      <c r="AF290" s="836"/>
      <c r="AG290" s="836"/>
      <c r="AH290" s="836"/>
    </row>
    <row r="291" spans="2:34" s="1" customFormat="1" ht="13.5" hidden="1" x14ac:dyDescent="0.25">
      <c r="C291" s="3"/>
      <c r="D291" s="2998">
        <f t="shared" si="20"/>
        <v>0</v>
      </c>
      <c r="E291" s="2997">
        <f t="shared" si="21"/>
        <v>0</v>
      </c>
      <c r="F291" s="3006"/>
      <c r="AD291" s="836"/>
      <c r="AE291" s="836"/>
      <c r="AF291" s="836"/>
      <c r="AG291" s="836"/>
      <c r="AH291" s="836"/>
    </row>
    <row r="292" spans="2:34" s="1" customFormat="1" ht="13.5" hidden="1" x14ac:dyDescent="0.25">
      <c r="C292" s="3"/>
      <c r="D292" s="2995">
        <f t="shared" si="20"/>
        <v>0</v>
      </c>
      <c r="E292" s="2997">
        <f t="shared" si="21"/>
        <v>0</v>
      </c>
      <c r="F292" s="3006"/>
      <c r="AD292" s="836"/>
      <c r="AE292" s="836"/>
      <c r="AF292" s="836"/>
      <c r="AG292" s="836"/>
      <c r="AH292" s="836"/>
    </row>
    <row r="293" spans="2:34" s="1" customFormat="1" ht="13.5" hidden="1" x14ac:dyDescent="0.25">
      <c r="B293" s="2"/>
      <c r="C293" s="3"/>
      <c r="D293" s="2995">
        <f t="shared" si="20"/>
        <v>0</v>
      </c>
      <c r="E293" s="2996">
        <f t="shared" si="21"/>
        <v>0</v>
      </c>
      <c r="F293" s="3006"/>
      <c r="AD293" s="836"/>
      <c r="AE293" s="836"/>
      <c r="AF293" s="836"/>
      <c r="AG293" s="836"/>
      <c r="AH293" s="836"/>
    </row>
    <row r="294" spans="2:34" s="1" customFormat="1" ht="13.5" hidden="1" x14ac:dyDescent="0.25">
      <c r="B294" s="2"/>
      <c r="C294" s="3"/>
      <c r="D294" s="2998">
        <f t="shared" si="20"/>
        <v>0</v>
      </c>
      <c r="E294" s="2997">
        <f t="shared" si="21"/>
        <v>0</v>
      </c>
      <c r="F294" s="3006"/>
      <c r="AD294" s="836"/>
      <c r="AE294" s="836"/>
      <c r="AF294" s="836"/>
      <c r="AG294" s="836"/>
      <c r="AH294" s="836"/>
    </row>
    <row r="295" spans="2:34" s="1" customFormat="1" ht="13.5" hidden="1" x14ac:dyDescent="0.25">
      <c r="B295" s="2"/>
      <c r="C295" s="3"/>
      <c r="D295" s="2995">
        <f t="shared" si="20"/>
        <v>0</v>
      </c>
      <c r="E295" s="2997">
        <f t="shared" si="21"/>
        <v>0</v>
      </c>
      <c r="F295" s="3006"/>
      <c r="AD295" s="836"/>
      <c r="AE295" s="836"/>
      <c r="AF295" s="836"/>
      <c r="AG295" s="836"/>
      <c r="AH295" s="836"/>
    </row>
    <row r="296" spans="2:34" s="1" customFormat="1" ht="13.5" hidden="1" x14ac:dyDescent="0.25">
      <c r="B296" s="2"/>
      <c r="C296" s="3"/>
      <c r="D296" s="2995">
        <f t="shared" si="20"/>
        <v>0</v>
      </c>
      <c r="E296" s="2996">
        <f t="shared" si="21"/>
        <v>0</v>
      </c>
      <c r="F296" s="3006"/>
      <c r="AD296" s="836"/>
      <c r="AE296" s="836"/>
      <c r="AF296" s="836"/>
      <c r="AG296" s="836"/>
      <c r="AH296" s="836"/>
    </row>
    <row r="297" spans="2:34" s="1" customFormat="1" ht="13.5" hidden="1" x14ac:dyDescent="0.25">
      <c r="C297" s="3"/>
      <c r="D297" s="2998">
        <f t="shared" si="20"/>
        <v>0</v>
      </c>
      <c r="E297" s="2997">
        <f t="shared" si="21"/>
        <v>0</v>
      </c>
      <c r="F297" s="3006"/>
      <c r="AD297" s="836"/>
      <c r="AE297" s="836"/>
      <c r="AF297" s="836"/>
      <c r="AG297" s="836"/>
      <c r="AH297" s="836"/>
    </row>
    <row r="298" spans="2:34" s="1" customFormat="1" ht="13.5" hidden="1" x14ac:dyDescent="0.25">
      <c r="C298" s="3"/>
      <c r="D298" s="2995">
        <f t="shared" si="20"/>
        <v>0</v>
      </c>
      <c r="E298" s="2997">
        <f t="shared" si="21"/>
        <v>0</v>
      </c>
      <c r="F298" s="3006"/>
      <c r="AD298" s="836"/>
      <c r="AE298" s="836"/>
      <c r="AF298" s="836"/>
      <c r="AG298" s="836"/>
      <c r="AH298" s="836"/>
    </row>
    <row r="299" spans="2:34" s="1" customFormat="1" ht="13.5" hidden="1" x14ac:dyDescent="0.25">
      <c r="B299" s="2"/>
      <c r="C299" s="3"/>
      <c r="D299" s="2995">
        <f t="shared" si="20"/>
        <v>0</v>
      </c>
      <c r="E299" s="2996">
        <f t="shared" si="21"/>
        <v>0</v>
      </c>
      <c r="F299" s="3006"/>
      <c r="AD299" s="836"/>
      <c r="AE299" s="836"/>
      <c r="AF299" s="836"/>
      <c r="AG299" s="836"/>
      <c r="AH299" s="836"/>
    </row>
    <row r="300" spans="2:34" s="1" customFormat="1" ht="13.5" hidden="1" x14ac:dyDescent="0.25">
      <c r="B300" s="2"/>
      <c r="C300" s="3"/>
      <c r="D300" s="2998">
        <f t="shared" si="20"/>
        <v>0</v>
      </c>
      <c r="E300" s="2997">
        <f t="shared" si="21"/>
        <v>0</v>
      </c>
      <c r="F300" s="3006"/>
      <c r="AD300" s="836"/>
      <c r="AE300" s="836"/>
      <c r="AF300" s="836"/>
      <c r="AG300" s="836"/>
      <c r="AH300" s="836"/>
    </row>
    <row r="301" spans="2:34" s="1" customFormat="1" ht="13.5" hidden="1" x14ac:dyDescent="0.25">
      <c r="B301" s="2"/>
      <c r="C301" s="3"/>
      <c r="D301" s="2995">
        <f t="shared" si="20"/>
        <v>0</v>
      </c>
      <c r="E301" s="2997">
        <f t="shared" si="21"/>
        <v>0</v>
      </c>
      <c r="F301" s="3006"/>
      <c r="AD301" s="836"/>
      <c r="AE301" s="836"/>
      <c r="AF301" s="836"/>
      <c r="AG301" s="836"/>
      <c r="AH301" s="836"/>
    </row>
    <row r="302" spans="2:34" s="1" customFormat="1" ht="13.5" hidden="1" x14ac:dyDescent="0.25">
      <c r="B302" s="2"/>
      <c r="C302" s="3"/>
      <c r="D302" s="2995">
        <f t="shared" si="20"/>
        <v>0</v>
      </c>
      <c r="E302" s="2996">
        <f t="shared" si="21"/>
        <v>0</v>
      </c>
      <c r="F302" s="3006"/>
      <c r="AD302" s="836"/>
      <c r="AE302" s="836"/>
      <c r="AF302" s="836"/>
      <c r="AG302" s="836"/>
      <c r="AH302" s="836"/>
    </row>
    <row r="303" spans="2:34" s="1" customFormat="1" ht="13.5" hidden="1" x14ac:dyDescent="0.25">
      <c r="B303" s="2"/>
      <c r="C303" s="3"/>
      <c r="D303" s="2998">
        <f t="shared" si="20"/>
        <v>0</v>
      </c>
      <c r="E303" s="2997">
        <f t="shared" si="21"/>
        <v>0</v>
      </c>
      <c r="F303" s="3006"/>
      <c r="AD303" s="836"/>
      <c r="AE303" s="836"/>
      <c r="AF303" s="836"/>
      <c r="AG303" s="836"/>
      <c r="AH303" s="836"/>
    </row>
    <row r="304" spans="2:34" s="1" customFormat="1" ht="13.5" hidden="1" x14ac:dyDescent="0.25">
      <c r="B304" s="2"/>
      <c r="C304" s="3"/>
      <c r="D304" s="2995">
        <f t="shared" si="20"/>
        <v>0</v>
      </c>
      <c r="E304" s="2997">
        <f t="shared" si="21"/>
        <v>0</v>
      </c>
      <c r="F304" s="3006"/>
      <c r="AD304" s="836"/>
      <c r="AE304" s="836"/>
      <c r="AF304" s="836"/>
      <c r="AG304" s="836"/>
      <c r="AH304" s="836"/>
    </row>
    <row r="305" spans="2:34" s="1" customFormat="1" ht="13.5" hidden="1" x14ac:dyDescent="0.25">
      <c r="B305" s="2"/>
      <c r="C305" s="3"/>
      <c r="D305" s="2995">
        <f t="shared" si="20"/>
        <v>0</v>
      </c>
      <c r="E305" s="2996">
        <f t="shared" si="21"/>
        <v>0</v>
      </c>
      <c r="F305" s="3006"/>
      <c r="AD305" s="836"/>
      <c r="AE305" s="836"/>
      <c r="AF305" s="836"/>
      <c r="AG305" s="836"/>
      <c r="AH305" s="836"/>
    </row>
    <row r="306" spans="2:34" s="1" customFormat="1" ht="13.5" hidden="1" x14ac:dyDescent="0.25">
      <c r="B306" s="2"/>
      <c r="C306" s="3"/>
      <c r="D306" s="2998">
        <f t="shared" si="20"/>
        <v>0</v>
      </c>
      <c r="E306" s="2997">
        <f t="shared" si="21"/>
        <v>0</v>
      </c>
      <c r="F306" s="3006"/>
      <c r="AD306" s="836"/>
      <c r="AE306" s="836"/>
      <c r="AF306" s="836"/>
      <c r="AG306" s="836"/>
      <c r="AH306" s="836"/>
    </row>
    <row r="307" spans="2:34" s="1" customFormat="1" ht="13.5" hidden="1" x14ac:dyDescent="0.25">
      <c r="B307" s="2"/>
      <c r="C307" s="3"/>
      <c r="D307" s="2995">
        <f t="shared" si="20"/>
        <v>0</v>
      </c>
      <c r="E307" s="2997">
        <f t="shared" si="21"/>
        <v>0</v>
      </c>
      <c r="F307" s="3006"/>
      <c r="AD307" s="836"/>
      <c r="AE307" s="836"/>
      <c r="AF307" s="836"/>
      <c r="AG307" s="836"/>
      <c r="AH307" s="836"/>
    </row>
    <row r="308" spans="2:34" s="1" customFormat="1" ht="13.5" hidden="1" x14ac:dyDescent="0.25">
      <c r="B308" s="2"/>
      <c r="C308" s="3"/>
      <c r="D308" s="2995">
        <f t="shared" si="20"/>
        <v>0</v>
      </c>
      <c r="E308" s="2996">
        <f t="shared" si="21"/>
        <v>0</v>
      </c>
      <c r="F308" s="3006"/>
      <c r="AD308" s="836"/>
      <c r="AE308" s="836"/>
      <c r="AF308" s="836"/>
      <c r="AG308" s="836"/>
      <c r="AH308" s="836"/>
    </row>
    <row r="309" spans="2:34" s="1" customFormat="1" ht="13.5" hidden="1" x14ac:dyDescent="0.25">
      <c r="B309" s="2"/>
      <c r="C309" s="3"/>
      <c r="D309" s="2998">
        <f t="shared" si="20"/>
        <v>0</v>
      </c>
      <c r="E309" s="2997">
        <f t="shared" si="21"/>
        <v>0</v>
      </c>
      <c r="F309" s="3006"/>
      <c r="AD309" s="836"/>
      <c r="AE309" s="836"/>
      <c r="AF309" s="836"/>
      <c r="AG309" s="836"/>
      <c r="AH309" s="836"/>
    </row>
    <row r="310" spans="2:34" s="1" customFormat="1" ht="13.5" hidden="1" x14ac:dyDescent="0.25">
      <c r="B310" s="2"/>
      <c r="C310" s="3"/>
      <c r="D310" s="2995">
        <f t="shared" si="20"/>
        <v>0</v>
      </c>
      <c r="E310" s="2997">
        <f t="shared" si="21"/>
        <v>0</v>
      </c>
      <c r="F310" s="3006"/>
      <c r="AD310" s="836"/>
      <c r="AE310" s="836"/>
      <c r="AF310" s="836"/>
      <c r="AG310" s="836"/>
      <c r="AH310" s="836"/>
    </row>
    <row r="311" spans="2:34" s="1" customFormat="1" ht="13.5" hidden="1" x14ac:dyDescent="0.25">
      <c r="B311" s="2"/>
      <c r="C311" s="3"/>
      <c r="D311" s="2995">
        <f t="shared" si="20"/>
        <v>0</v>
      </c>
      <c r="E311" s="2996">
        <f t="shared" si="21"/>
        <v>0</v>
      </c>
      <c r="F311" s="3006"/>
      <c r="AD311" s="836"/>
      <c r="AE311" s="836"/>
      <c r="AF311" s="836"/>
      <c r="AG311" s="836"/>
      <c r="AH311" s="836"/>
    </row>
    <row r="312" spans="2:34" s="1" customFormat="1" ht="13.5" hidden="1" x14ac:dyDescent="0.25">
      <c r="B312" s="2"/>
      <c r="C312" s="3"/>
      <c r="D312" s="2998">
        <f t="shared" si="20"/>
        <v>0</v>
      </c>
      <c r="E312" s="2997">
        <f t="shared" si="21"/>
        <v>0</v>
      </c>
      <c r="F312" s="3006"/>
      <c r="AD312" s="836"/>
      <c r="AE312" s="836"/>
      <c r="AF312" s="836"/>
      <c r="AG312" s="836"/>
      <c r="AH312" s="836"/>
    </row>
    <row r="313" spans="2:34" s="1" customFormat="1" ht="13.5" hidden="1" x14ac:dyDescent="0.25">
      <c r="B313" s="2"/>
      <c r="C313" s="3"/>
      <c r="D313" s="2995">
        <f t="shared" si="20"/>
        <v>0</v>
      </c>
      <c r="E313" s="2997">
        <f t="shared" si="21"/>
        <v>0</v>
      </c>
      <c r="F313" s="3006"/>
      <c r="AD313" s="836"/>
      <c r="AE313" s="836"/>
      <c r="AF313" s="836"/>
      <c r="AG313" s="836"/>
      <c r="AH313" s="836"/>
    </row>
    <row r="314" spans="2:34" s="1" customFormat="1" ht="13.5" hidden="1" x14ac:dyDescent="0.25">
      <c r="B314" s="2"/>
      <c r="C314" s="3"/>
      <c r="D314" s="2995">
        <f t="shared" si="20"/>
        <v>0</v>
      </c>
      <c r="E314" s="2996">
        <f t="shared" si="21"/>
        <v>0</v>
      </c>
      <c r="F314" s="3006"/>
      <c r="AD314" s="836"/>
      <c r="AE314" s="836"/>
      <c r="AF314" s="836"/>
      <c r="AG314" s="836"/>
      <c r="AH314" s="836"/>
    </row>
    <row r="315" spans="2:34" s="1" customFormat="1" ht="13.5" hidden="1" x14ac:dyDescent="0.25">
      <c r="B315" s="2"/>
      <c r="C315" s="3"/>
      <c r="D315" s="2998">
        <f t="shared" si="20"/>
        <v>0</v>
      </c>
      <c r="E315" s="2997">
        <f t="shared" si="21"/>
        <v>0</v>
      </c>
      <c r="F315" s="3006"/>
      <c r="AD315" s="836"/>
      <c r="AE315" s="836"/>
      <c r="AF315" s="836"/>
      <c r="AG315" s="836"/>
      <c r="AH315" s="836"/>
    </row>
    <row r="316" spans="2:34" s="1" customFormat="1" ht="13.5" hidden="1" x14ac:dyDescent="0.25">
      <c r="B316" s="2"/>
      <c r="C316" s="3"/>
      <c r="D316" s="2995">
        <f t="shared" si="20"/>
        <v>0</v>
      </c>
      <c r="E316" s="2997">
        <f t="shared" si="21"/>
        <v>0</v>
      </c>
      <c r="F316" s="3006"/>
      <c r="AD316" s="836"/>
      <c r="AE316" s="836"/>
      <c r="AF316" s="836"/>
      <c r="AG316" s="836"/>
      <c r="AH316" s="836"/>
    </row>
    <row r="317" spans="2:34" s="1" customFormat="1" ht="13.5" hidden="1" x14ac:dyDescent="0.25">
      <c r="B317" s="2"/>
      <c r="C317" s="3"/>
      <c r="D317" s="2995">
        <f t="shared" si="20"/>
        <v>0</v>
      </c>
      <c r="E317" s="2996">
        <f t="shared" si="21"/>
        <v>0</v>
      </c>
      <c r="F317" s="3006"/>
      <c r="AD317" s="836"/>
      <c r="AE317" s="836"/>
      <c r="AF317" s="836"/>
      <c r="AG317" s="836"/>
      <c r="AH317" s="836"/>
    </row>
    <row r="318" spans="2:34" s="1" customFormat="1" ht="13.5" hidden="1" x14ac:dyDescent="0.25">
      <c r="B318" s="2"/>
      <c r="C318" s="3"/>
      <c r="D318" s="2998">
        <f t="shared" si="20"/>
        <v>0</v>
      </c>
      <c r="E318" s="2997">
        <f t="shared" si="21"/>
        <v>0</v>
      </c>
      <c r="F318" s="3006"/>
      <c r="AD318" s="836"/>
      <c r="AE318" s="836"/>
      <c r="AF318" s="836"/>
      <c r="AG318" s="836"/>
      <c r="AH318" s="836"/>
    </row>
    <row r="319" spans="2:34" s="1" customFormat="1" ht="13.5" hidden="1" x14ac:dyDescent="0.25">
      <c r="B319" s="2"/>
      <c r="C319" s="3"/>
      <c r="D319" s="2995">
        <f t="shared" si="20"/>
        <v>0</v>
      </c>
      <c r="E319" s="2997">
        <f t="shared" si="21"/>
        <v>0</v>
      </c>
      <c r="F319" s="3006"/>
      <c r="AD319" s="836"/>
      <c r="AE319" s="836"/>
      <c r="AF319" s="836"/>
      <c r="AG319" s="836"/>
      <c r="AH319" s="836"/>
    </row>
    <row r="320" spans="2:34" s="1" customFormat="1" ht="13.5" hidden="1" x14ac:dyDescent="0.25">
      <c r="B320" s="2"/>
      <c r="C320" s="3"/>
      <c r="D320" s="2995">
        <f t="shared" si="20"/>
        <v>0</v>
      </c>
      <c r="E320" s="2996">
        <f t="shared" si="21"/>
        <v>0</v>
      </c>
      <c r="F320" s="3006"/>
      <c r="AD320" s="836"/>
      <c r="AE320" s="836"/>
      <c r="AF320" s="836"/>
      <c r="AG320" s="836"/>
      <c r="AH320" s="836"/>
    </row>
    <row r="321" spans="2:34" s="1" customFormat="1" ht="13.5" hidden="1" x14ac:dyDescent="0.25">
      <c r="B321" s="2"/>
      <c r="C321" s="3"/>
      <c r="D321" s="2998">
        <f t="shared" si="20"/>
        <v>0</v>
      </c>
      <c r="E321" s="2997">
        <f t="shared" si="21"/>
        <v>0</v>
      </c>
      <c r="F321" s="3006"/>
      <c r="AD321" s="836"/>
      <c r="AE321" s="836"/>
      <c r="AF321" s="836"/>
      <c r="AG321" s="836"/>
      <c r="AH321" s="836"/>
    </row>
    <row r="322" spans="2:34" s="1" customFormat="1" ht="13.5" hidden="1" x14ac:dyDescent="0.25">
      <c r="B322" s="2"/>
      <c r="C322" s="3"/>
      <c r="D322" s="2995">
        <f t="shared" si="20"/>
        <v>0</v>
      </c>
      <c r="E322" s="2997">
        <f t="shared" si="21"/>
        <v>0</v>
      </c>
      <c r="F322" s="3006"/>
      <c r="AD322" s="836"/>
      <c r="AE322" s="836"/>
      <c r="AF322" s="836"/>
      <c r="AG322" s="836"/>
      <c r="AH322" s="836"/>
    </row>
    <row r="323" spans="2:34" s="1" customFormat="1" ht="13.5" hidden="1" x14ac:dyDescent="0.25">
      <c r="B323" s="2"/>
      <c r="C323" s="3"/>
      <c r="D323" s="2995">
        <f t="shared" si="20"/>
        <v>0</v>
      </c>
      <c r="E323" s="2996">
        <f t="shared" si="21"/>
        <v>0</v>
      </c>
      <c r="F323" s="3006"/>
      <c r="AD323" s="836"/>
      <c r="AE323" s="836"/>
      <c r="AF323" s="836"/>
      <c r="AG323" s="836"/>
      <c r="AH323" s="836"/>
    </row>
    <row r="324" spans="2:34" s="1" customFormat="1" ht="13.5" hidden="1" x14ac:dyDescent="0.25">
      <c r="B324" s="2"/>
      <c r="C324" s="3"/>
      <c r="D324" s="2998">
        <f t="shared" si="20"/>
        <v>0</v>
      </c>
      <c r="E324" s="2997">
        <f t="shared" si="21"/>
        <v>0</v>
      </c>
      <c r="F324" s="3006"/>
      <c r="AD324" s="836"/>
      <c r="AE324" s="836"/>
      <c r="AF324" s="836"/>
      <c r="AG324" s="836"/>
      <c r="AH324" s="836"/>
    </row>
    <row r="325" spans="2:34" s="1" customFormat="1" ht="13.5" hidden="1" x14ac:dyDescent="0.25">
      <c r="B325" s="2"/>
      <c r="C325" s="3"/>
      <c r="D325" s="2995">
        <f t="shared" si="20"/>
        <v>0</v>
      </c>
      <c r="E325" s="2997">
        <f t="shared" si="21"/>
        <v>0</v>
      </c>
      <c r="F325" s="3006"/>
      <c r="AD325" s="836"/>
      <c r="AE325" s="836"/>
      <c r="AF325" s="836"/>
      <c r="AG325" s="836"/>
      <c r="AH325" s="836"/>
    </row>
    <row r="326" spans="2:34" s="1" customFormat="1" ht="13.5" hidden="1" x14ac:dyDescent="0.25">
      <c r="B326" s="2"/>
      <c r="C326" s="3"/>
      <c r="D326" s="2995">
        <f t="shared" si="20"/>
        <v>0</v>
      </c>
      <c r="E326" s="2996">
        <f t="shared" si="21"/>
        <v>0</v>
      </c>
      <c r="F326" s="3006"/>
      <c r="AD326" s="836"/>
      <c r="AE326" s="836"/>
      <c r="AF326" s="836"/>
      <c r="AG326" s="836"/>
      <c r="AH326" s="836"/>
    </row>
    <row r="327" spans="2:34" s="1" customFormat="1" ht="13.5" hidden="1" x14ac:dyDescent="0.25">
      <c r="B327" s="2"/>
      <c r="C327" s="3"/>
      <c r="D327" s="2998">
        <f t="shared" si="20"/>
        <v>0</v>
      </c>
      <c r="E327" s="2997">
        <f t="shared" si="21"/>
        <v>0</v>
      </c>
      <c r="F327" s="3006"/>
      <c r="AD327" s="836"/>
      <c r="AE327" s="836"/>
      <c r="AF327" s="836"/>
      <c r="AG327" s="836"/>
      <c r="AH327" s="836"/>
    </row>
    <row r="328" spans="2:34" s="1" customFormat="1" ht="13.5" hidden="1" x14ac:dyDescent="0.25">
      <c r="B328" s="2"/>
      <c r="C328" s="3"/>
      <c r="D328" s="2995">
        <f t="shared" si="20"/>
        <v>0</v>
      </c>
      <c r="E328" s="2997">
        <f t="shared" si="21"/>
        <v>0</v>
      </c>
      <c r="F328" s="3006"/>
      <c r="AD328" s="836"/>
      <c r="AE328" s="836"/>
      <c r="AF328" s="836"/>
      <c r="AG328" s="836"/>
      <c r="AH328" s="836"/>
    </row>
    <row r="329" spans="2:34" s="1" customFormat="1" ht="13.5" hidden="1" x14ac:dyDescent="0.25">
      <c r="B329" s="2"/>
      <c r="C329" s="3"/>
      <c r="D329" s="2995">
        <f t="shared" si="20"/>
        <v>0</v>
      </c>
      <c r="E329" s="2996">
        <f t="shared" si="21"/>
        <v>0</v>
      </c>
      <c r="F329" s="3006"/>
      <c r="AD329" s="836"/>
      <c r="AE329" s="836"/>
      <c r="AF329" s="836"/>
      <c r="AG329" s="836"/>
      <c r="AH329" s="836"/>
    </row>
    <row r="330" spans="2:34" s="1" customFormat="1" ht="14.25" hidden="1" thickBot="1" x14ac:dyDescent="0.3">
      <c r="B330" s="2"/>
      <c r="C330" s="3"/>
      <c r="D330" s="2999">
        <f t="shared" si="20"/>
        <v>0</v>
      </c>
      <c r="E330" s="3000">
        <f t="shared" si="21"/>
        <v>0</v>
      </c>
      <c r="F330" s="3007"/>
      <c r="AD330" s="836"/>
      <c r="AE330" s="836"/>
      <c r="AF330" s="836"/>
      <c r="AG330" s="836"/>
      <c r="AH330" s="836"/>
    </row>
    <row r="331" spans="2:34" s="1" customFormat="1" ht="14.25" thickTop="1" x14ac:dyDescent="0.25">
      <c r="C331" s="3"/>
      <c r="D331" s="54" t="s">
        <v>5</v>
      </c>
      <c r="E331" s="832">
        <f>SUM(E272:E330)</f>
        <v>0</v>
      </c>
      <c r="F331" s="68" t="e">
        <f>SUM(F272:F330)</f>
        <v>#DIV/0!</v>
      </c>
      <c r="G331" s="44"/>
      <c r="AD331" s="836"/>
      <c r="AE331" s="836"/>
      <c r="AF331" s="836"/>
      <c r="AG331" s="836"/>
      <c r="AH331" s="836"/>
    </row>
    <row r="332" spans="2:34" s="9" customFormat="1" x14ac:dyDescent="0.2">
      <c r="F332" s="66"/>
      <c r="AD332" s="835"/>
      <c r="AE332" s="835"/>
      <c r="AF332" s="835"/>
      <c r="AG332" s="835"/>
      <c r="AH332" s="835"/>
    </row>
    <row r="333" spans="2:34" s="9" customFormat="1" ht="13.5" thickBot="1" x14ac:dyDescent="0.25">
      <c r="AD333" s="835"/>
      <c r="AE333" s="835"/>
      <c r="AF333" s="835"/>
      <c r="AG333" s="835"/>
      <c r="AH333" s="835"/>
    </row>
    <row r="334" spans="2:34" s="9" customFormat="1" ht="13.5" thickBot="1" x14ac:dyDescent="0.25">
      <c r="D334" s="55" t="str">
        <f>'TRAD-Saisie données file act.'!B74</f>
        <v>B.3. Passage en 3ème ligne</v>
      </c>
      <c r="E334" s="56"/>
      <c r="F334" s="56"/>
      <c r="G334" s="56"/>
      <c r="H334" s="56"/>
      <c r="I334" s="56"/>
      <c r="J334" s="57"/>
      <c r="AD334" s="835"/>
      <c r="AE334" s="835"/>
      <c r="AF334" s="835"/>
      <c r="AG334" s="835"/>
      <c r="AH334" s="835"/>
    </row>
    <row r="335" spans="2:34" s="9" customFormat="1" ht="13.5" thickBot="1" x14ac:dyDescent="0.25">
      <c r="AD335" s="835"/>
      <c r="AE335" s="835"/>
      <c r="AF335" s="835"/>
      <c r="AG335" s="835"/>
      <c r="AH335" s="835"/>
    </row>
    <row r="336" spans="2:34" s="9" customFormat="1" ht="13.5" thickBot="1" x14ac:dyDescent="0.25">
      <c r="D336" s="5" t="str">
        <f>'TRAD-Saisie données file act.'!B75</f>
        <v>Proportion de passage mensuel envisagé (/2ème ligne)</v>
      </c>
      <c r="H336" s="3029"/>
      <c r="AD336" s="835"/>
      <c r="AE336" s="835"/>
      <c r="AF336" s="835"/>
      <c r="AG336" s="835"/>
      <c r="AH336" s="835"/>
    </row>
    <row r="337" spans="3:34" customFormat="1" x14ac:dyDescent="0.2">
      <c r="AD337" s="836"/>
      <c r="AE337" s="836"/>
      <c r="AF337" s="836"/>
      <c r="AG337" s="836"/>
      <c r="AH337" s="836"/>
    </row>
    <row r="338" spans="3:34" customFormat="1" ht="12.75" customHeight="1" x14ac:dyDescent="0.2">
      <c r="D338" s="61" t="str">
        <f>'TRAD-Saisie données file act.'!B62</f>
        <v>Remarque</v>
      </c>
      <c r="E338" s="62" t="str">
        <f>'TRAD-Saisie données file act.'!B76</f>
        <v>On peut estimer que 3 % des patients passent de 2ème ligne en 3ème ligne / an. Cela fait donc un passage mensuel de 0,25%</v>
      </c>
      <c r="F338" s="62"/>
      <c r="G338" s="62"/>
      <c r="H338" s="62"/>
      <c r="I338" s="62"/>
      <c r="J338" s="62"/>
      <c r="K338" s="62"/>
      <c r="L338" s="62"/>
      <c r="M338" s="62"/>
      <c r="N338" s="62"/>
      <c r="O338" s="62"/>
      <c r="AD338" s="836"/>
      <c r="AE338" s="836"/>
      <c r="AF338" s="836"/>
      <c r="AG338" s="836"/>
      <c r="AH338" s="836"/>
    </row>
    <row r="339" spans="3:34" customFormat="1" ht="12.75" customHeight="1" x14ac:dyDescent="0.2">
      <c r="D339" s="61"/>
      <c r="E339" s="62" t="str">
        <f>'TRAD-Saisie données file act.'!B77</f>
        <v>Attention, étant donné qu'un même patient peut rentrer dans plusieurs cases, pour composer une trithérapie, le total doit être au moins de 300%</v>
      </c>
      <c r="F339" s="62"/>
      <c r="G339" s="62"/>
      <c r="H339" s="62"/>
      <c r="I339" s="62"/>
      <c r="J339" s="62"/>
      <c r="K339" s="62"/>
      <c r="L339" s="62"/>
      <c r="M339" s="62"/>
      <c r="N339" s="62"/>
      <c r="O339" s="62"/>
      <c r="AD339" s="836"/>
      <c r="AE339" s="836"/>
      <c r="AF339" s="836"/>
      <c r="AG339" s="836"/>
      <c r="AH339" s="836"/>
    </row>
    <row r="340" spans="3:34" customFormat="1" ht="12.75" customHeight="1" x14ac:dyDescent="0.2">
      <c r="D340" s="61"/>
      <c r="E340" s="62" t="str">
        <f>'TRAD-Saisie données file act.'!B78</f>
        <v>Pour simplifier la méthode, il n'a pas été prévu de pouvoir prendre en compte les combinaisons doubles (AZT¨+3TC, TDF+3TC, ABC+3TC)</v>
      </c>
      <c r="F340" s="62"/>
      <c r="G340" s="62"/>
      <c r="H340" s="62"/>
      <c r="I340" s="62"/>
      <c r="J340" s="62"/>
      <c r="K340" s="62"/>
      <c r="L340" s="62"/>
      <c r="M340" s="62"/>
      <c r="N340" s="62"/>
      <c r="O340" s="62"/>
      <c r="AD340" s="836"/>
      <c r="AE340" s="836"/>
      <c r="AF340" s="836"/>
      <c r="AG340" s="836"/>
      <c r="AH340" s="836"/>
    </row>
    <row r="341" spans="3:34" customFormat="1" ht="12.75" customHeight="1" thickBot="1" x14ac:dyDescent="0.25">
      <c r="D341" s="61"/>
      <c r="E341" s="62"/>
      <c r="F341" s="62"/>
      <c r="G341" s="62"/>
      <c r="H341" s="62"/>
      <c r="I341" s="62"/>
      <c r="J341" s="62"/>
      <c r="K341" s="62"/>
      <c r="L341" s="62"/>
      <c r="M341" s="62"/>
      <c r="N341" s="62"/>
      <c r="O341" s="62"/>
      <c r="AD341" s="836"/>
      <c r="AE341" s="836"/>
      <c r="AF341" s="836"/>
      <c r="AG341" s="836"/>
      <c r="AH341" s="836"/>
    </row>
    <row r="342" spans="3:34" customFormat="1" ht="12.75" customHeight="1" thickBot="1" x14ac:dyDescent="0.25">
      <c r="D342" s="63" t="str">
        <f>'TRAD-Saisie données file act.'!B67</f>
        <v>Cela représente donc :</v>
      </c>
      <c r="E342" s="263">
        <f>H336*(SUM(E130:E139)+SUM(E272:E281))</f>
        <v>0</v>
      </c>
      <c r="F342" s="1027" t="str">
        <f>'TRAD-Saisie données file act.'!B173</f>
        <v>Patient / mois</v>
      </c>
      <c r="G342" s="62"/>
      <c r="H342" s="62"/>
      <c r="I342" s="62"/>
      <c r="J342" s="62"/>
      <c r="K342" s="62"/>
      <c r="L342" s="62"/>
      <c r="M342" s="62"/>
      <c r="N342" s="62"/>
      <c r="O342" s="62"/>
      <c r="AD342" s="836"/>
      <c r="AE342" s="836"/>
      <c r="AF342" s="836"/>
      <c r="AG342" s="836"/>
      <c r="AH342" s="836"/>
    </row>
    <row r="343" spans="3:34" s="9" customFormat="1" x14ac:dyDescent="0.2">
      <c r="AD343" s="835"/>
      <c r="AE343" s="835"/>
      <c r="AF343" s="835"/>
      <c r="AG343" s="835"/>
      <c r="AH343" s="835"/>
    </row>
    <row r="344" spans="3:34" s="1" customFormat="1" ht="39" thickBot="1" x14ac:dyDescent="0.3">
      <c r="C344" s="3"/>
      <c r="D344" s="45" t="str">
        <f>'TRAD-Saisie données file act.'!B15</f>
        <v>Schéma thérapeutique</v>
      </c>
      <c r="E344" s="645" t="str">
        <f>'TRAD-Saisie données file act.'!$B$58</f>
        <v>Proportion %</v>
      </c>
      <c r="F344" s="645" t="str">
        <f>'TRAD-Saisie données file act.'!B61</f>
        <v>Nombre théorique de patients  attendus</v>
      </c>
      <c r="AD344" s="836"/>
      <c r="AE344" s="836"/>
      <c r="AF344" s="836"/>
      <c r="AG344" s="836"/>
      <c r="AH344" s="836"/>
    </row>
    <row r="345" spans="3:34" s="1" customFormat="1" ht="14.25" thickBot="1" x14ac:dyDescent="0.3">
      <c r="C345" s="3"/>
      <c r="D345" s="3248" t="str">
        <f>'TRAD-Saisie données file act.'!B52</f>
        <v>Troisièmes lignes</v>
      </c>
      <c r="E345" s="3249"/>
      <c r="F345" s="3250"/>
      <c r="AD345" s="836"/>
      <c r="AE345" s="836"/>
      <c r="AF345" s="836"/>
      <c r="AG345" s="836"/>
      <c r="AH345" s="836"/>
    </row>
    <row r="346" spans="3:34" s="1" customFormat="1" ht="14.25" thickBot="1" x14ac:dyDescent="0.3">
      <c r="C346" s="3"/>
      <c r="D346" s="268" t="str">
        <f t="shared" ref="D346:D357" si="22">D100</f>
        <v>Patients recevant TDF</v>
      </c>
      <c r="E346" s="3023"/>
      <c r="F346" s="65">
        <f t="shared" ref="F346:F357" si="23">E$342*E346</f>
        <v>0</v>
      </c>
      <c r="AD346" s="836"/>
      <c r="AE346" s="836"/>
      <c r="AF346" s="836"/>
      <c r="AG346" s="836"/>
      <c r="AH346" s="836"/>
    </row>
    <row r="347" spans="3:34" s="1" customFormat="1" ht="14.25" thickBot="1" x14ac:dyDescent="0.3">
      <c r="C347" s="3"/>
      <c r="D347" s="268" t="str">
        <f t="shared" si="22"/>
        <v>Patients recevant AZT</v>
      </c>
      <c r="E347" s="3023"/>
      <c r="F347" s="65">
        <f t="shared" si="23"/>
        <v>0</v>
      </c>
      <c r="AD347" s="836"/>
      <c r="AE347" s="836"/>
      <c r="AF347" s="836"/>
      <c r="AG347" s="836"/>
      <c r="AH347" s="836"/>
    </row>
    <row r="348" spans="3:34" s="1" customFormat="1" ht="14.25" thickBot="1" x14ac:dyDescent="0.3">
      <c r="C348" s="3"/>
      <c r="D348" s="268" t="str">
        <f t="shared" si="22"/>
        <v>Patients recevant 3TC</v>
      </c>
      <c r="E348" s="3023"/>
      <c r="F348" s="65">
        <f t="shared" si="23"/>
        <v>0</v>
      </c>
      <c r="AD348" s="836"/>
      <c r="AE348" s="836"/>
      <c r="AF348" s="836"/>
      <c r="AG348" s="836"/>
      <c r="AH348" s="836"/>
    </row>
    <row r="349" spans="3:34" s="1" customFormat="1" ht="14.25" thickBot="1" x14ac:dyDescent="0.3">
      <c r="C349" s="3"/>
      <c r="D349" s="268" t="str">
        <f t="shared" si="22"/>
        <v>Patients recevant ABC</v>
      </c>
      <c r="E349" s="3023"/>
      <c r="F349" s="65">
        <f t="shared" si="23"/>
        <v>0</v>
      </c>
      <c r="AD349" s="836"/>
      <c r="AE349" s="836"/>
      <c r="AF349" s="836"/>
      <c r="AG349" s="836"/>
      <c r="AH349" s="836"/>
    </row>
    <row r="350" spans="3:34" s="1" customFormat="1" ht="14.25" thickBot="1" x14ac:dyDescent="0.3">
      <c r="C350" s="3"/>
      <c r="D350" s="268" t="str">
        <f t="shared" si="22"/>
        <v>Patients recevant DDI 250</v>
      </c>
      <c r="E350" s="3023"/>
      <c r="F350" s="65">
        <f t="shared" si="23"/>
        <v>0</v>
      </c>
      <c r="AD350" s="836"/>
      <c r="AE350" s="836"/>
      <c r="AF350" s="836"/>
      <c r="AG350" s="836"/>
      <c r="AH350" s="836"/>
    </row>
    <row r="351" spans="3:34" s="1" customFormat="1" ht="14.25" thickBot="1" x14ac:dyDescent="0.3">
      <c r="C351" s="3"/>
      <c r="D351" s="268" t="str">
        <f t="shared" si="22"/>
        <v>Patients recevant DDI 400</v>
      </c>
      <c r="E351" s="3023"/>
      <c r="F351" s="65">
        <f t="shared" si="23"/>
        <v>0</v>
      </c>
      <c r="AD351" s="836"/>
      <c r="AE351" s="836"/>
      <c r="AF351" s="836"/>
      <c r="AG351" s="836"/>
      <c r="AH351" s="836"/>
    </row>
    <row r="352" spans="3:34" s="1" customFormat="1" ht="14.25" thickBot="1" x14ac:dyDescent="0.3">
      <c r="C352" s="3"/>
      <c r="D352" s="268" t="str">
        <f t="shared" si="22"/>
        <v>Patients recevant ATV+RTV</v>
      </c>
      <c r="E352" s="3023"/>
      <c r="F352" s="65">
        <f t="shared" si="23"/>
        <v>0</v>
      </c>
      <c r="AD352" s="836"/>
      <c r="AE352" s="836"/>
      <c r="AF352" s="836"/>
      <c r="AG352" s="836"/>
      <c r="AH352" s="836"/>
    </row>
    <row r="353" spans="2:34" s="1" customFormat="1" ht="14.25" thickBot="1" x14ac:dyDescent="0.3">
      <c r="C353" s="3"/>
      <c r="D353" s="268" t="str">
        <f t="shared" si="22"/>
        <v>Patients recevant FPV+RTV</v>
      </c>
      <c r="E353" s="3023"/>
      <c r="F353" s="65">
        <f t="shared" si="23"/>
        <v>0</v>
      </c>
      <c r="AD353" s="836"/>
      <c r="AE353" s="836"/>
      <c r="AF353" s="836"/>
      <c r="AG353" s="836"/>
      <c r="AH353" s="836"/>
    </row>
    <row r="354" spans="2:34" s="1" customFormat="1" ht="14.25" thickBot="1" x14ac:dyDescent="0.3">
      <c r="C354" s="3"/>
      <c r="D354" s="268" t="str">
        <f t="shared" si="22"/>
        <v>Patients recevant DRV+RTV</v>
      </c>
      <c r="E354" s="3023"/>
      <c r="F354" s="65">
        <f t="shared" si="23"/>
        <v>0</v>
      </c>
      <c r="AD354" s="836"/>
      <c r="AE354" s="836"/>
      <c r="AF354" s="836"/>
      <c r="AG354" s="836"/>
      <c r="AH354" s="836"/>
    </row>
    <row r="355" spans="2:34" s="1" customFormat="1" ht="14.25" thickBot="1" x14ac:dyDescent="0.3">
      <c r="C355" s="3"/>
      <c r="D355" s="268" t="str">
        <f t="shared" si="22"/>
        <v>Patients recevant ETV</v>
      </c>
      <c r="E355" s="3023"/>
      <c r="F355" s="65">
        <f t="shared" si="23"/>
        <v>0</v>
      </c>
      <c r="AD355" s="836"/>
      <c r="AE355" s="836"/>
      <c r="AF355" s="836"/>
      <c r="AG355" s="836"/>
      <c r="AH355" s="836"/>
    </row>
    <row r="356" spans="2:34" s="1" customFormat="1" ht="14.25" thickBot="1" x14ac:dyDescent="0.3">
      <c r="C356" s="3"/>
      <c r="D356" s="268" t="str">
        <f t="shared" si="22"/>
        <v>Patients recevant RPV</v>
      </c>
      <c r="E356" s="3023"/>
      <c r="F356" s="65">
        <f t="shared" si="23"/>
        <v>0</v>
      </c>
      <c r="AD356" s="836"/>
      <c r="AE356" s="836"/>
      <c r="AF356" s="836"/>
      <c r="AG356" s="836"/>
      <c r="AH356" s="836"/>
    </row>
    <row r="357" spans="2:34" s="1" customFormat="1" ht="14.25" thickBot="1" x14ac:dyDescent="0.3">
      <c r="C357" s="3"/>
      <c r="D357" s="268" t="str">
        <f t="shared" si="22"/>
        <v>Patients recevant RLT</v>
      </c>
      <c r="E357" s="3023"/>
      <c r="F357" s="65">
        <f t="shared" si="23"/>
        <v>0</v>
      </c>
      <c r="AD357" s="836"/>
      <c r="AE357" s="836"/>
      <c r="AF357" s="836"/>
      <c r="AG357" s="836"/>
      <c r="AH357" s="836"/>
    </row>
    <row r="358" spans="2:34" s="1" customFormat="1" ht="14.25" thickTop="1" x14ac:dyDescent="0.25">
      <c r="C358" s="3"/>
      <c r="D358" s="54" t="s">
        <v>5</v>
      </c>
      <c r="E358" s="68">
        <f>SUM(E352:E357)</f>
        <v>0</v>
      </c>
      <c r="F358" s="832">
        <f>SUM(F352:F357)</f>
        <v>0</v>
      </c>
      <c r="G358" s="44"/>
      <c r="AD358" s="836"/>
      <c r="AE358" s="836"/>
      <c r="AF358" s="836"/>
      <c r="AG358" s="836"/>
      <c r="AH358" s="836"/>
    </row>
    <row r="360" spans="2:34" s="1713" customFormat="1" ht="19.5" thickBot="1" x14ac:dyDescent="0.35">
      <c r="B360" s="3212" t="str">
        <f>'TRAD-Saisie données file act.'!B79</f>
        <v>Etape 2 : Données de prise en charge des enfants</v>
      </c>
      <c r="C360" s="3212"/>
      <c r="D360" s="3212"/>
      <c r="E360" s="3212"/>
      <c r="F360" s="3212"/>
      <c r="G360" s="3212"/>
      <c r="H360" s="3212"/>
      <c r="I360" s="3212"/>
      <c r="J360" s="3212"/>
      <c r="K360" s="3212"/>
      <c r="L360" s="3212"/>
      <c r="M360" s="3212"/>
      <c r="N360" s="3212"/>
      <c r="O360" s="3212"/>
      <c r="AD360" s="1714"/>
      <c r="AE360" s="1714"/>
      <c r="AF360" s="1714"/>
      <c r="AG360" s="1714"/>
      <c r="AH360" s="1714"/>
    </row>
    <row r="362" spans="2:34" s="2523" customFormat="1" ht="15" x14ac:dyDescent="0.2">
      <c r="C362" s="2524" t="str">
        <f>'TRAD-Saisie données file act.'!B80</f>
        <v>Pour ne pas alourdir le document, la sélection des médicaments pédiatriques souhaités pour chaque schéma thérapeutique se trouve plus bas, à partir de la ligne 444</v>
      </c>
      <c r="D362" s="2524"/>
      <c r="E362" s="2524"/>
      <c r="F362" s="2524"/>
      <c r="G362" s="2524"/>
      <c r="H362" s="2524"/>
      <c r="I362" s="2524"/>
      <c r="J362" s="2524"/>
      <c r="K362" s="2524"/>
      <c r="L362" s="2524"/>
      <c r="M362" s="2524"/>
      <c r="N362" s="2524"/>
      <c r="O362" s="2524"/>
      <c r="AD362" s="2525"/>
      <c r="AE362" s="2525"/>
      <c r="AF362" s="2525"/>
      <c r="AG362" s="2525"/>
      <c r="AH362" s="2525"/>
    </row>
    <row r="363" spans="2:34" s="2522" customFormat="1" x14ac:dyDescent="0.2">
      <c r="AD363" s="837"/>
      <c r="AE363" s="837"/>
      <c r="AF363" s="837"/>
      <c r="AG363" s="837"/>
      <c r="AH363" s="837"/>
    </row>
    <row r="364" spans="2:34" s="9" customFormat="1" x14ac:dyDescent="0.2">
      <c r="AD364" s="835"/>
      <c r="AE364" s="835"/>
      <c r="AF364" s="835"/>
      <c r="AG364" s="835"/>
      <c r="AH364" s="835"/>
    </row>
    <row r="365" spans="2:34" ht="14.25" x14ac:dyDescent="0.2">
      <c r="C365" s="25" t="str">
        <f>'TRAD-Saisie données file act.'!B81</f>
        <v>B. Quelle est la répartition actuelle pour les enfants déjà pris en charge ?</v>
      </c>
      <c r="D365" s="25"/>
      <c r="E365" s="25"/>
      <c r="F365" s="25"/>
      <c r="G365" s="25"/>
      <c r="H365" s="25"/>
      <c r="I365" s="25"/>
      <c r="J365" s="25"/>
      <c r="K365" s="25"/>
      <c r="L365" s="25"/>
      <c r="M365" s="25"/>
      <c r="N365" s="25"/>
      <c r="O365" s="25"/>
    </row>
    <row r="366" spans="2:34" s="9" customFormat="1" ht="13.5" thickBot="1" x14ac:dyDescent="0.25">
      <c r="AD366" s="835"/>
      <c r="AE366" s="835"/>
      <c r="AF366" s="835"/>
      <c r="AG366" s="835"/>
      <c r="AH366" s="835"/>
    </row>
    <row r="367" spans="2:34" s="9" customFormat="1" ht="13.5" thickBot="1" x14ac:dyDescent="0.25">
      <c r="D367" s="55" t="str">
        <f>'TRAD-Saisie données file act.'!B82</f>
        <v>B.1. Répartition par schémas thérapeutiques</v>
      </c>
      <c r="E367" s="56"/>
      <c r="F367" s="56"/>
      <c r="G367" s="56"/>
      <c r="H367" s="56"/>
      <c r="I367" s="56"/>
      <c r="J367" s="57"/>
      <c r="AD367" s="835"/>
      <c r="AE367" s="835"/>
      <c r="AF367" s="835"/>
      <c r="AG367" s="835"/>
      <c r="AH367" s="835"/>
    </row>
    <row r="368" spans="2:34" customFormat="1" x14ac:dyDescent="0.2">
      <c r="AD368" s="836"/>
      <c r="AE368" s="836"/>
      <c r="AF368" s="836"/>
      <c r="AG368" s="836"/>
      <c r="AH368" s="836"/>
    </row>
    <row r="369" spans="4:34" s="9" customFormat="1" ht="51.75" thickBot="1" x14ac:dyDescent="0.25">
      <c r="D369" s="45" t="str">
        <f>'TRAD-Saisie données file act.'!B15</f>
        <v>Schéma thérapeutique</v>
      </c>
      <c r="E369" s="1023" t="str">
        <f>'TRAD-Saisie données file act.'!B83</f>
        <v>Nb d'enfants au début de la période quantifiée</v>
      </c>
      <c r="F369" s="2986" t="str">
        <f>'TRAD-Saisie données file act.'!$B$58</f>
        <v>Proportion %</v>
      </c>
      <c r="AD369" s="835"/>
      <c r="AE369" s="835"/>
      <c r="AF369" s="835"/>
      <c r="AG369" s="835"/>
      <c r="AH369" s="835"/>
    </row>
    <row r="370" spans="4:34" s="9" customFormat="1" ht="13.5" thickBot="1" x14ac:dyDescent="0.25">
      <c r="D370" s="3230" t="str">
        <f>'TRAD-Saisie données file act.'!B30</f>
        <v>Premières lignes</v>
      </c>
      <c r="E370" s="3231"/>
      <c r="F370" s="3232"/>
      <c r="AD370" s="835"/>
      <c r="AE370" s="835"/>
      <c r="AF370" s="835"/>
      <c r="AG370" s="835"/>
      <c r="AH370" s="835"/>
    </row>
    <row r="371" spans="4:34" s="9" customFormat="1" ht="13.5" thickBot="1" x14ac:dyDescent="0.25">
      <c r="D371" s="3015" t="s">
        <v>470</v>
      </c>
      <c r="E371" s="3030"/>
      <c r="F371" s="1052" t="e">
        <f t="shared" ref="F371:F376" si="24">E371/E$393</f>
        <v>#DIV/0!</v>
      </c>
      <c r="AD371" s="835"/>
      <c r="AE371" s="835"/>
      <c r="AF371" s="835"/>
      <c r="AG371" s="835"/>
      <c r="AH371" s="835"/>
    </row>
    <row r="372" spans="4:34" s="9" customFormat="1" ht="13.5" thickBot="1" x14ac:dyDescent="0.25">
      <c r="D372" s="3016" t="s">
        <v>1971</v>
      </c>
      <c r="E372" s="3030"/>
      <c r="F372" s="1052" t="e">
        <f t="shared" si="24"/>
        <v>#DIV/0!</v>
      </c>
      <c r="AD372" s="835"/>
      <c r="AE372" s="835"/>
      <c r="AF372" s="835"/>
      <c r="AG372" s="835"/>
      <c r="AH372" s="835"/>
    </row>
    <row r="373" spans="4:34" s="9" customFormat="1" ht="13.5" thickBot="1" x14ac:dyDescent="0.25">
      <c r="D373" s="3016" t="s">
        <v>1972</v>
      </c>
      <c r="E373" s="3030"/>
      <c r="F373" s="70" t="e">
        <f t="shared" si="24"/>
        <v>#DIV/0!</v>
      </c>
      <c r="AD373" s="835"/>
      <c r="AE373" s="835"/>
      <c r="AF373" s="835"/>
      <c r="AG373" s="835"/>
      <c r="AH373" s="835"/>
    </row>
    <row r="374" spans="4:34" s="9" customFormat="1" ht="13.5" thickBot="1" x14ac:dyDescent="0.25">
      <c r="D374" s="3016"/>
      <c r="E374" s="3031"/>
      <c r="F374" s="70" t="e">
        <f t="shared" si="24"/>
        <v>#DIV/0!</v>
      </c>
      <c r="AD374" s="835"/>
      <c r="AE374" s="835"/>
      <c r="AF374" s="835"/>
      <c r="AG374" s="835"/>
      <c r="AH374" s="835"/>
    </row>
    <row r="375" spans="4:34" s="9" customFormat="1" ht="13.5" thickBot="1" x14ac:dyDescent="0.25">
      <c r="D375" s="3016"/>
      <c r="E375" s="3031"/>
      <c r="F375" s="70" t="e">
        <f t="shared" si="24"/>
        <v>#DIV/0!</v>
      </c>
      <c r="AD375" s="835"/>
      <c r="AE375" s="835"/>
      <c r="AF375" s="835"/>
      <c r="AG375" s="835"/>
      <c r="AH375" s="835"/>
    </row>
    <row r="376" spans="4:34" s="9" customFormat="1" ht="13.5" thickBot="1" x14ac:dyDescent="0.25">
      <c r="D376" s="3017"/>
      <c r="E376" s="3032"/>
      <c r="F376" s="1053" t="e">
        <f t="shared" si="24"/>
        <v>#DIV/0!</v>
      </c>
      <c r="AD376" s="835"/>
      <c r="AE376" s="835"/>
      <c r="AF376" s="835"/>
      <c r="AG376" s="835"/>
      <c r="AH376" s="835"/>
    </row>
    <row r="377" spans="4:34" s="9" customFormat="1" ht="13.5" thickBot="1" x14ac:dyDescent="0.25">
      <c r="D377" s="3230" t="str">
        <f>'TRAD-Saisie données file act.'!B31</f>
        <v>Deuxièmes lignes</v>
      </c>
      <c r="E377" s="3231"/>
      <c r="F377" s="3232"/>
      <c r="AD377" s="835"/>
      <c r="AE377" s="835"/>
      <c r="AF377" s="835"/>
      <c r="AG377" s="835"/>
      <c r="AH377" s="835"/>
    </row>
    <row r="378" spans="4:34" s="9" customFormat="1" ht="13.5" thickBot="1" x14ac:dyDescent="0.25">
      <c r="D378" s="3015" t="s">
        <v>11</v>
      </c>
      <c r="E378" s="3030"/>
      <c r="F378" s="1052" t="e">
        <f>E378/E$393</f>
        <v>#DIV/0!</v>
      </c>
      <c r="AD378" s="835"/>
      <c r="AE378" s="835"/>
      <c r="AF378" s="835"/>
      <c r="AG378" s="835"/>
      <c r="AH378" s="835"/>
    </row>
    <row r="379" spans="4:34" s="9" customFormat="1" ht="13.5" thickBot="1" x14ac:dyDescent="0.25">
      <c r="D379" s="3016"/>
      <c r="E379" s="3031"/>
      <c r="F379" s="1052" t="e">
        <f>E379/E$393</f>
        <v>#DIV/0!</v>
      </c>
      <c r="AD379" s="835"/>
      <c r="AE379" s="835"/>
      <c r="AF379" s="835"/>
      <c r="AG379" s="835"/>
      <c r="AH379" s="835"/>
    </row>
    <row r="380" spans="4:34" s="9" customFormat="1" ht="13.5" thickBot="1" x14ac:dyDescent="0.25">
      <c r="D380" s="3016"/>
      <c r="E380" s="3031"/>
      <c r="F380" s="1052" t="e">
        <f>E380/E$393</f>
        <v>#DIV/0!</v>
      </c>
      <c r="AD380" s="835"/>
      <c r="AE380" s="835"/>
      <c r="AF380" s="835"/>
      <c r="AG380" s="835"/>
      <c r="AH380" s="835"/>
    </row>
    <row r="381" spans="4:34" s="9" customFormat="1" ht="13.5" thickBot="1" x14ac:dyDescent="0.25">
      <c r="D381" s="3016"/>
      <c r="E381" s="3031"/>
      <c r="F381" s="1052" t="e">
        <f>E381/E$393</f>
        <v>#DIV/0!</v>
      </c>
      <c r="AD381" s="835"/>
      <c r="AE381" s="835"/>
      <c r="AF381" s="835"/>
      <c r="AG381" s="835"/>
      <c r="AH381" s="835"/>
    </row>
    <row r="382" spans="4:34" s="9" customFormat="1" ht="13.5" thickBot="1" x14ac:dyDescent="0.25">
      <c r="D382" s="3016"/>
      <c r="E382" s="3031"/>
      <c r="F382" s="1052" t="e">
        <f>E382/E$393</f>
        <v>#DIV/0!</v>
      </c>
      <c r="AD382" s="835"/>
      <c r="AE382" s="835"/>
      <c r="AF382" s="835"/>
      <c r="AG382" s="835"/>
      <c r="AH382" s="835"/>
    </row>
    <row r="383" spans="4:34" s="9" customFormat="1" ht="13.5" thickBot="1" x14ac:dyDescent="0.25">
      <c r="D383" s="3230" t="str">
        <f>'TRAD-Saisie données file act.'!B32</f>
        <v>Lignes alternatives</v>
      </c>
      <c r="E383" s="3231"/>
      <c r="F383" s="3232"/>
      <c r="AD383" s="835"/>
      <c r="AE383" s="835"/>
      <c r="AF383" s="835"/>
      <c r="AG383" s="835"/>
      <c r="AH383" s="835"/>
    </row>
    <row r="384" spans="4:34" s="9" customFormat="1" ht="13.5" thickBot="1" x14ac:dyDescent="0.25">
      <c r="D384" s="3016"/>
      <c r="E384" s="3031"/>
      <c r="F384" s="1052" t="e">
        <f t="shared" ref="F384:F392" si="25">E384/E$393</f>
        <v>#DIV/0!</v>
      </c>
      <c r="AD384" s="835"/>
      <c r="AE384" s="835"/>
      <c r="AF384" s="835"/>
      <c r="AG384" s="835"/>
      <c r="AH384" s="835"/>
    </row>
    <row r="385" spans="2:34" s="9" customFormat="1" ht="13.5" thickBot="1" x14ac:dyDescent="0.25">
      <c r="D385" s="3016"/>
      <c r="E385" s="3031"/>
      <c r="F385" s="1052" t="e">
        <f t="shared" si="25"/>
        <v>#DIV/0!</v>
      </c>
      <c r="AD385" s="835"/>
      <c r="AE385" s="835"/>
      <c r="AF385" s="835"/>
      <c r="AG385" s="835"/>
      <c r="AH385" s="835"/>
    </row>
    <row r="386" spans="2:34" s="9" customFormat="1" ht="13.5" thickBot="1" x14ac:dyDescent="0.25">
      <c r="D386" s="3016"/>
      <c r="E386" s="3031"/>
      <c r="F386" s="1052" t="e">
        <f t="shared" si="25"/>
        <v>#DIV/0!</v>
      </c>
      <c r="AD386" s="835"/>
      <c r="AE386" s="835"/>
      <c r="AF386" s="835"/>
      <c r="AG386" s="835"/>
      <c r="AH386" s="835"/>
    </row>
    <row r="387" spans="2:34" s="9" customFormat="1" ht="13.5" thickBot="1" x14ac:dyDescent="0.25">
      <c r="D387" s="3016"/>
      <c r="E387" s="3031"/>
      <c r="F387" s="1052" t="e">
        <f t="shared" si="25"/>
        <v>#DIV/0!</v>
      </c>
      <c r="AD387" s="835"/>
      <c r="AE387" s="835"/>
      <c r="AF387" s="835"/>
      <c r="AG387" s="835"/>
      <c r="AH387" s="835"/>
    </row>
    <row r="388" spans="2:34" s="9" customFormat="1" ht="13.5" thickBot="1" x14ac:dyDescent="0.25">
      <c r="D388" s="3016"/>
      <c r="E388" s="3031"/>
      <c r="F388" s="1052" t="e">
        <f t="shared" si="25"/>
        <v>#DIV/0!</v>
      </c>
      <c r="AD388" s="835"/>
      <c r="AE388" s="835"/>
      <c r="AF388" s="835"/>
      <c r="AG388" s="835"/>
      <c r="AH388" s="835"/>
    </row>
    <row r="389" spans="2:34" s="9" customFormat="1" ht="13.5" thickBot="1" x14ac:dyDescent="0.25">
      <c r="D389" s="3016"/>
      <c r="E389" s="3031"/>
      <c r="F389" s="1052" t="e">
        <f t="shared" si="25"/>
        <v>#DIV/0!</v>
      </c>
      <c r="AD389" s="835"/>
      <c r="AE389" s="835"/>
      <c r="AF389" s="835"/>
      <c r="AG389" s="835"/>
      <c r="AH389" s="835"/>
    </row>
    <row r="390" spans="2:34" s="9" customFormat="1" ht="13.5" thickBot="1" x14ac:dyDescent="0.25">
      <c r="D390" s="3016"/>
      <c r="E390" s="3031"/>
      <c r="F390" s="1052" t="e">
        <f t="shared" si="25"/>
        <v>#DIV/0!</v>
      </c>
      <c r="AD390" s="835"/>
      <c r="AE390" s="835"/>
      <c r="AF390" s="835"/>
      <c r="AG390" s="835"/>
      <c r="AH390" s="835"/>
    </row>
    <row r="391" spans="2:34" s="9" customFormat="1" ht="13.5" thickBot="1" x14ac:dyDescent="0.25">
      <c r="D391" s="3016"/>
      <c r="E391" s="3031"/>
      <c r="F391" s="1052" t="e">
        <f t="shared" si="25"/>
        <v>#DIV/0!</v>
      </c>
      <c r="AD391" s="835"/>
      <c r="AE391" s="835"/>
      <c r="AF391" s="835"/>
      <c r="AG391" s="835"/>
      <c r="AH391" s="835"/>
    </row>
    <row r="392" spans="2:34" s="9" customFormat="1" ht="13.5" thickBot="1" x14ac:dyDescent="0.25">
      <c r="D392" s="3017"/>
      <c r="E392" s="3033"/>
      <c r="F392" s="72" t="e">
        <f t="shared" si="25"/>
        <v>#DIV/0!</v>
      </c>
      <c r="AD392" s="835"/>
      <c r="AE392" s="835"/>
      <c r="AF392" s="835"/>
      <c r="AG392" s="835"/>
      <c r="AH392" s="835"/>
    </row>
    <row r="393" spans="2:34" s="9" customFormat="1" x14ac:dyDescent="0.2">
      <c r="B393" s="5"/>
      <c r="D393" s="73" t="s">
        <v>5</v>
      </c>
      <c r="E393" s="1056">
        <f>SUM(E371:E392)</f>
        <v>0</v>
      </c>
      <c r="F393" s="1294" t="e">
        <f>SUM(F371:F392)</f>
        <v>#DIV/0!</v>
      </c>
      <c r="AD393" s="835"/>
      <c r="AE393" s="835"/>
      <c r="AF393" s="835"/>
      <c r="AG393" s="835"/>
      <c r="AH393" s="835"/>
    </row>
    <row r="394" spans="2:34" s="9" customFormat="1" x14ac:dyDescent="0.2">
      <c r="AD394" s="835"/>
      <c r="AE394" s="835"/>
      <c r="AF394" s="835"/>
      <c r="AG394" s="835"/>
      <c r="AH394" s="835"/>
    </row>
    <row r="395" spans="2:34" s="9" customFormat="1" ht="13.5" thickBot="1" x14ac:dyDescent="0.25">
      <c r="AD395" s="835"/>
      <c r="AE395" s="835"/>
      <c r="AF395" s="835"/>
      <c r="AG395" s="835"/>
      <c r="AH395" s="835"/>
    </row>
    <row r="396" spans="2:34" s="9" customFormat="1" ht="13.5" thickBot="1" x14ac:dyDescent="0.25">
      <c r="D396" s="55" t="str">
        <f>'TRAD-Saisie données file act.'!B84</f>
        <v>B.2. Répartition par tranches de poids</v>
      </c>
      <c r="E396" s="56"/>
      <c r="F396" s="56"/>
      <c r="G396" s="56"/>
      <c r="H396" s="56"/>
      <c r="I396" s="56"/>
      <c r="J396" s="57"/>
      <c r="AD396" s="835"/>
      <c r="AE396" s="835"/>
      <c r="AF396" s="835"/>
      <c r="AG396" s="835"/>
      <c r="AH396" s="835"/>
    </row>
    <row r="397" spans="2:34" s="9" customFormat="1" ht="13.5" thickBot="1" x14ac:dyDescent="0.25">
      <c r="D397" s="26"/>
      <c r="E397" s="22"/>
      <c r="AD397" s="835"/>
      <c r="AE397" s="835"/>
      <c r="AF397" s="835"/>
      <c r="AG397" s="835"/>
      <c r="AH397" s="835"/>
    </row>
    <row r="398" spans="2:34" s="9" customFormat="1" ht="13.5" thickBot="1" x14ac:dyDescent="0.25">
      <c r="D398" s="27" t="str">
        <f>'TRAD-Saisie données file act.'!B85</f>
        <v>Poids (kg)</v>
      </c>
      <c r="E398" s="126" t="s">
        <v>53</v>
      </c>
      <c r="F398" s="3035" t="s">
        <v>1942</v>
      </c>
      <c r="G398" s="126" t="s">
        <v>57</v>
      </c>
      <c r="H398" s="126" t="s">
        <v>59</v>
      </c>
      <c r="AD398" s="835"/>
      <c r="AE398" s="835"/>
      <c r="AF398" s="835"/>
      <c r="AG398" s="835"/>
      <c r="AH398" s="835"/>
    </row>
    <row r="399" spans="2:34" s="9" customFormat="1" ht="13.5" thickBot="1" x14ac:dyDescent="0.25">
      <c r="D399" s="27" t="str">
        <f>'TRAD-Saisie données file act.'!B86</f>
        <v>Pourcentage</v>
      </c>
      <c r="E399" s="3034"/>
      <c r="F399" s="3034"/>
      <c r="G399" s="3034"/>
      <c r="H399" s="3034"/>
      <c r="AD399" s="835"/>
      <c r="AE399" s="835"/>
      <c r="AF399" s="835"/>
      <c r="AG399" s="835"/>
      <c r="AH399" s="835"/>
    </row>
    <row r="400" spans="2:34" s="9" customFormat="1" x14ac:dyDescent="0.2">
      <c r="AD400" s="835"/>
      <c r="AE400" s="835"/>
      <c r="AF400" s="835"/>
      <c r="AG400" s="835"/>
      <c r="AH400" s="835"/>
    </row>
    <row r="401" spans="3:34" s="9" customFormat="1" x14ac:dyDescent="0.2">
      <c r="D401" s="20" t="str">
        <f>'TRAD-Saisie données file act.'!B62</f>
        <v>Remarque</v>
      </c>
      <c r="E401" s="22" t="str">
        <f>'TRAD-Saisie données file act.'!B87</f>
        <v>Cette répartition s'applique à l'ensemble des patients et non uniquement aux premières lignes ni aux inclusions</v>
      </c>
      <c r="AD401" s="835"/>
      <c r="AE401" s="835"/>
      <c r="AF401" s="835"/>
      <c r="AG401" s="835"/>
      <c r="AH401" s="835"/>
    </row>
    <row r="402" spans="3:34" s="9" customFormat="1" x14ac:dyDescent="0.2">
      <c r="D402" s="20"/>
      <c r="E402" s="22" t="str">
        <f>'TRAD-Saisie données file act.'!B88</f>
        <v>Elle peut dépasser 100% pour permettre la disponibilité de marges de sécurité pour chaque tranche de poids</v>
      </c>
      <c r="AD402" s="835"/>
      <c r="AE402" s="835"/>
      <c r="AF402" s="835"/>
      <c r="AG402" s="835"/>
      <c r="AH402" s="835"/>
    </row>
    <row r="403" spans="3:34" s="9" customFormat="1" x14ac:dyDescent="0.2">
      <c r="AD403" s="835"/>
      <c r="AE403" s="835"/>
      <c r="AF403" s="835"/>
      <c r="AG403" s="835"/>
      <c r="AH403" s="835"/>
    </row>
    <row r="404" spans="3:34" ht="14.25" x14ac:dyDescent="0.2">
      <c r="C404" s="25" t="str">
        <f>'TRAD-Saisie données file act.'!B89</f>
        <v>C. Quelles sont les évolutions attendues dans la prise en charge des enfants ?</v>
      </c>
      <c r="D404" s="25"/>
      <c r="E404" s="25"/>
      <c r="F404" s="25"/>
      <c r="G404" s="25"/>
      <c r="H404" s="25"/>
      <c r="I404" s="25"/>
      <c r="J404" s="25"/>
      <c r="K404" s="25"/>
      <c r="L404" s="25"/>
      <c r="M404" s="25"/>
      <c r="N404" s="25"/>
      <c r="O404" s="25"/>
    </row>
    <row r="405" spans="3:34" customFormat="1" ht="13.5" thickBot="1" x14ac:dyDescent="0.25">
      <c r="AD405" s="836"/>
      <c r="AE405" s="836"/>
      <c r="AF405" s="836"/>
      <c r="AG405" s="836"/>
      <c r="AH405" s="836"/>
    </row>
    <row r="406" spans="3:34" s="9" customFormat="1" ht="13.5" thickBot="1" x14ac:dyDescent="0.25">
      <c r="D406" s="55" t="str">
        <f>'TRAD-Saisie données file act.'!B90</f>
        <v>C.1. Inclusions</v>
      </c>
      <c r="E406" s="56"/>
      <c r="F406" s="56"/>
      <c r="G406" s="56"/>
      <c r="H406" s="56"/>
      <c r="I406" s="56"/>
      <c r="J406" s="57"/>
      <c r="AD406" s="835"/>
      <c r="AE406" s="835"/>
      <c r="AF406" s="835"/>
      <c r="AG406" s="835"/>
      <c r="AH406" s="835"/>
    </row>
    <row r="407" spans="3:34" customFormat="1" ht="13.5" thickBot="1" x14ac:dyDescent="0.25">
      <c r="AD407" s="836"/>
      <c r="AE407" s="836"/>
      <c r="AF407" s="836"/>
      <c r="AG407" s="836"/>
      <c r="AH407" s="836"/>
    </row>
    <row r="408" spans="3:34" customFormat="1" ht="13.5" thickBot="1" x14ac:dyDescent="0.25">
      <c r="D408" s="5" t="str">
        <f>'TRAD-Saisie données file act.'!B59</f>
        <v>Augmentation mensuelle du nombre de patients réellement suivi (= Nombre d'iniations mensuelles - attrition mensuelle) :</v>
      </c>
      <c r="E408" s="9"/>
      <c r="F408" s="9"/>
      <c r="G408" s="3026"/>
      <c r="AD408" s="836"/>
      <c r="AE408" s="836"/>
      <c r="AF408" s="836"/>
      <c r="AG408" s="836"/>
      <c r="AH408" s="836"/>
    </row>
    <row r="410" spans="3:34" x14ac:dyDescent="0.2">
      <c r="D410" s="5" t="str">
        <f>'TRAD-Saisie données file act.'!B91</f>
        <v>Préciser les hypothèses de répartition envisagées en % dans le tableau suivant</v>
      </c>
    </row>
    <row r="412" spans="3:34" s="9" customFormat="1" ht="26.25" thickBot="1" x14ac:dyDescent="0.25">
      <c r="D412" s="1295" t="str">
        <f>'TRAD-Saisie données file act.'!B15</f>
        <v>Schéma thérapeutique</v>
      </c>
      <c r="E412" s="1057" t="str">
        <f>'TRAD-Saisie données file act.'!$B$58</f>
        <v>Proportion %</v>
      </c>
      <c r="F412" s="1058" t="str">
        <f>'TRAD-Saisie données file act.'!B49</f>
        <v>Nombre de patients mensuel</v>
      </c>
      <c r="AC412" s="835"/>
      <c r="AD412" s="835"/>
      <c r="AE412" s="835"/>
      <c r="AF412" s="835"/>
      <c r="AG412" s="835"/>
    </row>
    <row r="413" spans="3:34" s="9" customFormat="1" ht="13.5" thickBot="1" x14ac:dyDescent="0.25">
      <c r="D413" s="3230" t="str">
        <f>'TRAD-Saisie données file act.'!B30</f>
        <v>Premières lignes</v>
      </c>
      <c r="E413" s="3231"/>
      <c r="F413" s="3232"/>
      <c r="AC413" s="835"/>
      <c r="AD413" s="835"/>
      <c r="AE413" s="835"/>
      <c r="AF413" s="835"/>
      <c r="AG413" s="835"/>
    </row>
    <row r="414" spans="3:34" s="9" customFormat="1" ht="13.5" thickBot="1" x14ac:dyDescent="0.25">
      <c r="D414" s="74" t="str">
        <f t="shared" ref="D414:D419" si="26">D371</f>
        <v>ABC+3TC+LPV/r</v>
      </c>
      <c r="E414" s="3036"/>
      <c r="F414" s="75">
        <f t="shared" ref="F414:F419" si="27">E414*G$408</f>
        <v>0</v>
      </c>
      <c r="AC414" s="835"/>
      <c r="AD414" s="835"/>
      <c r="AE414" s="835"/>
      <c r="AF414" s="835"/>
      <c r="AG414" s="835"/>
    </row>
    <row r="415" spans="3:34" s="9" customFormat="1" ht="13.5" thickBot="1" x14ac:dyDescent="0.25">
      <c r="D415" s="1051" t="str">
        <f t="shared" si="26"/>
        <v>ABC+3TC+EFV</v>
      </c>
      <c r="E415" s="3036"/>
      <c r="F415" s="77">
        <f t="shared" si="27"/>
        <v>0</v>
      </c>
      <c r="AC415" s="835"/>
      <c r="AD415" s="835"/>
      <c r="AE415" s="835"/>
      <c r="AF415" s="835"/>
      <c r="AG415" s="835"/>
    </row>
    <row r="416" spans="3:34" s="9" customFormat="1" ht="13.5" thickBot="1" x14ac:dyDescent="0.25">
      <c r="D416" s="76" t="str">
        <f t="shared" si="26"/>
        <v>ABC+3TC+AZT</v>
      </c>
      <c r="E416" s="3036"/>
      <c r="F416" s="77">
        <f t="shared" si="27"/>
        <v>0</v>
      </c>
      <c r="AC416" s="835"/>
      <c r="AD416" s="835"/>
      <c r="AE416" s="835"/>
      <c r="AF416" s="835"/>
      <c r="AG416" s="835"/>
    </row>
    <row r="417" spans="4:34" s="9" customFormat="1" ht="13.5" thickBot="1" x14ac:dyDescent="0.25">
      <c r="D417" s="76">
        <f t="shared" si="26"/>
        <v>0</v>
      </c>
      <c r="E417" s="3036"/>
      <c r="F417" s="77">
        <f t="shared" si="27"/>
        <v>0</v>
      </c>
      <c r="AC417" s="835"/>
      <c r="AD417" s="835"/>
      <c r="AE417" s="835"/>
      <c r="AF417" s="835"/>
      <c r="AG417" s="835"/>
    </row>
    <row r="418" spans="4:34" s="9" customFormat="1" ht="13.5" thickBot="1" x14ac:dyDescent="0.25">
      <c r="D418" s="78">
        <f t="shared" si="26"/>
        <v>0</v>
      </c>
      <c r="E418" s="3036"/>
      <c r="F418" s="77">
        <f t="shared" si="27"/>
        <v>0</v>
      </c>
      <c r="AC418" s="835"/>
      <c r="AD418" s="835"/>
      <c r="AE418" s="835"/>
      <c r="AF418" s="835"/>
      <c r="AG418" s="835"/>
    </row>
    <row r="419" spans="4:34" s="9" customFormat="1" ht="13.5" thickBot="1" x14ac:dyDescent="0.25">
      <c r="D419" s="1054">
        <f t="shared" si="26"/>
        <v>0</v>
      </c>
      <c r="E419" s="3037"/>
      <c r="F419" s="1055">
        <f t="shared" si="27"/>
        <v>0</v>
      </c>
      <c r="AC419" s="835"/>
      <c r="AD419" s="835"/>
      <c r="AE419" s="835"/>
      <c r="AF419" s="835"/>
      <c r="AG419" s="835"/>
    </row>
    <row r="420" spans="4:34" s="9" customFormat="1" ht="13.5" thickBot="1" x14ac:dyDescent="0.25">
      <c r="D420" s="3230" t="str">
        <f>'TRAD-Saisie données file act.'!B32</f>
        <v>Lignes alternatives</v>
      </c>
      <c r="E420" s="3231"/>
      <c r="F420" s="3232"/>
      <c r="AC420" s="835"/>
      <c r="AD420" s="835"/>
      <c r="AE420" s="835"/>
      <c r="AF420" s="835"/>
      <c r="AG420" s="835"/>
    </row>
    <row r="421" spans="4:34" s="9" customFormat="1" ht="13.5" thickBot="1" x14ac:dyDescent="0.25">
      <c r="D421" s="1051">
        <f>D384</f>
        <v>0</v>
      </c>
      <c r="E421" s="3040"/>
      <c r="F421" s="1060">
        <f>E421*G$408</f>
        <v>0</v>
      </c>
      <c r="AC421" s="835"/>
      <c r="AD421" s="835"/>
      <c r="AE421" s="835"/>
      <c r="AF421" s="835"/>
      <c r="AG421" s="835"/>
    </row>
    <row r="422" spans="4:34" s="9" customFormat="1" ht="13.5" thickBot="1" x14ac:dyDescent="0.25">
      <c r="D422" s="69">
        <f t="shared" ref="D422:D425" si="28">D385</f>
        <v>0</v>
      </c>
      <c r="E422" s="3040"/>
      <c r="F422" s="1060">
        <f t="shared" ref="F422:F424" si="29">E422*G$408</f>
        <v>0</v>
      </c>
      <c r="AC422" s="835"/>
      <c r="AD422" s="835"/>
      <c r="AE422" s="835"/>
      <c r="AF422" s="835"/>
      <c r="AG422" s="835"/>
    </row>
    <row r="423" spans="4:34" s="9" customFormat="1" ht="13.5" thickBot="1" x14ac:dyDescent="0.25">
      <c r="D423" s="1051">
        <f t="shared" si="28"/>
        <v>0</v>
      </c>
      <c r="E423" s="3040"/>
      <c r="F423" s="1060">
        <f t="shared" si="29"/>
        <v>0</v>
      </c>
      <c r="AC423" s="835"/>
      <c r="AD423" s="835"/>
      <c r="AE423" s="835"/>
      <c r="AF423" s="835"/>
      <c r="AG423" s="835"/>
    </row>
    <row r="424" spans="4:34" s="9" customFormat="1" ht="13.5" thickBot="1" x14ac:dyDescent="0.25">
      <c r="D424" s="1051">
        <f t="shared" si="28"/>
        <v>0</v>
      </c>
      <c r="E424" s="3040"/>
      <c r="F424" s="1060">
        <f t="shared" si="29"/>
        <v>0</v>
      </c>
      <c r="AC424" s="835"/>
      <c r="AD424" s="835"/>
      <c r="AE424" s="835"/>
      <c r="AF424" s="835"/>
      <c r="AG424" s="835"/>
    </row>
    <row r="425" spans="4:34" s="9" customFormat="1" ht="13.5" thickBot="1" x14ac:dyDescent="0.25">
      <c r="D425" s="79">
        <f t="shared" si="28"/>
        <v>0</v>
      </c>
      <c r="E425" s="3038"/>
      <c r="F425" s="80">
        <f>E425*G$408</f>
        <v>0</v>
      </c>
      <c r="AC425" s="835"/>
      <c r="AD425" s="835"/>
      <c r="AE425" s="835"/>
      <c r="AF425" s="835"/>
      <c r="AG425" s="835"/>
    </row>
    <row r="426" spans="4:34" s="9" customFormat="1" ht="13.5" thickTop="1" x14ac:dyDescent="0.2">
      <c r="D426" s="81" t="s">
        <v>5</v>
      </c>
      <c r="E426" s="1293">
        <f>SUM(E414:E425)</f>
        <v>0</v>
      </c>
      <c r="F426" s="83">
        <f>SUM(F414:F425)</f>
        <v>0</v>
      </c>
      <c r="AC426" s="835"/>
      <c r="AD426" s="835"/>
      <c r="AE426" s="835"/>
      <c r="AF426" s="835"/>
      <c r="AG426" s="835"/>
    </row>
    <row r="427" spans="4:34" s="9" customFormat="1" x14ac:dyDescent="0.2">
      <c r="E427" s="29"/>
      <c r="G427" s="28"/>
      <c r="AD427" s="835"/>
      <c r="AE427" s="835"/>
      <c r="AF427" s="835"/>
      <c r="AG427" s="835"/>
      <c r="AH427" s="835"/>
    </row>
    <row r="428" spans="4:34" s="9" customFormat="1" ht="25.5" customHeight="1" x14ac:dyDescent="0.2">
      <c r="D428" s="84" t="str">
        <f>'TRAD-Saisie données file act.'!B62</f>
        <v>Remarque</v>
      </c>
      <c r="E428" s="3233" t="str">
        <f>'TRAD-Saisie données file act.'!B63</f>
        <v>En cas d'incertitude sur la répartition attendue, il est possible de prendre des marges (X-Y %) et de ne considérer dans ce tableau que les marges hautes. Le total peut donc faire plus de 100%. Toutefois, le stock de sécurité doit être prévu pour permettre de tels imprevus</v>
      </c>
      <c r="F428" s="3233"/>
      <c r="G428" s="3233"/>
      <c r="H428" s="3233"/>
      <c r="I428" s="3233"/>
      <c r="J428" s="3233"/>
      <c r="K428" s="3233"/>
      <c r="L428" s="3233"/>
      <c r="M428" s="3233"/>
      <c r="N428" s="3233"/>
      <c r="O428" s="3233"/>
      <c r="AD428" s="835"/>
      <c r="AE428" s="835"/>
      <c r="AF428" s="835"/>
      <c r="AG428" s="835"/>
      <c r="AH428" s="835"/>
    </row>
    <row r="429" spans="4:34" s="9" customFormat="1" x14ac:dyDescent="0.2">
      <c r="D429" s="20"/>
      <c r="AD429" s="835"/>
      <c r="AE429" s="835"/>
      <c r="AF429" s="835"/>
      <c r="AG429" s="835"/>
      <c r="AH429" s="835"/>
    </row>
    <row r="430" spans="4:34" s="9" customFormat="1" ht="13.5" thickBot="1" x14ac:dyDescent="0.25">
      <c r="AD430" s="835"/>
      <c r="AE430" s="835"/>
      <c r="AF430" s="835"/>
      <c r="AG430" s="835"/>
      <c r="AH430" s="835"/>
    </row>
    <row r="431" spans="4:34" s="9" customFormat="1" ht="13.5" thickBot="1" x14ac:dyDescent="0.25">
      <c r="D431" s="55" t="str">
        <f>'TRAD-Saisie données file act.'!B94</f>
        <v>C.2. Passage en 2ème ligne</v>
      </c>
      <c r="E431" s="56"/>
      <c r="F431" s="56"/>
      <c r="G431" s="56"/>
      <c r="H431" s="56"/>
      <c r="I431" s="56"/>
      <c r="J431" s="57"/>
      <c r="AD431" s="835"/>
      <c r="AE431" s="835"/>
      <c r="AF431" s="835"/>
      <c r="AG431" s="835"/>
      <c r="AH431" s="835"/>
    </row>
    <row r="432" spans="4:34" customFormat="1" ht="13.5" thickBot="1" x14ac:dyDescent="0.25">
      <c r="AD432" s="836"/>
      <c r="AE432" s="836"/>
      <c r="AF432" s="836"/>
      <c r="AG432" s="836"/>
      <c r="AH432" s="836"/>
    </row>
    <row r="433" spans="4:34" s="9" customFormat="1" ht="13.5" thickBot="1" x14ac:dyDescent="0.25">
      <c r="D433" s="5" t="str">
        <f>'TRAD-Saisie données file act.'!B65</f>
        <v>Proportion de passage mensuel envisagé</v>
      </c>
      <c r="G433" s="3039"/>
      <c r="AD433" s="835"/>
      <c r="AE433" s="835"/>
      <c r="AF433" s="835"/>
      <c r="AG433" s="835"/>
      <c r="AH433" s="835"/>
    </row>
    <row r="434" spans="4:34" customFormat="1" x14ac:dyDescent="0.2">
      <c r="AD434" s="836"/>
      <c r="AE434" s="836"/>
      <c r="AF434" s="836"/>
      <c r="AG434" s="836"/>
      <c r="AH434" s="836"/>
    </row>
    <row r="435" spans="4:34" customFormat="1" ht="12.75" customHeight="1" x14ac:dyDescent="0.2">
      <c r="D435" s="61" t="s">
        <v>67</v>
      </c>
      <c r="E435" s="62" t="str">
        <f>'TRAD-Saisie données file act.'!B76</f>
        <v>On peut estimer que 3 % des patients passent de 2ème ligne en 3ème ligne / an. Cela fait donc un passage mensuel de 0,25%</v>
      </c>
      <c r="F435" s="62"/>
      <c r="G435" s="62"/>
      <c r="H435" s="62"/>
      <c r="I435" s="62"/>
      <c r="J435" s="62"/>
      <c r="K435" s="62"/>
      <c r="L435" s="62"/>
      <c r="M435" s="62"/>
      <c r="N435" s="62"/>
      <c r="O435" s="62"/>
      <c r="AD435" s="836"/>
      <c r="AE435" s="836"/>
      <c r="AF435" s="836"/>
      <c r="AG435" s="836"/>
      <c r="AH435" s="836"/>
    </row>
    <row r="436" spans="4:34" customFormat="1" ht="12.75" customHeight="1" thickBot="1" x14ac:dyDescent="0.25">
      <c r="D436" s="61"/>
      <c r="E436" s="62"/>
      <c r="F436" s="62"/>
      <c r="G436" s="62"/>
      <c r="H436" s="62"/>
      <c r="I436" s="62"/>
      <c r="J436" s="62"/>
      <c r="K436" s="62"/>
      <c r="L436" s="62"/>
      <c r="M436" s="62"/>
      <c r="N436" s="62"/>
      <c r="O436" s="62"/>
      <c r="AD436" s="836"/>
      <c r="AE436" s="836"/>
      <c r="AF436" s="836"/>
      <c r="AG436" s="836"/>
      <c r="AH436" s="836"/>
    </row>
    <row r="437" spans="4:34" customFormat="1" ht="12.75" customHeight="1" thickBot="1" x14ac:dyDescent="0.25">
      <c r="D437" s="63" t="str">
        <f>'TRAD-Saisie données file act.'!B67</f>
        <v>Cela représente donc :</v>
      </c>
      <c r="E437" s="263">
        <f>ROUNDUP((G433*(SUM(E371:E375)+SUM(F414:F425))), 1)</f>
        <v>0</v>
      </c>
      <c r="F437" s="64" t="str">
        <f>'TRAD-Saisie données file act.'!B68</f>
        <v>patients / mois</v>
      </c>
      <c r="G437" s="62"/>
      <c r="H437" s="62"/>
      <c r="I437" s="62"/>
      <c r="J437" s="62"/>
      <c r="K437" s="62"/>
      <c r="L437" s="62"/>
      <c r="M437" s="62"/>
      <c r="N437" s="62"/>
      <c r="O437" s="62"/>
      <c r="AD437" s="836"/>
      <c r="AE437" s="836"/>
      <c r="AF437" s="836"/>
      <c r="AG437" s="836"/>
      <c r="AH437" s="836"/>
    </row>
    <row r="439" spans="4:34" x14ac:dyDescent="0.2">
      <c r="D439" s="61" t="str">
        <f>'TRAD-Saisie données file act.'!$B$99</f>
        <v>Consigne d'utilisation</v>
      </c>
      <c r="E439" s="28" t="str">
        <f>'TRAD-Saisie données file act.'!$B$71</f>
        <v>Pour chaque schéma de première ligne, précisez le(s) schéma(s) de 2ème ligne souhaité(s) à l'aide des menus déroulants</v>
      </c>
    </row>
    <row r="440" spans="4:34" x14ac:dyDescent="0.2">
      <c r="D440" s="9"/>
      <c r="E440" s="28" t="str">
        <f>'TRAD-Saisie données file act.'!$B$72</f>
        <v>Ensuite, pour chacun des schémas sélectionnés, précisez ensuite les proportions attendues</v>
      </c>
    </row>
    <row r="441" spans="4:34" x14ac:dyDescent="0.2">
      <c r="D441" s="325" t="str">
        <f>'TRAD-Saisie données file act.'!$B$7</f>
        <v>Attention</v>
      </c>
      <c r="E441" s="3084" t="str">
        <f>'TRAD-Saisie données file act.'!$B$73</f>
        <v>Si vous changez le détail des schémas dans le tableau 1 tout en haut de cette feuille, vous devez actualiser la sélection des schémas dans ce tableau</v>
      </c>
    </row>
    <row r="442" spans="4:34" ht="13.5" thickBot="1" x14ac:dyDescent="0.25">
      <c r="D442" s="5"/>
    </row>
    <row r="443" spans="4:34" s="9" customFormat="1" ht="77.25" thickBot="1" x14ac:dyDescent="0.25">
      <c r="D443" s="1295" t="str">
        <f>'TRAD-Saisie données file act.'!B15</f>
        <v>Schéma thérapeutique</v>
      </c>
      <c r="E443" s="3071" t="str">
        <f>'TRAD-Saisie données file act.'!$B$50</f>
        <v>Nombre total de patients en première ligne (actuel + initiation du mois)</v>
      </c>
      <c r="F443" s="1058" t="str">
        <f>'TRAD-Saisie données file act.'!$B$51</f>
        <v>Nombre de nouveaux patients attendus en 2ème ligne par mois</v>
      </c>
      <c r="H443" s="3072" t="str">
        <f>'TRAD-Saisie données file act.'!$B$53</f>
        <v>Option 1</v>
      </c>
      <c r="I443" s="3073"/>
      <c r="J443" s="3074"/>
      <c r="K443" s="3072" t="str">
        <f>'TRAD-Saisie données file act.'!$B$54</f>
        <v>Option 2</v>
      </c>
      <c r="L443" s="3073"/>
      <c r="M443" s="3074"/>
      <c r="N443" s="3072" t="str">
        <f>'TRAD-Saisie données file act.'!$B$55</f>
        <v>Option 3</v>
      </c>
      <c r="O443" s="3073"/>
      <c r="P443" s="3074"/>
      <c r="AB443" s="835"/>
      <c r="AC443" s="835"/>
      <c r="AD443" s="835"/>
      <c r="AE443" s="835"/>
      <c r="AF443" s="835"/>
    </row>
    <row r="444" spans="4:34" s="9" customFormat="1" ht="26.25" thickBot="1" x14ac:dyDescent="0.25">
      <c r="D444" s="3046" t="str">
        <f>'TRAD-Saisie données file act.'!B30</f>
        <v>Premières lignes</v>
      </c>
      <c r="E444" s="3047"/>
      <c r="F444" s="3047"/>
      <c r="H444" s="3075" t="str">
        <f>'TRAD-Saisie données file act.'!$B$15</f>
        <v>Schéma thérapeutique</v>
      </c>
      <c r="I444" s="3076" t="str">
        <f>'TRAD-Saisie données file act.'!$B$58</f>
        <v>Proportion %</v>
      </c>
      <c r="J444" s="3077" t="str">
        <f>'TRAD-Saisie données file act.'!$B$48</f>
        <v xml:space="preserve">Nombre de patients </v>
      </c>
      <c r="K444" s="3075" t="str">
        <f>'TRAD-Saisie données file act.'!$B$15</f>
        <v>Schéma thérapeutique</v>
      </c>
      <c r="L444" s="3076" t="str">
        <f>'TRAD-Saisie données file act.'!$B$58</f>
        <v>Proportion %</v>
      </c>
      <c r="M444" s="3077" t="str">
        <f>'TRAD-Saisie données file act.'!$B$48</f>
        <v xml:space="preserve">Nombre de patients </v>
      </c>
      <c r="N444" s="3075" t="str">
        <f>'TRAD-Saisie données file act.'!$B$15</f>
        <v>Schéma thérapeutique</v>
      </c>
      <c r="O444" s="3076" t="str">
        <f>'TRAD-Saisie données file act.'!$B$58</f>
        <v>Proportion %</v>
      </c>
      <c r="P444" s="3077" t="str">
        <f>'TRAD-Saisie données file act.'!$B$48</f>
        <v xml:space="preserve">Nombre de patients </v>
      </c>
      <c r="AB444" s="835"/>
      <c r="AC444" s="835"/>
      <c r="AD444" s="835"/>
      <c r="AE444" s="835"/>
      <c r="AF444" s="835"/>
    </row>
    <row r="445" spans="4:34" s="9" customFormat="1" ht="13.5" thickBot="1" x14ac:dyDescent="0.25">
      <c r="D445" s="3062" t="str">
        <f>D371</f>
        <v>ABC+3TC+LPV/r</v>
      </c>
      <c r="E445" s="3063">
        <f>E371+F414</f>
        <v>0</v>
      </c>
      <c r="F445" s="3063">
        <f>E445*$G$433</f>
        <v>0</v>
      </c>
      <c r="H445" s="3002"/>
      <c r="I445" s="3001"/>
      <c r="J445" s="3051">
        <f t="shared" ref="J445:J450" si="30">I445*$F445</f>
        <v>0</v>
      </c>
      <c r="K445" s="3002"/>
      <c r="L445" s="3001"/>
      <c r="M445" s="3051">
        <f t="shared" ref="M445:M450" si="31">L445*$F445</f>
        <v>0</v>
      </c>
      <c r="N445" s="3002"/>
      <c r="O445" s="3001"/>
      <c r="P445" s="3051">
        <f t="shared" ref="P445:P450" si="32">O445*$F445</f>
        <v>0</v>
      </c>
      <c r="AB445" s="835"/>
      <c r="AC445" s="835"/>
      <c r="AD445" s="835"/>
      <c r="AE445" s="835"/>
      <c r="AF445" s="835"/>
    </row>
    <row r="446" spans="4:34" s="9" customFormat="1" ht="13.5" thickBot="1" x14ac:dyDescent="0.25">
      <c r="D446" s="3064" t="str">
        <f t="shared" ref="D446:D450" si="33">D372</f>
        <v>ABC+3TC+EFV</v>
      </c>
      <c r="E446" s="3065">
        <f t="shared" ref="E446:E450" si="34">E372+F415</f>
        <v>0</v>
      </c>
      <c r="F446" s="3065">
        <f t="shared" ref="F446:F450" si="35">E446*$G$433</f>
        <v>0</v>
      </c>
      <c r="H446" s="3002"/>
      <c r="I446" s="3001"/>
      <c r="J446" s="3052">
        <f t="shared" si="30"/>
        <v>0</v>
      </c>
      <c r="K446" s="3002"/>
      <c r="L446" s="3001"/>
      <c r="M446" s="3052">
        <f t="shared" si="31"/>
        <v>0</v>
      </c>
      <c r="N446" s="3002"/>
      <c r="O446" s="3001"/>
      <c r="P446" s="3052">
        <f t="shared" si="32"/>
        <v>0</v>
      </c>
      <c r="AB446" s="835"/>
      <c r="AC446" s="835"/>
      <c r="AD446" s="835"/>
      <c r="AE446" s="835"/>
      <c r="AF446" s="835"/>
    </row>
    <row r="447" spans="4:34" s="9" customFormat="1" ht="13.5" thickBot="1" x14ac:dyDescent="0.25">
      <c r="D447" s="3066" t="str">
        <f t="shared" si="33"/>
        <v>ABC+3TC+AZT</v>
      </c>
      <c r="E447" s="3065">
        <f t="shared" si="34"/>
        <v>0</v>
      </c>
      <c r="F447" s="3065">
        <f t="shared" si="35"/>
        <v>0</v>
      </c>
      <c r="H447" s="3002"/>
      <c r="I447" s="3001"/>
      <c r="J447" s="3052">
        <f t="shared" si="30"/>
        <v>0</v>
      </c>
      <c r="K447" s="3002"/>
      <c r="L447" s="3001"/>
      <c r="M447" s="3052">
        <f t="shared" si="31"/>
        <v>0</v>
      </c>
      <c r="N447" s="3002"/>
      <c r="O447" s="3001"/>
      <c r="P447" s="3052">
        <f t="shared" si="32"/>
        <v>0</v>
      </c>
      <c r="AB447" s="835"/>
      <c r="AC447" s="835"/>
      <c r="AD447" s="835"/>
      <c r="AE447" s="835"/>
      <c r="AF447" s="835"/>
    </row>
    <row r="448" spans="4:34" s="9" customFormat="1" ht="13.5" thickBot="1" x14ac:dyDescent="0.25">
      <c r="D448" s="3066">
        <f t="shared" si="33"/>
        <v>0</v>
      </c>
      <c r="E448" s="3065">
        <f t="shared" si="34"/>
        <v>0</v>
      </c>
      <c r="F448" s="3065">
        <f t="shared" si="35"/>
        <v>0</v>
      </c>
      <c r="H448" s="3002"/>
      <c r="I448" s="3001"/>
      <c r="J448" s="3052">
        <f t="shared" si="30"/>
        <v>0</v>
      </c>
      <c r="K448" s="3002"/>
      <c r="L448" s="3001"/>
      <c r="M448" s="3052">
        <f t="shared" si="31"/>
        <v>0</v>
      </c>
      <c r="N448" s="3002"/>
      <c r="O448" s="3001"/>
      <c r="P448" s="3052">
        <f t="shared" si="32"/>
        <v>0</v>
      </c>
      <c r="AB448" s="835"/>
      <c r="AC448" s="835"/>
      <c r="AD448" s="835"/>
      <c r="AE448" s="835"/>
      <c r="AF448" s="835"/>
    </row>
    <row r="449" spans="3:34" s="9" customFormat="1" ht="13.5" thickBot="1" x14ac:dyDescent="0.25">
      <c r="D449" s="3067">
        <f t="shared" si="33"/>
        <v>0</v>
      </c>
      <c r="E449" s="3065">
        <f t="shared" si="34"/>
        <v>0</v>
      </c>
      <c r="F449" s="3065">
        <f t="shared" si="35"/>
        <v>0</v>
      </c>
      <c r="H449" s="3002"/>
      <c r="I449" s="3001"/>
      <c r="J449" s="3052">
        <f t="shared" si="30"/>
        <v>0</v>
      </c>
      <c r="K449" s="3002"/>
      <c r="L449" s="3001"/>
      <c r="M449" s="3052">
        <f t="shared" si="31"/>
        <v>0</v>
      </c>
      <c r="N449" s="3002"/>
      <c r="O449" s="3001"/>
      <c r="P449" s="3052">
        <f t="shared" si="32"/>
        <v>0</v>
      </c>
      <c r="AB449" s="835"/>
      <c r="AC449" s="835"/>
      <c r="AD449" s="835"/>
      <c r="AE449" s="835"/>
      <c r="AF449" s="835"/>
    </row>
    <row r="450" spans="3:34" s="9" customFormat="1" ht="13.5" thickBot="1" x14ac:dyDescent="0.25">
      <c r="D450" s="3068">
        <f t="shared" si="33"/>
        <v>0</v>
      </c>
      <c r="E450" s="3069">
        <f t="shared" si="34"/>
        <v>0</v>
      </c>
      <c r="F450" s="3069">
        <f t="shared" si="35"/>
        <v>0</v>
      </c>
      <c r="H450" s="3003"/>
      <c r="I450" s="3004"/>
      <c r="J450" s="3070">
        <f t="shared" si="30"/>
        <v>0</v>
      </c>
      <c r="K450" s="3003"/>
      <c r="L450" s="3004"/>
      <c r="M450" s="3070">
        <f t="shared" si="31"/>
        <v>0</v>
      </c>
      <c r="N450" s="3003"/>
      <c r="O450" s="3004"/>
      <c r="P450" s="3070">
        <f t="shared" si="32"/>
        <v>0</v>
      </c>
      <c r="AB450" s="835"/>
      <c r="AC450" s="835"/>
      <c r="AD450" s="835"/>
      <c r="AE450" s="835"/>
      <c r="AF450" s="835"/>
    </row>
    <row r="451" spans="3:34" s="9" customFormat="1" x14ac:dyDescent="0.2">
      <c r="C451" s="5"/>
      <c r="D451" s="5"/>
      <c r="E451" s="30"/>
      <c r="AD451" s="835"/>
      <c r="AE451" s="835"/>
      <c r="AF451" s="835"/>
      <c r="AG451" s="835"/>
      <c r="AH451" s="835"/>
    </row>
    <row r="452" spans="3:34" s="9" customFormat="1" x14ac:dyDescent="0.2">
      <c r="C452" s="5"/>
      <c r="D452" s="5"/>
      <c r="E452" s="30"/>
      <c r="AD452" s="835"/>
      <c r="AE452" s="835"/>
      <c r="AF452" s="835"/>
      <c r="AG452" s="835"/>
      <c r="AH452" s="835"/>
    </row>
    <row r="453" spans="3:34" s="9" customFormat="1" x14ac:dyDescent="0.2">
      <c r="C453" s="5"/>
      <c r="D453" s="5"/>
      <c r="E453" s="30"/>
      <c r="AD453" s="835"/>
      <c r="AE453" s="835"/>
      <c r="AF453" s="835"/>
      <c r="AG453" s="835"/>
      <c r="AH453" s="835"/>
    </row>
    <row r="454" spans="3:34" s="9" customFormat="1" x14ac:dyDescent="0.2">
      <c r="C454" s="5"/>
      <c r="D454" s="5"/>
      <c r="E454" s="30"/>
      <c r="AD454" s="835"/>
      <c r="AE454" s="835"/>
      <c r="AF454" s="835"/>
      <c r="AG454" s="835"/>
      <c r="AH454" s="835"/>
    </row>
    <row r="455" spans="3:34" s="9" customFormat="1" ht="51.75" thickBot="1" x14ac:dyDescent="0.25">
      <c r="D455" s="45" t="str">
        <f>'TRAD-Saisie données file act.'!B14</f>
        <v>Schéma thérapeutique switchés</v>
      </c>
      <c r="E455" s="1023" t="str">
        <f>'TRAD-Saisie données file act.'!B96</f>
        <v>Nombre théorique d'enfants  attendus</v>
      </c>
      <c r="F455" s="1023" t="str">
        <f>'TRAD-Saisie données file act.'!$B$58</f>
        <v>Proportion %</v>
      </c>
      <c r="H455" s="61"/>
      <c r="I455" s="28"/>
      <c r="AD455" s="835"/>
      <c r="AE455" s="835"/>
      <c r="AF455" s="835"/>
      <c r="AG455" s="835"/>
      <c r="AH455" s="835"/>
    </row>
    <row r="456" spans="3:34" s="9" customFormat="1" ht="13.5" thickBot="1" x14ac:dyDescent="0.25">
      <c r="D456" s="3046" t="str">
        <f>'TRAD-Saisie données file act.'!B31</f>
        <v>Deuxièmes lignes</v>
      </c>
      <c r="E456" s="3047"/>
      <c r="F456" s="1061"/>
      <c r="I456" s="28"/>
      <c r="AD456" s="835"/>
      <c r="AE456" s="835"/>
      <c r="AF456" s="835"/>
      <c r="AG456" s="835"/>
      <c r="AH456" s="835"/>
    </row>
    <row r="457" spans="3:34" s="9" customFormat="1" x14ac:dyDescent="0.2">
      <c r="D457" s="74" t="str">
        <f>D378</f>
        <v>AZT+3TC+LPV/r</v>
      </c>
      <c r="E457" s="3048">
        <f>SUMIF(H$445:H$450, D457, J$445:J$450)+SUMIF(K$445:K$450, D457, M$445:M$450)+SUMIF(N$445:N$450, D457, P$445:P$450)</f>
        <v>0</v>
      </c>
      <c r="F457" s="3056" t="e">
        <f>E457/$E$472</f>
        <v>#DIV/0!</v>
      </c>
      <c r="H457" s="325"/>
      <c r="I457" s="3084"/>
      <c r="AD457" s="835"/>
      <c r="AE457" s="835"/>
      <c r="AF457" s="835"/>
      <c r="AG457" s="835"/>
      <c r="AH457" s="835"/>
    </row>
    <row r="458" spans="3:34" s="9" customFormat="1" x14ac:dyDescent="0.2">
      <c r="D458" s="1051">
        <f t="shared" ref="D458:D461" si="36">D379</f>
        <v>0</v>
      </c>
      <c r="E458" s="3049">
        <f>SUMIF(H$445:H$450, D458, J$445:J$450)+SUMIF(K$445:K$450, D458, M$445:M$450)+SUMIF(N$445:N$450, D458, P$445:P$450)</f>
        <v>0</v>
      </c>
      <c r="F458" s="3057" t="e">
        <f t="shared" ref="F458:F461" si="37">E458/$E$472</f>
        <v>#DIV/0!</v>
      </c>
      <c r="AD458" s="835"/>
      <c r="AE458" s="835"/>
      <c r="AF458" s="835"/>
      <c r="AG458" s="835"/>
      <c r="AH458" s="835"/>
    </row>
    <row r="459" spans="3:34" s="9" customFormat="1" x14ac:dyDescent="0.2">
      <c r="D459" s="1051">
        <f t="shared" si="36"/>
        <v>0</v>
      </c>
      <c r="E459" s="3049">
        <f>SUMIF(H$445:H$450, D459, J$445:J$450)+SUMIF(K$445:K$450, D459, M$445:M$450)+SUMIF(N$445:N$450, D459, P$445:P$450)</f>
        <v>0</v>
      </c>
      <c r="F459" s="3057" t="e">
        <f t="shared" si="37"/>
        <v>#DIV/0!</v>
      </c>
      <c r="AD459" s="835"/>
      <c r="AE459" s="835"/>
      <c r="AF459" s="835"/>
      <c r="AG459" s="835"/>
      <c r="AH459" s="835"/>
    </row>
    <row r="460" spans="3:34" s="9" customFormat="1" x14ac:dyDescent="0.2">
      <c r="D460" s="1051">
        <f t="shared" si="36"/>
        <v>0</v>
      </c>
      <c r="E460" s="3049">
        <f>SUMIF(H$445:H$450, D460, J$445:J$450)+SUMIF(K$445:K$450, D460, M$445:M$450)+SUMIF(N$445:N$450, D460, P$445:P$450)</f>
        <v>0</v>
      </c>
      <c r="F460" s="3057" t="e">
        <f t="shared" si="37"/>
        <v>#DIV/0!</v>
      </c>
      <c r="AD460" s="835"/>
      <c r="AE460" s="835"/>
      <c r="AF460" s="835"/>
      <c r="AG460" s="835"/>
      <c r="AH460" s="835"/>
    </row>
    <row r="461" spans="3:34" s="9" customFormat="1" ht="13.5" thickBot="1" x14ac:dyDescent="0.25">
      <c r="D461" s="1051">
        <f t="shared" si="36"/>
        <v>0</v>
      </c>
      <c r="E461" s="3049">
        <f>SUMIF(H$445:H$450, D461, J$445:J$450)+SUMIF(K$445:K$450, D461, M$445:M$450)+SUMIF(N$445:N$450, D461, P$445:P$450)</f>
        <v>0</v>
      </c>
      <c r="F461" s="3058" t="e">
        <f t="shared" si="37"/>
        <v>#DIV/0!</v>
      </c>
      <c r="AD461" s="835"/>
      <c r="AE461" s="835"/>
      <c r="AF461" s="835"/>
      <c r="AG461" s="835"/>
      <c r="AH461" s="835"/>
    </row>
    <row r="462" spans="3:34" s="9" customFormat="1" ht="13.5" thickBot="1" x14ac:dyDescent="0.25">
      <c r="D462" s="3046" t="str">
        <f>'TRAD-Saisie données file act.'!B32</f>
        <v>Lignes alternatives</v>
      </c>
      <c r="E462" s="3047"/>
      <c r="F462" s="1061"/>
      <c r="AD462" s="835"/>
      <c r="AE462" s="835"/>
      <c r="AF462" s="835"/>
      <c r="AG462" s="835"/>
      <c r="AH462" s="835"/>
    </row>
    <row r="463" spans="3:34" s="9" customFormat="1" x14ac:dyDescent="0.2">
      <c r="D463" s="1051">
        <f>D384</f>
        <v>0</v>
      </c>
      <c r="E463" s="3049">
        <f t="shared" ref="E463:E471" si="38">SUMIF(H$445:H$450, D463, J$445:J$450)+SUMIF(K$445:K$450, D463, M$445:M$450)+SUMIF(N$445:N$450, D463, P$445:P$450)</f>
        <v>0</v>
      </c>
      <c r="F463" s="3056" t="e">
        <f>E463/$E$472</f>
        <v>#DIV/0!</v>
      </c>
      <c r="AD463" s="835"/>
      <c r="AE463" s="835"/>
      <c r="AF463" s="835"/>
      <c r="AG463" s="835"/>
      <c r="AH463" s="835"/>
    </row>
    <row r="464" spans="3:34" s="9" customFormat="1" x14ac:dyDescent="0.2">
      <c r="D464" s="69">
        <f t="shared" ref="D464:D471" si="39">D385</f>
        <v>0</v>
      </c>
      <c r="E464" s="3049">
        <f t="shared" si="38"/>
        <v>0</v>
      </c>
      <c r="F464" s="3057" t="e">
        <f t="shared" ref="F464:F471" si="40">E464/$E$472</f>
        <v>#DIV/0!</v>
      </c>
      <c r="AD464" s="835"/>
      <c r="AE464" s="835"/>
      <c r="AF464" s="835"/>
      <c r="AG464" s="835"/>
      <c r="AH464" s="835"/>
    </row>
    <row r="465" spans="2:34" s="9" customFormat="1" x14ac:dyDescent="0.2">
      <c r="D465" s="1051">
        <f t="shared" si="39"/>
        <v>0</v>
      </c>
      <c r="E465" s="3049">
        <f t="shared" si="38"/>
        <v>0</v>
      </c>
      <c r="F465" s="3057" t="e">
        <f t="shared" si="40"/>
        <v>#DIV/0!</v>
      </c>
      <c r="AD465" s="835"/>
      <c r="AE465" s="835"/>
      <c r="AF465" s="835"/>
      <c r="AG465" s="835"/>
      <c r="AH465" s="835"/>
    </row>
    <row r="466" spans="2:34" s="9" customFormat="1" x14ac:dyDescent="0.2">
      <c r="D466" s="1051">
        <f t="shared" si="39"/>
        <v>0</v>
      </c>
      <c r="E466" s="3049">
        <f t="shared" si="38"/>
        <v>0</v>
      </c>
      <c r="F466" s="3057" t="e">
        <f t="shared" si="40"/>
        <v>#DIV/0!</v>
      </c>
      <c r="AD466" s="835"/>
      <c r="AE466" s="835"/>
      <c r="AF466" s="835"/>
      <c r="AG466" s="835"/>
      <c r="AH466" s="835"/>
    </row>
    <row r="467" spans="2:34" s="9" customFormat="1" x14ac:dyDescent="0.2">
      <c r="D467" s="1051">
        <f t="shared" si="39"/>
        <v>0</v>
      </c>
      <c r="E467" s="3049">
        <f t="shared" si="38"/>
        <v>0</v>
      </c>
      <c r="F467" s="3057" t="e">
        <f t="shared" si="40"/>
        <v>#DIV/0!</v>
      </c>
      <c r="AD467" s="835"/>
      <c r="AE467" s="835"/>
      <c r="AF467" s="835"/>
      <c r="AG467" s="835"/>
      <c r="AH467" s="835"/>
    </row>
    <row r="468" spans="2:34" s="9" customFormat="1" x14ac:dyDescent="0.2">
      <c r="D468" s="1051">
        <f t="shared" si="39"/>
        <v>0</v>
      </c>
      <c r="E468" s="3049">
        <f t="shared" si="38"/>
        <v>0</v>
      </c>
      <c r="F468" s="3057" t="e">
        <f t="shared" si="40"/>
        <v>#DIV/0!</v>
      </c>
      <c r="AD468" s="835"/>
      <c r="AE468" s="835"/>
      <c r="AF468" s="835"/>
      <c r="AG468" s="835"/>
      <c r="AH468" s="835"/>
    </row>
    <row r="469" spans="2:34" s="9" customFormat="1" x14ac:dyDescent="0.2">
      <c r="D469" s="1051">
        <f t="shared" si="39"/>
        <v>0</v>
      </c>
      <c r="E469" s="3049">
        <f t="shared" si="38"/>
        <v>0</v>
      </c>
      <c r="F469" s="3057" t="e">
        <f t="shared" si="40"/>
        <v>#DIV/0!</v>
      </c>
      <c r="AD469" s="835"/>
      <c r="AE469" s="835"/>
      <c r="AF469" s="835"/>
      <c r="AG469" s="835"/>
      <c r="AH469" s="835"/>
    </row>
    <row r="470" spans="2:34" s="9" customFormat="1" x14ac:dyDescent="0.2">
      <c r="D470" s="1051">
        <f t="shared" si="39"/>
        <v>0</v>
      </c>
      <c r="E470" s="3049">
        <f t="shared" si="38"/>
        <v>0</v>
      </c>
      <c r="F470" s="3057" t="e">
        <f t="shared" si="40"/>
        <v>#DIV/0!</v>
      </c>
      <c r="AD470" s="835"/>
      <c r="AE470" s="835"/>
      <c r="AF470" s="835"/>
      <c r="AG470" s="835"/>
      <c r="AH470" s="835"/>
    </row>
    <row r="471" spans="2:34" s="9" customFormat="1" ht="13.5" thickBot="1" x14ac:dyDescent="0.25">
      <c r="D471" s="71">
        <f t="shared" si="39"/>
        <v>0</v>
      </c>
      <c r="E471" s="3050">
        <f t="shared" si="38"/>
        <v>0</v>
      </c>
      <c r="F471" s="3059" t="e">
        <f t="shared" si="40"/>
        <v>#DIV/0!</v>
      </c>
      <c r="AD471" s="835"/>
      <c r="AE471" s="835"/>
      <c r="AF471" s="835"/>
      <c r="AG471" s="835"/>
      <c r="AH471" s="835"/>
    </row>
    <row r="472" spans="2:34" s="9" customFormat="1" ht="13.5" thickTop="1" x14ac:dyDescent="0.2">
      <c r="D472" s="81" t="s">
        <v>5</v>
      </c>
      <c r="E472" s="3055">
        <f>SUM(E457:E471)</f>
        <v>0</v>
      </c>
      <c r="F472" s="1062" t="e">
        <f>SUM(F457:F471)</f>
        <v>#DIV/0!</v>
      </c>
      <c r="AD472" s="835"/>
      <c r="AE472" s="835"/>
      <c r="AF472" s="835"/>
      <c r="AG472" s="835"/>
      <c r="AH472" s="835"/>
    </row>
    <row r="474" spans="2:34" s="9" customFormat="1" ht="25.5" customHeight="1" x14ac:dyDescent="0.2">
      <c r="D474" s="84" t="str">
        <f>'TRAD-Saisie données file act.'!B62</f>
        <v>Remarque</v>
      </c>
      <c r="E474" s="3233" t="str">
        <f>'TRAD-Saisie données file act.'!B63</f>
        <v>En cas d'incertitude sur la répartition attendue, il est possible de prendre des marges (X-Y %) et de ne considérer dans ce tableau que les marges hautes. Le total peut donc faire plus de 100%. Toutefois, le stock de sécurité doit être prévu pour permettre de tels imprevus</v>
      </c>
      <c r="F474" s="3233"/>
      <c r="G474" s="3233"/>
      <c r="H474" s="3233"/>
      <c r="I474" s="3233"/>
      <c r="J474" s="3233"/>
      <c r="K474" s="3233"/>
      <c r="L474" s="3233"/>
      <c r="M474" s="3233"/>
      <c r="N474" s="3233"/>
      <c r="O474" s="3233"/>
      <c r="AD474" s="835"/>
      <c r="AE474" s="835"/>
      <c r="AF474" s="835"/>
      <c r="AG474" s="835"/>
      <c r="AH474" s="835"/>
    </row>
    <row r="475" spans="2:34" s="9" customFormat="1" x14ac:dyDescent="0.2">
      <c r="D475" s="84"/>
      <c r="E475" s="1063"/>
      <c r="F475" s="1063"/>
      <c r="G475" s="1063"/>
      <c r="H475" s="1063"/>
      <c r="I475" s="1063"/>
      <c r="J475" s="1063"/>
      <c r="K475" s="1063"/>
      <c r="L475" s="1063"/>
      <c r="M475" s="1063"/>
      <c r="N475" s="1063"/>
      <c r="O475" s="1063"/>
      <c r="AD475" s="835"/>
      <c r="AE475" s="835"/>
      <c r="AF475" s="835"/>
      <c r="AG475" s="835"/>
      <c r="AH475" s="835"/>
    </row>
    <row r="476" spans="2:34" x14ac:dyDescent="0.2">
      <c r="AB476" s="835"/>
      <c r="AC476" s="835"/>
      <c r="AG476" s="4"/>
      <c r="AH476" s="4"/>
    </row>
    <row r="477" spans="2:34" s="1713" customFormat="1" ht="19.5" thickBot="1" x14ac:dyDescent="0.35">
      <c r="B477" s="3212" t="str">
        <f>'TRAD-Saisie données file act.'!B97</f>
        <v>Etape 2 : Sélection des formes pédiatriques</v>
      </c>
      <c r="C477" s="3212"/>
      <c r="D477" s="3212"/>
      <c r="E477" s="3212"/>
      <c r="F477" s="3212"/>
      <c r="G477" s="3212"/>
      <c r="H477" s="3212"/>
      <c r="I477" s="3212"/>
      <c r="J477" s="3212"/>
      <c r="K477" s="3212"/>
      <c r="L477" s="3212"/>
      <c r="M477" s="3212"/>
      <c r="N477" s="3212"/>
      <c r="O477" s="3212"/>
      <c r="AD477" s="1714"/>
      <c r="AE477" s="1714"/>
      <c r="AF477" s="1714"/>
      <c r="AG477" s="1714"/>
      <c r="AH477" s="1714"/>
    </row>
    <row r="478" spans="2:34" customFormat="1" x14ac:dyDescent="0.2"/>
    <row r="479" spans="2:34" customFormat="1" ht="12.75" customHeight="1" x14ac:dyDescent="0.2">
      <c r="C479" s="61"/>
      <c r="D479" s="61" t="str">
        <f>'TRAD-Saisie données file act.'!B99</f>
        <v>Consigne d'utilisation</v>
      </c>
      <c r="E479" s="3234" t="str">
        <f>'TRAD-Saisie données file act.'!B100</f>
        <v>Choisir les formes que vous souhaitez pour chacun des schémas thérapeutiques</v>
      </c>
      <c r="F479" s="3234"/>
      <c r="G479" s="3234"/>
      <c r="H479" s="3234"/>
      <c r="I479" s="3234"/>
      <c r="J479" s="3234"/>
      <c r="K479" s="3234"/>
      <c r="L479" s="3234"/>
      <c r="M479" s="3234"/>
      <c r="N479" s="3234"/>
      <c r="O479" s="3234"/>
      <c r="T479" s="4"/>
      <c r="U479" s="4"/>
      <c r="V479" s="4"/>
      <c r="W479" s="4"/>
      <c r="X479" s="4"/>
      <c r="Y479" s="4"/>
      <c r="Z479" s="4"/>
      <c r="AA479" s="4"/>
      <c r="AB479" s="4"/>
      <c r="AC479" s="4"/>
      <c r="AD479" s="835"/>
    </row>
    <row r="480" spans="2:34" customFormat="1" ht="12.75" customHeight="1" x14ac:dyDescent="0.2">
      <c r="D480" s="4"/>
      <c r="E480" s="3234" t="str">
        <f>'TRAD-Saisie données file act.'!B101</f>
        <v>Certaines options sont possibles pour certains schémas thérapeutiques</v>
      </c>
      <c r="F480" s="3234"/>
      <c r="G480" s="3234"/>
      <c r="H480" s="3234"/>
      <c r="I480" s="3234"/>
      <c r="J480" s="3234"/>
      <c r="K480" s="3234"/>
      <c r="L480" s="3234"/>
      <c r="M480" s="3234"/>
      <c r="N480" s="3234"/>
      <c r="O480" s="3234"/>
      <c r="AD480" s="836"/>
      <c r="AE480" s="836"/>
      <c r="AF480" s="836"/>
      <c r="AG480" s="836"/>
      <c r="AH480" s="836"/>
    </row>
    <row r="481" spans="2:34" customFormat="1" ht="12.75" customHeight="1" x14ac:dyDescent="0.2">
      <c r="D481" s="61"/>
      <c r="E481" s="3234" t="str">
        <f>'TRAD-Saisie données file act.'!B102</f>
        <v>Pour cela mettre un X majuscule dans la case sélection pour l'option retenue</v>
      </c>
      <c r="F481" s="3234"/>
      <c r="G481" s="3234"/>
      <c r="H481" s="3234"/>
      <c r="I481" s="3234"/>
      <c r="J481" s="3234"/>
      <c r="K481" s="3234"/>
      <c r="L481" s="3234"/>
      <c r="M481" s="3234"/>
      <c r="N481" s="3234"/>
      <c r="O481" s="3234"/>
      <c r="AD481" s="836"/>
      <c r="AE481" s="836"/>
      <c r="AF481" s="836"/>
      <c r="AG481" s="836"/>
      <c r="AH481" s="836"/>
    </row>
    <row r="482" spans="2:34" customFormat="1" ht="12.75" customHeight="1" x14ac:dyDescent="0.2">
      <c r="D482" s="61"/>
      <c r="E482" s="3234" t="str">
        <f>'TRAD-Saisie données file act.'!B103</f>
        <v>Ces données seront prises en compte pour les patients sous traitement et pour les inclusions</v>
      </c>
      <c r="F482" s="3234"/>
      <c r="G482" s="3234"/>
      <c r="H482" s="3234"/>
      <c r="I482" s="3234"/>
      <c r="J482" s="3234"/>
      <c r="K482" s="3234"/>
      <c r="L482" s="3234"/>
      <c r="M482" s="3234"/>
      <c r="N482" s="3234"/>
      <c r="O482" s="3234"/>
      <c r="AD482" s="836"/>
      <c r="AE482" s="836"/>
      <c r="AF482" s="836"/>
      <c r="AG482" s="836"/>
      <c r="AH482" s="836"/>
    </row>
    <row r="483" spans="2:34" customFormat="1" ht="12.75" customHeight="1" x14ac:dyDescent="0.2">
      <c r="D483" s="61"/>
      <c r="E483" s="3234" t="str">
        <f>'TRAD-Saisie données file act.'!B104</f>
        <v>Ce système d'évaluation de la couverture ne permet pas de répartir la couverture en séquences liées à l'utilisation d'une forme galénique puis d'une suivante.</v>
      </c>
      <c r="F483" s="3234"/>
      <c r="G483" s="3234"/>
      <c r="H483" s="3234"/>
      <c r="I483" s="3234"/>
      <c r="J483" s="3234"/>
      <c r="K483" s="3234"/>
      <c r="L483" s="3234"/>
      <c r="M483" s="3234"/>
      <c r="N483" s="3234"/>
      <c r="O483" s="3234"/>
      <c r="AD483" s="836"/>
      <c r="AE483" s="836"/>
      <c r="AF483" s="836"/>
      <c r="AG483" s="836"/>
      <c r="AH483" s="836"/>
    </row>
    <row r="484" spans="2:34" customFormat="1" x14ac:dyDescent="0.2">
      <c r="D484" s="325" t="str">
        <f>'TRAD-Saisie données file act.'!B7</f>
        <v>Attention</v>
      </c>
      <c r="E484" s="3225" t="str">
        <f>'TRAD-Saisie données file act.'!B11</f>
        <v>Si aucune case n'est remplie, aucun médicament ne sera pris en compte</v>
      </c>
      <c r="F484" s="3225"/>
      <c r="G484" s="3225"/>
      <c r="H484" s="3225"/>
      <c r="I484" s="3225"/>
      <c r="J484" s="3225"/>
      <c r="K484" s="3225"/>
      <c r="L484" s="3225"/>
      <c r="M484" s="3225"/>
      <c r="N484" s="3225"/>
      <c r="O484" s="3225"/>
      <c r="AD484" s="836"/>
      <c r="AE484" s="836"/>
      <c r="AF484" s="836"/>
      <c r="AG484" s="836"/>
      <c r="AH484" s="836"/>
    </row>
    <row r="485" spans="2:34" customFormat="1" ht="12.75" customHeight="1" x14ac:dyDescent="0.2">
      <c r="D485" s="61"/>
      <c r="E485" s="3225" t="str">
        <f>'TRAD-Saisie données file act.'!B12</f>
        <v>Si plusieurs cases sont remplies, l'ensemble des médicaments sera pris en compte</v>
      </c>
      <c r="F485" s="3225"/>
      <c r="G485" s="3225"/>
      <c r="H485" s="3225"/>
      <c r="I485" s="3225"/>
      <c r="J485" s="3225"/>
      <c r="K485" s="3225"/>
      <c r="L485" s="3225"/>
      <c r="M485" s="3225"/>
      <c r="N485" s="3225"/>
      <c r="O485" s="3225"/>
      <c r="AD485" s="836"/>
      <c r="AE485" s="836"/>
      <c r="AF485" s="836"/>
      <c r="AG485" s="836"/>
      <c r="AH485" s="836"/>
    </row>
    <row r="486" spans="2:34" customFormat="1" x14ac:dyDescent="0.2">
      <c r="D486" s="61"/>
      <c r="E486" s="3225" t="str">
        <f>'TRAD-Saisie données file act.'!B105</f>
        <v>Ces choix concernent uniquement les enfants de 3 à 15 kg. Pour les tranches de poids supérieures, les formes adultes sont automatiquement prises en compte.</v>
      </c>
      <c r="F486" s="3225"/>
      <c r="G486" s="3225"/>
      <c r="H486" s="3225"/>
      <c r="I486" s="3225"/>
      <c r="J486" s="3225"/>
      <c r="K486" s="3225"/>
      <c r="L486" s="3225"/>
      <c r="M486" s="3225"/>
      <c r="N486" s="3225"/>
      <c r="O486" s="3225"/>
      <c r="AD486" s="836"/>
      <c r="AE486" s="836"/>
      <c r="AF486" s="836"/>
      <c r="AG486" s="836"/>
      <c r="AH486" s="836"/>
    </row>
    <row r="487" spans="2:34" customFormat="1" ht="12.75" customHeight="1" x14ac:dyDescent="0.2">
      <c r="D487" s="61"/>
      <c r="E487" s="3225" t="str">
        <f>'TRAD-Saisie données file act.'!B106</f>
        <v>Ces choix ne concernent pas la période d'initiation du traitement à base de NVP. Nous avons considéré qu'il se faisait avec les formes simples en sol. buv.</v>
      </c>
      <c r="F487" s="3225"/>
      <c r="G487" s="3225"/>
      <c r="H487" s="3225"/>
      <c r="I487" s="3225"/>
      <c r="J487" s="3225"/>
      <c r="K487" s="3225"/>
      <c r="L487" s="3225"/>
      <c r="M487" s="3225"/>
      <c r="N487" s="3225"/>
      <c r="O487" s="3225"/>
      <c r="AD487" s="836"/>
      <c r="AE487" s="836"/>
      <c r="AF487" s="836"/>
      <c r="AG487" s="836"/>
      <c r="AH487" s="836"/>
    </row>
    <row r="488" spans="2:34" s="824" customFormat="1" x14ac:dyDescent="0.2">
      <c r="E488" s="3225" t="str">
        <f>'TRAD-Saisie données file act.'!B108</f>
        <v>Il ne faut sélectionner qu'une combinaison ou formulation d'un ARV pour un même schéma thérapeutique</v>
      </c>
      <c r="F488" s="3225"/>
      <c r="G488" s="3225"/>
      <c r="H488" s="3225"/>
      <c r="I488" s="3225"/>
      <c r="J488" s="3225"/>
      <c r="K488" s="3225"/>
      <c r="L488" s="3225"/>
      <c r="M488" s="3225"/>
      <c r="N488" s="3225"/>
      <c r="O488" s="3225"/>
      <c r="AD488" s="835"/>
      <c r="AE488" s="835"/>
      <c r="AF488" s="835"/>
      <c r="AG488" s="835"/>
      <c r="AH488" s="835"/>
    </row>
    <row r="489" spans="2:34" customFormat="1" ht="12.75" customHeight="1" x14ac:dyDescent="0.2">
      <c r="C489" s="4"/>
      <c r="D489" s="325"/>
      <c r="E489" s="4"/>
      <c r="F489" s="4"/>
      <c r="G489" s="4"/>
      <c r="H489" s="4"/>
      <c r="I489" s="4"/>
      <c r="J489" s="4"/>
      <c r="K489" s="4"/>
      <c r="L489" s="4"/>
      <c r="M489" s="4"/>
      <c r="N489" s="4"/>
      <c r="O489" s="4"/>
      <c r="T489" s="4"/>
      <c r="U489" s="4"/>
      <c r="V489" s="4"/>
      <c r="W489" s="4"/>
      <c r="X489" s="4"/>
      <c r="Y489" s="4"/>
      <c r="Z489" s="4"/>
      <c r="AA489" s="4"/>
      <c r="AB489" s="4"/>
      <c r="AC489" s="4"/>
      <c r="AD489" s="835"/>
    </row>
    <row r="490" spans="2:34" customFormat="1" ht="13.5" thickBot="1" x14ac:dyDescent="0.25">
      <c r="C490" s="61"/>
      <c r="D490" s="3225"/>
      <c r="E490" s="3225"/>
      <c r="F490" s="3225"/>
      <c r="G490" s="3225"/>
      <c r="H490" s="3225"/>
      <c r="I490" s="3225"/>
      <c r="J490" s="3225"/>
      <c r="K490" s="3225"/>
      <c r="L490" s="3225"/>
      <c r="M490" s="3225"/>
      <c r="N490" s="3225"/>
    </row>
    <row r="491" spans="2:34" s="599" customFormat="1" ht="13.5" thickBot="1" x14ac:dyDescent="0.25">
      <c r="B491" s="3226" t="str">
        <f>'TRAD-Saisie données file act.'!B109</f>
        <v>Instauration de la NVP - Nevirapine</v>
      </c>
      <c r="C491" s="3227"/>
      <c r="D491" s="3227"/>
      <c r="E491" s="3227"/>
      <c r="F491" s="3228"/>
    </row>
    <row r="492" spans="2:34" s="599" customFormat="1" x14ac:dyDescent="0.2">
      <c r="D492" s="2084"/>
    </row>
    <row r="493" spans="2:34" s="599" customFormat="1" x14ac:dyDescent="0.2">
      <c r="D493" s="61" t="str">
        <f>'TRAD-Saisie données file act.'!B6</f>
        <v>Commentaire</v>
      </c>
      <c r="E493" s="3234" t="str">
        <f>'TRAD-Saisie données file act.'!B110</f>
        <v>Selectionner une des options</v>
      </c>
      <c r="F493" s="3234"/>
      <c r="G493" s="3234"/>
      <c r="H493" s="3234"/>
      <c r="I493" s="3234"/>
      <c r="J493" s="3234"/>
      <c r="K493" s="3234"/>
      <c r="L493" s="3234"/>
      <c r="M493" s="3234"/>
      <c r="N493" s="3234"/>
      <c r="O493" s="3234"/>
    </row>
    <row r="494" spans="2:34" s="599" customFormat="1" ht="13.5" thickBot="1" x14ac:dyDescent="0.25">
      <c r="E494" s="2084"/>
    </row>
    <row r="495" spans="2:34" s="599" customFormat="1" x14ac:dyDescent="0.2">
      <c r="D495" s="2358" t="s">
        <v>1</v>
      </c>
      <c r="E495" s="2359" t="str">
        <f>'TRAD-Saisie données file act.'!B111</f>
        <v>Uniquement des CDF : AZT+3TC &amp; AZT+3TC+NVP</v>
      </c>
      <c r="F495" s="2360"/>
      <c r="G495" s="2361"/>
      <c r="H495" s="2362"/>
    </row>
    <row r="496" spans="2:34" s="599" customFormat="1" x14ac:dyDescent="0.2">
      <c r="D496" s="2363"/>
      <c r="E496" s="2667" t="str">
        <f>'TRAD-Saisie données file act.'!B112</f>
        <v>avec CDF &amp; Solution buvable NVP : AZT+3TC</v>
      </c>
      <c r="F496" s="2364"/>
      <c r="G496" s="2365"/>
      <c r="H496" s="2366"/>
    </row>
    <row r="497" spans="1:34" s="599" customFormat="1" ht="13.5" thickBot="1" x14ac:dyDescent="0.25">
      <c r="D497" s="2367"/>
      <c r="E497" s="2668" t="str">
        <f>'TRAD-Saisie données file act.'!B113</f>
        <v>Tout en solution buvable</v>
      </c>
      <c r="F497" s="2368"/>
      <c r="G497" s="2369"/>
      <c r="H497" s="2370"/>
    </row>
    <row r="498" spans="1:34" s="599" customFormat="1" x14ac:dyDescent="0.2">
      <c r="D498" s="2371" t="s">
        <v>2</v>
      </c>
      <c r="E498" s="2669" t="str">
        <f>'TRAD-Saisie données file act.'!B114</f>
        <v>avec CDF D4T+3TC+NVP &amp; sol buv D4T &amp; 3TC</v>
      </c>
      <c r="F498" s="1042"/>
      <c r="G498" s="2372"/>
      <c r="H498" s="2373"/>
    </row>
    <row r="499" spans="1:34" s="599" customFormat="1" ht="13.5" thickBot="1" x14ac:dyDescent="0.25">
      <c r="D499" s="2367"/>
      <c r="E499" s="2668" t="str">
        <f>'TRAD-Saisie données file act.'!B115</f>
        <v>Tout en solution buvable</v>
      </c>
      <c r="F499" s="2368"/>
      <c r="G499" s="2369"/>
      <c r="H499" s="2370"/>
    </row>
    <row r="500" spans="1:34" s="599" customFormat="1" x14ac:dyDescent="0.2">
      <c r="E500" s="2084"/>
    </row>
    <row r="501" spans="1:34" s="599" customFormat="1" ht="13.5" thickBot="1" x14ac:dyDescent="0.25">
      <c r="D501" s="2084"/>
    </row>
    <row r="502" spans="1:34" s="146" customFormat="1" ht="13.5" thickBot="1" x14ac:dyDescent="0.25">
      <c r="A502" s="174"/>
      <c r="B502" s="1168" t="str">
        <f>'TRAD-Saisie données file act.'!B116</f>
        <v>Tranche 3 - 9,9 kg</v>
      </c>
      <c r="C502" s="1162"/>
      <c r="D502" s="1166"/>
      <c r="E502" s="1166"/>
      <c r="F502" s="1166"/>
      <c r="G502" s="1166"/>
      <c r="H502" s="1166"/>
      <c r="I502" s="1167"/>
    </row>
    <row r="503" spans="1:34" s="146" customFormat="1" ht="13.5" thickBot="1" x14ac:dyDescent="0.25">
      <c r="A503" s="174"/>
      <c r="B503" s="174"/>
      <c r="C503" s="2126"/>
      <c r="D503" s="2127"/>
      <c r="E503" s="2128"/>
      <c r="F503" s="2128"/>
      <c r="G503" s="2128"/>
      <c r="H503" s="2128"/>
      <c r="I503" s="2128"/>
      <c r="J503" s="2128"/>
    </row>
    <row r="504" spans="1:34" s="146" customFormat="1" ht="26.25" thickBot="1" x14ac:dyDescent="0.25">
      <c r="A504" s="174"/>
      <c r="B504" s="174"/>
      <c r="E504" s="1172" t="str">
        <f>'TRAD-Saisie données file act.'!B117</f>
        <v>Solutions buvables</v>
      </c>
      <c r="F504" s="1173"/>
      <c r="G504" s="1173"/>
      <c r="H504" s="1173"/>
      <c r="I504" s="1173"/>
      <c r="J504" s="1173"/>
      <c r="K504" s="1162"/>
      <c r="L504" s="1162"/>
      <c r="M504" s="191" t="str">
        <f>'TRAD-Saisie données file act.'!B119</f>
        <v>Comprimés</v>
      </c>
      <c r="N504" s="1162"/>
      <c r="O504" s="1162"/>
      <c r="P504" s="1162"/>
      <c r="Q504" s="1162"/>
      <c r="R504" s="1162"/>
      <c r="S504" s="1162"/>
      <c r="T504" s="1162"/>
      <c r="U504" s="1162"/>
      <c r="V504" s="1162"/>
      <c r="W504" s="1162"/>
      <c r="X504" s="1162"/>
      <c r="Y504" s="1162"/>
      <c r="Z504" s="1162"/>
      <c r="AA504" s="1162"/>
      <c r="AB504" s="1162"/>
      <c r="AC504" s="1162"/>
      <c r="AD504" s="1162"/>
      <c r="AE504" s="1162"/>
      <c r="AF504" s="1162"/>
      <c r="AG504" s="1163"/>
    </row>
    <row r="505" spans="1:34" s="1123" customFormat="1" ht="25.5" x14ac:dyDescent="0.2">
      <c r="A505" s="1122"/>
      <c r="B505" s="1122"/>
      <c r="D505" s="1109" t="str">
        <f>'TRAD-Saisie données file act.'!B118</f>
        <v>Nb de boites / mois pour l'ensemble des patients</v>
      </c>
      <c r="E505" s="1125" t="s">
        <v>32</v>
      </c>
      <c r="F505" s="1125" t="s">
        <v>82</v>
      </c>
      <c r="G505" s="1125" t="s">
        <v>34</v>
      </c>
      <c r="H505" s="1125" t="s">
        <v>36</v>
      </c>
      <c r="I505" s="1125" t="s">
        <v>37</v>
      </c>
      <c r="J505" s="1125" t="s">
        <v>29</v>
      </c>
      <c r="K505" s="1125" t="s">
        <v>27</v>
      </c>
      <c r="L505" s="1174" t="s">
        <v>42</v>
      </c>
      <c r="M505" s="1182" t="s">
        <v>1</v>
      </c>
      <c r="N505" s="1124" t="str">
        <f>'TRAD-Saisie données file act.'!B138</f>
        <v>AZT+3TC+NVP bébé</v>
      </c>
      <c r="O505" s="1124" t="s">
        <v>18</v>
      </c>
      <c r="P505" s="1124" t="str">
        <f>'TRAD-Saisie données file act.'!B140</f>
        <v>AZT+3TC bébé</v>
      </c>
      <c r="Q505" s="1124" t="s">
        <v>2</v>
      </c>
      <c r="R505" s="1124" t="str">
        <f>'TRAD-Saisie données file act.'!B142</f>
        <v>D4T+3TC+NVP bébé</v>
      </c>
      <c r="S505" s="1124" t="s">
        <v>22</v>
      </c>
      <c r="T505" s="1124" t="s">
        <v>3</v>
      </c>
      <c r="U505" s="1124" t="s">
        <v>596</v>
      </c>
      <c r="V505" s="1124" t="str">
        <f>'TRAD-Saisie données file act.'!B146</f>
        <v>ABC+3TC bébé</v>
      </c>
      <c r="W505" s="1124" t="s">
        <v>34</v>
      </c>
      <c r="X505" s="1124" t="s">
        <v>36</v>
      </c>
      <c r="Y505" s="1124" t="str">
        <f>'TRAD-Saisie données file act.'!B148</f>
        <v>ABC bébé</v>
      </c>
      <c r="Z505" s="1124" t="s">
        <v>32</v>
      </c>
      <c r="AA505" s="1124" t="str">
        <f>'TRAD-Saisie données file act.'!B149</f>
        <v>AZT bébé</v>
      </c>
      <c r="AB505" s="1124" t="s">
        <v>37</v>
      </c>
      <c r="AC505" s="1124" t="s">
        <v>29</v>
      </c>
      <c r="AD505" s="1124" t="s">
        <v>27</v>
      </c>
      <c r="AE505" s="1124" t="s">
        <v>27</v>
      </c>
      <c r="AF505" s="1124" t="s">
        <v>42</v>
      </c>
      <c r="AG505" s="1126" t="str">
        <f>'TRAD-Saisie données file act.'!B152</f>
        <v>LPV/r bébé</v>
      </c>
    </row>
    <row r="506" spans="1:34" s="1123" customFormat="1" ht="26.25" thickBot="1" x14ac:dyDescent="0.25">
      <c r="A506" s="1122"/>
      <c r="B506" s="1122"/>
      <c r="D506" s="1109" t="str">
        <f>'TRAD-Saisie données file act.'!B119</f>
        <v>Comprimés</v>
      </c>
      <c r="E506" s="1124" t="s">
        <v>80</v>
      </c>
      <c r="F506" s="1125" t="s">
        <v>80</v>
      </c>
      <c r="G506" s="1125" t="s">
        <v>80</v>
      </c>
      <c r="H506" s="1125" t="s">
        <v>88</v>
      </c>
      <c r="I506" s="1125" t="s">
        <v>91</v>
      </c>
      <c r="J506" s="1125" t="s">
        <v>80</v>
      </c>
      <c r="K506" s="1125" t="s">
        <v>86</v>
      </c>
      <c r="L506" s="1174" t="s">
        <v>93</v>
      </c>
      <c r="M506" s="1182" t="s">
        <v>17</v>
      </c>
      <c r="N506" s="1124" t="s">
        <v>258</v>
      </c>
      <c r="O506" s="1124" t="s">
        <v>19</v>
      </c>
      <c r="P506" s="1124" t="s">
        <v>260</v>
      </c>
      <c r="Q506" s="1124" t="s">
        <v>21</v>
      </c>
      <c r="R506" s="1124" t="s">
        <v>102</v>
      </c>
      <c r="S506" s="1124" t="s">
        <v>23</v>
      </c>
      <c r="T506" s="3091" t="s">
        <v>727</v>
      </c>
      <c r="U506" s="1124" t="s">
        <v>728</v>
      </c>
      <c r="V506" s="1124" t="s">
        <v>260</v>
      </c>
      <c r="W506" s="1124" t="s">
        <v>35</v>
      </c>
      <c r="X506" s="1124" t="s">
        <v>33</v>
      </c>
      <c r="Y506" s="1124" t="s">
        <v>611</v>
      </c>
      <c r="Z506" s="1124" t="s">
        <v>46</v>
      </c>
      <c r="AA506" s="1124" t="s">
        <v>611</v>
      </c>
      <c r="AB506" s="1124" t="s">
        <v>38</v>
      </c>
      <c r="AC506" s="1124" t="s">
        <v>30</v>
      </c>
      <c r="AD506" s="1124" t="s">
        <v>30</v>
      </c>
      <c r="AE506" s="1124" t="s">
        <v>105</v>
      </c>
      <c r="AF506" s="1124" t="s">
        <v>43</v>
      </c>
      <c r="AG506" s="1126" t="s">
        <v>496</v>
      </c>
    </row>
    <row r="507" spans="1:34" s="146" customFormat="1" ht="76.5" x14ac:dyDescent="0.2">
      <c r="A507" s="174"/>
      <c r="B507" s="174"/>
      <c r="C507" s="1109" t="str">
        <f>'TRAD-Saisie données file act.'!B15</f>
        <v>Schéma thérapeutique</v>
      </c>
      <c r="D507" s="1109" t="str">
        <f>'TRAD-Saisie données file act.'!B120</f>
        <v>Vérification nb de produits sélectionnés</v>
      </c>
      <c r="E507" s="1112"/>
      <c r="F507" s="1112"/>
      <c r="G507" s="1112"/>
      <c r="H507" s="1112"/>
      <c r="I507" s="1112"/>
      <c r="J507" s="1112"/>
      <c r="K507" s="1112"/>
      <c r="L507" s="1175"/>
      <c r="M507" s="1183"/>
      <c r="N507" s="1112"/>
      <c r="O507" s="1112"/>
      <c r="P507" s="1112"/>
      <c r="Q507" s="1112"/>
      <c r="R507" s="1112"/>
      <c r="S507" s="1112"/>
      <c r="T507" s="1112"/>
      <c r="U507" s="1112"/>
      <c r="V507" s="1112"/>
      <c r="W507" s="1112"/>
      <c r="X507" s="1112"/>
      <c r="Y507" s="1112"/>
      <c r="Z507" s="1112"/>
      <c r="AA507" s="1112"/>
      <c r="AB507" s="1112"/>
      <c r="AC507" s="1112"/>
      <c r="AD507" s="1112"/>
      <c r="AE507" s="1112"/>
      <c r="AF507" s="1112"/>
      <c r="AG507" s="1175"/>
      <c r="AH507" s="2352" t="str">
        <f>'TRAD-Saisie données file act.'!B120</f>
        <v>Vérification nb de produits sélectionnés</v>
      </c>
    </row>
    <row r="508" spans="1:34" s="146" customFormat="1" x14ac:dyDescent="0.2">
      <c r="A508" s="174"/>
      <c r="B508" s="174"/>
      <c r="D508" s="1110" t="str">
        <f>$D$371</f>
        <v>ABC+3TC+LPV/r</v>
      </c>
      <c r="E508" s="2502"/>
      <c r="F508" s="2502"/>
      <c r="G508" s="2502"/>
      <c r="H508" s="2502"/>
      <c r="I508" s="2502"/>
      <c r="J508" s="2502"/>
      <c r="K508" s="2502"/>
      <c r="L508" s="2503"/>
      <c r="M508" s="2504"/>
      <c r="N508" s="2502"/>
      <c r="O508" s="2502"/>
      <c r="P508" s="2502"/>
      <c r="Q508" s="2502"/>
      <c r="R508" s="2502"/>
      <c r="S508" s="2502"/>
      <c r="T508" s="2502"/>
      <c r="U508" s="2502"/>
      <c r="V508" s="2502"/>
      <c r="W508" s="2502"/>
      <c r="X508" s="2502"/>
      <c r="Y508" s="2502"/>
      <c r="Z508" s="2502"/>
      <c r="AA508" s="2502"/>
      <c r="AB508" s="2502"/>
      <c r="AC508" s="2502"/>
      <c r="AD508" s="2502"/>
      <c r="AE508" s="2502"/>
      <c r="AF508" s="2502"/>
      <c r="AG508" s="2503"/>
      <c r="AH508" s="2353">
        <f t="shared" ref="AH508:AH529" si="41">COUNTIF(E508:AG508, "X")</f>
        <v>0</v>
      </c>
    </row>
    <row r="509" spans="1:34" s="146" customFormat="1" x14ac:dyDescent="0.2">
      <c r="A509" s="174"/>
      <c r="B509" s="174"/>
      <c r="D509" s="1110" t="str">
        <f>$D$372</f>
        <v>ABC+3TC+EFV</v>
      </c>
      <c r="E509" s="2502"/>
      <c r="F509" s="2502"/>
      <c r="G509" s="2502"/>
      <c r="H509" s="2502"/>
      <c r="I509" s="2502"/>
      <c r="J509" s="2502"/>
      <c r="K509" s="2502"/>
      <c r="L509" s="2503"/>
      <c r="M509" s="2504"/>
      <c r="N509" s="2502"/>
      <c r="O509" s="2502"/>
      <c r="P509" s="2502"/>
      <c r="Q509" s="2502"/>
      <c r="R509" s="2502"/>
      <c r="S509" s="2502"/>
      <c r="T509" s="2502"/>
      <c r="U509" s="2502"/>
      <c r="V509" s="2502"/>
      <c r="W509" s="2502"/>
      <c r="X509" s="2502"/>
      <c r="Y509" s="2502"/>
      <c r="Z509" s="2502"/>
      <c r="AA509" s="2502"/>
      <c r="AB509" s="2502"/>
      <c r="AC509" s="2502"/>
      <c r="AD509" s="2502"/>
      <c r="AE509" s="2502"/>
      <c r="AF509" s="2502"/>
      <c r="AG509" s="2503"/>
      <c r="AH509" s="2353">
        <f t="shared" si="41"/>
        <v>0</v>
      </c>
    </row>
    <row r="510" spans="1:34" s="146" customFormat="1" x14ac:dyDescent="0.2">
      <c r="A510" s="174"/>
      <c r="B510" s="174"/>
      <c r="D510" s="1110" t="str">
        <f>$D$373</f>
        <v>ABC+3TC+AZT</v>
      </c>
      <c r="E510" s="2502"/>
      <c r="F510" s="2502"/>
      <c r="G510" s="2502"/>
      <c r="H510" s="2502"/>
      <c r="I510" s="2502"/>
      <c r="J510" s="2502"/>
      <c r="K510" s="2502"/>
      <c r="L510" s="2503"/>
      <c r="M510" s="2504"/>
      <c r="N510" s="2502"/>
      <c r="O510" s="2502"/>
      <c r="P510" s="2502"/>
      <c r="Q510" s="2502"/>
      <c r="R510" s="2502"/>
      <c r="S510" s="2502"/>
      <c r="T510" s="2502"/>
      <c r="U510" s="2502"/>
      <c r="V510" s="2502"/>
      <c r="W510" s="2502"/>
      <c r="X510" s="2502"/>
      <c r="Y510" s="2502"/>
      <c r="Z510" s="2502"/>
      <c r="AA510" s="2502"/>
      <c r="AB510" s="2502"/>
      <c r="AC510" s="2502"/>
      <c r="AD510" s="2502"/>
      <c r="AE510" s="2502"/>
      <c r="AF510" s="2502"/>
      <c r="AG510" s="2503"/>
      <c r="AH510" s="2353">
        <f t="shared" si="41"/>
        <v>0</v>
      </c>
    </row>
    <row r="511" spans="1:34" s="146" customFormat="1" x14ac:dyDescent="0.2">
      <c r="A511" s="174"/>
      <c r="B511" s="174"/>
      <c r="D511" s="1110">
        <f>$D$374</f>
        <v>0</v>
      </c>
      <c r="E511" s="2502"/>
      <c r="F511" s="2502"/>
      <c r="G511" s="2502"/>
      <c r="H511" s="2502"/>
      <c r="I511" s="2502"/>
      <c r="J511" s="2502"/>
      <c r="K511" s="2502"/>
      <c r="L511" s="2503"/>
      <c r="M511" s="2504"/>
      <c r="N511" s="2502"/>
      <c r="O511" s="2502"/>
      <c r="P511" s="2502"/>
      <c r="Q511" s="2502"/>
      <c r="R511" s="2502"/>
      <c r="S511" s="2502"/>
      <c r="T511" s="2502"/>
      <c r="U511" s="2502"/>
      <c r="V511" s="2502"/>
      <c r="W511" s="2502"/>
      <c r="X511" s="2502"/>
      <c r="Y511" s="2502"/>
      <c r="Z511" s="2502"/>
      <c r="AA511" s="2502"/>
      <c r="AB511" s="2502"/>
      <c r="AC511" s="2502"/>
      <c r="AD511" s="2502"/>
      <c r="AE511" s="2502"/>
      <c r="AF511" s="2502"/>
      <c r="AG511" s="2503"/>
      <c r="AH511" s="2353">
        <f t="shared" si="41"/>
        <v>0</v>
      </c>
    </row>
    <row r="512" spans="1:34" s="146" customFormat="1" x14ac:dyDescent="0.2">
      <c r="A512" s="174"/>
      <c r="B512" s="174"/>
      <c r="D512" s="1110">
        <f>$D$375</f>
        <v>0</v>
      </c>
      <c r="E512" s="2502"/>
      <c r="F512" s="2502"/>
      <c r="G512" s="2502"/>
      <c r="H512" s="2502"/>
      <c r="I512" s="2502"/>
      <c r="J512" s="2502"/>
      <c r="K512" s="2502"/>
      <c r="L512" s="2503"/>
      <c r="M512" s="2504"/>
      <c r="N512" s="2502"/>
      <c r="O512" s="2502"/>
      <c r="P512" s="2502"/>
      <c r="Q512" s="2502"/>
      <c r="R512" s="2502"/>
      <c r="S512" s="2502"/>
      <c r="T512" s="2502"/>
      <c r="U512" s="2502"/>
      <c r="V512" s="2502"/>
      <c r="W512" s="2502"/>
      <c r="X512" s="2502"/>
      <c r="Y512" s="2502"/>
      <c r="Z512" s="2502"/>
      <c r="AA512" s="2502"/>
      <c r="AB512" s="2502"/>
      <c r="AC512" s="2502"/>
      <c r="AD512" s="2502"/>
      <c r="AE512" s="2502"/>
      <c r="AF512" s="2502"/>
      <c r="AG512" s="2503"/>
      <c r="AH512" s="2353">
        <f t="shared" si="41"/>
        <v>0</v>
      </c>
    </row>
    <row r="513" spans="1:34" s="146" customFormat="1" x14ac:dyDescent="0.2">
      <c r="A513" s="174"/>
      <c r="B513" s="174"/>
      <c r="D513" s="1110">
        <f>$D$376</f>
        <v>0</v>
      </c>
      <c r="E513" s="2502"/>
      <c r="F513" s="2502"/>
      <c r="G513" s="2502"/>
      <c r="H513" s="2502"/>
      <c r="I513" s="2502"/>
      <c r="J513" s="2502"/>
      <c r="K513" s="2502"/>
      <c r="L513" s="2503"/>
      <c r="M513" s="2504"/>
      <c r="N513" s="2502"/>
      <c r="O513" s="2502"/>
      <c r="P513" s="2502"/>
      <c r="Q513" s="2502"/>
      <c r="R513" s="2502"/>
      <c r="S513" s="2502"/>
      <c r="T513" s="2502"/>
      <c r="U513" s="2502"/>
      <c r="V513" s="2502"/>
      <c r="W513" s="2502"/>
      <c r="X513" s="2502"/>
      <c r="Y513" s="2502"/>
      <c r="Z513" s="2502"/>
      <c r="AA513" s="2502"/>
      <c r="AB513" s="2502"/>
      <c r="AC513" s="2502"/>
      <c r="AD513" s="2502"/>
      <c r="AE513" s="2502"/>
      <c r="AF513" s="2502"/>
      <c r="AG513" s="2503"/>
      <c r="AH513" s="2353">
        <f t="shared" si="41"/>
        <v>0</v>
      </c>
    </row>
    <row r="514" spans="1:34" s="146" customFormat="1" x14ac:dyDescent="0.2">
      <c r="A514" s="174"/>
      <c r="B514" s="174"/>
      <c r="D514" s="1114" t="str">
        <f>'TRAD-Saisie données file act.'!$B$31</f>
        <v>Deuxièmes lignes</v>
      </c>
      <c r="E514" s="2505"/>
      <c r="F514" s="2505"/>
      <c r="G514" s="2505"/>
      <c r="H514" s="2505"/>
      <c r="I514" s="2505"/>
      <c r="J514" s="2505"/>
      <c r="K514" s="2505"/>
      <c r="L514" s="2506"/>
      <c r="M514" s="2507"/>
      <c r="N514" s="2505"/>
      <c r="O514" s="2505"/>
      <c r="P514" s="2505"/>
      <c r="Q514" s="2505"/>
      <c r="R514" s="2505"/>
      <c r="S514" s="2505"/>
      <c r="T514" s="2505"/>
      <c r="U514" s="2505"/>
      <c r="V514" s="2505"/>
      <c r="W514" s="2505"/>
      <c r="X514" s="2505"/>
      <c r="Y514" s="2505"/>
      <c r="Z514" s="2505"/>
      <c r="AA514" s="2505"/>
      <c r="AB514" s="2505"/>
      <c r="AC514" s="2505"/>
      <c r="AD514" s="2505"/>
      <c r="AE514" s="2505"/>
      <c r="AF514" s="2505"/>
      <c r="AG514" s="2506"/>
      <c r="AH514" s="2353">
        <f t="shared" si="41"/>
        <v>0</v>
      </c>
    </row>
    <row r="515" spans="1:34" s="146" customFormat="1" x14ac:dyDescent="0.2">
      <c r="A515" s="174"/>
      <c r="B515" s="174"/>
      <c r="D515" s="1110" t="str">
        <f>$D$378</f>
        <v>AZT+3TC+LPV/r</v>
      </c>
      <c r="E515" s="2502"/>
      <c r="F515" s="2502"/>
      <c r="G515" s="2502"/>
      <c r="H515" s="2502"/>
      <c r="I515" s="2502"/>
      <c r="J515" s="2502"/>
      <c r="K515" s="2502"/>
      <c r="L515" s="2503"/>
      <c r="M515" s="2504"/>
      <c r="N515" s="2502"/>
      <c r="O515" s="2502"/>
      <c r="P515" s="2502"/>
      <c r="Q515" s="2502"/>
      <c r="R515" s="2502"/>
      <c r="S515" s="2502"/>
      <c r="T515" s="2502"/>
      <c r="U515" s="2502"/>
      <c r="V515" s="2502"/>
      <c r="W515" s="2502"/>
      <c r="X515" s="2502"/>
      <c r="Y515" s="2502"/>
      <c r="Z515" s="2502"/>
      <c r="AA515" s="2502"/>
      <c r="AB515" s="2502"/>
      <c r="AC515" s="2502"/>
      <c r="AD515" s="2502"/>
      <c r="AE515" s="2502"/>
      <c r="AF515" s="2502"/>
      <c r="AG515" s="2503"/>
      <c r="AH515" s="2353">
        <f t="shared" si="41"/>
        <v>0</v>
      </c>
    </row>
    <row r="516" spans="1:34" s="146" customFormat="1" x14ac:dyDescent="0.2">
      <c r="A516" s="174"/>
      <c r="B516" s="174"/>
      <c r="D516" s="1110">
        <f>$D$379</f>
        <v>0</v>
      </c>
      <c r="E516" s="2502"/>
      <c r="F516" s="2502"/>
      <c r="G516" s="2502"/>
      <c r="H516" s="2502"/>
      <c r="I516" s="2502"/>
      <c r="J516" s="2502"/>
      <c r="K516" s="2502"/>
      <c r="L516" s="2503"/>
      <c r="M516" s="2504"/>
      <c r="N516" s="2502"/>
      <c r="O516" s="2502"/>
      <c r="P516" s="2502"/>
      <c r="Q516" s="2502"/>
      <c r="R516" s="2502"/>
      <c r="S516" s="2502"/>
      <c r="T516" s="2502"/>
      <c r="U516" s="2502"/>
      <c r="V516" s="2502"/>
      <c r="W516" s="2502"/>
      <c r="X516" s="2502"/>
      <c r="Y516" s="2502"/>
      <c r="Z516" s="2502"/>
      <c r="AA516" s="2502"/>
      <c r="AB516" s="2502"/>
      <c r="AC516" s="2502"/>
      <c r="AD516" s="2502"/>
      <c r="AE516" s="2502"/>
      <c r="AF516" s="2502"/>
      <c r="AG516" s="2503"/>
      <c r="AH516" s="2353">
        <f t="shared" si="41"/>
        <v>0</v>
      </c>
    </row>
    <row r="517" spans="1:34" s="146" customFormat="1" x14ac:dyDescent="0.2">
      <c r="A517" s="174"/>
      <c r="B517" s="174"/>
      <c r="D517" s="1110">
        <f>$D$380</f>
        <v>0</v>
      </c>
      <c r="E517" s="2502"/>
      <c r="F517" s="2502"/>
      <c r="G517" s="2502"/>
      <c r="H517" s="2502"/>
      <c r="I517" s="2502"/>
      <c r="J517" s="2502"/>
      <c r="K517" s="2502"/>
      <c r="L517" s="2503"/>
      <c r="M517" s="2504"/>
      <c r="N517" s="2502"/>
      <c r="O517" s="2502"/>
      <c r="P517" s="2502"/>
      <c r="Q517" s="2502"/>
      <c r="R517" s="2502"/>
      <c r="S517" s="2502"/>
      <c r="T517" s="2502"/>
      <c r="U517" s="2502"/>
      <c r="V517" s="2502"/>
      <c r="W517" s="2502"/>
      <c r="X517" s="2502"/>
      <c r="Y517" s="2502"/>
      <c r="Z517" s="2502"/>
      <c r="AA517" s="2502"/>
      <c r="AB517" s="2502"/>
      <c r="AC517" s="2502"/>
      <c r="AD517" s="2502"/>
      <c r="AE517" s="2502"/>
      <c r="AF517" s="2502"/>
      <c r="AG517" s="2503"/>
      <c r="AH517" s="2353">
        <f t="shared" si="41"/>
        <v>0</v>
      </c>
    </row>
    <row r="518" spans="1:34" s="146" customFormat="1" x14ac:dyDescent="0.2">
      <c r="A518" s="174"/>
      <c r="B518" s="174"/>
      <c r="D518" s="1110">
        <f>$D$381</f>
        <v>0</v>
      </c>
      <c r="E518" s="2502"/>
      <c r="F518" s="2502"/>
      <c r="G518" s="2502"/>
      <c r="H518" s="2502"/>
      <c r="I518" s="2502"/>
      <c r="J518" s="2502"/>
      <c r="K518" s="2502"/>
      <c r="L518" s="2503"/>
      <c r="M518" s="2504"/>
      <c r="N518" s="2502"/>
      <c r="O518" s="2502"/>
      <c r="P518" s="2502"/>
      <c r="Q518" s="2502"/>
      <c r="R518" s="2502"/>
      <c r="S518" s="2502"/>
      <c r="T518" s="2502"/>
      <c r="U518" s="2502"/>
      <c r="V518" s="2502"/>
      <c r="W518" s="2502"/>
      <c r="X518" s="2502"/>
      <c r="Y518" s="2502"/>
      <c r="Z518" s="2502"/>
      <c r="AA518" s="2502"/>
      <c r="AB518" s="2502"/>
      <c r="AC518" s="2502"/>
      <c r="AD518" s="2502"/>
      <c r="AE518" s="2502"/>
      <c r="AF518" s="2502"/>
      <c r="AG518" s="2503"/>
      <c r="AH518" s="2353">
        <f t="shared" si="41"/>
        <v>0</v>
      </c>
    </row>
    <row r="519" spans="1:34" s="146" customFormat="1" x14ac:dyDescent="0.2">
      <c r="A519" s="174"/>
      <c r="B519" s="174"/>
      <c r="D519" s="1110">
        <f>$D$382</f>
        <v>0</v>
      </c>
      <c r="E519" s="2502"/>
      <c r="F519" s="2502"/>
      <c r="G519" s="2502"/>
      <c r="H519" s="2502"/>
      <c r="I519" s="2502"/>
      <c r="J519" s="2502"/>
      <c r="K519" s="2502"/>
      <c r="L519" s="2503"/>
      <c r="M519" s="2504"/>
      <c r="N519" s="2502"/>
      <c r="O519" s="2502"/>
      <c r="P519" s="2502"/>
      <c r="Q519" s="2502"/>
      <c r="R519" s="2502"/>
      <c r="S519" s="2502"/>
      <c r="T519" s="2502"/>
      <c r="U519" s="2502"/>
      <c r="V519" s="2502"/>
      <c r="W519" s="2502"/>
      <c r="X519" s="2502"/>
      <c r="Y519" s="2502"/>
      <c r="Z519" s="2502"/>
      <c r="AA519" s="2502"/>
      <c r="AB519" s="2502"/>
      <c r="AC519" s="2502"/>
      <c r="AD519" s="2502"/>
      <c r="AE519" s="2502"/>
      <c r="AF519" s="2502"/>
      <c r="AG519" s="2503"/>
      <c r="AH519" s="2353">
        <f t="shared" si="41"/>
        <v>0</v>
      </c>
    </row>
    <row r="520" spans="1:34" s="146" customFormat="1" x14ac:dyDescent="0.2">
      <c r="A520" s="174"/>
      <c r="B520" s="174"/>
      <c r="D520" s="1114" t="str">
        <f>'TRAD-Saisie données file act.'!$B$32</f>
        <v>Lignes alternatives</v>
      </c>
      <c r="E520" s="2505"/>
      <c r="F520" s="2505"/>
      <c r="G520" s="2505"/>
      <c r="H520" s="2505"/>
      <c r="I520" s="2505"/>
      <c r="J520" s="2505"/>
      <c r="K520" s="2505"/>
      <c r="L520" s="2506"/>
      <c r="M520" s="2507"/>
      <c r="N520" s="2505"/>
      <c r="O520" s="2505"/>
      <c r="P520" s="2505"/>
      <c r="Q520" s="2505"/>
      <c r="R520" s="2505"/>
      <c r="S520" s="2505"/>
      <c r="T520" s="2505"/>
      <c r="U520" s="2505"/>
      <c r="V520" s="2505"/>
      <c r="W520" s="2505"/>
      <c r="X520" s="2505"/>
      <c r="Y520" s="2505"/>
      <c r="Z520" s="2505"/>
      <c r="AA520" s="2505"/>
      <c r="AB520" s="2505"/>
      <c r="AC520" s="2505"/>
      <c r="AD520" s="2505"/>
      <c r="AE520" s="2505"/>
      <c r="AF520" s="2505"/>
      <c r="AG520" s="2506"/>
      <c r="AH520" s="2353">
        <f t="shared" si="41"/>
        <v>0</v>
      </c>
    </row>
    <row r="521" spans="1:34" s="146" customFormat="1" x14ac:dyDescent="0.2">
      <c r="A521" s="174"/>
      <c r="B521" s="174"/>
      <c r="D521" s="1115">
        <f>$D$384</f>
        <v>0</v>
      </c>
      <c r="E521" s="2502"/>
      <c r="F521" s="2502"/>
      <c r="G521" s="2502"/>
      <c r="H521" s="2502"/>
      <c r="I521" s="2502"/>
      <c r="J521" s="2502"/>
      <c r="K521" s="2502"/>
      <c r="L521" s="2503"/>
      <c r="M521" s="2504"/>
      <c r="N521" s="2502"/>
      <c r="O521" s="2502"/>
      <c r="P521" s="2502"/>
      <c r="Q521" s="2502"/>
      <c r="R521" s="2502"/>
      <c r="S521" s="2502"/>
      <c r="T521" s="2502"/>
      <c r="U521" s="2502"/>
      <c r="V521" s="2502"/>
      <c r="W521" s="2502"/>
      <c r="X521" s="2502"/>
      <c r="Y521" s="2502"/>
      <c r="Z521" s="2502"/>
      <c r="AA521" s="2502"/>
      <c r="AB521" s="2502"/>
      <c r="AC521" s="2502"/>
      <c r="AD521" s="2502"/>
      <c r="AE521" s="2502"/>
      <c r="AF521" s="2502"/>
      <c r="AG521" s="2503"/>
      <c r="AH521" s="2353">
        <f t="shared" si="41"/>
        <v>0</v>
      </c>
    </row>
    <row r="522" spans="1:34" s="146" customFormat="1" x14ac:dyDescent="0.2">
      <c r="A522" s="174"/>
      <c r="B522" s="174"/>
      <c r="D522" s="1115">
        <f>$D$385</f>
        <v>0</v>
      </c>
      <c r="E522" s="2502"/>
      <c r="F522" s="2502"/>
      <c r="G522" s="2502"/>
      <c r="H522" s="2502"/>
      <c r="I522" s="2502"/>
      <c r="J522" s="2502"/>
      <c r="K522" s="2502"/>
      <c r="L522" s="2503"/>
      <c r="M522" s="2504"/>
      <c r="N522" s="2502"/>
      <c r="O522" s="2502"/>
      <c r="P522" s="2502"/>
      <c r="Q522" s="2502"/>
      <c r="R522" s="2502"/>
      <c r="S522" s="2502"/>
      <c r="T522" s="2502"/>
      <c r="U522" s="2502"/>
      <c r="V522" s="2502"/>
      <c r="W522" s="2502"/>
      <c r="X522" s="2502"/>
      <c r="Y522" s="2502"/>
      <c r="Z522" s="2502"/>
      <c r="AA522" s="2502"/>
      <c r="AB522" s="2502"/>
      <c r="AC522" s="2502"/>
      <c r="AD522" s="2502"/>
      <c r="AE522" s="2502"/>
      <c r="AF522" s="2502"/>
      <c r="AG522" s="2503"/>
      <c r="AH522" s="2353">
        <f t="shared" si="41"/>
        <v>0</v>
      </c>
    </row>
    <row r="523" spans="1:34" s="146" customFormat="1" x14ac:dyDescent="0.2">
      <c r="A523" s="174"/>
      <c r="B523" s="174"/>
      <c r="D523" s="1115">
        <f>$D$386</f>
        <v>0</v>
      </c>
      <c r="E523" s="2502"/>
      <c r="F523" s="2502"/>
      <c r="G523" s="2502"/>
      <c r="H523" s="2502"/>
      <c r="I523" s="2502"/>
      <c r="J523" s="2502"/>
      <c r="K523" s="2502"/>
      <c r="L523" s="2503"/>
      <c r="M523" s="2504"/>
      <c r="N523" s="2502"/>
      <c r="O523" s="2502"/>
      <c r="P523" s="2502"/>
      <c r="Q523" s="2502"/>
      <c r="R523" s="2502"/>
      <c r="S523" s="2502"/>
      <c r="T523" s="2502"/>
      <c r="U523" s="2502"/>
      <c r="V523" s="2502"/>
      <c r="W523" s="2502"/>
      <c r="X523" s="2502"/>
      <c r="Y523" s="2502"/>
      <c r="Z523" s="2502"/>
      <c r="AA523" s="2502"/>
      <c r="AB523" s="2502"/>
      <c r="AC523" s="2502"/>
      <c r="AD523" s="2502"/>
      <c r="AE523" s="2502"/>
      <c r="AF523" s="2502"/>
      <c r="AG523" s="2503"/>
      <c r="AH523" s="2353">
        <f t="shared" si="41"/>
        <v>0</v>
      </c>
    </row>
    <row r="524" spans="1:34" s="146" customFormat="1" x14ac:dyDescent="0.2">
      <c r="A524" s="174"/>
      <c r="B524" s="174"/>
      <c r="D524" s="1115">
        <f>$D$387</f>
        <v>0</v>
      </c>
      <c r="E524" s="2502"/>
      <c r="F524" s="2502"/>
      <c r="G524" s="2502"/>
      <c r="H524" s="2502"/>
      <c r="I524" s="2502"/>
      <c r="J524" s="2502"/>
      <c r="K524" s="2502"/>
      <c r="L524" s="2503"/>
      <c r="M524" s="2504"/>
      <c r="N524" s="2502"/>
      <c r="O524" s="2502"/>
      <c r="P524" s="2502"/>
      <c r="Q524" s="2502"/>
      <c r="R524" s="2502"/>
      <c r="S524" s="2502"/>
      <c r="T524" s="2502"/>
      <c r="U524" s="2502"/>
      <c r="V524" s="2502"/>
      <c r="W524" s="2502"/>
      <c r="X524" s="2502"/>
      <c r="Y524" s="2502"/>
      <c r="Z524" s="2502"/>
      <c r="AA524" s="2502"/>
      <c r="AB524" s="2502"/>
      <c r="AC524" s="2502"/>
      <c r="AD524" s="2502"/>
      <c r="AE524" s="2502"/>
      <c r="AF524" s="2502"/>
      <c r="AG524" s="2503"/>
      <c r="AH524" s="2353">
        <f t="shared" si="41"/>
        <v>0</v>
      </c>
    </row>
    <row r="525" spans="1:34" s="146" customFormat="1" x14ac:dyDescent="0.2">
      <c r="A525" s="174"/>
      <c r="B525" s="174"/>
      <c r="D525" s="1115">
        <f>$D$388</f>
        <v>0</v>
      </c>
      <c r="E525" s="2502"/>
      <c r="F525" s="2502"/>
      <c r="G525" s="2502"/>
      <c r="H525" s="2502"/>
      <c r="I525" s="2502"/>
      <c r="J525" s="2502"/>
      <c r="K525" s="2502"/>
      <c r="L525" s="2503"/>
      <c r="M525" s="2504"/>
      <c r="N525" s="2502"/>
      <c r="O525" s="2502"/>
      <c r="P525" s="2502"/>
      <c r="Q525" s="2502"/>
      <c r="R525" s="2502"/>
      <c r="S525" s="2502"/>
      <c r="T525" s="2502"/>
      <c r="U525" s="2502"/>
      <c r="V525" s="2502"/>
      <c r="W525" s="2502"/>
      <c r="X525" s="2502"/>
      <c r="Y525" s="2502"/>
      <c r="Z525" s="2502"/>
      <c r="AA525" s="2502"/>
      <c r="AB525" s="2502"/>
      <c r="AC525" s="2502"/>
      <c r="AD525" s="2502"/>
      <c r="AE525" s="2502"/>
      <c r="AF525" s="2502"/>
      <c r="AG525" s="2503"/>
      <c r="AH525" s="2353">
        <f t="shared" si="41"/>
        <v>0</v>
      </c>
    </row>
    <row r="526" spans="1:34" s="146" customFormat="1" x14ac:dyDescent="0.2">
      <c r="A526" s="174"/>
      <c r="B526" s="174"/>
      <c r="D526" s="1115">
        <f>$D$389</f>
        <v>0</v>
      </c>
      <c r="E526" s="2502"/>
      <c r="F526" s="2502"/>
      <c r="G526" s="2502"/>
      <c r="H526" s="2502"/>
      <c r="I526" s="2502"/>
      <c r="J526" s="2502"/>
      <c r="K526" s="2502"/>
      <c r="L526" s="2503"/>
      <c r="M526" s="2504"/>
      <c r="N526" s="2502"/>
      <c r="O526" s="2502"/>
      <c r="P526" s="2502"/>
      <c r="Q526" s="2502"/>
      <c r="R526" s="2502"/>
      <c r="S526" s="2502"/>
      <c r="T526" s="2502"/>
      <c r="U526" s="2502"/>
      <c r="V526" s="2502"/>
      <c r="W526" s="2502"/>
      <c r="X526" s="2502"/>
      <c r="Y526" s="2502"/>
      <c r="Z526" s="2502"/>
      <c r="AA526" s="2502"/>
      <c r="AB526" s="2502"/>
      <c r="AC526" s="2502"/>
      <c r="AD526" s="2502"/>
      <c r="AE526" s="2502"/>
      <c r="AF526" s="2502"/>
      <c r="AG526" s="2503"/>
      <c r="AH526" s="2353">
        <f t="shared" si="41"/>
        <v>0</v>
      </c>
    </row>
    <row r="527" spans="1:34" s="146" customFormat="1" x14ac:dyDescent="0.2">
      <c r="A527" s="174"/>
      <c r="B527" s="174"/>
      <c r="D527" s="1115">
        <f>$D$390</f>
        <v>0</v>
      </c>
      <c r="E527" s="2502"/>
      <c r="F527" s="2502"/>
      <c r="G527" s="2502"/>
      <c r="H527" s="2502"/>
      <c r="I527" s="2502"/>
      <c r="J527" s="2502"/>
      <c r="K527" s="2502"/>
      <c r="L527" s="2503"/>
      <c r="M527" s="2504"/>
      <c r="N527" s="2502"/>
      <c r="O527" s="2502"/>
      <c r="P527" s="2502"/>
      <c r="Q527" s="2502"/>
      <c r="R527" s="2502"/>
      <c r="S527" s="2502"/>
      <c r="T527" s="2502"/>
      <c r="U527" s="2502"/>
      <c r="V527" s="2502"/>
      <c r="W527" s="2502"/>
      <c r="X527" s="2502"/>
      <c r="Y527" s="2502"/>
      <c r="Z527" s="2502"/>
      <c r="AA527" s="2502"/>
      <c r="AB527" s="2502"/>
      <c r="AC527" s="2502"/>
      <c r="AD527" s="2502"/>
      <c r="AE527" s="2502"/>
      <c r="AF527" s="2502"/>
      <c r="AG527" s="2503"/>
      <c r="AH527" s="2353">
        <f t="shared" si="41"/>
        <v>0</v>
      </c>
    </row>
    <row r="528" spans="1:34" s="146" customFormat="1" x14ac:dyDescent="0.2">
      <c r="A528" s="174"/>
      <c r="B528" s="174"/>
      <c r="D528" s="1115">
        <f>$D$391</f>
        <v>0</v>
      </c>
      <c r="E528" s="2502"/>
      <c r="F528" s="2502"/>
      <c r="G528" s="2502"/>
      <c r="H528" s="2502"/>
      <c r="I528" s="2502"/>
      <c r="J528" s="2502"/>
      <c r="K528" s="2502"/>
      <c r="L528" s="2503"/>
      <c r="M528" s="2504"/>
      <c r="N528" s="2502"/>
      <c r="O528" s="2502"/>
      <c r="P528" s="2502"/>
      <c r="Q528" s="2502"/>
      <c r="R528" s="2502"/>
      <c r="S528" s="2502"/>
      <c r="T528" s="2502"/>
      <c r="U528" s="2502"/>
      <c r="V528" s="2502"/>
      <c r="W528" s="2502"/>
      <c r="X528" s="2502"/>
      <c r="Y528" s="2502"/>
      <c r="Z528" s="2502"/>
      <c r="AA528" s="2502"/>
      <c r="AB528" s="2502"/>
      <c r="AC528" s="2502"/>
      <c r="AD528" s="2502"/>
      <c r="AE528" s="2502"/>
      <c r="AF528" s="2502"/>
      <c r="AG528" s="2503"/>
      <c r="AH528" s="2353">
        <f t="shared" si="41"/>
        <v>0</v>
      </c>
    </row>
    <row r="529" spans="1:34" s="146" customFormat="1" ht="13.5" thickBot="1" x14ac:dyDescent="0.25">
      <c r="A529" s="174"/>
      <c r="B529" s="174"/>
      <c r="D529" s="1116">
        <f>$D$392</f>
        <v>0</v>
      </c>
      <c r="E529" s="2508"/>
      <c r="F529" s="2508"/>
      <c r="G529" s="2508"/>
      <c r="H529" s="2508"/>
      <c r="I529" s="2508"/>
      <c r="J529" s="2508"/>
      <c r="K529" s="2508"/>
      <c r="L529" s="2509"/>
      <c r="M529" s="2510"/>
      <c r="N529" s="2508"/>
      <c r="O529" s="2508"/>
      <c r="P529" s="2508"/>
      <c r="Q529" s="2508"/>
      <c r="R529" s="2508"/>
      <c r="S529" s="2508"/>
      <c r="T529" s="2508"/>
      <c r="U529" s="2508"/>
      <c r="V529" s="2508"/>
      <c r="W529" s="2508"/>
      <c r="X529" s="2508"/>
      <c r="Y529" s="2508"/>
      <c r="Z529" s="2508"/>
      <c r="AA529" s="2508"/>
      <c r="AB529" s="2508"/>
      <c r="AC529" s="2508"/>
      <c r="AD529" s="2508"/>
      <c r="AE529" s="2508"/>
      <c r="AF529" s="2508"/>
      <c r="AG529" s="2509"/>
      <c r="AH529" s="2354">
        <f t="shared" si="41"/>
        <v>0</v>
      </c>
    </row>
    <row r="530" spans="1:34" s="146" customFormat="1" x14ac:dyDescent="0.2">
      <c r="A530" s="174"/>
    </row>
    <row r="531" spans="1:34" s="146" customFormat="1" ht="13.5" thickBot="1" x14ac:dyDescent="0.25">
      <c r="A531" s="174"/>
    </row>
    <row r="532" spans="1:34" s="146" customFormat="1" ht="13.5" thickBot="1" x14ac:dyDescent="0.25">
      <c r="A532" s="174"/>
      <c r="B532" s="1168" t="str">
        <f>'TRAD-Saisie données file act.'!B121</f>
        <v>Tranche 10 - 14,9 kg</v>
      </c>
      <c r="C532" s="1162"/>
      <c r="D532" s="1166"/>
      <c r="E532" s="1166"/>
      <c r="F532" s="1166"/>
      <c r="G532" s="1166"/>
      <c r="H532" s="1166"/>
      <c r="I532" s="1167"/>
    </row>
    <row r="533" spans="1:34" s="146" customFormat="1" ht="13.5" thickBot="1" x14ac:dyDescent="0.25">
      <c r="A533" s="174"/>
      <c r="B533" s="2126"/>
      <c r="C533" s="2127"/>
      <c r="D533" s="2128"/>
      <c r="E533" s="2128"/>
      <c r="F533" s="2128"/>
      <c r="G533" s="2128"/>
      <c r="H533" s="2128"/>
      <c r="I533" s="2128"/>
    </row>
    <row r="534" spans="1:34" s="146" customFormat="1" ht="26.25" thickBot="1" x14ac:dyDescent="0.25">
      <c r="A534" s="174"/>
      <c r="B534" s="174"/>
      <c r="E534" s="1172" t="str">
        <f>'TRAD-Saisie données file act.'!B117</f>
        <v>Solutions buvables</v>
      </c>
      <c r="F534" s="1173"/>
      <c r="G534" s="1173"/>
      <c r="H534" s="1173"/>
      <c r="I534" s="1173"/>
      <c r="J534" s="1173"/>
      <c r="K534" s="1162"/>
      <c r="L534" s="1162"/>
      <c r="M534" s="191" t="str">
        <f>'TRAD-Saisie données file act.'!B119</f>
        <v>Comprimés</v>
      </c>
      <c r="N534" s="1162"/>
      <c r="O534" s="1162"/>
      <c r="P534" s="1162"/>
      <c r="Q534" s="1162"/>
      <c r="R534" s="1162"/>
      <c r="S534" s="1162"/>
      <c r="T534" s="1162"/>
      <c r="U534" s="1162"/>
      <c r="V534" s="1162"/>
      <c r="W534" s="1162"/>
      <c r="X534" s="1162"/>
      <c r="Y534" s="1162"/>
      <c r="Z534" s="1162"/>
      <c r="AA534" s="1162"/>
      <c r="AB534" s="1162"/>
      <c r="AC534" s="1162"/>
      <c r="AD534" s="1162"/>
      <c r="AE534" s="1162"/>
      <c r="AF534" s="1162"/>
      <c r="AG534" s="1163"/>
    </row>
    <row r="535" spans="1:34" s="1123" customFormat="1" ht="25.5" x14ac:dyDescent="0.2">
      <c r="A535" s="1122"/>
      <c r="B535" s="1122"/>
      <c r="D535" s="1109" t="str">
        <f>'TRAD-Saisie données file act.'!B118</f>
        <v>Nb de boites / mois pour l'ensemble des patients</v>
      </c>
      <c r="E535" s="1125" t="s">
        <v>32</v>
      </c>
      <c r="F535" s="1125" t="s">
        <v>82</v>
      </c>
      <c r="G535" s="1125" t="s">
        <v>34</v>
      </c>
      <c r="H535" s="1125" t="s">
        <v>36</v>
      </c>
      <c r="I535" s="1125" t="s">
        <v>37</v>
      </c>
      <c r="J535" s="1125" t="s">
        <v>29</v>
      </c>
      <c r="K535" s="1125" t="s">
        <v>27</v>
      </c>
      <c r="L535" s="1174" t="s">
        <v>42</v>
      </c>
      <c r="M535" s="1182" t="s">
        <v>1</v>
      </c>
      <c r="N535" s="1124" t="str">
        <f>'TRAD-Saisie données file act.'!B138</f>
        <v>AZT+3TC+NVP bébé</v>
      </c>
      <c r="O535" s="1124" t="s">
        <v>18</v>
      </c>
      <c r="P535" s="1124" t="str">
        <f>'TRAD-Saisie données file act.'!B140</f>
        <v>AZT+3TC bébé</v>
      </c>
      <c r="Q535" s="1124" t="s">
        <v>2</v>
      </c>
      <c r="R535" s="1124" t="str">
        <f>'TRAD-Saisie données file act.'!B142</f>
        <v>D4T+3TC+NVP bébé</v>
      </c>
      <c r="S535" s="1124" t="s">
        <v>22</v>
      </c>
      <c r="T535" s="1124" t="s">
        <v>3</v>
      </c>
      <c r="U535" s="1124" t="s">
        <v>596</v>
      </c>
      <c r="V535" s="1124" t="str">
        <f>'TRAD-Saisie données file act.'!B146</f>
        <v>ABC+3TC bébé</v>
      </c>
      <c r="W535" s="1124" t="s">
        <v>34</v>
      </c>
      <c r="X535" s="1124" t="s">
        <v>36</v>
      </c>
      <c r="Y535" s="1124" t="str">
        <f>'TRAD-Saisie données file act.'!B148</f>
        <v>ABC bébé</v>
      </c>
      <c r="Z535" s="1124" t="s">
        <v>32</v>
      </c>
      <c r="AA535" s="1124" t="str">
        <f>'TRAD-Saisie données file act.'!B149</f>
        <v>AZT bébé</v>
      </c>
      <c r="AB535" s="1124" t="s">
        <v>37</v>
      </c>
      <c r="AC535" s="1124" t="s">
        <v>29</v>
      </c>
      <c r="AD535" s="1124" t="s">
        <v>27</v>
      </c>
      <c r="AE535" s="1124" t="s">
        <v>27</v>
      </c>
      <c r="AF535" s="1124" t="s">
        <v>42</v>
      </c>
      <c r="AG535" s="1126" t="str">
        <f>'TRAD-Saisie données file act.'!B152</f>
        <v>LPV/r bébé</v>
      </c>
    </row>
    <row r="536" spans="1:34" s="1123" customFormat="1" ht="26.25" thickBot="1" x14ac:dyDescent="0.25">
      <c r="A536" s="1122"/>
      <c r="B536" s="1122"/>
      <c r="D536" s="1109" t="str">
        <f>'TRAD-Saisie données file act.'!B27</f>
        <v>Dosage</v>
      </c>
      <c r="E536" s="1124" t="s">
        <v>80</v>
      </c>
      <c r="F536" s="1125" t="s">
        <v>80</v>
      </c>
      <c r="G536" s="1125" t="s">
        <v>80</v>
      </c>
      <c r="H536" s="1125" t="s">
        <v>88</v>
      </c>
      <c r="I536" s="1125" t="s">
        <v>91</v>
      </c>
      <c r="J536" s="1125" t="s">
        <v>80</v>
      </c>
      <c r="K536" s="1125" t="s">
        <v>86</v>
      </c>
      <c r="L536" s="1174" t="s">
        <v>93</v>
      </c>
      <c r="M536" s="1182" t="s">
        <v>17</v>
      </c>
      <c r="N536" s="1124" t="s">
        <v>258</v>
      </c>
      <c r="O536" s="1124" t="s">
        <v>19</v>
      </c>
      <c r="P536" s="1124" t="s">
        <v>260</v>
      </c>
      <c r="Q536" s="1124" t="s">
        <v>21</v>
      </c>
      <c r="R536" s="1124" t="s">
        <v>102</v>
      </c>
      <c r="S536" s="1124" t="s">
        <v>23</v>
      </c>
      <c r="T536" s="1124" t="s">
        <v>137</v>
      </c>
      <c r="U536" s="1124" t="s">
        <v>728</v>
      </c>
      <c r="V536" s="1124" t="s">
        <v>260</v>
      </c>
      <c r="W536" s="1124" t="s">
        <v>35</v>
      </c>
      <c r="X536" s="1124" t="s">
        <v>33</v>
      </c>
      <c r="Y536" s="1124" t="s">
        <v>611</v>
      </c>
      <c r="Z536" s="1124" t="s">
        <v>46</v>
      </c>
      <c r="AA536" s="1124" t="s">
        <v>611</v>
      </c>
      <c r="AB536" s="1124" t="s">
        <v>38</v>
      </c>
      <c r="AC536" s="1124" t="s">
        <v>30</v>
      </c>
      <c r="AD536" s="1124" t="s">
        <v>30</v>
      </c>
      <c r="AE536" s="1124" t="s">
        <v>105</v>
      </c>
      <c r="AF536" s="1124" t="s">
        <v>43</v>
      </c>
      <c r="AG536" s="1126" t="s">
        <v>496</v>
      </c>
    </row>
    <row r="537" spans="1:34" s="146" customFormat="1" ht="76.5" x14ac:dyDescent="0.2">
      <c r="A537" s="174"/>
      <c r="B537" s="174"/>
      <c r="C537" s="1109" t="str">
        <f>'TRAD-Saisie données file act.'!B15</f>
        <v>Schéma thérapeutique</v>
      </c>
      <c r="D537" s="2534" t="str">
        <f>'TRAD-Saisie données file act.'!B30</f>
        <v>Premières lignes</v>
      </c>
      <c r="E537" s="1112"/>
      <c r="F537" s="1112"/>
      <c r="G537" s="1112"/>
      <c r="H537" s="1112"/>
      <c r="I537" s="1112"/>
      <c r="J537" s="1112"/>
      <c r="K537" s="1112"/>
      <c r="L537" s="1175"/>
      <c r="M537" s="1183"/>
      <c r="N537" s="1112"/>
      <c r="O537" s="1112"/>
      <c r="P537" s="1112"/>
      <c r="Q537" s="1112"/>
      <c r="R537" s="1112"/>
      <c r="S537" s="1112"/>
      <c r="T537" s="1112"/>
      <c r="U537" s="1112"/>
      <c r="V537" s="1112"/>
      <c r="W537" s="1112"/>
      <c r="X537" s="1112"/>
      <c r="Y537" s="1112"/>
      <c r="Z537" s="1112"/>
      <c r="AA537" s="1112"/>
      <c r="AB537" s="1112"/>
      <c r="AC537" s="1112"/>
      <c r="AD537" s="1112"/>
      <c r="AE537" s="1112"/>
      <c r="AF537" s="1112"/>
      <c r="AG537" s="1113"/>
      <c r="AH537" s="2352" t="str">
        <f>'TRAD-Saisie données file act.'!B120</f>
        <v>Vérification nb de produits sélectionnés</v>
      </c>
    </row>
    <row r="538" spans="1:34" s="146" customFormat="1" x14ac:dyDescent="0.2">
      <c r="A538" s="174"/>
      <c r="B538" s="174"/>
      <c r="D538" s="1110" t="str">
        <f>$D$371</f>
        <v>ABC+3TC+LPV/r</v>
      </c>
      <c r="E538" s="2502"/>
      <c r="F538" s="2502"/>
      <c r="G538" s="2502"/>
      <c r="H538" s="2502"/>
      <c r="I538" s="2502"/>
      <c r="J538" s="2502"/>
      <c r="K538" s="2502"/>
      <c r="L538" s="2503"/>
      <c r="M538" s="2504"/>
      <c r="N538" s="2502"/>
      <c r="O538" s="2502"/>
      <c r="P538" s="2502"/>
      <c r="Q538" s="2502"/>
      <c r="R538" s="2502"/>
      <c r="S538" s="2502"/>
      <c r="T538" s="2502"/>
      <c r="U538" s="2502"/>
      <c r="V538" s="2502"/>
      <c r="W538" s="2502"/>
      <c r="X538" s="2502"/>
      <c r="Y538" s="2502"/>
      <c r="Z538" s="2502"/>
      <c r="AA538" s="2502"/>
      <c r="AB538" s="2502"/>
      <c r="AC538" s="2502"/>
      <c r="AD538" s="2502"/>
      <c r="AE538" s="2502"/>
      <c r="AF538" s="2502"/>
      <c r="AG538" s="2503"/>
      <c r="AH538" s="2353">
        <f t="shared" ref="AH538:AH559" si="42">COUNTIF(E538:AG538, "X")</f>
        <v>0</v>
      </c>
    </row>
    <row r="539" spans="1:34" s="146" customFormat="1" x14ac:dyDescent="0.2">
      <c r="A539" s="174"/>
      <c r="B539" s="174"/>
      <c r="D539" s="1110" t="str">
        <f>$D$372</f>
        <v>ABC+3TC+EFV</v>
      </c>
      <c r="E539" s="2502"/>
      <c r="F539" s="2502"/>
      <c r="G539" s="2502"/>
      <c r="H539" s="2502"/>
      <c r="I539" s="2502"/>
      <c r="J539" s="2502"/>
      <c r="K539" s="2502"/>
      <c r="L539" s="2503"/>
      <c r="M539" s="2504"/>
      <c r="N539" s="2502"/>
      <c r="O539" s="2502"/>
      <c r="P539" s="2502"/>
      <c r="Q539" s="2502"/>
      <c r="R539" s="2502"/>
      <c r="S539" s="2502"/>
      <c r="T539" s="2502"/>
      <c r="U539" s="2502"/>
      <c r="V539" s="2502"/>
      <c r="W539" s="2502"/>
      <c r="X539" s="2502"/>
      <c r="Y539" s="2502"/>
      <c r="Z539" s="2502"/>
      <c r="AA539" s="2502"/>
      <c r="AB539" s="2502"/>
      <c r="AC539" s="2502"/>
      <c r="AD539" s="2502"/>
      <c r="AE539" s="2502"/>
      <c r="AF539" s="2502"/>
      <c r="AG539" s="2503"/>
      <c r="AH539" s="2353">
        <f t="shared" si="42"/>
        <v>0</v>
      </c>
    </row>
    <row r="540" spans="1:34" s="146" customFormat="1" x14ac:dyDescent="0.2">
      <c r="A540" s="174"/>
      <c r="B540" s="174"/>
      <c r="D540" s="1110" t="str">
        <f>$D$373</f>
        <v>ABC+3TC+AZT</v>
      </c>
      <c r="E540" s="2502"/>
      <c r="F540" s="2502"/>
      <c r="G540" s="2502"/>
      <c r="H540" s="2502"/>
      <c r="I540" s="2502"/>
      <c r="J540" s="2502"/>
      <c r="K540" s="2502"/>
      <c r="L540" s="2503"/>
      <c r="M540" s="2504"/>
      <c r="N540" s="2502"/>
      <c r="O540" s="2502"/>
      <c r="P540" s="2502"/>
      <c r="Q540" s="2502"/>
      <c r="R540" s="2502"/>
      <c r="S540" s="2502"/>
      <c r="T540" s="2502"/>
      <c r="U540" s="2502"/>
      <c r="V540" s="2502"/>
      <c r="W540" s="2502"/>
      <c r="X540" s="2502"/>
      <c r="Y540" s="2502"/>
      <c r="Z540" s="2502"/>
      <c r="AA540" s="2502"/>
      <c r="AB540" s="2502"/>
      <c r="AC540" s="2502"/>
      <c r="AD540" s="2502"/>
      <c r="AE540" s="2502"/>
      <c r="AF540" s="2502"/>
      <c r="AG540" s="2503"/>
      <c r="AH540" s="2353">
        <f t="shared" si="42"/>
        <v>0</v>
      </c>
    </row>
    <row r="541" spans="1:34" s="146" customFormat="1" x14ac:dyDescent="0.2">
      <c r="A541" s="174"/>
      <c r="B541" s="174"/>
      <c r="D541" s="1110">
        <f>$D$374</f>
        <v>0</v>
      </c>
      <c r="E541" s="2502"/>
      <c r="F541" s="2502"/>
      <c r="G541" s="2502"/>
      <c r="H541" s="2502"/>
      <c r="I541" s="2502"/>
      <c r="J541" s="2502"/>
      <c r="K541" s="2502"/>
      <c r="L541" s="2503"/>
      <c r="M541" s="2504"/>
      <c r="N541" s="2502"/>
      <c r="O541" s="2502"/>
      <c r="P541" s="2502"/>
      <c r="Q541" s="2502"/>
      <c r="R541" s="2502"/>
      <c r="S541" s="2502"/>
      <c r="T541" s="2502"/>
      <c r="U541" s="2502"/>
      <c r="V541" s="2502"/>
      <c r="W541" s="2502"/>
      <c r="X541" s="2502"/>
      <c r="Y541" s="2502"/>
      <c r="Z541" s="2502"/>
      <c r="AA541" s="2502"/>
      <c r="AB541" s="2502"/>
      <c r="AC541" s="2502"/>
      <c r="AD541" s="2502"/>
      <c r="AE541" s="2502"/>
      <c r="AF541" s="2502"/>
      <c r="AG541" s="2503"/>
      <c r="AH541" s="2353">
        <f t="shared" si="42"/>
        <v>0</v>
      </c>
    </row>
    <row r="542" spans="1:34" s="146" customFormat="1" x14ac:dyDescent="0.2">
      <c r="A542" s="174"/>
      <c r="B542" s="174"/>
      <c r="D542" s="1110">
        <f>$D$375</f>
        <v>0</v>
      </c>
      <c r="E542" s="2502"/>
      <c r="F542" s="2502"/>
      <c r="G542" s="2502"/>
      <c r="H542" s="2502"/>
      <c r="I542" s="2502"/>
      <c r="J542" s="2502"/>
      <c r="K542" s="2502"/>
      <c r="L542" s="2503"/>
      <c r="M542" s="2504"/>
      <c r="N542" s="2502"/>
      <c r="O542" s="2502"/>
      <c r="P542" s="2502"/>
      <c r="Q542" s="2502"/>
      <c r="R542" s="2502"/>
      <c r="S542" s="2502"/>
      <c r="T542" s="2502"/>
      <c r="U542" s="2502"/>
      <c r="V542" s="2502"/>
      <c r="W542" s="2502"/>
      <c r="X542" s="2502"/>
      <c r="Y542" s="2502"/>
      <c r="Z542" s="2502"/>
      <c r="AA542" s="2502"/>
      <c r="AB542" s="2502"/>
      <c r="AC542" s="2502"/>
      <c r="AD542" s="2502"/>
      <c r="AE542" s="2502"/>
      <c r="AF542" s="2502"/>
      <c r="AG542" s="2503"/>
      <c r="AH542" s="2353">
        <f t="shared" si="42"/>
        <v>0</v>
      </c>
    </row>
    <row r="543" spans="1:34" s="146" customFormat="1" x14ac:dyDescent="0.2">
      <c r="A543" s="174"/>
      <c r="B543" s="174"/>
      <c r="D543" s="1110">
        <f>$D$376</f>
        <v>0</v>
      </c>
      <c r="E543" s="2502"/>
      <c r="F543" s="2502"/>
      <c r="G543" s="2502"/>
      <c r="H543" s="2502"/>
      <c r="I543" s="2502"/>
      <c r="J543" s="2502"/>
      <c r="K543" s="2502"/>
      <c r="L543" s="2503"/>
      <c r="M543" s="2504"/>
      <c r="N543" s="2502"/>
      <c r="O543" s="2502"/>
      <c r="P543" s="2502"/>
      <c r="Q543" s="2502"/>
      <c r="R543" s="2502"/>
      <c r="S543" s="2502"/>
      <c r="T543" s="2502"/>
      <c r="U543" s="2502"/>
      <c r="V543" s="2502"/>
      <c r="W543" s="2502"/>
      <c r="X543" s="2502"/>
      <c r="Y543" s="2502"/>
      <c r="Z543" s="2502"/>
      <c r="AA543" s="2502"/>
      <c r="AB543" s="2502"/>
      <c r="AC543" s="2502"/>
      <c r="AD543" s="2502"/>
      <c r="AE543" s="2502"/>
      <c r="AF543" s="2502"/>
      <c r="AG543" s="2503"/>
      <c r="AH543" s="2353">
        <f t="shared" si="42"/>
        <v>0</v>
      </c>
    </row>
    <row r="544" spans="1:34" s="146" customFormat="1" x14ac:dyDescent="0.2">
      <c r="A544" s="174"/>
      <c r="B544" s="174"/>
      <c r="D544" s="1114" t="str">
        <f>'TRAD-Saisie données file act.'!$B$31</f>
        <v>Deuxièmes lignes</v>
      </c>
      <c r="E544" s="2505"/>
      <c r="F544" s="2505"/>
      <c r="G544" s="2505"/>
      <c r="H544" s="2505"/>
      <c r="I544" s="2505"/>
      <c r="J544" s="2505"/>
      <c r="K544" s="2505"/>
      <c r="L544" s="2506"/>
      <c r="M544" s="2507"/>
      <c r="N544" s="2505"/>
      <c r="O544" s="2505"/>
      <c r="P544" s="2505"/>
      <c r="Q544" s="2505"/>
      <c r="R544" s="2505"/>
      <c r="S544" s="2505"/>
      <c r="T544" s="2505"/>
      <c r="U544" s="2505"/>
      <c r="V544" s="2505"/>
      <c r="W544" s="2505"/>
      <c r="X544" s="2505"/>
      <c r="Y544" s="2505"/>
      <c r="Z544" s="2505"/>
      <c r="AA544" s="2505"/>
      <c r="AB544" s="2505"/>
      <c r="AC544" s="2505"/>
      <c r="AD544" s="2505"/>
      <c r="AE544" s="2505"/>
      <c r="AF544" s="2505"/>
      <c r="AG544" s="2506"/>
      <c r="AH544" s="2353">
        <f t="shared" si="42"/>
        <v>0</v>
      </c>
    </row>
    <row r="545" spans="1:34" s="146" customFormat="1" x14ac:dyDescent="0.2">
      <c r="A545" s="174"/>
      <c r="B545" s="174"/>
      <c r="D545" s="1110" t="str">
        <f>$D$378</f>
        <v>AZT+3TC+LPV/r</v>
      </c>
      <c r="E545" s="2502"/>
      <c r="F545" s="2502"/>
      <c r="G545" s="2502"/>
      <c r="H545" s="2502"/>
      <c r="I545" s="2502"/>
      <c r="J545" s="2502"/>
      <c r="K545" s="2502"/>
      <c r="L545" s="2503"/>
      <c r="M545" s="2504"/>
      <c r="N545" s="2502"/>
      <c r="O545" s="2502"/>
      <c r="P545" s="2502"/>
      <c r="Q545" s="2502"/>
      <c r="R545" s="2502"/>
      <c r="S545" s="2502"/>
      <c r="T545" s="2502"/>
      <c r="U545" s="2502"/>
      <c r="V545" s="2502"/>
      <c r="W545" s="2502"/>
      <c r="X545" s="2502"/>
      <c r="Y545" s="2502"/>
      <c r="Z545" s="2502"/>
      <c r="AA545" s="2502"/>
      <c r="AB545" s="2502"/>
      <c r="AC545" s="2502"/>
      <c r="AD545" s="2502"/>
      <c r="AE545" s="2502"/>
      <c r="AF545" s="2502"/>
      <c r="AG545" s="2503"/>
      <c r="AH545" s="2353">
        <f t="shared" si="42"/>
        <v>0</v>
      </c>
    </row>
    <row r="546" spans="1:34" s="146" customFormat="1" x14ac:dyDescent="0.2">
      <c r="A546" s="174"/>
      <c r="B546" s="174"/>
      <c r="D546" s="1110">
        <f>$D$379</f>
        <v>0</v>
      </c>
      <c r="E546" s="2502"/>
      <c r="F546" s="2502"/>
      <c r="G546" s="2502"/>
      <c r="H546" s="2502"/>
      <c r="I546" s="2502"/>
      <c r="J546" s="2502"/>
      <c r="K546" s="2502"/>
      <c r="L546" s="2503"/>
      <c r="M546" s="2504"/>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3"/>
      <c r="AH546" s="2353">
        <f t="shared" si="42"/>
        <v>0</v>
      </c>
    </row>
    <row r="547" spans="1:34" s="146" customFormat="1" x14ac:dyDescent="0.2">
      <c r="A547" s="174"/>
      <c r="B547" s="174"/>
      <c r="D547" s="1110">
        <f>$D$380</f>
        <v>0</v>
      </c>
      <c r="E547" s="2502"/>
      <c r="F547" s="2502"/>
      <c r="G547" s="2502"/>
      <c r="H547" s="2502"/>
      <c r="I547" s="2502"/>
      <c r="J547" s="2502"/>
      <c r="K547" s="2502"/>
      <c r="L547" s="2503"/>
      <c r="M547" s="2504"/>
      <c r="N547" s="2502"/>
      <c r="O547" s="2502"/>
      <c r="P547" s="2502"/>
      <c r="Q547" s="2502"/>
      <c r="R547" s="2502"/>
      <c r="S547" s="2502"/>
      <c r="T547" s="2502"/>
      <c r="U547" s="2502"/>
      <c r="V547" s="2502"/>
      <c r="W547" s="2502"/>
      <c r="X547" s="2502"/>
      <c r="Y547" s="2502"/>
      <c r="Z547" s="2502"/>
      <c r="AA547" s="2502"/>
      <c r="AB547" s="2502"/>
      <c r="AC547" s="2502"/>
      <c r="AD547" s="2502"/>
      <c r="AE547" s="2502"/>
      <c r="AF547" s="2502"/>
      <c r="AG547" s="2503"/>
      <c r="AH547" s="2353">
        <f t="shared" si="42"/>
        <v>0</v>
      </c>
    </row>
    <row r="548" spans="1:34" s="146" customFormat="1" x14ac:dyDescent="0.2">
      <c r="A548" s="174"/>
      <c r="B548" s="174"/>
      <c r="D548" s="1110">
        <f>$D$381</f>
        <v>0</v>
      </c>
      <c r="E548" s="2502"/>
      <c r="F548" s="2502"/>
      <c r="G548" s="2502"/>
      <c r="H548" s="2502"/>
      <c r="I548" s="2502"/>
      <c r="J548" s="2502"/>
      <c r="K548" s="2502"/>
      <c r="L548" s="2503"/>
      <c r="M548" s="2504"/>
      <c r="N548" s="2502"/>
      <c r="O548" s="2502"/>
      <c r="P548" s="2502"/>
      <c r="Q548" s="2502"/>
      <c r="R548" s="2502"/>
      <c r="S548" s="2502"/>
      <c r="T548" s="2502"/>
      <c r="U548" s="2502"/>
      <c r="V548" s="2502"/>
      <c r="W548" s="2502"/>
      <c r="X548" s="2502"/>
      <c r="Y548" s="2502"/>
      <c r="Z548" s="2502"/>
      <c r="AA548" s="2502"/>
      <c r="AB548" s="2502"/>
      <c r="AC548" s="2502"/>
      <c r="AD548" s="2502"/>
      <c r="AE548" s="2502"/>
      <c r="AF548" s="2502"/>
      <c r="AG548" s="2503"/>
      <c r="AH548" s="2353">
        <f t="shared" si="42"/>
        <v>0</v>
      </c>
    </row>
    <row r="549" spans="1:34" s="146" customFormat="1" x14ac:dyDescent="0.2">
      <c r="A549" s="174"/>
      <c r="B549" s="174"/>
      <c r="D549" s="1110">
        <f>$D$382</f>
        <v>0</v>
      </c>
      <c r="E549" s="2502"/>
      <c r="F549" s="2502"/>
      <c r="G549" s="2502"/>
      <c r="H549" s="2502"/>
      <c r="I549" s="2502"/>
      <c r="J549" s="2502"/>
      <c r="K549" s="2502"/>
      <c r="L549" s="2503"/>
      <c r="M549" s="2504"/>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3"/>
      <c r="AH549" s="2353">
        <f t="shared" si="42"/>
        <v>0</v>
      </c>
    </row>
    <row r="550" spans="1:34" s="146" customFormat="1" x14ac:dyDescent="0.2">
      <c r="A550" s="174"/>
      <c r="B550" s="174"/>
      <c r="D550" s="1114" t="str">
        <f>'TRAD-Saisie données file act.'!$B$32</f>
        <v>Lignes alternatives</v>
      </c>
      <c r="E550" s="2505"/>
      <c r="F550" s="2505"/>
      <c r="G550" s="2505"/>
      <c r="H550" s="2505"/>
      <c r="I550" s="2505"/>
      <c r="J550" s="2505"/>
      <c r="K550" s="2505"/>
      <c r="L550" s="2506"/>
      <c r="M550" s="2507"/>
      <c r="N550" s="2505"/>
      <c r="O550" s="2505"/>
      <c r="P550" s="2505"/>
      <c r="Q550" s="2505"/>
      <c r="R550" s="2505"/>
      <c r="S550" s="2505"/>
      <c r="T550" s="2505"/>
      <c r="U550" s="2505"/>
      <c r="V550" s="2505"/>
      <c r="W550" s="2505"/>
      <c r="X550" s="2505"/>
      <c r="Y550" s="2505"/>
      <c r="Z550" s="2505"/>
      <c r="AA550" s="2505"/>
      <c r="AB550" s="2505"/>
      <c r="AC550" s="2505"/>
      <c r="AD550" s="2505"/>
      <c r="AE550" s="2505"/>
      <c r="AF550" s="2505"/>
      <c r="AG550" s="2506"/>
      <c r="AH550" s="2353">
        <f t="shared" si="42"/>
        <v>0</v>
      </c>
    </row>
    <row r="551" spans="1:34" s="146" customFormat="1" x14ac:dyDescent="0.2">
      <c r="A551" s="174"/>
      <c r="B551" s="174"/>
      <c r="D551" s="1115">
        <f>$D$384</f>
        <v>0</v>
      </c>
      <c r="E551" s="2502"/>
      <c r="F551" s="2502"/>
      <c r="G551" s="2502"/>
      <c r="H551" s="2502"/>
      <c r="I551" s="2502"/>
      <c r="J551" s="2502"/>
      <c r="K551" s="2502"/>
      <c r="L551" s="2503"/>
      <c r="M551" s="2504"/>
      <c r="N551" s="2502"/>
      <c r="O551" s="2502"/>
      <c r="P551" s="2502"/>
      <c r="Q551" s="2502"/>
      <c r="R551" s="2502"/>
      <c r="S551" s="2502"/>
      <c r="T551" s="2502"/>
      <c r="U551" s="2502"/>
      <c r="V551" s="2502"/>
      <c r="W551" s="2502"/>
      <c r="X551" s="2502"/>
      <c r="Y551" s="2502"/>
      <c r="Z551" s="2502"/>
      <c r="AA551" s="2502"/>
      <c r="AB551" s="2502"/>
      <c r="AC551" s="2502"/>
      <c r="AD551" s="2502"/>
      <c r="AE551" s="2502"/>
      <c r="AF551" s="2502"/>
      <c r="AG551" s="2503"/>
      <c r="AH551" s="2353">
        <f t="shared" si="42"/>
        <v>0</v>
      </c>
    </row>
    <row r="552" spans="1:34" s="146" customFormat="1" x14ac:dyDescent="0.2">
      <c r="A552" s="174"/>
      <c r="B552" s="174"/>
      <c r="D552" s="1115">
        <f>$D$385</f>
        <v>0</v>
      </c>
      <c r="E552" s="2502"/>
      <c r="F552" s="2502"/>
      <c r="G552" s="2502"/>
      <c r="H552" s="2502"/>
      <c r="I552" s="2502"/>
      <c r="J552" s="2502"/>
      <c r="K552" s="2502"/>
      <c r="L552" s="2503"/>
      <c r="M552" s="2504"/>
      <c r="N552" s="2502"/>
      <c r="O552" s="2502"/>
      <c r="P552" s="2502"/>
      <c r="Q552" s="2502"/>
      <c r="R552" s="2502"/>
      <c r="S552" s="2502"/>
      <c r="T552" s="2502"/>
      <c r="U552" s="2502"/>
      <c r="V552" s="2502"/>
      <c r="W552" s="2502"/>
      <c r="X552" s="2502"/>
      <c r="Y552" s="2502"/>
      <c r="Z552" s="2502"/>
      <c r="AA552" s="2502"/>
      <c r="AB552" s="2502"/>
      <c r="AC552" s="2502"/>
      <c r="AD552" s="2502"/>
      <c r="AE552" s="2502"/>
      <c r="AF552" s="2502"/>
      <c r="AG552" s="2503"/>
      <c r="AH552" s="2353">
        <f t="shared" si="42"/>
        <v>0</v>
      </c>
    </row>
    <row r="553" spans="1:34" s="146" customFormat="1" x14ac:dyDescent="0.2">
      <c r="A553" s="174"/>
      <c r="B553" s="174"/>
      <c r="D553" s="1115">
        <f>$D$386</f>
        <v>0</v>
      </c>
      <c r="E553" s="2502"/>
      <c r="F553" s="2502"/>
      <c r="G553" s="2502"/>
      <c r="H553" s="2502"/>
      <c r="I553" s="2502"/>
      <c r="J553" s="2502"/>
      <c r="K553" s="2502"/>
      <c r="L553" s="2503"/>
      <c r="M553" s="2504"/>
      <c r="N553" s="2502"/>
      <c r="O553" s="2502"/>
      <c r="P553" s="2502"/>
      <c r="Q553" s="2502"/>
      <c r="R553" s="2502"/>
      <c r="S553" s="2502"/>
      <c r="T553" s="2502"/>
      <c r="U553" s="2502"/>
      <c r="V553" s="2502"/>
      <c r="W553" s="2502"/>
      <c r="X553" s="2502"/>
      <c r="Y553" s="2502"/>
      <c r="Z553" s="2502"/>
      <c r="AA553" s="2502"/>
      <c r="AB553" s="2502"/>
      <c r="AC553" s="2502"/>
      <c r="AD553" s="2502"/>
      <c r="AE553" s="2502"/>
      <c r="AF553" s="2502"/>
      <c r="AG553" s="2503"/>
      <c r="AH553" s="2353">
        <f t="shared" si="42"/>
        <v>0</v>
      </c>
    </row>
    <row r="554" spans="1:34" s="146" customFormat="1" x14ac:dyDescent="0.2">
      <c r="A554" s="174"/>
      <c r="B554" s="174"/>
      <c r="D554" s="1115">
        <f>$D$387</f>
        <v>0</v>
      </c>
      <c r="E554" s="2502"/>
      <c r="F554" s="2502"/>
      <c r="G554" s="2502"/>
      <c r="H554" s="2502"/>
      <c r="I554" s="2502"/>
      <c r="J554" s="2502"/>
      <c r="K554" s="2502"/>
      <c r="L554" s="2503"/>
      <c r="M554" s="2504"/>
      <c r="N554" s="2502"/>
      <c r="O554" s="2502"/>
      <c r="P554" s="2502"/>
      <c r="Q554" s="2502"/>
      <c r="R554" s="2502"/>
      <c r="S554" s="2502"/>
      <c r="T554" s="2502"/>
      <c r="U554" s="2502"/>
      <c r="V554" s="2502"/>
      <c r="W554" s="2502"/>
      <c r="X554" s="2502"/>
      <c r="Y554" s="2502"/>
      <c r="Z554" s="2502"/>
      <c r="AA554" s="2502"/>
      <c r="AB554" s="2502"/>
      <c r="AC554" s="2502"/>
      <c r="AD554" s="2502"/>
      <c r="AE554" s="2502"/>
      <c r="AF554" s="2502"/>
      <c r="AG554" s="2503"/>
      <c r="AH554" s="2353">
        <f t="shared" si="42"/>
        <v>0</v>
      </c>
    </row>
    <row r="555" spans="1:34" s="146" customFormat="1" x14ac:dyDescent="0.2">
      <c r="A555" s="174"/>
      <c r="B555" s="174"/>
      <c r="D555" s="1115">
        <f>$D$388</f>
        <v>0</v>
      </c>
      <c r="E555" s="2502"/>
      <c r="F555" s="2502"/>
      <c r="G555" s="2502"/>
      <c r="H555" s="2502"/>
      <c r="I555" s="2502"/>
      <c r="J555" s="2502"/>
      <c r="K555" s="2502"/>
      <c r="L555" s="2503"/>
      <c r="M555" s="2504"/>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3"/>
      <c r="AH555" s="2353">
        <f t="shared" si="42"/>
        <v>0</v>
      </c>
    </row>
    <row r="556" spans="1:34" s="146" customFormat="1" x14ac:dyDescent="0.2">
      <c r="A556" s="174"/>
      <c r="B556" s="174"/>
      <c r="D556" s="1115">
        <f>$D$389</f>
        <v>0</v>
      </c>
      <c r="E556" s="2502"/>
      <c r="F556" s="2502"/>
      <c r="G556" s="2502"/>
      <c r="H556" s="2502"/>
      <c r="I556" s="2502"/>
      <c r="J556" s="2502"/>
      <c r="K556" s="2502"/>
      <c r="L556" s="2503"/>
      <c r="M556" s="2504"/>
      <c r="N556" s="2502"/>
      <c r="O556" s="2502"/>
      <c r="P556" s="2502"/>
      <c r="Q556" s="2502"/>
      <c r="R556" s="2502"/>
      <c r="S556" s="2502"/>
      <c r="T556" s="2502"/>
      <c r="U556" s="2502"/>
      <c r="V556" s="2502"/>
      <c r="W556" s="2502"/>
      <c r="X556" s="2502"/>
      <c r="Y556" s="2502"/>
      <c r="Z556" s="2502"/>
      <c r="AA556" s="2502"/>
      <c r="AB556" s="2502"/>
      <c r="AC556" s="2502"/>
      <c r="AD556" s="2502"/>
      <c r="AE556" s="2502"/>
      <c r="AF556" s="2502"/>
      <c r="AG556" s="2503"/>
      <c r="AH556" s="2353">
        <f t="shared" si="42"/>
        <v>0</v>
      </c>
    </row>
    <row r="557" spans="1:34" s="146" customFormat="1" x14ac:dyDescent="0.2">
      <c r="A557" s="174"/>
      <c r="B557" s="174"/>
      <c r="D557" s="1115">
        <f>$D$390</f>
        <v>0</v>
      </c>
      <c r="E557" s="2502"/>
      <c r="F557" s="2502"/>
      <c r="G557" s="2502"/>
      <c r="H557" s="2502"/>
      <c r="I557" s="2502"/>
      <c r="J557" s="2502"/>
      <c r="K557" s="2502"/>
      <c r="L557" s="2503"/>
      <c r="M557" s="2504"/>
      <c r="N557" s="2502"/>
      <c r="O557" s="2502"/>
      <c r="P557" s="2502"/>
      <c r="Q557" s="2502"/>
      <c r="R557" s="2502"/>
      <c r="S557" s="2502"/>
      <c r="T557" s="2502"/>
      <c r="U557" s="2502"/>
      <c r="V557" s="2502"/>
      <c r="W557" s="2502"/>
      <c r="X557" s="2502"/>
      <c r="Y557" s="2502"/>
      <c r="Z557" s="2502"/>
      <c r="AA557" s="2502"/>
      <c r="AB557" s="2502"/>
      <c r="AC557" s="2502"/>
      <c r="AD557" s="2502"/>
      <c r="AE557" s="2502"/>
      <c r="AF557" s="2502"/>
      <c r="AG557" s="2503"/>
      <c r="AH557" s="2353">
        <f t="shared" si="42"/>
        <v>0</v>
      </c>
    </row>
    <row r="558" spans="1:34" s="146" customFormat="1" x14ac:dyDescent="0.2">
      <c r="A558" s="174"/>
      <c r="B558" s="174"/>
      <c r="D558" s="1115">
        <f>$D$391</f>
        <v>0</v>
      </c>
      <c r="E558" s="2502"/>
      <c r="F558" s="2502"/>
      <c r="G558" s="2502"/>
      <c r="H558" s="2502"/>
      <c r="I558" s="2502"/>
      <c r="J558" s="2502"/>
      <c r="K558" s="2502"/>
      <c r="L558" s="2503"/>
      <c r="M558" s="2504"/>
      <c r="N558" s="2502"/>
      <c r="O558" s="2502"/>
      <c r="P558" s="2502"/>
      <c r="Q558" s="2502"/>
      <c r="R558" s="2502"/>
      <c r="S558" s="2502"/>
      <c r="T558" s="2502"/>
      <c r="U558" s="2502"/>
      <c r="V558" s="2502"/>
      <c r="W558" s="2502"/>
      <c r="X558" s="2502"/>
      <c r="Y558" s="2502"/>
      <c r="Z558" s="2502"/>
      <c r="AA558" s="2502"/>
      <c r="AB558" s="2502"/>
      <c r="AC558" s="2502"/>
      <c r="AD558" s="2502"/>
      <c r="AE558" s="2502"/>
      <c r="AF558" s="2502"/>
      <c r="AG558" s="2503"/>
      <c r="AH558" s="2353">
        <f t="shared" si="42"/>
        <v>0</v>
      </c>
    </row>
    <row r="559" spans="1:34" s="146" customFormat="1" ht="13.5" thickBot="1" x14ac:dyDescent="0.25">
      <c r="A559" s="174"/>
      <c r="B559" s="174"/>
      <c r="D559" s="1116">
        <f>$D$392</f>
        <v>0</v>
      </c>
      <c r="E559" s="2508"/>
      <c r="F559" s="2508"/>
      <c r="G559" s="2508"/>
      <c r="H559" s="2508"/>
      <c r="I559" s="2508"/>
      <c r="J559" s="2508"/>
      <c r="K559" s="2508"/>
      <c r="L559" s="2509"/>
      <c r="M559" s="2510"/>
      <c r="N559" s="2508"/>
      <c r="O559" s="2508"/>
      <c r="P559" s="2508"/>
      <c r="Q559" s="2508"/>
      <c r="R559" s="2508"/>
      <c r="S559" s="2508"/>
      <c r="T559" s="2508"/>
      <c r="U559" s="2508"/>
      <c r="V559" s="2508"/>
      <c r="W559" s="2508"/>
      <c r="X559" s="2508"/>
      <c r="Y559" s="2508"/>
      <c r="Z559" s="2508"/>
      <c r="AA559" s="2508"/>
      <c r="AB559" s="2508"/>
      <c r="AC559" s="2508"/>
      <c r="AD559" s="2508"/>
      <c r="AE559" s="2508"/>
      <c r="AF559" s="2508"/>
      <c r="AG559" s="2509"/>
      <c r="AH559" s="2354">
        <f t="shared" si="42"/>
        <v>0</v>
      </c>
    </row>
    <row r="560" spans="1:34" s="146" customFormat="1" x14ac:dyDescent="0.2">
      <c r="A560" s="174"/>
      <c r="B560" s="174"/>
    </row>
    <row r="561" spans="1:34" s="146" customFormat="1" ht="13.5" thickBot="1" x14ac:dyDescent="0.25">
      <c r="A561" s="174"/>
    </row>
    <row r="562" spans="1:34" s="146" customFormat="1" ht="13.5" thickBot="1" x14ac:dyDescent="0.25">
      <c r="A562" s="174"/>
      <c r="B562" s="1168" t="str">
        <f>'TRAD-Saisie données file act.'!B122</f>
        <v>Tranche 15 -19,9 kg</v>
      </c>
      <c r="C562" s="1162"/>
      <c r="D562" s="1166"/>
      <c r="E562" s="1166"/>
      <c r="F562" s="1166"/>
      <c r="G562" s="1166"/>
      <c r="H562" s="1166"/>
      <c r="I562" s="1167"/>
    </row>
    <row r="563" spans="1:34" s="146" customFormat="1" ht="13.5" thickBot="1" x14ac:dyDescent="0.25">
      <c r="A563" s="174"/>
      <c r="B563" s="2126"/>
      <c r="C563" s="2127"/>
      <c r="D563" s="2128"/>
      <c r="E563" s="2128"/>
      <c r="F563" s="2128"/>
      <c r="G563" s="2128"/>
      <c r="H563" s="2128"/>
      <c r="I563" s="2128"/>
    </row>
    <row r="564" spans="1:34" s="146" customFormat="1" ht="26.25" thickBot="1" x14ac:dyDescent="0.25">
      <c r="B564" s="174"/>
      <c r="E564" s="1172" t="str">
        <f>'TRAD-Saisie données file act.'!B117</f>
        <v>Solutions buvables</v>
      </c>
      <c r="F564" s="1173"/>
      <c r="G564" s="1173"/>
      <c r="H564" s="1173"/>
      <c r="I564" s="1173"/>
      <c r="J564" s="1173"/>
      <c r="K564" s="1162"/>
      <c r="L564" s="1162"/>
      <c r="M564" s="191" t="str">
        <f>'TRAD-Saisie données file act.'!B166</f>
        <v>Comprimés</v>
      </c>
      <c r="N564" s="1162"/>
      <c r="O564" s="1162"/>
      <c r="P564" s="1162"/>
      <c r="Q564" s="1162"/>
      <c r="R564" s="1162"/>
      <c r="S564" s="1162"/>
      <c r="T564" s="1162"/>
      <c r="U564" s="1162"/>
      <c r="V564" s="1162"/>
      <c r="W564" s="1162"/>
      <c r="X564" s="1162"/>
      <c r="Y564" s="1162"/>
      <c r="Z564" s="1162"/>
      <c r="AA564" s="1162"/>
      <c r="AB564" s="1162"/>
      <c r="AC564" s="1162"/>
      <c r="AD564" s="1162"/>
      <c r="AE564" s="1162"/>
      <c r="AF564" s="1162"/>
      <c r="AG564" s="1163"/>
    </row>
    <row r="565" spans="1:34" s="1123" customFormat="1" ht="25.5" x14ac:dyDescent="0.2">
      <c r="B565" s="1122"/>
      <c r="D565" s="1109" t="str">
        <f>'TRAD-Saisie données file act.'!B118</f>
        <v>Nb de boites / mois pour l'ensemble des patients</v>
      </c>
      <c r="E565" s="1125" t="s">
        <v>32</v>
      </c>
      <c r="F565" s="1125" t="s">
        <v>82</v>
      </c>
      <c r="G565" s="1125" t="s">
        <v>34</v>
      </c>
      <c r="H565" s="1125" t="s">
        <v>36</v>
      </c>
      <c r="I565" s="1125" t="s">
        <v>37</v>
      </c>
      <c r="J565" s="1125" t="s">
        <v>29</v>
      </c>
      <c r="K565" s="1125" t="s">
        <v>27</v>
      </c>
      <c r="L565" s="1174" t="s">
        <v>42</v>
      </c>
      <c r="M565" s="1182" t="s">
        <v>1</v>
      </c>
      <c r="N565" s="1124" t="str">
        <f>'TRAD-Saisie données file act.'!B138</f>
        <v>AZT+3TC+NVP bébé</v>
      </c>
      <c r="O565" s="1124" t="s">
        <v>18</v>
      </c>
      <c r="P565" s="1124" t="str">
        <f>'TRAD-Saisie données file act.'!B140</f>
        <v>AZT+3TC bébé</v>
      </c>
      <c r="Q565" s="1124" t="s">
        <v>2</v>
      </c>
      <c r="R565" s="1124" t="str">
        <f>'TRAD-Saisie données file act.'!B142</f>
        <v>D4T+3TC+NVP bébé</v>
      </c>
      <c r="S565" s="1124" t="s">
        <v>22</v>
      </c>
      <c r="T565" s="1124" t="s">
        <v>3</v>
      </c>
      <c r="U565" s="1124" t="s">
        <v>596</v>
      </c>
      <c r="V565" s="1124" t="str">
        <f>'TRAD-Saisie données file act.'!B146</f>
        <v>ABC+3TC bébé</v>
      </c>
      <c r="W565" s="1124" t="s">
        <v>34</v>
      </c>
      <c r="X565" s="1124" t="s">
        <v>36</v>
      </c>
      <c r="Y565" s="1124" t="str">
        <f>'TRAD-Saisie données file act.'!B148</f>
        <v>ABC bébé</v>
      </c>
      <c r="Z565" s="1124" t="s">
        <v>32</v>
      </c>
      <c r="AA565" s="1124" t="str">
        <f>'TRAD-Saisie données file act.'!B149</f>
        <v>AZT bébé</v>
      </c>
      <c r="AB565" s="1124" t="s">
        <v>37</v>
      </c>
      <c r="AC565" s="1124" t="s">
        <v>29</v>
      </c>
      <c r="AD565" s="1124" t="s">
        <v>27</v>
      </c>
      <c r="AE565" s="1124" t="s">
        <v>27</v>
      </c>
      <c r="AF565" s="1124" t="s">
        <v>42</v>
      </c>
      <c r="AG565" s="1126" t="str">
        <f>'TRAD-Saisie données file act.'!B152</f>
        <v>LPV/r bébé</v>
      </c>
    </row>
    <row r="566" spans="1:34" s="1123" customFormat="1" ht="26.25" thickBot="1" x14ac:dyDescent="0.25">
      <c r="B566" s="1122"/>
      <c r="D566" s="1109" t="str">
        <f>'TRAD-Saisie données file act.'!B27</f>
        <v>Dosage</v>
      </c>
      <c r="E566" s="1124" t="s">
        <v>80</v>
      </c>
      <c r="F566" s="1125" t="s">
        <v>80</v>
      </c>
      <c r="G566" s="1125" t="s">
        <v>80</v>
      </c>
      <c r="H566" s="1125" t="s">
        <v>88</v>
      </c>
      <c r="I566" s="1125" t="s">
        <v>91</v>
      </c>
      <c r="J566" s="1125" t="s">
        <v>80</v>
      </c>
      <c r="K566" s="1125" t="s">
        <v>86</v>
      </c>
      <c r="L566" s="1174" t="s">
        <v>93</v>
      </c>
      <c r="M566" s="1182" t="s">
        <v>17</v>
      </c>
      <c r="N566" s="1124" t="s">
        <v>258</v>
      </c>
      <c r="O566" s="1124" t="s">
        <v>19</v>
      </c>
      <c r="P566" s="1124" t="s">
        <v>260</v>
      </c>
      <c r="Q566" s="1124" t="s">
        <v>21</v>
      </c>
      <c r="R566" s="1124" t="s">
        <v>102</v>
      </c>
      <c r="S566" s="1124" t="s">
        <v>23</v>
      </c>
      <c r="T566" s="1124" t="s">
        <v>137</v>
      </c>
      <c r="U566" s="1124" t="s">
        <v>728</v>
      </c>
      <c r="V566" s="1124" t="s">
        <v>260</v>
      </c>
      <c r="W566" s="1124" t="s">
        <v>35</v>
      </c>
      <c r="X566" s="1124" t="s">
        <v>33</v>
      </c>
      <c r="Y566" s="1124" t="s">
        <v>611</v>
      </c>
      <c r="Z566" s="1124" t="s">
        <v>46</v>
      </c>
      <c r="AA566" s="1124" t="s">
        <v>611</v>
      </c>
      <c r="AB566" s="1124" t="s">
        <v>38</v>
      </c>
      <c r="AC566" s="1124" t="s">
        <v>30</v>
      </c>
      <c r="AD566" s="1124" t="s">
        <v>30</v>
      </c>
      <c r="AE566" s="1124" t="s">
        <v>105</v>
      </c>
      <c r="AF566" s="1124" t="s">
        <v>43</v>
      </c>
      <c r="AG566" s="1126" t="s">
        <v>496</v>
      </c>
    </row>
    <row r="567" spans="1:34" s="146" customFormat="1" ht="76.5" x14ac:dyDescent="0.2">
      <c r="B567" s="174"/>
      <c r="C567" s="1109" t="str">
        <f>'TRAD-Saisie données file act.'!B15</f>
        <v>Schéma thérapeutique</v>
      </c>
      <c r="D567" s="2534" t="str">
        <f>'TRAD-Saisie données file act.'!B30</f>
        <v>Premières lignes</v>
      </c>
      <c r="E567" s="1112"/>
      <c r="F567" s="1112"/>
      <c r="G567" s="1112"/>
      <c r="H567" s="1112"/>
      <c r="I567" s="1112"/>
      <c r="J567" s="1112"/>
      <c r="K567" s="1112"/>
      <c r="L567" s="1175"/>
      <c r="M567" s="1183"/>
      <c r="N567" s="1112"/>
      <c r="O567" s="1112"/>
      <c r="P567" s="1112"/>
      <c r="Q567" s="1112"/>
      <c r="R567" s="1112"/>
      <c r="S567" s="1112"/>
      <c r="T567" s="1112"/>
      <c r="U567" s="1112"/>
      <c r="V567" s="1112"/>
      <c r="W567" s="1112"/>
      <c r="X567" s="1112"/>
      <c r="Y567" s="1112"/>
      <c r="Z567" s="1112"/>
      <c r="AA567" s="1112"/>
      <c r="AB567" s="1112"/>
      <c r="AC567" s="1112"/>
      <c r="AD567" s="1112"/>
      <c r="AE567" s="1112"/>
      <c r="AF567" s="1112"/>
      <c r="AG567" s="1113"/>
      <c r="AH567" s="2352" t="str">
        <f>'TRAD-Saisie données file act.'!B120</f>
        <v>Vérification nb de produits sélectionnés</v>
      </c>
    </row>
    <row r="568" spans="1:34" s="146" customFormat="1" x14ac:dyDescent="0.2">
      <c r="B568" s="174"/>
      <c r="D568" s="1110" t="str">
        <f>$D$371</f>
        <v>ABC+3TC+LPV/r</v>
      </c>
      <c r="E568" s="2502"/>
      <c r="F568" s="2502"/>
      <c r="G568" s="2502"/>
      <c r="H568" s="2502"/>
      <c r="I568" s="2502"/>
      <c r="J568" s="2502"/>
      <c r="K568" s="2502"/>
      <c r="L568" s="2503"/>
      <c r="M568" s="2504"/>
      <c r="N568" s="2502"/>
      <c r="O568" s="2502"/>
      <c r="P568" s="2502"/>
      <c r="Q568" s="2502"/>
      <c r="R568" s="2502"/>
      <c r="S568" s="2502"/>
      <c r="T568" s="2502"/>
      <c r="U568" s="2502"/>
      <c r="V568" s="2502"/>
      <c r="W568" s="2502"/>
      <c r="X568" s="2502"/>
      <c r="Y568" s="2502"/>
      <c r="Z568" s="2502"/>
      <c r="AA568" s="2502"/>
      <c r="AB568" s="2502"/>
      <c r="AC568" s="2502"/>
      <c r="AD568" s="2502"/>
      <c r="AE568" s="2502"/>
      <c r="AF568" s="2502"/>
      <c r="AG568" s="2511"/>
      <c r="AH568" s="2353">
        <f t="shared" ref="AH568:AH589" si="43">COUNTIF(E568:AG568, "X")</f>
        <v>0</v>
      </c>
    </row>
    <row r="569" spans="1:34" s="146" customFormat="1" x14ac:dyDescent="0.2">
      <c r="B569" s="174"/>
      <c r="D569" s="1110" t="str">
        <f>$D$372</f>
        <v>ABC+3TC+EFV</v>
      </c>
      <c r="E569" s="2502"/>
      <c r="F569" s="2502"/>
      <c r="G569" s="2502"/>
      <c r="H569" s="2502"/>
      <c r="I569" s="2502"/>
      <c r="J569" s="2502"/>
      <c r="K569" s="2502"/>
      <c r="L569" s="2503"/>
      <c r="M569" s="2504"/>
      <c r="N569" s="2502"/>
      <c r="O569" s="2502"/>
      <c r="P569" s="2502"/>
      <c r="Q569" s="2502"/>
      <c r="R569" s="2502"/>
      <c r="S569" s="2502"/>
      <c r="T569" s="2502"/>
      <c r="U569" s="2502"/>
      <c r="V569" s="2502"/>
      <c r="W569" s="2502"/>
      <c r="X569" s="2502"/>
      <c r="Y569" s="2502"/>
      <c r="Z569" s="2502"/>
      <c r="AA569" s="2502"/>
      <c r="AB569" s="2502"/>
      <c r="AC569" s="2502"/>
      <c r="AD569" s="2502"/>
      <c r="AE569" s="2502"/>
      <c r="AF569" s="2502"/>
      <c r="AG569" s="2511"/>
      <c r="AH569" s="2353">
        <f t="shared" si="43"/>
        <v>0</v>
      </c>
    </row>
    <row r="570" spans="1:34" s="146" customFormat="1" x14ac:dyDescent="0.2">
      <c r="B570" s="174"/>
      <c r="D570" s="1110" t="str">
        <f>$D$373</f>
        <v>ABC+3TC+AZT</v>
      </c>
      <c r="E570" s="2502"/>
      <c r="F570" s="2502"/>
      <c r="G570" s="2502"/>
      <c r="H570" s="2502"/>
      <c r="I570" s="2502"/>
      <c r="J570" s="2502"/>
      <c r="K570" s="2502"/>
      <c r="L570" s="2503"/>
      <c r="M570" s="2504"/>
      <c r="N570" s="2502"/>
      <c r="O570" s="2502"/>
      <c r="P570" s="2502"/>
      <c r="Q570" s="2502"/>
      <c r="R570" s="2502"/>
      <c r="S570" s="2502"/>
      <c r="T570" s="2502"/>
      <c r="U570" s="2502"/>
      <c r="V570" s="2502"/>
      <c r="W570" s="2502"/>
      <c r="X570" s="2502"/>
      <c r="Y570" s="2502"/>
      <c r="Z570" s="2502"/>
      <c r="AA570" s="2502"/>
      <c r="AB570" s="2502"/>
      <c r="AC570" s="2502"/>
      <c r="AD570" s="2502"/>
      <c r="AE570" s="2502"/>
      <c r="AF570" s="2502"/>
      <c r="AG570" s="2511"/>
      <c r="AH570" s="2353">
        <f t="shared" si="43"/>
        <v>0</v>
      </c>
    </row>
    <row r="571" spans="1:34" s="146" customFormat="1" x14ac:dyDescent="0.2">
      <c r="B571" s="174"/>
      <c r="D571" s="1110">
        <f>$D$374</f>
        <v>0</v>
      </c>
      <c r="E571" s="2502"/>
      <c r="F571" s="2502"/>
      <c r="G571" s="2502"/>
      <c r="H571" s="2502"/>
      <c r="I571" s="2502"/>
      <c r="J571" s="2502"/>
      <c r="K571" s="2502"/>
      <c r="L571" s="2503"/>
      <c r="M571" s="2504"/>
      <c r="N571" s="2502"/>
      <c r="O571" s="2502"/>
      <c r="P571" s="2502"/>
      <c r="Q571" s="2502"/>
      <c r="R571" s="2502"/>
      <c r="S571" s="2502"/>
      <c r="T571" s="2502"/>
      <c r="U571" s="2502"/>
      <c r="V571" s="2502"/>
      <c r="W571" s="2502"/>
      <c r="X571" s="2502"/>
      <c r="Y571" s="2502"/>
      <c r="Z571" s="2502"/>
      <c r="AA571" s="2502"/>
      <c r="AB571" s="2502"/>
      <c r="AC571" s="2502"/>
      <c r="AD571" s="2502"/>
      <c r="AE571" s="2502"/>
      <c r="AF571" s="2502"/>
      <c r="AG571" s="2511"/>
      <c r="AH571" s="2353">
        <f t="shared" si="43"/>
        <v>0</v>
      </c>
    </row>
    <row r="572" spans="1:34" s="146" customFormat="1" x14ac:dyDescent="0.2">
      <c r="B572" s="174"/>
      <c r="D572" s="1110">
        <f>$D$375</f>
        <v>0</v>
      </c>
      <c r="E572" s="2502"/>
      <c r="F572" s="2502"/>
      <c r="G572" s="2502"/>
      <c r="H572" s="2502"/>
      <c r="I572" s="2502"/>
      <c r="J572" s="2502"/>
      <c r="K572" s="2502"/>
      <c r="L572" s="2503"/>
      <c r="M572" s="2504"/>
      <c r="N572" s="2502"/>
      <c r="O572" s="2502"/>
      <c r="P572" s="2502"/>
      <c r="Q572" s="2502"/>
      <c r="R572" s="2502"/>
      <c r="S572" s="2502"/>
      <c r="T572" s="2502"/>
      <c r="U572" s="2502"/>
      <c r="V572" s="2502"/>
      <c r="W572" s="2502"/>
      <c r="X572" s="2502"/>
      <c r="Y572" s="2502"/>
      <c r="Z572" s="2502"/>
      <c r="AA572" s="2502"/>
      <c r="AB572" s="2502"/>
      <c r="AC572" s="2502"/>
      <c r="AD572" s="2502"/>
      <c r="AE572" s="2502"/>
      <c r="AF572" s="2502"/>
      <c r="AG572" s="2511"/>
      <c r="AH572" s="2353">
        <f t="shared" si="43"/>
        <v>0</v>
      </c>
    </row>
    <row r="573" spans="1:34" s="146" customFormat="1" x14ac:dyDescent="0.2">
      <c r="B573" s="174"/>
      <c r="D573" s="1110">
        <f>$D$376</f>
        <v>0</v>
      </c>
      <c r="E573" s="2502"/>
      <c r="F573" s="2502"/>
      <c r="G573" s="2502"/>
      <c r="H573" s="2502"/>
      <c r="I573" s="2502"/>
      <c r="J573" s="2502"/>
      <c r="K573" s="2502"/>
      <c r="L573" s="2503"/>
      <c r="M573" s="2504"/>
      <c r="N573" s="2502"/>
      <c r="O573" s="2502"/>
      <c r="P573" s="2502"/>
      <c r="Q573" s="2502"/>
      <c r="R573" s="2502"/>
      <c r="S573" s="2502"/>
      <c r="T573" s="2502"/>
      <c r="U573" s="2502"/>
      <c r="V573" s="2502"/>
      <c r="W573" s="2502"/>
      <c r="X573" s="2502"/>
      <c r="Y573" s="2502"/>
      <c r="Z573" s="2502"/>
      <c r="AA573" s="2502"/>
      <c r="AB573" s="2502"/>
      <c r="AC573" s="2502"/>
      <c r="AD573" s="2502"/>
      <c r="AE573" s="2502"/>
      <c r="AF573" s="2502"/>
      <c r="AG573" s="2511"/>
      <c r="AH573" s="2353">
        <f t="shared" si="43"/>
        <v>0</v>
      </c>
    </row>
    <row r="574" spans="1:34" s="146" customFormat="1" x14ac:dyDescent="0.2">
      <c r="B574" s="174"/>
      <c r="D574" s="1114" t="str">
        <f>'TRAD-Saisie données file act.'!$B$31</f>
        <v>Deuxièmes lignes</v>
      </c>
      <c r="E574" s="2505"/>
      <c r="F574" s="2505"/>
      <c r="G574" s="2505"/>
      <c r="H574" s="2505"/>
      <c r="I574" s="2505"/>
      <c r="J574" s="2505"/>
      <c r="K574" s="2505"/>
      <c r="L574" s="2506"/>
      <c r="M574" s="2507"/>
      <c r="N574" s="2505"/>
      <c r="O574" s="2505"/>
      <c r="P574" s="2505"/>
      <c r="Q574" s="2505"/>
      <c r="R574" s="2505"/>
      <c r="S574" s="2505"/>
      <c r="T574" s="2505"/>
      <c r="U574" s="2505"/>
      <c r="V574" s="2505"/>
      <c r="W574" s="2505"/>
      <c r="X574" s="2505"/>
      <c r="Y574" s="2505"/>
      <c r="Z574" s="2505"/>
      <c r="AA574" s="2505"/>
      <c r="AB574" s="2505"/>
      <c r="AC574" s="2505"/>
      <c r="AD574" s="2505"/>
      <c r="AE574" s="2505"/>
      <c r="AF574" s="2505"/>
      <c r="AG574" s="2512"/>
      <c r="AH574" s="2353">
        <f t="shared" si="43"/>
        <v>0</v>
      </c>
    </row>
    <row r="575" spans="1:34" s="146" customFormat="1" x14ac:dyDescent="0.2">
      <c r="B575" s="174"/>
      <c r="D575" s="1110" t="str">
        <f>$D$378</f>
        <v>AZT+3TC+LPV/r</v>
      </c>
      <c r="E575" s="2502"/>
      <c r="F575" s="2502"/>
      <c r="G575" s="2502"/>
      <c r="H575" s="2502"/>
      <c r="I575" s="2502"/>
      <c r="J575" s="2502"/>
      <c r="K575" s="2502"/>
      <c r="L575" s="2503"/>
      <c r="M575" s="2504"/>
      <c r="N575" s="2502"/>
      <c r="O575" s="2502"/>
      <c r="P575" s="2502"/>
      <c r="Q575" s="2502"/>
      <c r="R575" s="2502"/>
      <c r="S575" s="2502"/>
      <c r="T575" s="2502"/>
      <c r="U575" s="2502"/>
      <c r="V575" s="2502"/>
      <c r="W575" s="2502"/>
      <c r="X575" s="2502"/>
      <c r="Y575" s="2502"/>
      <c r="Z575" s="2502"/>
      <c r="AA575" s="2502"/>
      <c r="AB575" s="2502"/>
      <c r="AC575" s="2502"/>
      <c r="AD575" s="2502"/>
      <c r="AE575" s="2502"/>
      <c r="AF575" s="2502"/>
      <c r="AG575" s="2511"/>
      <c r="AH575" s="2353">
        <f t="shared" si="43"/>
        <v>0</v>
      </c>
    </row>
    <row r="576" spans="1:34" s="146" customFormat="1" x14ac:dyDescent="0.2">
      <c r="B576" s="174"/>
      <c r="D576" s="1110">
        <f>$D$379</f>
        <v>0</v>
      </c>
      <c r="E576" s="2502"/>
      <c r="F576" s="2502"/>
      <c r="G576" s="2502"/>
      <c r="H576" s="2502"/>
      <c r="I576" s="2502"/>
      <c r="J576" s="2502"/>
      <c r="K576" s="2502"/>
      <c r="L576" s="2503"/>
      <c r="M576" s="2504"/>
      <c r="N576" s="2502"/>
      <c r="O576" s="2502"/>
      <c r="P576" s="2502"/>
      <c r="Q576" s="2502"/>
      <c r="R576" s="2502"/>
      <c r="S576" s="2502"/>
      <c r="T576" s="2502"/>
      <c r="U576" s="2502"/>
      <c r="V576" s="2502"/>
      <c r="W576" s="2502"/>
      <c r="X576" s="2502"/>
      <c r="Y576" s="2502"/>
      <c r="Z576" s="2502"/>
      <c r="AA576" s="2502"/>
      <c r="AB576" s="2502"/>
      <c r="AC576" s="2502"/>
      <c r="AD576" s="2502"/>
      <c r="AE576" s="2502"/>
      <c r="AF576" s="2502"/>
      <c r="AG576" s="2511"/>
      <c r="AH576" s="2353">
        <f t="shared" si="43"/>
        <v>0</v>
      </c>
    </row>
    <row r="577" spans="1:34" s="146" customFormat="1" x14ac:dyDescent="0.2">
      <c r="B577" s="174"/>
      <c r="D577" s="1110">
        <f>$D$380</f>
        <v>0</v>
      </c>
      <c r="E577" s="2502"/>
      <c r="F577" s="2502"/>
      <c r="G577" s="2502"/>
      <c r="H577" s="2502"/>
      <c r="I577" s="2502"/>
      <c r="J577" s="2502"/>
      <c r="K577" s="2502"/>
      <c r="L577" s="2503"/>
      <c r="M577" s="2504"/>
      <c r="N577" s="2502"/>
      <c r="O577" s="2502"/>
      <c r="P577" s="2502"/>
      <c r="Q577" s="2502"/>
      <c r="R577" s="2502"/>
      <c r="S577" s="2502"/>
      <c r="T577" s="2502"/>
      <c r="U577" s="2502"/>
      <c r="V577" s="2502"/>
      <c r="W577" s="2502"/>
      <c r="X577" s="2502"/>
      <c r="Y577" s="2502"/>
      <c r="Z577" s="2502"/>
      <c r="AA577" s="2502"/>
      <c r="AB577" s="2502"/>
      <c r="AC577" s="2502"/>
      <c r="AD577" s="2502"/>
      <c r="AE577" s="2502"/>
      <c r="AF577" s="2502"/>
      <c r="AG577" s="2511"/>
      <c r="AH577" s="2353">
        <f t="shared" si="43"/>
        <v>0</v>
      </c>
    </row>
    <row r="578" spans="1:34" s="146" customFormat="1" x14ac:dyDescent="0.2">
      <c r="B578" s="174"/>
      <c r="D578" s="1110">
        <f>$D$381</f>
        <v>0</v>
      </c>
      <c r="E578" s="2502"/>
      <c r="F578" s="2502"/>
      <c r="G578" s="2502"/>
      <c r="H578" s="2502"/>
      <c r="I578" s="2502"/>
      <c r="J578" s="2502"/>
      <c r="K578" s="2502"/>
      <c r="L578" s="2503"/>
      <c r="M578" s="2504"/>
      <c r="N578" s="2502"/>
      <c r="O578" s="2502"/>
      <c r="P578" s="2502"/>
      <c r="Q578" s="2502"/>
      <c r="R578" s="2502"/>
      <c r="S578" s="2502"/>
      <c r="T578" s="2502"/>
      <c r="U578" s="2502"/>
      <c r="V578" s="2502"/>
      <c r="W578" s="2502"/>
      <c r="X578" s="2502"/>
      <c r="Y578" s="2502"/>
      <c r="Z578" s="2502"/>
      <c r="AA578" s="2502"/>
      <c r="AB578" s="2502"/>
      <c r="AC578" s="2502"/>
      <c r="AD578" s="2502"/>
      <c r="AE578" s="2502"/>
      <c r="AF578" s="2502"/>
      <c r="AG578" s="2511"/>
      <c r="AH578" s="2353">
        <f t="shared" si="43"/>
        <v>0</v>
      </c>
    </row>
    <row r="579" spans="1:34" s="146" customFormat="1" x14ac:dyDescent="0.2">
      <c r="B579" s="174"/>
      <c r="D579" s="1110">
        <f>$D$382</f>
        <v>0</v>
      </c>
      <c r="E579" s="2502"/>
      <c r="F579" s="2502"/>
      <c r="G579" s="2502"/>
      <c r="H579" s="2502"/>
      <c r="I579" s="2502"/>
      <c r="J579" s="2502"/>
      <c r="K579" s="2502"/>
      <c r="L579" s="2503"/>
      <c r="M579" s="2504"/>
      <c r="N579" s="2502"/>
      <c r="O579" s="2502"/>
      <c r="P579" s="2502"/>
      <c r="Q579" s="2502"/>
      <c r="R579" s="2502"/>
      <c r="S579" s="2502"/>
      <c r="T579" s="2502"/>
      <c r="U579" s="2502"/>
      <c r="V579" s="2502"/>
      <c r="W579" s="2502"/>
      <c r="X579" s="2502"/>
      <c r="Y579" s="2502"/>
      <c r="Z579" s="2502"/>
      <c r="AA579" s="2502"/>
      <c r="AB579" s="2502"/>
      <c r="AC579" s="2502"/>
      <c r="AD579" s="2502"/>
      <c r="AE579" s="2502"/>
      <c r="AF579" s="2502"/>
      <c r="AG579" s="2511"/>
      <c r="AH579" s="2353">
        <f t="shared" si="43"/>
        <v>0</v>
      </c>
    </row>
    <row r="580" spans="1:34" s="146" customFormat="1" x14ac:dyDescent="0.2">
      <c r="B580" s="174"/>
      <c r="D580" s="1114" t="str">
        <f>'TRAD-Saisie données file act.'!$B$32</f>
        <v>Lignes alternatives</v>
      </c>
      <c r="E580" s="2505"/>
      <c r="F580" s="2505"/>
      <c r="G580" s="2505"/>
      <c r="H580" s="2505"/>
      <c r="I580" s="2505"/>
      <c r="J580" s="2505"/>
      <c r="K580" s="2505"/>
      <c r="L580" s="2506"/>
      <c r="M580" s="2507"/>
      <c r="N580" s="2505"/>
      <c r="O580" s="2505"/>
      <c r="P580" s="2505"/>
      <c r="Q580" s="2505"/>
      <c r="R580" s="2505"/>
      <c r="S580" s="2505"/>
      <c r="T580" s="2505"/>
      <c r="U580" s="2505"/>
      <c r="V580" s="2505"/>
      <c r="W580" s="2505"/>
      <c r="X580" s="2505"/>
      <c r="Y580" s="2505"/>
      <c r="Z580" s="2505"/>
      <c r="AA580" s="2505"/>
      <c r="AB580" s="2505"/>
      <c r="AC580" s="2505"/>
      <c r="AD580" s="2505"/>
      <c r="AE580" s="2505"/>
      <c r="AF580" s="2505"/>
      <c r="AG580" s="2512"/>
      <c r="AH580" s="2353">
        <f t="shared" si="43"/>
        <v>0</v>
      </c>
    </row>
    <row r="581" spans="1:34" s="146" customFormat="1" x14ac:dyDescent="0.2">
      <c r="B581" s="174"/>
      <c r="D581" s="1115">
        <f>$D$384</f>
        <v>0</v>
      </c>
      <c r="E581" s="2502"/>
      <c r="F581" s="2502"/>
      <c r="G581" s="2502"/>
      <c r="H581" s="2502"/>
      <c r="I581" s="2502"/>
      <c r="J581" s="2502"/>
      <c r="K581" s="2502"/>
      <c r="L581" s="2503"/>
      <c r="M581" s="2504"/>
      <c r="N581" s="2502"/>
      <c r="O581" s="2502"/>
      <c r="P581" s="2502"/>
      <c r="Q581" s="2502"/>
      <c r="R581" s="2502"/>
      <c r="S581" s="2502"/>
      <c r="T581" s="2502"/>
      <c r="U581" s="2502"/>
      <c r="V581" s="2502"/>
      <c r="W581" s="2502"/>
      <c r="X581" s="2502"/>
      <c r="Y581" s="2502"/>
      <c r="Z581" s="2502"/>
      <c r="AA581" s="2502"/>
      <c r="AB581" s="2502"/>
      <c r="AC581" s="2502"/>
      <c r="AD581" s="2502"/>
      <c r="AE581" s="2502"/>
      <c r="AF581" s="2502"/>
      <c r="AG581" s="2511"/>
      <c r="AH581" s="2353">
        <f t="shared" si="43"/>
        <v>0</v>
      </c>
    </row>
    <row r="582" spans="1:34" s="146" customFormat="1" x14ac:dyDescent="0.2">
      <c r="B582" s="174"/>
      <c r="D582" s="1115">
        <f>$D$385</f>
        <v>0</v>
      </c>
      <c r="E582" s="2502"/>
      <c r="F582" s="2502"/>
      <c r="G582" s="2502"/>
      <c r="H582" s="2502"/>
      <c r="I582" s="2502"/>
      <c r="J582" s="2502"/>
      <c r="K582" s="2502"/>
      <c r="L582" s="2503"/>
      <c r="M582" s="2504"/>
      <c r="N582" s="2502"/>
      <c r="O582" s="2502"/>
      <c r="P582" s="2502"/>
      <c r="Q582" s="2502"/>
      <c r="R582" s="2502"/>
      <c r="S582" s="2502"/>
      <c r="T582" s="2502"/>
      <c r="U582" s="2502"/>
      <c r="V582" s="2502"/>
      <c r="W582" s="2502"/>
      <c r="X582" s="2502"/>
      <c r="Y582" s="2502"/>
      <c r="Z582" s="2502"/>
      <c r="AA582" s="2502"/>
      <c r="AB582" s="2502"/>
      <c r="AC582" s="2502"/>
      <c r="AD582" s="2502"/>
      <c r="AE582" s="2502"/>
      <c r="AF582" s="2502"/>
      <c r="AG582" s="2511"/>
      <c r="AH582" s="2353">
        <f t="shared" si="43"/>
        <v>0</v>
      </c>
    </row>
    <row r="583" spans="1:34" s="146" customFormat="1" x14ac:dyDescent="0.2">
      <c r="B583" s="174"/>
      <c r="D583" s="1115">
        <f>$D$386</f>
        <v>0</v>
      </c>
      <c r="E583" s="2502"/>
      <c r="F583" s="2502"/>
      <c r="G583" s="2502"/>
      <c r="H583" s="2502"/>
      <c r="I583" s="2502"/>
      <c r="J583" s="2502"/>
      <c r="K583" s="2502"/>
      <c r="L583" s="2503"/>
      <c r="M583" s="2504"/>
      <c r="N583" s="2502"/>
      <c r="O583" s="2502"/>
      <c r="P583" s="2502"/>
      <c r="Q583" s="2502"/>
      <c r="R583" s="2502"/>
      <c r="S583" s="2502"/>
      <c r="T583" s="2502"/>
      <c r="U583" s="2502"/>
      <c r="V583" s="2502"/>
      <c r="W583" s="2502"/>
      <c r="X583" s="2502"/>
      <c r="Y583" s="2502"/>
      <c r="Z583" s="2502"/>
      <c r="AA583" s="2502"/>
      <c r="AB583" s="2502"/>
      <c r="AC583" s="2502"/>
      <c r="AD583" s="2502"/>
      <c r="AE583" s="2502"/>
      <c r="AF583" s="2502"/>
      <c r="AG583" s="2511"/>
      <c r="AH583" s="2353">
        <f t="shared" si="43"/>
        <v>0</v>
      </c>
    </row>
    <row r="584" spans="1:34" s="146" customFormat="1" x14ac:dyDescent="0.2">
      <c r="B584" s="174"/>
      <c r="D584" s="1115">
        <f>$D$387</f>
        <v>0</v>
      </c>
      <c r="E584" s="2502"/>
      <c r="F584" s="2502"/>
      <c r="G584" s="2502"/>
      <c r="H584" s="2502"/>
      <c r="I584" s="2502"/>
      <c r="J584" s="2502"/>
      <c r="K584" s="2502"/>
      <c r="L584" s="2503"/>
      <c r="M584" s="2504"/>
      <c r="N584" s="2502"/>
      <c r="O584" s="2502"/>
      <c r="P584" s="2502"/>
      <c r="Q584" s="2502"/>
      <c r="R584" s="2502"/>
      <c r="S584" s="2502"/>
      <c r="T584" s="2502"/>
      <c r="U584" s="2502"/>
      <c r="V584" s="2502"/>
      <c r="W584" s="2502"/>
      <c r="X584" s="2502"/>
      <c r="Y584" s="2502"/>
      <c r="Z584" s="2502"/>
      <c r="AA584" s="2502"/>
      <c r="AB584" s="2502"/>
      <c r="AC584" s="2502"/>
      <c r="AD584" s="2502"/>
      <c r="AE584" s="2502"/>
      <c r="AF584" s="2502"/>
      <c r="AG584" s="2511"/>
      <c r="AH584" s="2353">
        <f t="shared" si="43"/>
        <v>0</v>
      </c>
    </row>
    <row r="585" spans="1:34" s="146" customFormat="1" x14ac:dyDescent="0.2">
      <c r="B585" s="174"/>
      <c r="D585" s="1115">
        <f>$D$388</f>
        <v>0</v>
      </c>
      <c r="E585" s="2502"/>
      <c r="F585" s="2502"/>
      <c r="G585" s="2502"/>
      <c r="H585" s="2502"/>
      <c r="I585" s="2502"/>
      <c r="J585" s="2502"/>
      <c r="K585" s="2502"/>
      <c r="L585" s="2503"/>
      <c r="M585" s="2504"/>
      <c r="N585" s="2502"/>
      <c r="O585" s="2502"/>
      <c r="P585" s="2502"/>
      <c r="Q585" s="2502"/>
      <c r="R585" s="2502"/>
      <c r="S585" s="2502"/>
      <c r="T585" s="2502"/>
      <c r="U585" s="2502"/>
      <c r="V585" s="2502"/>
      <c r="W585" s="2502"/>
      <c r="X585" s="2502"/>
      <c r="Y585" s="2502"/>
      <c r="Z585" s="2502"/>
      <c r="AA585" s="2502"/>
      <c r="AB585" s="2502"/>
      <c r="AC585" s="2502"/>
      <c r="AD585" s="2502"/>
      <c r="AE585" s="2502"/>
      <c r="AF585" s="2502"/>
      <c r="AG585" s="2511"/>
      <c r="AH585" s="2353">
        <f t="shared" si="43"/>
        <v>0</v>
      </c>
    </row>
    <row r="586" spans="1:34" s="146" customFormat="1" x14ac:dyDescent="0.2">
      <c r="B586" s="174"/>
      <c r="D586" s="1115">
        <f>$D$389</f>
        <v>0</v>
      </c>
      <c r="E586" s="2502"/>
      <c r="F586" s="2502"/>
      <c r="G586" s="2502"/>
      <c r="H586" s="2502"/>
      <c r="I586" s="2502"/>
      <c r="J586" s="2502"/>
      <c r="K586" s="2502"/>
      <c r="L586" s="2503"/>
      <c r="M586" s="2504"/>
      <c r="N586" s="2502"/>
      <c r="O586" s="2502"/>
      <c r="P586" s="2502"/>
      <c r="Q586" s="2502"/>
      <c r="R586" s="2502"/>
      <c r="S586" s="2502"/>
      <c r="T586" s="2502"/>
      <c r="U586" s="2502"/>
      <c r="V586" s="2502"/>
      <c r="W586" s="2502"/>
      <c r="X586" s="2502"/>
      <c r="Y586" s="2502"/>
      <c r="Z586" s="2502"/>
      <c r="AA586" s="2502"/>
      <c r="AB586" s="2502"/>
      <c r="AC586" s="2502"/>
      <c r="AD586" s="2502"/>
      <c r="AE586" s="2502"/>
      <c r="AF586" s="2502"/>
      <c r="AG586" s="2511"/>
      <c r="AH586" s="2353">
        <f t="shared" si="43"/>
        <v>0</v>
      </c>
    </row>
    <row r="587" spans="1:34" s="146" customFormat="1" x14ac:dyDescent="0.2">
      <c r="B587" s="174"/>
      <c r="D587" s="1115">
        <f>$D$390</f>
        <v>0</v>
      </c>
      <c r="E587" s="2502"/>
      <c r="F587" s="2502"/>
      <c r="G587" s="2502"/>
      <c r="H587" s="2502"/>
      <c r="I587" s="2502"/>
      <c r="J587" s="2502"/>
      <c r="K587" s="2502"/>
      <c r="L587" s="2503"/>
      <c r="M587" s="2504"/>
      <c r="N587" s="2502"/>
      <c r="O587" s="2502"/>
      <c r="P587" s="2502"/>
      <c r="Q587" s="2502"/>
      <c r="R587" s="2502"/>
      <c r="S587" s="2502"/>
      <c r="T587" s="2502"/>
      <c r="U587" s="2502"/>
      <c r="V587" s="2502"/>
      <c r="W587" s="2502"/>
      <c r="X587" s="2502"/>
      <c r="Y587" s="2502"/>
      <c r="Z587" s="2502"/>
      <c r="AA587" s="2502"/>
      <c r="AB587" s="2502"/>
      <c r="AC587" s="2502"/>
      <c r="AD587" s="2502"/>
      <c r="AE587" s="2502"/>
      <c r="AF587" s="2502"/>
      <c r="AG587" s="2511"/>
      <c r="AH587" s="2353">
        <f t="shared" si="43"/>
        <v>0</v>
      </c>
    </row>
    <row r="588" spans="1:34" s="146" customFormat="1" x14ac:dyDescent="0.2">
      <c r="B588" s="174"/>
      <c r="D588" s="1115">
        <f>$D$391</f>
        <v>0</v>
      </c>
      <c r="E588" s="2502"/>
      <c r="F588" s="2502"/>
      <c r="G588" s="2502"/>
      <c r="H588" s="2502"/>
      <c r="I588" s="2502"/>
      <c r="J588" s="2502"/>
      <c r="K588" s="2502"/>
      <c r="L588" s="2503"/>
      <c r="M588" s="2504"/>
      <c r="N588" s="2502"/>
      <c r="O588" s="2502"/>
      <c r="P588" s="2502"/>
      <c r="Q588" s="2502"/>
      <c r="R588" s="2502"/>
      <c r="S588" s="2502"/>
      <c r="T588" s="2502"/>
      <c r="U588" s="2502"/>
      <c r="V588" s="2502"/>
      <c r="W588" s="2502"/>
      <c r="X588" s="2502"/>
      <c r="Y588" s="2502"/>
      <c r="Z588" s="2502"/>
      <c r="AA588" s="2502"/>
      <c r="AB588" s="2502"/>
      <c r="AC588" s="2502"/>
      <c r="AD588" s="2502"/>
      <c r="AE588" s="2502"/>
      <c r="AF588" s="2502"/>
      <c r="AG588" s="2511"/>
      <c r="AH588" s="2353">
        <f t="shared" si="43"/>
        <v>0</v>
      </c>
    </row>
    <row r="589" spans="1:34" s="146" customFormat="1" ht="13.5" thickBot="1" x14ac:dyDescent="0.25">
      <c r="B589" s="174"/>
      <c r="D589" s="1116">
        <f>$D$392</f>
        <v>0</v>
      </c>
      <c r="E589" s="2508"/>
      <c r="F589" s="2508"/>
      <c r="G589" s="2508"/>
      <c r="H589" s="2508"/>
      <c r="I589" s="2508"/>
      <c r="J589" s="2508"/>
      <c r="K589" s="2508"/>
      <c r="L589" s="2509"/>
      <c r="M589" s="2510"/>
      <c r="N589" s="2508"/>
      <c r="O589" s="2508"/>
      <c r="P589" s="2508"/>
      <c r="Q589" s="2508"/>
      <c r="R589" s="2508"/>
      <c r="S589" s="2508"/>
      <c r="T589" s="2508"/>
      <c r="U589" s="2508"/>
      <c r="V589" s="2508"/>
      <c r="W589" s="2508"/>
      <c r="X589" s="2508"/>
      <c r="Y589" s="2508"/>
      <c r="Z589" s="2508"/>
      <c r="AA589" s="2508"/>
      <c r="AB589" s="2508"/>
      <c r="AC589" s="2508"/>
      <c r="AD589" s="2508"/>
      <c r="AE589" s="2508"/>
      <c r="AF589" s="2508"/>
      <c r="AG589" s="2513"/>
      <c r="AH589" s="2354">
        <f t="shared" si="43"/>
        <v>0</v>
      </c>
    </row>
    <row r="590" spans="1:34" s="146" customFormat="1" x14ac:dyDescent="0.2">
      <c r="A590" s="174"/>
    </row>
    <row r="591" spans="1:34" s="146" customFormat="1" ht="13.5" thickBot="1" x14ac:dyDescent="0.25">
      <c r="A591" s="174"/>
    </row>
    <row r="592" spans="1:34" s="146" customFormat="1" ht="13.5" thickBot="1" x14ac:dyDescent="0.25">
      <c r="A592" s="174"/>
      <c r="B592" s="1168" t="str">
        <f>'TRAD-Saisie données file act.'!B123</f>
        <v>Tranche 20 - 24,9 kg</v>
      </c>
      <c r="C592" s="1162"/>
      <c r="D592" s="1166"/>
      <c r="E592" s="1166"/>
      <c r="F592" s="1166"/>
      <c r="G592" s="1166"/>
      <c r="H592" s="1166"/>
      <c r="I592" s="1167"/>
    </row>
    <row r="593" spans="1:34" s="146" customFormat="1" ht="13.5" thickBot="1" x14ac:dyDescent="0.25">
      <c r="A593" s="174"/>
      <c r="B593" s="2126"/>
      <c r="C593" s="2127"/>
      <c r="D593" s="2128"/>
      <c r="E593" s="2128"/>
      <c r="F593" s="2128"/>
      <c r="G593" s="2128"/>
      <c r="H593" s="2128"/>
      <c r="I593" s="2128"/>
    </row>
    <row r="594" spans="1:34" s="146" customFormat="1" ht="26.25" thickBot="1" x14ac:dyDescent="0.25">
      <c r="B594" s="174"/>
      <c r="E594" s="1172" t="str">
        <f>'TRAD-Saisie données file act.'!B117</f>
        <v>Solutions buvables</v>
      </c>
      <c r="F594" s="1173"/>
      <c r="G594" s="1173"/>
      <c r="H594" s="1173"/>
      <c r="I594" s="1173"/>
      <c r="J594" s="1173"/>
      <c r="K594" s="1162"/>
      <c r="L594" s="1162"/>
      <c r="M594" s="191" t="str">
        <f>'TRAD-Saisie données file act.'!B119</f>
        <v>Comprimés</v>
      </c>
      <c r="N594" s="1162"/>
      <c r="O594" s="1162"/>
      <c r="P594" s="1162"/>
      <c r="Q594" s="1162"/>
      <c r="R594" s="1162"/>
      <c r="S594" s="1162"/>
      <c r="T594" s="1162"/>
      <c r="U594" s="1162"/>
      <c r="V594" s="1162"/>
      <c r="W594" s="1162"/>
      <c r="X594" s="1162"/>
      <c r="Y594" s="1162"/>
      <c r="Z594" s="1162"/>
      <c r="AA594" s="1162"/>
      <c r="AB594" s="1162"/>
      <c r="AC594" s="1162"/>
      <c r="AD594" s="1162"/>
      <c r="AE594" s="1162"/>
      <c r="AF594" s="1162"/>
      <c r="AG594" s="1163"/>
    </row>
    <row r="595" spans="1:34" s="1123" customFormat="1" ht="25.5" x14ac:dyDescent="0.2">
      <c r="B595" s="1122"/>
      <c r="D595" s="1109" t="str">
        <f>'TRAD-Saisie données file act.'!B118</f>
        <v>Nb de boites / mois pour l'ensemble des patients</v>
      </c>
      <c r="E595" s="1125" t="s">
        <v>32</v>
      </c>
      <c r="F595" s="1125" t="s">
        <v>82</v>
      </c>
      <c r="G595" s="1125" t="s">
        <v>34</v>
      </c>
      <c r="H595" s="1125" t="s">
        <v>36</v>
      </c>
      <c r="I595" s="1125" t="s">
        <v>37</v>
      </c>
      <c r="J595" s="1125" t="s">
        <v>29</v>
      </c>
      <c r="K595" s="1125" t="s">
        <v>27</v>
      </c>
      <c r="L595" s="1174" t="s">
        <v>42</v>
      </c>
      <c r="M595" s="1182" t="s">
        <v>1</v>
      </c>
      <c r="N595" s="1124" t="str">
        <f>'TRAD-Saisie données file act.'!B138</f>
        <v>AZT+3TC+NVP bébé</v>
      </c>
      <c r="O595" s="1124" t="s">
        <v>18</v>
      </c>
      <c r="P595" s="1124" t="str">
        <f>'TRAD-Saisie données file act.'!B140</f>
        <v>AZT+3TC bébé</v>
      </c>
      <c r="Q595" s="1124" t="s">
        <v>2</v>
      </c>
      <c r="R595" s="1124" t="str">
        <f>'TRAD-Saisie données file act.'!B142</f>
        <v>D4T+3TC+NVP bébé</v>
      </c>
      <c r="S595" s="1124" t="s">
        <v>22</v>
      </c>
      <c r="T595" s="1124" t="s">
        <v>3</v>
      </c>
      <c r="U595" s="1124" t="s">
        <v>596</v>
      </c>
      <c r="V595" s="1124" t="str">
        <f>'TRAD-Saisie données file act.'!B146</f>
        <v>ABC+3TC bébé</v>
      </c>
      <c r="W595" s="1124" t="s">
        <v>34</v>
      </c>
      <c r="X595" s="1124" t="s">
        <v>36</v>
      </c>
      <c r="Y595" s="1124" t="str">
        <f>'TRAD-Saisie données file act.'!B148</f>
        <v>ABC bébé</v>
      </c>
      <c r="Z595" s="1124" t="s">
        <v>32</v>
      </c>
      <c r="AA595" s="1124" t="str">
        <f>'TRAD-Saisie données file act.'!B149</f>
        <v>AZT bébé</v>
      </c>
      <c r="AB595" s="1124" t="s">
        <v>37</v>
      </c>
      <c r="AC595" s="1124" t="s">
        <v>29</v>
      </c>
      <c r="AD595" s="1124" t="s">
        <v>27</v>
      </c>
      <c r="AE595" s="1124" t="s">
        <v>27</v>
      </c>
      <c r="AF595" s="1124" t="s">
        <v>42</v>
      </c>
      <c r="AG595" s="1126" t="str">
        <f>'TRAD-Saisie données file act.'!B152</f>
        <v>LPV/r bébé</v>
      </c>
    </row>
    <row r="596" spans="1:34" s="1123" customFormat="1" ht="26.25" thickBot="1" x14ac:dyDescent="0.25">
      <c r="B596" s="1122"/>
      <c r="D596" s="1109" t="str">
        <f>'TRAD-Saisie données file act.'!B27</f>
        <v>Dosage</v>
      </c>
      <c r="E596" s="1124" t="s">
        <v>80</v>
      </c>
      <c r="F596" s="1125" t="s">
        <v>80</v>
      </c>
      <c r="G596" s="1125" t="s">
        <v>80</v>
      </c>
      <c r="H596" s="1125" t="s">
        <v>88</v>
      </c>
      <c r="I596" s="1125" t="s">
        <v>91</v>
      </c>
      <c r="J596" s="1125" t="s">
        <v>80</v>
      </c>
      <c r="K596" s="1125" t="s">
        <v>86</v>
      </c>
      <c r="L596" s="1174" t="s">
        <v>93</v>
      </c>
      <c r="M596" s="1182" t="s">
        <v>17</v>
      </c>
      <c r="N596" s="1124" t="s">
        <v>258</v>
      </c>
      <c r="O596" s="1124" t="s">
        <v>19</v>
      </c>
      <c r="P596" s="1124" t="s">
        <v>260</v>
      </c>
      <c r="Q596" s="1124" t="s">
        <v>21</v>
      </c>
      <c r="R596" s="1124" t="s">
        <v>102</v>
      </c>
      <c r="S596" s="1124" t="s">
        <v>23</v>
      </c>
      <c r="T596" s="1124" t="s">
        <v>137</v>
      </c>
      <c r="U596" s="1124" t="s">
        <v>728</v>
      </c>
      <c r="V596" s="1124" t="s">
        <v>260</v>
      </c>
      <c r="W596" s="1124" t="s">
        <v>35</v>
      </c>
      <c r="X596" s="1124" t="s">
        <v>33</v>
      </c>
      <c r="Y596" s="1124" t="s">
        <v>611</v>
      </c>
      <c r="Z596" s="1124" t="s">
        <v>46</v>
      </c>
      <c r="AA596" s="1124" t="s">
        <v>611</v>
      </c>
      <c r="AB596" s="1124" t="s">
        <v>38</v>
      </c>
      <c r="AC596" s="1124" t="s">
        <v>30</v>
      </c>
      <c r="AD596" s="1124" t="s">
        <v>30</v>
      </c>
      <c r="AE596" s="1124" t="s">
        <v>105</v>
      </c>
      <c r="AF596" s="1124" t="s">
        <v>43</v>
      </c>
      <c r="AG596" s="1126" t="s">
        <v>496</v>
      </c>
    </row>
    <row r="597" spans="1:34" s="146" customFormat="1" ht="76.5" x14ac:dyDescent="0.2">
      <c r="B597" s="174"/>
      <c r="C597" s="1109" t="str">
        <f>'TRAD-Saisie données file act.'!B15</f>
        <v>Schéma thérapeutique</v>
      </c>
      <c r="D597" s="2534" t="str">
        <f>'TRAD-Saisie données file act.'!B30</f>
        <v>Premières lignes</v>
      </c>
      <c r="E597" s="1112"/>
      <c r="F597" s="1112"/>
      <c r="G597" s="1112"/>
      <c r="H597" s="1112"/>
      <c r="I597" s="1112"/>
      <c r="J597" s="1112"/>
      <c r="K597" s="1112"/>
      <c r="L597" s="1175"/>
      <c r="M597" s="1183"/>
      <c r="N597" s="1112"/>
      <c r="O597" s="1112"/>
      <c r="P597" s="1112"/>
      <c r="Q597" s="1112"/>
      <c r="R597" s="1112"/>
      <c r="S597" s="1112"/>
      <c r="T597" s="1112"/>
      <c r="U597" s="1112"/>
      <c r="V597" s="1112"/>
      <c r="W597" s="1112"/>
      <c r="X597" s="1112"/>
      <c r="Y597" s="1112"/>
      <c r="Z597" s="1112"/>
      <c r="AA597" s="1112"/>
      <c r="AB597" s="1112"/>
      <c r="AC597" s="1112"/>
      <c r="AD597" s="1112"/>
      <c r="AE597" s="1112"/>
      <c r="AF597" s="1112"/>
      <c r="AG597" s="1113"/>
      <c r="AH597" s="2352" t="str">
        <f>'TRAD-Saisie données file act.'!B120</f>
        <v>Vérification nb de produits sélectionnés</v>
      </c>
    </row>
    <row r="598" spans="1:34" s="146" customFormat="1" x14ac:dyDescent="0.2">
      <c r="B598" s="174"/>
      <c r="D598" s="1110" t="str">
        <f>$D$371</f>
        <v>ABC+3TC+LPV/r</v>
      </c>
      <c r="E598" s="2502"/>
      <c r="F598" s="2502"/>
      <c r="G598" s="2502"/>
      <c r="H598" s="2502"/>
      <c r="I598" s="2502"/>
      <c r="J598" s="2502"/>
      <c r="K598" s="2502"/>
      <c r="L598" s="2503"/>
      <c r="M598" s="2504"/>
      <c r="N598" s="2502"/>
      <c r="O598" s="2502"/>
      <c r="P598" s="2502"/>
      <c r="Q598" s="2502"/>
      <c r="R598" s="2502"/>
      <c r="S598" s="2502"/>
      <c r="T598" s="2502"/>
      <c r="U598" s="2502"/>
      <c r="V598" s="2502"/>
      <c r="W598" s="2502"/>
      <c r="X598" s="2502"/>
      <c r="Y598" s="2502"/>
      <c r="Z598" s="2502"/>
      <c r="AA598" s="2502"/>
      <c r="AB598" s="2502"/>
      <c r="AC598" s="2502"/>
      <c r="AD598" s="2502"/>
      <c r="AE598" s="2502"/>
      <c r="AF598" s="2502"/>
      <c r="AG598" s="2511"/>
      <c r="AH598" s="2353">
        <f t="shared" ref="AH598:AH619" si="44">COUNTIF(E598:AG598, "X")</f>
        <v>0</v>
      </c>
    </row>
    <row r="599" spans="1:34" s="146" customFormat="1" x14ac:dyDescent="0.2">
      <c r="B599" s="174"/>
      <c r="D599" s="1110" t="str">
        <f>$D$372</f>
        <v>ABC+3TC+EFV</v>
      </c>
      <c r="E599" s="2502"/>
      <c r="F599" s="2502"/>
      <c r="G599" s="2502"/>
      <c r="H599" s="2502"/>
      <c r="I599" s="2502"/>
      <c r="J599" s="2502"/>
      <c r="K599" s="2502"/>
      <c r="L599" s="2503"/>
      <c r="M599" s="2504"/>
      <c r="N599" s="2502"/>
      <c r="O599" s="2502"/>
      <c r="P599" s="2502"/>
      <c r="Q599" s="2502"/>
      <c r="R599" s="2502"/>
      <c r="S599" s="2502"/>
      <c r="T599" s="2502"/>
      <c r="U599" s="2502"/>
      <c r="V599" s="2502"/>
      <c r="W599" s="2502"/>
      <c r="X599" s="2502"/>
      <c r="Y599" s="2502"/>
      <c r="Z599" s="2502"/>
      <c r="AA599" s="2502"/>
      <c r="AB599" s="2502"/>
      <c r="AC599" s="2502"/>
      <c r="AD599" s="2502"/>
      <c r="AE599" s="2502"/>
      <c r="AF599" s="2502"/>
      <c r="AG599" s="2511"/>
      <c r="AH599" s="2353">
        <f t="shared" si="44"/>
        <v>0</v>
      </c>
    </row>
    <row r="600" spans="1:34" s="146" customFormat="1" x14ac:dyDescent="0.2">
      <c r="B600" s="174"/>
      <c r="D600" s="1110" t="str">
        <f>$D$373</f>
        <v>ABC+3TC+AZT</v>
      </c>
      <c r="E600" s="2502"/>
      <c r="F600" s="2502"/>
      <c r="G600" s="2502"/>
      <c r="H600" s="2502"/>
      <c r="I600" s="2502"/>
      <c r="J600" s="2502"/>
      <c r="K600" s="2502"/>
      <c r="L600" s="2503"/>
      <c r="M600" s="2504"/>
      <c r="N600" s="2502"/>
      <c r="O600" s="2502"/>
      <c r="P600" s="2502"/>
      <c r="Q600" s="2502"/>
      <c r="R600" s="2502"/>
      <c r="S600" s="2502"/>
      <c r="T600" s="2502"/>
      <c r="U600" s="2502"/>
      <c r="V600" s="2502"/>
      <c r="W600" s="2502"/>
      <c r="X600" s="2502"/>
      <c r="Y600" s="2502"/>
      <c r="Z600" s="2502"/>
      <c r="AA600" s="2502"/>
      <c r="AB600" s="2502"/>
      <c r="AC600" s="2502"/>
      <c r="AD600" s="2502"/>
      <c r="AE600" s="2502"/>
      <c r="AF600" s="2502"/>
      <c r="AG600" s="2511"/>
      <c r="AH600" s="2353">
        <f t="shared" si="44"/>
        <v>0</v>
      </c>
    </row>
    <row r="601" spans="1:34" s="146" customFormat="1" x14ac:dyDescent="0.2">
      <c r="B601" s="174"/>
      <c r="D601" s="1110">
        <f>$D$374</f>
        <v>0</v>
      </c>
      <c r="E601" s="2502"/>
      <c r="F601" s="2502"/>
      <c r="G601" s="2502"/>
      <c r="H601" s="2502"/>
      <c r="I601" s="2502"/>
      <c r="J601" s="2502"/>
      <c r="K601" s="2502"/>
      <c r="L601" s="2503"/>
      <c r="M601" s="2504"/>
      <c r="N601" s="2502"/>
      <c r="O601" s="2502"/>
      <c r="P601" s="2502"/>
      <c r="Q601" s="2502"/>
      <c r="R601" s="2502"/>
      <c r="S601" s="2502"/>
      <c r="T601" s="2502"/>
      <c r="U601" s="2502"/>
      <c r="V601" s="2502"/>
      <c r="W601" s="2502"/>
      <c r="X601" s="2502"/>
      <c r="Y601" s="2502"/>
      <c r="Z601" s="2502"/>
      <c r="AA601" s="2502"/>
      <c r="AB601" s="2502"/>
      <c r="AC601" s="2502"/>
      <c r="AD601" s="2502"/>
      <c r="AE601" s="2502"/>
      <c r="AF601" s="2502"/>
      <c r="AG601" s="2511"/>
      <c r="AH601" s="2353">
        <f t="shared" si="44"/>
        <v>0</v>
      </c>
    </row>
    <row r="602" spans="1:34" s="146" customFormat="1" x14ac:dyDescent="0.2">
      <c r="B602" s="174"/>
      <c r="D602" s="1110">
        <f>$D$375</f>
        <v>0</v>
      </c>
      <c r="E602" s="2502"/>
      <c r="F602" s="2502"/>
      <c r="G602" s="2502"/>
      <c r="H602" s="2502"/>
      <c r="I602" s="2502"/>
      <c r="J602" s="2502"/>
      <c r="K602" s="2502"/>
      <c r="L602" s="2503"/>
      <c r="M602" s="2504"/>
      <c r="N602" s="2502"/>
      <c r="O602" s="2502"/>
      <c r="P602" s="2502"/>
      <c r="Q602" s="2502"/>
      <c r="R602" s="2502"/>
      <c r="S602" s="2502"/>
      <c r="T602" s="2502"/>
      <c r="U602" s="2502"/>
      <c r="V602" s="2502"/>
      <c r="W602" s="2502"/>
      <c r="X602" s="2502"/>
      <c r="Y602" s="2502"/>
      <c r="Z602" s="2502"/>
      <c r="AA602" s="2502"/>
      <c r="AB602" s="2502"/>
      <c r="AC602" s="2502"/>
      <c r="AD602" s="2502"/>
      <c r="AE602" s="2502"/>
      <c r="AF602" s="2502"/>
      <c r="AG602" s="2511"/>
      <c r="AH602" s="2353">
        <f t="shared" si="44"/>
        <v>0</v>
      </c>
    </row>
    <row r="603" spans="1:34" s="146" customFormat="1" x14ac:dyDescent="0.2">
      <c r="B603" s="174"/>
      <c r="D603" s="1110">
        <f>$D$376</f>
        <v>0</v>
      </c>
      <c r="E603" s="2502"/>
      <c r="F603" s="2502"/>
      <c r="G603" s="2502"/>
      <c r="H603" s="2502"/>
      <c r="I603" s="2502"/>
      <c r="J603" s="2502"/>
      <c r="K603" s="2502"/>
      <c r="L603" s="2503"/>
      <c r="M603" s="2504"/>
      <c r="N603" s="2502"/>
      <c r="O603" s="2502"/>
      <c r="P603" s="2502"/>
      <c r="Q603" s="2502"/>
      <c r="R603" s="2502"/>
      <c r="S603" s="2502"/>
      <c r="T603" s="2502"/>
      <c r="U603" s="2502"/>
      <c r="V603" s="2502"/>
      <c r="W603" s="2502"/>
      <c r="X603" s="2502"/>
      <c r="Y603" s="2502"/>
      <c r="Z603" s="2502"/>
      <c r="AA603" s="2502"/>
      <c r="AB603" s="2502"/>
      <c r="AC603" s="2502"/>
      <c r="AD603" s="2502"/>
      <c r="AE603" s="2502"/>
      <c r="AF603" s="2502"/>
      <c r="AG603" s="2511"/>
      <c r="AH603" s="2353">
        <f t="shared" si="44"/>
        <v>0</v>
      </c>
    </row>
    <row r="604" spans="1:34" s="146" customFormat="1" x14ac:dyDescent="0.2">
      <c r="B604" s="174"/>
      <c r="D604" s="1114" t="str">
        <f>'TRAD-Saisie données file act.'!$B$31</f>
        <v>Deuxièmes lignes</v>
      </c>
      <c r="E604" s="2505"/>
      <c r="F604" s="2505"/>
      <c r="G604" s="2505"/>
      <c r="H604" s="2505"/>
      <c r="I604" s="2505"/>
      <c r="J604" s="2505"/>
      <c r="K604" s="2505"/>
      <c r="L604" s="2506"/>
      <c r="M604" s="2507"/>
      <c r="N604" s="2505"/>
      <c r="O604" s="2505"/>
      <c r="P604" s="2505"/>
      <c r="Q604" s="2505"/>
      <c r="R604" s="2505"/>
      <c r="S604" s="2505"/>
      <c r="T604" s="2505"/>
      <c r="U604" s="2505"/>
      <c r="V604" s="2505"/>
      <c r="W604" s="2505"/>
      <c r="X604" s="2505"/>
      <c r="Y604" s="2505"/>
      <c r="Z604" s="2505"/>
      <c r="AA604" s="2505"/>
      <c r="AB604" s="2505"/>
      <c r="AC604" s="2505"/>
      <c r="AD604" s="2505"/>
      <c r="AE604" s="2505"/>
      <c r="AF604" s="2505"/>
      <c r="AG604" s="2512"/>
      <c r="AH604" s="2353">
        <f t="shared" si="44"/>
        <v>0</v>
      </c>
    </row>
    <row r="605" spans="1:34" s="146" customFormat="1" x14ac:dyDescent="0.2">
      <c r="B605" s="174"/>
      <c r="D605" s="1110" t="str">
        <f>$D$378</f>
        <v>AZT+3TC+LPV/r</v>
      </c>
      <c r="E605" s="2502"/>
      <c r="F605" s="2502"/>
      <c r="G605" s="2502"/>
      <c r="H605" s="2502"/>
      <c r="I605" s="2502"/>
      <c r="J605" s="2502"/>
      <c r="K605" s="2502"/>
      <c r="L605" s="2503"/>
      <c r="M605" s="2504"/>
      <c r="N605" s="2502"/>
      <c r="O605" s="2502"/>
      <c r="P605" s="2502"/>
      <c r="Q605" s="2502"/>
      <c r="R605" s="2502"/>
      <c r="S605" s="2502"/>
      <c r="T605" s="2502"/>
      <c r="U605" s="2502"/>
      <c r="V605" s="2502"/>
      <c r="W605" s="2502"/>
      <c r="X605" s="2502"/>
      <c r="Y605" s="2502"/>
      <c r="Z605" s="2502"/>
      <c r="AA605" s="2502"/>
      <c r="AB605" s="2502"/>
      <c r="AC605" s="2502"/>
      <c r="AD605" s="2502"/>
      <c r="AE605" s="2502"/>
      <c r="AF605" s="2502"/>
      <c r="AG605" s="2511"/>
      <c r="AH605" s="2353">
        <f t="shared" si="44"/>
        <v>0</v>
      </c>
    </row>
    <row r="606" spans="1:34" s="146" customFormat="1" x14ac:dyDescent="0.2">
      <c r="B606" s="174"/>
      <c r="D606" s="1110">
        <f>$D$379</f>
        <v>0</v>
      </c>
      <c r="E606" s="2502"/>
      <c r="F606" s="2502"/>
      <c r="G606" s="2502"/>
      <c r="H606" s="2502"/>
      <c r="I606" s="2502"/>
      <c r="J606" s="2502"/>
      <c r="K606" s="2502"/>
      <c r="L606" s="2503"/>
      <c r="M606" s="2504"/>
      <c r="N606" s="2502"/>
      <c r="O606" s="2502"/>
      <c r="P606" s="2502"/>
      <c r="Q606" s="2502"/>
      <c r="R606" s="2502"/>
      <c r="S606" s="2502"/>
      <c r="T606" s="2502"/>
      <c r="U606" s="2502"/>
      <c r="V606" s="2502"/>
      <c r="W606" s="2502"/>
      <c r="X606" s="2502"/>
      <c r="Y606" s="2502"/>
      <c r="Z606" s="2502"/>
      <c r="AA606" s="2502"/>
      <c r="AB606" s="2502"/>
      <c r="AC606" s="2502"/>
      <c r="AD606" s="2502"/>
      <c r="AE606" s="2502"/>
      <c r="AF606" s="2502"/>
      <c r="AG606" s="2511"/>
      <c r="AH606" s="2353">
        <f t="shared" si="44"/>
        <v>0</v>
      </c>
    </row>
    <row r="607" spans="1:34" s="146" customFormat="1" x14ac:dyDescent="0.2">
      <c r="B607" s="174"/>
      <c r="D607" s="1110">
        <f>$D$380</f>
        <v>0</v>
      </c>
      <c r="E607" s="2502"/>
      <c r="F607" s="2502"/>
      <c r="G607" s="2502"/>
      <c r="H607" s="2502"/>
      <c r="I607" s="2502"/>
      <c r="J607" s="2502"/>
      <c r="K607" s="2502"/>
      <c r="L607" s="2503"/>
      <c r="M607" s="2504"/>
      <c r="N607" s="2502"/>
      <c r="O607" s="2502"/>
      <c r="P607" s="2502"/>
      <c r="Q607" s="2502"/>
      <c r="R607" s="2502"/>
      <c r="S607" s="2502"/>
      <c r="T607" s="2502"/>
      <c r="U607" s="2502"/>
      <c r="V607" s="2502"/>
      <c r="W607" s="2502"/>
      <c r="X607" s="2502"/>
      <c r="Y607" s="2502"/>
      <c r="Z607" s="2502"/>
      <c r="AA607" s="2502"/>
      <c r="AB607" s="2502"/>
      <c r="AC607" s="2502"/>
      <c r="AD607" s="2502"/>
      <c r="AE607" s="2502"/>
      <c r="AF607" s="2502"/>
      <c r="AG607" s="2511"/>
      <c r="AH607" s="2353">
        <f t="shared" si="44"/>
        <v>0</v>
      </c>
    </row>
    <row r="608" spans="1:34" s="146" customFormat="1" x14ac:dyDescent="0.2">
      <c r="B608" s="174"/>
      <c r="D608" s="1110">
        <f>$D$381</f>
        <v>0</v>
      </c>
      <c r="E608" s="2502"/>
      <c r="F608" s="2502"/>
      <c r="G608" s="2502"/>
      <c r="H608" s="2502"/>
      <c r="I608" s="2502"/>
      <c r="J608" s="2502"/>
      <c r="K608" s="2502"/>
      <c r="L608" s="2503"/>
      <c r="M608" s="2504"/>
      <c r="N608" s="2502"/>
      <c r="O608" s="2502"/>
      <c r="P608" s="2502"/>
      <c r="Q608" s="2502"/>
      <c r="R608" s="2502"/>
      <c r="S608" s="2502"/>
      <c r="T608" s="2502"/>
      <c r="U608" s="2502"/>
      <c r="V608" s="2502"/>
      <c r="W608" s="2502"/>
      <c r="X608" s="2502"/>
      <c r="Y608" s="2502"/>
      <c r="Z608" s="2502"/>
      <c r="AA608" s="2502"/>
      <c r="AB608" s="2502"/>
      <c r="AC608" s="2502"/>
      <c r="AD608" s="2502"/>
      <c r="AE608" s="2502"/>
      <c r="AF608" s="2502"/>
      <c r="AG608" s="2511"/>
      <c r="AH608" s="2353">
        <f t="shared" si="44"/>
        <v>0</v>
      </c>
    </row>
    <row r="609" spans="2:34" s="146" customFormat="1" x14ac:dyDescent="0.2">
      <c r="B609" s="174"/>
      <c r="D609" s="1110">
        <f>$D$382</f>
        <v>0</v>
      </c>
      <c r="E609" s="2502"/>
      <c r="F609" s="2502"/>
      <c r="G609" s="2502"/>
      <c r="H609" s="2502"/>
      <c r="I609" s="2502"/>
      <c r="J609" s="2502"/>
      <c r="K609" s="2502"/>
      <c r="L609" s="2503"/>
      <c r="M609" s="2504"/>
      <c r="N609" s="2502"/>
      <c r="O609" s="2502"/>
      <c r="P609" s="2502"/>
      <c r="Q609" s="2502"/>
      <c r="R609" s="2502"/>
      <c r="S609" s="2502"/>
      <c r="T609" s="2502"/>
      <c r="U609" s="2502"/>
      <c r="V609" s="2502"/>
      <c r="W609" s="2502"/>
      <c r="X609" s="2502"/>
      <c r="Y609" s="2502"/>
      <c r="Z609" s="2502"/>
      <c r="AA609" s="2502"/>
      <c r="AB609" s="2502"/>
      <c r="AC609" s="2502"/>
      <c r="AD609" s="2502"/>
      <c r="AE609" s="2502"/>
      <c r="AF609" s="2502"/>
      <c r="AG609" s="2511"/>
      <c r="AH609" s="2353">
        <f t="shared" si="44"/>
        <v>0</v>
      </c>
    </row>
    <row r="610" spans="2:34" s="146" customFormat="1" x14ac:dyDescent="0.2">
      <c r="B610" s="174"/>
      <c r="D610" s="1114" t="str">
        <f>'TRAD-Saisie données file act.'!$B$32</f>
        <v>Lignes alternatives</v>
      </c>
      <c r="E610" s="2505"/>
      <c r="F610" s="2505"/>
      <c r="G610" s="2505"/>
      <c r="H610" s="2505"/>
      <c r="I610" s="2505"/>
      <c r="J610" s="2505"/>
      <c r="K610" s="2505"/>
      <c r="L610" s="2506"/>
      <c r="M610" s="2507"/>
      <c r="N610" s="2505"/>
      <c r="O610" s="2505"/>
      <c r="P610" s="2505"/>
      <c r="Q610" s="2505"/>
      <c r="R610" s="2505"/>
      <c r="S610" s="2505"/>
      <c r="T610" s="2505"/>
      <c r="U610" s="2505"/>
      <c r="V610" s="2505"/>
      <c r="W610" s="2505"/>
      <c r="X610" s="2505"/>
      <c r="Y610" s="2505"/>
      <c r="Z610" s="2505"/>
      <c r="AA610" s="2505"/>
      <c r="AB610" s="2505"/>
      <c r="AC610" s="2505"/>
      <c r="AD610" s="2505"/>
      <c r="AE610" s="2505"/>
      <c r="AF610" s="2505"/>
      <c r="AG610" s="2512"/>
      <c r="AH610" s="2353">
        <f t="shared" si="44"/>
        <v>0</v>
      </c>
    </row>
    <row r="611" spans="2:34" s="146" customFormat="1" x14ac:dyDescent="0.2">
      <c r="B611" s="174"/>
      <c r="D611" s="1115">
        <f>$D$384</f>
        <v>0</v>
      </c>
      <c r="E611" s="2502"/>
      <c r="F611" s="2502"/>
      <c r="G611" s="2502"/>
      <c r="H611" s="2502"/>
      <c r="I611" s="2502"/>
      <c r="J611" s="2502"/>
      <c r="K611" s="2502"/>
      <c r="L611" s="2503"/>
      <c r="M611" s="2504"/>
      <c r="N611" s="2502"/>
      <c r="O611" s="2502"/>
      <c r="P611" s="2502"/>
      <c r="Q611" s="2502"/>
      <c r="R611" s="2502"/>
      <c r="S611" s="2502"/>
      <c r="T611" s="2502"/>
      <c r="U611" s="2502"/>
      <c r="V611" s="2502"/>
      <c r="W611" s="2502"/>
      <c r="X611" s="2502"/>
      <c r="Y611" s="2502"/>
      <c r="Z611" s="2502"/>
      <c r="AA611" s="2502"/>
      <c r="AB611" s="2502"/>
      <c r="AC611" s="2502"/>
      <c r="AD611" s="2502"/>
      <c r="AE611" s="2502"/>
      <c r="AF611" s="2502"/>
      <c r="AG611" s="2511"/>
      <c r="AH611" s="2353">
        <f t="shared" si="44"/>
        <v>0</v>
      </c>
    </row>
    <row r="612" spans="2:34" s="146" customFormat="1" x14ac:dyDescent="0.2">
      <c r="B612" s="174"/>
      <c r="D612" s="1115">
        <f>$D$385</f>
        <v>0</v>
      </c>
      <c r="E612" s="2502"/>
      <c r="F612" s="2502"/>
      <c r="G612" s="2502"/>
      <c r="H612" s="2502"/>
      <c r="I612" s="2502"/>
      <c r="J612" s="2502"/>
      <c r="K612" s="2502"/>
      <c r="L612" s="2503"/>
      <c r="M612" s="2504"/>
      <c r="N612" s="2502"/>
      <c r="O612" s="2502"/>
      <c r="P612" s="2502"/>
      <c r="Q612" s="2502"/>
      <c r="R612" s="2502"/>
      <c r="S612" s="2502"/>
      <c r="T612" s="2502"/>
      <c r="U612" s="2502"/>
      <c r="V612" s="2502"/>
      <c r="W612" s="2502"/>
      <c r="X612" s="2502"/>
      <c r="Y612" s="2502"/>
      <c r="Z612" s="2502"/>
      <c r="AA612" s="2502"/>
      <c r="AB612" s="2502"/>
      <c r="AC612" s="2502"/>
      <c r="AD612" s="2502"/>
      <c r="AE612" s="2502"/>
      <c r="AF612" s="2502"/>
      <c r="AG612" s="2511"/>
      <c r="AH612" s="2353">
        <f t="shared" si="44"/>
        <v>0</v>
      </c>
    </row>
    <row r="613" spans="2:34" s="146" customFormat="1" x14ac:dyDescent="0.2">
      <c r="B613" s="174"/>
      <c r="D613" s="1115">
        <f>$D$386</f>
        <v>0</v>
      </c>
      <c r="E613" s="2502"/>
      <c r="F613" s="2502"/>
      <c r="G613" s="2502"/>
      <c r="H613" s="2502"/>
      <c r="I613" s="2502"/>
      <c r="J613" s="2502"/>
      <c r="K613" s="2502"/>
      <c r="L613" s="2503"/>
      <c r="M613" s="2504"/>
      <c r="N613" s="2502"/>
      <c r="O613" s="2502"/>
      <c r="P613" s="2502"/>
      <c r="Q613" s="2502"/>
      <c r="R613" s="2502"/>
      <c r="S613" s="2502"/>
      <c r="T613" s="2502"/>
      <c r="U613" s="2502"/>
      <c r="V613" s="2502"/>
      <c r="W613" s="2502"/>
      <c r="X613" s="2502"/>
      <c r="Y613" s="2502"/>
      <c r="Z613" s="2502"/>
      <c r="AA613" s="2502"/>
      <c r="AB613" s="2502"/>
      <c r="AC613" s="2502"/>
      <c r="AD613" s="2502"/>
      <c r="AE613" s="2502"/>
      <c r="AF613" s="2502"/>
      <c r="AG613" s="2511"/>
      <c r="AH613" s="2353">
        <f t="shared" si="44"/>
        <v>0</v>
      </c>
    </row>
    <row r="614" spans="2:34" s="146" customFormat="1" x14ac:dyDescent="0.2">
      <c r="B614" s="174"/>
      <c r="D614" s="1115">
        <f>$D$387</f>
        <v>0</v>
      </c>
      <c r="E614" s="2502"/>
      <c r="F614" s="2502"/>
      <c r="G614" s="2502"/>
      <c r="H614" s="2502"/>
      <c r="I614" s="2502"/>
      <c r="J614" s="2502"/>
      <c r="K614" s="2502"/>
      <c r="L614" s="2503"/>
      <c r="M614" s="2504"/>
      <c r="N614" s="2502"/>
      <c r="O614" s="2502"/>
      <c r="P614" s="2502"/>
      <c r="Q614" s="2502"/>
      <c r="R614" s="2502"/>
      <c r="S614" s="2502"/>
      <c r="T614" s="2502"/>
      <c r="U614" s="2502"/>
      <c r="V614" s="2502"/>
      <c r="W614" s="2502"/>
      <c r="X614" s="2502"/>
      <c r="Y614" s="2502"/>
      <c r="Z614" s="2502"/>
      <c r="AA614" s="2502"/>
      <c r="AB614" s="2502"/>
      <c r="AC614" s="2502"/>
      <c r="AD614" s="2502"/>
      <c r="AE614" s="2502"/>
      <c r="AF614" s="2502"/>
      <c r="AG614" s="2511"/>
      <c r="AH614" s="2353">
        <f t="shared" si="44"/>
        <v>0</v>
      </c>
    </row>
    <row r="615" spans="2:34" s="146" customFormat="1" x14ac:dyDescent="0.2">
      <c r="B615" s="174"/>
      <c r="D615" s="1115">
        <f>$D$388</f>
        <v>0</v>
      </c>
      <c r="E615" s="2502"/>
      <c r="F615" s="2502"/>
      <c r="G615" s="2502"/>
      <c r="H615" s="2502"/>
      <c r="I615" s="2502"/>
      <c r="J615" s="2502"/>
      <c r="K615" s="2502"/>
      <c r="L615" s="2503"/>
      <c r="M615" s="2504"/>
      <c r="N615" s="2502"/>
      <c r="O615" s="2502"/>
      <c r="P615" s="2502"/>
      <c r="Q615" s="2502"/>
      <c r="R615" s="2502"/>
      <c r="S615" s="2502"/>
      <c r="T615" s="2502"/>
      <c r="U615" s="2502"/>
      <c r="V615" s="2502"/>
      <c r="W615" s="2502"/>
      <c r="X615" s="2502"/>
      <c r="Y615" s="2502"/>
      <c r="Z615" s="2502"/>
      <c r="AA615" s="2502"/>
      <c r="AB615" s="2502"/>
      <c r="AC615" s="2502"/>
      <c r="AD615" s="2502"/>
      <c r="AE615" s="2502"/>
      <c r="AF615" s="2502"/>
      <c r="AG615" s="2511"/>
      <c r="AH615" s="2353">
        <f t="shared" si="44"/>
        <v>0</v>
      </c>
    </row>
    <row r="616" spans="2:34" s="146" customFormat="1" x14ac:dyDescent="0.2">
      <c r="B616" s="174"/>
      <c r="D616" s="1115">
        <f>$D$389</f>
        <v>0</v>
      </c>
      <c r="E616" s="2502"/>
      <c r="F616" s="2502"/>
      <c r="G616" s="2502"/>
      <c r="H616" s="2502"/>
      <c r="I616" s="2502"/>
      <c r="J616" s="2502"/>
      <c r="K616" s="2502"/>
      <c r="L616" s="2503"/>
      <c r="M616" s="2504"/>
      <c r="N616" s="2502"/>
      <c r="O616" s="2502"/>
      <c r="P616" s="2502"/>
      <c r="Q616" s="2502"/>
      <c r="R616" s="2502"/>
      <c r="S616" s="2502"/>
      <c r="T616" s="2502"/>
      <c r="U616" s="2502"/>
      <c r="V616" s="2502"/>
      <c r="W616" s="2502"/>
      <c r="X616" s="2502"/>
      <c r="Y616" s="2502"/>
      <c r="Z616" s="2502"/>
      <c r="AA616" s="2502"/>
      <c r="AB616" s="2502"/>
      <c r="AC616" s="2502"/>
      <c r="AD616" s="2502"/>
      <c r="AE616" s="2502"/>
      <c r="AF616" s="2502"/>
      <c r="AG616" s="2511"/>
      <c r="AH616" s="2353">
        <f t="shared" si="44"/>
        <v>0</v>
      </c>
    </row>
    <row r="617" spans="2:34" s="146" customFormat="1" x14ac:dyDescent="0.2">
      <c r="B617" s="174"/>
      <c r="D617" s="1115">
        <f>$D$390</f>
        <v>0</v>
      </c>
      <c r="E617" s="2502"/>
      <c r="F617" s="2502"/>
      <c r="G617" s="2502"/>
      <c r="H617" s="2502"/>
      <c r="I617" s="2502"/>
      <c r="J617" s="2502"/>
      <c r="K617" s="2502"/>
      <c r="L617" s="2503"/>
      <c r="M617" s="2504"/>
      <c r="N617" s="2502"/>
      <c r="O617" s="2502"/>
      <c r="P617" s="2502"/>
      <c r="Q617" s="2502"/>
      <c r="R617" s="2502"/>
      <c r="S617" s="2502"/>
      <c r="T617" s="2502"/>
      <c r="U617" s="2502"/>
      <c r="V617" s="2502"/>
      <c r="W617" s="2502"/>
      <c r="X617" s="2502"/>
      <c r="Y617" s="2502"/>
      <c r="Z617" s="2502"/>
      <c r="AA617" s="2502"/>
      <c r="AB617" s="2502"/>
      <c r="AC617" s="2502"/>
      <c r="AD617" s="2502"/>
      <c r="AE617" s="2502"/>
      <c r="AF617" s="2502"/>
      <c r="AG617" s="2511"/>
      <c r="AH617" s="2353">
        <f t="shared" si="44"/>
        <v>0</v>
      </c>
    </row>
    <row r="618" spans="2:34" s="146" customFormat="1" x14ac:dyDescent="0.2">
      <c r="B618" s="174"/>
      <c r="D618" s="1115">
        <f>$D$391</f>
        <v>0</v>
      </c>
      <c r="E618" s="2502"/>
      <c r="F618" s="2502"/>
      <c r="G618" s="2502"/>
      <c r="H618" s="2502"/>
      <c r="I618" s="2502"/>
      <c r="J618" s="2502"/>
      <c r="K618" s="2502"/>
      <c r="L618" s="2503"/>
      <c r="M618" s="2504"/>
      <c r="N618" s="2502"/>
      <c r="O618" s="2502"/>
      <c r="P618" s="2502"/>
      <c r="Q618" s="2502"/>
      <c r="R618" s="2502"/>
      <c r="S618" s="2502"/>
      <c r="T618" s="2502"/>
      <c r="U618" s="2502"/>
      <c r="V618" s="2502"/>
      <c r="W618" s="2502"/>
      <c r="X618" s="2502"/>
      <c r="Y618" s="2502"/>
      <c r="Z618" s="2502"/>
      <c r="AA618" s="2502"/>
      <c r="AB618" s="2502"/>
      <c r="AC618" s="2502"/>
      <c r="AD618" s="2502"/>
      <c r="AE618" s="2502"/>
      <c r="AF618" s="2502"/>
      <c r="AG618" s="2511"/>
      <c r="AH618" s="2353">
        <f t="shared" si="44"/>
        <v>0</v>
      </c>
    </row>
    <row r="619" spans="2:34" s="146" customFormat="1" ht="13.5" thickBot="1" x14ac:dyDescent="0.25">
      <c r="B619" s="174"/>
      <c r="D619" s="1116">
        <f>$D$392</f>
        <v>0</v>
      </c>
      <c r="E619" s="2508"/>
      <c r="F619" s="2508"/>
      <c r="G619" s="2508"/>
      <c r="H619" s="2508"/>
      <c r="I619" s="2508"/>
      <c r="J619" s="2508"/>
      <c r="K619" s="2508"/>
      <c r="L619" s="2509"/>
      <c r="M619" s="2510"/>
      <c r="N619" s="2508"/>
      <c r="O619" s="2508"/>
      <c r="P619" s="2508"/>
      <c r="Q619" s="2508"/>
      <c r="R619" s="2508"/>
      <c r="S619" s="2508"/>
      <c r="T619" s="2508"/>
      <c r="U619" s="2508"/>
      <c r="V619" s="2508"/>
      <c r="W619" s="2508"/>
      <c r="X619" s="2508"/>
      <c r="Y619" s="2508"/>
      <c r="Z619" s="2508"/>
      <c r="AA619" s="2508"/>
      <c r="AB619" s="2508"/>
      <c r="AC619" s="2508"/>
      <c r="AD619" s="2508"/>
      <c r="AE619" s="2508"/>
      <c r="AF619" s="2508"/>
      <c r="AG619" s="2513"/>
      <c r="AH619" s="2354">
        <f t="shared" si="44"/>
        <v>0</v>
      </c>
    </row>
    <row r="620" spans="2:34" customFormat="1" x14ac:dyDescent="0.2"/>
    <row r="621" spans="2:34" customFormat="1" ht="13.5" thickBot="1" x14ac:dyDescent="0.25"/>
    <row r="622" spans="2:34" s="599" customFormat="1" ht="13.5" thickBot="1" x14ac:dyDescent="0.25">
      <c r="B622" s="3235" t="str">
        <f>'TRAD-Saisie données file act.'!B124</f>
        <v>Préciser les doses journalières pour chaque tranche de poids</v>
      </c>
      <c r="C622" s="3236"/>
      <c r="D622" s="3236"/>
      <c r="E622" s="3236"/>
      <c r="F622" s="3237"/>
    </row>
    <row r="623" spans="2:34" s="599" customFormat="1" x14ac:dyDescent="0.2">
      <c r="D623" s="2084"/>
    </row>
    <row r="624" spans="2:34" s="599" customFormat="1" x14ac:dyDescent="0.2">
      <c r="B624" s="599" t="str">
        <f>'TRAD-Saisie données file act.'!B125</f>
        <v>Les données présentées ici sont adaptées des recommandations OMS 2010</v>
      </c>
      <c r="D624" s="2084"/>
    </row>
    <row r="625" spans="2:18" s="599" customFormat="1" ht="13.5" thickBot="1" x14ac:dyDescent="0.25">
      <c r="D625" s="2084"/>
      <c r="K625" s="2085"/>
      <c r="L625" s="2085"/>
      <c r="M625" s="2085"/>
      <c r="N625" s="2085"/>
      <c r="O625" s="2085"/>
      <c r="P625" s="2085"/>
      <c r="Q625" s="2085"/>
    </row>
    <row r="626" spans="2:18" s="599" customFormat="1" ht="13.5" thickBot="1" x14ac:dyDescent="0.25">
      <c r="C626" s="3222" t="str">
        <f>'TRAD-Saisie données file act.'!B126</f>
        <v>Formes liquides</v>
      </c>
      <c r="D626" s="3223"/>
      <c r="E626" s="3223"/>
      <c r="F626" s="3223"/>
      <c r="G626" s="3223"/>
      <c r="H626" s="3223"/>
      <c r="I626" s="3224"/>
      <c r="L626" s="2085"/>
      <c r="M626" s="2085"/>
      <c r="N626" s="2085"/>
      <c r="O626" s="2085"/>
      <c r="P626" s="2085"/>
      <c r="Q626" s="2085"/>
      <c r="R626" s="2085"/>
    </row>
    <row r="627" spans="2:18" s="599" customFormat="1" x14ac:dyDescent="0.2">
      <c r="E627" s="2084"/>
    </row>
    <row r="628" spans="2:18" s="421" customFormat="1" x14ac:dyDescent="0.2">
      <c r="B628" s="420"/>
      <c r="D628" s="3238" t="str">
        <f>'TRAD-Saisie données file act.'!B127</f>
        <v>Enfant de 6 à 7 kg (tranche de poids utilisée : 3 - 9,9 kg)</v>
      </c>
      <c r="E628" s="3238"/>
      <c r="F628" s="3238"/>
      <c r="G628" s="3238"/>
      <c r="H628" s="3238"/>
      <c r="I628" s="3238"/>
      <c r="J628" s="3238"/>
    </row>
    <row r="629" spans="2:18" s="421" customFormat="1" ht="13.5" thickBot="1" x14ac:dyDescent="0.25">
      <c r="B629" s="420"/>
      <c r="C629" s="2086"/>
      <c r="D629" s="2087"/>
      <c r="E629" s="2087"/>
      <c r="F629" s="2088"/>
      <c r="G629" s="2088"/>
      <c r="H629" s="2088"/>
      <c r="I629" s="2088"/>
    </row>
    <row r="630" spans="2:18" s="421" customFormat="1" ht="26.25" thickBot="1" x14ac:dyDescent="0.25">
      <c r="B630" s="420"/>
      <c r="D630" s="2089"/>
      <c r="E630" s="2090" t="str">
        <f>'TRAD-Saisie données file act.'!B129</f>
        <v>volume (mL) / jour</v>
      </c>
      <c r="F630" s="2090" t="str">
        <f>'TRAD-Saisie données file act.'!B130</f>
        <v>volume (mL) / mois</v>
      </c>
      <c r="G630" s="2090" t="str">
        <f>'TRAD-Saisie données file act.'!B131</f>
        <v>volume flacon (mL) [1]</v>
      </c>
      <c r="H630" s="2090" t="str">
        <f>'TRAD-Saisie données file act.'!B132</f>
        <v>nb de flacons / mois</v>
      </c>
      <c r="I630" s="2090" t="str">
        <f>'TRAD-Saisie données file act.'!B133</f>
        <v>nb de flacons / mois arrondi</v>
      </c>
    </row>
    <row r="631" spans="2:18" s="421" customFormat="1" x14ac:dyDescent="0.2">
      <c r="B631" s="420"/>
      <c r="D631" s="2091" t="s">
        <v>32</v>
      </c>
      <c r="E631" s="2092">
        <v>18</v>
      </c>
      <c r="F631" s="2093">
        <f t="shared" ref="F631:F638" si="45">E631*30</f>
        <v>540</v>
      </c>
      <c r="G631" s="2094">
        <f>'Saisie données stocks'!$L$61</f>
        <v>240</v>
      </c>
      <c r="H631" s="2242">
        <f t="shared" ref="H631:H638" si="46">F631/G631</f>
        <v>2.25</v>
      </c>
      <c r="I631" s="2095">
        <f t="shared" ref="I631:I638" si="47">ROUNDUP(F631/G631, 0)</f>
        <v>3</v>
      </c>
    </row>
    <row r="632" spans="2:18" s="421" customFormat="1" x14ac:dyDescent="0.2">
      <c r="B632" s="420"/>
      <c r="D632" s="2096" t="s">
        <v>82</v>
      </c>
      <c r="E632" s="2097">
        <v>14</v>
      </c>
      <c r="F632" s="2098">
        <f t="shared" si="45"/>
        <v>420</v>
      </c>
      <c r="G632" s="2099">
        <f>'Saisie données stocks'!$L$62</f>
        <v>240</v>
      </c>
      <c r="H632" s="2246">
        <f t="shared" si="46"/>
        <v>1.75</v>
      </c>
      <c r="I632" s="2100">
        <f t="shared" si="47"/>
        <v>2</v>
      </c>
    </row>
    <row r="633" spans="2:18" s="421" customFormat="1" x14ac:dyDescent="0.2">
      <c r="B633" s="420"/>
      <c r="D633" s="2101" t="s">
        <v>34</v>
      </c>
      <c r="E633" s="2102">
        <v>8</v>
      </c>
      <c r="F633" s="2103">
        <f t="shared" si="45"/>
        <v>240</v>
      </c>
      <c r="G633" s="2104">
        <f>'Saisie données stocks'!$L$63</f>
        <v>240</v>
      </c>
      <c r="H633" s="2243">
        <f t="shared" si="46"/>
        <v>1</v>
      </c>
      <c r="I633" s="2105">
        <f t="shared" si="47"/>
        <v>1</v>
      </c>
    </row>
    <row r="634" spans="2:18" s="421" customFormat="1" x14ac:dyDescent="0.2">
      <c r="B634" s="420"/>
      <c r="D634" s="2101" t="s">
        <v>36</v>
      </c>
      <c r="E634" s="2102">
        <v>6</v>
      </c>
      <c r="F634" s="2103">
        <f t="shared" si="45"/>
        <v>180</v>
      </c>
      <c r="G634" s="2104">
        <f>'Saisie données stocks'!$L$64</f>
        <v>240</v>
      </c>
      <c r="H634" s="2243">
        <f t="shared" si="46"/>
        <v>0.75</v>
      </c>
      <c r="I634" s="2105">
        <f t="shared" si="47"/>
        <v>1</v>
      </c>
    </row>
    <row r="635" spans="2:18" s="421" customFormat="1" x14ac:dyDescent="0.2">
      <c r="B635" s="420"/>
      <c r="D635" s="2101" t="s">
        <v>37</v>
      </c>
      <c r="E635" s="2102">
        <v>10</v>
      </c>
      <c r="F635" s="2103">
        <f t="shared" si="45"/>
        <v>300</v>
      </c>
      <c r="G635" s="2104">
        <f>'Saisie données stocks'!$L$65</f>
        <v>200</v>
      </c>
      <c r="H635" s="2244">
        <f t="shared" si="46"/>
        <v>1.5</v>
      </c>
      <c r="I635" s="2106">
        <f t="shared" si="47"/>
        <v>2</v>
      </c>
    </row>
    <row r="636" spans="2:18" s="421" customFormat="1" x14ac:dyDescent="0.2">
      <c r="B636" s="420"/>
      <c r="D636" s="2107" t="s">
        <v>29</v>
      </c>
      <c r="E636" s="2102">
        <v>14</v>
      </c>
      <c r="F636" s="2103">
        <f t="shared" si="45"/>
        <v>420</v>
      </c>
      <c r="G636" s="2104">
        <f>'Saisie données stocks'!$L$66</f>
        <v>240</v>
      </c>
      <c r="H636" s="2243">
        <f t="shared" si="46"/>
        <v>1.75</v>
      </c>
      <c r="I636" s="2105">
        <f t="shared" si="47"/>
        <v>2</v>
      </c>
    </row>
    <row r="637" spans="2:18" s="421" customFormat="1" x14ac:dyDescent="0.2">
      <c r="B637" s="420"/>
      <c r="D637" s="2247" t="s">
        <v>27</v>
      </c>
      <c r="E637" s="2248"/>
      <c r="F637" s="2103">
        <f t="shared" si="45"/>
        <v>0</v>
      </c>
      <c r="G637" s="2108">
        <f>'Saisie données stocks'!$L$67</f>
        <v>180</v>
      </c>
      <c r="H637" s="2243">
        <f t="shared" si="46"/>
        <v>0</v>
      </c>
      <c r="I637" s="2105">
        <f t="shared" si="47"/>
        <v>0</v>
      </c>
    </row>
    <row r="638" spans="2:18" s="421" customFormat="1" ht="13.5" thickBot="1" x14ac:dyDescent="0.25">
      <c r="B638" s="420"/>
      <c r="D638" s="2109" t="s">
        <v>42</v>
      </c>
      <c r="E638" s="2110">
        <v>3</v>
      </c>
      <c r="F638" s="2111">
        <f t="shared" si="45"/>
        <v>90</v>
      </c>
      <c r="G638" s="2112">
        <f>'Saisie données stocks'!$L$68</f>
        <v>60</v>
      </c>
      <c r="H638" s="2245">
        <f t="shared" si="46"/>
        <v>1.5</v>
      </c>
      <c r="I638" s="2113">
        <f t="shared" si="47"/>
        <v>2</v>
      </c>
    </row>
    <row r="639" spans="2:18" s="421" customFormat="1" x14ac:dyDescent="0.2">
      <c r="B639" s="420"/>
      <c r="C639" s="2088"/>
      <c r="D639" s="2087"/>
      <c r="E639" s="2087"/>
      <c r="F639" s="2088"/>
      <c r="G639" s="2088"/>
      <c r="H639" s="2088"/>
      <c r="I639" s="2088"/>
    </row>
    <row r="640" spans="2:18" s="421" customFormat="1" x14ac:dyDescent="0.2">
      <c r="B640" s="420"/>
      <c r="D640" s="2114" t="s">
        <v>490</v>
      </c>
      <c r="E640" s="2115"/>
      <c r="F640" s="2115"/>
      <c r="G640" s="2116"/>
      <c r="H640" s="2116"/>
      <c r="I640" s="2116"/>
      <c r="J640" s="2116"/>
    </row>
    <row r="641" spans="2:10" s="421" customFormat="1" x14ac:dyDescent="0.2">
      <c r="B641" s="420"/>
      <c r="D641" s="2117" t="s">
        <v>358</v>
      </c>
      <c r="E641" s="2117" t="str">
        <f>'TRAD-Saisie données file act.'!B168</f>
        <v>Le volume est spécifié dans la feuille " Stocks Disponibles"</v>
      </c>
      <c r="F641" s="2087"/>
      <c r="G641" s="2088"/>
      <c r="H641" s="2088"/>
      <c r="I641" s="2088"/>
      <c r="J641" s="2088"/>
    </row>
    <row r="642" spans="2:10" s="421" customFormat="1" x14ac:dyDescent="0.2">
      <c r="B642" s="420"/>
      <c r="D642" s="2088"/>
      <c r="E642" s="2087"/>
      <c r="F642" s="2087"/>
      <c r="G642" s="2088"/>
      <c r="H642" s="2088"/>
      <c r="I642" s="2088"/>
      <c r="J642" s="2088"/>
    </row>
    <row r="643" spans="2:10" s="421" customFormat="1" x14ac:dyDescent="0.2">
      <c r="B643" s="420"/>
      <c r="C643" s="420"/>
      <c r="D643" s="3238" t="str">
        <f>'TRAD-Saisie données file act.'!B169</f>
        <v>Enfant de 12 à 14,9 kg (tranche de poids utilisée : 10 - 14,9 kg)</v>
      </c>
      <c r="E643" s="3238"/>
      <c r="F643" s="3238"/>
      <c r="G643" s="3238"/>
      <c r="H643" s="3238"/>
      <c r="I643" s="3238"/>
      <c r="J643" s="3238"/>
    </row>
    <row r="644" spans="2:10" s="421" customFormat="1" ht="13.5" thickBot="1" x14ac:dyDescent="0.25">
      <c r="B644" s="420"/>
      <c r="C644" s="2088"/>
      <c r="D644" s="2087"/>
      <c r="E644" s="2087"/>
      <c r="F644" s="2088"/>
      <c r="G644" s="2088"/>
      <c r="H644" s="2088"/>
      <c r="I644" s="2088"/>
    </row>
    <row r="645" spans="2:10" s="421" customFormat="1" ht="26.25" thickBot="1" x14ac:dyDescent="0.25">
      <c r="B645" s="420"/>
      <c r="D645" s="2089"/>
      <c r="E645" s="2090" t="str">
        <f>'TRAD-Saisie données file act.'!B129</f>
        <v>volume (mL) / jour</v>
      </c>
      <c r="F645" s="2090" t="str">
        <f>'TRAD-Saisie données file act.'!B130</f>
        <v>volume (mL) / mois</v>
      </c>
      <c r="G645" s="2090" t="str">
        <f>'TRAD-Saisie données file act.'!B131</f>
        <v>volume flacon (mL) [1]</v>
      </c>
      <c r="H645" s="2090" t="str">
        <f>'TRAD-Saisie données file act.'!B132</f>
        <v>nb de flacons / mois</v>
      </c>
      <c r="I645" s="2090" t="str">
        <f>'TRAD-Saisie données file act.'!B133</f>
        <v>nb de flacons / mois arrondi</v>
      </c>
    </row>
    <row r="646" spans="2:10" s="421" customFormat="1" x14ac:dyDescent="0.2">
      <c r="B646" s="420"/>
      <c r="D646" s="2091" t="s">
        <v>32</v>
      </c>
      <c r="E646" s="2092">
        <v>24</v>
      </c>
      <c r="F646" s="2093">
        <f t="shared" ref="F646:F653" si="48">E646*30</f>
        <v>720</v>
      </c>
      <c r="G646" s="2094">
        <f>'Saisie données stocks'!$L$61</f>
        <v>240</v>
      </c>
      <c r="H646" s="2242">
        <f t="shared" ref="H646:H653" si="49">F646/G646</f>
        <v>3</v>
      </c>
      <c r="I646" s="2095">
        <f t="shared" ref="I646:I653" si="50">ROUNDUP(F646/G646, 0)</f>
        <v>3</v>
      </c>
    </row>
    <row r="647" spans="2:10" s="421" customFormat="1" x14ac:dyDescent="0.2">
      <c r="B647" s="420"/>
      <c r="D647" s="2101" t="s">
        <v>82</v>
      </c>
      <c r="E647" s="2102">
        <v>24</v>
      </c>
      <c r="F647" s="2103">
        <f t="shared" si="48"/>
        <v>720</v>
      </c>
      <c r="G647" s="2099">
        <f>'Saisie données stocks'!$L$62</f>
        <v>240</v>
      </c>
      <c r="H647" s="2243">
        <f t="shared" si="49"/>
        <v>3</v>
      </c>
      <c r="I647" s="2105">
        <f t="shared" si="50"/>
        <v>3</v>
      </c>
    </row>
    <row r="648" spans="2:10" s="421" customFormat="1" x14ac:dyDescent="0.2">
      <c r="B648" s="420"/>
      <c r="D648" s="2101" t="s">
        <v>34</v>
      </c>
      <c r="E648" s="2102">
        <v>12</v>
      </c>
      <c r="F648" s="2103">
        <f t="shared" si="48"/>
        <v>360</v>
      </c>
      <c r="G648" s="2104">
        <f>'Saisie données stocks'!$L$63</f>
        <v>240</v>
      </c>
      <c r="H648" s="2243">
        <f t="shared" si="49"/>
        <v>1.5</v>
      </c>
      <c r="I648" s="2105">
        <f t="shared" si="50"/>
        <v>2</v>
      </c>
    </row>
    <row r="649" spans="2:10" s="421" customFormat="1" x14ac:dyDescent="0.2">
      <c r="B649" s="420"/>
      <c r="D649" s="2101" t="s">
        <v>36</v>
      </c>
      <c r="E649" s="2102">
        <v>12</v>
      </c>
      <c r="F649" s="2103">
        <f t="shared" si="48"/>
        <v>360</v>
      </c>
      <c r="G649" s="2104">
        <f>'Saisie données stocks'!$L$64</f>
        <v>240</v>
      </c>
      <c r="H649" s="2243">
        <f t="shared" si="49"/>
        <v>1.5</v>
      </c>
      <c r="I649" s="2105">
        <f t="shared" si="50"/>
        <v>2</v>
      </c>
    </row>
    <row r="650" spans="2:10" s="421" customFormat="1" x14ac:dyDescent="0.2">
      <c r="B650" s="420"/>
      <c r="D650" s="2101" t="s">
        <v>37</v>
      </c>
      <c r="E650" s="2102">
        <v>14</v>
      </c>
      <c r="F650" s="2103">
        <f t="shared" si="48"/>
        <v>420</v>
      </c>
      <c r="G650" s="2104">
        <f>'Saisie données stocks'!$L$65</f>
        <v>200</v>
      </c>
      <c r="H650" s="2244">
        <f t="shared" si="49"/>
        <v>2.1</v>
      </c>
      <c r="I650" s="2106">
        <f t="shared" si="50"/>
        <v>3</v>
      </c>
    </row>
    <row r="651" spans="2:10" s="421" customFormat="1" x14ac:dyDescent="0.2">
      <c r="B651" s="420"/>
      <c r="D651" s="2107" t="s">
        <v>29</v>
      </c>
      <c r="E651" s="2102">
        <v>20</v>
      </c>
      <c r="F651" s="2103">
        <f t="shared" si="48"/>
        <v>600</v>
      </c>
      <c r="G651" s="2104">
        <f>'Saisie données stocks'!$L$66</f>
        <v>240</v>
      </c>
      <c r="H651" s="2243">
        <f t="shared" si="49"/>
        <v>2.5</v>
      </c>
      <c r="I651" s="2105">
        <f t="shared" si="50"/>
        <v>3</v>
      </c>
    </row>
    <row r="652" spans="2:10" s="421" customFormat="1" x14ac:dyDescent="0.2">
      <c r="B652" s="420"/>
      <c r="D652" s="2107" t="s">
        <v>27</v>
      </c>
      <c r="E652" s="2102">
        <v>7</v>
      </c>
      <c r="F652" s="2103">
        <f t="shared" si="48"/>
        <v>210</v>
      </c>
      <c r="G652" s="2108">
        <f>'Saisie données stocks'!$L$67</f>
        <v>180</v>
      </c>
      <c r="H652" s="2243">
        <f t="shared" si="49"/>
        <v>1.1666666666666667</v>
      </c>
      <c r="I652" s="2105">
        <f t="shared" si="50"/>
        <v>2</v>
      </c>
    </row>
    <row r="653" spans="2:10" s="421" customFormat="1" ht="13.5" thickBot="1" x14ac:dyDescent="0.25">
      <c r="B653" s="420"/>
      <c r="D653" s="2109" t="s">
        <v>42</v>
      </c>
      <c r="E653" s="2110">
        <v>4</v>
      </c>
      <c r="F653" s="2111">
        <f t="shared" si="48"/>
        <v>120</v>
      </c>
      <c r="G653" s="2112">
        <f>'Saisie données stocks'!$L$68</f>
        <v>60</v>
      </c>
      <c r="H653" s="2245">
        <f t="shared" si="49"/>
        <v>2</v>
      </c>
      <c r="I653" s="2113">
        <f t="shared" si="50"/>
        <v>2</v>
      </c>
    </row>
    <row r="654" spans="2:10" s="421" customFormat="1" x14ac:dyDescent="0.2">
      <c r="B654" s="420"/>
      <c r="C654" s="2088"/>
      <c r="D654" s="2087"/>
      <c r="E654" s="2087"/>
      <c r="F654" s="2088"/>
      <c r="G654" s="2088"/>
      <c r="H654" s="2088"/>
      <c r="I654" s="2088"/>
    </row>
    <row r="655" spans="2:10" s="421" customFormat="1" x14ac:dyDescent="0.2">
      <c r="B655" s="420"/>
    </row>
    <row r="656" spans="2:10" s="421" customFormat="1" x14ac:dyDescent="0.2">
      <c r="B656" s="420"/>
      <c r="D656" s="3238" t="str">
        <f>'TRAD-Saisie données file act.'!B128</f>
        <v>Enfant de 15 à 20 kg (tranche de poids utilisée : 17 - 19,9 kg)</v>
      </c>
      <c r="E656" s="3238"/>
      <c r="F656" s="3238"/>
      <c r="G656" s="3238"/>
      <c r="H656" s="3238"/>
      <c r="I656" s="3238"/>
      <c r="J656" s="3238"/>
    </row>
    <row r="657" spans="2:9" s="421" customFormat="1" ht="13.5" thickBot="1" x14ac:dyDescent="0.25">
      <c r="B657" s="420"/>
      <c r="C657" s="2088"/>
      <c r="D657" s="2087"/>
      <c r="E657" s="2087"/>
      <c r="F657" s="2088"/>
      <c r="G657" s="2088"/>
      <c r="H657" s="2088"/>
      <c r="I657" s="2088"/>
    </row>
    <row r="658" spans="2:9" s="421" customFormat="1" ht="26.25" thickBot="1" x14ac:dyDescent="0.25">
      <c r="B658" s="420"/>
      <c r="D658" s="2089"/>
      <c r="E658" s="2090" t="str">
        <f>'TRAD-Saisie données file act.'!B129</f>
        <v>volume (mL) / jour</v>
      </c>
      <c r="F658" s="2090" t="str">
        <f>'TRAD-Saisie données file act.'!B130</f>
        <v>volume (mL) / mois</v>
      </c>
      <c r="G658" s="2090" t="str">
        <f>'TRAD-Saisie données file act.'!B131</f>
        <v>volume flacon (mL) [1]</v>
      </c>
      <c r="H658" s="2090" t="str">
        <f>'TRAD-Saisie données file act.'!B132</f>
        <v>nb de flacons / mois</v>
      </c>
      <c r="I658" s="2090" t="str">
        <f>'TRAD-Saisie données file act.'!B133</f>
        <v>nb de flacons / mois arrondi</v>
      </c>
    </row>
    <row r="659" spans="2:9" s="421" customFormat="1" x14ac:dyDescent="0.2">
      <c r="B659" s="420"/>
      <c r="D659" s="2091" t="s">
        <v>32</v>
      </c>
      <c r="E659" s="2092">
        <v>30</v>
      </c>
      <c r="F659" s="2093">
        <f t="shared" ref="F659:F666" si="51">E659*30</f>
        <v>900</v>
      </c>
      <c r="G659" s="2094">
        <f>'Saisie données stocks'!$L$61</f>
        <v>240</v>
      </c>
      <c r="H659" s="2242">
        <f t="shared" ref="H659:H666" si="52">F659/G659</f>
        <v>3.75</v>
      </c>
      <c r="I659" s="2095">
        <f t="shared" ref="I659:I666" si="53">ROUNDUP(F659/G659, 0)</f>
        <v>4</v>
      </c>
    </row>
    <row r="660" spans="2:9" s="421" customFormat="1" x14ac:dyDescent="0.2">
      <c r="B660" s="420"/>
      <c r="D660" s="2101" t="s">
        <v>82</v>
      </c>
      <c r="E660" s="2102">
        <v>30</v>
      </c>
      <c r="F660" s="2103">
        <f t="shared" si="51"/>
        <v>900</v>
      </c>
      <c r="G660" s="2099">
        <f>'Saisie données stocks'!$L$62</f>
        <v>240</v>
      </c>
      <c r="H660" s="2243">
        <f t="shared" si="52"/>
        <v>3.75</v>
      </c>
      <c r="I660" s="2105">
        <f t="shared" si="53"/>
        <v>4</v>
      </c>
    </row>
    <row r="661" spans="2:9" s="421" customFormat="1" x14ac:dyDescent="0.2">
      <c r="B661" s="420"/>
      <c r="D661" s="2101" t="s">
        <v>34</v>
      </c>
      <c r="E661" s="2102">
        <v>15</v>
      </c>
      <c r="F661" s="2103">
        <f t="shared" si="51"/>
        <v>450</v>
      </c>
      <c r="G661" s="2104">
        <f>'Saisie données stocks'!$L$63</f>
        <v>240</v>
      </c>
      <c r="H661" s="2243">
        <f t="shared" si="52"/>
        <v>1.875</v>
      </c>
      <c r="I661" s="2105">
        <f t="shared" si="53"/>
        <v>2</v>
      </c>
    </row>
    <row r="662" spans="2:9" s="421" customFormat="1" x14ac:dyDescent="0.2">
      <c r="B662" s="420"/>
      <c r="D662" s="2101" t="s">
        <v>36</v>
      </c>
      <c r="E662" s="2102">
        <v>15</v>
      </c>
      <c r="F662" s="2103">
        <f t="shared" si="51"/>
        <v>450</v>
      </c>
      <c r="G662" s="2104">
        <f>'Saisie données stocks'!$L$64</f>
        <v>240</v>
      </c>
      <c r="H662" s="2243">
        <f t="shared" si="52"/>
        <v>1.875</v>
      </c>
      <c r="I662" s="2105">
        <f t="shared" si="53"/>
        <v>2</v>
      </c>
    </row>
    <row r="663" spans="2:9" s="421" customFormat="1" x14ac:dyDescent="0.2">
      <c r="B663" s="420"/>
      <c r="D663" s="2101" t="s">
        <v>37</v>
      </c>
      <c r="E663" s="2102">
        <v>20</v>
      </c>
      <c r="F663" s="2103">
        <f t="shared" si="51"/>
        <v>600</v>
      </c>
      <c r="G663" s="2104">
        <f>'Saisie données stocks'!$L$65</f>
        <v>200</v>
      </c>
      <c r="H663" s="2244">
        <f t="shared" si="52"/>
        <v>3</v>
      </c>
      <c r="I663" s="2106">
        <f t="shared" si="53"/>
        <v>3</v>
      </c>
    </row>
    <row r="664" spans="2:9" s="421" customFormat="1" x14ac:dyDescent="0.2">
      <c r="B664" s="420"/>
      <c r="D664" s="2107" t="s">
        <v>29</v>
      </c>
      <c r="E664" s="2102">
        <v>24</v>
      </c>
      <c r="F664" s="2103">
        <f t="shared" si="51"/>
        <v>720</v>
      </c>
      <c r="G664" s="2104">
        <f>'Saisie données stocks'!$L$66</f>
        <v>240</v>
      </c>
      <c r="H664" s="2243">
        <f t="shared" si="52"/>
        <v>3</v>
      </c>
      <c r="I664" s="2105">
        <f t="shared" si="53"/>
        <v>3</v>
      </c>
    </row>
    <row r="665" spans="2:9" s="421" customFormat="1" x14ac:dyDescent="0.2">
      <c r="B665" s="420"/>
      <c r="D665" s="2107" t="s">
        <v>27</v>
      </c>
      <c r="E665" s="2102">
        <v>13</v>
      </c>
      <c r="F665" s="2103">
        <f t="shared" si="51"/>
        <v>390</v>
      </c>
      <c r="G665" s="2108">
        <f>'Saisie données stocks'!$L$67</f>
        <v>180</v>
      </c>
      <c r="H665" s="2243">
        <f t="shared" si="52"/>
        <v>2.1666666666666665</v>
      </c>
      <c r="I665" s="2105">
        <f t="shared" si="53"/>
        <v>3</v>
      </c>
    </row>
    <row r="666" spans="2:9" s="421" customFormat="1" ht="13.5" thickBot="1" x14ac:dyDescent="0.25">
      <c r="B666" s="420"/>
      <c r="D666" s="2109" t="s">
        <v>42</v>
      </c>
      <c r="E666" s="2110">
        <v>5</v>
      </c>
      <c r="F666" s="2111">
        <f t="shared" si="51"/>
        <v>150</v>
      </c>
      <c r="G666" s="2112">
        <f>'Saisie données stocks'!$L$68</f>
        <v>60</v>
      </c>
      <c r="H666" s="2245">
        <f t="shared" si="52"/>
        <v>2.5</v>
      </c>
      <c r="I666" s="2113">
        <f t="shared" si="53"/>
        <v>3</v>
      </c>
    </row>
    <row r="667" spans="2:9" s="421" customFormat="1" x14ac:dyDescent="0.2">
      <c r="B667" s="420"/>
      <c r="C667" s="2088"/>
      <c r="D667" s="2087"/>
      <c r="E667" s="2087"/>
      <c r="F667" s="2088"/>
      <c r="G667" s="2088"/>
      <c r="H667" s="2088"/>
      <c r="I667" s="2088"/>
    </row>
    <row r="668" spans="2:9" s="421" customFormat="1" ht="13.5" thickBot="1" x14ac:dyDescent="0.25">
      <c r="B668" s="420"/>
    </row>
    <row r="669" spans="2:9" s="421" customFormat="1" ht="13.5" thickBot="1" x14ac:dyDescent="0.25">
      <c r="B669" s="420"/>
      <c r="C669" s="3222" t="str">
        <f>'TRAD-Saisie données file act.'!B134</f>
        <v>Formes solides</v>
      </c>
      <c r="D669" s="3223"/>
      <c r="E669" s="3223"/>
      <c r="F669" s="3223"/>
      <c r="G669" s="3223"/>
      <c r="H669" s="3223"/>
      <c r="I669" s="3224"/>
    </row>
    <row r="670" spans="2:9" s="421" customFormat="1" x14ac:dyDescent="0.2">
      <c r="B670" s="420"/>
    </row>
    <row r="671" spans="2:9" s="421" customFormat="1" ht="13.5" thickBot="1" x14ac:dyDescent="0.25">
      <c r="B671" s="420"/>
      <c r="F671" s="3229" t="str">
        <f>'TRAD-Saisie données file act.'!B85</f>
        <v>Poids (kg)</v>
      </c>
      <c r="G671" s="3229"/>
      <c r="H671" s="3229"/>
      <c r="I671" s="3229"/>
    </row>
    <row r="672" spans="2:9" s="421" customFormat="1" ht="13.5" thickBot="1" x14ac:dyDescent="0.25">
      <c r="B672" s="420"/>
      <c r="D672" s="2089" t="str">
        <f>'TRAD-Saisie données file act.'!B135</f>
        <v>Formes adultes</v>
      </c>
      <c r="E672" s="2129"/>
      <c r="F672" s="2118" t="s">
        <v>731</v>
      </c>
      <c r="G672" s="2118" t="s">
        <v>55</v>
      </c>
      <c r="H672" s="2118" t="s">
        <v>57</v>
      </c>
      <c r="I672" s="2118" t="s">
        <v>59</v>
      </c>
    </row>
    <row r="673" spans="2:9" s="421" customFormat="1" ht="13.5" customHeight="1" thickBot="1" x14ac:dyDescent="0.25">
      <c r="B673" s="420"/>
      <c r="D673" s="2286" t="str">
        <f>'TRAD-Saisie données file act.'!B136</f>
        <v>Nb de boites / mois / patient</v>
      </c>
      <c r="E673" s="2287"/>
      <c r="F673" s="2287"/>
      <c r="G673" s="2287"/>
      <c r="H673" s="2287"/>
      <c r="I673" s="2288"/>
    </row>
    <row r="674" spans="2:9" s="421" customFormat="1" x14ac:dyDescent="0.2">
      <c r="B674" s="420"/>
      <c r="D674" s="2532" t="str">
        <f>'TRAD-Saisie données file act.'!B137</f>
        <v>AZT+3TC+NVP adulte</v>
      </c>
      <c r="E674" s="2289" t="s">
        <v>17</v>
      </c>
      <c r="F674" s="2120"/>
      <c r="G674" s="2120"/>
      <c r="H674" s="2120">
        <v>1</v>
      </c>
      <c r="I674" s="2121">
        <v>1</v>
      </c>
    </row>
    <row r="675" spans="2:9" s="421" customFormat="1" x14ac:dyDescent="0.2">
      <c r="B675" s="420"/>
      <c r="D675" s="2532" t="str">
        <f>'TRAD-Saisie données file act.'!B138</f>
        <v>AZT+3TC+NVP bébé</v>
      </c>
      <c r="E675" s="2290" t="s">
        <v>258</v>
      </c>
      <c r="F675" s="2120">
        <v>1.5</v>
      </c>
      <c r="G675" s="2120">
        <v>2</v>
      </c>
      <c r="H675" s="2120">
        <v>2.5</v>
      </c>
      <c r="I675" s="2121">
        <v>3</v>
      </c>
    </row>
    <row r="676" spans="2:9" s="421" customFormat="1" x14ac:dyDescent="0.2">
      <c r="B676" s="420"/>
      <c r="D676" s="2532" t="str">
        <f>'TRAD-Saisie données file act.'!B139</f>
        <v>AZT+3TC adulte</v>
      </c>
      <c r="E676" s="2289" t="s">
        <v>19</v>
      </c>
      <c r="F676" s="2120"/>
      <c r="G676" s="2120"/>
      <c r="H676" s="2120">
        <v>1</v>
      </c>
      <c r="I676" s="2121">
        <v>1</v>
      </c>
    </row>
    <row r="677" spans="2:9" s="421" customFormat="1" x14ac:dyDescent="0.2">
      <c r="B677" s="420"/>
      <c r="D677" s="2532" t="str">
        <f>'TRAD-Saisie données file act.'!B140</f>
        <v>AZT+3TC bébé</v>
      </c>
      <c r="E677" s="2289" t="s">
        <v>260</v>
      </c>
      <c r="F677" s="2120">
        <v>1.5</v>
      </c>
      <c r="G677" s="2120">
        <v>2</v>
      </c>
      <c r="H677" s="2120">
        <v>2.5</v>
      </c>
      <c r="I677" s="2121">
        <v>3</v>
      </c>
    </row>
    <row r="678" spans="2:9" s="421" customFormat="1" x14ac:dyDescent="0.2">
      <c r="B678" s="420"/>
      <c r="D678" s="2532" t="str">
        <f>'TRAD-Saisie données file act.'!B141</f>
        <v>D4T+3TC+NVP adulte</v>
      </c>
      <c r="E678" s="2290" t="s">
        <v>21</v>
      </c>
      <c r="F678" s="2120"/>
      <c r="G678" s="2120"/>
      <c r="H678" s="2120">
        <v>1</v>
      </c>
      <c r="I678" s="2121">
        <v>1</v>
      </c>
    </row>
    <row r="679" spans="2:9" s="421" customFormat="1" x14ac:dyDescent="0.2">
      <c r="B679" s="420"/>
      <c r="D679" s="2532" t="str">
        <f>'TRAD-Saisie données file act.'!B142</f>
        <v>D4T+3TC+NVP bébé</v>
      </c>
      <c r="E679" s="2291" t="s">
        <v>102</v>
      </c>
      <c r="F679" s="2120">
        <v>1.5</v>
      </c>
      <c r="G679" s="2120">
        <v>2</v>
      </c>
      <c r="H679" s="2120">
        <v>2.5</v>
      </c>
      <c r="I679" s="2121">
        <v>3</v>
      </c>
    </row>
    <row r="680" spans="2:9" s="421" customFormat="1" x14ac:dyDescent="0.2">
      <c r="B680" s="420"/>
      <c r="D680" s="2532" t="str">
        <f>'TRAD-Saisie données file act.'!B143</f>
        <v>D4T+3TC adulte</v>
      </c>
      <c r="E680" s="2292" t="s">
        <v>23</v>
      </c>
      <c r="F680" s="2120"/>
      <c r="G680" s="2120"/>
      <c r="H680" s="2120">
        <v>1</v>
      </c>
      <c r="I680" s="2121">
        <v>1</v>
      </c>
    </row>
    <row r="681" spans="2:9" s="421" customFormat="1" x14ac:dyDescent="0.2">
      <c r="B681" s="420"/>
      <c r="D681" s="2532" t="str">
        <f>'TRAD-Saisie données file act.'!B144</f>
        <v>AZT+3TC+ABC adulte</v>
      </c>
      <c r="E681" s="2289" t="s">
        <v>137</v>
      </c>
      <c r="F681" s="2120"/>
      <c r="G681" s="2120"/>
      <c r="H681" s="2120">
        <v>1</v>
      </c>
      <c r="I681" s="2121">
        <v>1</v>
      </c>
    </row>
    <row r="682" spans="2:9" s="421" customFormat="1" x14ac:dyDescent="0.2">
      <c r="B682" s="420"/>
      <c r="D682" s="2532" t="str">
        <f>'TRAD-Saisie données file act.'!B145</f>
        <v>AZT+3TC+ABC bébé</v>
      </c>
      <c r="E682" s="2289" t="s">
        <v>727</v>
      </c>
      <c r="F682" s="2120">
        <v>1.5</v>
      </c>
      <c r="G682" s="2120">
        <v>2</v>
      </c>
      <c r="H682" s="2120">
        <v>2.5</v>
      </c>
      <c r="I682" s="2121">
        <v>3</v>
      </c>
    </row>
    <row r="683" spans="2:9" s="421" customFormat="1" x14ac:dyDescent="0.2">
      <c r="B683" s="420"/>
      <c r="D683" s="2119" t="s">
        <v>596</v>
      </c>
      <c r="E683" s="2289" t="s">
        <v>728</v>
      </c>
      <c r="F683" s="2120"/>
      <c r="G683" s="2120"/>
      <c r="H683" s="2120">
        <v>1</v>
      </c>
      <c r="I683" s="2121">
        <v>1</v>
      </c>
    </row>
    <row r="684" spans="2:9" s="421" customFormat="1" x14ac:dyDescent="0.2">
      <c r="B684" s="420"/>
      <c r="D684" s="2119" t="str">
        <f>'TRAD-Saisie données file act.'!B146</f>
        <v>ABC+3TC bébé</v>
      </c>
      <c r="E684" s="2289" t="s">
        <v>727</v>
      </c>
      <c r="F684" s="2120">
        <v>1.5</v>
      </c>
      <c r="G684" s="2120">
        <v>2</v>
      </c>
      <c r="H684" s="2120">
        <v>2.5</v>
      </c>
      <c r="I684" s="2121">
        <v>3</v>
      </c>
    </row>
    <row r="685" spans="2:9" s="421" customFormat="1" x14ac:dyDescent="0.2">
      <c r="B685" s="420"/>
      <c r="D685" s="2119" t="s">
        <v>508</v>
      </c>
      <c r="E685" s="2289" t="s">
        <v>35</v>
      </c>
      <c r="F685" s="2120"/>
      <c r="G685" s="2120"/>
      <c r="H685" s="2120">
        <v>0.5</v>
      </c>
      <c r="I685" s="2121">
        <v>1</v>
      </c>
    </row>
    <row r="686" spans="2:9" s="421" customFormat="1" x14ac:dyDescent="0.2">
      <c r="B686" s="420"/>
      <c r="D686" s="2119" t="str">
        <f>'TRAD-Saisie données file act.'!B146</f>
        <v>ABC+3TC bébé</v>
      </c>
      <c r="E686" s="2289" t="s">
        <v>33</v>
      </c>
      <c r="F686" s="2120"/>
      <c r="G686" s="2120"/>
      <c r="H686" s="2120">
        <v>0.5</v>
      </c>
      <c r="I686" s="2121">
        <v>1</v>
      </c>
    </row>
    <row r="687" spans="2:9" s="421" customFormat="1" x14ac:dyDescent="0.2">
      <c r="B687" s="420"/>
      <c r="D687" s="2119" t="str">
        <f>'TRAD-Saisie données file act.'!B148</f>
        <v>ABC bébé</v>
      </c>
      <c r="E687" s="2289" t="s">
        <v>611</v>
      </c>
      <c r="F687" s="2120">
        <v>1.5</v>
      </c>
      <c r="G687" s="2120">
        <v>2</v>
      </c>
      <c r="H687" s="2120">
        <v>2.5</v>
      </c>
      <c r="I687" s="2121">
        <v>3</v>
      </c>
    </row>
    <row r="688" spans="2:9" s="421" customFormat="1" x14ac:dyDescent="0.2">
      <c r="B688" s="420"/>
      <c r="D688" s="2119" t="s">
        <v>758</v>
      </c>
      <c r="E688" s="2289" t="s">
        <v>46</v>
      </c>
      <c r="F688" s="2120">
        <f>60/100</f>
        <v>0.6</v>
      </c>
      <c r="G688" s="2120">
        <f>60/100</f>
        <v>0.6</v>
      </c>
      <c r="H688" s="2120">
        <f>90/100</f>
        <v>0.9</v>
      </c>
      <c r="I688" s="2121">
        <f>120/100</f>
        <v>1.2</v>
      </c>
    </row>
    <row r="689" spans="2:9" s="421" customFormat="1" x14ac:dyDescent="0.2">
      <c r="B689" s="420"/>
      <c r="D689" s="2119" t="str">
        <f>'TRAD-Saisie données file act.'!B149</f>
        <v>AZT bébé</v>
      </c>
      <c r="E689" s="2289" t="s">
        <v>611</v>
      </c>
      <c r="F689" s="2120">
        <v>1.5</v>
      </c>
      <c r="G689" s="2120">
        <v>2</v>
      </c>
      <c r="H689" s="2120">
        <v>2.5</v>
      </c>
      <c r="I689" s="2121">
        <v>3</v>
      </c>
    </row>
    <row r="690" spans="2:9" s="421" customFormat="1" x14ac:dyDescent="0.2">
      <c r="B690" s="420"/>
      <c r="D690" s="2119" t="s">
        <v>734</v>
      </c>
      <c r="E690" s="2289" t="s">
        <v>38</v>
      </c>
      <c r="F690" s="2120"/>
      <c r="G690" s="2120"/>
      <c r="H690" s="2120"/>
      <c r="I690" s="2121">
        <v>1</v>
      </c>
    </row>
    <row r="691" spans="2:9" s="421" customFormat="1" x14ac:dyDescent="0.2">
      <c r="B691" s="420"/>
      <c r="D691" s="2122" t="s">
        <v>735</v>
      </c>
      <c r="E691" s="2293" t="s">
        <v>30</v>
      </c>
      <c r="F691" s="2120"/>
      <c r="G691" s="2295"/>
      <c r="H691" s="2295">
        <v>0.75</v>
      </c>
      <c r="I691" s="2296">
        <v>1</v>
      </c>
    </row>
    <row r="692" spans="2:9" s="421" customFormat="1" x14ac:dyDescent="0.2">
      <c r="B692" s="420"/>
      <c r="D692" s="2122" t="s">
        <v>736</v>
      </c>
      <c r="E692" s="2293" t="s">
        <v>30</v>
      </c>
      <c r="F692" s="2297"/>
      <c r="G692" s="2295">
        <v>1</v>
      </c>
      <c r="H692" s="2295">
        <v>1.5</v>
      </c>
      <c r="I692" s="2296">
        <v>1.5</v>
      </c>
    </row>
    <row r="693" spans="2:9" s="421" customFormat="1" x14ac:dyDescent="0.2">
      <c r="B693" s="420"/>
      <c r="D693" s="2122" t="s">
        <v>756</v>
      </c>
      <c r="E693" s="2293" t="s">
        <v>105</v>
      </c>
      <c r="F693" s="2297"/>
      <c r="G693" s="2295">
        <v>4</v>
      </c>
      <c r="H693" s="2295">
        <v>6</v>
      </c>
      <c r="I693" s="2296">
        <v>8</v>
      </c>
    </row>
    <row r="694" spans="2:9" s="421" customFormat="1" x14ac:dyDescent="0.2">
      <c r="B694" s="420"/>
      <c r="D694" s="2119" t="str">
        <f>'TRAD-Saisie données file act.'!B151</f>
        <v>LPV/r adulte</v>
      </c>
      <c r="E694" s="2289" t="s">
        <v>43</v>
      </c>
      <c r="F694" s="2120"/>
      <c r="G694" s="2120"/>
      <c r="H694" s="2120">
        <v>0.5</v>
      </c>
      <c r="I694" s="2121">
        <v>0.5</v>
      </c>
    </row>
    <row r="695" spans="2:9" s="421" customFormat="1" ht="13.5" thickBot="1" x14ac:dyDescent="0.25">
      <c r="B695" s="420"/>
      <c r="D695" s="2123" t="str">
        <f>'TRAD-Saisie données file act.'!B152</f>
        <v>LPV/r bébé</v>
      </c>
      <c r="E695" s="2294" t="s">
        <v>496</v>
      </c>
      <c r="F695" s="2124"/>
      <c r="G695" s="2124">
        <v>1.5</v>
      </c>
      <c r="H695" s="2124">
        <v>2</v>
      </c>
      <c r="I695" s="2125">
        <v>2</v>
      </c>
    </row>
    <row r="696" spans="2:9" customFormat="1" x14ac:dyDescent="0.2"/>
    <row r="1027" spans="30:34" customFormat="1" x14ac:dyDescent="0.2">
      <c r="AD1027" s="836"/>
      <c r="AE1027" s="836"/>
      <c r="AF1027" s="836"/>
      <c r="AG1027" s="836"/>
      <c r="AH1027" s="836"/>
    </row>
    <row r="1028" spans="30:34" customFormat="1" x14ac:dyDescent="0.2">
      <c r="AD1028" s="836"/>
      <c r="AE1028" s="836"/>
      <c r="AF1028" s="836"/>
      <c r="AG1028" s="836"/>
      <c r="AH1028" s="836"/>
    </row>
  </sheetData>
  <sheetProtection password="D0E7" sheet="1" objects="1" scenarios="1" selectLockedCells="1"/>
  <mergeCells count="50">
    <mergeCell ref="I19:L19"/>
    <mergeCell ref="I17:L17"/>
    <mergeCell ref="E12:O12"/>
    <mergeCell ref="E485:O485"/>
    <mergeCell ref="E483:O483"/>
    <mergeCell ref="B360:O360"/>
    <mergeCell ref="D345:F345"/>
    <mergeCell ref="E480:O480"/>
    <mergeCell ref="E482:O482"/>
    <mergeCell ref="E484:O484"/>
    <mergeCell ref="C26:C111"/>
    <mergeCell ref="E237:O237"/>
    <mergeCell ref="D214:F214"/>
    <mergeCell ref="D226:F226"/>
    <mergeCell ref="E481:O481"/>
    <mergeCell ref="D370:F370"/>
    <mergeCell ref="B4:O4"/>
    <mergeCell ref="I16:L16"/>
    <mergeCell ref="I18:L18"/>
    <mergeCell ref="E9:O9"/>
    <mergeCell ref="E10:O10"/>
    <mergeCell ref="I15:L15"/>
    <mergeCell ref="E11:O11"/>
    <mergeCell ref="E13:K13"/>
    <mergeCell ref="E8:O8"/>
    <mergeCell ref="F671:I671"/>
    <mergeCell ref="D420:F420"/>
    <mergeCell ref="E474:O474"/>
    <mergeCell ref="E428:O428"/>
    <mergeCell ref="D377:F377"/>
    <mergeCell ref="D383:F383"/>
    <mergeCell ref="D413:F413"/>
    <mergeCell ref="B477:O477"/>
    <mergeCell ref="E493:O493"/>
    <mergeCell ref="B622:F622"/>
    <mergeCell ref="C626:I626"/>
    <mergeCell ref="D628:J628"/>
    <mergeCell ref="D643:J643"/>
    <mergeCell ref="D656:J656"/>
    <mergeCell ref="E479:O479"/>
    <mergeCell ref="D117:E117"/>
    <mergeCell ref="D129:E129"/>
    <mergeCell ref="D140:E140"/>
    <mergeCell ref="D189:E189"/>
    <mergeCell ref="C669:I669"/>
    <mergeCell ref="E488:O488"/>
    <mergeCell ref="D490:N490"/>
    <mergeCell ref="B491:F491"/>
    <mergeCell ref="E486:O486"/>
    <mergeCell ref="E487:O487"/>
  </mergeCells>
  <dataValidations count="3">
    <dataValidation type="list" allowBlank="1" showInputMessage="1" showErrorMessage="1" sqref="H445:H450 N445:N450 K445:K450">
      <formula1>$D$377:$D$392</formula1>
    </dataValidation>
    <dataValidation type="list" allowBlank="1" showInputMessage="1" showErrorMessage="1" sqref="N256:N266">
      <formula1>$D$40:$D$49</formula1>
    </dataValidation>
    <dataValidation type="list" allowBlank="1" showInputMessage="1" showErrorMessage="1" sqref="H256:H266 K256:K266">
      <formula1>$D$40:$D$49</formula1>
    </dataValidation>
  </dataValidations>
  <pageMargins left="0.7" right="0.7" top="0.75" bottom="0.75" header="0.3" footer="0.3"/>
  <pageSetup paperSize="9" orientation="portrait" verticalDpi="24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sheetPr>
  <dimension ref="B1:S173"/>
  <sheetViews>
    <sheetView topLeftCell="A63" workbookViewId="0">
      <selection activeCell="D73" sqref="D73"/>
    </sheetView>
  </sheetViews>
  <sheetFormatPr defaultColWidth="2.140625" defaultRowHeight="12.75" x14ac:dyDescent="0.2"/>
  <cols>
    <col min="1" max="1" width="2.140625" style="2558"/>
    <col min="2" max="2" width="34.28515625" style="2586" customWidth="1"/>
    <col min="3" max="3" width="2.140625" style="2558"/>
    <col min="4" max="4" width="38.85546875" style="2558" customWidth="1"/>
    <col min="5" max="5" width="2.140625" style="2558"/>
    <col min="6" max="6" width="39.42578125" style="2558" customWidth="1"/>
    <col min="7" max="16384" width="2.140625" style="2558"/>
  </cols>
  <sheetData>
    <row r="1" spans="2:18" s="2586" customFormat="1" x14ac:dyDescent="0.2">
      <c r="B1" s="2586" t="s">
        <v>865</v>
      </c>
      <c r="D1" s="2586" t="s">
        <v>866</v>
      </c>
      <c r="F1" s="2586" t="s">
        <v>867</v>
      </c>
    </row>
    <row r="2" spans="2:18" x14ac:dyDescent="0.2">
      <c r="G2" s="2563"/>
      <c r="H2" s="2563"/>
      <c r="I2" s="2563"/>
      <c r="J2" s="2563"/>
      <c r="K2" s="2563"/>
      <c r="L2" s="2563"/>
      <c r="M2" s="2563"/>
      <c r="N2" s="2563"/>
      <c r="O2" s="2563"/>
      <c r="P2" s="2563"/>
      <c r="Q2" s="2563"/>
      <c r="R2" s="2563"/>
    </row>
    <row r="3" spans="2:18" ht="38.25" x14ac:dyDescent="0.2">
      <c r="B3" s="2586" t="str">
        <f>IF(Présentation!$E$2="Français",'TRAD-Saisie données file act.'!D3,IF(Présentation!$E$2="Anglais",'TRAD-Saisie données file act.'!F3,""))</f>
        <v>Feuille SAISIE 3 - Saisie des données de files actives et informations associées (sélection des options thérapeutiques)</v>
      </c>
      <c r="D3" s="2563" t="s">
        <v>671</v>
      </c>
      <c r="E3" s="2563"/>
      <c r="F3" s="2563" t="s">
        <v>1034</v>
      </c>
      <c r="G3" s="2562"/>
      <c r="H3" s="2562"/>
      <c r="I3" s="2562"/>
      <c r="J3" s="2562"/>
      <c r="K3" s="2562"/>
      <c r="L3" s="2562"/>
      <c r="M3" s="2562"/>
      <c r="N3" s="2562"/>
      <c r="O3" s="2562"/>
      <c r="P3" s="2562"/>
      <c r="Q3" s="2562"/>
      <c r="R3" s="2563"/>
    </row>
    <row r="4" spans="2:18" ht="25.5" x14ac:dyDescent="0.2">
      <c r="B4" s="2586" t="str">
        <f>IF(Présentation!$E$2="Français",'TRAD-Saisie données file act.'!D4,IF(Présentation!$E$2="Anglais",'TRAD-Saisie données file act.'!F4,""))</f>
        <v>Etape 1 : Données de prise en charge des adultes</v>
      </c>
      <c r="D4" s="2563" t="s">
        <v>1029</v>
      </c>
      <c r="E4" s="2562"/>
      <c r="F4" s="2562" t="s">
        <v>1702</v>
      </c>
    </row>
    <row r="5" spans="2:18" ht="38.25" x14ac:dyDescent="0.2">
      <c r="B5" s="2586" t="str">
        <f>IF(Présentation!$E$2="Français",'TRAD-Saisie données file act.'!D5,IF(Présentation!$E$2="Anglais",'TRAD-Saisie données file act.'!F5,""))</f>
        <v>A. SELECTION - Quels médicaments souhaitez vous pour chaque schéma thérapeutique Adulte ?</v>
      </c>
      <c r="D5" s="2563" t="s">
        <v>782</v>
      </c>
      <c r="F5" s="2558" t="s">
        <v>1047</v>
      </c>
      <c r="G5" s="2563"/>
      <c r="H5" s="2563"/>
      <c r="I5" s="2563"/>
      <c r="J5" s="2563"/>
      <c r="K5" s="2563"/>
      <c r="L5" s="2563"/>
      <c r="M5" s="2563"/>
      <c r="N5" s="2563"/>
      <c r="O5" s="2563"/>
      <c r="P5" s="2563"/>
      <c r="Q5" s="2563"/>
      <c r="R5" s="2563"/>
    </row>
    <row r="6" spans="2:18" x14ac:dyDescent="0.2">
      <c r="B6" s="2586" t="str">
        <f>IF(Présentation!$E$2="Français",'TRAD-Saisie données file act.'!D6,IF(Présentation!$E$2="Anglais",'TRAD-Saisie données file act.'!F6,""))</f>
        <v>Commentaire</v>
      </c>
      <c r="D6" s="2558" t="s">
        <v>481</v>
      </c>
      <c r="E6" s="2563"/>
      <c r="F6" s="2563" t="s">
        <v>1035</v>
      </c>
      <c r="G6" s="2563"/>
      <c r="H6" s="2563"/>
      <c r="I6" s="2563"/>
      <c r="J6" s="2563"/>
      <c r="K6" s="2563"/>
      <c r="L6" s="2563"/>
      <c r="M6" s="2563"/>
      <c r="N6" s="2563"/>
      <c r="O6" s="2563"/>
      <c r="P6" s="2563"/>
      <c r="Q6" s="2563"/>
      <c r="R6" s="2563"/>
    </row>
    <row r="7" spans="2:18" x14ac:dyDescent="0.2">
      <c r="B7" s="2586" t="str">
        <f>IF(Présentation!$E$2="Français",'TRAD-Saisie données file act.'!D7,IF(Présentation!$E$2="Anglais",'TRAD-Saisie données file act.'!F7,""))</f>
        <v>Attention</v>
      </c>
      <c r="D7" s="2558" t="s">
        <v>230</v>
      </c>
      <c r="E7" s="2563"/>
      <c r="F7" s="2558" t="s">
        <v>1036</v>
      </c>
    </row>
    <row r="8" spans="2:18" ht="38.25" x14ac:dyDescent="0.2">
      <c r="B8" s="2586" t="str">
        <f>IF(Présentation!$E$2="Français",'TRAD-Saisie données file act.'!D8,IF(Présentation!$E$2="Anglais",'TRAD-Saisie données file act.'!F8,""))</f>
        <v>Ce tableau permet de définir les médicaments voulus pour chaque schéma thérapeutique.</v>
      </c>
      <c r="D8" s="2558" t="s">
        <v>482</v>
      </c>
      <c r="F8" s="2558" t="s">
        <v>1046</v>
      </c>
      <c r="I8" s="2553"/>
      <c r="J8" s="2553"/>
      <c r="K8" s="2553"/>
      <c r="L8" s="2553"/>
      <c r="M8" s="2553"/>
      <c r="N8" s="2553"/>
      <c r="O8" s="2553"/>
      <c r="P8" s="2553"/>
      <c r="Q8" s="2553"/>
      <c r="R8" s="2566"/>
    </row>
    <row r="9" spans="2:18" ht="51" x14ac:dyDescent="0.2">
      <c r="B9" s="2586" t="str">
        <f>IF(Présentation!$E$2="Français",'TRAD-Saisie données file act.'!D9,IF(Présentation!$E$2="Anglais",'TRAD-Saisie données file act.'!F9,""))</f>
        <v>Pour cela, pour chaque schéma thérapeutique, mettre un X majuscule dans la case correspondant au médicament voulu</v>
      </c>
      <c r="D9" s="2558" t="s">
        <v>483</v>
      </c>
      <c r="F9" s="2558" t="s">
        <v>1048</v>
      </c>
      <c r="I9" s="2553"/>
      <c r="J9" s="2553"/>
      <c r="K9" s="2553"/>
      <c r="L9" s="2553"/>
      <c r="M9" s="2553"/>
      <c r="N9" s="2553"/>
      <c r="O9" s="2553"/>
      <c r="P9" s="2553"/>
      <c r="Q9" s="2553"/>
      <c r="R9" s="2566"/>
    </row>
    <row r="10" spans="2:18" ht="51" x14ac:dyDescent="0.2">
      <c r="B10" s="2586" t="str">
        <f>IF(Présentation!$E$2="Français",'TRAD-Saisie données file act.'!D10,IF(Présentation!$E$2="Anglais",'TRAD-Saisie données file act.'!F10,""))</f>
        <v>Ces données seront prises en compte pour les patients sous traitement, pour les inclusions et pour les changements de ligne</v>
      </c>
      <c r="D10" s="2558" t="s">
        <v>484</v>
      </c>
      <c r="F10" s="2558" t="s">
        <v>1049</v>
      </c>
      <c r="I10" s="2553"/>
      <c r="J10" s="2553"/>
      <c r="K10" s="2553"/>
      <c r="L10" s="2553"/>
      <c r="M10" s="2553"/>
      <c r="N10" s="2553"/>
      <c r="O10" s="2553"/>
      <c r="P10" s="2553"/>
      <c r="Q10" s="2553"/>
      <c r="R10" s="2566"/>
    </row>
    <row r="11" spans="2:18" ht="25.5" x14ac:dyDescent="0.2">
      <c r="B11" s="2586" t="str">
        <f>IF(Présentation!$E$2="Français",'TRAD-Saisie données file act.'!D11,IF(Présentation!$E$2="Anglais",'TRAD-Saisie données file act.'!F11,""))</f>
        <v>Si aucune case n'est remplie, aucun médicament ne sera pris en compte</v>
      </c>
      <c r="D11" s="2558" t="s">
        <v>233</v>
      </c>
      <c r="F11" s="2558" t="s">
        <v>1037</v>
      </c>
      <c r="I11" s="2553"/>
      <c r="J11" s="2553"/>
      <c r="K11" s="2553"/>
      <c r="L11" s="2553"/>
      <c r="M11" s="2553"/>
      <c r="N11" s="2553"/>
      <c r="O11" s="2553"/>
      <c r="P11" s="2553"/>
      <c r="Q11" s="2553"/>
      <c r="R11" s="2653"/>
    </row>
    <row r="12" spans="2:18" ht="38.25" x14ac:dyDescent="0.2">
      <c r="B12" s="2586" t="str">
        <f>IF(Présentation!$E$2="Français",'TRAD-Saisie données file act.'!D12,IF(Présentation!$E$2="Anglais",'TRAD-Saisie données file act.'!F12,""))</f>
        <v>Si plusieurs cases sont remplies, l'ensemble des médicaments sera pris en compte</v>
      </c>
      <c r="D12" s="2558" t="s">
        <v>485</v>
      </c>
      <c r="F12" s="2558" t="s">
        <v>1038</v>
      </c>
      <c r="I12" s="2553"/>
      <c r="J12" s="2553"/>
      <c r="K12" s="2553"/>
      <c r="L12" s="2553"/>
      <c r="M12" s="2553"/>
      <c r="N12" s="2553"/>
      <c r="O12" s="2553"/>
      <c r="P12" s="2553"/>
      <c r="Q12" s="2553"/>
      <c r="R12" s="2653"/>
    </row>
    <row r="13" spans="2:18" ht="76.5" x14ac:dyDescent="0.2">
      <c r="B13" s="2586" t="str">
        <f>IF(Présentation!$E$2="Français",'TRAD-Saisie données file act.'!D13,IF(Présentation!$E$2="Anglais",'TRAD-Saisie données file act.'!F13,""))</f>
        <v>Les paramètres renseignés ci-dessous ne modifient pas la répartition par ligne. Par exemple, si vous souhaitez que tous vos patients sous TDF+FTC reçoivent du TDF+3TC, il faut le renseigner dans les tableaux des parties B. &amp; C.</v>
      </c>
      <c r="D13" s="2558" t="s">
        <v>494</v>
      </c>
      <c r="F13" s="2558" t="s">
        <v>1039</v>
      </c>
      <c r="G13" s="2553"/>
      <c r="M13" s="2553"/>
      <c r="N13" s="2553"/>
      <c r="R13" s="2654"/>
    </row>
    <row r="14" spans="2:18" x14ac:dyDescent="0.2">
      <c r="B14" s="2586" t="str">
        <f>IF(Présentation!$E$2="Français",'TRAD-Saisie données file act.'!D14,IF(Présentation!$E$2="Anglais",'TRAD-Saisie données file act.'!F14,""))</f>
        <v>Schéma thérapeutique switchés</v>
      </c>
      <c r="D14" s="2558" t="s">
        <v>1162</v>
      </c>
      <c r="F14" s="2553" t="s">
        <v>1163</v>
      </c>
      <c r="G14" s="2553"/>
      <c r="M14" s="2553"/>
      <c r="N14" s="2553"/>
      <c r="R14" s="2654"/>
    </row>
    <row r="15" spans="2:18" x14ac:dyDescent="0.2">
      <c r="B15" s="2586" t="str">
        <f>IF(Présentation!$E$2="Français",'TRAD-Saisie données file act.'!D15,IF(Présentation!$E$2="Anglais",'TRAD-Saisie données file act.'!F15,""))</f>
        <v>Schéma thérapeutique</v>
      </c>
      <c r="D15" s="2558" t="s">
        <v>8</v>
      </c>
      <c r="E15" s="2553"/>
      <c r="F15" s="2553" t="s">
        <v>1050</v>
      </c>
      <c r="G15" s="2553"/>
    </row>
    <row r="16" spans="2:18" x14ac:dyDescent="0.2">
      <c r="B16" s="2586" t="str">
        <f>IF(Présentation!$E$2="Français",'TRAD-Saisie données file act.'!D16,IF(Présentation!$E$2="Anglais",'TRAD-Saisie données file act.'!F16,""))</f>
        <v>Option choisie</v>
      </c>
      <c r="D16" s="2558" t="s">
        <v>227</v>
      </c>
      <c r="E16" s="2553"/>
      <c r="F16" s="2553" t="s">
        <v>1040</v>
      </c>
      <c r="G16" s="2553"/>
    </row>
    <row r="17" spans="2:7" x14ac:dyDescent="0.2">
      <c r="B17" s="2586" t="str">
        <f>IF(Présentation!$E$2="Français",'TRAD-Saisie données file act.'!D17,IF(Présentation!$E$2="Anglais",'TRAD-Saisie données file act.'!F17,""))</f>
        <v>Médicament 1</v>
      </c>
      <c r="D17" s="2558" t="s">
        <v>225</v>
      </c>
      <c r="E17" s="2553"/>
      <c r="F17" s="2553" t="s">
        <v>1041</v>
      </c>
      <c r="G17" s="2553"/>
    </row>
    <row r="18" spans="2:7" x14ac:dyDescent="0.2">
      <c r="B18" s="2586" t="str">
        <f>IF(Présentation!$E$2="Français",'TRAD-Saisie données file act.'!D18,IF(Présentation!$E$2="Anglais",'TRAD-Saisie données file act.'!F18,""))</f>
        <v>Médicament 2</v>
      </c>
      <c r="D18" s="2558" t="s">
        <v>226</v>
      </c>
      <c r="E18" s="2553"/>
      <c r="F18" s="2553" t="s">
        <v>1042</v>
      </c>
      <c r="G18" s="2553"/>
    </row>
    <row r="19" spans="2:7" x14ac:dyDescent="0.2">
      <c r="B19" s="2586" t="str">
        <f>IF(Présentation!$E$2="Français",'TRAD-Saisie données file act.'!D19,IF(Présentation!$E$2="Anglais",'TRAD-Saisie données file act.'!F19,""))</f>
        <v>Médicament 3</v>
      </c>
      <c r="D19" s="2558" t="s">
        <v>229</v>
      </c>
      <c r="E19" s="2553"/>
      <c r="F19" s="2553" t="s">
        <v>1043</v>
      </c>
      <c r="G19" s="2553"/>
    </row>
    <row r="20" spans="2:7" x14ac:dyDescent="0.2">
      <c r="B20" s="2586" t="str">
        <f>IF(Présentation!$E$2="Français",'TRAD-Saisie données file act.'!D20,IF(Présentation!$E$2="Anglais",'TRAD-Saisie données file act.'!F20,""))</f>
        <v>Commentaires</v>
      </c>
      <c r="D20" s="2558" t="s">
        <v>62</v>
      </c>
      <c r="E20" s="2553"/>
      <c r="F20" s="2553" t="s">
        <v>1044</v>
      </c>
      <c r="G20" s="2553"/>
    </row>
    <row r="21" spans="2:7" ht="25.5" x14ac:dyDescent="0.2">
      <c r="B21" s="2586" t="str">
        <f>IF(Présentation!$E$2="Français",'TRAD-Saisie données file act.'!D21,IF(Présentation!$E$2="Anglais",'TRAD-Saisie données file act.'!F21,""))</f>
        <v>Dans ce cas on considère 1 boite et 15 cp de AZT+3TC+NVP le premier mois</v>
      </c>
      <c r="D21" s="2558" t="s">
        <v>241</v>
      </c>
      <c r="E21" s="2553"/>
      <c r="F21" s="2553" t="s">
        <v>1051</v>
      </c>
      <c r="G21" s="2553"/>
    </row>
    <row r="22" spans="2:7" ht="38.25" x14ac:dyDescent="0.2">
      <c r="B22" s="2586" t="str">
        <f>IF(Présentation!$E$2="Français",'TRAD-Saisie données file act.'!D22,IF(Présentation!$E$2="Anglais",'TRAD-Saisie données file act.'!F22,""))</f>
        <v>Dans ce cas, on considère pour le premier mois 30 cp d'AZT+3TC et 15 cp de NVP puis 1 boite d'AZT+3TC+NVP</v>
      </c>
      <c r="D22" s="2558" t="s">
        <v>244</v>
      </c>
      <c r="E22" s="2553"/>
      <c r="F22" s="2553" t="s">
        <v>1052</v>
      </c>
      <c r="G22" s="2553"/>
    </row>
    <row r="23" spans="2:7" ht="25.5" x14ac:dyDescent="0.2">
      <c r="B23" s="2586" t="str">
        <f>IF(Présentation!$E$2="Français",'TRAD-Saisie données file act.'!D23,IF(Présentation!$E$2="Anglais",'TRAD-Saisie données file act.'!F23,""))</f>
        <v>Dans ce cas on considère 1 boite et 15 cp de D4T+3TC+NVP le premier mois</v>
      </c>
      <c r="D23" s="2558" t="s">
        <v>242</v>
      </c>
      <c r="E23" s="2553"/>
      <c r="F23" s="2553" t="s">
        <v>1053</v>
      </c>
      <c r="G23" s="2553"/>
    </row>
    <row r="24" spans="2:7" ht="38.25" x14ac:dyDescent="0.2">
      <c r="B24" s="2586" t="str">
        <f>IF(Présentation!$E$2="Français",'TRAD-Saisie données file act.'!D24,IF(Présentation!$E$2="Anglais",'TRAD-Saisie données file act.'!F24,""))</f>
        <v>Dans ce cas, on considère pour le premier mois 30 cp d'D4T+3TC et 15 cp de NVP puis 1 boite de D4T+3TC+NVP</v>
      </c>
      <c r="D24" s="2558" t="s">
        <v>243</v>
      </c>
      <c r="E24" s="2553"/>
      <c r="F24" s="2553" t="s">
        <v>1054</v>
      </c>
      <c r="G24" s="2553"/>
    </row>
    <row r="25" spans="2:7" x14ac:dyDescent="0.2">
      <c r="B25" s="2586" t="str">
        <f>IF(Présentation!$E$2="Français",'TRAD-Saisie données file act.'!D25,IF(Présentation!$E$2="Anglais",'TRAD-Saisie données file act.'!F25,""))</f>
        <v>Formes solides (cp/gél/caps)</v>
      </c>
      <c r="D25" s="2589" t="s">
        <v>473</v>
      </c>
      <c r="E25" s="2553"/>
      <c r="F25" s="2553" t="s">
        <v>1055</v>
      </c>
      <c r="G25" s="2553"/>
    </row>
    <row r="26" spans="2:7" x14ac:dyDescent="0.2">
      <c r="B26" s="2586" t="str">
        <f>IF(Présentation!$E$2="Français",'TRAD-Saisie données file act.'!D26,IF(Présentation!$E$2="Anglais",'TRAD-Saisie données file act.'!F26,""))</f>
        <v>Composition</v>
      </c>
      <c r="D26" s="2589" t="s">
        <v>12</v>
      </c>
      <c r="E26" s="2553"/>
      <c r="F26" s="2553" t="s">
        <v>1045</v>
      </c>
      <c r="G26" s="2553"/>
    </row>
    <row r="27" spans="2:7" x14ac:dyDescent="0.2">
      <c r="B27" s="2586" t="str">
        <f>IF(Présentation!$E$2="Français",'TRAD-Saisie données file act.'!D27,IF(Présentation!$E$2="Anglais",'TRAD-Saisie données file act.'!F27,""))</f>
        <v>Dosage</v>
      </c>
      <c r="D27" s="2589" t="s">
        <v>14</v>
      </c>
      <c r="E27" s="2553"/>
      <c r="F27" s="2553" t="s">
        <v>981</v>
      </c>
      <c r="G27" s="2553"/>
    </row>
    <row r="28" spans="2:7" x14ac:dyDescent="0.2">
      <c r="B28" s="2586" t="str">
        <f>IF(Présentation!$E$2="Français",'TRAD-Saisie données file act.'!D28,IF(Présentation!$E$2="Anglais",'TRAD-Saisie données file act.'!F28,""))</f>
        <v>Posologies (nb de cp / jour)</v>
      </c>
      <c r="D28" s="2589" t="s">
        <v>479</v>
      </c>
      <c r="E28" s="2553"/>
      <c r="F28" s="2553" t="s">
        <v>1716</v>
      </c>
      <c r="G28" s="2553"/>
    </row>
    <row r="29" spans="2:7" x14ac:dyDescent="0.2">
      <c r="B29" s="2586" t="str">
        <f>IF(Présentation!$E$2="Français",'TRAD-Saisie données file act.'!D29,IF(Présentation!$E$2="Anglais",'TRAD-Saisie données file act.'!F29,""))</f>
        <v>Conditionnement</v>
      </c>
      <c r="D29" s="2589" t="s">
        <v>96</v>
      </c>
      <c r="E29" s="2553"/>
      <c r="F29" s="2553" t="s">
        <v>986</v>
      </c>
    </row>
    <row r="30" spans="2:7" x14ac:dyDescent="0.2">
      <c r="B30" s="2586" t="str">
        <f>IF(Présentation!$E$2="Français",'TRAD-Saisie données file act.'!D30,IF(Présentation!$E$2="Anglais",'TRAD-Saisie données file act.'!F30,""))</f>
        <v>Premières lignes</v>
      </c>
      <c r="D30" s="2560" t="s">
        <v>0</v>
      </c>
      <c r="F30" s="2558" t="s">
        <v>1056</v>
      </c>
    </row>
    <row r="31" spans="2:7" x14ac:dyDescent="0.2">
      <c r="B31" s="2586" t="str">
        <f>IF(Présentation!$E$2="Français",'TRAD-Saisie données file act.'!D31,IF(Présentation!$E$2="Anglais",'TRAD-Saisie données file act.'!F31,""))</f>
        <v>Deuxièmes lignes</v>
      </c>
      <c r="D31" s="2560" t="s">
        <v>6</v>
      </c>
      <c r="F31" s="2558" t="s">
        <v>1057</v>
      </c>
    </row>
    <row r="32" spans="2:7" x14ac:dyDescent="0.2">
      <c r="B32" s="2586" t="str">
        <f>IF(Présentation!$E$2="Français",'TRAD-Saisie données file act.'!D32,IF(Présentation!$E$2="Anglais",'TRAD-Saisie données file act.'!F32,""))</f>
        <v>Lignes alternatives</v>
      </c>
      <c r="D32" s="2560" t="s">
        <v>10</v>
      </c>
      <c r="F32" s="2558" t="s">
        <v>1058</v>
      </c>
    </row>
    <row r="33" spans="2:6" x14ac:dyDescent="0.2">
      <c r="B33" s="2586" t="str">
        <f>IF(Présentation!$E$2="Français",'TRAD-Saisie données file act.'!D33,IF(Présentation!$E$2="Anglais",'TRAD-Saisie données file act.'!F33,""))</f>
        <v>Nb de médicaments cochés</v>
      </c>
      <c r="D33" s="2589" t="s">
        <v>480</v>
      </c>
      <c r="F33" s="2558" t="s">
        <v>1059</v>
      </c>
    </row>
    <row r="34" spans="2:6" ht="51" x14ac:dyDescent="0.2">
      <c r="B34" s="2586" t="str">
        <f>IF(Présentation!$E$2="Français",'TRAD-Saisie données file act.'!D34,IF(Présentation!$E$2="Anglais",'TRAD-Saisie données file act.'!F34,""))</f>
        <v>Troisièmes lignes (contrairement aux parties du dessus, un même patient peut être comptabilisé ici dans plusieurs lignes)</v>
      </c>
      <c r="D34" s="2560" t="s">
        <v>658</v>
      </c>
      <c r="F34" s="2558" t="s">
        <v>1071</v>
      </c>
    </row>
    <row r="35" spans="2:6" x14ac:dyDescent="0.2">
      <c r="B35" s="2586" t="str">
        <f>IF(Présentation!$E$2="Français",'TRAD-Saisie données file act.'!D35,IF(Présentation!$E$2="Anglais",'TRAD-Saisie données file act.'!F35,""))</f>
        <v>Patients recevant TDF</v>
      </c>
      <c r="D35" s="2560" t="s">
        <v>659</v>
      </c>
      <c r="F35" s="2558" t="s">
        <v>1060</v>
      </c>
    </row>
    <row r="36" spans="2:6" x14ac:dyDescent="0.2">
      <c r="B36" s="2586" t="str">
        <f>IF(Présentation!$E$2="Français",'TRAD-Saisie données file act.'!D36,IF(Présentation!$E$2="Anglais",'TRAD-Saisie données file act.'!F36,""))</f>
        <v>Patients recevant AZT</v>
      </c>
      <c r="D36" s="2560" t="s">
        <v>660</v>
      </c>
      <c r="F36" s="2558" t="s">
        <v>1061</v>
      </c>
    </row>
    <row r="37" spans="2:6" x14ac:dyDescent="0.2">
      <c r="B37" s="2586" t="str">
        <f>IF(Présentation!$E$2="Français",'TRAD-Saisie données file act.'!D37,IF(Présentation!$E$2="Anglais",'TRAD-Saisie données file act.'!F37,""))</f>
        <v>Patients recevant 3TC</v>
      </c>
      <c r="D37" s="2560" t="s">
        <v>661</v>
      </c>
      <c r="F37" s="2558" t="s">
        <v>1072</v>
      </c>
    </row>
    <row r="38" spans="2:6" x14ac:dyDescent="0.2">
      <c r="B38" s="2586" t="str">
        <f>IF(Présentation!$E$2="Français",'TRAD-Saisie données file act.'!D38,IF(Présentation!$E$2="Anglais",'TRAD-Saisie données file act.'!F38,""))</f>
        <v>Patients recevant ABC</v>
      </c>
      <c r="D38" s="2560" t="s">
        <v>662</v>
      </c>
      <c r="F38" s="2558" t="s">
        <v>1062</v>
      </c>
    </row>
    <row r="39" spans="2:6" x14ac:dyDescent="0.2">
      <c r="B39" s="2586" t="str">
        <f>IF(Présentation!$E$2="Français",'TRAD-Saisie données file act.'!D39,IF(Présentation!$E$2="Anglais",'TRAD-Saisie données file act.'!F39,""))</f>
        <v>Patients recevant DDI 250</v>
      </c>
      <c r="D39" s="2560" t="s">
        <v>663</v>
      </c>
      <c r="F39" s="2558" t="s">
        <v>1063</v>
      </c>
    </row>
    <row r="40" spans="2:6" x14ac:dyDescent="0.2">
      <c r="B40" s="2586" t="str">
        <f>IF(Présentation!$E$2="Français",'TRAD-Saisie données file act.'!D40,IF(Présentation!$E$2="Anglais",'TRAD-Saisie données file act.'!F40,""))</f>
        <v>Patients recevant DDI 400</v>
      </c>
      <c r="D40" s="2560" t="s">
        <v>664</v>
      </c>
      <c r="F40" s="2558" t="s">
        <v>1064</v>
      </c>
    </row>
    <row r="41" spans="2:6" x14ac:dyDescent="0.2">
      <c r="B41" s="2586" t="str">
        <f>IF(Présentation!$E$2="Français",'TRAD-Saisie données file act.'!D41,IF(Présentation!$E$2="Anglais",'TRAD-Saisie données file act.'!F41,""))</f>
        <v>Patients recevant ATV+RTV</v>
      </c>
      <c r="D41" s="2560" t="s">
        <v>437</v>
      </c>
      <c r="F41" s="2558" t="s">
        <v>1065</v>
      </c>
    </row>
    <row r="42" spans="2:6" x14ac:dyDescent="0.2">
      <c r="B42" s="2586" t="str">
        <f>IF(Présentation!$E$2="Français",'TRAD-Saisie données file act.'!D42,IF(Présentation!$E$2="Anglais",'TRAD-Saisie données file act.'!F42,""))</f>
        <v>Patients recevant FPV+RTV</v>
      </c>
      <c r="D42" s="2560" t="s">
        <v>655</v>
      </c>
      <c r="F42" s="2558" t="s">
        <v>1066</v>
      </c>
    </row>
    <row r="43" spans="2:6" x14ac:dyDescent="0.2">
      <c r="B43" s="2586" t="str">
        <f>IF(Présentation!$E$2="Français",'TRAD-Saisie données file act.'!D43,IF(Présentation!$E$2="Anglais",'TRAD-Saisie données file act.'!F43,""))</f>
        <v>Patients recevant DRV+RTV</v>
      </c>
      <c r="D43" s="2560" t="s">
        <v>438</v>
      </c>
      <c r="F43" s="2558" t="s">
        <v>1067</v>
      </c>
    </row>
    <row r="44" spans="2:6" x14ac:dyDescent="0.2">
      <c r="B44" s="2586" t="str">
        <f>IF(Présentation!$E$2="Français",'TRAD-Saisie données file act.'!D44,IF(Présentation!$E$2="Anglais",'TRAD-Saisie données file act.'!F44,""))</f>
        <v>Patients recevant ETV</v>
      </c>
      <c r="D44" s="2560" t="s">
        <v>656</v>
      </c>
      <c r="F44" s="2558" t="s">
        <v>1068</v>
      </c>
    </row>
    <row r="45" spans="2:6" x14ac:dyDescent="0.2">
      <c r="B45" s="2586" t="str">
        <f>IF(Présentation!$E$2="Français",'TRAD-Saisie données file act.'!D45,IF(Présentation!$E$2="Anglais",'TRAD-Saisie données file act.'!F45,""))</f>
        <v>Patients recevant RPV</v>
      </c>
      <c r="D45" s="2560" t="s">
        <v>657</v>
      </c>
      <c r="F45" s="2558" t="s">
        <v>1069</v>
      </c>
    </row>
    <row r="46" spans="2:6" x14ac:dyDescent="0.2">
      <c r="B46" s="2586" t="str">
        <f>IF(Présentation!$E$2="Français",'TRAD-Saisie données file act.'!D46,IF(Présentation!$E$2="Anglais",'TRAD-Saisie données file act.'!F46,""))</f>
        <v>Patients recevant RLT</v>
      </c>
      <c r="D46" s="2560" t="s">
        <v>416</v>
      </c>
      <c r="F46" s="2558" t="s">
        <v>1070</v>
      </c>
    </row>
    <row r="47" spans="2:6" ht="38.25" x14ac:dyDescent="0.2">
      <c r="B47" s="2586" t="str">
        <f>IF(Présentation!$E$2="Français",'TRAD-Saisie données file act.'!D47,IF(Présentation!$E$2="Anglais",'TRAD-Saisie données file act.'!F47,""))</f>
        <v>B. Quelle est la répartition actuelle par schémas thérapeutiques pour les adultes déjà pris en charge ?</v>
      </c>
      <c r="D47" s="2563" t="s">
        <v>231</v>
      </c>
      <c r="F47" s="2558" t="s">
        <v>1743</v>
      </c>
    </row>
    <row r="48" spans="2:6" x14ac:dyDescent="0.2">
      <c r="B48" s="2586" t="str">
        <f>IF(Présentation!$E$2="Français",'TRAD-Saisie données file act.'!D48,IF(Présentation!$E$2="Anglais",'TRAD-Saisie données file act.'!F48,""))</f>
        <v xml:space="preserve">Nombre de patients </v>
      </c>
      <c r="D48" s="2558" t="s">
        <v>111</v>
      </c>
      <c r="F48" s="2558" t="s">
        <v>1073</v>
      </c>
    </row>
    <row r="49" spans="2:14" x14ac:dyDescent="0.2">
      <c r="B49" s="2586" t="str">
        <f>IF(Présentation!$E$2="Français",'TRAD-Saisie données file act.'!D49,IF(Présentation!$E$2="Anglais",'TRAD-Saisie données file act.'!F49,""))</f>
        <v>Nombre de patients mensuel</v>
      </c>
      <c r="D49" s="2558" t="s">
        <v>1160</v>
      </c>
      <c r="F49" s="2558" t="s">
        <v>1161</v>
      </c>
    </row>
    <row r="50" spans="2:14" ht="25.5" x14ac:dyDescent="0.2">
      <c r="B50" s="2586" t="str">
        <f>IF(Présentation!$E$2="Français",'TRAD-Saisie données file act.'!D50,IF(Présentation!$E$2="Anglais",'TRAD-Saisie données file act.'!F50,""))</f>
        <v>Nombre total de patients en première ligne (actuel + initiation du mois)</v>
      </c>
      <c r="D50" s="2558" t="s">
        <v>1945</v>
      </c>
      <c r="F50" s="2558" t="s">
        <v>1946</v>
      </c>
    </row>
    <row r="51" spans="2:14" ht="25.5" x14ac:dyDescent="0.2">
      <c r="B51" s="2586" t="str">
        <f>IF(Présentation!$E$2="Français",'TRAD-Saisie données file act.'!D51,IF(Présentation!$E$2="Anglais",'TRAD-Saisie données file act.'!F51,""))</f>
        <v>Nombre de nouveaux patients attendus en 2ème ligne par mois</v>
      </c>
      <c r="D51" s="2558" t="s">
        <v>1947</v>
      </c>
      <c r="F51" s="2558" t="s">
        <v>1948</v>
      </c>
    </row>
    <row r="52" spans="2:14" x14ac:dyDescent="0.2">
      <c r="B52" s="2586" t="str">
        <f>IF(Présentation!$E$2="Français",'TRAD-Saisie données file act.'!D52,IF(Présentation!$E$2="Anglais",'TRAD-Saisie données file act.'!F52,""))</f>
        <v>Troisièmes lignes</v>
      </c>
      <c r="D52" s="2558" t="s">
        <v>435</v>
      </c>
      <c r="E52" s="2655"/>
      <c r="F52" s="2558" t="s">
        <v>1074</v>
      </c>
    </row>
    <row r="53" spans="2:14" x14ac:dyDescent="0.2">
      <c r="B53" s="2586" t="str">
        <f>IF(Présentation!$E$2="Français",'TRAD-Saisie données file act.'!D53,IF(Présentation!$E$2="Anglais",'TRAD-Saisie données file act.'!F53,""))</f>
        <v>Option 1</v>
      </c>
      <c r="D53" s="2558" t="s">
        <v>1939</v>
      </c>
      <c r="E53" s="2655"/>
      <c r="F53" s="2558" t="s">
        <v>1939</v>
      </c>
    </row>
    <row r="54" spans="2:14" x14ac:dyDescent="0.2">
      <c r="B54" s="2586" t="str">
        <f>IF(Présentation!$E$2="Français",'TRAD-Saisie données file act.'!D54,IF(Présentation!$E$2="Anglais",'TRAD-Saisie données file act.'!F54,""))</f>
        <v>Option 2</v>
      </c>
      <c r="D54" s="2558" t="s">
        <v>1940</v>
      </c>
      <c r="E54" s="2655"/>
      <c r="F54" s="2558" t="s">
        <v>1940</v>
      </c>
    </row>
    <row r="55" spans="2:14" x14ac:dyDescent="0.2">
      <c r="B55" s="2586" t="str">
        <f>IF(Présentation!$E$2="Français",'TRAD-Saisie données file act.'!D55,IF(Présentation!$E$2="Anglais",'TRAD-Saisie données file act.'!F55,""))</f>
        <v>Option 3</v>
      </c>
      <c r="D55" s="2558" t="s">
        <v>1941</v>
      </c>
      <c r="E55" s="2655"/>
      <c r="F55" s="2558" t="s">
        <v>1941</v>
      </c>
    </row>
    <row r="56" spans="2:14" ht="25.5" x14ac:dyDescent="0.2">
      <c r="B56" s="2586" t="str">
        <f>IF(Présentation!$E$2="Français",'TRAD-Saisie données file act.'!D56,IF(Présentation!$E$2="Anglais",'TRAD-Saisie données file act.'!F56,""))</f>
        <v>C. Quelles sont les évolutions attendues dans la prise en charge des adultes ?</v>
      </c>
      <c r="D56" s="2563" t="s">
        <v>232</v>
      </c>
      <c r="F56" s="2558" t="s">
        <v>1703</v>
      </c>
    </row>
    <row r="57" spans="2:14" x14ac:dyDescent="0.2">
      <c r="B57" s="2586" t="str">
        <f>IF(Présentation!$E$2="Français",'TRAD-Saisie données file act.'!D57,IF(Présentation!$E$2="Anglais",'TRAD-Saisie données file act.'!F57,""))</f>
        <v>B.1. Initiations TARV</v>
      </c>
      <c r="D57" s="2563" t="s">
        <v>1930</v>
      </c>
      <c r="F57" s="2558" t="s">
        <v>1929</v>
      </c>
    </row>
    <row r="58" spans="2:14" x14ac:dyDescent="0.2">
      <c r="B58" s="2586" t="str">
        <f>IF(Présentation!$E$2="Français",'TRAD-Saisie données file act.'!D58,IF(Présentation!$E$2="Anglais",'TRAD-Saisie données file act.'!F58,""))</f>
        <v>Proportion %</v>
      </c>
      <c r="D58" s="2563" t="s">
        <v>1943</v>
      </c>
      <c r="F58" s="2558" t="s">
        <v>1943</v>
      </c>
    </row>
    <row r="59" spans="2:14" ht="51" x14ac:dyDescent="0.2">
      <c r="B59" s="2586" t="str">
        <f>IF(Présentation!$E$2="Français",'TRAD-Saisie données file act.'!D59,IF(Présentation!$E$2="Anglais",'TRAD-Saisie données file act.'!F59,""))</f>
        <v>Augmentation mensuelle du nombre de patients réellement suivi (= Nombre d'iniations mensuelles - attrition mensuelle) :</v>
      </c>
      <c r="D59" s="2563" t="s">
        <v>1931</v>
      </c>
      <c r="F59" s="2558" t="s">
        <v>1932</v>
      </c>
    </row>
    <row r="60" spans="2:14" ht="51" x14ac:dyDescent="0.2">
      <c r="B60" s="2586" t="str">
        <f>IF(Présentation!$E$2="Français",'TRAD-Saisie données file act.'!D60,IF(Présentation!$E$2="Anglais",'TRAD-Saisie données file act.'!F60,""))</f>
        <v>Attention, il s'agit de l'augmentation mensuelle du nombre de patients suivis et non du nombre d'initiations mensuelles !</v>
      </c>
      <c r="D60" s="2563" t="s">
        <v>1933</v>
      </c>
      <c r="F60" s="2558" t="s">
        <v>1934</v>
      </c>
    </row>
    <row r="61" spans="2:14" x14ac:dyDescent="0.2">
      <c r="B61" s="2586" t="str">
        <f>IF(Présentation!$E$2="Français",'TRAD-Saisie données file act.'!D61,IF(Présentation!$E$2="Anglais",'TRAD-Saisie données file act.'!F61,""))</f>
        <v>Nombre théorique de patients  attendus</v>
      </c>
      <c r="D61" s="2558" t="s">
        <v>117</v>
      </c>
      <c r="F61" s="2558" t="s">
        <v>1075</v>
      </c>
    </row>
    <row r="62" spans="2:14" x14ac:dyDescent="0.2">
      <c r="B62" s="2586" t="str">
        <f>IF(Présentation!$E$2="Français",'TRAD-Saisie données file act.'!D62,IF(Présentation!$E$2="Anglais",'TRAD-Saisie données file act.'!F62,""))</f>
        <v>Remarque</v>
      </c>
      <c r="D62" s="2558" t="s">
        <v>67</v>
      </c>
      <c r="F62" s="2558" t="s">
        <v>1076</v>
      </c>
      <c r="G62" s="2553"/>
      <c r="H62" s="2553"/>
      <c r="I62" s="2553"/>
      <c r="J62" s="2553"/>
      <c r="K62" s="2553"/>
      <c r="L62" s="2553"/>
      <c r="M62" s="2553"/>
      <c r="N62" s="2553"/>
    </row>
    <row r="63" spans="2:14" ht="89.25" x14ac:dyDescent="0.2">
      <c r="B63" s="2586" t="str">
        <f>IF(Présentation!$E$2="Français",'TRAD-Saisie données file act.'!D63,IF(Présentation!$E$2="Anglais",'TRAD-Saisie données file act.'!F63,""))</f>
        <v>En cas d'incertitude sur la répartition attendue, il est possible de prendre des marges (X-Y %) et de ne considérer dans ce tableau que les marges hautes. Le total peut donc faire plus de 100%. Toutefois, le stock de sécurité doit être prévu pour permettre de tels imprevus</v>
      </c>
      <c r="D63" s="2558" t="s">
        <v>1956</v>
      </c>
      <c r="E63" s="2553"/>
      <c r="F63" s="2553" t="s">
        <v>1957</v>
      </c>
    </row>
    <row r="64" spans="2:14" x14ac:dyDescent="0.2">
      <c r="B64" s="2586" t="str">
        <f>IF(Présentation!$E$2="Français",'TRAD-Saisie données file act.'!D64,IF(Présentation!$E$2="Anglais",'TRAD-Saisie données file act.'!F64,""))</f>
        <v>B.2. Passage en 2ème ligne</v>
      </c>
      <c r="D64" s="2563" t="s">
        <v>112</v>
      </c>
      <c r="F64" s="2558" t="s">
        <v>1077</v>
      </c>
    </row>
    <row r="65" spans="2:17" x14ac:dyDescent="0.2">
      <c r="B65" s="2586" t="str">
        <f>IF(Présentation!$E$2="Français",'TRAD-Saisie données file act.'!D65,IF(Présentation!$E$2="Anglais",'TRAD-Saisie données file act.'!F65,""))</f>
        <v>Proportion de passage mensuel envisagé</v>
      </c>
      <c r="D65" s="2563" t="s">
        <v>113</v>
      </c>
      <c r="F65" s="2558" t="s">
        <v>1081</v>
      </c>
    </row>
    <row r="66" spans="2:17" ht="38.25" x14ac:dyDescent="0.2">
      <c r="B66" s="2586" t="str">
        <f>IF(Présentation!$E$2="Français",'TRAD-Saisie données file act.'!D66,IF(Présentation!$E$2="Anglais",'TRAD-Saisie données file act.'!F66,""))</f>
        <v>On peut estimer que 3 % des patients passent en 2ème ligne / an. Cela fait donc un passage mensuel de 0,25%</v>
      </c>
      <c r="D66" s="2558" t="s">
        <v>436</v>
      </c>
      <c r="F66" s="2558" t="s">
        <v>1708</v>
      </c>
    </row>
    <row r="67" spans="2:17" x14ac:dyDescent="0.2">
      <c r="B67" s="2586" t="str">
        <f>IF(Présentation!$E$2="Français",'TRAD-Saisie données file act.'!D67,IF(Présentation!$E$2="Anglais",'TRAD-Saisie données file act.'!F67,""))</f>
        <v>Cela représente donc :</v>
      </c>
      <c r="D67" s="2558" t="s">
        <v>115</v>
      </c>
      <c r="F67" s="2558" t="s">
        <v>1078</v>
      </c>
    </row>
    <row r="68" spans="2:17" x14ac:dyDescent="0.2">
      <c r="B68" s="2586" t="str">
        <f>IF(Présentation!$E$2="Français",'TRAD-Saisie données file act.'!D68,IF(Présentation!$E$2="Anglais",'TRAD-Saisie données file act.'!F68,""))</f>
        <v>patients / mois</v>
      </c>
      <c r="D68" s="2558" t="s">
        <v>116</v>
      </c>
      <c r="F68" s="2558" t="s">
        <v>1079</v>
      </c>
    </row>
    <row r="69" spans="2:17" ht="25.5" x14ac:dyDescent="0.2">
      <c r="B69" s="2586" t="str">
        <f>IF(Présentation!$E$2="Français",'TRAD-Saisie données file act.'!D69,IF(Présentation!$E$2="Anglais",'TRAD-Saisie données file act.'!F69,""))</f>
        <v>Souhaitez vous faire sortir les patients de première ligne ?</v>
      </c>
      <c r="D69" s="2558" t="s">
        <v>1959</v>
      </c>
      <c r="F69" s="2558" t="s">
        <v>1958</v>
      </c>
    </row>
    <row r="70" spans="2:17" ht="38.25" x14ac:dyDescent="0.2">
      <c r="B70" s="2586" t="str">
        <f>IF(Présentation!$E$2="Français",'TRAD-Saisie données file act.'!D70,IF(Présentation!$E$2="Anglais",'TRAD-Saisie données file act.'!F70,""))</f>
        <v>Si oui, précisez la proportion (100% = l'ensemble des patients passés en 2ème ligne sont sortis de première ligne)</v>
      </c>
      <c r="D70" s="2558" t="s">
        <v>1960</v>
      </c>
      <c r="F70" s="2558" t="s">
        <v>1961</v>
      </c>
    </row>
    <row r="71" spans="2:17" ht="51" x14ac:dyDescent="0.2">
      <c r="B71" s="2586" t="str">
        <f>IF(Présentation!$E$2="Français",'TRAD-Saisie données file act.'!D71,IF(Présentation!$E$2="Anglais",'TRAD-Saisie données file act.'!F71,""))</f>
        <v>Pour chaque schéma de première ligne, précisez le(s) schéma(s) de 2ème ligne souhaité(s) à l'aide des menus déroulants</v>
      </c>
      <c r="D71" s="2558" t="s">
        <v>1951</v>
      </c>
      <c r="F71" s="2558" t="s">
        <v>1953</v>
      </c>
    </row>
    <row r="72" spans="2:17" ht="38.25" x14ac:dyDescent="0.2">
      <c r="B72" s="2586" t="str">
        <f>IF(Présentation!$E$2="Français",'TRAD-Saisie données file act.'!D72,IF(Présentation!$E$2="Anglais",'TRAD-Saisie données file act.'!F72,""))</f>
        <v>Ensuite, pour chacun des schémas sélectionnés, précisez ensuite les proportions attendues</v>
      </c>
      <c r="D72" s="2558" t="s">
        <v>1965</v>
      </c>
      <c r="F72" s="2558" t="s">
        <v>1954</v>
      </c>
    </row>
    <row r="73" spans="2:17" ht="51" x14ac:dyDescent="0.2">
      <c r="B73" s="2586" t="str">
        <f>IF(Présentation!$E$2="Français",'TRAD-Saisie données file act.'!D73,IF(Présentation!$E$2="Anglais",'TRAD-Saisie données file act.'!F73,""))</f>
        <v>Si vous changez le détail des schémas dans le tableau 1 tout en haut de cette feuille, vous devez actualiser la sélection des schémas dans ce tableau</v>
      </c>
      <c r="D73" s="2558" t="s">
        <v>1952</v>
      </c>
      <c r="F73" s="2558" t="s">
        <v>1955</v>
      </c>
    </row>
    <row r="74" spans="2:17" x14ac:dyDescent="0.2">
      <c r="B74" s="2586" t="str">
        <f>IF(Présentation!$E$2="Français",'TRAD-Saisie données file act.'!D74,IF(Présentation!$E$2="Anglais",'TRAD-Saisie données file act.'!F74,""))</f>
        <v>B.3. Passage en 3ème ligne</v>
      </c>
      <c r="D74" s="2563" t="s">
        <v>439</v>
      </c>
      <c r="F74" s="2558" t="s">
        <v>1080</v>
      </c>
    </row>
    <row r="75" spans="2:17" ht="25.5" x14ac:dyDescent="0.2">
      <c r="B75" s="2586" t="str">
        <f>IF(Présentation!$E$2="Français",'TRAD-Saisie données file act.'!D75,IF(Présentation!$E$2="Anglais",'TRAD-Saisie données file act.'!F75,""))</f>
        <v>Proportion de passage mensuel envisagé (/2ème ligne)</v>
      </c>
      <c r="D75" s="2563" t="s">
        <v>1030</v>
      </c>
      <c r="F75" s="2558" t="s">
        <v>1082</v>
      </c>
    </row>
    <row r="76" spans="2:17" ht="51" x14ac:dyDescent="0.2">
      <c r="B76" s="2586" t="str">
        <f>IF(Présentation!$E$2="Français",'TRAD-Saisie données file act.'!D76,IF(Présentation!$E$2="Anglais",'TRAD-Saisie données file act.'!F76,""))</f>
        <v>On peut estimer que 3 % des patients passent de 2ème ligne en 3ème ligne / an. Cela fait donc un passage mensuel de 0,25%</v>
      </c>
      <c r="D76" s="2558" t="s">
        <v>440</v>
      </c>
      <c r="F76" s="2558" t="s">
        <v>1085</v>
      </c>
    </row>
    <row r="77" spans="2:17" ht="51" x14ac:dyDescent="0.2">
      <c r="B77" s="2586" t="str">
        <f>IF(Présentation!$E$2="Français",'TRAD-Saisie données file act.'!D77,IF(Présentation!$E$2="Anglais",'TRAD-Saisie données file act.'!F77,""))</f>
        <v>Attention, étant donné qu'un même patient peut rentrer dans plusieurs cases, pour composer une trithérapie, le total doit être au moins de 300%</v>
      </c>
      <c r="D77" s="2558" t="s">
        <v>665</v>
      </c>
      <c r="F77" s="2558" t="s">
        <v>1709</v>
      </c>
    </row>
    <row r="78" spans="2:17" ht="51" x14ac:dyDescent="0.2">
      <c r="B78" s="2586" t="str">
        <f>IF(Présentation!$E$2="Français",'TRAD-Saisie données file act.'!D78,IF(Présentation!$E$2="Anglais",'TRAD-Saisie données file act.'!F78,""))</f>
        <v>Pour simplifier la méthode, il n'a pas été prévu de pouvoir prendre en compte les combinaisons doubles (AZT¨+3TC, TDF+3TC, ABC+3TC)</v>
      </c>
      <c r="D78" s="2558" t="s">
        <v>666</v>
      </c>
      <c r="F78" s="2558" t="s">
        <v>1710</v>
      </c>
      <c r="G78" s="2562"/>
      <c r="H78" s="2562"/>
      <c r="I78" s="2562"/>
      <c r="J78" s="2562"/>
      <c r="K78" s="2562"/>
      <c r="L78" s="2562"/>
      <c r="M78" s="2562"/>
      <c r="N78" s="2562"/>
      <c r="O78" s="2562"/>
      <c r="P78" s="2562"/>
      <c r="Q78" s="2562"/>
    </row>
    <row r="79" spans="2:17" ht="25.5" x14ac:dyDescent="0.2">
      <c r="B79" s="2586" t="str">
        <f>IF(Présentation!$E$2="Français",'TRAD-Saisie données file act.'!D79,IF(Présentation!$E$2="Anglais",'TRAD-Saisie données file act.'!F79,""))</f>
        <v>Etape 2 : Données de prise en charge des enfants</v>
      </c>
      <c r="D79" s="2563" t="s">
        <v>1031</v>
      </c>
      <c r="E79" s="2562"/>
      <c r="F79" s="2562" t="s">
        <v>1706</v>
      </c>
    </row>
    <row r="80" spans="2:17" ht="63.75" x14ac:dyDescent="0.2">
      <c r="B80" s="2586" t="str">
        <f>IF(Présentation!$E$2="Français",'TRAD-Saisie données file act.'!D80,IF(Présentation!$E$2="Anglais",'TRAD-Saisie données file act.'!F80,""))</f>
        <v>Pour ne pas alourdir le document, la sélection des médicaments pédiatriques souhaités pour chaque schéma thérapeutique se trouve plus bas, à partir de la ligne 444</v>
      </c>
      <c r="D80" s="2563" t="s">
        <v>864</v>
      </c>
      <c r="F80" s="2558" t="s">
        <v>1711</v>
      </c>
    </row>
    <row r="81" spans="2:19" ht="25.5" x14ac:dyDescent="0.2">
      <c r="B81" s="2586" t="str">
        <f>IF(Présentation!$E$2="Français",'TRAD-Saisie données file act.'!D81,IF(Présentation!$E$2="Anglais",'TRAD-Saisie données file act.'!F81,""))</f>
        <v>B. Quelle est la répartition actuelle pour les enfants déjà pris en charge ?</v>
      </c>
      <c r="D81" s="2563" t="s">
        <v>423</v>
      </c>
      <c r="F81" s="2558" t="s">
        <v>1744</v>
      </c>
    </row>
    <row r="82" spans="2:19" ht="25.5" x14ac:dyDescent="0.2">
      <c r="B82" s="2586" t="str">
        <f>IF(Présentation!$E$2="Français",'TRAD-Saisie données file act.'!D82,IF(Présentation!$E$2="Anglais",'TRAD-Saisie données file act.'!F82,""))</f>
        <v>B.1. Répartition par schémas thérapeutiques</v>
      </c>
      <c r="D82" s="2563" t="s">
        <v>424</v>
      </c>
      <c r="F82" s="2558" t="s">
        <v>1086</v>
      </c>
    </row>
    <row r="83" spans="2:19" ht="25.5" x14ac:dyDescent="0.2">
      <c r="B83" s="2586" t="str">
        <f>IF(Présentation!$E$2="Français",'TRAD-Saisie données file act.'!D83,IF(Présentation!$E$2="Anglais",'TRAD-Saisie données file act.'!F83,""))</f>
        <v>Nb d'enfants au début de la période quantifiée</v>
      </c>
      <c r="D83" s="2558" t="s">
        <v>118</v>
      </c>
      <c r="F83" s="2558" t="s">
        <v>1705</v>
      </c>
    </row>
    <row r="84" spans="2:19" x14ac:dyDescent="0.2">
      <c r="B84" s="2586" t="str">
        <f>IF(Présentation!$E$2="Français",'TRAD-Saisie données file act.'!D84,IF(Présentation!$E$2="Anglais",'TRAD-Saisie données file act.'!F84,""))</f>
        <v>B.2. Répartition par tranches de poids</v>
      </c>
      <c r="D84" s="2563" t="s">
        <v>425</v>
      </c>
      <c r="F84" s="2558" t="s">
        <v>1087</v>
      </c>
      <c r="S84" s="2558" t="s">
        <v>1083</v>
      </c>
    </row>
    <row r="85" spans="2:19" x14ac:dyDescent="0.2">
      <c r="B85" s="2586" t="str">
        <f>IF(Présentation!$E$2="Français",'TRAD-Saisie données file act.'!D85,IF(Présentation!$E$2="Anglais",'TRAD-Saisie données file act.'!F85,""))</f>
        <v>Poids (kg)</v>
      </c>
      <c r="D85" s="2563" t="s">
        <v>68</v>
      </c>
      <c r="F85" s="2558" t="s">
        <v>1315</v>
      </c>
    </row>
    <row r="86" spans="2:19" x14ac:dyDescent="0.2">
      <c r="B86" s="2586" t="str">
        <f>IF(Présentation!$E$2="Français",'TRAD-Saisie données file act.'!D86,IF(Présentation!$E$2="Anglais",'TRAD-Saisie données file act.'!F86,""))</f>
        <v>Pourcentage</v>
      </c>
      <c r="D86" s="2563" t="s">
        <v>69</v>
      </c>
      <c r="F86" s="2558" t="s">
        <v>1084</v>
      </c>
    </row>
    <row r="87" spans="2:19" ht="38.25" x14ac:dyDescent="0.2">
      <c r="B87" s="2586" t="str">
        <f>IF(Présentation!$E$2="Français",'TRAD-Saisie données file act.'!D87,IF(Présentation!$E$2="Anglais",'TRAD-Saisie données file act.'!F87,""))</f>
        <v>Cette répartition s'applique à l'ensemble des patients et non uniquement aux premières lignes ni aux inclusions</v>
      </c>
      <c r="D87" s="2563" t="s">
        <v>70</v>
      </c>
      <c r="F87" s="2558" t="s">
        <v>1088</v>
      </c>
    </row>
    <row r="88" spans="2:19" ht="38.25" x14ac:dyDescent="0.2">
      <c r="B88" s="2586" t="str">
        <f>IF(Présentation!$E$2="Français",'TRAD-Saisie données file act.'!D88,IF(Présentation!$E$2="Anglais",'TRAD-Saisie données file act.'!F88,""))</f>
        <v>Elle peut dépasser 100% pour permettre la disponibilité de marges de sécurité pour chaque tranche de poids</v>
      </c>
      <c r="D88" s="2563" t="s">
        <v>185</v>
      </c>
      <c r="F88" s="2558" t="s">
        <v>1089</v>
      </c>
    </row>
    <row r="89" spans="2:19" ht="25.5" x14ac:dyDescent="0.2">
      <c r="B89" s="2586" t="str">
        <f>IF(Présentation!$E$2="Français",'TRAD-Saisie données file act.'!D89,IF(Présentation!$E$2="Anglais",'TRAD-Saisie données file act.'!F89,""))</f>
        <v>C. Quelles sont les évolutions attendues dans la prise en charge des enfants ?</v>
      </c>
      <c r="D89" s="2563" t="s">
        <v>426</v>
      </c>
      <c r="F89" s="2558" t="s">
        <v>1704</v>
      </c>
    </row>
    <row r="90" spans="2:19" x14ac:dyDescent="0.2">
      <c r="B90" s="2586" t="str">
        <f>IF(Présentation!$E$2="Français",'TRAD-Saisie données file act.'!D90,IF(Présentation!$E$2="Anglais",'TRAD-Saisie données file act.'!F90,""))</f>
        <v>C.1. Inclusions</v>
      </c>
      <c r="D90" s="2563" t="s">
        <v>427</v>
      </c>
      <c r="F90" s="2558" t="s">
        <v>427</v>
      </c>
    </row>
    <row r="91" spans="2:19" ht="25.5" x14ac:dyDescent="0.2">
      <c r="B91" s="2586" t="str">
        <f>IF(Présentation!$E$2="Français",'TRAD-Saisie données file act.'!D91,IF(Présentation!$E$2="Anglais",'TRAD-Saisie données file act.'!F91,""))</f>
        <v>Préciser les hypothèses de répartition envisagées en % dans le tableau suivant</v>
      </c>
      <c r="D91" s="2563" t="s">
        <v>119</v>
      </c>
      <c r="F91" s="2558" t="s">
        <v>1090</v>
      </c>
      <c r="G91" s="2562"/>
      <c r="H91" s="2562"/>
      <c r="I91" s="2562"/>
      <c r="J91" s="2562"/>
      <c r="K91" s="2562"/>
      <c r="L91" s="2562"/>
      <c r="M91" s="2562"/>
      <c r="N91" s="2562"/>
    </row>
    <row r="92" spans="2:19" ht="63.75" x14ac:dyDescent="0.2">
      <c r="B92" s="2586" t="str">
        <f>IF(Présentation!$E$2="Français",'TRAD-Saisie données file act.'!D92,IF(Présentation!$E$2="Anglais",'TRAD-Saisie données file act.'!F92,""))</f>
        <v>En cas d'incertitude sur la répartition attendue, il est possible de prendre des marges (X-Y %) et de ne considérer dans ce tableau que les marges hautes. 
Le total peut donc faire plus de 100%</v>
      </c>
      <c r="D92" s="2563" t="s">
        <v>73</v>
      </c>
      <c r="E92" s="2562"/>
      <c r="F92" s="2562" t="s">
        <v>1091</v>
      </c>
      <c r="G92" s="2562"/>
      <c r="H92" s="2562"/>
      <c r="I92" s="2562"/>
      <c r="J92" s="2562"/>
      <c r="K92" s="2562"/>
      <c r="L92" s="2562"/>
      <c r="M92" s="2562"/>
      <c r="N92" s="2562"/>
    </row>
    <row r="93" spans="2:19" x14ac:dyDescent="0.2">
      <c r="B93" s="2586" t="str">
        <f>IF(Présentation!$E$2="Français",'TRAD-Saisie données file act.'!D93,IF(Présentation!$E$2="Anglais",'TRAD-Saisie données file act.'!F93,""))</f>
        <v>Le total peut donc faire plus de 100%"</v>
      </c>
      <c r="D93" s="2563" t="s">
        <v>1092</v>
      </c>
      <c r="E93" s="2562"/>
      <c r="F93" s="2562" t="s">
        <v>1093</v>
      </c>
    </row>
    <row r="94" spans="2:19" x14ac:dyDescent="0.2">
      <c r="B94" s="2586" t="str">
        <f>IF(Présentation!$E$2="Français",'TRAD-Saisie données file act.'!D94,IF(Présentation!$E$2="Anglais",'TRAD-Saisie données file act.'!F94,""))</f>
        <v>C.2. Passage en 2ème ligne</v>
      </c>
      <c r="D94" s="2563" t="s">
        <v>428</v>
      </c>
      <c r="F94" s="2558" t="s">
        <v>1094</v>
      </c>
    </row>
    <row r="95" spans="2:19" ht="38.25" x14ac:dyDescent="0.2">
      <c r="B95" s="2586" t="str">
        <f>IF(Présentation!$E$2="Français",'TRAD-Saisie données file act.'!D95,IF(Présentation!$E$2="Anglais",'TRAD-Saisie données file act.'!F95,""))</f>
        <v>On estime que 3 % des patients passent en 2ème ligne / an. Cela fait donc un passage mensuel de 0,25%</v>
      </c>
      <c r="D95" s="2558" t="s">
        <v>114</v>
      </c>
      <c r="F95" s="2558" t="s">
        <v>1095</v>
      </c>
    </row>
    <row r="96" spans="2:19" x14ac:dyDescent="0.2">
      <c r="B96" s="2586" t="str">
        <f>IF(Présentation!$E$2="Français",'TRAD-Saisie données file act.'!D96,IF(Présentation!$E$2="Anglais",'TRAD-Saisie données file act.'!F96,""))</f>
        <v>Nombre théorique d'enfants  attendus</v>
      </c>
      <c r="D96" s="2558" t="s">
        <v>250</v>
      </c>
      <c r="F96" s="2558" t="s">
        <v>1096</v>
      </c>
      <c r="G96" s="2562"/>
      <c r="H96" s="2562"/>
      <c r="I96" s="2562"/>
      <c r="J96" s="2562"/>
      <c r="K96" s="2562"/>
      <c r="L96" s="2562"/>
      <c r="M96" s="2562"/>
      <c r="N96" s="2562"/>
      <c r="O96" s="2562"/>
      <c r="P96" s="2562"/>
      <c r="Q96" s="2562"/>
    </row>
    <row r="97" spans="2:14" ht="25.5" x14ac:dyDescent="0.2">
      <c r="B97" s="2586" t="str">
        <f>IF(Présentation!$E$2="Français",'TRAD-Saisie données file act.'!D97,IF(Présentation!$E$2="Anglais",'TRAD-Saisie données file act.'!F97,""))</f>
        <v>Etape 2 : Sélection des formes pédiatriques</v>
      </c>
      <c r="D97" s="2563" t="s">
        <v>1032</v>
      </c>
      <c r="E97" s="2562"/>
      <c r="F97" s="2562" t="s">
        <v>1707</v>
      </c>
    </row>
    <row r="98" spans="2:14" x14ac:dyDescent="0.2">
      <c r="B98" s="2586" t="str">
        <f>IF(Présentation!$E$2="Français",'TRAD-Saisie données file act.'!D98,IF(Présentation!$E$2="Anglais",'TRAD-Saisie données file act.'!F98,""))</f>
        <v>Commentaire</v>
      </c>
      <c r="D98" s="2558" t="s">
        <v>481</v>
      </c>
      <c r="E98" s="2563"/>
      <c r="F98" s="2558" t="s">
        <v>1097</v>
      </c>
    </row>
    <row r="99" spans="2:14" x14ac:dyDescent="0.2">
      <c r="B99" s="2586" t="str">
        <f>IF(Présentation!$E$2="Français",'TRAD-Saisie données file act.'!D99,IF(Présentation!$E$2="Anglais",'TRAD-Saisie données file act.'!F99,""))</f>
        <v>Consigne d'utilisation</v>
      </c>
      <c r="D99" s="2558" t="s">
        <v>1949</v>
      </c>
      <c r="F99" s="2558" t="s">
        <v>1950</v>
      </c>
      <c r="G99" s="2553"/>
      <c r="H99" s="2553"/>
      <c r="I99" s="2553"/>
      <c r="J99" s="2553"/>
      <c r="K99" s="2553"/>
      <c r="L99" s="2553"/>
      <c r="M99" s="2553"/>
      <c r="N99" s="2553"/>
    </row>
    <row r="100" spans="2:14" ht="25.5" x14ac:dyDescent="0.2">
      <c r="B100" s="2586" t="str">
        <f>IF(Présentation!$E$2="Français",'TRAD-Saisie données file act.'!D100,IF(Présentation!$E$2="Anglais",'TRAD-Saisie données file act.'!F100,""))</f>
        <v>Choisir les formes que vous souhaitez pour chacun des schémas thérapeutiques</v>
      </c>
      <c r="D100" s="2558" t="s">
        <v>771</v>
      </c>
      <c r="E100" s="2553"/>
      <c r="F100" s="2553" t="s">
        <v>1100</v>
      </c>
      <c r="G100" s="2553"/>
      <c r="H100" s="2553"/>
      <c r="I100" s="2553"/>
      <c r="J100" s="2553"/>
      <c r="K100" s="2553"/>
      <c r="L100" s="2553"/>
      <c r="M100" s="2553"/>
      <c r="N100" s="2553"/>
    </row>
    <row r="101" spans="2:14" ht="25.5" x14ac:dyDescent="0.2">
      <c r="B101" s="2586" t="str">
        <f>IF(Présentation!$E$2="Français",'TRAD-Saisie données file act.'!D101,IF(Présentation!$E$2="Anglais",'TRAD-Saisie données file act.'!F101,""))</f>
        <v>Certaines options sont possibles pour certains schémas thérapeutiques</v>
      </c>
      <c r="D101" s="2558" t="s">
        <v>514</v>
      </c>
      <c r="E101" s="2553"/>
      <c r="F101" s="2553" t="s">
        <v>1098</v>
      </c>
      <c r="G101" s="2553"/>
      <c r="H101" s="2553"/>
      <c r="I101" s="2553"/>
      <c r="J101" s="2553"/>
      <c r="K101" s="2553"/>
      <c r="L101" s="2553"/>
      <c r="M101" s="2553"/>
      <c r="N101" s="2553"/>
    </row>
    <row r="102" spans="2:14" ht="25.5" x14ac:dyDescent="0.2">
      <c r="B102" s="2586" t="str">
        <f>IF(Présentation!$E$2="Français",'TRAD-Saisie données file act.'!D102,IF(Présentation!$E$2="Anglais",'TRAD-Saisie données file act.'!F102,""))</f>
        <v>Pour cela mettre un X majuscule dans la case sélection pour l'option retenue</v>
      </c>
      <c r="D102" s="2558" t="s">
        <v>515</v>
      </c>
      <c r="E102" s="2553"/>
      <c r="F102" s="2553" t="s">
        <v>1101</v>
      </c>
      <c r="G102" s="2553"/>
      <c r="H102" s="2553"/>
      <c r="I102" s="2553"/>
      <c r="J102" s="2553"/>
      <c r="K102" s="2553"/>
      <c r="L102" s="2553"/>
      <c r="M102" s="2553"/>
      <c r="N102" s="2553"/>
    </row>
    <row r="103" spans="2:14" ht="38.25" x14ac:dyDescent="0.2">
      <c r="B103" s="2586" t="str">
        <f>IF(Présentation!$E$2="Français",'TRAD-Saisie données file act.'!D103,IF(Présentation!$E$2="Anglais",'TRAD-Saisie données file act.'!F103,""))</f>
        <v>Ces données seront prises en compte pour les patients sous traitement et pour les inclusions</v>
      </c>
      <c r="D103" s="2558" t="s">
        <v>234</v>
      </c>
      <c r="E103" s="2553"/>
      <c r="F103" s="2553" t="s">
        <v>1099</v>
      </c>
      <c r="G103" s="2553"/>
      <c r="H103" s="2553"/>
      <c r="I103" s="2553"/>
      <c r="J103" s="2553"/>
      <c r="K103" s="2553"/>
      <c r="L103" s="2553"/>
      <c r="M103" s="2553"/>
      <c r="N103" s="2553"/>
    </row>
    <row r="104" spans="2:14" ht="51" x14ac:dyDescent="0.2">
      <c r="B104" s="2586" t="str">
        <f>IF(Présentation!$E$2="Français",'TRAD-Saisie données file act.'!D104,IF(Présentation!$E$2="Anglais",'TRAD-Saisie données file act.'!F104,""))</f>
        <v>Ce système d'évaluation de la couverture ne permet pas de répartir la couverture en séquences liées à l'utilisation d'une forme galénique puis d'une suivante.</v>
      </c>
      <c r="D104" s="2558" t="s">
        <v>422</v>
      </c>
      <c r="E104" s="2553"/>
      <c r="F104" s="2553" t="s">
        <v>1102</v>
      </c>
      <c r="G104" s="2553"/>
      <c r="H104" s="2553"/>
      <c r="I104" s="2553"/>
      <c r="J104" s="2553"/>
      <c r="K104" s="2553"/>
      <c r="L104" s="2553"/>
      <c r="M104" s="2553"/>
      <c r="N104" s="2553"/>
    </row>
    <row r="105" spans="2:14" ht="51" x14ac:dyDescent="0.2">
      <c r="B105" s="2586" t="str">
        <f>IF(Présentation!$E$2="Français",'TRAD-Saisie données file act.'!D105,IF(Présentation!$E$2="Anglais",'TRAD-Saisie données file act.'!F105,""))</f>
        <v>Ces choix concernent uniquement les enfants de 3 à 15 kg. Pour les tranches de poids supérieures, les formes adultes sont automatiquement prises en compte.</v>
      </c>
      <c r="D105" s="2558" t="s">
        <v>516</v>
      </c>
      <c r="E105" s="2553"/>
      <c r="F105" s="2553" t="s">
        <v>1103</v>
      </c>
      <c r="G105" s="2553"/>
      <c r="H105" s="2553"/>
      <c r="I105" s="2553"/>
      <c r="J105" s="2553"/>
      <c r="K105" s="2553"/>
      <c r="L105" s="2553"/>
      <c r="M105" s="2553"/>
      <c r="N105" s="2553"/>
    </row>
    <row r="106" spans="2:14" ht="51" x14ac:dyDescent="0.2">
      <c r="B106" s="2586" t="str">
        <f>IF(Présentation!$E$2="Français",'TRAD-Saisie données file act.'!D106,IF(Présentation!$E$2="Anglais",'TRAD-Saisie données file act.'!F106,""))</f>
        <v>Ces choix ne concernent pas la période d'initiation du traitement à base de NVP. Nous avons considéré qu'il se faisait avec les formes simples en sol. buv.</v>
      </c>
      <c r="D106" s="2558" t="s">
        <v>421</v>
      </c>
      <c r="E106" s="2553"/>
      <c r="F106" s="2553" t="s">
        <v>1104</v>
      </c>
    </row>
    <row r="107" spans="2:14" x14ac:dyDescent="0.2">
      <c r="B107" s="2586" t="str">
        <f>IF(Présentation!$E$2="Français",'TRAD-Saisie données file act.'!D107,IF(Présentation!$E$2="Anglais",'TRAD-Saisie données file act.'!F107,""))</f>
        <v>Attention</v>
      </c>
      <c r="D107" s="2558" t="s">
        <v>230</v>
      </c>
      <c r="F107" s="2558" t="s">
        <v>1036</v>
      </c>
      <c r="G107" s="2553"/>
      <c r="H107" s="2553"/>
      <c r="I107" s="2553"/>
      <c r="J107" s="2553"/>
      <c r="K107" s="2553"/>
      <c r="L107" s="2553"/>
      <c r="M107" s="2553"/>
      <c r="N107" s="2553"/>
    </row>
    <row r="108" spans="2:14" ht="38.25" x14ac:dyDescent="0.2">
      <c r="B108" s="2586" t="str">
        <f>IF(Présentation!$E$2="Français",'TRAD-Saisie données file act.'!D108,IF(Présentation!$E$2="Anglais",'TRAD-Saisie données file act.'!F108,""))</f>
        <v>Il ne faut sélectionner qu'une combinaison ou formulation d'un ARV pour un même schéma thérapeutique</v>
      </c>
      <c r="D108" s="2558" t="s">
        <v>751</v>
      </c>
      <c r="E108" s="2553"/>
      <c r="F108" s="2553" t="s">
        <v>1116</v>
      </c>
      <c r="G108" s="2626"/>
      <c r="H108" s="2626"/>
    </row>
    <row r="109" spans="2:14" x14ac:dyDescent="0.2">
      <c r="B109" s="2586" t="str">
        <f>IF(Présentation!$E$2="Français",'TRAD-Saisie données file act.'!D109,IF(Présentation!$E$2="Anglais",'TRAD-Saisie données file act.'!F109,""))</f>
        <v>Instauration de la NVP - Nevirapine</v>
      </c>
      <c r="D109" s="2645" t="s">
        <v>770</v>
      </c>
      <c r="E109" s="2626"/>
      <c r="F109" s="2626" t="s">
        <v>1105</v>
      </c>
      <c r="G109" s="2553"/>
      <c r="H109" s="2553"/>
      <c r="I109" s="2553"/>
      <c r="J109" s="2553"/>
      <c r="K109" s="2553"/>
      <c r="L109" s="2553"/>
      <c r="M109" s="2553"/>
      <c r="N109" s="2553"/>
    </row>
    <row r="110" spans="2:14" x14ac:dyDescent="0.2">
      <c r="B110" s="2586" t="str">
        <f>IF(Présentation!$E$2="Français",'TRAD-Saisie données file act.'!D110,IF(Présentation!$E$2="Anglais",'TRAD-Saisie données file act.'!F110,""))</f>
        <v>Selectionner une des options</v>
      </c>
      <c r="D110" s="2558" t="s">
        <v>772</v>
      </c>
      <c r="E110" s="2553"/>
      <c r="F110" s="2553" t="s">
        <v>1747</v>
      </c>
    </row>
    <row r="111" spans="2:14" ht="25.5" x14ac:dyDescent="0.2">
      <c r="B111" s="2586" t="str">
        <f>IF(Présentation!$E$2="Français",'TRAD-Saisie données file act.'!D111,IF(Présentation!$E$2="Anglais",'TRAD-Saisie données file act.'!F111,""))</f>
        <v>Uniquement des CDF : AZT+3TC &amp; AZT+3TC+NVP</v>
      </c>
      <c r="D111" s="2558" t="s">
        <v>773</v>
      </c>
      <c r="F111" s="2558" t="s">
        <v>1106</v>
      </c>
    </row>
    <row r="112" spans="2:14" ht="25.5" x14ac:dyDescent="0.2">
      <c r="B112" s="2586" t="str">
        <f>IF(Présentation!$E$2="Français",'TRAD-Saisie données file act.'!D112,IF(Présentation!$E$2="Anglais",'TRAD-Saisie données file act.'!F112,""))</f>
        <v>avec CDF &amp; Solution buvable NVP : AZT+3TC</v>
      </c>
      <c r="D112" s="2558" t="s">
        <v>774</v>
      </c>
      <c r="F112" s="2558" t="s">
        <v>1107</v>
      </c>
    </row>
    <row r="113" spans="2:10" x14ac:dyDescent="0.2">
      <c r="B113" s="2586" t="str">
        <f>IF(Présentation!$E$2="Français",'TRAD-Saisie données file act.'!D113,IF(Présentation!$E$2="Anglais",'TRAD-Saisie données file act.'!F113,""))</f>
        <v>Tout en solution buvable</v>
      </c>
      <c r="D113" s="2558" t="s">
        <v>775</v>
      </c>
      <c r="F113" s="2558" t="s">
        <v>1108</v>
      </c>
    </row>
    <row r="114" spans="2:10" ht="25.5" x14ac:dyDescent="0.2">
      <c r="B114" s="2586" t="str">
        <f>IF(Présentation!$E$2="Français",'TRAD-Saisie données file act.'!D114,IF(Présentation!$E$2="Anglais",'TRAD-Saisie données file act.'!F114,""))</f>
        <v>avec CDF D4T+3TC+NVP &amp; sol buv D4T &amp; 3TC</v>
      </c>
      <c r="D114" s="2558" t="s">
        <v>776</v>
      </c>
      <c r="F114" s="2558" t="s">
        <v>1109</v>
      </c>
    </row>
    <row r="115" spans="2:10" x14ac:dyDescent="0.2">
      <c r="B115" s="2586" t="str">
        <f>IF(Présentation!$E$2="Français",'TRAD-Saisie données file act.'!D115,IF(Présentation!$E$2="Anglais",'TRAD-Saisie données file act.'!F115,""))</f>
        <v>Tout en solution buvable</v>
      </c>
      <c r="D115" s="2558" t="s">
        <v>775</v>
      </c>
      <c r="F115" s="2558" t="s">
        <v>1118</v>
      </c>
    </row>
    <row r="116" spans="2:10" x14ac:dyDescent="0.2">
      <c r="B116" s="2586" t="str">
        <f>IF(Présentation!$E$2="Français",'TRAD-Saisie données file act.'!D116,IF(Présentation!$E$2="Anglais",'TRAD-Saisie données file act.'!F116,""))</f>
        <v>Tranche 3 - 9,9 kg</v>
      </c>
      <c r="D116" s="2656" t="s">
        <v>497</v>
      </c>
      <c r="F116" s="2558" t="s">
        <v>1119</v>
      </c>
    </row>
    <row r="117" spans="2:10" x14ac:dyDescent="0.2">
      <c r="B117" s="2586" t="str">
        <f>IF(Présentation!$E$2="Français",'TRAD-Saisie données file act.'!D117,IF(Présentation!$E$2="Anglais",'TRAD-Saisie données file act.'!F117,""))</f>
        <v>Solutions buvables</v>
      </c>
      <c r="D117" s="2590" t="s">
        <v>78</v>
      </c>
      <c r="F117" s="2558" t="s">
        <v>1251</v>
      </c>
    </row>
    <row r="118" spans="2:10" ht="25.5" x14ac:dyDescent="0.2">
      <c r="B118" s="2586" t="str">
        <f>IF(Présentation!$E$2="Français",'TRAD-Saisie données file act.'!D118,IF(Présentation!$E$2="Anglais",'TRAD-Saisie données file act.'!F118,""))</f>
        <v>Nb de boites / mois pour l'ensemble des patients</v>
      </c>
      <c r="D118" s="2590" t="s">
        <v>142</v>
      </c>
      <c r="F118" s="2558" t="s">
        <v>1111</v>
      </c>
    </row>
    <row r="119" spans="2:10" x14ac:dyDescent="0.2">
      <c r="B119" s="2586" t="str">
        <f>IF(Présentation!$E$2="Français",'TRAD-Saisie données file act.'!D119,IF(Présentation!$E$2="Anglais",'TRAD-Saisie données file act.'!F119,""))</f>
        <v>Comprimés</v>
      </c>
      <c r="D119" s="2590" t="s">
        <v>97</v>
      </c>
      <c r="F119" s="2558" t="s">
        <v>1007</v>
      </c>
    </row>
    <row r="120" spans="2:10" x14ac:dyDescent="0.2">
      <c r="B120" s="2586" t="str">
        <f>IF(Présentation!$E$2="Français",'TRAD-Saisie données file act.'!D120,IF(Présentation!$E$2="Anglais",'TRAD-Saisie données file act.'!F120,""))</f>
        <v>Vérification nb de produits sélectionnés</v>
      </c>
      <c r="D120" s="2590" t="s">
        <v>764</v>
      </c>
      <c r="F120" s="2558" t="s">
        <v>1120</v>
      </c>
    </row>
    <row r="121" spans="2:10" x14ac:dyDescent="0.2">
      <c r="B121" s="2586" t="str">
        <f>IF(Présentation!$E$2="Français",'TRAD-Saisie données file act.'!D121,IF(Présentation!$E$2="Anglais",'TRAD-Saisie données file act.'!F121,""))</f>
        <v>Tranche 10 - 14,9 kg</v>
      </c>
      <c r="D121" s="2656" t="s">
        <v>510</v>
      </c>
      <c r="F121" s="2558" t="s">
        <v>1113</v>
      </c>
    </row>
    <row r="122" spans="2:10" x14ac:dyDescent="0.2">
      <c r="B122" s="2586" t="str">
        <f>IF(Présentation!$E$2="Français",'TRAD-Saisie données file act.'!D122,IF(Présentation!$E$2="Anglais",'TRAD-Saisie données file act.'!F122,""))</f>
        <v>Tranche 15 -19,9 kg</v>
      </c>
      <c r="D122" s="2656" t="s">
        <v>511</v>
      </c>
      <c r="F122" s="2558" t="s">
        <v>1114</v>
      </c>
    </row>
    <row r="123" spans="2:10" x14ac:dyDescent="0.2">
      <c r="B123" s="2586" t="str">
        <f>IF(Présentation!$E$2="Français",'TRAD-Saisie données file act.'!D123,IF(Présentation!$E$2="Anglais",'TRAD-Saisie données file act.'!F123,""))</f>
        <v>Tranche 20 - 24,9 kg</v>
      </c>
      <c r="D123" s="2656" t="s">
        <v>512</v>
      </c>
      <c r="F123" s="2558" t="s">
        <v>1115</v>
      </c>
      <c r="G123" s="2626"/>
      <c r="H123" s="2626"/>
    </row>
    <row r="124" spans="2:10" ht="25.5" x14ac:dyDescent="0.2">
      <c r="B124" s="2586" t="str">
        <f>IF(Présentation!$E$2="Français",'TRAD-Saisie données file act.'!D124,IF(Présentation!$E$2="Anglais",'TRAD-Saisie données file act.'!F124,""))</f>
        <v>Préciser les doses journalières pour chaque tranche de poids</v>
      </c>
      <c r="D124" s="2645" t="s">
        <v>737</v>
      </c>
      <c r="E124" s="2626"/>
      <c r="F124" s="2626" t="s">
        <v>1121</v>
      </c>
    </row>
    <row r="125" spans="2:10" ht="25.5" x14ac:dyDescent="0.2">
      <c r="B125" s="2586" t="str">
        <f>IF(Présentation!$E$2="Français",'TRAD-Saisie données file act.'!D125,IF(Présentation!$E$2="Anglais",'TRAD-Saisie données file act.'!F125,""))</f>
        <v>Les données présentées ici sont adaptées des recommandations OMS 2010</v>
      </c>
      <c r="D125" s="2558" t="s">
        <v>748</v>
      </c>
      <c r="F125" s="2558" t="s">
        <v>1712</v>
      </c>
      <c r="G125" s="2657"/>
      <c r="H125" s="2657"/>
      <c r="I125" s="2657"/>
      <c r="J125" s="2657"/>
    </row>
    <row r="126" spans="2:10" x14ac:dyDescent="0.2">
      <c r="B126" s="2586" t="str">
        <f>IF(Présentation!$E$2="Français",'TRAD-Saisie données file act.'!D126,IF(Présentation!$E$2="Anglais",'TRAD-Saisie données file act.'!F126,""))</f>
        <v>Formes liquides</v>
      </c>
      <c r="D126" s="2658" t="s">
        <v>749</v>
      </c>
      <c r="E126" s="2657"/>
      <c r="F126" s="2657" t="s">
        <v>1117</v>
      </c>
      <c r="G126" s="2657"/>
      <c r="H126" s="2657"/>
      <c r="I126" s="2657"/>
      <c r="J126" s="2657"/>
    </row>
    <row r="127" spans="2:10" ht="25.5" x14ac:dyDescent="0.2">
      <c r="B127" s="2586" t="str">
        <f>IF(Présentation!$E$2="Français",'TRAD-Saisie données file act.'!D127,IF(Présentation!$E$2="Anglais",'TRAD-Saisie données file act.'!F127,""))</f>
        <v>Enfant de 6 à 7 kg (tranche de poids utilisée : 3 - 9,9 kg)</v>
      </c>
      <c r="D127" s="2658" t="s">
        <v>1027</v>
      </c>
      <c r="E127" s="2657"/>
      <c r="F127" s="2657" t="s">
        <v>1139</v>
      </c>
      <c r="G127" s="2657"/>
      <c r="H127" s="2657"/>
      <c r="I127" s="2657"/>
      <c r="J127" s="2657"/>
    </row>
    <row r="128" spans="2:10" ht="25.5" x14ac:dyDescent="0.2">
      <c r="B128" s="2586" t="str">
        <f>IF(Présentation!$E$2="Français",'TRAD-Saisie données file act.'!D128,IF(Présentation!$E$2="Anglais",'TRAD-Saisie données file act.'!F128,""))</f>
        <v>Enfant de 15 à 20 kg (tranche de poids utilisée : 17 - 19,9 kg)</v>
      </c>
      <c r="D128" s="2658" t="s">
        <v>1028</v>
      </c>
      <c r="E128" s="2657"/>
      <c r="F128" s="2657" t="s">
        <v>1140</v>
      </c>
    </row>
    <row r="129" spans="2:10" x14ac:dyDescent="0.2">
      <c r="B129" s="2586" t="str">
        <f>IF(Présentation!$E$2="Français",'TRAD-Saisie données file act.'!D129,IF(Présentation!$E$2="Anglais",'TRAD-Saisie données file act.'!F129,""))</f>
        <v>volume (mL) / jour</v>
      </c>
      <c r="D129" s="2555" t="s">
        <v>164</v>
      </c>
      <c r="F129" s="2558" t="s">
        <v>1122</v>
      </c>
    </row>
    <row r="130" spans="2:10" x14ac:dyDescent="0.2">
      <c r="B130" s="2586" t="str">
        <f>IF(Présentation!$E$2="Français",'TRAD-Saisie données file act.'!D130,IF(Présentation!$E$2="Anglais",'TRAD-Saisie données file act.'!F130,""))</f>
        <v>volume (mL) / mois</v>
      </c>
      <c r="D130" s="2555" t="s">
        <v>165</v>
      </c>
      <c r="F130" s="2558" t="s">
        <v>1123</v>
      </c>
    </row>
    <row r="131" spans="2:10" x14ac:dyDescent="0.2">
      <c r="B131" s="2586" t="str">
        <f>IF(Présentation!$E$2="Français",'TRAD-Saisie données file act.'!D131,IF(Présentation!$E$2="Anglais",'TRAD-Saisie données file act.'!F131,""))</f>
        <v>volume flacon (mL) [1]</v>
      </c>
      <c r="D131" s="2555" t="s">
        <v>730</v>
      </c>
      <c r="F131" s="2558" t="s">
        <v>1141</v>
      </c>
    </row>
    <row r="132" spans="2:10" x14ac:dyDescent="0.2">
      <c r="B132" s="2586" t="str">
        <f>IF(Présentation!$E$2="Français",'TRAD-Saisie données file act.'!D132,IF(Présentation!$E$2="Anglais",'TRAD-Saisie données file act.'!F132,""))</f>
        <v>nb de flacons / mois</v>
      </c>
      <c r="D132" s="2555" t="s">
        <v>167</v>
      </c>
      <c r="F132" s="2558" t="s">
        <v>1717</v>
      </c>
    </row>
    <row r="133" spans="2:10" x14ac:dyDescent="0.2">
      <c r="B133" s="2586" t="str">
        <f>IF(Présentation!$E$2="Français",'TRAD-Saisie données file act.'!D133,IF(Présentation!$E$2="Anglais",'TRAD-Saisie données file act.'!F133,""))</f>
        <v>nb de flacons / mois arrondi</v>
      </c>
      <c r="D133" s="2555" t="s">
        <v>168</v>
      </c>
      <c r="F133" s="2558" t="s">
        <v>1718</v>
      </c>
      <c r="G133" s="2657"/>
      <c r="H133" s="2657"/>
      <c r="I133" s="2657"/>
      <c r="J133" s="2657"/>
    </row>
    <row r="134" spans="2:10" x14ac:dyDescent="0.2">
      <c r="B134" s="2586" t="str">
        <f>IF(Présentation!$E$2="Français",'TRAD-Saisie données file act.'!D134,IF(Présentation!$E$2="Anglais",'TRAD-Saisie données file act.'!F134,""))</f>
        <v>Formes solides</v>
      </c>
      <c r="D134" s="2658" t="s">
        <v>750</v>
      </c>
      <c r="E134" s="2657"/>
      <c r="F134" s="2657" t="s">
        <v>1715</v>
      </c>
    </row>
    <row r="135" spans="2:10" x14ac:dyDescent="0.2">
      <c r="B135" s="2586" t="str">
        <f>IF(Présentation!$E$2="Français",'TRAD-Saisie données file act.'!D135,IF(Présentation!$E$2="Anglais",'TRAD-Saisie données file act.'!F135,""))</f>
        <v>Formes adultes</v>
      </c>
      <c r="D135" s="2555" t="s">
        <v>174</v>
      </c>
      <c r="F135" s="2558" t="s">
        <v>1713</v>
      </c>
    </row>
    <row r="136" spans="2:10" x14ac:dyDescent="0.2">
      <c r="B136" s="2586" t="str">
        <f>IF(Présentation!$E$2="Français",'TRAD-Saisie données file act.'!D136,IF(Présentation!$E$2="Anglais",'TRAD-Saisie données file act.'!F136,""))</f>
        <v>Nb de boites / mois / patient</v>
      </c>
      <c r="D136" s="2555" t="s">
        <v>175</v>
      </c>
      <c r="F136" s="2558" t="s">
        <v>1124</v>
      </c>
    </row>
    <row r="137" spans="2:10" x14ac:dyDescent="0.2">
      <c r="B137" s="2586" t="str">
        <f>IF(Présentation!$E$2="Français",'TRAD-Saisie données file act.'!D137,IF(Présentation!$E$2="Anglais",'TRAD-Saisie données file act.'!F137,""))</f>
        <v>AZT+3TC+NVP adulte</v>
      </c>
      <c r="D137" s="2555" t="s">
        <v>418</v>
      </c>
      <c r="F137" s="2558" t="s">
        <v>1125</v>
      </c>
    </row>
    <row r="138" spans="2:10" x14ac:dyDescent="0.2">
      <c r="B138" s="2586" t="str">
        <f>IF(Présentation!$E$2="Français",'TRAD-Saisie données file act.'!D138,IF(Présentation!$E$2="Anglais",'TRAD-Saisie données file act.'!F138,""))</f>
        <v>AZT+3TC+NVP bébé</v>
      </c>
      <c r="D138" s="2555" t="s">
        <v>1144</v>
      </c>
      <c r="F138" s="2558" t="s">
        <v>1126</v>
      </c>
    </row>
    <row r="139" spans="2:10" x14ac:dyDescent="0.2">
      <c r="B139" s="2586" t="str">
        <f>IF(Présentation!$E$2="Français",'TRAD-Saisie données file act.'!D139,IF(Présentation!$E$2="Anglais",'TRAD-Saisie données file act.'!F139,""))</f>
        <v>AZT+3TC adulte</v>
      </c>
      <c r="D139" s="2555" t="s">
        <v>419</v>
      </c>
      <c r="F139" s="2558" t="s">
        <v>1127</v>
      </c>
    </row>
    <row r="140" spans="2:10" x14ac:dyDescent="0.2">
      <c r="B140" s="2586" t="str">
        <f>IF(Présentation!$E$2="Français",'TRAD-Saisie données file act.'!D140,IF(Présentation!$E$2="Anglais",'TRAD-Saisie données file act.'!F140,""))</f>
        <v>AZT+3TC bébé</v>
      </c>
      <c r="D140" s="2555" t="s">
        <v>1145</v>
      </c>
      <c r="F140" s="2558" t="s">
        <v>1128</v>
      </c>
    </row>
    <row r="141" spans="2:10" x14ac:dyDescent="0.2">
      <c r="B141" s="2586" t="str">
        <f>IF(Présentation!$E$2="Français",'TRAD-Saisie données file act.'!D141,IF(Présentation!$E$2="Anglais",'TRAD-Saisie données file act.'!F141,""))</f>
        <v>D4T+3TC+NVP adulte</v>
      </c>
      <c r="D141" s="2555" t="s">
        <v>417</v>
      </c>
      <c r="F141" s="2558" t="s">
        <v>1129</v>
      </c>
    </row>
    <row r="142" spans="2:10" x14ac:dyDescent="0.2">
      <c r="B142" s="2586" t="str">
        <f>IF(Présentation!$E$2="Français",'TRAD-Saisie données file act.'!D142,IF(Présentation!$E$2="Anglais",'TRAD-Saisie données file act.'!F142,""))</f>
        <v>D4T+3TC+NVP bébé</v>
      </c>
      <c r="D142" s="2555" t="s">
        <v>1146</v>
      </c>
      <c r="F142" s="2558" t="s">
        <v>1130</v>
      </c>
    </row>
    <row r="143" spans="2:10" x14ac:dyDescent="0.2">
      <c r="B143" s="2586" t="str">
        <f>IF(Présentation!$E$2="Français",'TRAD-Saisie données file act.'!D143,IF(Présentation!$E$2="Anglais",'TRAD-Saisie données file act.'!F143,""))</f>
        <v>D4T+3TC adulte</v>
      </c>
      <c r="D143" s="2555" t="s">
        <v>509</v>
      </c>
      <c r="F143" s="2558" t="s">
        <v>1131</v>
      </c>
    </row>
    <row r="144" spans="2:10" x14ac:dyDescent="0.2">
      <c r="B144" s="2586" t="str">
        <f>IF(Présentation!$E$2="Français",'TRAD-Saisie données file act.'!D144,IF(Présentation!$E$2="Anglais",'TRAD-Saisie données file act.'!F144,""))</f>
        <v>AZT+3TC+ABC adulte</v>
      </c>
      <c r="D144" s="2555" t="s">
        <v>732</v>
      </c>
      <c r="F144" s="2558" t="s">
        <v>1132</v>
      </c>
    </row>
    <row r="145" spans="2:17" x14ac:dyDescent="0.2">
      <c r="B145" s="2586" t="str">
        <f>IF(Présentation!$E$2="Français",'TRAD-Saisie données file act.'!D145,IF(Présentation!$E$2="Anglais",'TRAD-Saisie données file act.'!F145,""))</f>
        <v>AZT+3TC+ABC bébé</v>
      </c>
      <c r="D145" s="2555" t="s">
        <v>1147</v>
      </c>
      <c r="F145" s="2558" t="s">
        <v>1133</v>
      </c>
    </row>
    <row r="146" spans="2:17" x14ac:dyDescent="0.2">
      <c r="B146" s="2586" t="str">
        <f>IF(Présentation!$E$2="Français",'TRAD-Saisie données file act.'!D146,IF(Présentation!$E$2="Anglais",'TRAD-Saisie données file act.'!F146,""))</f>
        <v>ABC+3TC bébé</v>
      </c>
      <c r="D146" s="2555" t="s">
        <v>1148</v>
      </c>
      <c r="F146" s="2558" t="s">
        <v>1134</v>
      </c>
    </row>
    <row r="147" spans="2:17" x14ac:dyDescent="0.2">
      <c r="B147" s="2586" t="str">
        <f>IF(Présentation!$E$2="Français",'TRAD-Saisie données file act.'!D147,IF(Présentation!$E$2="Anglais",'TRAD-Saisie données file act.'!F147,""))</f>
        <v>ABC adulte</v>
      </c>
      <c r="D147" s="2555" t="s">
        <v>733</v>
      </c>
      <c r="F147" s="2558" t="s">
        <v>1135</v>
      </c>
    </row>
    <row r="148" spans="2:17" x14ac:dyDescent="0.2">
      <c r="B148" s="2586" t="str">
        <f>IF(Présentation!$E$2="Français",'TRAD-Saisie données file act.'!D148,IF(Présentation!$E$2="Anglais",'TRAD-Saisie données file act.'!F148,""))</f>
        <v>ABC bébé</v>
      </c>
      <c r="D148" s="2555" t="s">
        <v>1149</v>
      </c>
      <c r="F148" s="2558" t="s">
        <v>729</v>
      </c>
    </row>
    <row r="149" spans="2:17" x14ac:dyDescent="0.2">
      <c r="B149" s="2586" t="str">
        <f>IF(Présentation!$E$2="Français",'TRAD-Saisie données file act.'!D149,IF(Présentation!$E$2="Anglais",'TRAD-Saisie données file act.'!F149,""))</f>
        <v>AZT bébé</v>
      </c>
      <c r="D149" s="2555" t="s">
        <v>1150</v>
      </c>
      <c r="F149" s="2558" t="s">
        <v>753</v>
      </c>
    </row>
    <row r="150" spans="2:17" x14ac:dyDescent="0.2">
      <c r="B150" s="2586" t="str">
        <f>IF(Présentation!$E$2="Français",'TRAD-Saisie données file act.'!D150,IF(Présentation!$E$2="Anglais",'TRAD-Saisie données file act.'!F150,""))</f>
        <v>NVP cp</v>
      </c>
      <c r="D150" s="2555" t="s">
        <v>735</v>
      </c>
      <c r="F150" s="2558" t="s">
        <v>1136</v>
      </c>
    </row>
    <row r="151" spans="2:17" x14ac:dyDescent="0.2">
      <c r="B151" s="2586" t="str">
        <f>IF(Présentation!$E$2="Français",'TRAD-Saisie données file act.'!D151,IF(Présentation!$E$2="Anglais",'TRAD-Saisie données file act.'!F151,""))</f>
        <v>LPV/r adulte</v>
      </c>
      <c r="D151" s="2555" t="s">
        <v>757</v>
      </c>
      <c r="F151" s="2558" t="s">
        <v>1137</v>
      </c>
    </row>
    <row r="152" spans="2:17" x14ac:dyDescent="0.2">
      <c r="B152" s="2586" t="str">
        <f>IF(Présentation!$E$2="Français",'TRAD-Saisie données file act.'!D152,IF(Présentation!$E$2="Anglais",'TRAD-Saisie données file act.'!F152,""))</f>
        <v>LPV/r bébé</v>
      </c>
      <c r="D152" s="2555" t="s">
        <v>1151</v>
      </c>
      <c r="F152" s="2558" t="s">
        <v>1138</v>
      </c>
      <c r="G152" s="2562"/>
      <c r="H152" s="2562"/>
      <c r="I152" s="2562"/>
      <c r="J152" s="2562"/>
      <c r="K152" s="2562"/>
      <c r="L152" s="2562"/>
      <c r="M152" s="2562"/>
      <c r="N152" s="2562"/>
      <c r="O152" s="2562"/>
      <c r="P152" s="2562"/>
      <c r="Q152" s="2562"/>
    </row>
    <row r="153" spans="2:17" x14ac:dyDescent="0.2">
      <c r="B153" s="2586" t="str">
        <f>IF(Présentation!$E$2="Français",'TRAD-Saisie données file act.'!D153,IF(Présentation!$E$2="Anglais",'TRAD-Saisie données file act.'!F153,""))</f>
        <v>Etape 3 : Besoins ARV PTME</v>
      </c>
      <c r="D153" s="2563" t="s">
        <v>1033</v>
      </c>
      <c r="E153" s="2562"/>
      <c r="F153" s="2562" t="s">
        <v>1746</v>
      </c>
    </row>
    <row r="154" spans="2:17" ht="38.25" x14ac:dyDescent="0.2">
      <c r="B154" s="2586" t="str">
        <f>IF(Présentation!$E$2="Français",'TRAD-Saisie données file act.'!D154,IF(Présentation!$E$2="Anglais",'TRAD-Saisie données file act.'!F154,""))</f>
        <v>A. Quels sont les besoins mensuels moyens dans le cadre des activités PTME ?</v>
      </c>
      <c r="D154" s="2563" t="s">
        <v>217</v>
      </c>
      <c r="F154" s="2558" t="s">
        <v>1155</v>
      </c>
      <c r="G154" s="2562"/>
      <c r="H154" s="2562"/>
      <c r="I154" s="2562"/>
      <c r="J154" s="2562"/>
      <c r="K154" s="2562"/>
      <c r="L154" s="2562"/>
      <c r="M154" s="2562"/>
      <c r="N154" s="2562"/>
    </row>
    <row r="155" spans="2:17" ht="38.25" x14ac:dyDescent="0.2">
      <c r="B155" s="2586" t="str">
        <f>IF(Présentation!$E$2="Français",'TRAD-Saisie données file act.'!D155,IF(Présentation!$E$2="Anglais",'TRAD-Saisie données file act.'!F155,""))</f>
        <v>Ne saisir ici que les besoins qui ne serait pas documentés dans le suivi de file active renseigné ci-dessus.</v>
      </c>
      <c r="D155" s="2563" t="s">
        <v>614</v>
      </c>
      <c r="E155" s="2562"/>
      <c r="F155" s="2562" t="s">
        <v>1156</v>
      </c>
      <c r="G155" s="2563"/>
      <c r="H155" s="2563"/>
      <c r="I155" s="2563"/>
      <c r="J155" s="2563"/>
      <c r="K155" s="2563"/>
      <c r="L155" s="2563"/>
      <c r="M155" s="2563"/>
      <c r="N155" s="2563"/>
    </row>
    <row r="156" spans="2:17" ht="51" x14ac:dyDescent="0.2">
      <c r="B156" s="2586" t="str">
        <f>IF(Présentation!$E$2="Français",'TRAD-Saisie données file act.'!D156,IF(Présentation!$E$2="Anglais",'TRAD-Saisie données file act.'!F156,""))</f>
        <v>La mode est ici mixte pour tenir compte des activités de PTME, l'information la plus souvent disponible sur les besoins reste les données de consommation</v>
      </c>
      <c r="D156" s="2563" t="s">
        <v>672</v>
      </c>
      <c r="E156" s="2563"/>
      <c r="F156" s="2563" t="s">
        <v>1157</v>
      </c>
      <c r="G156" s="2562"/>
      <c r="H156" s="2562"/>
      <c r="I156" s="2562"/>
      <c r="J156" s="2562"/>
      <c r="K156" s="2562"/>
      <c r="L156" s="2562"/>
      <c r="M156" s="2562"/>
      <c r="N156" s="2562"/>
    </row>
    <row r="157" spans="2:17" ht="89.25" x14ac:dyDescent="0.2">
      <c r="B157" s="2586" t="str">
        <f>IF(Présentation!$E$2="Français",'TRAD-Saisie données file act.'!D157,IF(Présentation!$E$2="Anglais",'TRAD-Saisie données file act.'!F157,""))</f>
        <v>Ces besoins seront pris en compte pour une estimation sur base des données de suivi de file active renseignés précédemment. Par contre ils ne seront pas pris en compte dans une estimation sur la base des données de consommation/distribution.</v>
      </c>
      <c r="D157" s="2563" t="s">
        <v>615</v>
      </c>
      <c r="E157" s="2562"/>
      <c r="F157" s="2562" t="s">
        <v>1158</v>
      </c>
      <c r="K157" s="2591"/>
    </row>
    <row r="158" spans="2:17" x14ac:dyDescent="0.2">
      <c r="B158" s="2586" t="str">
        <f>IF(Présentation!$E$2="Français",'TRAD-Saisie données file act.'!D158,IF(Présentation!$E$2="Anglais",'TRAD-Saisie données file act.'!F158,""))</f>
        <v>Composition</v>
      </c>
      <c r="D158" s="2563" t="s">
        <v>12</v>
      </c>
      <c r="F158" s="2558" t="s">
        <v>12</v>
      </c>
    </row>
    <row r="159" spans="2:17" x14ac:dyDescent="0.2">
      <c r="B159" s="2586" t="str">
        <f>IF(Présentation!$E$2="Français",'TRAD-Saisie données file act.'!D159,IF(Présentation!$E$2="Anglais",'TRAD-Saisie données file act.'!F159,""))</f>
        <v>Forme galénique</v>
      </c>
      <c r="D159" s="2563" t="s">
        <v>13</v>
      </c>
      <c r="F159" s="2558" t="s">
        <v>980</v>
      </c>
    </row>
    <row r="160" spans="2:17" x14ac:dyDescent="0.2">
      <c r="B160" s="2586" t="str">
        <f>IF(Présentation!$E$2="Français",'TRAD-Saisie données file act.'!D160,IF(Présentation!$E$2="Anglais",'TRAD-Saisie données file act.'!F160,""))</f>
        <v>Dosage</v>
      </c>
      <c r="D160" s="2563" t="s">
        <v>14</v>
      </c>
      <c r="F160" s="2558" t="s">
        <v>981</v>
      </c>
    </row>
    <row r="161" spans="2:10" x14ac:dyDescent="0.2">
      <c r="B161" s="2586" t="str">
        <f>IF(Présentation!$E$2="Français",'TRAD-Saisie données file act.'!D161,IF(Présentation!$E$2="Anglais",'TRAD-Saisie données file act.'!F161,""))</f>
        <v>DCI</v>
      </c>
      <c r="D161" s="2563" t="s">
        <v>318</v>
      </c>
      <c r="F161" s="2558" t="s">
        <v>982</v>
      </c>
    </row>
    <row r="162" spans="2:10" x14ac:dyDescent="0.2">
      <c r="B162" s="2586" t="str">
        <f>IF(Présentation!$E$2="Français",'TRAD-Saisie données file act.'!D162,IF(Présentation!$E$2="Anglais",'TRAD-Saisie données file act.'!F162,""))</f>
        <v>Nom de spécialité</v>
      </c>
      <c r="D162" s="2563" t="s">
        <v>75</v>
      </c>
      <c r="F162" s="2558" t="s">
        <v>983</v>
      </c>
    </row>
    <row r="163" spans="2:10" x14ac:dyDescent="0.2">
      <c r="B163" s="2586" t="str">
        <f>IF(Présentation!$E$2="Français",'TRAD-Saisie données file act.'!D163,IF(Présentation!$E$2="Anglais",'TRAD-Saisie données file act.'!F163,""))</f>
        <v>Nom de générique possible</v>
      </c>
      <c r="D163" s="2563" t="s">
        <v>95</v>
      </c>
      <c r="F163" s="2558" t="s">
        <v>1159</v>
      </c>
    </row>
    <row r="164" spans="2:10" x14ac:dyDescent="0.2">
      <c r="B164" s="2586" t="str">
        <f>IF(Présentation!$E$2="Français",'TRAD-Saisie données file act.'!D164,IF(Présentation!$E$2="Anglais",'TRAD-Saisie données file act.'!F164,""))</f>
        <v>Conditionnement</v>
      </c>
      <c r="D164" s="2563" t="s">
        <v>96</v>
      </c>
      <c r="F164" s="2558" t="s">
        <v>986</v>
      </c>
    </row>
    <row r="165" spans="2:10" ht="25.5" x14ac:dyDescent="0.2">
      <c r="B165" s="2586" t="str">
        <f>IF(Présentation!$E$2="Français",'TRAD-Saisie données file act.'!D165,IF(Présentation!$E$2="Anglais",'TRAD-Saisie données file act.'!F165,""))</f>
        <v>Besoins mensuels moyens en nb de boites</v>
      </c>
      <c r="D165" s="2558" t="s">
        <v>218</v>
      </c>
      <c r="F165" s="2558" t="s">
        <v>1719</v>
      </c>
    </row>
    <row r="166" spans="2:10" x14ac:dyDescent="0.2">
      <c r="B166" s="2586" t="str">
        <f>IF(Présentation!$E$2="Français",'TRAD-Saisie données file act.'!D166,IF(Présentation!$E$2="Anglais",'TRAD-Saisie données file act.'!F166,""))</f>
        <v>Comprimés</v>
      </c>
      <c r="D166" s="2563" t="s">
        <v>97</v>
      </c>
      <c r="F166" s="2558" t="s">
        <v>1007</v>
      </c>
    </row>
    <row r="167" spans="2:10" x14ac:dyDescent="0.2">
      <c r="B167" s="2586" t="str">
        <f>IF(Présentation!$E$2="Français",'TRAD-Saisie données file act.'!D167,IF(Présentation!$E$2="Anglais",'TRAD-Saisie données file act.'!F167,""))</f>
        <v>Solutions buvables</v>
      </c>
      <c r="D167" s="2563" t="s">
        <v>78</v>
      </c>
      <c r="F167" s="2558" t="s">
        <v>1251</v>
      </c>
    </row>
    <row r="168" spans="2:10" ht="25.5" x14ac:dyDescent="0.2">
      <c r="B168" s="2586" t="str">
        <f>IF(Présentation!$E$2="Français",'TRAD-Saisie données file act.'!D168,IF(Présentation!$E$2="Anglais",'TRAD-Saisie données file act.'!F168,""))</f>
        <v>Le volume est spécifié dans la feuille " Stocks Disponibles"</v>
      </c>
      <c r="D168" s="2563" t="s">
        <v>1164</v>
      </c>
      <c r="F168" s="2558" t="s">
        <v>1714</v>
      </c>
    </row>
    <row r="169" spans="2:10" ht="25.5" x14ac:dyDescent="0.2">
      <c r="B169" s="2586" t="str">
        <f>IF(Présentation!$E$2="Français",'TRAD-Saisie données file act.'!D169,IF(Présentation!$E$2="Anglais",'TRAD-Saisie données file act.'!F169,""))</f>
        <v>Enfant de 12 à 14,9 kg (tranche de poids utilisée : 10 - 14,9 kg)</v>
      </c>
      <c r="D169" s="2563" t="s">
        <v>1817</v>
      </c>
      <c r="E169" s="2659"/>
      <c r="F169" s="2558" t="s">
        <v>1165</v>
      </c>
      <c r="G169" s="2659"/>
      <c r="H169" s="2659"/>
      <c r="I169" s="2659"/>
      <c r="J169" s="2659"/>
    </row>
    <row r="170" spans="2:10" x14ac:dyDescent="0.2">
      <c r="B170" s="2586" t="str">
        <f>IF(Présentation!$E$2="Français",'TRAD-Saisie données file act.'!D170,IF(Présentation!$E$2="Anglais",'TRAD-Saisie données file act.'!F170,""))</f>
        <v>Volume conditionnement primaire (mL)</v>
      </c>
      <c r="D170" s="2563" t="s">
        <v>76</v>
      </c>
      <c r="F170" s="2558" t="s">
        <v>1166</v>
      </c>
    </row>
    <row r="171" spans="2:10" x14ac:dyDescent="0.2">
      <c r="B171" s="2586" t="str">
        <f>IF(Présentation!$E$2="Français",'TRAD-Saisie données file act.'!D171,IF(Présentation!$E$2="Anglais",'TRAD-Saisie données file act.'!F171,""))</f>
        <v>Conditionement secondaire</v>
      </c>
      <c r="D171" s="2563" t="s">
        <v>77</v>
      </c>
      <c r="F171" s="2558" t="s">
        <v>1167</v>
      </c>
    </row>
    <row r="172" spans="2:10" ht="25.5" x14ac:dyDescent="0.2">
      <c r="B172" s="2586" t="str">
        <f>IF(Présentation!$E$2="Français",'TRAD-Saisie données file act.'!D172,IF(Présentation!$E$2="Anglais",'TRAD-Saisie données file act.'!F172,""))</f>
        <v>Besoins mensuels moyens en nb de conditionnement primaire</v>
      </c>
      <c r="D172" s="2563" t="s">
        <v>434</v>
      </c>
      <c r="F172" s="2558" t="s">
        <v>1720</v>
      </c>
    </row>
    <row r="173" spans="2:10" x14ac:dyDescent="0.2">
      <c r="B173" s="2586" t="str">
        <f>IF(Présentation!$E$2="Français",'TRAD-Saisie données file act.'!D173,IF(Présentation!$E$2="Anglais",'TRAD-Saisie données file act.'!F173,""))</f>
        <v>Patient / mois</v>
      </c>
      <c r="D173" s="2563" t="s">
        <v>1444</v>
      </c>
      <c r="F173" s="2558" t="s">
        <v>1445</v>
      </c>
    </row>
  </sheetData>
  <sheetProtection password="D0E7"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43</vt:i4>
      </vt:variant>
      <vt:variant>
        <vt:lpstr>Charts</vt:lpstr>
      </vt:variant>
      <vt:variant>
        <vt:i4>21</vt:i4>
      </vt:variant>
      <vt:variant>
        <vt:lpstr>Named Ranges</vt:lpstr>
      </vt:variant>
      <vt:variant>
        <vt:i4>12</vt:i4>
      </vt:variant>
    </vt:vector>
  </HeadingPairs>
  <TitlesOfParts>
    <vt:vector size="76" baseType="lpstr">
      <vt:lpstr>Présentation</vt:lpstr>
      <vt:lpstr>TRAD-Présentation</vt:lpstr>
      <vt:lpstr>Paramétrage</vt:lpstr>
      <vt:lpstr>Paramétres</vt:lpstr>
      <vt:lpstr>TRAD-Paramétrage</vt:lpstr>
      <vt:lpstr>Saisie données stocks</vt:lpstr>
      <vt:lpstr>TRAD-Saisie données stocks</vt:lpstr>
      <vt:lpstr>Saisie données file act.</vt:lpstr>
      <vt:lpstr>TRAD-Saisie données file act.</vt:lpstr>
      <vt:lpstr>Saisie données conso</vt:lpstr>
      <vt:lpstr>TRAD-Saisie données conso</vt:lpstr>
      <vt:lpstr>Calculs</vt:lpstr>
      <vt:lpstr>TRAD-Calculs</vt:lpstr>
      <vt:lpstr>Calculs pédiatriques</vt:lpstr>
      <vt:lpstr>TRAD-Calculs pédiatriques</vt:lpstr>
      <vt:lpstr>Calculs Péremption FA</vt:lpstr>
      <vt:lpstr>TRAD-Calculs Péremption FA</vt:lpstr>
      <vt:lpstr>Calculs Péremption conso</vt:lpstr>
      <vt:lpstr>Calculs dispo Données FA</vt:lpstr>
      <vt:lpstr>TRAD-Calculs dispo Données FA</vt:lpstr>
      <vt:lpstr>Calculs dispo Données conso</vt:lpstr>
      <vt:lpstr>Calculs dispo Confrontation</vt:lpstr>
      <vt:lpstr>TRAD-Calculs dispo confrontatio</vt:lpstr>
      <vt:lpstr>Menu Résultats</vt:lpstr>
      <vt:lpstr>TRAD-Menu Résultats</vt:lpstr>
      <vt:lpstr>Synthèse résultats dispo</vt:lpstr>
      <vt:lpstr>TRAD-Synthèse résultats dispo</vt:lpstr>
      <vt:lpstr>TRAD-visualiz</vt:lpstr>
      <vt:lpstr>TdB Péremptions</vt:lpstr>
      <vt:lpstr>Quanti</vt:lpstr>
      <vt:lpstr>TRAD-Quanti et TdB Péremptions</vt:lpstr>
      <vt:lpstr>Quanti - trimestre</vt:lpstr>
      <vt:lpstr>TRAD-quanti trimestre</vt:lpstr>
      <vt:lpstr>impr données adultes</vt:lpstr>
      <vt:lpstr>impr sélection adultes</vt:lpstr>
      <vt:lpstr>impr données enfants</vt:lpstr>
      <vt:lpstr>impr sélection enfants</vt:lpstr>
      <vt:lpstr>TRAD-impressions</vt:lpstr>
      <vt:lpstr>Prix 10-2011 GPRM $</vt:lpstr>
      <vt:lpstr>Prix VPP 102012 convert</vt:lpstr>
      <vt:lpstr>TRAD-Prix 10-2011 GPRM $</vt:lpstr>
      <vt:lpstr>Prix spécifiques</vt:lpstr>
      <vt:lpstr>TRAD-Prix</vt:lpstr>
      <vt:lpstr>CDF A.1 </vt:lpstr>
      <vt:lpstr>CDF A.1.2</vt:lpstr>
      <vt:lpstr>CDF A.2.1</vt:lpstr>
      <vt:lpstr>Cp A.2.2</vt:lpstr>
      <vt:lpstr>CDF A.2</vt:lpstr>
      <vt:lpstr>CDF B.1</vt:lpstr>
      <vt:lpstr>Cp B.1.2</vt:lpstr>
      <vt:lpstr>CDF B.2</vt:lpstr>
      <vt:lpstr>FS A.1</vt:lpstr>
      <vt:lpstr>FS A.2</vt:lpstr>
      <vt:lpstr>FS B.1</vt:lpstr>
      <vt:lpstr>FS B.2</vt:lpstr>
      <vt:lpstr>SB A.1</vt:lpstr>
      <vt:lpstr>SB A.1.2</vt:lpstr>
      <vt:lpstr>SB A.2.1</vt:lpstr>
      <vt:lpstr>SB A.2</vt:lpstr>
      <vt:lpstr>SB B.1</vt:lpstr>
      <vt:lpstr>SB B.1.2</vt:lpstr>
      <vt:lpstr>SB B.2</vt:lpstr>
      <vt:lpstr>Cp C.1</vt:lpstr>
      <vt:lpstr>Cp C.3</vt:lpstr>
      <vt:lpstr>'Calculs pédiatriques'!Print_Area</vt:lpstr>
      <vt:lpstr>'impr données adultes'!Print_Area</vt:lpstr>
      <vt:lpstr>'impr données enfants'!Print_Area</vt:lpstr>
      <vt:lpstr>'impr sélection adultes'!Print_Area</vt:lpstr>
      <vt:lpstr>'impr sélection enfants'!Print_Area</vt:lpstr>
      <vt:lpstr>Quanti!Print_Area</vt:lpstr>
      <vt:lpstr>'TdB Péremptions'!Print_Area</vt:lpstr>
      <vt:lpstr>'impr sélection adultes'!Print_Titles</vt:lpstr>
      <vt:lpstr>'impr sélection enfants'!Print_Titles</vt:lpstr>
      <vt:lpstr>Quanti!Print_Titles</vt:lpstr>
      <vt:lpstr>'Synthèse résultats dispo'!Print_Titles</vt:lpstr>
      <vt:lpstr>'TdB Péremptions'!Print_Titles</vt:lpstr>
    </vt:vector>
  </TitlesOfParts>
  <Company>SOLTHIS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Couverture des besoins en ARV</dc:title>
  <dc:creator>Etienne Guillard</dc:creator>
  <cp:keywords>couverture besoins ARV</cp:keywords>
  <cp:lastModifiedBy>HABIYAMBERE, Vincent</cp:lastModifiedBy>
  <cp:lastPrinted>2013-07-19T19:27:37Z</cp:lastPrinted>
  <dcterms:created xsi:type="dcterms:W3CDTF">2008-12-18T15:14:04Z</dcterms:created>
  <dcterms:modified xsi:type="dcterms:W3CDTF">2015-12-08T14:57:01Z</dcterms:modified>
</cp:coreProperties>
</file>